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rinterSettings/printerSettings1.bin" ContentType="application/vnd.openxmlformats-officedocument.spreadsheetml.printerSettings"/>
  <Override PartName="/xl/drawings/drawing2.xml" ContentType="application/vnd.openxmlformats-officedocument.drawing+xml"/>
  <Override PartName="/xl/charts/chart2.xml" ContentType="application/vnd.openxmlformats-officedocument.drawingml.chart+xml"/>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showInkAnnotation="0" autoCompressPictures="0"/>
  <mc:AlternateContent xmlns:mc="http://schemas.openxmlformats.org/markup-compatibility/2006">
    <mc:Choice Requires="x15">
      <x15ac:absPath xmlns:x15ac="http://schemas.microsoft.com/office/spreadsheetml/2010/11/ac" url="/Users/zucman/Dropbox/TorslovEtal17/OnlineFiles/August2021/"/>
    </mc:Choice>
  </mc:AlternateContent>
  <xr:revisionPtr revIDLastSave="0" documentId="13_ncr:1_{89342117-AE1A-AE49-9428-D61F14DF3128}" xr6:coauthVersionLast="47" xr6:coauthVersionMax="47" xr10:uidLastSave="{00000000-0000-0000-0000-000000000000}"/>
  <bookViews>
    <workbookView xWindow="180" yWindow="500" windowWidth="28620" windowHeight="16260" tabRatio="959" activeTab="1" xr2:uid="{00000000-000D-0000-FFFF-FFFF00000000}"/>
  </bookViews>
  <sheets>
    <sheet name="AppendixTables" sheetId="51" r:id="rId1"/>
    <sheet name="TableA1" sheetId="8" r:id="rId2"/>
    <sheet name="TableA2" sheetId="9" r:id="rId3"/>
    <sheet name="TableA2b" sheetId="36" r:id="rId4"/>
    <sheet name="TableA3" sheetId="10" r:id="rId5"/>
    <sheet name="TableA4" sheetId="12" r:id="rId6"/>
    <sheet name="TableA5" sheetId="13" r:id="rId7"/>
    <sheet name="TableA6" sheetId="19" r:id="rId8"/>
    <sheet name="TableA7" sheetId="17" r:id="rId9"/>
    <sheet name="TableA8" sheetId="20" r:id="rId10"/>
    <sheet name="TableA9" sheetId="25" r:id="rId11"/>
    <sheet name="TableA10" sheetId="30" r:id="rId12"/>
    <sheet name="TableA10b" sheetId="53" r:id="rId13"/>
    <sheet name="TableA11" sheetId="26" r:id="rId14"/>
    <sheet name="TableA11b" sheetId="54" r:id="rId15"/>
    <sheet name="TableA12" sheetId="273" r:id="rId16"/>
    <sheet name="TableB1" sheetId="60" r:id="rId17"/>
    <sheet name="TableB1b" sheetId="140" r:id="rId18"/>
    <sheet name="TableB2" sheetId="21" r:id="rId19"/>
    <sheet name="TableB3" sheetId="15" r:id="rId20"/>
    <sheet name="TableB4" sheetId="14" r:id="rId21"/>
    <sheet name="TableB5" sheetId="23" r:id="rId22"/>
    <sheet name="TableB6" sheetId="24" r:id="rId23"/>
    <sheet name="TableB7" sheetId="27" r:id="rId24"/>
    <sheet name="TableB8" sheetId="28" r:id="rId25"/>
    <sheet name="TableB9" sheetId="29" r:id="rId26"/>
    <sheet name="TableB10" sheetId="59" r:id="rId27"/>
    <sheet name="TableB11" sheetId="102" r:id="rId28"/>
    <sheet name="TableB12a" sheetId="188" r:id="rId29"/>
    <sheet name="TableB12b" sheetId="187" r:id="rId30"/>
    <sheet name="TableC1" sheetId="98" r:id="rId31"/>
    <sheet name="TableC2" sheetId="99" r:id="rId32"/>
    <sheet name="TableC3" sheetId="100" r:id="rId33"/>
    <sheet name="TableC4" sheetId="101" r:id="rId34"/>
    <sheet name="TableC4b" sheetId="126" r:id="rId35"/>
    <sheet name="TableC4c" sheetId="127" r:id="rId36"/>
    <sheet name="TableC4d" sheetId="128" r:id="rId37"/>
    <sheet name="TableC4e" sheetId="154" r:id="rId38"/>
    <sheet name="TableC4x" sheetId="270" r:id="rId39"/>
    <sheet name="TableC5" sheetId="116" r:id="rId40"/>
    <sheet name="TableC5b" sheetId="257" r:id="rId41"/>
    <sheet name="TableC6" sheetId="162" r:id="rId42"/>
    <sheet name="TableC7" sheetId="271" r:id="rId43"/>
    <sheet name="TableD1a" sheetId="160" r:id="rId44"/>
    <sheet name="TableD1b" sheetId="155" r:id="rId45"/>
    <sheet name="TableD2" sheetId="163" r:id="rId46"/>
    <sheet name="TableD2(aux)" sheetId="256" r:id="rId47"/>
    <sheet name="Table E1" sheetId="260" r:id="rId48"/>
    <sheet name="Table E2 " sheetId="259" r:id="rId49"/>
    <sheet name="Table E3" sheetId="261" r:id="rId50"/>
    <sheet name="TableE4" sheetId="268" r:id="rId51"/>
    <sheet name="TableF1a" sheetId="166" r:id="rId52"/>
    <sheet name="TableF1b" sheetId="167" r:id="rId53"/>
    <sheet name="TableF1c" sheetId="174" r:id="rId54"/>
    <sheet name="TableF2" sheetId="168" r:id="rId55"/>
    <sheet name="TableF3" sheetId="179" r:id="rId56"/>
    <sheet name="Table G1" sheetId="262" r:id="rId57"/>
    <sheet name="Table G2" sheetId="263" r:id="rId58"/>
    <sheet name="Table G3" sheetId="264" r:id="rId59"/>
    <sheet name="Table G4" sheetId="265" r:id="rId60"/>
    <sheet name="Table G5" sheetId="266" r:id="rId61"/>
    <sheet name="TableH1" sheetId="272" r:id="rId62"/>
    <sheet name="TableH1b" sheetId="269" r:id="rId63"/>
    <sheet name="US CBCR 2016" sheetId="267" r:id="rId64"/>
    <sheet name="Disc. 1" sheetId="184" r:id="rId65"/>
    <sheet name="Disc. 2" sheetId="185" r:id="rId66"/>
  </sheets>
  <externalReferences>
    <externalReference r:id="rId67"/>
    <externalReference r:id="rId68"/>
  </externalReferences>
  <definedNames>
    <definedName name="_1_" localSheetId="16">#REF!</definedName>
    <definedName name="_1_" localSheetId="39">#REF!</definedName>
    <definedName name="_1_" localSheetId="40">#REF!</definedName>
    <definedName name="_1_">#REF!</definedName>
    <definedName name="A2298668K">[1]AustralianNA2!$DF$1:$DF$10,[1]AustralianNA2!$DF$12:$DF$244</definedName>
    <definedName name="A2298668K_Data">[1]AustralianNA2!$DF$12:$DF$244</definedName>
    <definedName name="A2298668K_Latest">[1]AustralianNA2!$DF$244</definedName>
    <definedName name="A2298677L">[1]AustralianNA!$Z$1:$Z$10,[1]AustralianNA!$Z$12:$Z$244</definedName>
    <definedName name="A2298677L_Data">[1]AustralianNA!$Z$12:$Z$244</definedName>
    <definedName name="A2298677L_Latest">[1]AustralianNA!$Z$244</definedName>
    <definedName name="A2298678R">[1]AustralianNA!$BE$1:$BE$10,[1]AustralianNA!$BE$12:$BE$244</definedName>
    <definedName name="A2298678R_Data">[1]AustralianNA!$BE$12:$BE$244</definedName>
    <definedName name="A2298678R_Latest">[1]AustralianNA!$BE$244</definedName>
    <definedName name="A2298709V">[1]AustralianNA!$J$1:$J$10,[1]AustralianNA!$J$11:$J$244</definedName>
    <definedName name="A2298709V_Data">[1]AustralianNA!$J$11:$J$244</definedName>
    <definedName name="A2298709V_Latest">[1]AustralianNA!$J$244</definedName>
    <definedName name="A2298711F">[1]AustralianNA!$BT$1:$BT$10,[1]AustralianNA!$BT$11:$BT$244</definedName>
    <definedName name="A2298711F_Data">[1]AustralianNA!$BT$11:$BT$244</definedName>
    <definedName name="A2298711F_Latest">[1]AustralianNA!$BT$244</definedName>
    <definedName name="A2298712J">[1]AustralianNA!$AO$1:$AO$10,[1]AustralianNA!$AO$11:$AO$244</definedName>
    <definedName name="A2298712J_Data">[1]AustralianNA!$AO$11:$AO$244</definedName>
    <definedName name="A2298712J_Latest">[1]AustralianNA!$AO$244</definedName>
    <definedName name="A2298714L">[1]AustralianNA!$CF$1:$CF$10,[1]AustralianNA!$CF$11:$CF$243</definedName>
    <definedName name="A2298714L_Data">[1]AustralianNA!$CF$11:$CF$243</definedName>
    <definedName name="A2298714L_Latest">[1]AustralianNA!$CF$243</definedName>
    <definedName name="A2302356K">[1]AustralianNA3!$U$1:$U$10,[1]AustralianNA3!$U$71:$U$244</definedName>
    <definedName name="A2302356K_Data">[1]AustralianNA3!$U$71:$U$244</definedName>
    <definedName name="A2302356K_Latest">[1]AustralianNA3!$U$244</definedName>
    <definedName name="A2302358R">[1]AustralianNA3!$W$1:$W$10,[1]AustralianNA3!$W$11:$W$244</definedName>
    <definedName name="A2302358R_Data">[1]AustralianNA3!$W$11:$W$244</definedName>
    <definedName name="A2302358R_Latest">[1]AustralianNA3!$W$244</definedName>
    <definedName name="A2302397F">[1]AustralianNA3!$BX$1:$BX$10,[1]AustralianNA3!$BX$72:$BX$244</definedName>
    <definedName name="A2302397F_Data">[1]AustralianNA3!$BX$72:$BX$244</definedName>
    <definedName name="A2302397F_Latest">[1]AustralianNA3!$BX$244</definedName>
    <definedName name="A2302399K">[1]AustralianNA!$BL$1:$BL$10,[1]AustralianNA!$BL$107:$BL$244</definedName>
    <definedName name="A2302399K_Data">[1]AustralianNA!$BL$107:$BL$244</definedName>
    <definedName name="A2302399K_Latest">[1]AustralianNA!$BL$244</definedName>
    <definedName name="A2302400J">[1]AustralianNA!$BM$1:$BM$10,[1]AustralianNA!$BM$107:$BM$244</definedName>
    <definedName name="A2302400J_Data">[1]AustralianNA!$BM$107:$BM$244</definedName>
    <definedName name="A2302400J_Latest">[1]AustralianNA!$BM$244</definedName>
    <definedName name="A2302401K">[1]AustralianNA!$BN$1:$BN$10,[1]AustralianNA!$BN$11:$BN$244</definedName>
    <definedName name="A2302401K_Data">[1]AustralianNA!$BN$11:$BN$244</definedName>
    <definedName name="A2302401K_Latest">[1]AustralianNA!$BN$244</definedName>
    <definedName name="A2302403R">[1]AustralianNA!$BP$1:$BP$10,[1]AustralianNA!$BP$11:$BP$244</definedName>
    <definedName name="A2302403R_Data">[1]AustralianNA!$BP$11:$BP$244</definedName>
    <definedName name="A2302403R_Latest">[1]AustralianNA!$BP$244</definedName>
    <definedName name="A2302404T">[1]AustralianNA!$BQ$1:$BQ$10,[1]AustralianNA!$BQ$11:$BQ$244</definedName>
    <definedName name="A2302404T_Data">[1]AustralianNA!$BQ$11:$BQ$244</definedName>
    <definedName name="A2302404T_Latest">[1]AustralianNA!$BQ$244</definedName>
    <definedName name="A2302405V">[1]AustralianNA!$BR$1:$BR$10,[1]AustralianNA!$BR$11:$BR$244</definedName>
    <definedName name="A2302405V_Data">[1]AustralianNA!$BR$11:$BR$244</definedName>
    <definedName name="A2302405V_Latest">[1]AustralianNA!$BR$244</definedName>
    <definedName name="A2302406W">[1]AustralianNA!$BS$1:$BS$10,[1]AustralianNA!$BS$11:$BS$244</definedName>
    <definedName name="A2302406W_Data">[1]AustralianNA!$BS$11:$BS$244</definedName>
    <definedName name="A2302406W_Latest">[1]AustralianNA!$BS$244</definedName>
    <definedName name="A2302408A">[1]AustralianNA!$BU$1:$BU$10,[1]AustralianNA!$BU$11:$BU$244</definedName>
    <definedName name="A2302408A_Data">[1]AustralianNA!$BU$11:$BU$244</definedName>
    <definedName name="A2302408A_Latest">[1]AustralianNA!$BU$244</definedName>
    <definedName name="A2302409C">[1]AustralianNA!$BV$1:$BV$10,[1]AustralianNA!$BV$11:$BV$244</definedName>
    <definedName name="A2302409C_Data">[1]AustralianNA!$BV$11:$BV$244</definedName>
    <definedName name="A2302409C_Latest">[1]AustralianNA!$BV$244</definedName>
    <definedName name="A2302410L">[1]AustralianNA!$BW$1:$BW$10,[1]AustralianNA!$BW$11:$BW$244</definedName>
    <definedName name="A2302410L_Data">[1]AustralianNA!$BW$11:$BW$244</definedName>
    <definedName name="A2302410L_Latest">[1]AustralianNA!$BW$244</definedName>
    <definedName name="A2302411R">[1]AustralianNA!$BX$1:$BX$10,[1]AustralianNA!$BX$11:$BX$244</definedName>
    <definedName name="A2302411R_Data">[1]AustralianNA!$BX$11:$BX$244</definedName>
    <definedName name="A2302411R_Latest">[1]AustralianNA!$BX$244</definedName>
    <definedName name="A2302412T">[1]AustralianNA!$BY$1:$BY$10,[1]AustralianNA!$BY$11:$BY$244</definedName>
    <definedName name="A2302412T_Data">[1]AustralianNA!$BY$11:$BY$244</definedName>
    <definedName name="A2302412T_Latest">[1]AustralianNA!$BY$244</definedName>
    <definedName name="A2302413V">[1]AustralianNA!$BZ$1:$BZ$10,[1]AustralianNA!$BZ$11:$BZ$244</definedName>
    <definedName name="A2302413V_Data">[1]AustralianNA!$BZ$11:$BZ$244</definedName>
    <definedName name="A2302413V_Latest">[1]AustralianNA!$BZ$244</definedName>
    <definedName name="A2302459A">[1]AustralianNA3!$X$1:$X$10,[1]AustralianNA3!$X$11:$X$244</definedName>
    <definedName name="A2302459A_Data">[1]AustralianNA3!$X$11:$X$244</definedName>
    <definedName name="A2302459A_Latest">[1]AustralianNA3!$X$244</definedName>
    <definedName name="A2302467A">[1]AustralianNA!$CA$1:$CA$10,[1]AustralianNA!$CA$11:$CA$244</definedName>
    <definedName name="A2302467A_Data">[1]AustralianNA!$CA$11:$CA$244</definedName>
    <definedName name="A2302467A_Latest">[1]AustralianNA!$CA$244</definedName>
    <definedName name="A2302642X">[1]AustralianNA3!$CW$1:$CW$10,[1]AustralianNA3!$CW$12:$CW$243</definedName>
    <definedName name="A2302642X_Data">[1]AustralianNA3!$CW$12:$CW$243</definedName>
    <definedName name="A2302642X_Latest">[1]AustralianNA3!$CW$243</definedName>
    <definedName name="A2302664L">[1]AustralianNA!$CM$1:$CM$10,[1]AustralianNA!$CM$11:$CM$243</definedName>
    <definedName name="A2302664L_Data">[1]AustralianNA!$CM$11:$CM$243</definedName>
    <definedName name="A2302664L_Latest">[1]AustralianNA!$CM$243</definedName>
    <definedName name="A2302665R">[1]AustralianNA!$CB$1:$CB$10,[1]AustralianNA!$CB$11:$CB$243</definedName>
    <definedName name="A2302665R_Data">[1]AustralianNA!$CB$11:$CB$243</definedName>
    <definedName name="A2302665R_Latest">[1]AustralianNA!$CB$243</definedName>
    <definedName name="A2302667V">[1]AustralianNA!$CD$1:$CD$10,[1]AustralianNA!$CD$11:$CD$243</definedName>
    <definedName name="A2302667V_Data">[1]AustralianNA!$CD$11:$CD$243</definedName>
    <definedName name="A2302667V_Latest">[1]AustralianNA!$CD$243</definedName>
    <definedName name="A2302668W">[1]AustralianNA!$CE$1:$CE$10,[1]AustralianNA!$CE$11:$CE$243</definedName>
    <definedName name="A2302668W_Data">[1]AustralianNA!$CE$11:$CE$243</definedName>
    <definedName name="A2302668W_Latest">[1]AustralianNA!$CE$243</definedName>
    <definedName name="A2302670J">[1]AustralianNA!$CG$1:$CG$10,[1]AustralianNA!$CG$11:$CG$243</definedName>
    <definedName name="A2302670J_Data">[1]AustralianNA!$CG$11:$CG$243</definedName>
    <definedName name="A2302670J_Latest">[1]AustralianNA!$CG$243</definedName>
    <definedName name="A2302671K">[1]AustralianNA!$CH$1:$CH$10,[1]AustralianNA!$CH$11:$CH$243</definedName>
    <definedName name="A2302671K_Data">[1]AustralianNA!$CH$11:$CH$243</definedName>
    <definedName name="A2302671K_Latest">[1]AustralianNA!$CH$243</definedName>
    <definedName name="A2302672L">[1]AustralianNA!$CI$1:$CI$10,[1]AustralianNA!$CI$11:$CI$243</definedName>
    <definedName name="A2302672L_Data">[1]AustralianNA!$CI$11:$CI$243</definedName>
    <definedName name="A2302672L_Latest">[1]AustralianNA!$CI$243</definedName>
    <definedName name="A2302673R">[1]AustralianNA!$CJ$1:$CJ$10,[1]AustralianNA!$CJ$11:$CJ$243</definedName>
    <definedName name="A2302673R_Data">[1]AustralianNA!$CJ$11:$CJ$243</definedName>
    <definedName name="A2302673R_Latest">[1]AustralianNA!$CJ$243</definedName>
    <definedName name="A2302674T">[1]AustralianNA!$CK$1:$CK$10,[1]AustralianNA!$CK$11:$CK$243</definedName>
    <definedName name="A2302674T_Data">[1]AustralianNA!$CK$11:$CK$243</definedName>
    <definedName name="A2302674T_Latest">[1]AustralianNA!$CK$243</definedName>
    <definedName name="A2302675V">[1]AustralianNA!$CL$1:$CL$10,[1]AustralianNA!$CL$11:$CL$243</definedName>
    <definedName name="A2302675V_Data">[1]AustralianNA!$CL$11:$CL$243</definedName>
    <definedName name="A2302675V_Latest">[1]AustralianNA!$CL$243</definedName>
    <definedName name="A2302694A">[1]AustralianNA3!$CU$1:$CU$10,[1]AustralianNA3!$CU$72:$CU$243</definedName>
    <definedName name="A2302694A_Data">[1]AustralianNA3!$CU$72:$CU$243</definedName>
    <definedName name="A2302694A_Latest">[1]AustralianNA3!$CU$243</definedName>
    <definedName name="A2303325L">[1]AustralianNA!$P$1:$P$10,[1]AustralianNA!$P$11:$P$244</definedName>
    <definedName name="A2303325L_Data">[1]AustralianNA!$P$11:$P$244</definedName>
    <definedName name="A2303325L_Latest">[1]AustralianNA!$P$244</definedName>
    <definedName name="A2303327T">[1]AustralianNA!$R$1:$R$10,[1]AustralianNA!$R$108:$R$244</definedName>
    <definedName name="A2303327T_Data">[1]AustralianNA!$R$108:$R$244</definedName>
    <definedName name="A2303327T_Latest">[1]AustralianNA!$R$244</definedName>
    <definedName name="A2303329W">[1]AustralianNA!$S$1:$S$10,[1]AustralianNA!$S$108:$S$244</definedName>
    <definedName name="A2303329W_Data">[1]AustralianNA!$S$108:$S$244</definedName>
    <definedName name="A2303329W_Latest">[1]AustralianNA!$S$244</definedName>
    <definedName name="A2303331J">[1]AustralianNA!$T$1:$T$10,[1]AustralianNA!$T$12:$T$244</definedName>
    <definedName name="A2303331J_Data">[1]AustralianNA!$T$12:$T$244</definedName>
    <definedName name="A2303331J_Latest">[1]AustralianNA!$T$244</definedName>
    <definedName name="A2303335T">[1]AustralianNA!$V$1:$V$10,[1]AustralianNA!$V$12:$V$244</definedName>
    <definedName name="A2303335T_Data">[1]AustralianNA!$V$12:$V$244</definedName>
    <definedName name="A2303335T_Latest">[1]AustralianNA!$V$244</definedName>
    <definedName name="A2303337W">[1]AustralianNA!$W$1:$W$10,[1]AustralianNA!$W$12:$W$244</definedName>
    <definedName name="A2303337W_Data">[1]AustralianNA!$W$12:$W$244</definedName>
    <definedName name="A2303337W_Latest">[1]AustralianNA!$W$244</definedName>
    <definedName name="A2303339A">[1]AustralianNA!$X$1:$X$10,[1]AustralianNA!$X$12:$X$244</definedName>
    <definedName name="A2303339A_Data">[1]AustralianNA!$X$12:$X$244</definedName>
    <definedName name="A2303339A_Latest">[1]AustralianNA!$X$244</definedName>
    <definedName name="A2303341L">[1]AustralianNA!$Y$1:$Y$10,[1]AustralianNA!$Y$12:$Y$244</definedName>
    <definedName name="A2303341L_Data">[1]AustralianNA!$Y$12:$Y$244</definedName>
    <definedName name="A2303341L_Latest">[1]AustralianNA!$Y$244</definedName>
    <definedName name="A2303345W">[1]AustralianNA!$AA$1:$AA$10,[1]AustralianNA!$AA$12:$AA$244</definedName>
    <definedName name="A2303345W_Data">[1]AustralianNA!$AA$12:$AA$244</definedName>
    <definedName name="A2303345W_Latest">[1]AustralianNA!$AA$244</definedName>
    <definedName name="A2303347A">[1]AustralianNA!$AB$1:$AB$10,[1]AustralianNA!$AB$12:$AB$244</definedName>
    <definedName name="A2303347A_Data">[1]AustralianNA!$AB$12:$AB$244</definedName>
    <definedName name="A2303347A_Latest">[1]AustralianNA!$AB$244</definedName>
    <definedName name="A2303349F">[1]AustralianNA!$AC$1:$AC$10,[1]AustralianNA!$AC$12:$AC$244</definedName>
    <definedName name="A2303349F_Data">[1]AustralianNA!$AC$12:$AC$244</definedName>
    <definedName name="A2303349F_Latest">[1]AustralianNA!$AC$244</definedName>
    <definedName name="A2303351T">[1]AustralianNA!$AD$1:$AD$10,[1]AustralianNA!$AD$12:$AD$244</definedName>
    <definedName name="A2303351T_Data">[1]AustralianNA!$AD$12:$AD$244</definedName>
    <definedName name="A2303351T_Latest">[1]AustralianNA!$AD$244</definedName>
    <definedName name="A2303353W">[1]AustralianNA!$AE$1:$AE$10,[1]AustralianNA!$AE$12:$AE$244</definedName>
    <definedName name="A2303353W_Data">[1]AustralianNA!$AE$12:$AE$244</definedName>
    <definedName name="A2303353W_Latest">[1]AustralianNA!$AE$244</definedName>
    <definedName name="A2303355A">[1]AustralianNA!$AG$1:$AG$10,[1]AustralianNA!$AG$107:$AG$244</definedName>
    <definedName name="A2303355A_Data">[1]AustralianNA!$AG$107:$AG$244</definedName>
    <definedName name="A2303355A_Latest">[1]AustralianNA!$AG$244</definedName>
    <definedName name="A2303357F">[1]AustralianNA!$AH$1:$AH$10,[1]AustralianNA!$AH$107:$AH$244</definedName>
    <definedName name="A2303357F_Data">[1]AustralianNA!$AH$107:$AH$244</definedName>
    <definedName name="A2303357F_Latest">[1]AustralianNA!$AH$244</definedName>
    <definedName name="A2303359K">[1]AustralianNA!$AI$1:$AI$10,[1]AustralianNA!$AI$11:$AI$244</definedName>
    <definedName name="A2303359K_Data">[1]AustralianNA!$AI$11:$AI$244</definedName>
    <definedName name="A2303359K_Latest">[1]AustralianNA!$AI$244</definedName>
    <definedName name="A2303363A">[1]AustralianNA!$AK$1:$AK$10,[1]AustralianNA!$AK$11:$AK$244</definedName>
    <definedName name="A2303363A_Data">[1]AustralianNA!$AK$11:$AK$244</definedName>
    <definedName name="A2303363A_Latest">[1]AustralianNA!$AK$244</definedName>
    <definedName name="A2303365F">[1]AustralianNA!$AL$1:$AL$10,[1]AustralianNA!$AL$11:$AL$244</definedName>
    <definedName name="A2303365F_Data">[1]AustralianNA!$AL$11:$AL$244</definedName>
    <definedName name="A2303365F_Latest">[1]AustralianNA!$AL$244</definedName>
    <definedName name="A2303367K">[1]AustralianNA!$AM$1:$AM$10,[1]AustralianNA!$AM$11:$AM$244</definedName>
    <definedName name="A2303367K_Data">[1]AustralianNA!$AM$11:$AM$244</definedName>
    <definedName name="A2303367K_Latest">[1]AustralianNA!$AM$244</definedName>
    <definedName name="A2303369R">[1]AustralianNA!$AN$1:$AN$10,[1]AustralianNA!$AN$11:$AN$244</definedName>
    <definedName name="A2303369R_Data">[1]AustralianNA!$AN$11:$AN$244</definedName>
    <definedName name="A2303369R_Latest">[1]AustralianNA!$AN$244</definedName>
    <definedName name="A2303373F">[1]AustralianNA!$AP$1:$AP$10,[1]AustralianNA!$AP$11:$AP$244</definedName>
    <definedName name="A2303373F_Data">[1]AustralianNA!$AP$11:$AP$244</definedName>
    <definedName name="A2303373F_Latest">[1]AustralianNA!$AP$244</definedName>
    <definedName name="A2303375K">[1]AustralianNA!$AQ$1:$AQ$10,[1]AustralianNA!$AQ$11:$AQ$244</definedName>
    <definedName name="A2303375K_Data">[1]AustralianNA!$AQ$11:$AQ$244</definedName>
    <definedName name="A2303375K_Latest">[1]AustralianNA!$AQ$244</definedName>
    <definedName name="A2303377R">[1]AustralianNA!$AR$1:$AR$10,[1]AustralianNA!$AR$11:$AR$244</definedName>
    <definedName name="A2303377R_Data">[1]AustralianNA!$AR$11:$AR$244</definedName>
    <definedName name="A2303377R_Latest">[1]AustralianNA!$AR$244</definedName>
    <definedName name="A2303379V">[1]AustralianNA!$AS$1:$AS$10,[1]AustralianNA!$AS$11:$AS$244</definedName>
    <definedName name="A2303379V_Data">[1]AustralianNA!$AS$11:$AS$244</definedName>
    <definedName name="A2303379V_Latest">[1]AustralianNA!$AS$244</definedName>
    <definedName name="A2303381F">[1]AustralianNA!$AT$1:$AT$10,[1]AustralianNA!$AT$11:$AT$244</definedName>
    <definedName name="A2303381F_Data">[1]AustralianNA!$AT$11:$AT$244</definedName>
    <definedName name="A2303381F_Latest">[1]AustralianNA!$AT$244</definedName>
    <definedName name="A2303383K">[1]AustralianNA!$AU$1:$AU$10,[1]AustralianNA!$AU$11:$AU$244</definedName>
    <definedName name="A2303383K_Data">[1]AustralianNA!$AU$11:$AU$244</definedName>
    <definedName name="A2303383K_Latest">[1]AustralianNA!$AU$244</definedName>
    <definedName name="A2303385R">[1]AustralianNA!$AW$1:$AW$10,[1]AustralianNA!$AW$108:$AW$244</definedName>
    <definedName name="A2303385R_Data">[1]AustralianNA!$AW$108:$AW$244</definedName>
    <definedName name="A2303385R_Latest">[1]AustralianNA!$AW$244</definedName>
    <definedName name="A2303387V">[1]AustralianNA!$AX$1:$AX$10,[1]AustralianNA!$AX$108:$AX$244</definedName>
    <definedName name="A2303387V_Data">[1]AustralianNA!$AX$108:$AX$244</definedName>
    <definedName name="A2303387V_Latest">[1]AustralianNA!$AX$244</definedName>
    <definedName name="A2303389X">[1]AustralianNA!$AY$1:$AY$10,[1]AustralianNA!$AY$12:$AY$244</definedName>
    <definedName name="A2303389X_Data">[1]AustralianNA!$AY$12:$AY$244</definedName>
    <definedName name="A2303389X_Latest">[1]AustralianNA!$AY$244</definedName>
    <definedName name="A2303393R">[1]AustralianNA!$BA$1:$BA$10,[1]AustralianNA!$BA$12:$BA$244</definedName>
    <definedName name="A2303393R_Data">[1]AustralianNA!$BA$12:$BA$244</definedName>
    <definedName name="A2303393R_Latest">[1]AustralianNA!$BA$244</definedName>
    <definedName name="A2303395V">[1]AustralianNA!$BB$1:$BB$10,[1]AustralianNA!$BB$12:$BB$244</definedName>
    <definedName name="A2303395V_Data">[1]AustralianNA!$BB$12:$BB$244</definedName>
    <definedName name="A2303395V_Latest">[1]AustralianNA!$BB$244</definedName>
    <definedName name="A2303397X">[1]AustralianNA!$BC$1:$BC$10,[1]AustralianNA!$BC$12:$BC$244</definedName>
    <definedName name="A2303397X_Data">[1]AustralianNA!$BC$12:$BC$244</definedName>
    <definedName name="A2303397X_Latest">[1]AustralianNA!$BC$244</definedName>
    <definedName name="A2303399C">[1]AustralianNA!$BD$1:$BD$10,[1]AustralianNA!$BD$12:$BD$244</definedName>
    <definedName name="A2303399C_Data">[1]AustralianNA!$BD$12:$BD$244</definedName>
    <definedName name="A2303399C_Latest">[1]AustralianNA!$BD$244</definedName>
    <definedName name="A2303403J">[1]AustralianNA!$BF$1:$BF$10,[1]AustralianNA!$BF$12:$BF$244</definedName>
    <definedName name="A2303403J_Data">[1]AustralianNA!$BF$12:$BF$244</definedName>
    <definedName name="A2303403J_Latest">[1]AustralianNA!$BF$244</definedName>
    <definedName name="A2303405L">[1]AustralianNA!$BG$1:$BG$10,[1]AustralianNA!$BG$12:$BG$244</definedName>
    <definedName name="A2303405L_Data">[1]AustralianNA!$BG$12:$BG$244</definedName>
    <definedName name="A2303405L_Latest">[1]AustralianNA!$BG$244</definedName>
    <definedName name="A2303407T">[1]AustralianNA!$BH$1:$BH$10,[1]AustralianNA!$BH$12:$BH$244</definedName>
    <definedName name="A2303407T_Data">[1]AustralianNA!$BH$12:$BH$244</definedName>
    <definedName name="A2303407T_Latest">[1]AustralianNA!$BH$244</definedName>
    <definedName name="A2303409W">[1]AustralianNA!$BI$1:$BI$10,[1]AustralianNA!$BI$12:$BI$244</definedName>
    <definedName name="A2303409W_Data">[1]AustralianNA!$BI$12:$BI$244</definedName>
    <definedName name="A2303409W_Latest">[1]AustralianNA!$BI$244</definedName>
    <definedName name="A2303411J">[1]AustralianNA!$BJ$1:$BJ$10,[1]AustralianNA!$BJ$12:$BJ$244</definedName>
    <definedName name="A2303411J_Data">[1]AustralianNA!$BJ$12:$BJ$244</definedName>
    <definedName name="A2303411J_Latest">[1]AustralianNA!$BJ$244</definedName>
    <definedName name="A2303469X">[1]AustralianNA2!$FF$1:$FF$10,[1]AustralianNA2!$FF$71:$FF$244</definedName>
    <definedName name="A2303469X_Data">[1]AustralianNA2!$FF$71:$FF$244</definedName>
    <definedName name="A2303469X_Latest">[1]AustralianNA2!$FF$244</definedName>
    <definedName name="A2303471K">[1]AustralianNA2!$FH$1:$FH$10,[1]AustralianNA2!$FH$11:$FH$244</definedName>
    <definedName name="A2303471K_Data">[1]AustralianNA2!$FH$11:$FH$244</definedName>
    <definedName name="A2303471K_Latest">[1]AustralianNA2!$FH$244</definedName>
    <definedName name="A2303548W">[1]AustralianNA2!$HI$1:$HI$10,[1]AustralianNA2!$HI$72:$HI$244</definedName>
    <definedName name="A2303548W_Data">[1]AustralianNA2!$HI$72:$HI$244</definedName>
    <definedName name="A2303548W_Latest">[1]AustralianNA2!$HI$244</definedName>
    <definedName name="A2303552L">[1]AustralianNA!$B$1:$B$10,[1]AustralianNA!$B$107:$B$244</definedName>
    <definedName name="A2303552L_Data">[1]AustralianNA!$B$107:$B$244</definedName>
    <definedName name="A2303552L_Latest">[1]AustralianNA!$B$244</definedName>
    <definedName name="A2303554T">[1]AustralianNA!$C$1:$C$10,[1]AustralianNA!$C$107:$C$244</definedName>
    <definedName name="A2303554T_Data">[1]AustralianNA!$C$107:$C$244</definedName>
    <definedName name="A2303554T_Latest">[1]AustralianNA!$C$244</definedName>
    <definedName name="A2303556W">[1]AustralianNA!$D$1:$D$10,[1]AustralianNA!$D$11:$D$244</definedName>
    <definedName name="A2303556W_Data">[1]AustralianNA!$D$11:$D$244</definedName>
    <definedName name="A2303556W_Latest">[1]AustralianNA!$D$244</definedName>
    <definedName name="A2303560L">[1]AustralianNA!$F$1:$F$10,[1]AustralianNA!$F$11:$F$244</definedName>
    <definedName name="A2303560L_Data">[1]AustralianNA!$F$11:$F$244</definedName>
    <definedName name="A2303560L_Latest">[1]AustralianNA!$F$244</definedName>
    <definedName name="A2303562T">[1]AustralianNA!$G$1:$G$10,[1]AustralianNA!$G$11:$G$244</definedName>
    <definedName name="A2303562T_Data">[1]AustralianNA!$G$11:$G$244</definedName>
    <definedName name="A2303562T_Latest">[1]AustralianNA!$G$244</definedName>
    <definedName name="A2303564W">[1]AustralianNA!$H$1:$H$10,[1]AustralianNA!$H$11:$H$244</definedName>
    <definedName name="A2303564W_Data">[1]AustralianNA!$H$11:$H$244</definedName>
    <definedName name="A2303564W_Latest">[1]AustralianNA!$H$244</definedName>
    <definedName name="A2303566A">[1]AustralianNA!$I$1:$I$10,[1]AustralianNA!$I$11:$I$244</definedName>
    <definedName name="A2303566A_Data">[1]AustralianNA!$I$11:$I$244</definedName>
    <definedName name="A2303566A_Latest">[1]AustralianNA!$I$244</definedName>
    <definedName name="A2303570T">[1]AustralianNA!$K$1:$K$10,[1]AustralianNA!$K$11:$K$244</definedName>
    <definedName name="A2303570T_Data">[1]AustralianNA!$K$11:$K$244</definedName>
    <definedName name="A2303570T_Latest">[1]AustralianNA!$K$244</definedName>
    <definedName name="A2303572W">[1]AustralianNA!$L$1:$L$10,[1]AustralianNA!$L$11:$L$244</definedName>
    <definedName name="A2303572W_Data">[1]AustralianNA!$L$11:$L$244</definedName>
    <definedName name="A2303572W_Latest">[1]AustralianNA!$L$244</definedName>
    <definedName name="A2303574A">[1]AustralianNA!$M$1:$M$10,[1]AustralianNA!$M$11:$M$244</definedName>
    <definedName name="A2303574A_Data">[1]AustralianNA!$M$11:$M$244</definedName>
    <definedName name="A2303574A_Latest">[1]AustralianNA!$M$244</definedName>
    <definedName name="A2303576F">[1]AustralianNA!$N$1:$N$10,[1]AustralianNA!$N$11:$N$244</definedName>
    <definedName name="A2303576F_Data">[1]AustralianNA!$N$11:$N$244</definedName>
    <definedName name="A2303576F_Latest">[1]AustralianNA!$N$244</definedName>
    <definedName name="A2303578K">[1]AustralianNA!$O$1:$O$10,[1]AustralianNA!$O$11:$O$244</definedName>
    <definedName name="A2303578K_Data">[1]AustralianNA!$O$11:$O$244</definedName>
    <definedName name="A2303578K_Latest">[1]AustralianNA!$O$244</definedName>
    <definedName name="A2303599W">[1]AustralianNA2!$BA$1:$BA$10,[1]AustralianNA2!$BA$71:$BA$244</definedName>
    <definedName name="A2303599W_Data">[1]AustralianNA2!$BA$71:$BA$244</definedName>
    <definedName name="A2303599W_Latest">[1]AustralianNA2!$BA$244</definedName>
    <definedName name="A2303601W">[1]AustralianNA2!$BC$1:$BC$10,[1]AustralianNA2!$BC$11:$BC$244</definedName>
    <definedName name="A2303601W_Data">[1]AustralianNA2!$BC$11:$BC$244</definedName>
    <definedName name="A2303601W_Latest">[1]AustralianNA2!$BC$244</definedName>
    <definedName name="A2303678V">[1]AustralianNA2!$DD$1:$DD$10,[1]AustralianNA2!$DD$72:$DD$244</definedName>
    <definedName name="A2303678V_Data">[1]AustralianNA2!$DD$72:$DD$244</definedName>
    <definedName name="A2303678V_Latest">[1]AustralianNA2!$DD$244</definedName>
    <definedName name="A2304030W">[1]AustralianNA3!$BZ$1:$BZ$10,[1]AustralianNA3!$BZ$15:$BZ$244</definedName>
    <definedName name="A2304030W_Data">[1]AustralianNA3!$BZ$15:$BZ$244</definedName>
    <definedName name="A2304030W_Latest">[1]AustralianNA3!$BZ$244</definedName>
    <definedName name="A2304322X">[1]AustralianNA!$AF$1:$AF$10,[1]AustralianNA!$AF$12:$AF$244</definedName>
    <definedName name="A2304322X_Data">[1]AustralianNA!$AF$12:$AF$244</definedName>
    <definedName name="A2304322X_Latest">[1]AustralianNA!$AF$244</definedName>
    <definedName name="A2304334J">[1]AustralianNA2!$BD$1:$BD$10,[1]AustralianNA2!$BD$11:$BD$244</definedName>
    <definedName name="A2304334J_Data">[1]AustralianNA2!$BD$11:$BD$244</definedName>
    <definedName name="A2304334J_Latest">[1]AustralianNA2!$BD$244</definedName>
    <definedName name="A2304350J">[1]AustralianNA!$Q$1:$Q$10,[1]AustralianNA!$Q$11:$Q$244</definedName>
    <definedName name="A2304350J_Data">[1]AustralianNA!$Q$11:$Q$244</definedName>
    <definedName name="A2304350J_Latest">[1]AustralianNA!$Q$244</definedName>
    <definedName name="A2304370T">[1]AustralianNA2!$HK$1:$HK$10,[1]AustralianNA2!$HK$12:$HK$244</definedName>
    <definedName name="A2304370T_Data">[1]AustralianNA2!$HK$12:$HK$244</definedName>
    <definedName name="A2304370T_Latest">[1]AustralianNA2!$HK$244</definedName>
    <definedName name="A2304386K">[1]AustralianNA!$BK$1:$BK$10,[1]AustralianNA!$BK$12:$BK$244</definedName>
    <definedName name="A2304386K_Data">[1]AustralianNA!$BK$12:$BK$244</definedName>
    <definedName name="A2304386K_Latest">[1]AustralianNA!$BK$244</definedName>
    <definedName name="A2304402X">[1]AustralianNA2!$FI$1:$FI$10,[1]AustralianNA2!$FI$11:$FI$244</definedName>
    <definedName name="A2304402X_Data">[1]AustralianNA2!$FI$11:$FI$244</definedName>
    <definedName name="A2304402X_Latest">[1]AustralianNA2!$FI$244</definedName>
    <definedName name="A2304418T">[1]AustralianNA!$AV$1:$AV$10,[1]AustralianNA!$AV$11:$AV$244</definedName>
    <definedName name="A2304418T_Data">[1]AustralianNA!$AV$11:$AV$244</definedName>
    <definedName name="A2304418T_Latest">[1]AustralianNA!$AV$244</definedName>
    <definedName name="A2323348A">[1]AustralianNA3!$V$1:$V$10,[1]AustralianNA3!$V$71:$V$244</definedName>
    <definedName name="A2323348A_Data">[1]AustralianNA3!$V$71:$V$244</definedName>
    <definedName name="A2323348A_Latest">[1]AustralianNA3!$V$244</definedName>
    <definedName name="A2323349C">[1]AustralianNA3!$CV$1:$CV$10,[1]AustralianNA3!$CV$72:$CV$243</definedName>
    <definedName name="A2323349C_Data">[1]AustralianNA3!$CV$72:$CV$243</definedName>
    <definedName name="A2323349C_Latest">[1]AustralianNA3!$CV$243</definedName>
    <definedName name="A2323350L">[1]AustralianNA2!$HJ$1:$HJ$10,[1]AustralianNA2!$HJ$72:$HJ$244</definedName>
    <definedName name="A2323350L_Data">[1]AustralianNA2!$HJ$72:$HJ$244</definedName>
    <definedName name="A2323350L_Latest">[1]AustralianNA2!$HJ$244</definedName>
    <definedName name="A2323352T">[1]AustralianNA3!$BY$1:$BY$10,[1]AustralianNA3!$BY$72:$BY$244</definedName>
    <definedName name="A2323352T_Data">[1]AustralianNA3!$BY$72:$BY$244</definedName>
    <definedName name="A2323352T_Latest">[1]AustralianNA3!$BY$244</definedName>
    <definedName name="A2323353V">[1]AustralianNA2!$FG$1:$FG$10,[1]AustralianNA2!$FG$71:$FG$244</definedName>
    <definedName name="A2323353V_Data">[1]AustralianNA2!$FG$71:$FG$244</definedName>
    <definedName name="A2323353V_Latest">[1]AustralianNA2!$FG$244</definedName>
    <definedName name="A2323355X">[1]AustralianNA2!$DE$1:$DE$10,[1]AustralianNA2!$DE$72:$DE$244</definedName>
    <definedName name="A2323355X_Data">[1]AustralianNA2!$DE$72:$DE$244</definedName>
    <definedName name="A2323355X_Latest">[1]AustralianNA2!$DE$244</definedName>
    <definedName name="A2323358F">[1]AustralianNA2!$BB$1:$BB$10,[1]AustralianNA2!$BB$71:$BB$244</definedName>
    <definedName name="A2323358F_Data">[1]AustralianNA2!$BB$71:$BB$244</definedName>
    <definedName name="A2323358F_Latest">[1]AustralianNA2!$BB$244</definedName>
    <definedName name="A2323369L">[1]AustralianNA!$BO$1:$BO$10,[1]AustralianNA!$BO$11:$BO$244</definedName>
    <definedName name="A2323369L_Data">[1]AustralianNA!$BO$11:$BO$244</definedName>
    <definedName name="A2323369L_Latest">[1]AustralianNA!$BO$244</definedName>
    <definedName name="A2323370W">[1]AustralianNA!$AZ$1:$AZ$10,[1]AustralianNA!$AZ$12:$AZ$244</definedName>
    <definedName name="A2323370W_Data">[1]AustralianNA!$AZ$12:$AZ$244</definedName>
    <definedName name="A2323370W_Latest">[1]AustralianNA!$AZ$244</definedName>
    <definedName name="A2323372A">[1]AustralianNA!$AJ$1:$AJ$10,[1]AustralianNA!$AJ$11:$AJ$244</definedName>
    <definedName name="A2323372A_Data">[1]AustralianNA!$AJ$11:$AJ$244</definedName>
    <definedName name="A2323372A_Latest">[1]AustralianNA!$AJ$244</definedName>
    <definedName name="A2323374F">[1]AustralianNA!$CC$1:$CC$10,[1]AustralianNA!$CC$11:$CC$243</definedName>
    <definedName name="A2323374F_Data">[1]AustralianNA!$CC$11:$CC$243</definedName>
    <definedName name="A2323374F_Latest">[1]AustralianNA!$CC$243</definedName>
    <definedName name="A2323376K">[1]AustralianNA!$U$1:$U$10,[1]AustralianNA!$U$12:$U$244</definedName>
    <definedName name="A2323376K_Data">[1]AustralianNA!$U$12:$U$244</definedName>
    <definedName name="A2323376K_Latest">[1]AustralianNA!$U$244</definedName>
    <definedName name="A2323378R">[1]AustralianNA!$E$1:$E$10,[1]AustralianNA!$E$11:$E$244</definedName>
    <definedName name="A2323378R_Data">[1]AustralianNA!$E$11:$E$244</definedName>
    <definedName name="A2323378R_Latest">[1]AustralianNA!$E$244</definedName>
    <definedName name="A2529206X">[1]AustralianNA2!$AZ$1:$AZ$10,[1]AustralianNA2!$AZ$71:$AZ$244</definedName>
    <definedName name="A2529206X_Data">[1]AustralianNA2!$AZ$71:$AZ$244</definedName>
    <definedName name="A2529206X_Latest">[1]AustralianNA2!$AZ$244</definedName>
    <definedName name="A2529207A">[1]AustralianNA2!$DC$1:$DC$10,[1]AustralianNA2!$DC$72:$DC$244</definedName>
    <definedName name="A2529207A_Data">[1]AustralianNA2!$DC$72:$DC$244</definedName>
    <definedName name="A2529207A_Latest">[1]AustralianNA2!$DC$244</definedName>
    <definedName name="A2529209F">[1]AustralianNA2!$FE$1:$FE$10,[1]AustralianNA2!$FE$71:$FE$244</definedName>
    <definedName name="A2529209F_Data">[1]AustralianNA2!$FE$71:$FE$244</definedName>
    <definedName name="A2529209F_Latest">[1]AustralianNA2!$FE$244</definedName>
    <definedName name="A2529210R">[1]AustralianNA2!$HH$1:$HH$10,[1]AustralianNA2!$HH$72:$HH$244</definedName>
    <definedName name="A2529210R_Data">[1]AustralianNA2!$HH$72:$HH$244</definedName>
    <definedName name="A2529210R_Latest">[1]AustralianNA2!$HH$244</definedName>
    <definedName name="A2529212V">[1]AustralianNA3!$CT$1:$CT$10,[1]AustralianNA3!$CT$72:$CT$243</definedName>
    <definedName name="A2529212V_Data">[1]AustralianNA3!$CT$72:$CT$243</definedName>
    <definedName name="A2529212V_Latest">[1]AustralianNA3!$CT$243</definedName>
    <definedName name="A2529213W">[1]AustralianNA3!$T$1:$T$10,[1]AustralianNA3!$T$71:$T$244</definedName>
    <definedName name="A2529213W_Data">[1]AustralianNA3!$T$71:$T$244</definedName>
    <definedName name="A2529213W_Latest">[1]AustralianNA3!$T$244</definedName>
    <definedName name="A2529214X">[1]AustralianNA3!$BW$1:$BW$10,[1]AustralianNA3!$BW$72:$BW$244</definedName>
    <definedName name="A2529214X_Data">[1]AustralianNA3!$BW$72:$BW$244</definedName>
    <definedName name="A2529214X_Latest">[1]AustralianNA3!$BW$244</definedName>
    <definedName name="A2716003C">[1]AustralianNA3!$CA$1:$CA$10,[1]AustralianNA3!$CA$72:$CA$243</definedName>
    <definedName name="A2716003C_Data">[1]AustralianNA3!$CA$72:$CA$243</definedName>
    <definedName name="A2716003C_Latest">[1]AustralianNA3!$CA$243</definedName>
    <definedName name="A2716004F">[1]AustralianNA3!$CB$1:$CB$10,[1]AustralianNA3!$CB$72:$CB$243</definedName>
    <definedName name="A2716004F_Data">[1]AustralianNA3!$CB$72:$CB$243</definedName>
    <definedName name="A2716004F_Latest">[1]AustralianNA3!$CB$243</definedName>
    <definedName name="A2716005J">[1]AustralianNA3!$CC$1:$CC$10,[1]AustralianNA3!$CC$72:$CC$243</definedName>
    <definedName name="A2716005J_Data">[1]AustralianNA3!$CC$72:$CC$243</definedName>
    <definedName name="A2716005J_Latest">[1]AustralianNA3!$CC$243</definedName>
    <definedName name="A2716006K">[1]AustralianNA3!$CD$1:$CD$10,[1]AustralianNA3!$CD$72:$CD$243</definedName>
    <definedName name="A2716006K_Data">[1]AustralianNA3!$CD$72:$CD$243</definedName>
    <definedName name="A2716006K_Latest">[1]AustralianNA3!$CD$243</definedName>
    <definedName name="A2716007L">[1]AustralianNA3!$CE$1:$CE$10,[1]AustralianNA3!$CE$72:$CE$243</definedName>
    <definedName name="A2716007L_Data">[1]AustralianNA3!$CE$72:$CE$243</definedName>
    <definedName name="A2716007L_Latest">[1]AustralianNA3!$CE$243</definedName>
    <definedName name="A2716008R">[1]AustralianNA3!$CF$1:$CF$10,[1]AustralianNA3!$CF$72:$CF$243</definedName>
    <definedName name="A2716008R_Data">[1]AustralianNA3!$CF$72:$CF$243</definedName>
    <definedName name="A2716008R_Latest">[1]AustralianNA3!$CF$243</definedName>
    <definedName name="A2716009T">[1]AustralianNA3!$CG$1:$CG$10,[1]AustralianNA3!$CG$72:$CG$243</definedName>
    <definedName name="A2716009T_Data">[1]AustralianNA3!$CG$72:$CG$243</definedName>
    <definedName name="A2716009T_Latest">[1]AustralianNA3!$CG$243</definedName>
    <definedName name="A2716010A">[1]AustralianNA3!$CH$1:$CH$10,[1]AustralianNA3!$CH$72:$CH$243</definedName>
    <definedName name="A2716010A_Data">[1]AustralianNA3!$CH$72:$CH$243</definedName>
    <definedName name="A2716010A_Latest">[1]AustralianNA3!$CH$243</definedName>
    <definedName name="A2716011C">[1]AustralianNA3!$CI$1:$CI$10,[1]AustralianNA3!$CI$72:$CI$243</definedName>
    <definedName name="A2716011C_Data">[1]AustralianNA3!$CI$72:$CI$243</definedName>
    <definedName name="A2716011C_Latest">[1]AustralianNA3!$CI$243</definedName>
    <definedName name="A2716012F">[1]AustralianNA3!$CJ$1:$CJ$10,[1]AustralianNA3!$CJ$72:$CJ$243</definedName>
    <definedName name="A2716012F_Data">[1]AustralianNA3!$CJ$72:$CJ$243</definedName>
    <definedName name="A2716012F_Latest">[1]AustralianNA3!$CJ$243</definedName>
    <definedName name="A2716013J">[1]AustralianNA3!$CK$1:$CK$10,[1]AustralianNA3!$CK$72:$CK$243</definedName>
    <definedName name="A2716013J_Data">[1]AustralianNA3!$CK$72:$CK$243</definedName>
    <definedName name="A2716013J_Latest">[1]AustralianNA3!$CK$243</definedName>
    <definedName name="A2716014K">[1]AustralianNA3!$CL$1:$CL$10,[1]AustralianNA3!$CL$72:$CL$243</definedName>
    <definedName name="A2716014K_Data">[1]AustralianNA3!$CL$72:$CL$243</definedName>
    <definedName name="A2716014K_Latest">[1]AustralianNA3!$CL$243</definedName>
    <definedName name="A2716015L">[1]AustralianNA3!$CM$1:$CM$10,[1]AustralianNA3!$CM$72:$CM$243</definedName>
    <definedName name="A2716015L_Data">[1]AustralianNA3!$CM$72:$CM$243</definedName>
    <definedName name="A2716015L_Latest">[1]AustralianNA3!$CM$243</definedName>
    <definedName name="A2716016R">[1]AustralianNA3!$CN$1:$CN$10,[1]AustralianNA3!$CN$72:$CN$243</definedName>
    <definedName name="A2716016R_Data">[1]AustralianNA3!$CN$72:$CN$243</definedName>
    <definedName name="A2716016R_Latest">[1]AustralianNA3!$CN$243</definedName>
    <definedName name="A2716017T">[1]AustralianNA3!$CO$1:$CO$10,[1]AustralianNA3!$CO$72:$CO$243</definedName>
    <definedName name="A2716017T_Data">[1]AustralianNA3!$CO$72:$CO$243</definedName>
    <definedName name="A2716017T_Latest">[1]AustralianNA3!$CO$243</definedName>
    <definedName name="A2716018V">[1]AustralianNA3!$CP$1:$CP$10,[1]AustralianNA3!$CP$72:$CP$243</definedName>
    <definedName name="A2716018V_Data">[1]AustralianNA3!$CP$72:$CP$243</definedName>
    <definedName name="A2716018V_Latest">[1]AustralianNA3!$CP$243</definedName>
    <definedName name="A2716019W">[1]AustralianNA3!$CQ$1:$CQ$10,[1]AustralianNA3!$CQ$72:$CQ$243</definedName>
    <definedName name="A2716019W_Data">[1]AustralianNA3!$CQ$72:$CQ$243</definedName>
    <definedName name="A2716019W_Latest">[1]AustralianNA3!$CQ$243</definedName>
    <definedName name="A2716020F">[1]AustralianNA3!$CR$1:$CR$10,[1]AustralianNA3!$CR$72:$CR$243</definedName>
    <definedName name="A2716020F_Data">[1]AustralianNA3!$CR$72:$CR$243</definedName>
    <definedName name="A2716020F_Latest">[1]AustralianNA3!$CR$243</definedName>
    <definedName name="A2716021J">[1]AustralianNA3!$CS$1:$CS$10,[1]AustralianNA3!$CS$72:$CS$243</definedName>
    <definedName name="A2716021J_Data">[1]AustralianNA3!$CS$72:$CS$243</definedName>
    <definedName name="A2716021J_Latest">[1]AustralianNA3!$CS$243</definedName>
    <definedName name="A2716040R">[1]AustralianNA2!$FL$1:$FL$10,[1]AustralianNA2!$FL$72:$FL$244</definedName>
    <definedName name="A2716040R_Data">[1]AustralianNA2!$FL$72:$FL$244</definedName>
    <definedName name="A2716040R_Latest">[1]AustralianNA2!$FL$244</definedName>
    <definedName name="A2716041T">[1]AustralianNA2!$FJ$1:$FJ$10,[1]AustralianNA2!$FJ$72:$FJ$244</definedName>
    <definedName name="A2716041T_Data">[1]AustralianNA2!$FJ$72:$FJ$244</definedName>
    <definedName name="A2716041T_Latest">[1]AustralianNA2!$FJ$244</definedName>
    <definedName name="A2716042V">[1]AustralianNA2!$FK$1:$FK$10,[1]AustralianNA2!$FK$72:$FK$244</definedName>
    <definedName name="A2716042V_Data">[1]AustralianNA2!$FK$72:$FK$244</definedName>
    <definedName name="A2716042V_Latest">[1]AustralianNA2!$FK$244</definedName>
    <definedName name="A2716043W">[1]AustralianNA2!$FS$1:$FS$10,[1]AustralianNA2!$FS$72:$FS$244</definedName>
    <definedName name="A2716043W_Data">[1]AustralianNA2!$FS$72:$FS$244</definedName>
    <definedName name="A2716043W_Latest">[1]AustralianNA2!$FS$244</definedName>
    <definedName name="A2716044X">[1]AustralianNA2!$FR$1:$FR$10,[1]AustralianNA2!$FR$116:$FR$244</definedName>
    <definedName name="A2716044X_Data">[1]AustralianNA2!$FR$116:$FR$244</definedName>
    <definedName name="A2716044X_Latest">[1]AustralianNA2!$FR$244</definedName>
    <definedName name="A2716045A">[1]AustralianNA2!$FQ$1:$FQ$10,[1]AustralianNA2!$FQ$72:$FQ$244</definedName>
    <definedName name="A2716045A_Data">[1]AustralianNA2!$FQ$72:$FQ$244</definedName>
    <definedName name="A2716045A_Latest">[1]AustralianNA2!$FQ$244</definedName>
    <definedName name="A2716046C">[1]AustralianNA2!$FY$1:$FY$10,[1]AustralianNA2!$FY$72:$FY$244</definedName>
    <definedName name="A2716046C_Data">[1]AustralianNA2!$FY$72:$FY$244</definedName>
    <definedName name="A2716046C_Latest">[1]AustralianNA2!$FY$244</definedName>
    <definedName name="A2716047F">[1]AustralianNA2!$FT$1:$FT$10,[1]AustralianNA2!$FT$84:$FT$244</definedName>
    <definedName name="A2716047F_Data">[1]AustralianNA2!$FT$84:$FT$244</definedName>
    <definedName name="A2716047F_Latest">[1]AustralianNA2!$FT$244</definedName>
    <definedName name="A2716048J">[1]AustralianNA2!$FV$1:$FV$10,[1]AustralianNA2!$FV$84:$FV$244</definedName>
    <definedName name="A2716048J_Data">[1]AustralianNA2!$FV$84:$FV$244</definedName>
    <definedName name="A2716048J_Latest">[1]AustralianNA2!$FV$244</definedName>
    <definedName name="A2716049K">[1]AustralianNA2!$FW$1:$FW$10,[1]AustralianNA2!$FW$84:$FW$244</definedName>
    <definedName name="A2716049K_Data">[1]AustralianNA2!$FW$84:$FW$244</definedName>
    <definedName name="A2716049K_Latest">[1]AustralianNA2!$FW$244</definedName>
    <definedName name="A2716051W">[1]AustralianNA2!$FU$1:$FU$10,[1]AustralianNA2!$FU$84:$FU$244</definedName>
    <definedName name="A2716051W_Data">[1]AustralianNA2!$FU$84:$FU$244</definedName>
    <definedName name="A2716051W_Latest">[1]AustralianNA2!$FU$244</definedName>
    <definedName name="A2716055F">[1]AustralianNA2!$GC$1:$GC$10,[1]AustralianNA2!$GC$72:$GC$244</definedName>
    <definedName name="A2716055F_Data">[1]AustralianNA2!$GC$72:$GC$244</definedName>
    <definedName name="A2716055F_Latest">[1]AustralianNA2!$GC$244</definedName>
    <definedName name="A2716056J">[1]AustralianNA2!$FZ$1:$FZ$10,[1]AustralianNA2!$FZ$72:$FZ$244</definedName>
    <definedName name="A2716056J_Data">[1]AustralianNA2!$FZ$72:$FZ$244</definedName>
    <definedName name="A2716056J_Latest">[1]AustralianNA2!$FZ$244</definedName>
    <definedName name="A2716057K">[1]AustralianNA2!$GA$1:$GA$10,[1]AustralianNA2!$GA$72:$GA$244</definedName>
    <definedName name="A2716057K_Data">[1]AustralianNA2!$GA$72:$GA$244</definedName>
    <definedName name="A2716057K_Latest">[1]AustralianNA2!$GA$244</definedName>
    <definedName name="A2716058L">[1]AustralianNA2!$GB$1:$GB$10,[1]AustralianNA2!$GB$72:$GB$244</definedName>
    <definedName name="A2716058L_Data">[1]AustralianNA2!$GB$72:$GB$244</definedName>
    <definedName name="A2716058L_Latest">[1]AustralianNA2!$GB$244</definedName>
    <definedName name="A2716059R">[1]AustralianNA2!$GG$1:$GG$10,[1]AustralianNA2!$GG$72:$GG$244</definedName>
    <definedName name="A2716059R_Data">[1]AustralianNA2!$GG$72:$GG$244</definedName>
    <definedName name="A2716059R_Latest">[1]AustralianNA2!$GG$244</definedName>
    <definedName name="A2716060X">[1]AustralianNA2!$GH$1:$GH$10,[1]AustralianNA2!$GH$72:$GH$244</definedName>
    <definedName name="A2716060X_Data">[1]AustralianNA2!$GH$72:$GH$244</definedName>
    <definedName name="A2716060X_Latest">[1]AustralianNA2!$GH$244</definedName>
    <definedName name="A2716061A">[1]AustralianNA2!$GI$1:$GI$10,[1]AustralianNA2!$GI$72:$GI$244</definedName>
    <definedName name="A2716061A_Data">[1]AustralianNA2!$GI$72:$GI$244</definedName>
    <definedName name="A2716061A_Latest">[1]AustralianNA2!$GI$244</definedName>
    <definedName name="A2716062C">[1]AustralianNA2!$GJ$1:$GJ$10,[1]AustralianNA2!$GJ$72:$GJ$244</definedName>
    <definedName name="A2716062C_Data">[1]AustralianNA2!$GJ$72:$GJ$244</definedName>
    <definedName name="A2716062C_Latest">[1]AustralianNA2!$GJ$244</definedName>
    <definedName name="A2716063F">[1]AustralianNA2!$GO$1:$GO$10,[1]AustralianNA2!$GO$72:$GO$244</definedName>
    <definedName name="A2716063F_Data">[1]AustralianNA2!$GO$72:$GO$244</definedName>
    <definedName name="A2716063F_Latest">[1]AustralianNA2!$GO$244</definedName>
    <definedName name="A2716064J">[1]AustralianNA2!$GL$1:$GL$10,[1]AustralianNA2!$GL$72:$GL$244</definedName>
    <definedName name="A2716064J_Data">[1]AustralianNA2!$GL$72:$GL$244</definedName>
    <definedName name="A2716064J_Latest">[1]AustralianNA2!$GL$244</definedName>
    <definedName name="A2716067R">[1]AustralianNA2!$GN$1:$GN$10,[1]AustralianNA2!$GN$72:$GN$244</definedName>
    <definedName name="A2716067R_Data">[1]AustralianNA2!$GN$72:$GN$244</definedName>
    <definedName name="A2716067R_Latest">[1]AustralianNA2!$GN$244</definedName>
    <definedName name="A2716068T">[1]AustralianNA2!$GR$1:$GR$10,[1]AustralianNA2!$GR$72:$GR$244</definedName>
    <definedName name="A2716068T_Data">[1]AustralianNA2!$GR$72:$GR$244</definedName>
    <definedName name="A2716068T_Latest">[1]AustralianNA2!$GR$244</definedName>
    <definedName name="A2716069V">[1]AustralianNA2!$GU$1:$GU$10,[1]AustralianNA2!$GU$72:$GU$244</definedName>
    <definedName name="A2716069V_Data">[1]AustralianNA2!$GU$72:$GU$244</definedName>
    <definedName name="A2716069V_Latest">[1]AustralianNA2!$GU$244</definedName>
    <definedName name="A2716070C">[1]AustralianNA2!$GX$1:$GX$10,[1]AustralianNA2!$GX$72:$GX$244</definedName>
    <definedName name="A2716070C_Data">[1]AustralianNA2!$GX$72:$GX$244</definedName>
    <definedName name="A2716070C_Latest">[1]AustralianNA2!$GX$244</definedName>
    <definedName name="A2716071F">[1]AustralianNA2!$HA$1:$HA$10,[1]AustralianNA2!$HA$72:$HA$244</definedName>
    <definedName name="A2716071F_Data">[1]AustralianNA2!$HA$72:$HA$244</definedName>
    <definedName name="A2716071F_Latest">[1]AustralianNA2!$HA$244</definedName>
    <definedName name="A2716072J">[1]AustralianNA2!$HB$1:$HB$10,[1]AustralianNA2!$HB$72:$HB$244</definedName>
    <definedName name="A2716072J_Data">[1]AustralianNA2!$HB$72:$HB$244</definedName>
    <definedName name="A2716072J_Latest">[1]AustralianNA2!$HB$244</definedName>
    <definedName name="A2716073K">[1]AustralianNA2!$HC$1:$HC$10,[1]AustralianNA2!$HC$72:$HC$244</definedName>
    <definedName name="A2716073K_Data">[1]AustralianNA2!$HC$72:$HC$244</definedName>
    <definedName name="A2716073K_Latest">[1]AustralianNA2!$HC$244</definedName>
    <definedName name="A2716074L">[1]AustralianNA2!$HD$1:$HD$10,[1]AustralianNA2!$HD$72:$HD$244</definedName>
    <definedName name="A2716074L_Data">[1]AustralianNA2!$HD$72:$HD$244</definedName>
    <definedName name="A2716074L_Latest">[1]AustralianNA2!$HD$244</definedName>
    <definedName name="A2716075R">[1]AustralianNA2!$HE$1:$HE$10,[1]AustralianNA2!$HE$72:$HE$244</definedName>
    <definedName name="A2716075R_Data">[1]AustralianNA2!$HE$72:$HE$244</definedName>
    <definedName name="A2716075R_Latest">[1]AustralianNA2!$HE$244</definedName>
    <definedName name="A2716076T">[1]AustralianNA2!$HF$1:$HF$10,[1]AustralianNA2!$HF$72:$HF$244</definedName>
    <definedName name="A2716076T_Data">[1]AustralianNA2!$HF$72:$HF$244</definedName>
    <definedName name="A2716076T_Latest">[1]AustralianNA2!$HF$244</definedName>
    <definedName name="A2716077V">[1]AustralianNA2!$HG$1:$HG$10,[1]AustralianNA2!$HG$72:$HG$244</definedName>
    <definedName name="A2716077V_Data">[1]AustralianNA2!$HG$72:$HG$244</definedName>
    <definedName name="A2716077V_Latest">[1]AustralianNA2!$HG$244</definedName>
    <definedName name="A2716120R">[1]AustralianNA3!$AA$1:$AA$10,[1]AustralianNA3!$AA$72:$AA$244</definedName>
    <definedName name="A2716120R_Data">[1]AustralianNA3!$AA$72:$AA$244</definedName>
    <definedName name="A2716120R_Latest">[1]AustralianNA3!$AA$244</definedName>
    <definedName name="A2716121T">[1]AustralianNA3!$Y$1:$Y$10,[1]AustralianNA3!$Y$72:$Y$244</definedName>
    <definedName name="A2716121T_Data">[1]AustralianNA3!$Y$72:$Y$244</definedName>
    <definedName name="A2716121T_Latest">[1]AustralianNA3!$Y$244</definedName>
    <definedName name="A2716122V">[1]AustralianNA3!$Z$1:$Z$10,[1]AustralianNA3!$Z$72:$Z$244</definedName>
    <definedName name="A2716122V_Data">[1]AustralianNA3!$Z$72:$Z$244</definedName>
    <definedName name="A2716122V_Latest">[1]AustralianNA3!$Z$244</definedName>
    <definedName name="A2716123W">[1]AustralianNA3!$AH$1:$AH$10,[1]AustralianNA3!$AH$72:$AH$244</definedName>
    <definedName name="A2716123W_Data">[1]AustralianNA3!$AH$72:$AH$244</definedName>
    <definedName name="A2716123W_Latest">[1]AustralianNA3!$AH$244</definedName>
    <definedName name="A2716124X">[1]AustralianNA3!$AG$1:$AG$10,[1]AustralianNA3!$AG$116:$AG$244</definedName>
    <definedName name="A2716124X_Data">[1]AustralianNA3!$AG$116:$AG$244</definedName>
    <definedName name="A2716124X_Latest">[1]AustralianNA3!$AG$244</definedName>
    <definedName name="A2716125A">[1]AustralianNA3!$AF$1:$AF$10,[1]AustralianNA3!$AF$72:$AF$244</definedName>
    <definedName name="A2716125A_Data">[1]AustralianNA3!$AF$72:$AF$244</definedName>
    <definedName name="A2716125A_Latest">[1]AustralianNA3!$AF$244</definedName>
    <definedName name="A2716126C">[1]AustralianNA3!$AN$1:$AN$10,[1]AustralianNA3!$AN$72:$AN$244</definedName>
    <definedName name="A2716126C_Data">[1]AustralianNA3!$AN$72:$AN$244</definedName>
    <definedName name="A2716126C_Latest">[1]AustralianNA3!$AN$244</definedName>
    <definedName name="A2716127F">[1]AustralianNA3!$AI$1:$AI$10,[1]AustralianNA3!$AI$84:$AI$244</definedName>
    <definedName name="A2716127F_Data">[1]AustralianNA3!$AI$84:$AI$244</definedName>
    <definedName name="A2716127F_Latest">[1]AustralianNA3!$AI$244</definedName>
    <definedName name="A2716128J">[1]AustralianNA3!$AK$1:$AK$10,[1]AustralianNA3!$AK$84:$AK$244</definedName>
    <definedName name="A2716128J_Data">[1]AustralianNA3!$AK$84:$AK$244</definedName>
    <definedName name="A2716128J_Latest">[1]AustralianNA3!$AK$244</definedName>
    <definedName name="A2716129K">[1]AustralianNA3!$AL$1:$AL$10,[1]AustralianNA3!$AL$84:$AL$244</definedName>
    <definedName name="A2716129K_Data">[1]AustralianNA3!$AL$84:$AL$244</definedName>
    <definedName name="A2716129K_Latest">[1]AustralianNA3!$AL$244</definedName>
    <definedName name="A2716131W">[1]AustralianNA3!$AJ$1:$AJ$10,[1]AustralianNA3!$AJ$84:$AJ$244</definedName>
    <definedName name="A2716131W_Data">[1]AustralianNA3!$AJ$84:$AJ$244</definedName>
    <definedName name="A2716131W_Latest">[1]AustralianNA3!$AJ$244</definedName>
    <definedName name="A2716135F">[1]AustralianNA3!$AR$1:$AR$10,[1]AustralianNA3!$AR$72:$AR$244</definedName>
    <definedName name="A2716135F_Data">[1]AustralianNA3!$AR$72:$AR$244</definedName>
    <definedName name="A2716135F_Latest">[1]AustralianNA3!$AR$244</definedName>
    <definedName name="A2716136J">[1]AustralianNA3!$AO$1:$AO$10,[1]AustralianNA3!$AO$72:$AO$244</definedName>
    <definedName name="A2716136J_Data">[1]AustralianNA3!$AO$72:$AO$244</definedName>
    <definedName name="A2716136J_Latest">[1]AustralianNA3!$AO$244</definedName>
    <definedName name="A2716137K">[1]AustralianNA3!$AP$1:$AP$10,[1]AustralianNA3!$AP$72:$AP$244</definedName>
    <definedName name="A2716137K_Data">[1]AustralianNA3!$AP$72:$AP$244</definedName>
    <definedName name="A2716137K_Latest">[1]AustralianNA3!$AP$244</definedName>
    <definedName name="A2716138L">[1]AustralianNA3!$AQ$1:$AQ$10,[1]AustralianNA3!$AQ$72:$AQ$244</definedName>
    <definedName name="A2716138L_Data">[1]AustralianNA3!$AQ$72:$AQ$244</definedName>
    <definedName name="A2716138L_Latest">[1]AustralianNA3!$AQ$244</definedName>
    <definedName name="A2716139R">[1]AustralianNA3!$AV$1:$AV$10,[1]AustralianNA3!$AV$72:$AV$244</definedName>
    <definedName name="A2716139R_Data">[1]AustralianNA3!$AV$72:$AV$244</definedName>
    <definedName name="A2716139R_Latest">[1]AustralianNA3!$AV$244</definedName>
    <definedName name="A2716140X">[1]AustralianNA3!$AW$1:$AW$10,[1]AustralianNA3!$AW$72:$AW$244</definedName>
    <definedName name="A2716140X_Data">[1]AustralianNA3!$AW$72:$AW$244</definedName>
    <definedName name="A2716140X_Latest">[1]AustralianNA3!$AW$244</definedName>
    <definedName name="A2716141A">[1]AustralianNA3!$AX$1:$AX$10,[1]AustralianNA3!$AX$72:$AX$244</definedName>
    <definedName name="A2716141A_Data">[1]AustralianNA3!$AX$72:$AX$244</definedName>
    <definedName name="A2716141A_Latest">[1]AustralianNA3!$AX$244</definedName>
    <definedName name="A2716142C">[1]AustralianNA3!$AY$1:$AY$10,[1]AustralianNA3!$AY$72:$AY$244</definedName>
    <definedName name="A2716142C_Data">[1]AustralianNA3!$AY$72:$AY$244</definedName>
    <definedName name="A2716142C_Latest">[1]AustralianNA3!$AY$244</definedName>
    <definedName name="A2716143F">[1]AustralianNA3!$BD$1:$BD$10,[1]AustralianNA3!$BD$72:$BD$244</definedName>
    <definedName name="A2716143F_Data">[1]AustralianNA3!$BD$72:$BD$244</definedName>
    <definedName name="A2716143F_Latest">[1]AustralianNA3!$BD$244</definedName>
    <definedName name="A2716144J">[1]AustralianNA3!$BA$1:$BA$10,[1]AustralianNA3!$BA$72:$BA$244</definedName>
    <definedName name="A2716144J_Data">[1]AustralianNA3!$BA$72:$BA$244</definedName>
    <definedName name="A2716144J_Latest">[1]AustralianNA3!$BA$244</definedName>
    <definedName name="A2716147R">[1]AustralianNA3!$BC$1:$BC$10,[1]AustralianNA3!$BC$72:$BC$244</definedName>
    <definedName name="A2716147R_Data">[1]AustralianNA3!$BC$72:$BC$244</definedName>
    <definedName name="A2716147R_Latest">[1]AustralianNA3!$BC$244</definedName>
    <definedName name="A2716148T">[1]AustralianNA3!$BG$1:$BG$10,[1]AustralianNA3!$BG$72:$BG$244</definedName>
    <definedName name="A2716148T_Data">[1]AustralianNA3!$BG$72:$BG$244</definedName>
    <definedName name="A2716148T_Latest">[1]AustralianNA3!$BG$244</definedName>
    <definedName name="A2716149V">[1]AustralianNA3!$BJ$1:$BJ$10,[1]AustralianNA3!$BJ$72:$BJ$244</definedName>
    <definedName name="A2716149V_Data">[1]AustralianNA3!$BJ$72:$BJ$244</definedName>
    <definedName name="A2716149V_Latest">[1]AustralianNA3!$BJ$244</definedName>
    <definedName name="A2716150C">[1]AustralianNA3!$BM$1:$BM$10,[1]AustralianNA3!$BM$72:$BM$244</definedName>
    <definedName name="A2716150C_Data">[1]AustralianNA3!$BM$72:$BM$244</definedName>
    <definedName name="A2716150C_Latest">[1]AustralianNA3!$BM$244</definedName>
    <definedName name="A2716151F">[1]AustralianNA3!$BP$1:$BP$10,[1]AustralianNA3!$BP$72:$BP$244</definedName>
    <definedName name="A2716151F_Data">[1]AustralianNA3!$BP$72:$BP$244</definedName>
    <definedName name="A2716151F_Latest">[1]AustralianNA3!$BP$244</definedName>
    <definedName name="A2716152J">[1]AustralianNA3!$BQ$1:$BQ$10,[1]AustralianNA3!$BQ$72:$BQ$244</definedName>
    <definedName name="A2716152J_Data">[1]AustralianNA3!$BQ$72:$BQ$244</definedName>
    <definedName name="A2716152J_Latest">[1]AustralianNA3!$BQ$244</definedName>
    <definedName name="A2716153K">[1]AustralianNA3!$BS$1:$BS$10,[1]AustralianNA3!$BS$72:$BS$244</definedName>
    <definedName name="A2716153K_Data">[1]AustralianNA3!$BS$72:$BS$244</definedName>
    <definedName name="A2716153K_Latest">[1]AustralianNA3!$BS$244</definedName>
    <definedName name="A2716154L">[1]AustralianNA3!$BT$1:$BT$10,[1]AustralianNA3!$BT$72:$BT$244</definedName>
    <definedName name="A2716154L_Data">[1]AustralianNA3!$BT$72:$BT$244</definedName>
    <definedName name="A2716154L_Latest">[1]AustralianNA3!$BT$244</definedName>
    <definedName name="A2716155R">[1]AustralianNA3!$BU$1:$BU$10,[1]AustralianNA3!$BU$72:$BU$244</definedName>
    <definedName name="A2716155R_Data">[1]AustralianNA3!$BU$72:$BU$244</definedName>
    <definedName name="A2716155R_Latest">[1]AustralianNA3!$BU$244</definedName>
    <definedName name="A2716156T">[1]AustralianNA3!$BV$1:$BV$10,[1]AustralianNA3!$BV$72:$BV$244</definedName>
    <definedName name="A2716156T_Data">[1]AustralianNA3!$BV$72:$BV$244</definedName>
    <definedName name="A2716156T_Latest">[1]AustralianNA3!$BV$244</definedName>
    <definedName name="A2716160J">[1]AustralianNA2!$DI$1:$DI$10,[1]AustralianNA2!$DI$71:$DI$244</definedName>
    <definedName name="A2716160J_Data">[1]AustralianNA2!$DI$71:$DI$244</definedName>
    <definedName name="A2716160J_Latest">[1]AustralianNA2!$DI$244</definedName>
    <definedName name="A2716161K">[1]AustralianNA2!$DG$1:$DG$10,[1]AustralianNA2!$DG$71:$DG$244</definedName>
    <definedName name="A2716161K_Data">[1]AustralianNA2!$DG$71:$DG$244</definedName>
    <definedName name="A2716161K_Latest">[1]AustralianNA2!$DG$244</definedName>
    <definedName name="A2716162L">[1]AustralianNA2!$DH$1:$DH$10,[1]AustralianNA2!$DH$71:$DH$244</definedName>
    <definedName name="A2716162L_Data">[1]AustralianNA2!$DH$71:$DH$244</definedName>
    <definedName name="A2716162L_Latest">[1]AustralianNA2!$DH$244</definedName>
    <definedName name="A2716163R">[1]AustralianNA2!$DP$1:$DP$10,[1]AustralianNA2!$DP$71:$DP$244</definedName>
    <definedName name="A2716163R_Data">[1]AustralianNA2!$DP$71:$DP$244</definedName>
    <definedName name="A2716163R_Latest">[1]AustralianNA2!$DP$244</definedName>
    <definedName name="A2716164T">[1]AustralianNA2!$DO$1:$DO$10,[1]AustralianNA2!$DO$115:$DO$244</definedName>
    <definedName name="A2716164T_Data">[1]AustralianNA2!$DO$115:$DO$244</definedName>
    <definedName name="A2716164T_Latest">[1]AustralianNA2!$DO$244</definedName>
    <definedName name="A2716165V">[1]AustralianNA2!$DN$1:$DN$10,[1]AustralianNA2!$DN$71:$DN$244</definedName>
    <definedName name="A2716165V_Data">[1]AustralianNA2!$DN$71:$DN$244</definedName>
    <definedName name="A2716165V_Latest">[1]AustralianNA2!$DN$244</definedName>
    <definedName name="A2716166W">[1]AustralianNA2!$DV$1:$DV$10,[1]AustralianNA2!$DV$71:$DV$244</definedName>
    <definedName name="A2716166W_Data">[1]AustralianNA2!$DV$71:$DV$244</definedName>
    <definedName name="A2716166W_Latest">[1]AustralianNA2!$DV$244</definedName>
    <definedName name="A2716167X">[1]AustralianNA2!$DQ$1:$DQ$10,[1]AustralianNA2!$DQ$83:$DQ$244</definedName>
    <definedName name="A2716167X_Data">[1]AustralianNA2!$DQ$83:$DQ$244</definedName>
    <definedName name="A2716167X_Latest">[1]AustralianNA2!$DQ$244</definedName>
    <definedName name="A2716168A">[1]AustralianNA2!$DS$1:$DS$10,[1]AustralianNA2!$DS$83:$DS$244</definedName>
    <definedName name="A2716168A_Data">[1]AustralianNA2!$DS$83:$DS$244</definedName>
    <definedName name="A2716168A_Latest">[1]AustralianNA2!$DS$244</definedName>
    <definedName name="A2716169C">[1]AustralianNA2!$DT$1:$DT$10,[1]AustralianNA2!$DT$83:$DT$244</definedName>
    <definedName name="A2716169C_Data">[1]AustralianNA2!$DT$83:$DT$244</definedName>
    <definedName name="A2716169C_Latest">[1]AustralianNA2!$DT$244</definedName>
    <definedName name="A2716171R">[1]AustralianNA2!$DR$1:$DR$10,[1]AustralianNA2!$DR$83:$DR$244</definedName>
    <definedName name="A2716171R_Data">[1]AustralianNA2!$DR$83:$DR$244</definedName>
    <definedName name="A2716171R_Latest">[1]AustralianNA2!$DR$244</definedName>
    <definedName name="A2716175X">[1]AustralianNA2!$DZ$1:$DZ$10,[1]AustralianNA2!$DZ$71:$DZ$244</definedName>
    <definedName name="A2716175X_Data">[1]AustralianNA2!$DZ$71:$DZ$244</definedName>
    <definedName name="A2716175X_Latest">[1]AustralianNA2!$DZ$244</definedName>
    <definedName name="A2716176A">[1]AustralianNA2!$DW$1:$DW$10,[1]AustralianNA2!$DW$71:$DW$244</definedName>
    <definedName name="A2716176A_Data">[1]AustralianNA2!$DW$71:$DW$244</definedName>
    <definedName name="A2716176A_Latest">[1]AustralianNA2!$DW$244</definedName>
    <definedName name="A2716177C">[1]AustralianNA2!$DX$1:$DX$10,[1]AustralianNA2!$DX$71:$DX$244</definedName>
    <definedName name="A2716177C_Data">[1]AustralianNA2!$DX$71:$DX$244</definedName>
    <definedName name="A2716177C_Latest">[1]AustralianNA2!$DX$244</definedName>
    <definedName name="A2716178F">[1]AustralianNA2!$DY$1:$DY$10,[1]AustralianNA2!$DY$71:$DY$244</definedName>
    <definedName name="A2716178F_Data">[1]AustralianNA2!$DY$71:$DY$244</definedName>
    <definedName name="A2716178F_Latest">[1]AustralianNA2!$DY$244</definedName>
    <definedName name="A2716179J">[1]AustralianNA2!$ED$1:$ED$10,[1]AustralianNA2!$ED$71:$ED$244</definedName>
    <definedName name="A2716179J_Data">[1]AustralianNA2!$ED$71:$ED$244</definedName>
    <definedName name="A2716179J_Latest">[1]AustralianNA2!$ED$244</definedName>
    <definedName name="A2716180T">[1]AustralianNA2!$EE$1:$EE$10,[1]AustralianNA2!$EE$71:$EE$244</definedName>
    <definedName name="A2716180T_Data">[1]AustralianNA2!$EE$71:$EE$244</definedName>
    <definedName name="A2716180T_Latest">[1]AustralianNA2!$EE$244</definedName>
    <definedName name="A2716181V">[1]AustralianNA2!$EF$1:$EF$10,[1]AustralianNA2!$EF$71:$EF$244</definedName>
    <definedName name="A2716181V_Data">[1]AustralianNA2!$EF$71:$EF$244</definedName>
    <definedName name="A2716181V_Latest">[1]AustralianNA2!$EF$244</definedName>
    <definedName name="A2716182W">[1]AustralianNA2!$EG$1:$EG$10,[1]AustralianNA2!$EG$71:$EG$244</definedName>
    <definedName name="A2716182W_Data">[1]AustralianNA2!$EG$71:$EG$244</definedName>
    <definedName name="A2716182W_Latest">[1]AustralianNA2!$EG$244</definedName>
    <definedName name="A2716183X">[1]AustralianNA2!$EL$1:$EL$10,[1]AustralianNA2!$EL$71:$EL$244</definedName>
    <definedName name="A2716183X_Data">[1]AustralianNA2!$EL$71:$EL$244</definedName>
    <definedName name="A2716183X_Latest">[1]AustralianNA2!$EL$244</definedName>
    <definedName name="A2716184A">[1]AustralianNA2!$EI$1:$EI$10,[1]AustralianNA2!$EI$71:$EI$244</definedName>
    <definedName name="A2716184A_Data">[1]AustralianNA2!$EI$71:$EI$244</definedName>
    <definedName name="A2716184A_Latest">[1]AustralianNA2!$EI$244</definedName>
    <definedName name="A2716187J">[1]AustralianNA2!$EK$1:$EK$10,[1]AustralianNA2!$EK$71:$EK$244</definedName>
    <definedName name="A2716187J_Data">[1]AustralianNA2!$EK$71:$EK$244</definedName>
    <definedName name="A2716187J_Latest">[1]AustralianNA2!$EK$244</definedName>
    <definedName name="A2716188K">[1]AustralianNA2!$EO$1:$EO$10,[1]AustralianNA2!$EO$71:$EO$244</definedName>
    <definedName name="A2716188K_Data">[1]AustralianNA2!$EO$71:$EO$244</definedName>
    <definedName name="A2716188K_Latest">[1]AustralianNA2!$EO$244</definedName>
    <definedName name="A2716189L">[1]AustralianNA2!$ER$1:$ER$10,[1]AustralianNA2!$ER$71:$ER$244</definedName>
    <definedName name="A2716189L_Data">[1]AustralianNA2!$ER$71:$ER$244</definedName>
    <definedName name="A2716189L_Latest">[1]AustralianNA2!$ER$244</definedName>
    <definedName name="A2716190W">[1]AustralianNA2!$EU$1:$EU$10,[1]AustralianNA2!$EU$71:$EU$244</definedName>
    <definedName name="A2716190W_Data">[1]AustralianNA2!$EU$71:$EU$244</definedName>
    <definedName name="A2716190W_Latest">[1]AustralianNA2!$EU$244</definedName>
    <definedName name="A2716191X">[1]AustralianNA2!$EX$1:$EX$10,[1]AustralianNA2!$EX$71:$EX$244</definedName>
    <definedName name="A2716191X_Data">[1]AustralianNA2!$EX$71:$EX$244</definedName>
    <definedName name="A2716191X_Latest">[1]AustralianNA2!$EX$244</definedName>
    <definedName name="A2716192A">[1]AustralianNA2!$EZ$1:$EZ$10,[1]AustralianNA2!$EZ$71:$EZ$244</definedName>
    <definedName name="A2716192A_Data">[1]AustralianNA2!$EZ$71:$EZ$244</definedName>
    <definedName name="A2716192A_Latest">[1]AustralianNA2!$EZ$244</definedName>
    <definedName name="A2716193C">[1]AustralianNA2!$FA$1:$FA$10,[1]AustralianNA2!$FA$71:$FA$244</definedName>
    <definedName name="A2716193C_Data">[1]AustralianNA2!$FA$71:$FA$244</definedName>
    <definedName name="A2716193C_Latest">[1]AustralianNA2!$FA$244</definedName>
    <definedName name="A2716194F">[1]AustralianNA2!$FB$1:$FB$10,[1]AustralianNA2!$FB$71:$FB$244</definedName>
    <definedName name="A2716194F_Data">[1]AustralianNA2!$FB$71:$FB$244</definedName>
    <definedName name="A2716194F_Latest">[1]AustralianNA2!$FB$244</definedName>
    <definedName name="A2716195J">[1]AustralianNA2!$FC$1:$FC$10,[1]AustralianNA2!$FC$71:$FC$244</definedName>
    <definedName name="A2716195J_Data">[1]AustralianNA2!$FC$71:$FC$244</definedName>
    <definedName name="A2716195J_Latest">[1]AustralianNA2!$FC$244</definedName>
    <definedName name="A2716196K">[1]AustralianNA2!$FD$1:$FD$10,[1]AustralianNA2!$FD$71:$FD$244</definedName>
    <definedName name="A2716196K_Data">[1]AustralianNA2!$FD$71:$FD$244</definedName>
    <definedName name="A2716196K_Latest">[1]AustralianNA2!$FD$244</definedName>
    <definedName name="A2716241K">[1]AustralianNA2!$HN$1:$HN$10,[1]AustralianNA2!$HN$71:$HN$244</definedName>
    <definedName name="A2716241K_Data">[1]AustralianNA2!$HN$71:$HN$244</definedName>
    <definedName name="A2716241K_Latest">[1]AustralianNA2!$HN$244</definedName>
    <definedName name="A2716242L">[1]AustralianNA2!$HL$1:$HL$10,[1]AustralianNA2!$HL$71:$HL$244</definedName>
    <definedName name="A2716242L_Data">[1]AustralianNA2!$HL$71:$HL$244</definedName>
    <definedName name="A2716242L_Latest">[1]AustralianNA2!$HL$244</definedName>
    <definedName name="A2716243R">[1]AustralianNA2!$HM$1:$HM$10,[1]AustralianNA2!$HM$71:$HM$244</definedName>
    <definedName name="A2716243R_Data">[1]AustralianNA2!$HM$71:$HM$244</definedName>
    <definedName name="A2716243R_Latest">[1]AustralianNA2!$HM$244</definedName>
    <definedName name="A2716244T">[1]AustralianNA2!$HU$1:$HU$10,[1]AustralianNA2!$HU$71:$HU$244</definedName>
    <definedName name="A2716244T_Data">[1]AustralianNA2!$HU$71:$HU$244</definedName>
    <definedName name="A2716244T_Latest">[1]AustralianNA2!$HU$244</definedName>
    <definedName name="A2716245V">[1]AustralianNA2!$HT$1:$HT$10,[1]AustralianNA2!$HT$115:$HT$244</definedName>
    <definedName name="A2716245V_Data">[1]AustralianNA2!$HT$115:$HT$244</definedName>
    <definedName name="A2716245V_Latest">[1]AustralianNA2!$HT$244</definedName>
    <definedName name="A2716246W">[1]AustralianNA2!$HS$1:$HS$10,[1]AustralianNA2!$HS$71:$HS$244</definedName>
    <definedName name="A2716246W_Data">[1]AustralianNA2!$HS$71:$HS$244</definedName>
    <definedName name="A2716246W_Latest">[1]AustralianNA2!$HS$244</definedName>
    <definedName name="A2716247X">[1]AustralianNA2!$IA$1:$IA$10,[1]AustralianNA2!$IA$71:$IA$244</definedName>
    <definedName name="A2716247X_Data">[1]AustralianNA2!$IA$71:$IA$244</definedName>
    <definedName name="A2716247X_Latest">[1]AustralianNA2!$IA$244</definedName>
    <definedName name="A2716248A">[1]AustralianNA2!$HV$1:$HV$10,[1]AustralianNA2!$HV$83:$HV$244</definedName>
    <definedName name="A2716248A_Data">[1]AustralianNA2!$HV$83:$HV$244</definedName>
    <definedName name="A2716248A_Latest">[1]AustralianNA2!$HV$244</definedName>
    <definedName name="A2716249C">[1]AustralianNA2!$HX$1:$HX$10,[1]AustralianNA2!$HX$83:$HX$244</definedName>
    <definedName name="A2716249C_Data">[1]AustralianNA2!$HX$83:$HX$244</definedName>
    <definedName name="A2716249C_Latest">[1]AustralianNA2!$HX$244</definedName>
    <definedName name="A2716250L">[1]AustralianNA2!$HY$1:$HY$10,[1]AustralianNA2!$HY$83:$HY$244</definedName>
    <definedName name="A2716250L_Data">[1]AustralianNA2!$HY$83:$HY$244</definedName>
    <definedName name="A2716250L_Latest">[1]AustralianNA2!$HY$244</definedName>
    <definedName name="A2716252T">[1]AustralianNA2!$HW$1:$HW$10,[1]AustralianNA2!$HW$83:$HW$244</definedName>
    <definedName name="A2716252T_Data">[1]AustralianNA2!$HW$83:$HW$244</definedName>
    <definedName name="A2716252T_Latest">[1]AustralianNA2!$HW$244</definedName>
    <definedName name="A2716256A">[1]AustralianNA2!$IE$1:$IE$10,[1]AustralianNA2!$IE$71:$IE$244</definedName>
    <definedName name="A2716256A_Data">[1]AustralianNA2!$IE$71:$IE$244</definedName>
    <definedName name="A2716256A_Latest">[1]AustralianNA2!$IE$244</definedName>
    <definedName name="A2716257C">[1]AustralianNA2!$IB$1:$IB$10,[1]AustralianNA2!$IB$71:$IB$244</definedName>
    <definedName name="A2716257C_Data">[1]AustralianNA2!$IB$71:$IB$244</definedName>
    <definedName name="A2716257C_Latest">[1]AustralianNA2!$IB$244</definedName>
    <definedName name="A2716258F">[1]AustralianNA2!$IC$1:$IC$10,[1]AustralianNA2!$IC$71:$IC$244</definedName>
    <definedName name="A2716258F_Data">[1]AustralianNA2!$IC$71:$IC$244</definedName>
    <definedName name="A2716258F_Latest">[1]AustralianNA2!$IC$244</definedName>
    <definedName name="A2716259J">[1]AustralianNA2!$ID$1:$ID$10,[1]AustralianNA2!$ID$71:$ID$244</definedName>
    <definedName name="A2716259J_Data">[1]AustralianNA2!$ID$71:$ID$244</definedName>
    <definedName name="A2716259J_Latest">[1]AustralianNA2!$ID$244</definedName>
    <definedName name="A2716260T">[1]AustralianNA2!$II$1:$II$10,[1]AustralianNA2!$II$71:$II$244</definedName>
    <definedName name="A2716260T_Data">[1]AustralianNA2!$II$71:$II$244</definedName>
    <definedName name="A2716260T_Latest">[1]AustralianNA2!$II$244</definedName>
    <definedName name="A2716261V">[1]AustralianNA2!$IJ$1:$IJ$10,[1]AustralianNA2!$IJ$71:$IJ$244</definedName>
    <definedName name="A2716261V_Data">[1]AustralianNA2!$IJ$71:$IJ$244</definedName>
    <definedName name="A2716261V_Latest">[1]AustralianNA2!$IJ$244</definedName>
    <definedName name="A2716262W">[1]AustralianNA2!$IK$1:$IK$10,[1]AustralianNA2!$IK$71:$IK$244</definedName>
    <definedName name="A2716262W_Data">[1]AustralianNA2!$IK$71:$IK$244</definedName>
    <definedName name="A2716262W_Latest">[1]AustralianNA2!$IK$244</definedName>
    <definedName name="A2716263X">[1]AustralianNA2!$IL$1:$IL$10,[1]AustralianNA2!$IL$71:$IL$244</definedName>
    <definedName name="A2716263X_Data">[1]AustralianNA2!$IL$71:$IL$244</definedName>
    <definedName name="A2716263X_Latest">[1]AustralianNA2!$IL$244</definedName>
    <definedName name="A2716264A">[1]AustralianNA2!$IQ$1:$IQ$10,[1]AustralianNA2!$IQ$71:$IQ$244</definedName>
    <definedName name="A2716264A_Data">[1]AustralianNA2!$IQ$71:$IQ$244</definedName>
    <definedName name="A2716264A_Latest">[1]AustralianNA2!$IQ$244</definedName>
    <definedName name="A2716265C">[1]AustralianNA2!$IN$1:$IN$10,[1]AustralianNA2!$IN$71:$IN$244</definedName>
    <definedName name="A2716265C_Data">[1]AustralianNA2!$IN$71:$IN$244</definedName>
    <definedName name="A2716265C_Latest">[1]AustralianNA2!$IN$244</definedName>
    <definedName name="A2716268K">[1]AustralianNA2!$IP$1:$IP$10,[1]AustralianNA2!$IP$71:$IP$244</definedName>
    <definedName name="A2716268K_Data">[1]AustralianNA2!$IP$71:$IP$244</definedName>
    <definedName name="A2716268K_Latest">[1]AustralianNA2!$IP$244</definedName>
    <definedName name="A2716269L">[1]AustralianNA3!$D$1:$D$10,[1]AustralianNA3!$D$71:$D$244</definedName>
    <definedName name="A2716269L_Data">[1]AustralianNA3!$D$71:$D$244</definedName>
    <definedName name="A2716269L_Latest">[1]AustralianNA3!$D$244</definedName>
    <definedName name="A2716270W">[1]AustralianNA3!$G$1:$G$10,[1]AustralianNA3!$G$71:$G$244</definedName>
    <definedName name="A2716270W_Data">[1]AustralianNA3!$G$71:$G$244</definedName>
    <definedName name="A2716270W_Latest">[1]AustralianNA3!$G$244</definedName>
    <definedName name="A2716271X">[1]AustralianNA3!$J$1:$J$10,[1]AustralianNA3!$J$71:$J$244</definedName>
    <definedName name="A2716271X_Data">[1]AustralianNA3!$J$71:$J$244</definedName>
    <definedName name="A2716271X_Latest">[1]AustralianNA3!$J$244</definedName>
    <definedName name="A2716272A">[1]AustralianNA3!$M$1:$M$10,[1]AustralianNA3!$M$71:$M$244</definedName>
    <definedName name="A2716272A_Data">[1]AustralianNA3!$M$71:$M$244</definedName>
    <definedName name="A2716272A_Latest">[1]AustralianNA3!$M$244</definedName>
    <definedName name="A2716273C">[1]AustralianNA3!$N$1:$N$10,[1]AustralianNA3!$N$71:$N$244</definedName>
    <definedName name="A2716273C_Data">[1]AustralianNA3!$N$71:$N$244</definedName>
    <definedName name="A2716273C_Latest">[1]AustralianNA3!$N$244</definedName>
    <definedName name="A2716274F">[1]AustralianNA3!$O$1:$O$10,[1]AustralianNA3!$O$71:$O$244</definedName>
    <definedName name="A2716274F_Data">[1]AustralianNA3!$O$71:$O$244</definedName>
    <definedName name="A2716274F_Latest">[1]AustralianNA3!$O$244</definedName>
    <definedName name="A2716275J">[1]AustralianNA3!$P$1:$P$10,[1]AustralianNA3!$P$71:$P$244</definedName>
    <definedName name="A2716275J_Data">[1]AustralianNA3!$P$71:$P$244</definedName>
    <definedName name="A2716275J_Latest">[1]AustralianNA3!$P$244</definedName>
    <definedName name="A2716276K">[1]AustralianNA3!$Q$1:$Q$10,[1]AustralianNA3!$Q$71:$Q$244</definedName>
    <definedName name="A2716276K_Data">[1]AustralianNA3!$Q$71:$Q$244</definedName>
    <definedName name="A2716276K_Latest">[1]AustralianNA3!$Q$244</definedName>
    <definedName name="A2716277L">[1]AustralianNA3!$R$1:$R$10,[1]AustralianNA3!$R$71:$R$244</definedName>
    <definedName name="A2716277L_Data">[1]AustralianNA3!$R$71:$R$244</definedName>
    <definedName name="A2716277L_Latest">[1]AustralianNA3!$R$244</definedName>
    <definedName name="A2716278R">[1]AustralianNA3!$S$1:$S$10,[1]AustralianNA3!$S$71:$S$244</definedName>
    <definedName name="A2716278R_Data">[1]AustralianNA3!$S$71:$S$244</definedName>
    <definedName name="A2716278R_Latest">[1]AustralianNA3!$S$244</definedName>
    <definedName name="A2716298X">[1]AustralianNA2!$BG$1:$BG$10,[1]AustralianNA2!$BG$72:$BG$244</definedName>
    <definedName name="A2716298X_Data">[1]AustralianNA2!$BG$72:$BG$244</definedName>
    <definedName name="A2716298X_Latest">[1]AustralianNA2!$BG$244</definedName>
    <definedName name="A2716299A">[1]AustralianNA2!$BE$1:$BE$10,[1]AustralianNA2!$BE$72:$BE$244</definedName>
    <definedName name="A2716299A_Data">[1]AustralianNA2!$BE$72:$BE$244</definedName>
    <definedName name="A2716299A_Latest">[1]AustralianNA2!$BE$244</definedName>
    <definedName name="A2716300X">[1]AustralianNA2!$BF$1:$BF$10,[1]AustralianNA2!$BF$72:$BF$244</definedName>
    <definedName name="A2716300X_Data">[1]AustralianNA2!$BF$72:$BF$244</definedName>
    <definedName name="A2716300X_Latest">[1]AustralianNA2!$BF$244</definedName>
    <definedName name="A2716301A">[1]AustralianNA2!$BN$1:$BN$10,[1]AustralianNA2!$BN$72:$BN$244</definedName>
    <definedName name="A2716301A_Data">[1]AustralianNA2!$BN$72:$BN$244</definedName>
    <definedName name="A2716301A_Latest">[1]AustralianNA2!$BN$244</definedName>
    <definedName name="A2716302C">[1]AustralianNA2!$BM$1:$BM$10,[1]AustralianNA2!$BM$116:$BM$244</definedName>
    <definedName name="A2716302C_Data">[1]AustralianNA2!$BM$116:$BM$244</definedName>
    <definedName name="A2716302C_Latest">[1]AustralianNA2!$BM$244</definedName>
    <definedName name="A2716303F">[1]AustralianNA2!$BL$1:$BL$10,[1]AustralianNA2!$BL$72:$BL$244</definedName>
    <definedName name="A2716303F_Data">[1]AustralianNA2!$BL$72:$BL$244</definedName>
    <definedName name="A2716303F_Latest">[1]AustralianNA2!$BL$244</definedName>
    <definedName name="A2716304J">[1]AustralianNA2!$BT$1:$BT$10,[1]AustralianNA2!$BT$72:$BT$244</definedName>
    <definedName name="A2716304J_Data">[1]AustralianNA2!$BT$72:$BT$244</definedName>
    <definedName name="A2716304J_Latest">[1]AustralianNA2!$BT$244</definedName>
    <definedName name="A2716305K">[1]AustralianNA2!$BO$1:$BO$10,[1]AustralianNA2!$BO$84:$BO$244</definedName>
    <definedName name="A2716305K_Data">[1]AustralianNA2!$BO$84:$BO$244</definedName>
    <definedName name="A2716305K_Latest">[1]AustralianNA2!$BO$244</definedName>
    <definedName name="A2716306L">[1]AustralianNA2!$BQ$1:$BQ$10,[1]AustralianNA2!$BQ$84:$BQ$244</definedName>
    <definedName name="A2716306L_Data">[1]AustralianNA2!$BQ$84:$BQ$244</definedName>
    <definedName name="A2716306L_Latest">[1]AustralianNA2!$BQ$244</definedName>
    <definedName name="A2716307R">[1]AustralianNA2!$BR$1:$BR$10,[1]AustralianNA2!$BR$84:$BR$244</definedName>
    <definedName name="A2716307R_Data">[1]AustralianNA2!$BR$84:$BR$244</definedName>
    <definedName name="A2716307R_Latest">[1]AustralianNA2!$BR$244</definedName>
    <definedName name="A2716309V">[1]AustralianNA2!$BP$1:$BP$10,[1]AustralianNA2!$BP$84:$BP$244</definedName>
    <definedName name="A2716309V_Data">[1]AustralianNA2!$BP$84:$BP$244</definedName>
    <definedName name="A2716309V_Latest">[1]AustralianNA2!$BP$244</definedName>
    <definedName name="A2716313K">[1]AustralianNA2!$BX$1:$BX$10,[1]AustralianNA2!$BX$72:$BX$244</definedName>
    <definedName name="A2716313K_Data">[1]AustralianNA2!$BX$72:$BX$244</definedName>
    <definedName name="A2716313K_Latest">[1]AustralianNA2!$BX$244</definedName>
    <definedName name="A2716314L">[1]AustralianNA2!$BU$1:$BU$10,[1]AustralianNA2!$BU$72:$BU$244</definedName>
    <definedName name="A2716314L_Data">[1]AustralianNA2!$BU$72:$BU$244</definedName>
    <definedName name="A2716314L_Latest">[1]AustralianNA2!$BU$244</definedName>
    <definedName name="A2716315R">[1]AustralianNA2!$BV$1:$BV$10,[1]AustralianNA2!$BV$72:$BV$244</definedName>
    <definedName name="A2716315R_Data">[1]AustralianNA2!$BV$72:$BV$244</definedName>
    <definedName name="A2716315R_Latest">[1]AustralianNA2!$BV$244</definedName>
    <definedName name="A2716316T">[1]AustralianNA2!$BW$1:$BW$10,[1]AustralianNA2!$BW$72:$BW$244</definedName>
    <definedName name="A2716316T_Data">[1]AustralianNA2!$BW$72:$BW$244</definedName>
    <definedName name="A2716316T_Latest">[1]AustralianNA2!$BW$244</definedName>
    <definedName name="A2716317V">[1]AustralianNA2!$CB$1:$CB$10,[1]AustralianNA2!$CB$72:$CB$244</definedName>
    <definedName name="A2716317V_Data">[1]AustralianNA2!$CB$72:$CB$244</definedName>
    <definedName name="A2716317V_Latest">[1]AustralianNA2!$CB$244</definedName>
    <definedName name="A2716318W">[1]AustralianNA2!$CC$1:$CC$10,[1]AustralianNA2!$CC$72:$CC$244</definedName>
    <definedName name="A2716318W_Data">[1]AustralianNA2!$CC$72:$CC$244</definedName>
    <definedName name="A2716318W_Latest">[1]AustralianNA2!$CC$244</definedName>
    <definedName name="A2716319X">[1]AustralianNA2!$CD$1:$CD$10,[1]AustralianNA2!$CD$72:$CD$244</definedName>
    <definedName name="A2716319X_Data">[1]AustralianNA2!$CD$72:$CD$244</definedName>
    <definedName name="A2716319X_Latest">[1]AustralianNA2!$CD$244</definedName>
    <definedName name="A2716320J">[1]AustralianNA2!$CE$1:$CE$10,[1]AustralianNA2!$CE$72:$CE$244</definedName>
    <definedName name="A2716320J_Data">[1]AustralianNA2!$CE$72:$CE$244</definedName>
    <definedName name="A2716320J_Latest">[1]AustralianNA2!$CE$244</definedName>
    <definedName name="A2716321K">[1]AustralianNA2!$CJ$1:$CJ$10,[1]AustralianNA2!$CJ$72:$CJ$244</definedName>
    <definedName name="A2716321K_Data">[1]AustralianNA2!$CJ$72:$CJ$244</definedName>
    <definedName name="A2716321K_Latest">[1]AustralianNA2!$CJ$244</definedName>
    <definedName name="A2716322L">[1]AustralianNA2!$CG$1:$CG$10,[1]AustralianNA2!$CG$72:$CG$244</definedName>
    <definedName name="A2716322L_Data">[1]AustralianNA2!$CG$72:$CG$244</definedName>
    <definedName name="A2716322L_Latest">[1]AustralianNA2!$CG$244</definedName>
    <definedName name="A2716325V">[1]AustralianNA2!$CI$1:$CI$10,[1]AustralianNA2!$CI$72:$CI$244</definedName>
    <definedName name="A2716325V_Data">[1]AustralianNA2!$CI$72:$CI$244</definedName>
    <definedName name="A2716325V_Latest">[1]AustralianNA2!$CI$244</definedName>
    <definedName name="A2716326W">[1]AustralianNA2!$CM$1:$CM$10,[1]AustralianNA2!$CM$72:$CM$244</definedName>
    <definedName name="A2716326W_Data">[1]AustralianNA2!$CM$72:$CM$244</definedName>
    <definedName name="A2716326W_Latest">[1]AustralianNA2!$CM$244</definedName>
    <definedName name="A2716327X">[1]AustralianNA2!$CP$1:$CP$10,[1]AustralianNA2!$CP$72:$CP$244</definedName>
    <definedName name="A2716327X_Data">[1]AustralianNA2!$CP$72:$CP$244</definedName>
    <definedName name="A2716327X_Latest">[1]AustralianNA2!$CP$244</definedName>
    <definedName name="A2716328A">[1]AustralianNA2!$CS$1:$CS$10,[1]AustralianNA2!$CS$72:$CS$244</definedName>
    <definedName name="A2716328A_Data">[1]AustralianNA2!$CS$72:$CS$244</definedName>
    <definedName name="A2716328A_Latest">[1]AustralianNA2!$CS$244</definedName>
    <definedName name="A2716329C">[1]AustralianNA2!$CV$1:$CV$10,[1]AustralianNA2!$CV$72:$CV$244</definedName>
    <definedName name="A2716329C_Data">[1]AustralianNA2!$CV$72:$CV$244</definedName>
    <definedName name="A2716329C_Latest">[1]AustralianNA2!$CV$244</definedName>
    <definedName name="A2716330L">[1]AustralianNA2!$CW$1:$CW$10,[1]AustralianNA2!$CW$72:$CW$244</definedName>
    <definedName name="A2716330L_Data">[1]AustralianNA2!$CW$72:$CW$244</definedName>
    <definedName name="A2716330L_Latest">[1]AustralianNA2!$CW$244</definedName>
    <definedName name="A2716331R">[1]AustralianNA2!$CX$1:$CX$10,[1]AustralianNA2!$CX$72:$CX$244</definedName>
    <definedName name="A2716331R_Data">[1]AustralianNA2!$CX$72:$CX$244</definedName>
    <definedName name="A2716331R_Latest">[1]AustralianNA2!$CX$244</definedName>
    <definedName name="A2716332T">[1]AustralianNA2!$CY$1:$CY$10,[1]AustralianNA2!$CY$72:$CY$244</definedName>
    <definedName name="A2716332T_Data">[1]AustralianNA2!$CY$72:$CY$244</definedName>
    <definedName name="A2716332T_Latest">[1]AustralianNA2!$CY$244</definedName>
    <definedName name="A2716333V">[1]AustralianNA2!$CZ$1:$CZ$10,[1]AustralianNA2!$CZ$72:$CZ$244</definedName>
    <definedName name="A2716333V_Data">[1]AustralianNA2!$CZ$72:$CZ$244</definedName>
    <definedName name="A2716333V_Latest">[1]AustralianNA2!$CZ$244</definedName>
    <definedName name="A2716334W">[1]AustralianNA2!$DA$1:$DA$10,[1]AustralianNA2!$DA$72:$DA$244</definedName>
    <definedName name="A2716334W_Data">[1]AustralianNA2!$DA$72:$DA$244</definedName>
    <definedName name="A2716334W_Latest">[1]AustralianNA2!$DA$244</definedName>
    <definedName name="A2716335X">[1]AustralianNA2!$DB$1:$DB$10,[1]AustralianNA2!$DB$72:$DB$244</definedName>
    <definedName name="A2716335X_Data">[1]AustralianNA2!$DB$72:$DB$244</definedName>
    <definedName name="A2716335X_Latest">[1]AustralianNA2!$DB$244</definedName>
    <definedName name="A2716378X">[1]AustralianNA2!$D$1:$D$10,[1]AustralianNA2!$D$71:$D$244</definedName>
    <definedName name="A2716378X_Data">[1]AustralianNA2!$D$71:$D$244</definedName>
    <definedName name="A2716378X_Latest">[1]AustralianNA2!$D$244</definedName>
    <definedName name="A2716379A">[1]AustralianNA2!$B$1:$B$10,[1]AustralianNA2!$B$71:$B$244</definedName>
    <definedName name="A2716379A_Data">[1]AustralianNA2!$B$71:$B$244</definedName>
    <definedName name="A2716379A_Latest">[1]AustralianNA2!$B$244</definedName>
    <definedName name="A2716380K">[1]AustralianNA2!$C$1:$C$10,[1]AustralianNA2!$C$71:$C$244</definedName>
    <definedName name="A2716380K_Data">[1]AustralianNA2!$C$71:$C$244</definedName>
    <definedName name="A2716380K_Latest">[1]AustralianNA2!$C$244</definedName>
    <definedName name="A2716381L">[1]AustralianNA2!$K$1:$K$10,[1]AustralianNA2!$K$71:$K$244</definedName>
    <definedName name="A2716381L_Data">[1]AustralianNA2!$K$71:$K$244</definedName>
    <definedName name="A2716381L_Latest">[1]AustralianNA2!$K$244</definedName>
    <definedName name="A2716382R">[1]AustralianNA2!$J$1:$J$10,[1]AustralianNA2!$J$115:$J$244</definedName>
    <definedName name="A2716382R_Data">[1]AustralianNA2!$J$115:$J$244</definedName>
    <definedName name="A2716382R_Latest">[1]AustralianNA2!$J$244</definedName>
    <definedName name="A2716383T">[1]AustralianNA2!$I$1:$I$10,[1]AustralianNA2!$I$71:$I$244</definedName>
    <definedName name="A2716383T_Data">[1]AustralianNA2!$I$71:$I$244</definedName>
    <definedName name="A2716383T_Latest">[1]AustralianNA2!$I$244</definedName>
    <definedName name="A2716384V">[1]AustralianNA2!$Q$1:$Q$10,[1]AustralianNA2!$Q$71:$Q$244</definedName>
    <definedName name="A2716384V_Data">[1]AustralianNA2!$Q$71:$Q$244</definedName>
    <definedName name="A2716384V_Latest">[1]AustralianNA2!$Q$244</definedName>
    <definedName name="A2716385W">[1]AustralianNA2!$L$1:$L$10,[1]AustralianNA2!$L$83:$L$244</definedName>
    <definedName name="A2716385W_Data">[1]AustralianNA2!$L$83:$L$244</definedName>
    <definedName name="A2716385W_Latest">[1]AustralianNA2!$L$244</definedName>
    <definedName name="A2716386X">[1]AustralianNA2!$N$1:$N$10,[1]AustralianNA2!$N$83:$N$244</definedName>
    <definedName name="A2716386X_Data">[1]AustralianNA2!$N$83:$N$244</definedName>
    <definedName name="A2716386X_Latest">[1]AustralianNA2!$N$244</definedName>
    <definedName name="A2716387A">[1]AustralianNA2!$O$1:$O$10,[1]AustralianNA2!$O$83:$O$244</definedName>
    <definedName name="A2716387A_Data">[1]AustralianNA2!$O$83:$O$244</definedName>
    <definedName name="A2716387A_Latest">[1]AustralianNA2!$O$244</definedName>
    <definedName name="A2716389F">[1]AustralianNA2!$M$1:$M$10,[1]AustralianNA2!$M$83:$M$244</definedName>
    <definedName name="A2716389F_Data">[1]AustralianNA2!$M$83:$M$244</definedName>
    <definedName name="A2716389F_Latest">[1]AustralianNA2!$M$244</definedName>
    <definedName name="A2716393W">[1]AustralianNA2!$R$1:$R$10,[1]AustralianNA2!$R$71:$R$244</definedName>
    <definedName name="A2716393W_Data">[1]AustralianNA2!$R$71:$R$244</definedName>
    <definedName name="A2716393W_Latest">[1]AustralianNA2!$R$244</definedName>
    <definedName name="A2716394X">[1]AustralianNA2!$S$1:$S$10,[1]AustralianNA2!$S$71:$S$244</definedName>
    <definedName name="A2716394X_Data">[1]AustralianNA2!$S$71:$S$244</definedName>
    <definedName name="A2716394X_Latest">[1]AustralianNA2!$S$244</definedName>
    <definedName name="A2716395A">[1]AustralianNA2!$T$1:$T$10,[1]AustralianNA2!$T$71:$T$244</definedName>
    <definedName name="A2716395A_Data">[1]AustralianNA2!$T$71:$T$244</definedName>
    <definedName name="A2716395A_Latest">[1]AustralianNA2!$T$244</definedName>
    <definedName name="A2716396C">[1]AustralianNA2!$Y$1:$Y$10,[1]AustralianNA2!$Y$71:$Y$244</definedName>
    <definedName name="A2716396C_Data">[1]AustralianNA2!$Y$71:$Y$244</definedName>
    <definedName name="A2716396C_Latest">[1]AustralianNA2!$Y$244</definedName>
    <definedName name="A2716397F">[1]AustralianNA2!$Z$1:$Z$10,[1]AustralianNA2!$Z$71:$Z$244</definedName>
    <definedName name="A2716397F_Data">[1]AustralianNA2!$Z$71:$Z$244</definedName>
    <definedName name="A2716397F_Latest">[1]AustralianNA2!$Z$244</definedName>
    <definedName name="A2716398J">[1]AustralianNA2!$AA$1:$AA$10,[1]AustralianNA2!$AA$71:$AA$244</definedName>
    <definedName name="A2716398J_Data">[1]AustralianNA2!$AA$71:$AA$244</definedName>
    <definedName name="A2716398J_Latest">[1]AustralianNA2!$AA$244</definedName>
    <definedName name="A2716399K">[1]AustralianNA2!$AB$1:$AB$10,[1]AustralianNA2!$AB$71:$AB$244</definedName>
    <definedName name="A2716399K_Data">[1]AustralianNA2!$AB$71:$AB$244</definedName>
    <definedName name="A2716399K_Latest">[1]AustralianNA2!$AB$244</definedName>
    <definedName name="A2716400J">[1]AustralianNA2!$AG$1:$AG$10,[1]AustralianNA2!$AG$71:$AG$244</definedName>
    <definedName name="A2716400J_Data">[1]AustralianNA2!$AG$71:$AG$244</definedName>
    <definedName name="A2716400J_Latest">[1]AustralianNA2!$AG$244</definedName>
    <definedName name="A2716401K">[1]AustralianNA2!$AD$1:$AD$10,[1]AustralianNA2!$AD$71:$AD$244</definedName>
    <definedName name="A2716401K_Data">[1]AustralianNA2!$AD$71:$AD$244</definedName>
    <definedName name="A2716401K_Latest">[1]AustralianNA2!$AD$244</definedName>
    <definedName name="A2716404T">[1]AustralianNA2!$AF$1:$AF$10,[1]AustralianNA2!$AF$71:$AF$244</definedName>
    <definedName name="A2716404T_Data">[1]AustralianNA2!$AF$71:$AF$244</definedName>
    <definedName name="A2716404T_Latest">[1]AustralianNA2!$AF$244</definedName>
    <definedName name="A2716405V">[1]AustralianNA2!$AJ$1:$AJ$10,[1]AustralianNA2!$AJ$71:$AJ$244</definedName>
    <definedName name="A2716405V_Data">[1]AustralianNA2!$AJ$71:$AJ$244</definedName>
    <definedName name="A2716405V_Latest">[1]AustralianNA2!$AJ$244</definedName>
    <definedName name="A2716406W">[1]AustralianNA2!$AM$1:$AM$10,[1]AustralianNA2!$AM$71:$AM$244</definedName>
    <definedName name="A2716406W_Data">[1]AustralianNA2!$AM$71:$AM$244</definedName>
    <definedName name="A2716406W_Latest">[1]AustralianNA2!$AM$244</definedName>
    <definedName name="A2716407X">[1]AustralianNA2!$AP$1:$AP$10,[1]AustralianNA2!$AP$71:$AP$244</definedName>
    <definedName name="A2716407X_Data">[1]AustralianNA2!$AP$71:$AP$244</definedName>
    <definedName name="A2716407X_Latest">[1]AustralianNA2!$AP$244</definedName>
    <definedName name="A2716408A">[1]AustralianNA2!$AS$1:$AS$10,[1]AustralianNA2!$AS$71:$AS$244</definedName>
    <definedName name="A2716408A_Data">[1]AustralianNA2!$AS$71:$AS$244</definedName>
    <definedName name="A2716408A_Latest">[1]AustralianNA2!$AS$244</definedName>
    <definedName name="A2716409C">[1]AustralianNA2!$AT$1:$AT$10,[1]AustralianNA2!$AT$71:$AT$244</definedName>
    <definedName name="A2716409C_Data">[1]AustralianNA2!$AT$71:$AT$244</definedName>
    <definedName name="A2716409C_Latest">[1]AustralianNA2!$AT$244</definedName>
    <definedName name="A2716410L">[1]AustralianNA2!$AU$1:$AU$10,[1]AustralianNA2!$AU$71:$AU$244</definedName>
    <definedName name="A2716410L_Data">[1]AustralianNA2!$AU$71:$AU$244</definedName>
    <definedName name="A2716410L_Latest">[1]AustralianNA2!$AU$244</definedName>
    <definedName name="A2716411R">[1]AustralianNA2!$AV$1:$AV$10,[1]AustralianNA2!$AV$71:$AV$244</definedName>
    <definedName name="A2716411R_Data">[1]AustralianNA2!$AV$71:$AV$244</definedName>
    <definedName name="A2716411R_Latest">[1]AustralianNA2!$AV$244</definedName>
    <definedName name="A2716412T">[1]AustralianNA2!$AW$1:$AW$10,[1]AustralianNA2!$AW$71:$AW$244</definedName>
    <definedName name="A2716412T_Data">[1]AustralianNA2!$AW$71:$AW$244</definedName>
    <definedName name="A2716412T_Latest">[1]AustralianNA2!$AW$244</definedName>
    <definedName name="A2716413V">[1]AustralianNA2!$AX$1:$AX$10,[1]AustralianNA2!$AX$71:$AX$244</definedName>
    <definedName name="A2716413V_Data">[1]AustralianNA2!$AX$71:$AX$244</definedName>
    <definedName name="A2716413V_Latest">[1]AustralianNA2!$AX$244</definedName>
    <definedName name="A2716414W">[1]AustralianNA2!$AY$1:$AY$10,[1]AustralianNA2!$AY$71:$AY$244</definedName>
    <definedName name="A2716414W_Data">[1]AustralianNA2!$AY$71:$AY$244</definedName>
    <definedName name="A2716414W_Latest">[1]AustralianNA2!$AY$244</definedName>
    <definedName name="A2716584L">[1]AustralianNA3!$BR$1:$BR$10,[1]AustralianNA3!$BR$72:$BR$244</definedName>
    <definedName name="A2716584L_Data">[1]AustralianNA3!$BR$72:$BR$244</definedName>
    <definedName name="A2716584L_Latest">[1]AustralianNA3!$BR$244</definedName>
    <definedName name="A2716585R">[1]AustralianNA2!$EY$1:$EY$10,[1]AustralianNA2!$EY$71:$EY$244</definedName>
    <definedName name="A2716585R_Data">[1]AustralianNA2!$EY$71:$EY$244</definedName>
    <definedName name="A2716585R_Latest">[1]AustralianNA2!$EY$244</definedName>
    <definedName name="A2716587V">[1]AustralianNA2!$U$1:$U$10,[1]AustralianNA2!$U$71:$U$244</definedName>
    <definedName name="A2716587V_Data">[1]AustralianNA2!$U$71:$U$244</definedName>
    <definedName name="A2716587V_Latest">[1]AustralianNA2!$U$244</definedName>
    <definedName name="A3348484C">[1]AustralianNA2!$AC$1:$AC$10,[1]AustralianNA2!$AC$71:$AC$244</definedName>
    <definedName name="A3348484C_Data">[1]AustralianNA2!$AC$71:$AC$244</definedName>
    <definedName name="A3348484C_Latest">[1]AustralianNA2!$AC$244</definedName>
    <definedName name="A3348485F">[1]AustralianNA2!$AE$1:$AE$10,[1]AustralianNA2!$AE$71:$AE$244</definedName>
    <definedName name="A3348485F_Data">[1]AustralianNA2!$AE$71:$AE$244</definedName>
    <definedName name="A3348485F_Latest">[1]AustralianNA2!$AE$244</definedName>
    <definedName name="A3348486J">[1]AustralianNA2!$CF$1:$CF$10,[1]AustralianNA2!$CF$72:$CF$244</definedName>
    <definedName name="A3348486J_Data">[1]AustralianNA2!$CF$72:$CF$244</definedName>
    <definedName name="A3348486J_Latest">[1]AustralianNA2!$CF$244</definedName>
    <definedName name="A3348487K">[1]AustralianNA2!$CH$1:$CH$10,[1]AustralianNA2!$CH$72:$CH$244</definedName>
    <definedName name="A3348487K_Data">[1]AustralianNA2!$CH$72:$CH$244</definedName>
    <definedName name="A3348487K_Latest">[1]AustralianNA2!$CH$244</definedName>
    <definedName name="A3348488L">[1]AustralianNA2!$EH$1:$EH$10,[1]AustralianNA2!$EH$71:$EH$244</definedName>
    <definedName name="A3348488L_Data">[1]AustralianNA2!$EH$71:$EH$244</definedName>
    <definedName name="A3348488L_Latest">[1]AustralianNA2!$EH$244</definedName>
    <definedName name="A3348489R">[1]AustralianNA2!$EJ$1:$EJ$10,[1]AustralianNA2!$EJ$71:$EJ$244</definedName>
    <definedName name="A3348489R_Data">[1]AustralianNA2!$EJ$71:$EJ$244</definedName>
    <definedName name="A3348489R_Latest">[1]AustralianNA2!$EJ$244</definedName>
    <definedName name="A3348490X">[1]AustralianNA2!$GK$1:$GK$10,[1]AustralianNA2!$GK$72:$GK$244</definedName>
    <definedName name="A3348490X_Data">[1]AustralianNA2!$GK$72:$GK$244</definedName>
    <definedName name="A3348490X_Latest">[1]AustralianNA2!$GK$244</definedName>
    <definedName name="A3348491A">[1]AustralianNA2!$GM$1:$GM$10,[1]AustralianNA2!$GM$72:$GM$244</definedName>
    <definedName name="A3348491A_Data">[1]AustralianNA2!$GM$72:$GM$244</definedName>
    <definedName name="A3348491A_Latest">[1]AustralianNA2!$GM$244</definedName>
    <definedName name="A3348492C">[1]AustralianNA2!$IM$1:$IM$10,[1]AustralianNA2!$IM$71:$IM$244</definedName>
    <definedName name="A3348492C_Data">[1]AustralianNA2!$IM$71:$IM$244</definedName>
    <definedName name="A3348492C_Latest">[1]AustralianNA2!$IM$244</definedName>
    <definedName name="A3348493F">[1]AustralianNA2!$IO$1:$IO$10,[1]AustralianNA2!$IO$71:$IO$244</definedName>
    <definedName name="A3348493F_Data">[1]AustralianNA2!$IO$71:$IO$244</definedName>
    <definedName name="A3348493F_Latest">[1]AustralianNA2!$IO$244</definedName>
    <definedName name="A3348494J">[1]AustralianNA3!$AZ$1:$AZ$10,[1]AustralianNA3!$AZ$72:$AZ$244</definedName>
    <definedName name="A3348494J_Data">[1]AustralianNA3!$AZ$72:$AZ$244</definedName>
    <definedName name="A3348494J_Latest">[1]AustralianNA3!$AZ$244</definedName>
    <definedName name="A3348495K">[1]AustralianNA3!$BB$1:$BB$10,[1]AustralianNA3!$BB$72:$BB$244</definedName>
    <definedName name="A3348495K_Data">[1]AustralianNA3!$BB$72:$BB$244</definedName>
    <definedName name="A3348495K_Latest">[1]AustralianNA3!$BB$244</definedName>
    <definedName name="A3605670A">[1]AustralianNA2!$FM$1:$FM$10,[1]AustralianNA2!$FM$116:$FM$244</definedName>
    <definedName name="A3605670A_Data">[1]AustralianNA2!$FM$116:$FM$244</definedName>
    <definedName name="A3605670A_Latest">[1]AustralianNA2!$FM$244</definedName>
    <definedName name="A3605672F">[1]AustralianNA2!$FN$1:$FN$10,[1]AustralianNA2!$FN$116:$FN$244</definedName>
    <definedName name="A3605672F_Data">[1]AustralianNA2!$FN$116:$FN$244</definedName>
    <definedName name="A3605672F_Latest">[1]AustralianNA2!$FN$244</definedName>
    <definedName name="A3605673J">[1]AustralianNA2!$HP$1:$HP$10,[1]AustralianNA2!$HP$115:$HP$244</definedName>
    <definedName name="A3605673J_Data">[1]AustralianNA2!$HP$115:$HP$244</definedName>
    <definedName name="A3605673J_Latest">[1]AustralianNA2!$HP$244</definedName>
    <definedName name="A3605674K">[1]AustralianNA2!$BH$1:$BH$10,[1]AustralianNA2!$BH$116:$BH$244</definedName>
    <definedName name="A3605674K_Data">[1]AustralianNA2!$BH$116:$BH$244</definedName>
    <definedName name="A3605674K_Latest">[1]AustralianNA2!$BH$244</definedName>
    <definedName name="A3605676R">[1]AustralianNA2!$BI$1:$BI$10,[1]AustralianNA2!$BI$116:$BI$244</definedName>
    <definedName name="A3605676R_Data">[1]AustralianNA2!$BI$116:$BI$244</definedName>
    <definedName name="A3605676R_Latest">[1]AustralianNA2!$BI$244</definedName>
    <definedName name="A3605677T">[1]AustralianNA2!$HO$1:$HO$10,[1]AustralianNA2!$HO$115:$HO$244</definedName>
    <definedName name="A3605677T_Data">[1]AustralianNA2!$HO$115:$HO$244</definedName>
    <definedName name="A3605677T_Latest">[1]AustralianNA2!$HO$244</definedName>
    <definedName name="A3606066X">[1]AustralianNA2!$DJ$1:$DJ$10,[1]AustralianNA2!$DJ$115:$DJ$244</definedName>
    <definedName name="A3606066X_Data">[1]AustralianNA2!$DJ$115:$DJ$244</definedName>
    <definedName name="A3606066X_Latest">[1]AustralianNA2!$DJ$244</definedName>
    <definedName name="A3606067A">[1]AustralianNA2!$DK$1:$DK$10,[1]AustralianNA2!$DK$115:$DK$244</definedName>
    <definedName name="A3606067A_Data">[1]AustralianNA2!$DK$115:$DK$244</definedName>
    <definedName name="A3606067A_Latest">[1]AustralianNA2!$DK$244</definedName>
    <definedName name="A3606069F">[1]AustralianNA2!$E$1:$E$10,[1]AustralianNA2!$E$115:$E$244</definedName>
    <definedName name="A3606069F_Data">[1]AustralianNA2!$E$115:$E$244</definedName>
    <definedName name="A3606069F_Latest">[1]AustralianNA2!$E$244</definedName>
    <definedName name="A3606070R">[1]AustralianNA2!$F$1:$F$10,[1]AustralianNA2!$F$115:$F$244</definedName>
    <definedName name="A3606070R_Data">[1]AustralianNA2!$F$115:$F$244</definedName>
    <definedName name="A3606070R_Latest">[1]AustralianNA2!$F$244</definedName>
    <definedName name="A3606072V">[1]AustralianNA3!$AB$1:$AB$10,[1]AustralianNA3!$AB$116:$AB$244</definedName>
    <definedName name="A3606072V_Data">[1]AustralianNA3!$AB$116:$AB$244</definedName>
    <definedName name="A3606072V_Latest">[1]AustralianNA3!$AB$244</definedName>
    <definedName name="A3606073W">[1]AustralianNA3!$AC$1:$AC$10,[1]AustralianNA3!$AC$116:$AC$244</definedName>
    <definedName name="A3606073W_Data">[1]AustralianNA3!$AC$116:$AC$244</definedName>
    <definedName name="A3606073W_Latest">[1]AustralianNA3!$AC$244</definedName>
    <definedName name="A83722605X">[1]AustralianNA2!$G$1:$G$10,[1]AustralianNA2!$G$115:$G$244</definedName>
    <definedName name="A83722605X_Data">[1]AustralianNA2!$G$115:$G$244</definedName>
    <definedName name="A83722605X_Latest">[1]AustralianNA2!$G$244</definedName>
    <definedName name="A83722606A">[1]AustralianNA2!$FO$1:$FO$10,[1]AustralianNA2!$FO$116:$FO$244</definedName>
    <definedName name="A83722606A_Data">[1]AustralianNA2!$FO$116:$FO$244</definedName>
    <definedName name="A83722606A_Latest">[1]AustralianNA2!$FO$244</definedName>
    <definedName name="A83722607C">[1]AustralianNA2!$BJ$1:$BJ$10,[1]AustralianNA2!$BJ$116:$BJ$244</definedName>
    <definedName name="A83722607C_Data">[1]AustralianNA2!$BJ$116:$BJ$244</definedName>
    <definedName name="A83722607C_Latest">[1]AustralianNA2!$BJ$244</definedName>
    <definedName name="A83722608F">[1]AustralianNA2!$HR$1:$HR$10,[1]AustralianNA2!$HR$115:$HR$244</definedName>
    <definedName name="A83722608F_Data">[1]AustralianNA2!$HR$115:$HR$244</definedName>
    <definedName name="A83722608F_Latest">[1]AustralianNA2!$HR$244</definedName>
    <definedName name="A83722609J">[1]AustralianNA2!$DM$1:$DM$10,[1]AustralianNA2!$DM$115:$DM$244</definedName>
    <definedName name="A83722609J_Data">[1]AustralianNA2!$DM$115:$DM$244</definedName>
    <definedName name="A83722609J_Latest">[1]AustralianNA2!$DM$244</definedName>
    <definedName name="A83722610T">[1]AustralianNA2!$H$1:$H$10,[1]AustralianNA2!$H$115:$H$244</definedName>
    <definedName name="A83722610T_Data">[1]AustralianNA2!$H$115:$H$244</definedName>
    <definedName name="A83722610T_Latest">[1]AustralianNA2!$H$244</definedName>
    <definedName name="A83722611V">[1]AustralianNA2!$FP$1:$FP$10,[1]AustralianNA2!$FP$116:$FP$244</definedName>
    <definedName name="A83722611V_Data">[1]AustralianNA2!$FP$116:$FP$244</definedName>
    <definedName name="A83722611V_Latest">[1]AustralianNA2!$FP$244</definedName>
    <definedName name="A83722612W">[1]AustralianNA2!$BK$1:$BK$10,[1]AustralianNA2!$BK$116:$BK$244</definedName>
    <definedName name="A83722612W_Data">[1]AustralianNA2!$BK$116:$BK$244</definedName>
    <definedName name="A83722612W_Latest">[1]AustralianNA2!$BK$244</definedName>
    <definedName name="A83722613X">[1]AustralianNA3!$AE$1:$AE$10,[1]AustralianNA3!$AE$116:$AE$244</definedName>
    <definedName name="A83722613X_Data">[1]AustralianNA3!$AE$116:$AE$244</definedName>
    <definedName name="A83722613X_Latest">[1]AustralianNA3!$AE$244</definedName>
    <definedName name="A83722620W">[1]AustralianNA2!$HQ$1:$HQ$10,[1]AustralianNA2!$HQ$115:$HQ$244</definedName>
    <definedName name="A83722620W_Data">[1]AustralianNA2!$HQ$115:$HQ$244</definedName>
    <definedName name="A83722620W_Latest">[1]AustralianNA2!$HQ$244</definedName>
    <definedName name="A83722621X">[1]AustralianNA2!$DL$1:$DL$10,[1]AustralianNA2!$DL$115:$DL$244</definedName>
    <definedName name="A83722621X_Data">[1]AustralianNA2!$DL$115:$DL$244</definedName>
    <definedName name="A83722621X_Latest">[1]AustralianNA2!$DL$244</definedName>
    <definedName name="A83722622A">[1]AustralianNA3!$AD$1:$AD$10,[1]AustralianNA3!$AD$116:$AD$244</definedName>
    <definedName name="A83722622A_Data">[1]AustralianNA3!$AD$116:$AD$244</definedName>
    <definedName name="A83722622A_Latest">[1]AustralianNA3!$AD$244</definedName>
    <definedName name="A85124990W">[1]AustralianNA4!$R$1:$R$10,[1]AustralianNA4!$R$11:$R$128</definedName>
    <definedName name="A85124990W_Data">[1]AustralianNA4!$R$11:$R$128</definedName>
    <definedName name="A85124990W_Latest">[1]AustralianNA4!$R$128</definedName>
    <definedName name="A85124991X">[1]AustralianNA4!$S$1:$S$10,[1]AustralianNA4!$S$11:$S$128</definedName>
    <definedName name="A85124991X_Data">[1]AustralianNA4!$S$11:$S$128</definedName>
    <definedName name="A85124991X_Latest">[1]AustralianNA4!$S$128</definedName>
    <definedName name="A85124992A">[1]AustralianNA4!$T$1:$T$10,[1]AustralianNA4!$T$11:$T$128</definedName>
    <definedName name="A85124992A_Data">[1]AustralianNA4!$T$11:$T$128</definedName>
    <definedName name="A85124992A_Latest">[1]AustralianNA4!$T$128</definedName>
    <definedName name="A85124993C">[1]AustralianNA4!$U$1:$U$10,[1]AustralianNA4!$U$11:$U$128</definedName>
    <definedName name="A85124993C_Data">[1]AustralianNA4!$U$11:$U$128</definedName>
    <definedName name="A85124993C_Latest">[1]AustralianNA4!$U$128</definedName>
    <definedName name="A85124994F">[1]AustralianNA4!$V$1:$V$10,[1]AustralianNA4!$V$11:$V$128</definedName>
    <definedName name="A85124994F_Data">[1]AustralianNA4!$V$11:$V$128</definedName>
    <definedName name="A85124994F_Latest">[1]AustralianNA4!$V$128</definedName>
    <definedName name="A85124995J">[1]AustralianNA4!$W$1:$W$10,[1]AustralianNA4!$W$11:$W$128</definedName>
    <definedName name="A85124995J_Data">[1]AustralianNA4!$W$11:$W$128</definedName>
    <definedName name="A85124995J_Latest">[1]AustralianNA4!$W$128</definedName>
    <definedName name="A85124996K">[1]AustralianNA4!$X$1:$X$10,[1]AustralianNA4!$X$11:$X$128</definedName>
    <definedName name="A85124996K_Data">[1]AustralianNA4!$X$11:$X$128</definedName>
    <definedName name="A85124996K_Latest">[1]AustralianNA4!$X$128</definedName>
    <definedName name="A85124997L">[1]AustralianNA4!$Y$1:$Y$10,[1]AustralianNA4!$Y$11:$Y$128</definedName>
    <definedName name="A85124997L_Data">[1]AustralianNA4!$Y$11:$Y$128</definedName>
    <definedName name="A85124997L_Latest">[1]AustralianNA4!$Y$128</definedName>
    <definedName name="A85124998R">[1]AustralianNA4!$Z$1:$Z$10,[1]AustralianNA4!$Z$11:$Z$128</definedName>
    <definedName name="A85124998R_Data">[1]AustralianNA4!$Z$11:$Z$128</definedName>
    <definedName name="A85124998R_Latest">[1]AustralianNA4!$Z$128</definedName>
    <definedName name="A85124999T">[1]AustralianNA4!$AA$1:$AA$10,[1]AustralianNA4!$AA$11:$AA$128</definedName>
    <definedName name="A85124999T_Data">[1]AustralianNA4!$AA$11:$AA$128</definedName>
    <definedName name="A85124999T_Latest">[1]AustralianNA4!$AA$128</definedName>
    <definedName name="A85125000T">[1]AustralianNA4!$AC$1:$AC$10,[1]AustralianNA4!$AC$11:$AC$128</definedName>
    <definedName name="A85125000T_Data">[1]AustralianNA4!$AC$11:$AC$128</definedName>
    <definedName name="A85125000T_Latest">[1]AustralianNA4!$AC$128</definedName>
    <definedName name="A85125001V">[1]AustralianNA4!$AD$1:$AD$10,[1]AustralianNA4!$AD$11:$AD$128</definedName>
    <definedName name="A85125001V_Data">[1]AustralianNA4!$AD$11:$AD$128</definedName>
    <definedName name="A85125001V_Latest">[1]AustralianNA4!$AD$128</definedName>
    <definedName name="A85125002W">[1]AustralianNA4!$AE$1:$AE$10,[1]AustralianNA4!$AE$11:$AE$128</definedName>
    <definedName name="A85125002W_Data">[1]AustralianNA4!$AE$11:$AE$128</definedName>
    <definedName name="A85125002W_Latest">[1]AustralianNA4!$AE$128</definedName>
    <definedName name="A85125003X">[1]AustralianNA4!$AF$1:$AF$10,[1]AustralianNA4!$AF$11:$AF$128</definedName>
    <definedName name="A85125003X_Data">[1]AustralianNA4!$AF$11:$AF$128</definedName>
    <definedName name="A85125003X_Latest">[1]AustralianNA4!$AF$128</definedName>
    <definedName name="A85125004A">[1]AustralianNA4!$AG$1:$AG$10,[1]AustralianNA4!$AG$11:$AG$128</definedName>
    <definedName name="A85125004A_Data">[1]AustralianNA4!$AG$11:$AG$128</definedName>
    <definedName name="A85125004A_Latest">[1]AustralianNA4!$AG$128</definedName>
    <definedName name="A85125005C">[1]AustralianNA4!$AH$1:$AH$10,[1]AustralianNA4!$AH$11:$AH$128</definedName>
    <definedName name="A85125005C_Data">[1]AustralianNA4!$AH$11:$AH$128</definedName>
    <definedName name="A85125005C_Latest">[1]AustralianNA4!$AH$128</definedName>
    <definedName name="A85125006F">[1]AustralianNA4!$AI$1:$AI$10,[1]AustralianNA4!$AI$11:$AI$128</definedName>
    <definedName name="A85125006F_Data">[1]AustralianNA4!$AI$11:$AI$128</definedName>
    <definedName name="A85125006F_Latest">[1]AustralianNA4!$AI$128</definedName>
    <definedName name="A85125007J">[1]AustralianNA4!$AJ$1:$AJ$10,[1]AustralianNA4!$AJ$11:$AJ$128</definedName>
    <definedName name="A85125007J_Data">[1]AustralianNA4!$AJ$11:$AJ$128</definedName>
    <definedName name="A85125007J_Latest">[1]AustralianNA4!$AJ$128</definedName>
    <definedName name="A85125008K">[1]AustralianNA4!$AK$1:$AK$10,[1]AustralianNA4!$AK$11:$AK$128</definedName>
    <definedName name="A85125008K_Data">[1]AustralianNA4!$AK$11:$AK$128</definedName>
    <definedName name="A85125008K_Latest">[1]AustralianNA4!$AK$128</definedName>
    <definedName name="A85125009L">[1]AustralianNA4!$AL$1:$AL$10,[1]AustralianNA4!$AL$11:$AL$128</definedName>
    <definedName name="A85125009L_Data">[1]AustralianNA4!$AL$11:$AL$128</definedName>
    <definedName name="A85125009L_Latest">[1]AustralianNA4!$AL$128</definedName>
    <definedName name="A85125010W">[1]AustralianNA4!$AM$1:$AM$10,[1]AustralianNA4!$AM$11:$AM$128</definedName>
    <definedName name="A85125010W_Data">[1]AustralianNA4!$AM$11:$AM$128</definedName>
    <definedName name="A85125010W_Latest">[1]AustralianNA4!$AM$128</definedName>
    <definedName name="A85125011X">[1]AustralianNA4!$AN$1:$AN$10,[1]AustralianNA4!$AN$11:$AN$128</definedName>
    <definedName name="A85125011X_Data">[1]AustralianNA4!$AN$11:$AN$128</definedName>
    <definedName name="A85125011X_Latest">[1]AustralianNA4!$AN$128</definedName>
    <definedName name="A85125012A">[1]AustralianNA4!$AO$1:$AO$10,[1]AustralianNA4!$AO$11:$AO$128</definedName>
    <definedName name="A85125012A_Data">[1]AustralianNA4!$AO$11:$AO$128</definedName>
    <definedName name="A85125012A_Latest">[1]AustralianNA4!$AO$128</definedName>
    <definedName name="A85125013C">[1]AustralianNA4!$AP$1:$AP$10,[1]AustralianNA4!$AP$11:$AP$128</definedName>
    <definedName name="A85125013C_Data">[1]AustralianNA4!$AP$11:$AP$128</definedName>
    <definedName name="A85125013C_Latest">[1]AustralianNA4!$AP$128</definedName>
    <definedName name="A85125014F">[1]AustralianNA4!$AQ$1:$AQ$10,[1]AustralianNA4!$AQ$11:$AQ$128</definedName>
    <definedName name="A85125014F_Data">[1]AustralianNA4!$AQ$11:$AQ$128</definedName>
    <definedName name="A85125014F_Latest">[1]AustralianNA4!$AQ$128</definedName>
    <definedName name="A85125015J">[1]AustralianNA4!$AR$1:$AR$10,[1]AustralianNA4!$AR$11:$AR$128</definedName>
    <definedName name="A85125015J_Data">[1]AustralianNA4!$AR$11:$AR$128</definedName>
    <definedName name="A85125015J_Latest">[1]AustralianNA4!$AR$128</definedName>
    <definedName name="A85125016K">[1]AustralianNA4!$AS$1:$AS$10,[1]AustralianNA4!$AS$11:$AS$128</definedName>
    <definedName name="A85125016K_Data">[1]AustralianNA4!$AS$11:$AS$128</definedName>
    <definedName name="A85125016K_Latest">[1]AustralianNA4!$AS$128</definedName>
    <definedName name="A85125017L">[1]AustralianNA4!$AT$1:$AT$10,[1]AustralianNA4!$AT$11:$AT$128</definedName>
    <definedName name="A85125017L_Data">[1]AustralianNA4!$AT$11:$AT$128</definedName>
    <definedName name="A85125017L_Latest">[1]AustralianNA4!$AT$128</definedName>
    <definedName name="A85125018R">[1]AustralianNA4!$AU$1:$AU$10,[1]AustralianNA4!$AU$11:$AU$128</definedName>
    <definedName name="A85125018R_Data">[1]AustralianNA4!$AU$11:$AU$128</definedName>
    <definedName name="A85125018R_Latest">[1]AustralianNA4!$AU$128</definedName>
    <definedName name="A85125019T">[1]AustralianNA4!$AV$1:$AV$10,[1]AustralianNA4!$AV$11:$AV$128</definedName>
    <definedName name="A85125019T_Data">[1]AustralianNA4!$AV$11:$AV$128</definedName>
    <definedName name="A85125019T_Latest">[1]AustralianNA4!$AV$128</definedName>
    <definedName name="A85125020A">[1]AustralianNA4!$AW$1:$AW$10,[1]AustralianNA4!$AW$11:$AW$128</definedName>
    <definedName name="A85125020A_Data">[1]AustralianNA4!$AW$11:$AW$128</definedName>
    <definedName name="A85125020A_Latest">[1]AustralianNA4!$AW$128</definedName>
    <definedName name="A85125021C">[1]AustralianNA4!$AX$1:$AX$10,[1]AustralianNA4!$AX$11:$AX$128</definedName>
    <definedName name="A85125021C_Data">[1]AustralianNA4!$AX$11:$AX$128</definedName>
    <definedName name="A85125021C_Latest">[1]AustralianNA4!$AX$128</definedName>
    <definedName name="A85125022F">[1]AustralianNA4!$AY$1:$AY$10,[1]AustralianNA4!$AY$11:$AY$128</definedName>
    <definedName name="A85125022F_Data">[1]AustralianNA4!$AY$11:$AY$128</definedName>
    <definedName name="A85125022F_Latest">[1]AustralianNA4!$AY$128</definedName>
    <definedName name="A85125023J">[1]AustralianNA4!$AZ$1:$AZ$10,[1]AustralianNA4!$AZ$11:$AZ$128</definedName>
    <definedName name="A85125023J_Data">[1]AustralianNA4!$AZ$11:$AZ$128</definedName>
    <definedName name="A85125023J_Latest">[1]AustralianNA4!$AZ$128</definedName>
    <definedName name="A85125024K">[1]AustralianNA4!$BA$1:$BA$10,[1]AustralianNA4!$BA$11:$BA$128</definedName>
    <definedName name="A85125024K_Data">[1]AustralianNA4!$BA$11:$BA$128</definedName>
    <definedName name="A85125024K_Latest">[1]AustralianNA4!$BA$128</definedName>
    <definedName name="A85125025L">[1]AustralianNA4!$BB$1:$BB$10,[1]AustralianNA4!$BB$11:$BB$128</definedName>
    <definedName name="A85125025L_Data">[1]AustralianNA4!$BB$11:$BB$128</definedName>
    <definedName name="A85125025L_Latest">[1]AustralianNA4!$BB$128</definedName>
    <definedName name="A85125026R">[1]AustralianNA4!$BC$1:$BC$10,[1]AustralianNA4!$BC$11:$BC$128</definedName>
    <definedName name="A85125026R_Data">[1]AustralianNA4!$BC$11:$BC$128</definedName>
    <definedName name="A85125026R_Latest">[1]AustralianNA4!$BC$128</definedName>
    <definedName name="A85125027T">[1]AustralianNA4!$BD$1:$BD$10,[1]AustralianNA4!$BD$11:$BD$128</definedName>
    <definedName name="A85125027T_Data">[1]AustralianNA4!$BD$11:$BD$128</definedName>
    <definedName name="A85125027T_Latest">[1]AustralianNA4!$BD$128</definedName>
    <definedName name="A85125028V">[1]AustralianNA4!$BF$1:$BF$10,[1]AustralianNA4!$BF$11:$BF$128</definedName>
    <definedName name="A85125028V_Data">[1]AustralianNA4!$BF$11:$BF$128</definedName>
    <definedName name="A85125028V_Latest">[1]AustralianNA4!$BF$128</definedName>
    <definedName name="A85125029W">[1]AustralianNA4!$BG$1:$BG$10,[1]AustralianNA4!$BG$11:$BG$128</definedName>
    <definedName name="A85125029W_Data">[1]AustralianNA4!$BG$11:$BG$128</definedName>
    <definedName name="A85125029W_Latest">[1]AustralianNA4!$BG$128</definedName>
    <definedName name="A85125030F">[1]AustralianNA4!$BH$1:$BH$10,[1]AustralianNA4!$BH$11:$BH$128</definedName>
    <definedName name="A85125030F_Data">[1]AustralianNA4!$BH$11:$BH$128</definedName>
    <definedName name="A85125030F_Latest">[1]AustralianNA4!$BH$128</definedName>
    <definedName name="A85125031J">[1]AustralianNA4!$BI$1:$BI$10,[1]AustralianNA4!$BI$11:$BI$128</definedName>
    <definedName name="A85125031J_Data">[1]AustralianNA4!$BI$11:$BI$128</definedName>
    <definedName name="A85125031J_Latest">[1]AustralianNA4!$BI$128</definedName>
    <definedName name="A85125032K">[1]AustralianNA4!$BJ$1:$BJ$10,[1]AustralianNA4!$BJ$11:$BJ$128</definedName>
    <definedName name="A85125032K_Data">[1]AustralianNA4!$BJ$11:$BJ$128</definedName>
    <definedName name="A85125032K_Latest">[1]AustralianNA4!$BJ$128</definedName>
    <definedName name="A85125033L">[1]AustralianNA4!$BK$1:$BK$10,[1]AustralianNA4!$BK$11:$BK$128</definedName>
    <definedName name="A85125033L_Data">[1]AustralianNA4!$BK$11:$BK$128</definedName>
    <definedName name="A85125033L_Latest">[1]AustralianNA4!$BK$128</definedName>
    <definedName name="A85125034R">[1]AustralianNA4!$BL$1:$BL$10,[1]AustralianNA4!$BL$11:$BL$128</definedName>
    <definedName name="A85125034R_Data">[1]AustralianNA4!$BL$11:$BL$128</definedName>
    <definedName name="A85125034R_Latest">[1]AustralianNA4!$BL$128</definedName>
    <definedName name="A85125035T">[1]AustralianNA4!$BM$1:$BM$10,[1]AustralianNA4!$BM$11:$BM$128</definedName>
    <definedName name="A85125035T_Data">[1]AustralianNA4!$BM$11:$BM$128</definedName>
    <definedName name="A85125035T_Latest">[1]AustralianNA4!$BM$128</definedName>
    <definedName name="A85125036V">[1]AustralianNA4!$BN$1:$BN$10,[1]AustralianNA4!$BN$11:$BN$128</definedName>
    <definedName name="A85125036V_Data">[1]AustralianNA4!$BN$11:$BN$128</definedName>
    <definedName name="A85125036V_Latest">[1]AustralianNA4!$BN$128</definedName>
    <definedName name="A85125037W">[1]AustralianNA4!$BO$1:$BO$10,[1]AustralianNA4!$BO$11:$BO$128</definedName>
    <definedName name="A85125037W_Data">[1]AustralianNA4!$BO$11:$BO$128</definedName>
    <definedName name="A85125037W_Latest">[1]AustralianNA4!$BO$128</definedName>
    <definedName name="A85125038X">[1]AustralianNA4!$BP$1:$BP$10,[1]AustralianNA4!$BP$11:$BP$128</definedName>
    <definedName name="A85125038X_Data">[1]AustralianNA4!$BP$11:$BP$128</definedName>
    <definedName name="A85125038X_Latest">[1]AustralianNA4!$BP$128</definedName>
    <definedName name="A85125039A">[1]AustralianNA4!$BQ$1:$BQ$10,[1]AustralianNA4!$BQ$11:$BQ$128</definedName>
    <definedName name="A85125039A_Data">[1]AustralianNA4!$BQ$11:$BQ$128</definedName>
    <definedName name="A85125039A_Latest">[1]AustralianNA4!$BQ$128</definedName>
    <definedName name="A85125040K">[1]AustralianNA4!$BR$1:$BR$10,[1]AustralianNA4!$BR$11:$BR$128</definedName>
    <definedName name="A85125040K_Data">[1]AustralianNA4!$BR$11:$BR$128</definedName>
    <definedName name="A85125040K_Latest">[1]AustralianNA4!$BR$128</definedName>
    <definedName name="A85125041L">[1]AustralianNA4!$BS$1:$BS$10,[1]AustralianNA4!$BS$11:$BS$128</definedName>
    <definedName name="A85125041L_Data">[1]AustralianNA4!$BS$11:$BS$128</definedName>
    <definedName name="A85125041L_Latest">[1]AustralianNA4!$BS$128</definedName>
    <definedName name="A85125042R">[1]AustralianNA4!$BT$1:$BT$10,[1]AustralianNA4!$BT$11:$BT$128</definedName>
    <definedName name="A85125042R_Data">[1]AustralianNA4!$BT$11:$BT$128</definedName>
    <definedName name="A85125042R_Latest">[1]AustralianNA4!$BT$128</definedName>
    <definedName name="A85125043T">[1]AustralianNA4!$BU$1:$BU$10,[1]AustralianNA4!$BU$11:$BU$128</definedName>
    <definedName name="A85125043T_Data">[1]AustralianNA4!$BU$11:$BU$128</definedName>
    <definedName name="A85125043T_Latest">[1]AustralianNA4!$BU$128</definedName>
    <definedName name="A85125044V">[1]AustralianNA4!$BV$1:$BV$10,[1]AustralianNA4!$BV$11:$BV$128</definedName>
    <definedName name="A85125044V_Data">[1]AustralianNA4!$BV$11:$BV$128</definedName>
    <definedName name="A85125044V_Latest">[1]AustralianNA4!$BV$128</definedName>
    <definedName name="A85125045W">[1]AustralianNA4!$BW$1:$BW$10,[1]AustralianNA4!$BW$11:$BW$128</definedName>
    <definedName name="A85125045W_Data">[1]AustralianNA4!$BW$11:$BW$128</definedName>
    <definedName name="A85125045W_Latest">[1]AustralianNA4!$BW$128</definedName>
    <definedName name="A85125046X">[1]AustralianNA4!$BX$1:$BX$10,[1]AustralianNA4!$BX$11:$BX$128</definedName>
    <definedName name="A85125046X_Data">[1]AustralianNA4!$BX$11:$BX$128</definedName>
    <definedName name="A85125046X_Latest">[1]AustralianNA4!$BX$128</definedName>
    <definedName name="A85125047A">[1]AustralianNA4!$BY$1:$BY$10,[1]AustralianNA4!$BY$11:$BY$128</definedName>
    <definedName name="A85125047A_Data">[1]AustralianNA4!$BY$11:$BY$128</definedName>
    <definedName name="A85125047A_Latest">[1]AustralianNA4!$BY$128</definedName>
    <definedName name="A85125048C">[1]AustralianNA4!$BZ$1:$BZ$10,[1]AustralianNA4!$BZ$11:$BZ$128</definedName>
    <definedName name="A85125048C_Data">[1]AustralianNA4!$BZ$11:$BZ$128</definedName>
    <definedName name="A85125048C_Latest">[1]AustralianNA4!$BZ$128</definedName>
    <definedName name="A85125049F">[1]AustralianNA4!$CA$1:$CA$10,[1]AustralianNA4!$CA$11:$CA$128</definedName>
    <definedName name="A85125049F_Data">[1]AustralianNA4!$CA$11:$CA$128</definedName>
    <definedName name="A85125049F_Latest">[1]AustralianNA4!$CA$128</definedName>
    <definedName name="A85125050R">[1]AustralianNA4!$CB$1:$CB$10,[1]AustralianNA4!$CB$11:$CB$128</definedName>
    <definedName name="A85125050R_Data">[1]AustralianNA4!$CB$11:$CB$128</definedName>
    <definedName name="A85125050R_Latest">[1]AustralianNA4!$CB$128</definedName>
    <definedName name="A85125051T">[1]AustralianNA4!$CC$1:$CC$10,[1]AustralianNA4!$CC$11:$CC$128</definedName>
    <definedName name="A85125051T_Data">[1]AustralianNA4!$CC$11:$CC$128</definedName>
    <definedName name="A85125051T_Latest">[1]AustralianNA4!$CC$128</definedName>
    <definedName name="A85125052V">[1]AustralianNA4!$CD$1:$CD$10,[1]AustralianNA4!$CD$11:$CD$128</definedName>
    <definedName name="A85125052V_Data">[1]AustralianNA4!$CD$11:$CD$128</definedName>
    <definedName name="A85125052V_Latest">[1]AustralianNA4!$CD$128</definedName>
    <definedName name="A85125053W">[1]AustralianNA4!$CE$1:$CE$10,[1]AustralianNA4!$CE$11:$CE$128</definedName>
    <definedName name="A85125053W_Data">[1]AustralianNA4!$CE$11:$CE$128</definedName>
    <definedName name="A85125053W_Latest">[1]AustralianNA4!$CE$128</definedName>
    <definedName name="A85125054X">[1]AustralianNA4!$CF$1:$CF$10,[1]AustralianNA4!$CF$11:$CF$128</definedName>
    <definedName name="A85125054X_Data">[1]AustralianNA4!$CF$11:$CF$128</definedName>
    <definedName name="A85125054X_Latest">[1]AustralianNA4!$CF$128</definedName>
    <definedName name="A85125055A">[1]AustralianNA4!$CG$1:$CG$10,[1]AustralianNA4!$CG$11:$CG$128</definedName>
    <definedName name="A85125055A_Data">[1]AustralianNA4!$CG$11:$CG$128</definedName>
    <definedName name="A85125055A_Latest">[1]AustralianNA4!$CG$128</definedName>
    <definedName name="A85125056C">[1]AustralianNA4!$CI$1:$CI$10,[1]AustralianNA4!$CI$11:$CI$128</definedName>
    <definedName name="A85125056C_Data">[1]AustralianNA4!$CI$11:$CI$128</definedName>
    <definedName name="A85125056C_Latest">[1]AustralianNA4!$CI$128</definedName>
    <definedName name="A85125057F">[1]AustralianNA4!$CJ$1:$CJ$10,[1]AustralianNA4!$CJ$11:$CJ$128</definedName>
    <definedName name="A85125057F_Data">[1]AustralianNA4!$CJ$11:$CJ$128</definedName>
    <definedName name="A85125057F_Latest">[1]AustralianNA4!$CJ$128</definedName>
    <definedName name="A85125379W">[1]AustralianNA4!$B$1:$B$10,[1]AustralianNA4!$B$11:$B$128</definedName>
    <definedName name="A85125379W_Data">[1]AustralianNA4!$B$11:$B$128</definedName>
    <definedName name="A85125379W_Latest">[1]AustralianNA4!$B$128</definedName>
    <definedName name="A85125380F">[1]AustralianNA4!$C$1:$C$10,[1]AustralianNA4!$C$11:$C$128</definedName>
    <definedName name="A85125380F_Data">[1]AustralianNA4!$C$11:$C$128</definedName>
    <definedName name="A85125380F_Latest">[1]AustralianNA4!$C$128</definedName>
    <definedName name="A85125381J">[1]AustralianNA4!$D$1:$D$10,[1]AustralianNA4!$D$11:$D$128</definedName>
    <definedName name="A85125381J_Data">[1]AustralianNA4!$D$11:$D$128</definedName>
    <definedName name="A85125381J_Latest">[1]AustralianNA4!$D$128</definedName>
    <definedName name="A85125382K">[1]AustralianNA4!$E$1:$E$10,[1]AustralianNA4!$E$11:$E$128</definedName>
    <definedName name="A85125382K_Data">[1]AustralianNA4!$E$11:$E$128</definedName>
    <definedName name="A85125382K_Latest">[1]AustralianNA4!$E$128</definedName>
    <definedName name="A85125383L">[1]AustralianNA4!$F$1:$F$10,[1]AustralianNA4!$F$11:$F$128</definedName>
    <definedName name="A85125383L_Data">[1]AustralianNA4!$F$11:$F$128</definedName>
    <definedName name="A85125383L_Latest">[1]AustralianNA4!$F$128</definedName>
    <definedName name="A85125384R">[1]AustralianNA4!$G$1:$G$10,[1]AustralianNA4!$G$11:$G$128</definedName>
    <definedName name="A85125384R_Data">[1]AustralianNA4!$G$11:$G$128</definedName>
    <definedName name="A85125384R_Latest">[1]AustralianNA4!$G$128</definedName>
    <definedName name="A85125385T">[1]AustralianNA4!$H$1:$H$10,[1]AustralianNA4!$H$11:$H$128</definedName>
    <definedName name="A85125385T_Data">[1]AustralianNA4!$H$11:$H$128</definedName>
    <definedName name="A85125385T_Latest">[1]AustralianNA4!$H$128</definedName>
    <definedName name="A85125386V">[1]AustralianNA4!$I$1:$I$10,[1]AustralianNA4!$I$11:$I$128</definedName>
    <definedName name="A85125386V_Data">[1]AustralianNA4!$I$11:$I$128</definedName>
    <definedName name="A85125386V_Latest">[1]AustralianNA4!$I$128</definedName>
    <definedName name="A85125387W">[1]AustralianNA4!$J$1:$J$10,[1]AustralianNA4!$J$11:$J$128</definedName>
    <definedName name="A85125387W_Data">[1]AustralianNA4!$J$11:$J$128</definedName>
    <definedName name="A85125387W_Latest">[1]AustralianNA4!$J$128</definedName>
    <definedName name="A85125388X">[1]AustralianNA4!$K$1:$K$10,[1]AustralianNA4!$K$11:$K$128</definedName>
    <definedName name="A85125388X_Data">[1]AustralianNA4!$K$11:$K$128</definedName>
    <definedName name="A85125388X_Latest">[1]AustralianNA4!$K$128</definedName>
    <definedName name="A85125389A">[1]AustralianNA4!$L$1:$L$10,[1]AustralianNA4!$L$11:$L$128</definedName>
    <definedName name="A85125389A_Data">[1]AustralianNA4!$L$11:$L$128</definedName>
    <definedName name="A85125389A_Latest">[1]AustralianNA4!$L$128</definedName>
    <definedName name="A85125390K">[1]AustralianNA4!$M$1:$M$10,[1]AustralianNA4!$M$11:$M$128</definedName>
    <definedName name="A85125390K_Data">[1]AustralianNA4!$M$11:$M$128</definedName>
    <definedName name="A85125390K_Latest">[1]AustralianNA4!$M$128</definedName>
    <definedName name="A85125391L">[1]AustralianNA4!$N$1:$N$10,[1]AustralianNA4!$N$11:$N$128</definedName>
    <definedName name="A85125391L_Data">[1]AustralianNA4!$N$11:$N$128</definedName>
    <definedName name="A85125391L_Latest">[1]AustralianNA4!$N$128</definedName>
    <definedName name="A85125392R">[1]AustralianNA4!$O$1:$O$10,[1]AustralianNA4!$O$11:$O$128</definedName>
    <definedName name="A85125392R_Data">[1]AustralianNA4!$O$11:$O$128</definedName>
    <definedName name="A85125392R_Latest">[1]AustralianNA4!$O$128</definedName>
    <definedName name="A85125393T">[1]AustralianNA4!$P$1:$P$10,[1]AustralianNA4!$P$11:$P$128</definedName>
    <definedName name="A85125393T_Data">[1]AustralianNA4!$P$11:$P$128</definedName>
    <definedName name="A85125393T_Latest">[1]AustralianNA4!$P$128</definedName>
    <definedName name="A85125394V">[1]AustralianNA4!$Q$1:$Q$10,[1]AustralianNA4!$Q$11:$Q$128</definedName>
    <definedName name="A85125394V_Data">[1]AustralianNA4!$Q$11:$Q$128</definedName>
    <definedName name="A85125394V_Latest">[1]AustralianNA4!$Q$128</definedName>
    <definedName name="A85125811W">[1]AustralianNA5!$AC$1:$AC$10,[1]AustralianNA5!$AC$11:$AC$128</definedName>
    <definedName name="A85125811W_Data">[1]AustralianNA5!$AC$11:$AC$128</definedName>
    <definedName name="A85125811W_Latest">[1]AustralianNA5!$AC$128</definedName>
    <definedName name="A85125812X">[1]AustralianNA4!$AB$1:$AB$10,[1]AustralianNA4!$AB$11:$AB$128</definedName>
    <definedName name="A85125812X_Data">[1]AustralianNA4!$AB$11:$AB$128</definedName>
    <definedName name="A85125812X_Latest">[1]AustralianNA4!$AB$128</definedName>
    <definedName name="A85125813A">[1]AustralianNA5!$BG$1:$BG$10,[1]AustralianNA5!$BG$11:$BG$128</definedName>
    <definedName name="A85125813A_Data">[1]AustralianNA5!$BG$11:$BG$128</definedName>
    <definedName name="A85125813A_Latest">[1]AustralianNA5!$BG$128</definedName>
    <definedName name="A85125814C">[1]AustralianNA4!$BE$1:$BE$10,[1]AustralianNA4!$BE$11:$BE$128</definedName>
    <definedName name="A85125814C_Data">[1]AustralianNA4!$BE$11:$BE$128</definedName>
    <definedName name="A85125814C_Latest">[1]AustralianNA4!$BE$128</definedName>
    <definedName name="A85125815F">[1]AustralianNA5!$CK$1:$CK$10,[1]AustralianNA5!$CK$11:$CK$128</definedName>
    <definedName name="A85125815F_Data">[1]AustralianNA5!$CK$11:$CK$128</definedName>
    <definedName name="A85125815F_Latest">[1]AustralianNA5!$CK$128</definedName>
    <definedName name="A85125816J">[1]AustralianNA4!$CH$1:$CH$10,[1]AustralianNA4!$CH$11:$CH$128</definedName>
    <definedName name="A85125816J_Data">[1]AustralianNA4!$CH$11:$CH$128</definedName>
    <definedName name="A85125816J_Latest">[1]AustralianNA4!$CH$128</definedName>
    <definedName name="A85125817K">[1]AustralianNA5!$B$1:$B$10,[1]AustralianNA5!$B$11:$B$128</definedName>
    <definedName name="A85125817K_Data">[1]AustralianNA5!$B$11:$B$128</definedName>
    <definedName name="A85125817K_Latest">[1]AustralianNA5!$B$128</definedName>
    <definedName name="A85125818L">[1]AustralianNA5!$C$1:$C$10,[1]AustralianNA5!$C$11:$C$128</definedName>
    <definedName name="A85125818L_Data">[1]AustralianNA5!$C$11:$C$128</definedName>
    <definedName name="A85125818L_Latest">[1]AustralianNA5!$C$128</definedName>
    <definedName name="A85125819R">[1]AustralianNA5!$D$1:$D$10,[1]AustralianNA5!$D$11:$D$128</definedName>
    <definedName name="A85125819R_Data">[1]AustralianNA5!$D$11:$D$128</definedName>
    <definedName name="A85125819R_Latest">[1]AustralianNA5!$D$128</definedName>
    <definedName name="A85125820X">[1]AustralianNA5!$E$1:$E$10,[1]AustralianNA5!$E$11:$E$128</definedName>
    <definedName name="A85125820X_Data">[1]AustralianNA5!$E$11:$E$128</definedName>
    <definedName name="A85125820X_Latest">[1]AustralianNA5!$E$128</definedName>
    <definedName name="A85125821A">[1]AustralianNA5!$F$1:$F$10,[1]AustralianNA5!$F$11:$F$128</definedName>
    <definedName name="A85125821A_Data">[1]AustralianNA5!$F$11:$F$128</definedName>
    <definedName name="A85125821A_Latest">[1]AustralianNA5!$F$128</definedName>
    <definedName name="A85125822C">[1]AustralianNA5!$G$1:$G$10,[1]AustralianNA5!$G$11:$G$128</definedName>
    <definedName name="A85125822C_Data">[1]AustralianNA5!$G$11:$G$128</definedName>
    <definedName name="A85125822C_Latest">[1]AustralianNA5!$G$128</definedName>
    <definedName name="A85125823F">[1]AustralianNA5!$H$1:$H$10,[1]AustralianNA5!$H$11:$H$128</definedName>
    <definedName name="A85125823F_Data">[1]AustralianNA5!$H$11:$H$128</definedName>
    <definedName name="A85125823F_Latest">[1]AustralianNA5!$H$128</definedName>
    <definedName name="A85125824J">[1]AustralianNA5!$I$1:$I$10,[1]AustralianNA5!$I$11:$I$128</definedName>
    <definedName name="A85125824J_Data">[1]AustralianNA5!$I$11:$I$128</definedName>
    <definedName name="A85125824J_Latest">[1]AustralianNA5!$I$128</definedName>
    <definedName name="A85125825K">[1]AustralianNA5!$J$1:$J$10,[1]AustralianNA5!$J$11:$J$128</definedName>
    <definedName name="A85125825K_Data">[1]AustralianNA5!$J$11:$J$128</definedName>
    <definedName name="A85125825K_Latest">[1]AustralianNA5!$J$128</definedName>
    <definedName name="A85125826L">[1]AustralianNA5!$K$1:$K$10,[1]AustralianNA5!$K$11:$K$128</definedName>
    <definedName name="A85125826L_Data">[1]AustralianNA5!$K$11:$K$128</definedName>
    <definedName name="A85125826L_Latest">[1]AustralianNA5!$K$128</definedName>
    <definedName name="A85125827R">[1]AustralianNA5!$L$1:$L$10,[1]AustralianNA5!$L$11:$L$128</definedName>
    <definedName name="A85125827R_Data">[1]AustralianNA5!$L$11:$L$128</definedName>
    <definedName name="A85125827R_Latest">[1]AustralianNA5!$L$128</definedName>
    <definedName name="A85125828T">[1]AustralianNA5!$M$1:$M$10,[1]AustralianNA5!$M$11:$M$128</definedName>
    <definedName name="A85125828T_Data">[1]AustralianNA5!$M$11:$M$128</definedName>
    <definedName name="A85125828T_Latest">[1]AustralianNA5!$M$128</definedName>
    <definedName name="A85125829V">[1]AustralianNA5!$N$1:$N$10,[1]AustralianNA5!$N$11:$N$128</definedName>
    <definedName name="A85125829V_Data">[1]AustralianNA5!$N$11:$N$128</definedName>
    <definedName name="A85125829V_Latest">[1]AustralianNA5!$N$128</definedName>
    <definedName name="A85125830C">[1]AustralianNA5!$O$1:$O$10,[1]AustralianNA5!$O$11:$O$128</definedName>
    <definedName name="A85125830C_Data">[1]AustralianNA5!$O$11:$O$128</definedName>
    <definedName name="A85125830C_Latest">[1]AustralianNA5!$O$128</definedName>
    <definedName name="A85125831F">[1]AustralianNA5!$P$1:$P$10,[1]AustralianNA5!$P$11:$P$128</definedName>
    <definedName name="A85125831F_Data">[1]AustralianNA5!$P$11:$P$128</definedName>
    <definedName name="A85125831F_Latest">[1]AustralianNA5!$P$128</definedName>
    <definedName name="A85125832J">[1]AustralianNA5!$Q$1:$Q$10,[1]AustralianNA5!$Q$11:$Q$128</definedName>
    <definedName name="A85125832J_Data">[1]AustralianNA5!$Q$11:$Q$128</definedName>
    <definedName name="A85125832J_Latest">[1]AustralianNA5!$Q$128</definedName>
    <definedName name="A85125833K">[1]AustralianNA5!$R$1:$R$10,[1]AustralianNA5!$R$11:$R$128</definedName>
    <definedName name="A85125833K_Data">[1]AustralianNA5!$R$11:$R$128</definedName>
    <definedName name="A85125833K_Latest">[1]AustralianNA5!$R$128</definedName>
    <definedName name="A85125834L">[1]AustralianNA5!$S$1:$S$10,[1]AustralianNA5!$S$11:$S$128</definedName>
    <definedName name="A85125834L_Data">[1]AustralianNA5!$S$11:$S$128</definedName>
    <definedName name="A85125834L_Latest">[1]AustralianNA5!$S$128</definedName>
    <definedName name="A85125835R">[1]AustralianNA5!$T$1:$T$10,[1]AustralianNA5!$T$11:$T$128</definedName>
    <definedName name="A85125835R_Data">[1]AustralianNA5!$T$11:$T$128</definedName>
    <definedName name="A85125835R_Latest">[1]AustralianNA5!$T$128</definedName>
    <definedName name="A85125836T">[1]AustralianNA5!$U$1:$U$10,[1]AustralianNA5!$U$11:$U$128</definedName>
    <definedName name="A85125836T_Data">[1]AustralianNA5!$U$11:$U$128</definedName>
    <definedName name="A85125836T_Latest">[1]AustralianNA5!$U$128</definedName>
    <definedName name="A85125837V">[1]AustralianNA5!$V$1:$V$10,[1]AustralianNA5!$V$11:$V$128</definedName>
    <definedName name="A85125837V_Data">[1]AustralianNA5!$V$11:$V$128</definedName>
    <definedName name="A85125837V_Latest">[1]AustralianNA5!$V$128</definedName>
    <definedName name="A85125838W">[1]AustralianNA5!$W$1:$W$10,[1]AustralianNA5!$W$11:$W$128</definedName>
    <definedName name="A85125838W_Data">[1]AustralianNA5!$W$11:$W$128</definedName>
    <definedName name="A85125838W_Latest">[1]AustralianNA5!$W$128</definedName>
    <definedName name="A85125839X">[1]AustralianNA5!$X$1:$X$10,[1]AustralianNA5!$X$11:$X$128</definedName>
    <definedName name="A85125839X_Data">[1]AustralianNA5!$X$11:$X$128</definedName>
    <definedName name="A85125839X_Latest">[1]AustralianNA5!$X$128</definedName>
    <definedName name="A85125840J">[1]AustralianNA5!$Y$1:$Y$10,[1]AustralianNA5!$Y$11:$Y$128</definedName>
    <definedName name="A85125840J_Data">[1]AustralianNA5!$Y$11:$Y$128</definedName>
    <definedName name="A85125840J_Latest">[1]AustralianNA5!$Y$128</definedName>
    <definedName name="A85125841K">[1]AustralianNA5!$Z$1:$Z$10,[1]AustralianNA5!$Z$11:$Z$128</definedName>
    <definedName name="A85125841K_Data">[1]AustralianNA5!$Z$11:$Z$128</definedName>
    <definedName name="A85125841K_Latest">[1]AustralianNA5!$Z$128</definedName>
    <definedName name="A85125842L">[1]AustralianNA5!$AA$1:$AA$10,[1]AustralianNA5!$AA$11:$AA$128</definedName>
    <definedName name="A85125842L_Data">[1]AustralianNA5!$AA$11:$AA$128</definedName>
    <definedName name="A85125842L_Latest">[1]AustralianNA5!$AA$128</definedName>
    <definedName name="A85125843R">[1]AustralianNA5!$AB$1:$AB$10,[1]AustralianNA5!$AB$11:$AB$128</definedName>
    <definedName name="A85125843R_Data">[1]AustralianNA5!$AB$11:$AB$128</definedName>
    <definedName name="A85125843R_Latest">[1]AustralianNA5!$AB$128</definedName>
    <definedName name="A85125844T">[1]AustralianNA5!$AD$1:$AD$10,[1]AustralianNA5!$AD$11:$AD$128</definedName>
    <definedName name="A85125844T_Data">[1]AustralianNA5!$AD$11:$AD$128</definedName>
    <definedName name="A85125844T_Latest">[1]AustralianNA5!$AD$128</definedName>
    <definedName name="A85125845V">[1]AustralianNA5!$AE$1:$AE$10,[1]AustralianNA5!$AE$11:$AE$128</definedName>
    <definedName name="A85125845V_Data">[1]AustralianNA5!$AE$11:$AE$128</definedName>
    <definedName name="A85125845V_Latest">[1]AustralianNA5!$AE$128</definedName>
    <definedName name="A85125846W">[1]AustralianNA5!$AF$1:$AF$10,[1]AustralianNA5!$AF$11:$AF$128</definedName>
    <definedName name="A85125846W_Data">[1]AustralianNA5!$AF$11:$AF$128</definedName>
    <definedName name="A85125846W_Latest">[1]AustralianNA5!$AF$128</definedName>
    <definedName name="A85125847X">[1]AustralianNA5!$AG$1:$AG$10,[1]AustralianNA5!$AG$11:$AG$128</definedName>
    <definedName name="A85125847X_Data">[1]AustralianNA5!$AG$11:$AG$128</definedName>
    <definedName name="A85125847X_Latest">[1]AustralianNA5!$AG$128</definedName>
    <definedName name="A85125848A">[1]AustralianNA5!$AH$1:$AH$10,[1]AustralianNA5!$AH$11:$AH$128</definedName>
    <definedName name="A85125848A_Data">[1]AustralianNA5!$AH$11:$AH$128</definedName>
    <definedName name="A85125848A_Latest">[1]AustralianNA5!$AH$128</definedName>
    <definedName name="A85125849C">[1]AustralianNA5!$AI$1:$AI$10,[1]AustralianNA5!$AI$11:$AI$128</definedName>
    <definedName name="A85125849C_Data">[1]AustralianNA5!$AI$11:$AI$128</definedName>
    <definedName name="A85125849C_Latest">[1]AustralianNA5!$AI$128</definedName>
    <definedName name="A85125850L">[1]AustralianNA5!$AJ$1:$AJ$10,[1]AustralianNA5!$AJ$11:$AJ$128</definedName>
    <definedName name="A85125850L_Data">[1]AustralianNA5!$AJ$11:$AJ$128</definedName>
    <definedName name="A85125850L_Latest">[1]AustralianNA5!$AJ$128</definedName>
    <definedName name="A85125851R">[1]AustralianNA5!$AK$1:$AK$10,[1]AustralianNA5!$AK$11:$AK$128</definedName>
    <definedName name="A85125851R_Data">[1]AustralianNA5!$AK$11:$AK$128</definedName>
    <definedName name="A85125851R_Latest">[1]AustralianNA5!$AK$128</definedName>
    <definedName name="A85125852T">[1]AustralianNA5!$AL$1:$AL$10,[1]AustralianNA5!$AL$11:$AL$128</definedName>
    <definedName name="A85125852T_Data">[1]AustralianNA5!$AL$11:$AL$128</definedName>
    <definedName name="A85125852T_Latest">[1]AustralianNA5!$AL$128</definedName>
    <definedName name="A85125853V">[1]AustralianNA5!$AM$1:$AM$10,[1]AustralianNA5!$AM$11:$AM$128</definedName>
    <definedName name="A85125853V_Data">[1]AustralianNA5!$AM$11:$AM$128</definedName>
    <definedName name="A85125853V_Latest">[1]AustralianNA5!$AM$128</definedName>
    <definedName name="A85125854W">[1]AustralianNA5!$AN$1:$AN$10,[1]AustralianNA5!$AN$11:$AN$128</definedName>
    <definedName name="A85125854W_Data">[1]AustralianNA5!$AN$11:$AN$128</definedName>
    <definedName name="A85125854W_Latest">[1]AustralianNA5!$AN$128</definedName>
    <definedName name="A85125855X">[1]AustralianNA5!$AO$1:$AO$10,[1]AustralianNA5!$AO$11:$AO$128</definedName>
    <definedName name="A85125855X_Data">[1]AustralianNA5!$AO$11:$AO$128</definedName>
    <definedName name="A85125855X_Latest">[1]AustralianNA5!$AO$128</definedName>
    <definedName name="A85125856A">[1]AustralianNA5!$AP$1:$AP$10,[1]AustralianNA5!$AP$11:$AP$128</definedName>
    <definedName name="A85125856A_Data">[1]AustralianNA5!$AP$11:$AP$128</definedName>
    <definedName name="A85125856A_Latest">[1]AustralianNA5!$AP$128</definedName>
    <definedName name="A85125857C">[1]AustralianNA5!$AQ$1:$AQ$10,[1]AustralianNA5!$AQ$11:$AQ$128</definedName>
    <definedName name="A85125857C_Data">[1]AustralianNA5!$AQ$11:$AQ$128</definedName>
    <definedName name="A85125857C_Latest">[1]AustralianNA5!$AQ$128</definedName>
    <definedName name="A85125858F">[1]AustralianNA5!$AR$1:$AR$10,[1]AustralianNA5!$AR$11:$AR$128</definedName>
    <definedName name="A85125858F_Data">[1]AustralianNA5!$AR$11:$AR$128</definedName>
    <definedName name="A85125858F_Latest">[1]AustralianNA5!$AR$128</definedName>
    <definedName name="A85125859J">[1]AustralianNA5!$AS$1:$AS$10,[1]AustralianNA5!$AS$11:$AS$128</definedName>
    <definedName name="A85125859J_Data">[1]AustralianNA5!$AS$11:$AS$128</definedName>
    <definedName name="A85125859J_Latest">[1]AustralianNA5!$AS$128</definedName>
    <definedName name="A85125860T">[1]AustralianNA5!$AT$1:$AT$10,[1]AustralianNA5!$AT$11:$AT$128</definedName>
    <definedName name="A85125860T_Data">[1]AustralianNA5!$AT$11:$AT$128</definedName>
    <definedName name="A85125860T_Latest">[1]AustralianNA5!$AT$128</definedName>
    <definedName name="A85125861V">[1]AustralianNA5!$AU$1:$AU$10,[1]AustralianNA5!$AU$11:$AU$128</definedName>
    <definedName name="A85125861V_Data">[1]AustralianNA5!$AU$11:$AU$128</definedName>
    <definedName name="A85125861V_Latest">[1]AustralianNA5!$AU$128</definedName>
    <definedName name="A85125862W">[1]AustralianNA5!$AV$1:$AV$10,[1]AustralianNA5!$AV$11:$AV$128</definedName>
    <definedName name="A85125862W_Data">[1]AustralianNA5!$AV$11:$AV$128</definedName>
    <definedName name="A85125862W_Latest">[1]AustralianNA5!$AV$128</definedName>
    <definedName name="A85125863X">[1]AustralianNA5!$AW$1:$AW$10,[1]AustralianNA5!$AW$11:$AW$128</definedName>
    <definedName name="A85125863X_Data">[1]AustralianNA5!$AW$11:$AW$128</definedName>
    <definedName name="A85125863X_Latest">[1]AustralianNA5!$AW$128</definedName>
    <definedName name="A85125864A">[1]AustralianNA5!$AX$1:$AX$10,[1]AustralianNA5!$AX$11:$AX$128</definedName>
    <definedName name="A85125864A_Data">[1]AustralianNA5!$AX$11:$AX$128</definedName>
    <definedName name="A85125864A_Latest">[1]AustralianNA5!$AX$128</definedName>
    <definedName name="A85125865C">[1]AustralianNA5!$AY$1:$AY$10,[1]AustralianNA5!$AY$11:$AY$128</definedName>
    <definedName name="A85125865C_Data">[1]AustralianNA5!$AY$11:$AY$128</definedName>
    <definedName name="A85125865C_Latest">[1]AustralianNA5!$AY$128</definedName>
    <definedName name="A85125866F">[1]AustralianNA5!$AZ$1:$AZ$10,[1]AustralianNA5!$AZ$11:$AZ$128</definedName>
    <definedName name="A85125866F_Data">[1]AustralianNA5!$AZ$11:$AZ$128</definedName>
    <definedName name="A85125866F_Latest">[1]AustralianNA5!$AZ$128</definedName>
    <definedName name="A85125867J">[1]AustralianNA5!$BA$1:$BA$10,[1]AustralianNA5!$BA$11:$BA$128</definedName>
    <definedName name="A85125867J_Data">[1]AustralianNA5!$BA$11:$BA$128</definedName>
    <definedName name="A85125867J_Latest">[1]AustralianNA5!$BA$128</definedName>
    <definedName name="A85125868K">[1]AustralianNA5!$BB$1:$BB$10,[1]AustralianNA5!$BB$11:$BB$128</definedName>
    <definedName name="A85125868K_Data">[1]AustralianNA5!$BB$11:$BB$128</definedName>
    <definedName name="A85125868K_Latest">[1]AustralianNA5!$BB$128</definedName>
    <definedName name="A85125869L">[1]AustralianNA5!$BC$1:$BC$10,[1]AustralianNA5!$BC$11:$BC$128</definedName>
    <definedName name="A85125869L_Data">[1]AustralianNA5!$BC$11:$BC$128</definedName>
    <definedName name="A85125869L_Latest">[1]AustralianNA5!$BC$128</definedName>
    <definedName name="A85125870W">[1]AustralianNA5!$BD$1:$BD$10,[1]AustralianNA5!$BD$11:$BD$128</definedName>
    <definedName name="A85125870W_Data">[1]AustralianNA5!$BD$11:$BD$128</definedName>
    <definedName name="A85125870W_Latest">[1]AustralianNA5!$BD$128</definedName>
    <definedName name="A85125871X">[1]AustralianNA5!$BE$1:$BE$10,[1]AustralianNA5!$BE$11:$BE$128</definedName>
    <definedName name="A85125871X_Data">[1]AustralianNA5!$BE$11:$BE$128</definedName>
    <definedName name="A85125871X_Latest">[1]AustralianNA5!$BE$128</definedName>
    <definedName name="A85125872A">[1]AustralianNA5!$BF$1:$BF$10,[1]AustralianNA5!$BF$11:$BF$128</definedName>
    <definedName name="A85125872A_Data">[1]AustralianNA5!$BF$11:$BF$128</definedName>
    <definedName name="A85125872A_Latest">[1]AustralianNA5!$BF$128</definedName>
    <definedName name="A85125873C">[1]AustralianNA5!$BH$1:$BH$10,[1]AustralianNA5!$BH$11:$BH$128</definedName>
    <definedName name="A85125873C_Data">[1]AustralianNA5!$BH$11:$BH$128</definedName>
    <definedName name="A85125873C_Latest">[1]AustralianNA5!$BH$128</definedName>
    <definedName name="A85125874F">[1]AustralianNA5!$BI$1:$BI$10,[1]AustralianNA5!$BI$11:$BI$128</definedName>
    <definedName name="A85125874F_Data">[1]AustralianNA5!$BI$11:$BI$128</definedName>
    <definedName name="A85125874F_Latest">[1]AustralianNA5!$BI$128</definedName>
    <definedName name="A85125875J">[1]AustralianNA5!$BJ$1:$BJ$10,[1]AustralianNA5!$BJ$11:$BJ$128</definedName>
    <definedName name="A85125875J_Data">[1]AustralianNA5!$BJ$11:$BJ$128</definedName>
    <definedName name="A85125875J_Latest">[1]AustralianNA5!$BJ$128</definedName>
    <definedName name="A85125876K">[1]AustralianNA5!$BK$1:$BK$10,[1]AustralianNA5!$BK$11:$BK$128</definedName>
    <definedName name="A85125876K_Data">[1]AustralianNA5!$BK$11:$BK$128</definedName>
    <definedName name="A85125876K_Latest">[1]AustralianNA5!$BK$128</definedName>
    <definedName name="A85125877L">[1]AustralianNA5!$BL$1:$BL$10,[1]AustralianNA5!$BL$11:$BL$128</definedName>
    <definedName name="A85125877L_Data">[1]AustralianNA5!$BL$11:$BL$128</definedName>
    <definedName name="A85125877L_Latest">[1]AustralianNA5!$BL$128</definedName>
    <definedName name="A85125878R">[1]AustralianNA5!$BM$1:$BM$10,[1]AustralianNA5!$BM$11:$BM$128</definedName>
    <definedName name="A85125878R_Data">[1]AustralianNA5!$BM$11:$BM$128</definedName>
    <definedName name="A85125878R_Latest">[1]AustralianNA5!$BM$128</definedName>
    <definedName name="A85125879T">[1]AustralianNA5!$BN$1:$BN$10,[1]AustralianNA5!$BN$11:$BN$128</definedName>
    <definedName name="A85125879T_Data">[1]AustralianNA5!$BN$11:$BN$128</definedName>
    <definedName name="A85125879T_Latest">[1]AustralianNA5!$BN$128</definedName>
    <definedName name="A85125880A">[1]AustralianNA5!$BO$1:$BO$10,[1]AustralianNA5!$BO$11:$BO$128</definedName>
    <definedName name="A85125880A_Data">[1]AustralianNA5!$BO$11:$BO$128</definedName>
    <definedName name="A85125880A_Latest">[1]AustralianNA5!$BO$128</definedName>
    <definedName name="A85125881C">[1]AustralianNA5!$BP$1:$BP$10,[1]AustralianNA5!$BP$11:$BP$128</definedName>
    <definedName name="A85125881C_Data">[1]AustralianNA5!$BP$11:$BP$128</definedName>
    <definedName name="A85125881C_Latest">[1]AustralianNA5!$BP$128</definedName>
    <definedName name="A85125882F">[1]AustralianNA5!$BQ$1:$BQ$10,[1]AustralianNA5!$BQ$11:$BQ$128</definedName>
    <definedName name="A85125882F_Data">[1]AustralianNA5!$BQ$11:$BQ$128</definedName>
    <definedName name="A85125882F_Latest">[1]AustralianNA5!$BQ$128</definedName>
    <definedName name="A85125883J">[1]AustralianNA5!$BR$1:$BR$10,[1]AustralianNA5!$BR$11:$BR$128</definedName>
    <definedName name="A85125883J_Data">[1]AustralianNA5!$BR$11:$BR$128</definedName>
    <definedName name="A85125883J_Latest">[1]AustralianNA5!$BR$128</definedName>
    <definedName name="A85125884K">[1]AustralianNA5!$BS$1:$BS$10,[1]AustralianNA5!$BS$11:$BS$128</definedName>
    <definedName name="A85125884K_Data">[1]AustralianNA5!$BS$11:$BS$128</definedName>
    <definedName name="A85125884K_Latest">[1]AustralianNA5!$BS$128</definedName>
    <definedName name="A85125885L">[1]AustralianNA5!$BT$1:$BT$10,[1]AustralianNA5!$BT$11:$BT$128</definedName>
    <definedName name="A85125885L_Data">[1]AustralianNA5!$BT$11:$BT$128</definedName>
    <definedName name="A85125885L_Latest">[1]AustralianNA5!$BT$128</definedName>
    <definedName name="A85125886R">[1]AustralianNA5!$BU$1:$BU$10,[1]AustralianNA5!$BU$11:$BU$128</definedName>
    <definedName name="A85125886R_Data">[1]AustralianNA5!$BU$11:$BU$128</definedName>
    <definedName name="A85125886R_Latest">[1]AustralianNA5!$BU$128</definedName>
    <definedName name="A85125887T">[1]AustralianNA5!$BV$1:$BV$10,[1]AustralianNA5!$BV$11:$BV$128</definedName>
    <definedName name="A85125887T_Data">[1]AustralianNA5!$BV$11:$BV$128</definedName>
    <definedName name="A85125887T_Latest">[1]AustralianNA5!$BV$128</definedName>
    <definedName name="A85125888V">[1]AustralianNA5!$BW$1:$BW$10,[1]AustralianNA5!$BW$11:$BW$128</definedName>
    <definedName name="A85125888V_Data">[1]AustralianNA5!$BW$11:$BW$128</definedName>
    <definedName name="A85125888V_Latest">[1]AustralianNA5!$BW$128</definedName>
    <definedName name="A85125889W">[1]AustralianNA5!$BX$1:$BX$10,[1]AustralianNA5!$BX$11:$BX$128</definedName>
    <definedName name="A85125889W_Data">[1]AustralianNA5!$BX$11:$BX$128</definedName>
    <definedName name="A85125889W_Latest">[1]AustralianNA5!$BX$128</definedName>
    <definedName name="A85125890F">[1]AustralianNA5!$BY$1:$BY$10,[1]AustralianNA5!$BY$11:$BY$128</definedName>
    <definedName name="A85125890F_Data">[1]AustralianNA5!$BY$11:$BY$128</definedName>
    <definedName name="A85125890F_Latest">[1]AustralianNA5!$BY$128</definedName>
    <definedName name="A85125891J">[1]AustralianNA5!$BZ$1:$BZ$10,[1]AustralianNA5!$BZ$11:$BZ$128</definedName>
    <definedName name="A85125891J_Data">[1]AustralianNA5!$BZ$11:$BZ$128</definedName>
    <definedName name="A85125891J_Latest">[1]AustralianNA5!$BZ$128</definedName>
    <definedName name="A85125892K">[1]AustralianNA5!$CA$1:$CA$10,[1]AustralianNA5!$CA$11:$CA$128</definedName>
    <definedName name="A85125892K_Data">[1]AustralianNA5!$CA$11:$CA$128</definedName>
    <definedName name="A85125892K_Latest">[1]AustralianNA5!$CA$128</definedName>
    <definedName name="A85125893L">[1]AustralianNA5!$CB$1:$CB$10,[1]AustralianNA5!$CB$11:$CB$128</definedName>
    <definedName name="A85125893L_Data">[1]AustralianNA5!$CB$11:$CB$128</definedName>
    <definedName name="A85125893L_Latest">[1]AustralianNA5!$CB$128</definedName>
    <definedName name="A85125894R">[1]AustralianNA5!$CC$1:$CC$10,[1]AustralianNA5!$CC$11:$CC$128</definedName>
    <definedName name="A85125894R_Data">[1]AustralianNA5!$CC$11:$CC$128</definedName>
    <definedName name="A85125894R_Latest">[1]AustralianNA5!$CC$128</definedName>
    <definedName name="A85125895T">[1]AustralianNA5!$CD$1:$CD$10,[1]AustralianNA5!$CD$11:$CD$128</definedName>
    <definedName name="A85125895T_Data">[1]AustralianNA5!$CD$11:$CD$128</definedName>
    <definedName name="A85125895T_Latest">[1]AustralianNA5!$CD$128</definedName>
    <definedName name="A85125896V">[1]AustralianNA5!$CE$1:$CE$10,[1]AustralianNA5!$CE$11:$CE$128</definedName>
    <definedName name="A85125896V_Data">[1]AustralianNA5!$CE$11:$CE$128</definedName>
    <definedName name="A85125896V_Latest">[1]AustralianNA5!$CE$128</definedName>
    <definedName name="A85125897W">[1]AustralianNA5!$CF$1:$CF$10,[1]AustralianNA5!$CF$11:$CF$128</definedName>
    <definedName name="A85125897W_Data">[1]AustralianNA5!$CF$11:$CF$128</definedName>
    <definedName name="A85125897W_Latest">[1]AustralianNA5!$CF$128</definedName>
    <definedName name="A85125898X">[1]AustralianNA5!$CG$1:$CG$10,[1]AustralianNA5!$CG$11:$CG$128</definedName>
    <definedName name="A85125898X_Data">[1]AustralianNA5!$CG$11:$CG$128</definedName>
    <definedName name="A85125898X_Latest">[1]AustralianNA5!$CG$128</definedName>
    <definedName name="A85125899A">[1]AustralianNA5!$CH$1:$CH$10,[1]AustralianNA5!$CH$11:$CH$128</definedName>
    <definedName name="A85125899A_Data">[1]AustralianNA5!$CH$11:$CH$128</definedName>
    <definedName name="A85125899A_Latest">[1]AustralianNA5!$CH$128</definedName>
    <definedName name="A85125900X">[1]AustralianNA5!$CI$1:$CI$10,[1]AustralianNA5!$CI$11:$CI$128</definedName>
    <definedName name="A85125900X_Data">[1]AustralianNA5!$CI$11:$CI$128</definedName>
    <definedName name="A85125900X_Latest">[1]AustralianNA5!$CI$128</definedName>
    <definedName name="A85125901A">[1]AustralianNA5!$CJ$1:$CJ$10,[1]AustralianNA5!$CJ$11:$CJ$128</definedName>
    <definedName name="A85125901A_Data">[1]AustralianNA5!$CJ$11:$CJ$128</definedName>
    <definedName name="A85125901A_Latest">[1]AustralianNA5!$CJ$128</definedName>
    <definedName name="A85125902C">[1]AustralianNA5!$CL$1:$CL$10,[1]AustralianNA5!$CL$11:$CL$128</definedName>
    <definedName name="A85125902C_Data">[1]AustralianNA5!$CL$11:$CL$128</definedName>
    <definedName name="A85125902C_Latest">[1]AustralianNA5!$CL$128</definedName>
    <definedName name="A85125903F">[1]AustralianNA5!$CM$1:$CM$10,[1]AustralianNA5!$CM$11:$CM$128</definedName>
    <definedName name="A85125903F_Data">[1]AustralianNA5!$CM$11:$CM$128</definedName>
    <definedName name="A85125903F_Latest">[1]AustralianNA5!$CM$128</definedName>
    <definedName name="A85231682X">[1]AustralianNA2!$BS$1:$BS$10,[1]AustralianNA2!$BS$120:$BS$244</definedName>
    <definedName name="A85231682X_Data">[1]AustralianNA2!$BS$120:$BS$244</definedName>
    <definedName name="A85231682X_Latest">[1]AustralianNA2!$BS$244</definedName>
    <definedName name="A85231684C">[1]AustralianNA2!$BY$1:$BY$10,[1]AustralianNA2!$BY$152:$BY$244</definedName>
    <definedName name="A85231684C_Data">[1]AustralianNA2!$BY$152:$BY$244</definedName>
    <definedName name="A85231684C_Latest">[1]AustralianNA2!$BY$244</definedName>
    <definedName name="A85231686J">[1]AustralianNA2!$BZ$1:$BZ$10,[1]AustralianNA2!$BZ$152:$BZ$244</definedName>
    <definedName name="A85231686J_Data">[1]AustralianNA2!$BZ$152:$BZ$244</definedName>
    <definedName name="A85231686J_Latest">[1]AustralianNA2!$BZ$244</definedName>
    <definedName name="A85231688L">[1]AustralianNA2!$CA$1:$CA$10,[1]AustralianNA2!$CA$152:$CA$244</definedName>
    <definedName name="A85231688L_Data">[1]AustralianNA2!$CA$152:$CA$244</definedName>
    <definedName name="A85231688L_Latest">[1]AustralianNA2!$CA$244</definedName>
    <definedName name="A85231690X">[1]AustralianNA2!$CK$1:$CK$10,[1]AustralianNA2!$CK$152:$CK$244</definedName>
    <definedName name="A85231690X_Data">[1]AustralianNA2!$CK$152:$CK$244</definedName>
    <definedName name="A85231690X_Latest">[1]AustralianNA2!$CK$244</definedName>
    <definedName name="A85231692C">[1]AustralianNA2!$CL$1:$CL$10,[1]AustralianNA2!$CL$152:$CL$244</definedName>
    <definedName name="A85231692C_Data">[1]AustralianNA2!$CL$152:$CL$244</definedName>
    <definedName name="A85231692C_Latest">[1]AustralianNA2!$CL$244</definedName>
    <definedName name="A85231694J">[1]AustralianNA2!$CN$1:$CN$10,[1]AustralianNA2!$CN$152:$CN$244</definedName>
    <definedName name="A85231694J_Data">[1]AustralianNA2!$CN$152:$CN$244</definedName>
    <definedName name="A85231694J_Latest">[1]AustralianNA2!$CN$244</definedName>
    <definedName name="A85231696L">[1]AustralianNA2!$CO$1:$CO$10,[1]AustralianNA2!$CO$152:$CO$244</definedName>
    <definedName name="A85231696L_Data">[1]AustralianNA2!$CO$152:$CO$244</definedName>
    <definedName name="A85231696L_Latest">[1]AustralianNA2!$CO$244</definedName>
    <definedName name="A85231698T">[1]AustralianNA2!$CQ$1:$CQ$10,[1]AustralianNA2!$CQ$152:$CQ$244</definedName>
    <definedName name="A85231698T_Data">[1]AustralianNA2!$CQ$152:$CQ$244</definedName>
    <definedName name="A85231698T_Latest">[1]AustralianNA2!$CQ$244</definedName>
    <definedName name="A85231700T">[1]AustralianNA2!$CR$1:$CR$10,[1]AustralianNA2!$CR$152:$CR$244</definedName>
    <definedName name="A85231700T_Data">[1]AustralianNA2!$CR$152:$CR$244</definedName>
    <definedName name="A85231700T_Latest">[1]AustralianNA2!$CR$244</definedName>
    <definedName name="A85231702W">[1]AustralianNA2!$CT$1:$CT$10,[1]AustralianNA2!$CT$152:$CT$244</definedName>
    <definedName name="A85231702W_Data">[1]AustralianNA2!$CT$152:$CT$244</definedName>
    <definedName name="A85231702W_Latest">[1]AustralianNA2!$CT$244</definedName>
    <definedName name="A85231704A">[1]AustralianNA2!$CU$1:$CU$10,[1]AustralianNA2!$CU$152:$CU$244</definedName>
    <definedName name="A85231704A_Data">[1]AustralianNA2!$CU$152:$CU$244</definedName>
    <definedName name="A85231704A_Latest">[1]AustralianNA2!$CU$244</definedName>
    <definedName name="A85231706F">[1]AustralianNA2!$FX$1:$FX$10,[1]AustralianNA2!$FX$120:$FX$244</definedName>
    <definedName name="A85231706F_Data">[1]AustralianNA2!$FX$120:$FX$244</definedName>
    <definedName name="A85231706F_Latest">[1]AustralianNA2!$FX$244</definedName>
    <definedName name="A85231708K">[1]AustralianNA2!$GD$1:$GD$10,[1]AustralianNA2!$GD$152:$GD$244</definedName>
    <definedName name="A85231708K_Data">[1]AustralianNA2!$GD$152:$GD$244</definedName>
    <definedName name="A85231708K_Latest">[1]AustralianNA2!$GD$244</definedName>
    <definedName name="A85231710W">[1]AustralianNA2!$GE$1:$GE$10,[1]AustralianNA2!$GE$152:$GE$244</definedName>
    <definedName name="A85231710W_Data">[1]AustralianNA2!$GE$152:$GE$244</definedName>
    <definedName name="A85231710W_Latest">[1]AustralianNA2!$GE$244</definedName>
    <definedName name="A85231712A">[1]AustralianNA2!$GF$1:$GF$10,[1]AustralianNA2!$GF$152:$GF$244</definedName>
    <definedName name="A85231712A_Data">[1]AustralianNA2!$GF$152:$GF$244</definedName>
    <definedName name="A85231712A_Latest">[1]AustralianNA2!$GF$244</definedName>
    <definedName name="A85231714F">[1]AustralianNA2!$GP$1:$GP$10,[1]AustralianNA2!$GP$152:$GP$244</definedName>
    <definedName name="A85231714F_Data">[1]AustralianNA2!$GP$152:$GP$244</definedName>
    <definedName name="A85231714F_Latest">[1]AustralianNA2!$GP$244</definedName>
    <definedName name="A85231716K">[1]AustralianNA2!$GQ$1:$GQ$10,[1]AustralianNA2!$GQ$152:$GQ$244</definedName>
    <definedName name="A85231716K_Data">[1]AustralianNA2!$GQ$152:$GQ$244</definedName>
    <definedName name="A85231716K_Latest">[1]AustralianNA2!$GQ$244</definedName>
    <definedName name="A85231718R">[1]AustralianNA2!$GS$1:$GS$10,[1]AustralianNA2!$GS$152:$GS$244</definedName>
    <definedName name="A85231718R_Data">[1]AustralianNA2!$GS$152:$GS$244</definedName>
    <definedName name="A85231718R_Latest">[1]AustralianNA2!$GS$244</definedName>
    <definedName name="A85231720A">[1]AustralianNA2!$GT$1:$GT$10,[1]AustralianNA2!$GT$152:$GT$244</definedName>
    <definedName name="A85231720A_Data">[1]AustralianNA2!$GT$152:$GT$244</definedName>
    <definedName name="A85231720A_Latest">[1]AustralianNA2!$GT$244</definedName>
    <definedName name="A85231722F">[1]AustralianNA2!$GV$1:$GV$10,[1]AustralianNA2!$GV$152:$GV$244</definedName>
    <definedName name="A85231722F_Data">[1]AustralianNA2!$GV$152:$GV$244</definedName>
    <definedName name="A85231722F_Latest">[1]AustralianNA2!$GV$244</definedName>
    <definedName name="A85231724K">[1]AustralianNA2!$GW$1:$GW$10,[1]AustralianNA2!$GW$152:$GW$244</definedName>
    <definedName name="A85231724K_Data">[1]AustralianNA2!$GW$152:$GW$244</definedName>
    <definedName name="A85231724K_Latest">[1]AustralianNA2!$GW$244</definedName>
    <definedName name="A85231726R">[1]AustralianNA2!$GY$1:$GY$10,[1]AustralianNA2!$GY$152:$GY$244</definedName>
    <definedName name="A85231726R_Data">[1]AustralianNA2!$GY$152:$GY$244</definedName>
    <definedName name="A85231726R_Latest">[1]AustralianNA2!$GY$244</definedName>
    <definedName name="A85231728V">[1]AustralianNA2!$GZ$1:$GZ$10,[1]AustralianNA2!$GZ$152:$GZ$244</definedName>
    <definedName name="A85231728V_Data">[1]AustralianNA2!$GZ$152:$GZ$244</definedName>
    <definedName name="A85231728V_Latest">[1]AustralianNA2!$GZ$244</definedName>
    <definedName name="A85231730F">[1]AustralianNA3!$AM$1:$AM$10,[1]AustralianNA3!$AM$120:$AM$244</definedName>
    <definedName name="A85231730F_Data">[1]AustralianNA3!$AM$120:$AM$244</definedName>
    <definedName name="A85231730F_Latest">[1]AustralianNA3!$AM$244</definedName>
    <definedName name="A85231731J">[1]AustralianNA3!$AS$1:$AS$10,[1]AustralianNA3!$AS$152:$AS$244</definedName>
    <definedName name="A85231731J_Data">[1]AustralianNA3!$AS$152:$AS$244</definedName>
    <definedName name="A85231731J_Latest">[1]AustralianNA3!$AS$244</definedName>
    <definedName name="A85231732K">[1]AustralianNA3!$AT$1:$AT$10,[1]AustralianNA3!$AT$152:$AT$244</definedName>
    <definedName name="A85231732K_Data">[1]AustralianNA3!$AT$152:$AT$244</definedName>
    <definedName name="A85231732K_Latest">[1]AustralianNA3!$AT$244</definedName>
    <definedName name="A85231733L">[1]AustralianNA3!$AU$1:$AU$10,[1]AustralianNA3!$AU$152:$AU$244</definedName>
    <definedName name="A85231733L_Data">[1]AustralianNA3!$AU$152:$AU$244</definedName>
    <definedName name="A85231733L_Latest">[1]AustralianNA3!$AU$244</definedName>
    <definedName name="A85231734R">[1]AustralianNA3!$BE$1:$BE$10,[1]AustralianNA3!$BE$152:$BE$244</definedName>
    <definedName name="A85231734R_Data">[1]AustralianNA3!$BE$152:$BE$244</definedName>
    <definedName name="A85231734R_Latest">[1]AustralianNA3!$BE$244</definedName>
    <definedName name="A85231735T">[1]AustralianNA3!$BF$1:$BF$10,[1]AustralianNA3!$BF$152:$BF$244</definedName>
    <definedName name="A85231735T_Data">[1]AustralianNA3!$BF$152:$BF$244</definedName>
    <definedName name="A85231735T_Latest">[1]AustralianNA3!$BF$244</definedName>
    <definedName name="A85231736V">[1]AustralianNA3!$BH$1:$BH$10,[1]AustralianNA3!$BH$152:$BH$244</definedName>
    <definedName name="A85231736V_Data">[1]AustralianNA3!$BH$152:$BH$244</definedName>
    <definedName name="A85231736V_Latest">[1]AustralianNA3!$BH$244</definedName>
    <definedName name="A85231737W">[1]AustralianNA3!$BI$1:$BI$10,[1]AustralianNA3!$BI$152:$BI$244</definedName>
    <definedName name="A85231737W_Data">[1]AustralianNA3!$BI$152:$BI$244</definedName>
    <definedName name="A85231737W_Latest">[1]AustralianNA3!$BI$244</definedName>
    <definedName name="A85231738X">[1]AustralianNA3!$BK$1:$BK$10,[1]AustralianNA3!$BK$152:$BK$244</definedName>
    <definedName name="A85231738X_Data">[1]AustralianNA3!$BK$152:$BK$244</definedName>
    <definedName name="A85231738X_Latest">[1]AustralianNA3!$BK$244</definedName>
    <definedName name="A85231739A">[1]AustralianNA3!$BL$1:$BL$10,[1]AustralianNA3!$BL$152:$BL$244</definedName>
    <definedName name="A85231739A_Data">[1]AustralianNA3!$BL$152:$BL$244</definedName>
    <definedName name="A85231739A_Latest">[1]AustralianNA3!$BL$244</definedName>
    <definedName name="A85231740K">[1]AustralianNA3!$BN$1:$BN$10,[1]AustralianNA3!$BN$152:$BN$244</definedName>
    <definedName name="A85231740K_Data">[1]AustralianNA3!$BN$152:$BN$244</definedName>
    <definedName name="A85231740K_Latest">[1]AustralianNA3!$BN$244</definedName>
    <definedName name="A85231741L">[1]AustralianNA3!$BO$1:$BO$10,[1]AustralianNA3!$BO$152:$BO$244</definedName>
    <definedName name="A85231741L_Data">[1]AustralianNA3!$BO$152:$BO$244</definedName>
    <definedName name="A85231741L_Latest">[1]AustralianNA3!$BO$244</definedName>
    <definedName name="A85231742R">[1]AustralianNA2!$P$1:$P$10,[1]AustralianNA2!$P$119:$P$244</definedName>
    <definedName name="A85231742R_Data">[1]AustralianNA2!$P$119:$P$244</definedName>
    <definedName name="A85231742R_Latest">[1]AustralianNA2!$P$244</definedName>
    <definedName name="A85231743T">[1]AustralianNA2!$V$1:$V$10,[1]AustralianNA2!$V$151:$V$244</definedName>
    <definedName name="A85231743T_Data">[1]AustralianNA2!$V$151:$V$244</definedName>
    <definedName name="A85231743T_Latest">[1]AustralianNA2!$V$244</definedName>
    <definedName name="A85231744V">[1]AustralianNA2!$W$1:$W$10,[1]AustralianNA2!$W$151:$W$244</definedName>
    <definedName name="A85231744V_Data">[1]AustralianNA2!$W$151:$W$244</definedName>
    <definedName name="A85231744V_Latest">[1]AustralianNA2!$W$244</definedName>
    <definedName name="A85231745W">[1]AustralianNA2!$X$1:$X$10,[1]AustralianNA2!$X$151:$X$244</definedName>
    <definedName name="A85231745W_Data">[1]AustralianNA2!$X$151:$X$244</definedName>
    <definedName name="A85231745W_Latest">[1]AustralianNA2!$X$244</definedName>
    <definedName name="A85231746X">[1]AustralianNA2!$AH$1:$AH$10,[1]AustralianNA2!$AH$151:$AH$244</definedName>
    <definedName name="A85231746X_Data">[1]AustralianNA2!$AH$151:$AH$244</definedName>
    <definedName name="A85231746X_Latest">[1]AustralianNA2!$AH$244</definedName>
    <definedName name="A85231747A">[1]AustralianNA2!$AI$1:$AI$10,[1]AustralianNA2!$AI$151:$AI$244</definedName>
    <definedName name="A85231747A_Data">[1]AustralianNA2!$AI$151:$AI$244</definedName>
    <definedName name="A85231747A_Latest">[1]AustralianNA2!$AI$244</definedName>
    <definedName name="A85231748C">[1]AustralianNA2!$AK$1:$AK$10,[1]AustralianNA2!$AK$151:$AK$244</definedName>
    <definedName name="A85231748C_Data">[1]AustralianNA2!$AK$151:$AK$244</definedName>
    <definedName name="A85231748C_Latest">[1]AustralianNA2!$AK$244</definedName>
    <definedName name="A85231749F">[1]AustralianNA2!$AL$1:$AL$10,[1]AustralianNA2!$AL$151:$AL$244</definedName>
    <definedName name="A85231749F_Data">[1]AustralianNA2!$AL$151:$AL$244</definedName>
    <definedName name="A85231749F_Latest">[1]AustralianNA2!$AL$244</definedName>
    <definedName name="A85231750R">[1]AustralianNA2!$AN$1:$AN$10,[1]AustralianNA2!$AN$151:$AN$244</definedName>
    <definedName name="A85231750R_Data">[1]AustralianNA2!$AN$151:$AN$244</definedName>
    <definedName name="A85231750R_Latest">[1]AustralianNA2!$AN$244</definedName>
    <definedName name="A85231751T">[1]AustralianNA2!$AO$1:$AO$10,[1]AustralianNA2!$AO$151:$AO$244</definedName>
    <definedName name="A85231751T_Data">[1]AustralianNA2!$AO$151:$AO$244</definedName>
    <definedName name="A85231751T_Latest">[1]AustralianNA2!$AO$244</definedName>
    <definedName name="A85231752V">[1]AustralianNA2!$AQ$1:$AQ$10,[1]AustralianNA2!$AQ$151:$AQ$244</definedName>
    <definedName name="A85231752V_Data">[1]AustralianNA2!$AQ$151:$AQ$244</definedName>
    <definedName name="A85231752V_Latest">[1]AustralianNA2!$AQ$244</definedName>
    <definedName name="A85231753W">[1]AustralianNA2!$AR$1:$AR$10,[1]AustralianNA2!$AR$151:$AR$244</definedName>
    <definedName name="A85231753W_Data">[1]AustralianNA2!$AR$151:$AR$244</definedName>
    <definedName name="A85231753W_Latest">[1]AustralianNA2!$AR$244</definedName>
    <definedName name="A85231754X">[1]AustralianNA2!$DU$1:$DU$10,[1]AustralianNA2!$DU$119:$DU$244</definedName>
    <definedName name="A85231754X_Data">[1]AustralianNA2!$DU$119:$DU$244</definedName>
    <definedName name="A85231754X_Latest">[1]AustralianNA2!$DU$244</definedName>
    <definedName name="A85231755A">[1]AustralianNA2!$EA$1:$EA$10,[1]AustralianNA2!$EA$151:$EA$244</definedName>
    <definedName name="A85231755A_Data">[1]AustralianNA2!$EA$151:$EA$244</definedName>
    <definedName name="A85231755A_Latest">[1]AustralianNA2!$EA$244</definedName>
    <definedName name="A85231756C">[1]AustralianNA2!$EB$1:$EB$10,[1]AustralianNA2!$EB$151:$EB$244</definedName>
    <definedName name="A85231756C_Data">[1]AustralianNA2!$EB$151:$EB$244</definedName>
    <definedName name="A85231756C_Latest">[1]AustralianNA2!$EB$244</definedName>
    <definedName name="A85231757F">[1]AustralianNA2!$EC$1:$EC$10,[1]AustralianNA2!$EC$151:$EC$244</definedName>
    <definedName name="A85231757F_Data">[1]AustralianNA2!$EC$151:$EC$244</definedName>
    <definedName name="A85231757F_Latest">[1]AustralianNA2!$EC$244</definedName>
    <definedName name="A85231758J">[1]AustralianNA2!$EM$1:$EM$10,[1]AustralianNA2!$EM$151:$EM$244</definedName>
    <definedName name="A85231758J_Data">[1]AustralianNA2!$EM$151:$EM$244</definedName>
    <definedName name="A85231758J_Latest">[1]AustralianNA2!$EM$244</definedName>
    <definedName name="A85231759K">[1]AustralianNA2!$EN$1:$EN$10,[1]AustralianNA2!$EN$151:$EN$244</definedName>
    <definedName name="A85231759K_Data">[1]AustralianNA2!$EN$151:$EN$244</definedName>
    <definedName name="A85231759K_Latest">[1]AustralianNA2!$EN$244</definedName>
    <definedName name="A85231760V">[1]AustralianNA2!$EP$1:$EP$10,[1]AustralianNA2!$EP$151:$EP$244</definedName>
    <definedName name="A85231760V_Data">[1]AustralianNA2!$EP$151:$EP$244</definedName>
    <definedName name="A85231760V_Latest">[1]AustralianNA2!$EP$244</definedName>
    <definedName name="A85231761W">[1]AustralianNA2!$EQ$1:$EQ$10,[1]AustralianNA2!$EQ$151:$EQ$244</definedName>
    <definedName name="A85231761W_Data">[1]AustralianNA2!$EQ$151:$EQ$244</definedName>
    <definedName name="A85231761W_Latest">[1]AustralianNA2!$EQ$244</definedName>
    <definedName name="A85231762X">[1]AustralianNA2!$ES$1:$ES$10,[1]AustralianNA2!$ES$151:$ES$244</definedName>
    <definedName name="A85231762X_Data">[1]AustralianNA2!$ES$151:$ES$244</definedName>
    <definedName name="A85231762X_Latest">[1]AustralianNA2!$ES$244</definedName>
    <definedName name="A85231763A">[1]AustralianNA2!$ET$1:$ET$10,[1]AustralianNA2!$ET$151:$ET$244</definedName>
    <definedName name="A85231763A_Data">[1]AustralianNA2!$ET$151:$ET$244</definedName>
    <definedName name="A85231763A_Latest">[1]AustralianNA2!$ET$244</definedName>
    <definedName name="A85231764C">[1]AustralianNA2!$EV$1:$EV$10,[1]AustralianNA2!$EV$151:$EV$244</definedName>
    <definedName name="A85231764C_Data">[1]AustralianNA2!$EV$151:$EV$244</definedName>
    <definedName name="A85231764C_Latest">[1]AustralianNA2!$EV$244</definedName>
    <definedName name="A85231765F">[1]AustralianNA2!$EW$1:$EW$10,[1]AustralianNA2!$EW$151:$EW$244</definedName>
    <definedName name="A85231765F_Data">[1]AustralianNA2!$EW$151:$EW$244</definedName>
    <definedName name="A85231765F_Latest">[1]AustralianNA2!$EW$244</definedName>
    <definedName name="A85231766J">[1]AustralianNA2!$HZ$1:$HZ$10,[1]AustralianNA2!$HZ$119:$HZ$244</definedName>
    <definedName name="A85231766J_Data">[1]AustralianNA2!$HZ$119:$HZ$244</definedName>
    <definedName name="A85231766J_Latest">[1]AustralianNA2!$HZ$244</definedName>
    <definedName name="A85231767K">[1]AustralianNA2!$IF$1:$IF$10,[1]AustralianNA2!$IF$151:$IF$244</definedName>
    <definedName name="A85231767K_Data">[1]AustralianNA2!$IF$151:$IF$244</definedName>
    <definedName name="A85231767K_Latest">[1]AustralianNA2!$IF$244</definedName>
    <definedName name="A85231768L">[1]AustralianNA2!$IG$1:$IG$10,[1]AustralianNA2!$IG$151:$IG$244</definedName>
    <definedName name="A85231768L_Data">[1]AustralianNA2!$IG$151:$IG$244</definedName>
    <definedName name="A85231768L_Latest">[1]AustralianNA2!$IG$244</definedName>
    <definedName name="A85231769R">[1]AustralianNA2!$IH$1:$IH$10,[1]AustralianNA2!$IH$151:$IH$244</definedName>
    <definedName name="A85231769R_Data">[1]AustralianNA2!$IH$151:$IH$244</definedName>
    <definedName name="A85231769R_Latest">[1]AustralianNA2!$IH$244</definedName>
    <definedName name="A85231770X">[1]AustralianNA3!$B$1:$B$10,[1]AustralianNA3!$B$151:$B$244</definedName>
    <definedName name="A85231770X_Data">[1]AustralianNA3!$B$151:$B$244</definedName>
    <definedName name="A85231770X_Latest">[1]AustralianNA3!$B$244</definedName>
    <definedName name="A85231771A">[1]AustralianNA3!$C$1:$C$10,[1]AustralianNA3!$C$151:$C$244</definedName>
    <definedName name="A85231771A_Data">[1]AustralianNA3!$C$151:$C$244</definedName>
    <definedName name="A85231771A_Latest">[1]AustralianNA3!$C$244</definedName>
    <definedName name="A85231772C">[1]AustralianNA3!$E$1:$E$10,[1]AustralianNA3!$E$151:$E$244</definedName>
    <definedName name="A85231772C_Data">[1]AustralianNA3!$E$151:$E$244</definedName>
    <definedName name="A85231772C_Latest">[1]AustralianNA3!$E$244</definedName>
    <definedName name="A85231773F">[1]AustralianNA3!$F$1:$F$10,[1]AustralianNA3!$F$151:$F$244</definedName>
    <definedName name="A85231773F_Data">[1]AustralianNA3!$F$151:$F$244</definedName>
    <definedName name="A85231773F_Latest">[1]AustralianNA3!$F$244</definedName>
    <definedName name="A85231774J">[1]AustralianNA3!$H$1:$H$10,[1]AustralianNA3!$H$151:$H$244</definedName>
    <definedName name="A85231774J_Data">[1]AustralianNA3!$H$151:$H$244</definedName>
    <definedName name="A85231774J_Latest">[1]AustralianNA3!$H$244</definedName>
    <definedName name="A85231775K">[1]AustralianNA3!$I$1:$I$10,[1]AustralianNA3!$I$151:$I$244</definedName>
    <definedName name="A85231775K_Data">[1]AustralianNA3!$I$151:$I$244</definedName>
    <definedName name="A85231775K_Latest">[1]AustralianNA3!$I$244</definedName>
    <definedName name="A85231776L">[1]AustralianNA3!$K$1:$K$10,[1]AustralianNA3!$K$151:$K$244</definedName>
    <definedName name="A85231776L_Data">[1]AustralianNA3!$K$151:$K$244</definedName>
    <definedName name="A85231776L_Latest">[1]AustralianNA3!$K$244</definedName>
    <definedName name="A85231777R">[1]AustralianNA3!$L$1:$L$10,[1]AustralianNA3!$L$151:$L$244</definedName>
    <definedName name="A85231777R_Data">[1]AustralianNA3!$L$151:$L$244</definedName>
    <definedName name="A85231777R_Latest">[1]AustralianNA3!$L$244</definedName>
    <definedName name="column_headings" localSheetId="3">#REF!</definedName>
    <definedName name="column_headings" localSheetId="39">#REF!</definedName>
    <definedName name="column_headings" localSheetId="40">#REF!</definedName>
    <definedName name="column_numbers" localSheetId="3">#REF!</definedName>
    <definedName name="column_numbers" localSheetId="39">#REF!</definedName>
    <definedName name="column_numbers" localSheetId="40">#REF!</definedName>
    <definedName name="d" localSheetId="3">#REF!</definedName>
    <definedName name="d" localSheetId="39">#REF!</definedName>
    <definedName name="d" localSheetId="40">#REF!</definedName>
    <definedName name="data" localSheetId="3">#REF!</definedName>
    <definedName name="data" localSheetId="39">#REF!</definedName>
    <definedName name="data" localSheetId="40">#REF!</definedName>
    <definedName name="Date_Range">[1]AustralianNA!$A$2:$A$10,[1]AustralianNA!$A$11:$A$244</definedName>
    <definedName name="Date_Range_Data">[1]AustralianNA4!$A$11:$A$128</definedName>
    <definedName name="e" localSheetId="3">#REF!</definedName>
    <definedName name="e" localSheetId="39">#REF!</definedName>
    <definedName name="e" localSheetId="40">#REF!</definedName>
    <definedName name="ea_flux" localSheetId="3">#REF!</definedName>
    <definedName name="ea_flux" localSheetId="39">#REF!</definedName>
    <definedName name="ea_flux" localSheetId="40">#REF!</definedName>
    <definedName name="Equilibre" localSheetId="3">#REF!</definedName>
    <definedName name="Equilibre" localSheetId="39">#REF!</definedName>
    <definedName name="Equilibre" localSheetId="40">#REF!</definedName>
    <definedName name="f" localSheetId="3">#REF!</definedName>
    <definedName name="f" localSheetId="39">#REF!</definedName>
    <definedName name="f" localSheetId="40">#REF!</definedName>
    <definedName name="FN1_Data">[2]AustralianNA2!$DF$12:$DF$244</definedName>
    <definedName name="FN2_Data">[2]AustralianNA2!$DF$244</definedName>
    <definedName name="footnotes" localSheetId="3">#REF!</definedName>
    <definedName name="footnotes" localSheetId="23">#REF!</definedName>
    <definedName name="footnotes" localSheetId="24">#REF!</definedName>
    <definedName name="footnotes" localSheetId="25">#REF!</definedName>
    <definedName name="footnotes" localSheetId="39">#REF!</definedName>
    <definedName name="footnotes" localSheetId="40">#REF!</definedName>
    <definedName name="gg" localSheetId="3">#REF!</definedName>
    <definedName name="gg" localSheetId="39">#REF!</definedName>
    <definedName name="gg" localSheetId="40">#REF!</definedName>
    <definedName name="head" localSheetId="3">#REF!</definedName>
    <definedName name="head" localSheetId="39">#REF!</definedName>
    <definedName name="head" localSheetId="40">#REF!</definedName>
    <definedName name="name" localSheetId="3">#REF!</definedName>
    <definedName name="name" localSheetId="39">#REF!</definedName>
    <definedName name="name" localSheetId="40">#REF!</definedName>
    <definedName name="name2" localSheetId="3">#REF!</definedName>
    <definedName name="name2" localSheetId="39">#REF!</definedName>
    <definedName name="name2" localSheetId="40">#REF!</definedName>
    <definedName name="name3" localSheetId="3">#REF!</definedName>
    <definedName name="name3" localSheetId="39">#REF!</definedName>
    <definedName name="name3" localSheetId="40">#REF!</definedName>
    <definedName name="name4" localSheetId="3">#REF!</definedName>
    <definedName name="name4" localSheetId="39">#REF!</definedName>
    <definedName name="name4" localSheetId="40">#REF!</definedName>
    <definedName name="nb" localSheetId="3">#REF!</definedName>
    <definedName name="nb" localSheetId="39">#REF!</definedName>
    <definedName name="nb" localSheetId="40">#REF!</definedName>
    <definedName name="PIB" localSheetId="3">#REF!</definedName>
    <definedName name="PIB" localSheetId="39">#REF!</definedName>
    <definedName name="PIB" localSheetId="40">#REF!</definedName>
    <definedName name="_xlnm.Print_Titles" localSheetId="1">TableA1!$5:$8</definedName>
    <definedName name="ressources" localSheetId="3">#REF!</definedName>
    <definedName name="ressources" localSheetId="39">#REF!</definedName>
    <definedName name="ressources" localSheetId="40">#REF!</definedName>
    <definedName name="rpflux" localSheetId="3">#REF!</definedName>
    <definedName name="rpflux" localSheetId="39">#REF!</definedName>
    <definedName name="rpflux" localSheetId="40">#REF!</definedName>
    <definedName name="rptof" localSheetId="3">#REF!</definedName>
    <definedName name="rptof" localSheetId="39">#REF!</definedName>
    <definedName name="rptof" localSheetId="40">#REF!</definedName>
    <definedName name="spanners_level1" localSheetId="3">#REF!</definedName>
    <definedName name="spanners_level1" localSheetId="23">#REF!</definedName>
    <definedName name="spanners_level1" localSheetId="24">#REF!</definedName>
    <definedName name="spanners_level1" localSheetId="25">#REF!</definedName>
    <definedName name="spanners_level1" localSheetId="39">#REF!</definedName>
    <definedName name="spanners_level1" localSheetId="40">#REF!</definedName>
    <definedName name="spanners_level2" localSheetId="3">#REF!</definedName>
    <definedName name="spanners_level2" localSheetId="23">#REF!</definedName>
    <definedName name="spanners_level2" localSheetId="24">#REF!</definedName>
    <definedName name="spanners_level2" localSheetId="25">#REF!</definedName>
    <definedName name="spanners_level2" localSheetId="39">#REF!</definedName>
    <definedName name="spanners_level2" localSheetId="40">#REF!</definedName>
    <definedName name="spanners_level3" localSheetId="3">#REF!</definedName>
    <definedName name="spanners_level3" localSheetId="23">#REF!</definedName>
    <definedName name="spanners_level3" localSheetId="24">#REF!</definedName>
    <definedName name="spanners_level3" localSheetId="25">#REF!</definedName>
    <definedName name="spanners_level3" localSheetId="39">#REF!</definedName>
    <definedName name="spanners_level3" localSheetId="40">#REF!</definedName>
    <definedName name="spanners_level4" localSheetId="3">#REF!</definedName>
    <definedName name="spanners_level4" localSheetId="23">#REF!</definedName>
    <definedName name="spanners_level4" localSheetId="24">#REF!</definedName>
    <definedName name="spanners_level4" localSheetId="25">#REF!</definedName>
    <definedName name="spanners_level4" localSheetId="39">#REF!</definedName>
    <definedName name="spanners_level4" localSheetId="40">#REF!</definedName>
    <definedName name="spanners_level5" localSheetId="3">#REF!</definedName>
    <definedName name="spanners_level5" localSheetId="23">#REF!</definedName>
    <definedName name="spanners_level5" localSheetId="24">#REF!</definedName>
    <definedName name="spanners_level5" localSheetId="25">#REF!</definedName>
    <definedName name="spanners_level5" localSheetId="39">#REF!</definedName>
    <definedName name="spanners_level5" localSheetId="40">#REF!</definedName>
    <definedName name="stub_lines" localSheetId="3">#REF!</definedName>
    <definedName name="stub_lines" localSheetId="39">#REF!</definedName>
    <definedName name="stub_lines" localSheetId="40">#REF!</definedName>
    <definedName name="titles" localSheetId="3">#REF!</definedName>
    <definedName name="titles" localSheetId="39">#REF!</definedName>
    <definedName name="titles" localSheetId="40">#REF!</definedName>
    <definedName name="totals" localSheetId="3">#REF!</definedName>
    <definedName name="totals" localSheetId="39">#REF!</definedName>
    <definedName name="totals" localSheetId="4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4" i="273" l="1"/>
  <c r="C4" i="273" s="1"/>
  <c r="E4" i="273"/>
  <c r="F4" i="273"/>
  <c r="G4" i="273"/>
  <c r="B5" i="273"/>
  <c r="C5" i="273" s="1"/>
  <c r="F5" i="273"/>
  <c r="G5" i="273"/>
  <c r="B6" i="273"/>
  <c r="D6" i="273" s="1"/>
  <c r="C7" i="273"/>
  <c r="D7" i="273"/>
  <c r="E7" i="273"/>
  <c r="F7" i="273"/>
  <c r="I7" i="273" s="1"/>
  <c r="G7" i="273"/>
  <c r="B8" i="273"/>
  <c r="E8" i="273"/>
  <c r="F8" i="273"/>
  <c r="G8" i="273"/>
  <c r="C9" i="273"/>
  <c r="E9" i="273"/>
  <c r="F9" i="273"/>
  <c r="C10" i="273"/>
  <c r="D10" i="273"/>
  <c r="E10" i="273"/>
  <c r="F10" i="273"/>
  <c r="G10" i="273"/>
  <c r="C11" i="273"/>
  <c r="D11" i="273"/>
  <c r="E11" i="273"/>
  <c r="F11" i="273"/>
  <c r="G11" i="273"/>
  <c r="C12" i="273"/>
  <c r="D12" i="273"/>
  <c r="E12" i="273"/>
  <c r="F12" i="273"/>
  <c r="G12" i="273"/>
  <c r="C13" i="273"/>
  <c r="D13" i="273"/>
  <c r="E13" i="273"/>
  <c r="F13" i="273"/>
  <c r="G13" i="273"/>
  <c r="C14" i="273"/>
  <c r="D14" i="273"/>
  <c r="E14" i="273"/>
  <c r="F14" i="273"/>
  <c r="G14" i="273"/>
  <c r="G15" i="273"/>
  <c r="D8" i="273" l="1"/>
  <c r="G6" i="273"/>
  <c r="I12" i="273"/>
  <c r="I9" i="273"/>
  <c r="D9" i="273"/>
  <c r="D15" i="273" s="1"/>
  <c r="C6" i="273"/>
  <c r="C8" i="273"/>
  <c r="I8" i="273" s="1"/>
  <c r="I4" i="273"/>
  <c r="I11" i="273"/>
  <c r="I5" i="273"/>
  <c r="F6" i="273"/>
  <c r="I6" i="273" s="1"/>
  <c r="E5" i="273"/>
  <c r="D4" i="273"/>
  <c r="I10" i="273"/>
  <c r="E6" i="273"/>
  <c r="E16" i="273" s="1"/>
  <c r="D5" i="273"/>
  <c r="I14" i="273"/>
  <c r="E15" i="273"/>
  <c r="C15" i="273"/>
  <c r="I13" i="273"/>
  <c r="D16" i="273" l="1"/>
  <c r="F15" i="273"/>
  <c r="F16" i="273"/>
  <c r="C16" i="273"/>
  <c r="I15" i="273"/>
  <c r="I16" i="273" l="1"/>
  <c r="B182" i="270" l="1"/>
  <c r="D182" i="270" s="1"/>
  <c r="B181" i="270"/>
  <c r="D181" i="270" s="1"/>
  <c r="I84" i="270"/>
  <c r="H84" i="270"/>
  <c r="G84" i="270"/>
  <c r="F84" i="270"/>
  <c r="E84" i="270"/>
  <c r="D84" i="270"/>
  <c r="C84" i="270"/>
  <c r="B84" i="270"/>
  <c r="I83" i="270"/>
  <c r="H83" i="270"/>
  <c r="G83" i="270"/>
  <c r="F83" i="270"/>
  <c r="E83" i="270"/>
  <c r="D83" i="270"/>
  <c r="C83" i="270"/>
  <c r="B83" i="270"/>
  <c r="B81" i="270"/>
  <c r="I79" i="270"/>
  <c r="H78" i="270"/>
  <c r="B77" i="270"/>
  <c r="I75" i="270"/>
  <c r="B62" i="270"/>
  <c r="C62" i="270"/>
  <c r="D62" i="270"/>
  <c r="E62" i="270"/>
  <c r="F62" i="270"/>
  <c r="G62" i="270"/>
  <c r="H62" i="270"/>
  <c r="I62" i="270"/>
  <c r="B63" i="270"/>
  <c r="C63" i="270"/>
  <c r="D63" i="270"/>
  <c r="E63" i="270"/>
  <c r="F63" i="270"/>
  <c r="G63" i="270"/>
  <c r="H63" i="270"/>
  <c r="I63" i="270"/>
  <c r="B64" i="270"/>
  <c r="E64" i="270"/>
  <c r="H64" i="270"/>
  <c r="I64" i="270"/>
  <c r="B65" i="270"/>
  <c r="C65" i="270"/>
  <c r="D65" i="270"/>
  <c r="E65" i="270"/>
  <c r="F65" i="270"/>
  <c r="G65" i="270"/>
  <c r="H65" i="270"/>
  <c r="I65" i="270"/>
  <c r="B66" i="270"/>
  <c r="C66" i="270"/>
  <c r="D66" i="270"/>
  <c r="E66" i="270"/>
  <c r="F66" i="270"/>
  <c r="G66" i="270"/>
  <c r="H66" i="270"/>
  <c r="I66" i="270"/>
  <c r="B67" i="270"/>
  <c r="B177" i="270" s="1"/>
  <c r="E67" i="270"/>
  <c r="E177" i="270" s="1"/>
  <c r="H67" i="270"/>
  <c r="I67" i="270"/>
  <c r="I177" i="270" s="1"/>
  <c r="B68" i="270"/>
  <c r="E68" i="270"/>
  <c r="H68" i="270"/>
  <c r="I68" i="270"/>
  <c r="E61" i="270"/>
  <c r="E171" i="270" s="1"/>
  <c r="H61" i="270"/>
  <c r="H171" i="270" s="1"/>
  <c r="I61" i="270"/>
  <c r="B61" i="270"/>
  <c r="I41" i="270"/>
  <c r="H41" i="270"/>
  <c r="G41" i="270"/>
  <c r="F41" i="270"/>
  <c r="E41" i="270"/>
  <c r="D41" i="270"/>
  <c r="C41" i="270"/>
  <c r="B41" i="270"/>
  <c r="C14" i="270"/>
  <c r="E14" i="270" s="1"/>
  <c r="H42" i="270" s="1"/>
  <c r="D15" i="270"/>
  <c r="C8" i="270" s="1"/>
  <c r="E8" i="270" s="1"/>
  <c r="B42" i="270" s="1"/>
  <c r="C176" i="270" l="1"/>
  <c r="B175" i="270"/>
  <c r="I176" i="270"/>
  <c r="G175" i="270"/>
  <c r="D176" i="270"/>
  <c r="D76" i="270"/>
  <c r="E77" i="270"/>
  <c r="B79" i="270"/>
  <c r="C80" i="270"/>
  <c r="I81" i="270"/>
  <c r="E76" i="270"/>
  <c r="F77" i="270"/>
  <c r="C79" i="270"/>
  <c r="D80" i="270"/>
  <c r="B82" i="270"/>
  <c r="F76" i="270"/>
  <c r="G77" i="270"/>
  <c r="D79" i="270"/>
  <c r="E80" i="270"/>
  <c r="E82" i="270"/>
  <c r="G76" i="270"/>
  <c r="H77" i="270"/>
  <c r="E79" i="270"/>
  <c r="F80" i="270"/>
  <c r="H82" i="270"/>
  <c r="B43" i="270"/>
  <c r="E75" i="270"/>
  <c r="H76" i="270"/>
  <c r="I77" i="270"/>
  <c r="G79" i="270"/>
  <c r="H80" i="270"/>
  <c r="H75" i="270"/>
  <c r="I76" i="270"/>
  <c r="B78" i="270"/>
  <c r="H79" i="270"/>
  <c r="I80" i="270"/>
  <c r="I171" i="270"/>
  <c r="B76" i="270"/>
  <c r="C77" i="270"/>
  <c r="I78" i="270"/>
  <c r="B80" i="270"/>
  <c r="E81" i="270"/>
  <c r="H43" i="270"/>
  <c r="C12" i="270"/>
  <c r="I175" i="270" s="1"/>
  <c r="C10" i="270"/>
  <c r="B173" i="270" s="1"/>
  <c r="C9" i="270"/>
  <c r="E172" i="270" s="1"/>
  <c r="C15" i="270"/>
  <c r="E178" i="270" s="1"/>
  <c r="C13" i="270"/>
  <c r="F176" i="270" s="1"/>
  <c r="C11" i="270"/>
  <c r="H174" i="270" s="1"/>
  <c r="G176" i="270" l="1"/>
  <c r="G80" i="270" s="1"/>
  <c r="H173" i="270"/>
  <c r="E173" i="270"/>
  <c r="C173" i="270"/>
  <c r="D173" i="270" s="1"/>
  <c r="D77" i="270" s="1"/>
  <c r="I174" i="270"/>
  <c r="H172" i="270"/>
  <c r="D172" i="270"/>
  <c r="I173" i="270"/>
  <c r="D175" i="270"/>
  <c r="F175" i="270" s="1"/>
  <c r="F79" i="270" s="1"/>
  <c r="H175" i="270"/>
  <c r="B174" i="270"/>
  <c r="F172" i="270"/>
  <c r="I172" i="270"/>
  <c r="H176" i="270"/>
  <c r="B178" i="270"/>
  <c r="F173" i="270"/>
  <c r="E176" i="270"/>
  <c r="B172" i="270"/>
  <c r="H178" i="270"/>
  <c r="G172" i="270"/>
  <c r="B176" i="270"/>
  <c r="C175" i="270"/>
  <c r="G173" i="270"/>
  <c r="E175" i="270"/>
  <c r="E9" i="270"/>
  <c r="C42" i="270" s="1"/>
  <c r="C43" i="270" s="1"/>
  <c r="B45" i="270" s="1"/>
  <c r="G50" i="270" s="1"/>
  <c r="G61" i="270" s="1"/>
  <c r="G171" i="270" s="1"/>
  <c r="E13" i="270"/>
  <c r="G42" i="270" s="1"/>
  <c r="G43" i="270" s="1"/>
  <c r="G56" i="270" s="1"/>
  <c r="G67" i="270" s="1"/>
  <c r="E15" i="270"/>
  <c r="I42" i="270" s="1"/>
  <c r="I43" i="270" s="1"/>
  <c r="C57" i="270" s="1"/>
  <c r="C68" i="270" s="1"/>
  <c r="E10" i="270"/>
  <c r="D42" i="270" s="1"/>
  <c r="D43" i="270" s="1"/>
  <c r="D56" i="270" s="1"/>
  <c r="D67" i="270" s="1"/>
  <c r="E11" i="270"/>
  <c r="E42" i="270" s="1"/>
  <c r="E43" i="270" s="1"/>
  <c r="C53" i="270" s="1"/>
  <c r="C64" i="270" s="1"/>
  <c r="E12" i="270"/>
  <c r="F42" i="270" s="1"/>
  <c r="F43" i="270" s="1"/>
  <c r="F56" i="270" s="1"/>
  <c r="F67" i="270" s="1"/>
  <c r="AI95" i="271"/>
  <c r="AB97" i="271"/>
  <c r="AC97" i="271"/>
  <c r="AD97" i="271"/>
  <c r="AE97" i="271"/>
  <c r="AF97" i="271"/>
  <c r="AG97" i="271"/>
  <c r="AH97" i="271"/>
  <c r="AI97" i="271"/>
  <c r="F53" i="270" l="1"/>
  <c r="F64" i="270" s="1"/>
  <c r="F174" i="270" s="1"/>
  <c r="B46" i="270"/>
  <c r="D50" i="270"/>
  <c r="D61" i="270" s="1"/>
  <c r="D53" i="270"/>
  <c r="D64" i="270" s="1"/>
  <c r="C50" i="270"/>
  <c r="C61" i="270" s="1"/>
  <c r="G57" i="270"/>
  <c r="G68" i="270" s="1"/>
  <c r="G178" i="270" s="1"/>
  <c r="I178" i="270" s="1"/>
  <c r="I82" i="270" s="1"/>
  <c r="F50" i="270"/>
  <c r="F61" i="270" s="1"/>
  <c r="F75" i="270" s="1"/>
  <c r="C172" i="270"/>
  <c r="C76" i="270" s="1"/>
  <c r="G75" i="270"/>
  <c r="G53" i="270"/>
  <c r="G64" i="270" s="1"/>
  <c r="F57" i="270"/>
  <c r="F68" i="270" s="1"/>
  <c r="D57" i="270"/>
  <c r="D68" i="270" s="1"/>
  <c r="D178" i="270" s="1"/>
  <c r="C56" i="270"/>
  <c r="C67" i="270" s="1"/>
  <c r="G177" i="270"/>
  <c r="G81" i="270"/>
  <c r="C177" i="270"/>
  <c r="C81" i="270"/>
  <c r="F177" i="270"/>
  <c r="F81" i="270"/>
  <c r="C174" i="270"/>
  <c r="C78" i="270"/>
  <c r="F178" i="270"/>
  <c r="F82" i="270"/>
  <c r="D177" i="270"/>
  <c r="D81" i="270"/>
  <c r="D174" i="270"/>
  <c r="D78" i="270"/>
  <c r="C178" i="270"/>
  <c r="C82" i="270"/>
  <c r="G174" i="270"/>
  <c r="G78" i="270"/>
  <c r="D75" i="270"/>
  <c r="D171" i="270"/>
  <c r="C171" i="270"/>
  <c r="C75" i="270"/>
  <c r="B93" i="271"/>
  <c r="B89" i="271"/>
  <c r="B88" i="271"/>
  <c r="B87" i="271"/>
  <c r="B86" i="271"/>
  <c r="B85" i="271"/>
  <c r="B83" i="271"/>
  <c r="B80" i="271"/>
  <c r="B70" i="271"/>
  <c r="B68" i="271"/>
  <c r="B61" i="271"/>
  <c r="B57" i="271"/>
  <c r="F78" i="270" l="1"/>
  <c r="H177" i="270"/>
  <c r="H81" i="270" s="1"/>
  <c r="F171" i="270"/>
  <c r="B171" i="270" s="1"/>
  <c r="B75" i="270" s="1"/>
  <c r="D82" i="270"/>
  <c r="G82" i="270"/>
  <c r="E174" i="270"/>
  <c r="E78" i="270" s="1"/>
  <c r="C95" i="270"/>
  <c r="C115" i="270"/>
  <c r="C156" i="270"/>
  <c r="A56" i="268"/>
  <c r="A60" i="268"/>
  <c r="A67" i="268"/>
  <c r="A69" i="268"/>
  <c r="A79" i="268"/>
  <c r="A82" i="268"/>
  <c r="A84" i="268"/>
  <c r="A85" i="268"/>
  <c r="A86" i="268"/>
  <c r="A87" i="268"/>
  <c r="A88" i="268"/>
  <c r="C142" i="270" l="1"/>
  <c r="C138" i="270"/>
  <c r="C118" i="270"/>
  <c r="C94" i="270"/>
  <c r="C102" i="270"/>
  <c r="C140" i="270"/>
  <c r="C96" i="270"/>
  <c r="C91" i="270"/>
  <c r="C116" i="270"/>
  <c r="C100" i="270"/>
  <c r="C136" i="270"/>
  <c r="C93" i="270"/>
  <c r="C89" i="270"/>
  <c r="C124" i="270"/>
  <c r="C104" i="270"/>
  <c r="C99" i="270"/>
  <c r="C92" i="270"/>
  <c r="C120" i="270"/>
  <c r="C103" i="270"/>
  <c r="C98" i="270"/>
  <c r="C108" i="270"/>
  <c r="C152" i="270"/>
  <c r="C164" i="270"/>
  <c r="C148" i="270"/>
  <c r="C119" i="270"/>
  <c r="C112" i="270"/>
  <c r="C110" i="270"/>
  <c r="C160" i="270"/>
  <c r="C144" i="270"/>
  <c r="C128" i="270"/>
  <c r="C90" i="270"/>
  <c r="C159" i="270"/>
  <c r="C139" i="270"/>
  <c r="C111" i="270"/>
  <c r="C155" i="270"/>
  <c r="C143" i="270"/>
  <c r="C162" i="270"/>
  <c r="C150" i="270"/>
  <c r="C106" i="270"/>
  <c r="C163" i="270"/>
  <c r="C151" i="270"/>
  <c r="C147" i="270"/>
  <c r="C135" i="270"/>
  <c r="C131" i="270"/>
  <c r="C127" i="270"/>
  <c r="C107" i="270"/>
  <c r="C166" i="270"/>
  <c r="C154" i="270"/>
  <c r="C146" i="270"/>
  <c r="C134" i="270"/>
  <c r="C130" i="270"/>
  <c r="C126" i="270"/>
  <c r="C122" i="270"/>
  <c r="C165" i="270"/>
  <c r="C161" i="270"/>
  <c r="C157" i="270"/>
  <c r="C153" i="270"/>
  <c r="C149" i="270"/>
  <c r="C145" i="270"/>
  <c r="C137" i="270"/>
  <c r="C133" i="270"/>
  <c r="C129" i="270"/>
  <c r="C125" i="270"/>
  <c r="C121" i="270"/>
  <c r="C117" i="270"/>
  <c r="C113" i="270"/>
  <c r="C109" i="270"/>
  <c r="C105" i="270"/>
  <c r="C101" i="270"/>
  <c r="M8" i="266"/>
  <c r="N9" i="266"/>
  <c r="N10" i="266"/>
  <c r="N11" i="266"/>
  <c r="N12" i="266"/>
  <c r="N13" i="266"/>
  <c r="N14" i="266"/>
  <c r="N15" i="266"/>
  <c r="N16" i="266"/>
  <c r="N17" i="266"/>
  <c r="N18" i="266"/>
  <c r="N19" i="266"/>
  <c r="N20" i="266"/>
  <c r="N21" i="266"/>
  <c r="N22" i="266"/>
  <c r="N23" i="266"/>
  <c r="N24" i="266"/>
  <c r="N25" i="266"/>
  <c r="N26" i="266"/>
  <c r="N27" i="266"/>
  <c r="N28" i="266"/>
  <c r="N29" i="266"/>
  <c r="N30" i="266"/>
  <c r="N31" i="266"/>
  <c r="N32" i="266"/>
  <c r="N33" i="266"/>
  <c r="N34" i="266"/>
  <c r="N35" i="266"/>
  <c r="N36" i="266"/>
  <c r="N37" i="266"/>
  <c r="N38" i="266"/>
  <c r="N39" i="266"/>
  <c r="N40" i="266"/>
  <c r="N41" i="266"/>
  <c r="N42" i="266"/>
  <c r="N43" i="266"/>
  <c r="M44" i="266"/>
  <c r="N44" i="266" s="1"/>
  <c r="N45" i="266"/>
  <c r="N46" i="266"/>
  <c r="N47" i="266"/>
  <c r="N48" i="266"/>
  <c r="N49" i="266"/>
  <c r="N50" i="266"/>
  <c r="N51" i="266"/>
  <c r="M52" i="266"/>
  <c r="Q9" i="266" s="1"/>
  <c r="N53" i="266"/>
  <c r="N54" i="266"/>
  <c r="N55" i="266"/>
  <c r="N56" i="266"/>
  <c r="N57" i="266"/>
  <c r="N58" i="266"/>
  <c r="N59" i="266"/>
  <c r="N60" i="266"/>
  <c r="N61" i="266"/>
  <c r="N62" i="266"/>
  <c r="N63" i="266"/>
  <c r="N64" i="266"/>
  <c r="N65" i="266"/>
  <c r="N66" i="266"/>
  <c r="N67" i="266"/>
  <c r="N68" i="266"/>
  <c r="N69" i="266"/>
  <c r="N70" i="266"/>
  <c r="N71" i="266"/>
  <c r="N72" i="266"/>
  <c r="N73" i="266"/>
  <c r="N74" i="266"/>
  <c r="N75" i="266"/>
  <c r="N76" i="266"/>
  <c r="N77" i="266"/>
  <c r="N78" i="266"/>
  <c r="N79" i="266"/>
  <c r="N80" i="266"/>
  <c r="N81" i="266"/>
  <c r="N82" i="266"/>
  <c r="N83" i="266"/>
  <c r="N84" i="266"/>
  <c r="N85" i="266"/>
  <c r="N86" i="266"/>
  <c r="N87" i="266"/>
  <c r="N88" i="266"/>
  <c r="E8" i="265"/>
  <c r="E9" i="265"/>
  <c r="C11" i="265"/>
  <c r="E11" i="265" s="1"/>
  <c r="D15" i="265"/>
  <c r="F8" i="264"/>
  <c r="I8" i="264"/>
  <c r="F9" i="264"/>
  <c r="I9" i="264"/>
  <c r="F10" i="264"/>
  <c r="I10" i="264"/>
  <c r="D11" i="264"/>
  <c r="F11" i="264" s="1"/>
  <c r="G11" i="264"/>
  <c r="H11" i="264"/>
  <c r="D12" i="264"/>
  <c r="G12" i="264"/>
  <c r="J12" i="264"/>
  <c r="K12" i="264"/>
  <c r="E13" i="264"/>
  <c r="F13" i="264" s="1"/>
  <c r="H13" i="264"/>
  <c r="L13" i="264"/>
  <c r="E14" i="264"/>
  <c r="F14" i="264" s="1"/>
  <c r="H14" i="264"/>
  <c r="I14" i="264" s="1"/>
  <c r="L14" i="264"/>
  <c r="E15" i="264"/>
  <c r="F15" i="264" s="1"/>
  <c r="H15" i="264"/>
  <c r="I15" i="264" s="1"/>
  <c r="L15" i="264"/>
  <c r="Y15" i="264" s="1"/>
  <c r="Z15" i="264"/>
  <c r="E16" i="264"/>
  <c r="F16" i="264" s="1"/>
  <c r="H16" i="264"/>
  <c r="I16" i="264" s="1"/>
  <c r="L16" i="264"/>
  <c r="Z16" i="264"/>
  <c r="AA16" i="264"/>
  <c r="E17" i="264"/>
  <c r="F17" i="264" s="1"/>
  <c r="H17" i="264"/>
  <c r="I17" i="264" s="1"/>
  <c r="L17" i="264"/>
  <c r="Z17" i="264"/>
  <c r="AA17" i="264"/>
  <c r="E18" i="264"/>
  <c r="F18" i="264" s="1"/>
  <c r="H18" i="264"/>
  <c r="I18" i="264" s="1"/>
  <c r="L18" i="264"/>
  <c r="Z18" i="264"/>
  <c r="AA18" i="264"/>
  <c r="E19" i="264"/>
  <c r="F19" i="264" s="1"/>
  <c r="H19" i="264"/>
  <c r="I19" i="264" s="1"/>
  <c r="L19" i="264"/>
  <c r="Z19" i="264"/>
  <c r="AA19" i="264"/>
  <c r="E20" i="264"/>
  <c r="F20" i="264" s="1"/>
  <c r="H20" i="264"/>
  <c r="I20" i="264" s="1"/>
  <c r="L20" i="264"/>
  <c r="E21" i="264"/>
  <c r="F21" i="264" s="1"/>
  <c r="H21" i="264"/>
  <c r="I21" i="264" s="1"/>
  <c r="L21" i="264"/>
  <c r="E22" i="264"/>
  <c r="F22" i="264" s="1"/>
  <c r="H22" i="264"/>
  <c r="I22" i="264" s="1"/>
  <c r="L22" i="264"/>
  <c r="E23" i="264"/>
  <c r="F23" i="264" s="1"/>
  <c r="H23" i="264"/>
  <c r="I23" i="264" s="1"/>
  <c r="L23" i="264"/>
  <c r="E24" i="264"/>
  <c r="F24" i="264" s="1"/>
  <c r="H24" i="264"/>
  <c r="I24" i="264" s="1"/>
  <c r="L24" i="264"/>
  <c r="E25" i="264"/>
  <c r="F25" i="264" s="1"/>
  <c r="H25" i="264"/>
  <c r="I25" i="264" s="1"/>
  <c r="L25" i="264"/>
  <c r="E26" i="264"/>
  <c r="F26" i="264" s="1"/>
  <c r="H26" i="264"/>
  <c r="I26" i="264" s="1"/>
  <c r="L26" i="264"/>
  <c r="E27" i="264"/>
  <c r="F27" i="264" s="1"/>
  <c r="H27" i="264"/>
  <c r="I27" i="264" s="1"/>
  <c r="L27" i="264"/>
  <c r="Y16" i="264" s="1"/>
  <c r="E28" i="264"/>
  <c r="F28" i="264" s="1"/>
  <c r="H28" i="264"/>
  <c r="I28" i="264" s="1"/>
  <c r="L28" i="264"/>
  <c r="E29" i="264"/>
  <c r="F29" i="264" s="1"/>
  <c r="H29" i="264"/>
  <c r="I29" i="264" s="1"/>
  <c r="L29" i="264"/>
  <c r="E30" i="264"/>
  <c r="F30" i="264" s="1"/>
  <c r="H30" i="264"/>
  <c r="I30" i="264" s="1"/>
  <c r="L30" i="264"/>
  <c r="E31" i="264"/>
  <c r="H31" i="264"/>
  <c r="L31" i="264"/>
  <c r="E32" i="264"/>
  <c r="F32" i="264" s="1"/>
  <c r="H32" i="264"/>
  <c r="I32" i="264" s="1"/>
  <c r="L32" i="264"/>
  <c r="E33" i="264"/>
  <c r="F33" i="264" s="1"/>
  <c r="H33" i="264"/>
  <c r="I33" i="264" s="1"/>
  <c r="L33" i="264"/>
  <c r="Y17" i="264" s="1"/>
  <c r="E34" i="264"/>
  <c r="F34" i="264" s="1"/>
  <c r="H34" i="264"/>
  <c r="I34" i="264" s="1"/>
  <c r="L34" i="264"/>
  <c r="E35" i="264"/>
  <c r="F35" i="264" s="1"/>
  <c r="H35" i="264"/>
  <c r="I35" i="264" s="1"/>
  <c r="L35" i="264"/>
  <c r="Y18" i="264" s="1"/>
  <c r="E36" i="264"/>
  <c r="F36" i="264" s="1"/>
  <c r="H36" i="264"/>
  <c r="I36" i="264" s="1"/>
  <c r="L36" i="264"/>
  <c r="E37" i="264"/>
  <c r="F37" i="264" s="1"/>
  <c r="H37" i="264"/>
  <c r="I37" i="264" s="1"/>
  <c r="L37" i="264"/>
  <c r="E38" i="264"/>
  <c r="F38" i="264" s="1"/>
  <c r="H38" i="264"/>
  <c r="I38" i="264" s="1"/>
  <c r="L38" i="264"/>
  <c r="E39" i="264"/>
  <c r="F39" i="264" s="1"/>
  <c r="H39" i="264"/>
  <c r="I39" i="264" s="1"/>
  <c r="L39" i="264"/>
  <c r="E40" i="264"/>
  <c r="F40" i="264" s="1"/>
  <c r="H40" i="264"/>
  <c r="L40" i="264"/>
  <c r="E41" i="264"/>
  <c r="F41" i="264" s="1"/>
  <c r="H41" i="264"/>
  <c r="I41" i="264" s="1"/>
  <c r="L41" i="264"/>
  <c r="E42" i="264"/>
  <c r="F42" i="264" s="1"/>
  <c r="H42" i="264"/>
  <c r="I42" i="264" s="1"/>
  <c r="L42" i="264"/>
  <c r="E43" i="264"/>
  <c r="F43" i="264" s="1"/>
  <c r="H43" i="264"/>
  <c r="I43" i="264" s="1"/>
  <c r="L43" i="264"/>
  <c r="E44" i="264"/>
  <c r="F44" i="264" s="1"/>
  <c r="H44" i="264"/>
  <c r="I44" i="264" s="1"/>
  <c r="L44" i="264"/>
  <c r="Y19" i="264" s="1"/>
  <c r="E45" i="264"/>
  <c r="F45" i="264" s="1"/>
  <c r="H45" i="264"/>
  <c r="I45" i="264" s="1"/>
  <c r="L45" i="264"/>
  <c r="E46" i="264"/>
  <c r="F46" i="264" s="1"/>
  <c r="H46" i="264"/>
  <c r="I46" i="264" s="1"/>
  <c r="L46" i="264"/>
  <c r="H47" i="264"/>
  <c r="I47" i="264" s="1"/>
  <c r="L47" i="264"/>
  <c r="D48" i="264"/>
  <c r="G48" i="264"/>
  <c r="J48" i="264"/>
  <c r="K48" i="264"/>
  <c r="E49" i="264"/>
  <c r="H49" i="264"/>
  <c r="L49" i="264"/>
  <c r="E50" i="264"/>
  <c r="F50" i="264" s="1"/>
  <c r="H50" i="264"/>
  <c r="I50" i="264" s="1"/>
  <c r="L50" i="264"/>
  <c r="E51" i="264"/>
  <c r="F51" i="264" s="1"/>
  <c r="H51" i="264"/>
  <c r="I51" i="264" s="1"/>
  <c r="L51" i="264"/>
  <c r="E52" i="264"/>
  <c r="F52" i="264" s="1"/>
  <c r="H52" i="264"/>
  <c r="I52" i="264" s="1"/>
  <c r="L52" i="264"/>
  <c r="E53" i="264"/>
  <c r="F53" i="264" s="1"/>
  <c r="H53" i="264"/>
  <c r="I53" i="264" s="1"/>
  <c r="L53" i="264"/>
  <c r="E54" i="264"/>
  <c r="F54" i="264" s="1"/>
  <c r="H54" i="264"/>
  <c r="I54" i="264" s="1"/>
  <c r="L54" i="264"/>
  <c r="E55" i="264"/>
  <c r="F55" i="264" s="1"/>
  <c r="H55" i="264"/>
  <c r="I55" i="264" s="1"/>
  <c r="L55" i="264"/>
  <c r="D56" i="264"/>
  <c r="G56" i="264"/>
  <c r="E57" i="264"/>
  <c r="H57" i="264"/>
  <c r="L57" i="264"/>
  <c r="E58" i="264"/>
  <c r="H58" i="264"/>
  <c r="L58" i="264"/>
  <c r="E59" i="264"/>
  <c r="H59" i="264"/>
  <c r="L59" i="264"/>
  <c r="E60" i="264"/>
  <c r="F60" i="264" s="1"/>
  <c r="H60" i="264"/>
  <c r="I60" i="264" s="1"/>
  <c r="L60" i="264"/>
  <c r="E61" i="264"/>
  <c r="F61" i="264" s="1"/>
  <c r="H61" i="264"/>
  <c r="I61" i="264" s="1"/>
  <c r="L61" i="264"/>
  <c r="E62" i="264"/>
  <c r="F62" i="264" s="1"/>
  <c r="H62" i="264"/>
  <c r="I62" i="264" s="1"/>
  <c r="L62" i="264"/>
  <c r="E63" i="264"/>
  <c r="F63" i="264" s="1"/>
  <c r="H63" i="264"/>
  <c r="I63" i="264" s="1"/>
  <c r="L63" i="264"/>
  <c r="E64" i="264"/>
  <c r="H64" i="264"/>
  <c r="L64" i="264"/>
  <c r="E65" i="264"/>
  <c r="F65" i="264" s="1"/>
  <c r="H65" i="264"/>
  <c r="I65" i="264" s="1"/>
  <c r="L65" i="264"/>
  <c r="E66" i="264"/>
  <c r="H66" i="264"/>
  <c r="L66" i="264"/>
  <c r="E67" i="264"/>
  <c r="F67" i="264" s="1"/>
  <c r="H67" i="264"/>
  <c r="I67" i="264" s="1"/>
  <c r="L67" i="264"/>
  <c r="E68" i="264"/>
  <c r="F68" i="264" s="1"/>
  <c r="H68" i="264"/>
  <c r="I68" i="264" s="1"/>
  <c r="L68" i="264"/>
  <c r="E69" i="264"/>
  <c r="F69" i="264" s="1"/>
  <c r="H69" i="264"/>
  <c r="I69" i="264" s="1"/>
  <c r="L69" i="264"/>
  <c r="E70" i="264"/>
  <c r="F70" i="264" s="1"/>
  <c r="H70" i="264"/>
  <c r="I70" i="264" s="1"/>
  <c r="L70" i="264"/>
  <c r="E71" i="264"/>
  <c r="F71" i="264" s="1"/>
  <c r="H71" i="264"/>
  <c r="I71" i="264" s="1"/>
  <c r="L71" i="264"/>
  <c r="E72" i="264"/>
  <c r="H72" i="264"/>
  <c r="L72" i="264"/>
  <c r="E73" i="264"/>
  <c r="F73" i="264" s="1"/>
  <c r="H73" i="264"/>
  <c r="I73" i="264" s="1"/>
  <c r="L73" i="264"/>
  <c r="E74" i="264"/>
  <c r="H74" i="264"/>
  <c r="L74" i="264"/>
  <c r="E75" i="264"/>
  <c r="F75" i="264" s="1"/>
  <c r="H75" i="264"/>
  <c r="L75" i="264"/>
  <c r="E76" i="264"/>
  <c r="H76" i="264"/>
  <c r="L76" i="264"/>
  <c r="E77" i="264"/>
  <c r="F77" i="264" s="1"/>
  <c r="H77" i="264"/>
  <c r="I77" i="264" s="1"/>
  <c r="L77" i="264"/>
  <c r="E78" i="264"/>
  <c r="H78" i="264"/>
  <c r="L78" i="264"/>
  <c r="E79" i="264"/>
  <c r="F79" i="264" s="1"/>
  <c r="H79" i="264"/>
  <c r="I79" i="264" s="1"/>
  <c r="L79" i="264"/>
  <c r="E80" i="264"/>
  <c r="F80" i="264" s="1"/>
  <c r="H80" i="264"/>
  <c r="I80" i="264" s="1"/>
  <c r="L80" i="264"/>
  <c r="E81" i="264"/>
  <c r="H81" i="264"/>
  <c r="L81" i="264"/>
  <c r="E82" i="264"/>
  <c r="F82" i="264" s="1"/>
  <c r="H82" i="264"/>
  <c r="I82" i="264" s="1"/>
  <c r="L82" i="264"/>
  <c r="E83" i="264"/>
  <c r="H83" i="264"/>
  <c r="L83" i="264"/>
  <c r="E84" i="264"/>
  <c r="F84" i="264" s="1"/>
  <c r="H84" i="264"/>
  <c r="I84" i="264" s="1"/>
  <c r="L84" i="264"/>
  <c r="E85" i="264"/>
  <c r="H85" i="264"/>
  <c r="L85" i="264"/>
  <c r="E86" i="264"/>
  <c r="F86" i="264" s="1"/>
  <c r="H86" i="264"/>
  <c r="I86" i="264" s="1"/>
  <c r="L86" i="264"/>
  <c r="E87" i="264"/>
  <c r="F87" i="264" s="1"/>
  <c r="H87" i="264"/>
  <c r="L87" i="264"/>
  <c r="E88" i="264"/>
  <c r="F88" i="264" s="1"/>
  <c r="H88" i="264"/>
  <c r="L88" i="264"/>
  <c r="E89" i="264"/>
  <c r="H89" i="264"/>
  <c r="L89" i="264"/>
  <c r="E90" i="264"/>
  <c r="H90" i="264"/>
  <c r="L90" i="264"/>
  <c r="E91" i="264"/>
  <c r="F91" i="264" s="1"/>
  <c r="H91" i="264"/>
  <c r="I91" i="264" s="1"/>
  <c r="L91" i="264"/>
  <c r="E92" i="264"/>
  <c r="F92" i="264" s="1"/>
  <c r="H92" i="264"/>
  <c r="I92" i="264" s="1"/>
  <c r="J92" i="264"/>
  <c r="S11" i="264" s="1"/>
  <c r="I9" i="262" s="1"/>
  <c r="C8" i="263"/>
  <c r="AA15" i="264" s="1"/>
  <c r="D8" i="263"/>
  <c r="F8" i="263"/>
  <c r="G8" i="263"/>
  <c r="B9" i="263"/>
  <c r="C9" i="263"/>
  <c r="C18" i="263" s="1"/>
  <c r="F9" i="263"/>
  <c r="F18" i="263" s="1"/>
  <c r="G9" i="263"/>
  <c r="G18" i="263" s="1"/>
  <c r="B10" i="263"/>
  <c r="C10" i="263"/>
  <c r="D10" i="263"/>
  <c r="F10" i="263"/>
  <c r="G10" i="263"/>
  <c r="B11" i="263"/>
  <c r="C11" i="263"/>
  <c r="F11" i="263"/>
  <c r="G11" i="263"/>
  <c r="B12" i="263"/>
  <c r="C12" i="263"/>
  <c r="D12" i="263"/>
  <c r="F12" i="263"/>
  <c r="G12" i="263"/>
  <c r="C14" i="263"/>
  <c r="E6" i="262"/>
  <c r="E7" i="262"/>
  <c r="N7" i="262"/>
  <c r="E8" i="262"/>
  <c r="C9" i="262"/>
  <c r="E9" i="262" s="1"/>
  <c r="C167" i="270" l="1"/>
  <c r="D9" i="263"/>
  <c r="D18" i="263" s="1"/>
  <c r="D11" i="263"/>
  <c r="D7" i="263" s="1"/>
  <c r="L12" i="264"/>
  <c r="G7" i="263"/>
  <c r="F7" i="263"/>
  <c r="L48" i="264"/>
  <c r="K92" i="264"/>
  <c r="E56" i="264"/>
  <c r="F56" i="264" s="1"/>
  <c r="H12" i="264"/>
  <c r="I12" i="264" s="1"/>
  <c r="I11" i="264"/>
  <c r="H48" i="264"/>
  <c r="I48" i="264" s="1"/>
  <c r="D14" i="263"/>
  <c r="E48" i="264"/>
  <c r="F48" i="264" s="1"/>
  <c r="N52" i="266"/>
  <c r="R9" i="266" s="1"/>
  <c r="H56" i="264"/>
  <c r="I56" i="264" s="1"/>
  <c r="N8" i="266"/>
  <c r="C7" i="263"/>
  <c r="E12" i="264"/>
  <c r="F12" i="264" s="1"/>
  <c r="J56" i="264"/>
  <c r="F49" i="264"/>
  <c r="I13" i="264"/>
  <c r="C14" i="265"/>
  <c r="J11" i="264"/>
  <c r="I49" i="264"/>
  <c r="C97" i="270" l="1"/>
  <c r="C114" i="270"/>
  <c r="C132" i="270"/>
  <c r="C123" i="270"/>
  <c r="C141" i="270"/>
  <c r="C88" i="270"/>
  <c r="C158" i="270"/>
  <c r="V50" i="270" a="1"/>
  <c r="V50" i="270" s="1"/>
  <c r="D16" i="263"/>
  <c r="D17" i="263" s="1"/>
  <c r="T11" i="264"/>
  <c r="J9" i="262" s="1"/>
  <c r="K9" i="262" s="1"/>
  <c r="L92" i="264"/>
  <c r="K56" i="264"/>
  <c r="L56" i="264" s="1"/>
  <c r="K11" i="264"/>
  <c r="G9" i="262" s="1"/>
  <c r="F9" i="262"/>
  <c r="C15" i="265"/>
  <c r="E14" i="265"/>
  <c r="AE50" i="270" l="1" a="1"/>
  <c r="AK56" i="270" s="1"/>
  <c r="AA55" i="270"/>
  <c r="X53" i="270"/>
  <c r="AA53" i="270"/>
  <c r="X51" i="270"/>
  <c r="AA51" i="270"/>
  <c r="W57" i="270"/>
  <c r="Y57" i="270"/>
  <c r="W55" i="270"/>
  <c r="AC53" i="270"/>
  <c r="W53" i="270"/>
  <c r="Z57" i="270"/>
  <c r="W51" i="270"/>
  <c r="Z55" i="270"/>
  <c r="Y56" i="270"/>
  <c r="Z53" i="270"/>
  <c r="V57" i="270"/>
  <c r="Z51" i="270"/>
  <c r="V53" i="270"/>
  <c r="AC52" i="270"/>
  <c r="Y51" i="270"/>
  <c r="V55" i="270"/>
  <c r="AB54" i="270"/>
  <c r="V51" i="270"/>
  <c r="AB50" i="270"/>
  <c r="AC55" i="270"/>
  <c r="AA54" i="270"/>
  <c r="AB56" i="270"/>
  <c r="AA50" i="270"/>
  <c r="AB52" i="270"/>
  <c r="AC51" i="270"/>
  <c r="AA56" i="270"/>
  <c r="Z56" i="270"/>
  <c r="AA52" i="270"/>
  <c r="Z52" i="270"/>
  <c r="Y55" i="270"/>
  <c r="AC54" i="270"/>
  <c r="Z54" i="270"/>
  <c r="X54" i="270"/>
  <c r="Z50" i="270"/>
  <c r="X50" i="270"/>
  <c r="Y50" i="270"/>
  <c r="W54" i="270"/>
  <c r="X56" i="270"/>
  <c r="W50" i="270"/>
  <c r="X52" i="270"/>
  <c r="AC50" i="270"/>
  <c r="W56" i="270"/>
  <c r="V54" i="270"/>
  <c r="W52" i="270"/>
  <c r="AC57" i="270"/>
  <c r="Y54" i="270"/>
  <c r="Y53" i="270"/>
  <c r="V56" i="270"/>
  <c r="AB57" i="270"/>
  <c r="V52" i="270"/>
  <c r="AB55" i="270"/>
  <c r="AC56" i="270"/>
  <c r="AB53" i="270"/>
  <c r="Y52" i="270"/>
  <c r="AB51" i="270"/>
  <c r="X57" i="270"/>
  <c r="AA57" i="270"/>
  <c r="X55" i="270"/>
  <c r="L11" i="264"/>
  <c r="H9" i="262"/>
  <c r="Q23" i="261"/>
  <c r="R23" i="261"/>
  <c r="R28" i="261"/>
  <c r="P50" i="261"/>
  <c r="P52" i="261"/>
  <c r="AH52" i="270" l="1"/>
  <c r="AG50" i="270"/>
  <c r="AG55" i="271" s="1"/>
  <c r="AG66" i="271" s="1"/>
  <c r="AF52" i="270"/>
  <c r="AF57" i="271" s="1"/>
  <c r="AF68" i="271" s="1"/>
  <c r="AK57" i="270"/>
  <c r="AK62" i="271" s="1"/>
  <c r="AK73" i="271" s="1"/>
  <c r="AF54" i="270"/>
  <c r="AI57" i="270"/>
  <c r="AI62" i="271" s="1"/>
  <c r="AI73" i="271" s="1"/>
  <c r="AH51" i="270"/>
  <c r="AH56" i="271" s="1"/>
  <c r="AH67" i="271" s="1"/>
  <c r="AF53" i="270"/>
  <c r="AF58" i="271" s="1"/>
  <c r="AF69" i="271" s="1"/>
  <c r="AE51" i="270"/>
  <c r="AH53" i="270"/>
  <c r="AH58" i="271" s="1"/>
  <c r="AH69" i="271" s="1"/>
  <c r="AJ50" i="270"/>
  <c r="AJ55" i="271" s="1"/>
  <c r="AJ66" i="271" s="1"/>
  <c r="AK52" i="270"/>
  <c r="AK57" i="271" s="1"/>
  <c r="AK68" i="271" s="1"/>
  <c r="AF50" i="270"/>
  <c r="AF55" i="271" s="1"/>
  <c r="AF66" i="271" s="1"/>
  <c r="AI50" i="270"/>
  <c r="AI55" i="271" s="1"/>
  <c r="AI66" i="271" s="1"/>
  <c r="AG54" i="270"/>
  <c r="AG59" i="271" s="1"/>
  <c r="AG70" i="271" s="1"/>
  <c r="AI54" i="270"/>
  <c r="AI59" i="271" s="1"/>
  <c r="AI70" i="271" s="1"/>
  <c r="AE54" i="270"/>
  <c r="AJ55" i="270"/>
  <c r="AJ60" i="271" s="1"/>
  <c r="AJ71" i="271" s="1"/>
  <c r="AK51" i="270"/>
  <c r="AK56" i="271" s="1"/>
  <c r="AK67" i="271" s="1"/>
  <c r="AL54" i="270"/>
  <c r="AL59" i="271" s="1"/>
  <c r="AL70" i="271" s="1"/>
  <c r="AE57" i="270"/>
  <c r="AH50" i="270"/>
  <c r="AH55" i="271" s="1"/>
  <c r="AH66" i="271" s="1"/>
  <c r="AE52" i="270"/>
  <c r="AJ53" i="270"/>
  <c r="AJ58" i="271" s="1"/>
  <c r="AJ69" i="271" s="1"/>
  <c r="AG51" i="270"/>
  <c r="AG56" i="271" s="1"/>
  <c r="AG67" i="271" s="1"/>
  <c r="AG56" i="270"/>
  <c r="AG61" i="271" s="1"/>
  <c r="AG72" i="271" s="1"/>
  <c r="AF51" i="270"/>
  <c r="AF56" i="271" s="1"/>
  <c r="AF67" i="271" s="1"/>
  <c r="AI53" i="270"/>
  <c r="AI58" i="271" s="1"/>
  <c r="AI69" i="271" s="1"/>
  <c r="AK53" i="270"/>
  <c r="AK58" i="271" s="1"/>
  <c r="AK69" i="271" s="1"/>
  <c r="AJ57" i="270"/>
  <c r="AJ62" i="271" s="1"/>
  <c r="AJ73" i="271" s="1"/>
  <c r="AG57" i="270"/>
  <c r="AG62" i="271" s="1"/>
  <c r="AG73" i="271" s="1"/>
  <c r="AE53" i="270"/>
  <c r="AJ56" i="270"/>
  <c r="AJ61" i="271" s="1"/>
  <c r="AJ72" i="271" s="1"/>
  <c r="AG55" i="270"/>
  <c r="AG60" i="271" s="1"/>
  <c r="AG71" i="271" s="1"/>
  <c r="AI56" i="270"/>
  <c r="AI61" i="271" s="1"/>
  <c r="AI72" i="271" s="1"/>
  <c r="AJ51" i="270"/>
  <c r="AJ56" i="271" s="1"/>
  <c r="AJ67" i="271" s="1"/>
  <c r="AJ52" i="270"/>
  <c r="AJ57" i="271" s="1"/>
  <c r="AJ68" i="271" s="1"/>
  <c r="AI51" i="270"/>
  <c r="AI56" i="271" s="1"/>
  <c r="AI67" i="271" s="1"/>
  <c r="AG52" i="270"/>
  <c r="AG57" i="271" s="1"/>
  <c r="AG68" i="271" s="1"/>
  <c r="AK54" i="270"/>
  <c r="AK59" i="271" s="1"/>
  <c r="AK70" i="271" s="1"/>
  <c r="AF56" i="270"/>
  <c r="AF61" i="271" s="1"/>
  <c r="AF72" i="271" s="1"/>
  <c r="AL57" i="270"/>
  <c r="AL62" i="271" s="1"/>
  <c r="AL73" i="271" s="1"/>
  <c r="AL55" i="270"/>
  <c r="AL60" i="271" s="1"/>
  <c r="AL71" i="271" s="1"/>
  <c r="AL56" i="270"/>
  <c r="AL61" i="271" s="1"/>
  <c r="AL72" i="271" s="1"/>
  <c r="AE55" i="270"/>
  <c r="AJ54" i="270"/>
  <c r="AJ59" i="271" s="1"/>
  <c r="AJ70" i="271" s="1"/>
  <c r="AI55" i="270"/>
  <c r="AI60" i="271" s="1"/>
  <c r="AI71" i="271" s="1"/>
  <c r="AL50" i="270"/>
  <c r="AL55" i="271" s="1"/>
  <c r="AL66" i="271" s="1"/>
  <c r="AL51" i="270"/>
  <c r="AL56" i="271" s="1"/>
  <c r="AL67" i="271" s="1"/>
  <c r="AL52" i="270"/>
  <c r="AL57" i="271" s="1"/>
  <c r="AL68" i="271" s="1"/>
  <c r="AL53" i="270"/>
  <c r="AL58" i="271" s="1"/>
  <c r="AL69" i="271" s="1"/>
  <c r="AF55" i="270"/>
  <c r="AF60" i="271" s="1"/>
  <c r="AF71" i="271" s="1"/>
  <c r="AF57" i="270"/>
  <c r="AF62" i="271" s="1"/>
  <c r="AF73" i="271" s="1"/>
  <c r="AK50" i="270"/>
  <c r="AK55" i="271" s="1"/>
  <c r="AK66" i="271" s="1"/>
  <c r="AK55" i="270"/>
  <c r="AK60" i="271" s="1"/>
  <c r="AK71" i="271" s="1"/>
  <c r="AH54" i="270"/>
  <c r="AH59" i="271" s="1"/>
  <c r="AH70" i="271" s="1"/>
  <c r="AH55" i="270"/>
  <c r="AH60" i="271" s="1"/>
  <c r="AH71" i="271" s="1"/>
  <c r="AH56" i="270"/>
  <c r="AH61" i="271" s="1"/>
  <c r="AH72" i="271" s="1"/>
  <c r="AH57" i="270"/>
  <c r="AH62" i="271" s="1"/>
  <c r="AH73" i="271" s="1"/>
  <c r="AI52" i="270"/>
  <c r="AI57" i="271" s="1"/>
  <c r="AI68" i="271" s="1"/>
  <c r="AE56" i="270"/>
  <c r="AG53" i="270"/>
  <c r="AG58" i="271" s="1"/>
  <c r="AG69" i="271" s="1"/>
  <c r="AE50" i="270"/>
  <c r="AF59" i="271"/>
  <c r="AF70" i="271" s="1"/>
  <c r="AK61" i="271"/>
  <c r="AK72" i="271" s="1"/>
  <c r="AH57" i="271"/>
  <c r="AH68" i="271" s="1"/>
  <c r="N89" i="261"/>
  <c r="N88" i="261"/>
  <c r="A88" i="261"/>
  <c r="N87" i="261"/>
  <c r="A87" i="261"/>
  <c r="N86" i="261"/>
  <c r="A86" i="261"/>
  <c r="N85" i="261"/>
  <c r="A85" i="261"/>
  <c r="N84" i="261"/>
  <c r="A84" i="261"/>
  <c r="N83" i="261"/>
  <c r="D83" i="261"/>
  <c r="D53" i="261" s="1"/>
  <c r="N82" i="261"/>
  <c r="A82" i="261"/>
  <c r="N81" i="261"/>
  <c r="N80" i="261"/>
  <c r="N79" i="261"/>
  <c r="A79" i="261"/>
  <c r="N78" i="261"/>
  <c r="N77" i="261"/>
  <c r="N76" i="261"/>
  <c r="N74" i="261"/>
  <c r="N72" i="261"/>
  <c r="A69" i="261"/>
  <c r="N67" i="261"/>
  <c r="A67" i="261"/>
  <c r="N66" i="261"/>
  <c r="N65" i="261"/>
  <c r="N64" i="261"/>
  <c r="N63" i="261"/>
  <c r="N62" i="261"/>
  <c r="N61" i="261"/>
  <c r="A60" i="261"/>
  <c r="N60" i="261" s="1"/>
  <c r="N59" i="261"/>
  <c r="N58" i="261"/>
  <c r="N57" i="261"/>
  <c r="N56" i="261"/>
  <c r="A56" i="261"/>
  <c r="N55" i="261"/>
  <c r="N52" i="261"/>
  <c r="N51" i="261"/>
  <c r="N50" i="261"/>
  <c r="N49" i="261"/>
  <c r="N48" i="261"/>
  <c r="N47" i="261"/>
  <c r="N46" i="261"/>
  <c r="N45" i="261"/>
  <c r="D45" i="261"/>
  <c r="N43" i="261"/>
  <c r="N42" i="261"/>
  <c r="N41" i="261"/>
  <c r="N40" i="261"/>
  <c r="N39" i="261"/>
  <c r="N36" i="261"/>
  <c r="N35" i="261"/>
  <c r="N34" i="261"/>
  <c r="N33" i="261"/>
  <c r="N32" i="261"/>
  <c r="N31" i="261"/>
  <c r="N30" i="261"/>
  <c r="N28" i="261"/>
  <c r="N27" i="261"/>
  <c r="N26" i="261"/>
  <c r="N25" i="261"/>
  <c r="N24" i="261"/>
  <c r="N21" i="261"/>
  <c r="N20" i="261"/>
  <c r="N19" i="261"/>
  <c r="N18" i="261"/>
  <c r="N16" i="261"/>
  <c r="N15" i="261"/>
  <c r="N14" i="261"/>
  <c r="N13" i="261"/>
  <c r="N12" i="261"/>
  <c r="N11" i="261"/>
  <c r="N10" i="261"/>
  <c r="AB85" i="270" l="1"/>
  <c r="Z85" i="270"/>
  <c r="AA85" i="270"/>
  <c r="AC85" i="270"/>
  <c r="C182" i="270" s="1"/>
  <c r="V85" i="270"/>
  <c r="X85" i="270"/>
  <c r="Y85" i="270"/>
  <c r="W85" i="270"/>
  <c r="AE61" i="271"/>
  <c r="AE72" i="271" s="1"/>
  <c r="AB86" i="270"/>
  <c r="AE58" i="271"/>
  <c r="AE69" i="271" s="1"/>
  <c r="Y86" i="270"/>
  <c r="AE59" i="271"/>
  <c r="AE70" i="271" s="1"/>
  <c r="Z86" i="270"/>
  <c r="AC86" i="270"/>
  <c r="AE62" i="271"/>
  <c r="AE73" i="271" s="1"/>
  <c r="AE60" i="271"/>
  <c r="AE71" i="271" s="1"/>
  <c r="AA86" i="270"/>
  <c r="AE56" i="271"/>
  <c r="AE67" i="271" s="1"/>
  <c r="W86" i="270"/>
  <c r="X86" i="270"/>
  <c r="AE57" i="271"/>
  <c r="AE68" i="271" s="1"/>
  <c r="AE55" i="271"/>
  <c r="AE66" i="271" s="1"/>
  <c r="V86" i="270"/>
  <c r="D9" i="261"/>
  <c r="D91" i="261" s="1"/>
  <c r="E9" i="260"/>
  <c r="J9" i="260"/>
  <c r="O10" i="260"/>
  <c r="O11" i="260"/>
  <c r="O12" i="260"/>
  <c r="O13" i="260"/>
  <c r="O14" i="260"/>
  <c r="O15" i="260"/>
  <c r="O16" i="260"/>
  <c r="O17" i="260"/>
  <c r="O18" i="260"/>
  <c r="O19" i="260"/>
  <c r="O20" i="260"/>
  <c r="O21" i="260"/>
  <c r="O22" i="260"/>
  <c r="O23" i="260"/>
  <c r="O24" i="260"/>
  <c r="O25" i="260"/>
  <c r="O26" i="260"/>
  <c r="O27" i="260"/>
  <c r="O28" i="260"/>
  <c r="O29" i="260"/>
  <c r="O30" i="260"/>
  <c r="O31" i="260"/>
  <c r="O32" i="260"/>
  <c r="O33" i="260"/>
  <c r="O34" i="260"/>
  <c r="O35" i="260"/>
  <c r="O36" i="260"/>
  <c r="O37" i="260"/>
  <c r="O38" i="260"/>
  <c r="O39" i="260"/>
  <c r="O40" i="260"/>
  <c r="O41" i="260"/>
  <c r="O42" i="260"/>
  <c r="O43" i="260"/>
  <c r="C44" i="260"/>
  <c r="H44" i="260"/>
  <c r="O44" i="260"/>
  <c r="J45" i="260"/>
  <c r="O46" i="260"/>
  <c r="O47" i="260"/>
  <c r="O48" i="260"/>
  <c r="O49" i="260"/>
  <c r="C50" i="260"/>
  <c r="H50" i="260"/>
  <c r="O50" i="260"/>
  <c r="Q50" i="260" s="1"/>
  <c r="O51" i="260"/>
  <c r="C52" i="260"/>
  <c r="H52" i="260"/>
  <c r="O52" i="260"/>
  <c r="Q52" i="260" s="1"/>
  <c r="O54" i="260"/>
  <c r="O55" i="260"/>
  <c r="O56" i="260"/>
  <c r="B57" i="260"/>
  <c r="O57" i="260"/>
  <c r="O58" i="260"/>
  <c r="O59" i="260"/>
  <c r="B60" i="260"/>
  <c r="O60" i="260"/>
  <c r="O61" i="260"/>
  <c r="O62" i="260"/>
  <c r="Q62" i="260" s="1"/>
  <c r="O63" i="260"/>
  <c r="O64" i="260"/>
  <c r="O65" i="260"/>
  <c r="O66" i="260"/>
  <c r="B67" i="260"/>
  <c r="O67" i="260"/>
  <c r="O68" i="260"/>
  <c r="B69" i="260"/>
  <c r="O69" i="260"/>
  <c r="O70" i="260"/>
  <c r="O71" i="260"/>
  <c r="O72" i="260"/>
  <c r="O73" i="260"/>
  <c r="O74" i="260"/>
  <c r="O75" i="260"/>
  <c r="O76" i="260"/>
  <c r="O77" i="260"/>
  <c r="O78" i="260"/>
  <c r="B79" i="260"/>
  <c r="O79" i="260"/>
  <c r="O80" i="260"/>
  <c r="O81" i="260"/>
  <c r="B82" i="260"/>
  <c r="O82" i="260"/>
  <c r="O83" i="260"/>
  <c r="B84" i="260"/>
  <c r="O84" i="260"/>
  <c r="B85" i="260"/>
  <c r="O85" i="260"/>
  <c r="B86" i="260"/>
  <c r="O86" i="260"/>
  <c r="B87" i="260"/>
  <c r="O87" i="260"/>
  <c r="B88" i="260"/>
  <c r="O88" i="260"/>
  <c r="H89" i="260"/>
  <c r="O89" i="260"/>
  <c r="Q89" i="260" s="1"/>
  <c r="C7" i="259"/>
  <c r="C8" i="259"/>
  <c r="C181" i="270" l="1"/>
  <c r="E182" i="270" s="1"/>
  <c r="C9" i="259"/>
  <c r="C84" i="260"/>
  <c r="H84" i="260"/>
  <c r="C78" i="260"/>
  <c r="Q78" i="260"/>
  <c r="M78" i="260" s="1"/>
  <c r="C70" i="260"/>
  <c r="H70" i="260"/>
  <c r="C68" i="260"/>
  <c r="H68" i="260"/>
  <c r="C30" i="260"/>
  <c r="H30" i="260"/>
  <c r="C29" i="260"/>
  <c r="C26" i="260"/>
  <c r="C10" i="260"/>
  <c r="H10" i="260"/>
  <c r="C85" i="260"/>
  <c r="H85" i="260"/>
  <c r="C63" i="260"/>
  <c r="Q63" i="260"/>
  <c r="M63" i="260" s="1"/>
  <c r="C41" i="260"/>
  <c r="Q41" i="260"/>
  <c r="M41" i="260" s="1"/>
  <c r="C27" i="260"/>
  <c r="C12" i="260"/>
  <c r="C86" i="260"/>
  <c r="H86" i="260"/>
  <c r="C83" i="260"/>
  <c r="H83" i="260"/>
  <c r="C71" i="260"/>
  <c r="Q71" i="260"/>
  <c r="C54" i="260"/>
  <c r="H54" i="260"/>
  <c r="C36" i="260"/>
  <c r="D22" i="260"/>
  <c r="P22" i="261" s="1"/>
  <c r="C21" i="260"/>
  <c r="P21" i="260"/>
  <c r="C20" i="260"/>
  <c r="D18" i="260"/>
  <c r="P18" i="261" s="1"/>
  <c r="C17" i="260"/>
  <c r="C16" i="260"/>
  <c r="C13" i="260"/>
  <c r="C87" i="260"/>
  <c r="Q87" i="260"/>
  <c r="C75" i="260"/>
  <c r="H75" i="260"/>
  <c r="C73" i="260"/>
  <c r="H73" i="260"/>
  <c r="C59" i="260"/>
  <c r="H59" i="260"/>
  <c r="C38" i="260"/>
  <c r="C32" i="260"/>
  <c r="F8" i="259"/>
  <c r="O45" i="260"/>
  <c r="P24" i="260"/>
  <c r="P19" i="260"/>
  <c r="P15" i="260"/>
  <c r="P11" i="260"/>
  <c r="D24" i="260"/>
  <c r="P24" i="261" s="1"/>
  <c r="P43" i="260"/>
  <c r="D43" i="260"/>
  <c r="P43" i="261" s="1"/>
  <c r="D29" i="260"/>
  <c r="P29" i="261" s="1"/>
  <c r="H40" i="260"/>
  <c r="C79" i="260"/>
  <c r="C40" i="260"/>
  <c r="P34" i="260"/>
  <c r="D26" i="260"/>
  <c r="P26" i="261" s="1"/>
  <c r="H43" i="260"/>
  <c r="D34" i="260"/>
  <c r="P34" i="261" s="1"/>
  <c r="I24" i="260"/>
  <c r="C24" i="260"/>
  <c r="D20" i="260"/>
  <c r="P20" i="261" s="1"/>
  <c r="Q74" i="260"/>
  <c r="M74" i="260" s="1"/>
  <c r="H74" i="260"/>
  <c r="H76" i="260"/>
  <c r="Q76" i="260"/>
  <c r="M76" i="260" s="1"/>
  <c r="C76" i="260"/>
  <c r="D32" i="260"/>
  <c r="P32" i="261" s="1"/>
  <c r="D21" i="260"/>
  <c r="P21" i="261" s="1"/>
  <c r="D17" i="260"/>
  <c r="P17" i="261" s="1"/>
  <c r="C74" i="260"/>
  <c r="D38" i="260"/>
  <c r="P38" i="261" s="1"/>
  <c r="D30" i="260"/>
  <c r="P30" i="261" s="1"/>
  <c r="C22" i="260"/>
  <c r="C18" i="260"/>
  <c r="Q44" i="260"/>
  <c r="M44" i="260" s="1"/>
  <c r="D40" i="260"/>
  <c r="P40" i="261" s="1"/>
  <c r="P35" i="260"/>
  <c r="G89" i="260"/>
  <c r="Q82" i="260"/>
  <c r="H82" i="260"/>
  <c r="C82" i="260"/>
  <c r="Q79" i="260"/>
  <c r="H79" i="260"/>
  <c r="H35" i="260"/>
  <c r="I35" i="260"/>
  <c r="Q35" i="261" s="1"/>
  <c r="C64" i="260"/>
  <c r="H11" i="260"/>
  <c r="I11" i="260"/>
  <c r="Q11" i="261" s="1"/>
  <c r="D36" i="260"/>
  <c r="P36" i="261" s="1"/>
  <c r="Q34" i="260"/>
  <c r="C28" i="260"/>
  <c r="C25" i="260"/>
  <c r="Q25" i="260"/>
  <c r="C19" i="260"/>
  <c r="Q19" i="260"/>
  <c r="D19" i="260"/>
  <c r="P19" i="261" s="1"/>
  <c r="C15" i="260"/>
  <c r="Q15" i="260"/>
  <c r="D15" i="260"/>
  <c r="P15" i="261" s="1"/>
  <c r="D12" i="260"/>
  <c r="P12" i="261" s="1"/>
  <c r="C43" i="260"/>
  <c r="Q43" i="260"/>
  <c r="P40" i="260"/>
  <c r="C34" i="260"/>
  <c r="O9" i="260"/>
  <c r="F7" i="259" s="1"/>
  <c r="C35" i="260"/>
  <c r="Q35" i="260"/>
  <c r="D35" i="260"/>
  <c r="P35" i="261" s="1"/>
  <c r="H25" i="260"/>
  <c r="H19" i="260"/>
  <c r="I19" i="260"/>
  <c r="D16" i="260"/>
  <c r="P16" i="261" s="1"/>
  <c r="H15" i="260"/>
  <c r="I15" i="260"/>
  <c r="Q15" i="261" s="1"/>
  <c r="C11" i="260"/>
  <c r="Q11" i="260"/>
  <c r="D11" i="260"/>
  <c r="P11" i="261" s="1"/>
  <c r="Q68" i="260" l="1"/>
  <c r="M68" i="260" s="1"/>
  <c r="P17" i="260"/>
  <c r="H36" i="260"/>
  <c r="P36" i="260"/>
  <c r="H29" i="260"/>
  <c r="P29" i="260"/>
  <c r="H38" i="260"/>
  <c r="P38" i="260"/>
  <c r="Q18" i="260"/>
  <c r="M18" i="260" s="1"/>
  <c r="P18" i="260"/>
  <c r="Q20" i="260"/>
  <c r="M20" i="260" s="1"/>
  <c r="P20" i="260"/>
  <c r="H12" i="260"/>
  <c r="P12" i="260"/>
  <c r="Q30" i="260"/>
  <c r="M30" i="260" s="1"/>
  <c r="P30" i="260"/>
  <c r="H16" i="260"/>
  <c r="P16" i="260"/>
  <c r="H32" i="260"/>
  <c r="P32" i="260"/>
  <c r="H22" i="260"/>
  <c r="P22" i="260"/>
  <c r="Q26" i="260"/>
  <c r="M26" i="260" s="1"/>
  <c r="P26" i="260"/>
  <c r="E181" i="270"/>
  <c r="F9" i="259"/>
  <c r="Q73" i="260"/>
  <c r="M73" i="260" s="1"/>
  <c r="Q24" i="261"/>
  <c r="Q36" i="260"/>
  <c r="M36" i="260" s="1"/>
  <c r="Q16" i="260"/>
  <c r="M16" i="260" s="1"/>
  <c r="H87" i="260"/>
  <c r="Q19" i="261"/>
  <c r="H63" i="260"/>
  <c r="H71" i="260"/>
  <c r="Q29" i="260"/>
  <c r="M29" i="260" s="1"/>
  <c r="Q70" i="260"/>
  <c r="M70" i="260" s="1"/>
  <c r="Q59" i="260"/>
  <c r="M59" i="260" s="1"/>
  <c r="Q86" i="260"/>
  <c r="M86" i="260" s="1"/>
  <c r="H31" i="260"/>
  <c r="H23" i="260"/>
  <c r="H66" i="260"/>
  <c r="Q46" i="260"/>
  <c r="M46" i="260" s="1"/>
  <c r="Q12" i="260"/>
  <c r="M12" i="260" s="1"/>
  <c r="Q32" i="260"/>
  <c r="M32" i="260" s="1"/>
  <c r="Q38" i="260"/>
  <c r="M38" i="260" s="1"/>
  <c r="H78" i="260"/>
  <c r="C46" i="260"/>
  <c r="H41" i="260"/>
  <c r="I43" i="260"/>
  <c r="Q83" i="260"/>
  <c r="M83" i="260" s="1"/>
  <c r="Q84" i="260"/>
  <c r="M84" i="260" s="1"/>
  <c r="I28" i="260"/>
  <c r="Q28" i="261" s="1"/>
  <c r="H24" i="260"/>
  <c r="Q24" i="260"/>
  <c r="M24" i="260" s="1"/>
  <c r="Q54" i="260"/>
  <c r="M54" i="260" s="1"/>
  <c r="C31" i="260"/>
  <c r="Q75" i="260"/>
  <c r="M75" i="260" s="1"/>
  <c r="Q10" i="260"/>
  <c r="M10" i="260" s="1"/>
  <c r="H28" i="260"/>
  <c r="Q85" i="260"/>
  <c r="M85" i="260" s="1"/>
  <c r="H21" i="260"/>
  <c r="Q21" i="260"/>
  <c r="I40" i="260"/>
  <c r="Q40" i="261" s="1"/>
  <c r="I21" i="260"/>
  <c r="Q21" i="261" s="1"/>
  <c r="H17" i="260"/>
  <c r="Q17" i="260"/>
  <c r="H20" i="260"/>
  <c r="Q28" i="260"/>
  <c r="M28" i="260" s="1"/>
  <c r="Q40" i="260"/>
  <c r="M40" i="260" s="1"/>
  <c r="C60" i="260"/>
  <c r="Q60" i="260"/>
  <c r="M60" i="260" s="1"/>
  <c r="C66" i="260"/>
  <c r="C57" i="260"/>
  <c r="Q13" i="260"/>
  <c r="M13" i="260" s="1"/>
  <c r="H13" i="260"/>
  <c r="C62" i="260"/>
  <c r="H62" i="260"/>
  <c r="H14" i="260"/>
  <c r="C14" i="260"/>
  <c r="C69" i="260"/>
  <c r="H69" i="260"/>
  <c r="C51" i="260"/>
  <c r="H51" i="260"/>
  <c r="C80" i="260"/>
  <c r="C61" i="260"/>
  <c r="H61" i="260"/>
  <c r="H33" i="260"/>
  <c r="C33" i="260"/>
  <c r="C55" i="260"/>
  <c r="C23" i="260"/>
  <c r="H56" i="260"/>
  <c r="C56" i="260"/>
  <c r="C65" i="260"/>
  <c r="H65" i="260"/>
  <c r="C48" i="260"/>
  <c r="H88" i="260"/>
  <c r="C88" i="260"/>
  <c r="Q22" i="260"/>
  <c r="Q27" i="260"/>
  <c r="M27" i="260" s="1"/>
  <c r="H27" i="260"/>
  <c r="H26" i="260"/>
  <c r="H18" i="260"/>
  <c r="H64" i="260"/>
  <c r="M87" i="260"/>
  <c r="Q64" i="260"/>
  <c r="M71" i="260"/>
  <c r="M82" i="260"/>
  <c r="C89" i="260"/>
  <c r="M43" i="260"/>
  <c r="N43" i="260"/>
  <c r="M79" i="260"/>
  <c r="M15" i="260"/>
  <c r="N15" i="260"/>
  <c r="R15" i="261" s="1"/>
  <c r="N34" i="260"/>
  <c r="R34" i="261" s="1"/>
  <c r="M34" i="260"/>
  <c r="M11" i="260"/>
  <c r="N11" i="260"/>
  <c r="R11" i="261" s="1"/>
  <c r="M35" i="260"/>
  <c r="N35" i="260"/>
  <c r="R35" i="261" s="1"/>
  <c r="M19" i="260"/>
  <c r="N19" i="260"/>
  <c r="M25" i="260"/>
  <c r="I34" i="260"/>
  <c r="Q34" i="261" s="1"/>
  <c r="H34" i="260"/>
  <c r="N26" i="260" l="1"/>
  <c r="N30" i="260"/>
  <c r="I38" i="260"/>
  <c r="Q38" i="261" s="1"/>
  <c r="N18" i="260"/>
  <c r="R18" i="261" s="1"/>
  <c r="I29" i="260"/>
  <c r="Q29" i="261" s="1"/>
  <c r="N20" i="260"/>
  <c r="I22" i="260"/>
  <c r="Q22" i="261" s="1"/>
  <c r="I20" i="260"/>
  <c r="I16" i="260"/>
  <c r="Q16" i="261" s="1"/>
  <c r="I18" i="260"/>
  <c r="Q18" i="261" s="1"/>
  <c r="I32" i="260"/>
  <c r="I26" i="260"/>
  <c r="I12" i="260"/>
  <c r="I30" i="260"/>
  <c r="I36" i="260"/>
  <c r="Q36" i="261" s="1"/>
  <c r="I17" i="260"/>
  <c r="Q17" i="261" s="1"/>
  <c r="N29" i="260"/>
  <c r="R29" i="261" s="1"/>
  <c r="N16" i="260"/>
  <c r="R16" i="261" s="1"/>
  <c r="N12" i="260"/>
  <c r="R30" i="261"/>
  <c r="R19" i="261"/>
  <c r="R43" i="261"/>
  <c r="N36" i="260"/>
  <c r="R36" i="261" s="1"/>
  <c r="R26" i="261"/>
  <c r="Q43" i="261"/>
  <c r="Q23" i="260"/>
  <c r="M23" i="260" s="1"/>
  <c r="Q66" i="260"/>
  <c r="M66" i="260" s="1"/>
  <c r="H46" i="260"/>
  <c r="Q31" i="260"/>
  <c r="M31" i="260" s="1"/>
  <c r="N32" i="260"/>
  <c r="N38" i="260"/>
  <c r="R38" i="261" s="1"/>
  <c r="H60" i="260"/>
  <c r="N24" i="260"/>
  <c r="M17" i="260"/>
  <c r="N17" i="260"/>
  <c r="R17" i="261" s="1"/>
  <c r="M21" i="260"/>
  <c r="N21" i="260"/>
  <c r="R21" i="261" s="1"/>
  <c r="Q51" i="260"/>
  <c r="M51" i="260" s="1"/>
  <c r="N40" i="260"/>
  <c r="R40" i="261" s="1"/>
  <c r="M22" i="260"/>
  <c r="N22" i="260"/>
  <c r="R22" i="261" s="1"/>
  <c r="Q65" i="260"/>
  <c r="M65" i="260" s="1"/>
  <c r="Q56" i="260"/>
  <c r="M56" i="260" s="1"/>
  <c r="H80" i="260"/>
  <c r="Q80" i="260"/>
  <c r="M80" i="260" s="1"/>
  <c r="H55" i="260"/>
  <c r="Q55" i="260"/>
  <c r="M55" i="260" s="1"/>
  <c r="Q88" i="260"/>
  <c r="M88" i="260" s="1"/>
  <c r="H48" i="260"/>
  <c r="Q48" i="260"/>
  <c r="M48" i="260" s="1"/>
  <c r="Q14" i="260"/>
  <c r="M14" i="260" s="1"/>
  <c r="Q33" i="260"/>
  <c r="M33" i="260" s="1"/>
  <c r="Q61" i="260"/>
  <c r="M61" i="260" s="1"/>
  <c r="Q69" i="260"/>
  <c r="M69" i="260" s="1"/>
  <c r="H57" i="260"/>
  <c r="Q57" i="260"/>
  <c r="M57" i="260" s="1"/>
  <c r="M64" i="260"/>
  <c r="Q26" i="261" l="1"/>
  <c r="Q20" i="261"/>
  <c r="Q30" i="261"/>
  <c r="R20" i="261"/>
  <c r="Q12" i="261"/>
  <c r="Q32" i="261"/>
  <c r="R12" i="261"/>
  <c r="R32" i="261"/>
  <c r="R24" i="261"/>
  <c r="J12" i="59"/>
  <c r="G28" i="25"/>
  <c r="J24" i="59"/>
  <c r="J30" i="59"/>
  <c r="J32" i="59"/>
  <c r="D27" i="21"/>
  <c r="F27" i="21"/>
  <c r="I27" i="13" s="1"/>
  <c r="I31" i="13"/>
  <c r="K35" i="23"/>
  <c r="N35" i="23"/>
  <c r="K39" i="23"/>
  <c r="L39" i="23" s="1"/>
  <c r="N39" i="23"/>
  <c r="O39" i="23" s="1"/>
  <c r="J18" i="12"/>
  <c r="C30" i="25"/>
  <c r="B48" i="25"/>
  <c r="G51" i="25"/>
  <c r="C47" i="21"/>
  <c r="D47" i="21" s="1"/>
  <c r="E48" i="59"/>
  <c r="C48" i="21" s="1"/>
  <c r="F50" i="140"/>
  <c r="E49" i="59"/>
  <c r="C49" i="21" s="1"/>
  <c r="E50" i="59"/>
  <c r="C50" i="21" s="1"/>
  <c r="E51" i="59"/>
  <c r="C51" i="21" s="1"/>
  <c r="F53" i="140"/>
  <c r="E52" i="59"/>
  <c r="C52" i="21" s="1"/>
  <c r="O77" i="59"/>
  <c r="O78" i="59"/>
  <c r="O47" i="59"/>
  <c r="Q54" i="59"/>
  <c r="Q58" i="59"/>
  <c r="Q63" i="59"/>
  <c r="Q64" i="59"/>
  <c r="Q68" i="59"/>
  <c r="R69" i="59"/>
  <c r="Q70" i="59"/>
  <c r="Q71" i="59"/>
  <c r="Q73" i="59"/>
  <c r="Q76" i="59"/>
  <c r="Q78" i="59"/>
  <c r="R78" i="59" s="1"/>
  <c r="G78" i="21" s="1"/>
  <c r="R84" i="59"/>
  <c r="G84" i="21" s="1"/>
  <c r="J84" i="21" s="1"/>
  <c r="R86" i="59"/>
  <c r="R87" i="59"/>
  <c r="G87" i="21" s="1"/>
  <c r="J87" i="21" s="1"/>
  <c r="E57" i="59"/>
  <c r="E59" i="59"/>
  <c r="E60" i="59"/>
  <c r="E61" i="59"/>
  <c r="E62" i="59"/>
  <c r="E66" i="59"/>
  <c r="E67" i="59"/>
  <c r="E72" i="59"/>
  <c r="E74" i="59"/>
  <c r="E76" i="59"/>
  <c r="E77" i="59"/>
  <c r="E78" i="59"/>
  <c r="E81" i="59"/>
  <c r="E82" i="59"/>
  <c r="E83" i="59"/>
  <c r="F47" i="59"/>
  <c r="E55" i="59"/>
  <c r="H62" i="59"/>
  <c r="I79" i="59"/>
  <c r="C79" i="21" s="1"/>
  <c r="E80" i="59"/>
  <c r="I82" i="59"/>
  <c r="C82" i="21" s="1"/>
  <c r="E88" i="59"/>
  <c r="J89" i="21"/>
  <c r="G69" i="21"/>
  <c r="J69" i="21" s="1"/>
  <c r="G86" i="21"/>
  <c r="J86" i="21" s="1"/>
  <c r="E46" i="116"/>
  <c r="C46" i="13"/>
  <c r="H87" i="21"/>
  <c r="L16" i="25"/>
  <c r="E25" i="59"/>
  <c r="C25" i="21" s="1"/>
  <c r="E27" i="21"/>
  <c r="C27" i="13" s="1"/>
  <c r="E31" i="59"/>
  <c r="C31" i="21" s="1"/>
  <c r="L34" i="25"/>
  <c r="L36" i="25"/>
  <c r="E43" i="21"/>
  <c r="D10" i="14"/>
  <c r="D18" i="14"/>
  <c r="D27" i="14"/>
  <c r="D28" i="14"/>
  <c r="D30" i="14"/>
  <c r="D32" i="14"/>
  <c r="D34" i="14"/>
  <c r="D41" i="14"/>
  <c r="D44" i="14"/>
  <c r="C46" i="14"/>
  <c r="D46" i="14" s="1"/>
  <c r="J11" i="17"/>
  <c r="E15" i="116"/>
  <c r="H16" i="17"/>
  <c r="J17" i="17"/>
  <c r="B19" i="25"/>
  <c r="J20" i="17"/>
  <c r="K21" i="17"/>
  <c r="H25" i="17"/>
  <c r="J26" i="17"/>
  <c r="E31" i="116"/>
  <c r="K33" i="17"/>
  <c r="J35" i="17"/>
  <c r="B36" i="25"/>
  <c r="E37" i="116"/>
  <c r="K38" i="17"/>
  <c r="J39" i="17"/>
  <c r="H40" i="17"/>
  <c r="K41" i="17"/>
  <c r="E43" i="116"/>
  <c r="B11" i="36"/>
  <c r="B36" i="36"/>
  <c r="B37" i="36"/>
  <c r="B38" i="36"/>
  <c r="B39" i="36"/>
  <c r="B41" i="36"/>
  <c r="B42" i="36"/>
  <c r="B44" i="36"/>
  <c r="B24" i="36"/>
  <c r="B25" i="36"/>
  <c r="B26" i="36"/>
  <c r="G14" i="25"/>
  <c r="B16" i="36"/>
  <c r="B17" i="36"/>
  <c r="B19" i="36"/>
  <c r="B20" i="36"/>
  <c r="I23" i="116"/>
  <c r="G25" i="25"/>
  <c r="J47" i="17"/>
  <c r="B47" i="9"/>
  <c r="B47" i="12" s="1"/>
  <c r="K49" i="17"/>
  <c r="E50" i="116"/>
  <c r="J52" i="17"/>
  <c r="B52" i="9"/>
  <c r="B52" i="12" s="1"/>
  <c r="I52" i="116"/>
  <c r="B54" i="9"/>
  <c r="B54" i="12" s="1"/>
  <c r="B55" i="9"/>
  <c r="B56" i="9"/>
  <c r="B56" i="12" s="1"/>
  <c r="B57" i="9"/>
  <c r="B58" i="9"/>
  <c r="B58" i="12" s="1"/>
  <c r="B59" i="9"/>
  <c r="B59" i="12" s="1"/>
  <c r="B76" i="9"/>
  <c r="B77" i="9"/>
  <c r="B77" i="12" s="1"/>
  <c r="B78" i="9"/>
  <c r="B78" i="12" s="1"/>
  <c r="B79" i="9"/>
  <c r="B79" i="12" s="1"/>
  <c r="B80" i="9"/>
  <c r="B80" i="12" s="1"/>
  <c r="B81" i="9"/>
  <c r="B81" i="12" s="1"/>
  <c r="B82" i="9"/>
  <c r="B82" i="12" s="1"/>
  <c r="B84" i="9"/>
  <c r="B85" i="9"/>
  <c r="B85" i="12" s="1"/>
  <c r="B86" i="9"/>
  <c r="B86" i="12" s="1"/>
  <c r="B87" i="9"/>
  <c r="B87" i="12" s="1"/>
  <c r="B88" i="9"/>
  <c r="B88" i="12" s="1"/>
  <c r="B60" i="9"/>
  <c r="B60" i="12" s="1"/>
  <c r="B61" i="9"/>
  <c r="B61" i="12" s="1"/>
  <c r="B62" i="9"/>
  <c r="B62" i="12" s="1"/>
  <c r="B63" i="9"/>
  <c r="B63" i="12" s="1"/>
  <c r="B66" i="9"/>
  <c r="B66" i="12" s="1"/>
  <c r="B67" i="9"/>
  <c r="B68" i="9"/>
  <c r="B68" i="12" s="1"/>
  <c r="B69" i="9"/>
  <c r="B69" i="12" s="1"/>
  <c r="B70" i="9"/>
  <c r="B70" i="12" s="1"/>
  <c r="B71" i="9"/>
  <c r="B71" i="12" s="1"/>
  <c r="B72" i="9"/>
  <c r="B72" i="12" s="1"/>
  <c r="B73" i="9"/>
  <c r="B73" i="12" s="1"/>
  <c r="B74" i="9"/>
  <c r="I78" i="116"/>
  <c r="C28" i="25"/>
  <c r="G10" i="25"/>
  <c r="Q11" i="9"/>
  <c r="G19" i="25"/>
  <c r="I20" i="116"/>
  <c r="I22" i="116"/>
  <c r="G34" i="25"/>
  <c r="G36" i="25"/>
  <c r="G38" i="25"/>
  <c r="B49" i="9"/>
  <c r="I86" i="257"/>
  <c r="A54" i="9"/>
  <c r="E54" i="59"/>
  <c r="R90" i="59"/>
  <c r="R45" i="59"/>
  <c r="M29" i="102"/>
  <c r="R11" i="59" s="1"/>
  <c r="M32" i="102"/>
  <c r="R12" i="59" s="1"/>
  <c r="M28" i="102"/>
  <c r="R13" i="59" s="1"/>
  <c r="M10" i="102"/>
  <c r="R15" i="59" s="1"/>
  <c r="M20" i="102"/>
  <c r="R16" i="59" s="1"/>
  <c r="M15" i="102"/>
  <c r="R17" i="59" s="1"/>
  <c r="M26" i="102"/>
  <c r="R18" i="59" s="1"/>
  <c r="M31" i="102"/>
  <c r="R19" i="59" s="1"/>
  <c r="M34" i="102"/>
  <c r="R20" i="59" s="1"/>
  <c r="M14" i="102"/>
  <c r="R21" i="59" s="1"/>
  <c r="M22" i="102"/>
  <c r="R22" i="59" s="1"/>
  <c r="M30" i="102"/>
  <c r="R24" i="59" s="1"/>
  <c r="M23" i="102"/>
  <c r="R26" i="59" s="1"/>
  <c r="M33" i="102"/>
  <c r="R27" i="59" s="1"/>
  <c r="M9" i="102"/>
  <c r="R29" i="59" s="1"/>
  <c r="M37" i="102"/>
  <c r="R30" i="59" s="1"/>
  <c r="M35" i="102"/>
  <c r="R32" i="59" s="1"/>
  <c r="M18" i="102"/>
  <c r="R35" i="59" s="1"/>
  <c r="M21" i="102"/>
  <c r="R36" i="59" s="1"/>
  <c r="M13" i="102"/>
  <c r="R38" i="59" s="1"/>
  <c r="M25" i="102"/>
  <c r="R39" i="59" s="1"/>
  <c r="M27" i="102"/>
  <c r="R40" i="59" s="1"/>
  <c r="M36" i="102"/>
  <c r="R43" i="59" s="1"/>
  <c r="R44" i="59"/>
  <c r="I90" i="59"/>
  <c r="E56" i="59"/>
  <c r="E63" i="59"/>
  <c r="E64" i="59"/>
  <c r="E65" i="59"/>
  <c r="E68" i="59"/>
  <c r="E69" i="59"/>
  <c r="E70" i="59"/>
  <c r="E71" i="59"/>
  <c r="E73" i="59"/>
  <c r="E75" i="59"/>
  <c r="E84" i="59"/>
  <c r="E85" i="59"/>
  <c r="E86" i="59"/>
  <c r="E87" i="59"/>
  <c r="I87" i="59" s="1"/>
  <c r="I45" i="59"/>
  <c r="G26" i="102"/>
  <c r="I12" i="59" s="1"/>
  <c r="G37" i="102"/>
  <c r="I24" i="59" s="1"/>
  <c r="G35" i="102"/>
  <c r="I30" i="59" s="1"/>
  <c r="K30" i="59" s="1"/>
  <c r="G36" i="102"/>
  <c r="I32" i="59" s="1"/>
  <c r="K32" i="59" s="1"/>
  <c r="L90" i="59"/>
  <c r="L53" i="59"/>
  <c r="L45" i="59"/>
  <c r="L9" i="59"/>
  <c r="H10" i="19"/>
  <c r="D10" i="19" s="1"/>
  <c r="F10" i="13"/>
  <c r="I10" i="13"/>
  <c r="C12" i="154"/>
  <c r="G10" i="19"/>
  <c r="H11" i="19"/>
  <c r="D11" i="19"/>
  <c r="F11" i="13"/>
  <c r="I11" i="13"/>
  <c r="C13" i="154"/>
  <c r="H13" i="19"/>
  <c r="D13" i="19" s="1"/>
  <c r="F13" i="13"/>
  <c r="I13" i="13"/>
  <c r="C14" i="128"/>
  <c r="G13" i="19"/>
  <c r="H14" i="19"/>
  <c r="D14" i="19" s="1"/>
  <c r="F14" i="13"/>
  <c r="I14" i="13"/>
  <c r="C15" i="128"/>
  <c r="G14" i="19"/>
  <c r="H15" i="19"/>
  <c r="D15" i="19" s="1"/>
  <c r="F15" i="13"/>
  <c r="I15" i="13"/>
  <c r="C16" i="128"/>
  <c r="G15" i="19"/>
  <c r="H16" i="19"/>
  <c r="D16" i="19" s="1"/>
  <c r="F16" i="13"/>
  <c r="I16" i="13"/>
  <c r="G16" i="19"/>
  <c r="H17" i="19"/>
  <c r="D17" i="19" s="1"/>
  <c r="F17" i="13"/>
  <c r="I17" i="13"/>
  <c r="G17" i="19"/>
  <c r="H18" i="19"/>
  <c r="D18" i="19" s="1"/>
  <c r="F18" i="13"/>
  <c r="I18" i="13"/>
  <c r="C19" i="128"/>
  <c r="G18" i="19"/>
  <c r="H19" i="19"/>
  <c r="D19" i="19" s="1"/>
  <c r="F19" i="13"/>
  <c r="I19" i="13"/>
  <c r="C20" i="128"/>
  <c r="G19" i="19"/>
  <c r="H20" i="19"/>
  <c r="D20" i="19" s="1"/>
  <c r="F20" i="13"/>
  <c r="I20" i="13"/>
  <c r="L21" i="26"/>
  <c r="Q20" i="13" s="1"/>
  <c r="O20" i="13" s="1"/>
  <c r="G20" i="19"/>
  <c r="H21" i="19"/>
  <c r="D21" i="19" s="1"/>
  <c r="F21" i="13"/>
  <c r="I21" i="13"/>
  <c r="G21" i="19"/>
  <c r="H22" i="19"/>
  <c r="D22" i="19" s="1"/>
  <c r="F22" i="13"/>
  <c r="I22" i="13"/>
  <c r="C23" i="128"/>
  <c r="G22" i="19"/>
  <c r="D100" i="8"/>
  <c r="H23" i="19"/>
  <c r="D23" i="19" s="1"/>
  <c r="F23" i="13"/>
  <c r="I23" i="13"/>
  <c r="G23" i="19"/>
  <c r="L24" i="26"/>
  <c r="Q24" i="13" s="1"/>
  <c r="O24" i="13" s="1"/>
  <c r="F24" i="13"/>
  <c r="I24" i="13"/>
  <c r="G24" i="19"/>
  <c r="H25" i="19"/>
  <c r="D25" i="19" s="1"/>
  <c r="I25" i="13"/>
  <c r="G25" i="10"/>
  <c r="I25" i="10" s="1"/>
  <c r="G25" i="19"/>
  <c r="H26" i="19"/>
  <c r="D26" i="19" s="1"/>
  <c r="F26" i="13"/>
  <c r="I26" i="13"/>
  <c r="C27" i="128"/>
  <c r="G26" i="19"/>
  <c r="H27" i="19"/>
  <c r="D27" i="19" s="1"/>
  <c r="F27" i="13"/>
  <c r="C28" i="128"/>
  <c r="G27" i="19"/>
  <c r="H28" i="19"/>
  <c r="D28" i="19" s="1"/>
  <c r="F28" i="13"/>
  <c r="I28" i="13"/>
  <c r="G28" i="19"/>
  <c r="H29" i="19"/>
  <c r="D29" i="19" s="1"/>
  <c r="F29" i="13"/>
  <c r="I29" i="13"/>
  <c r="C31" i="154"/>
  <c r="G29" i="19"/>
  <c r="L26" i="26"/>
  <c r="Q30" i="13" s="1"/>
  <c r="O30" i="13" s="1"/>
  <c r="F30" i="13"/>
  <c r="I30" i="13"/>
  <c r="G30" i="19"/>
  <c r="H31" i="19"/>
  <c r="D31" i="19" s="1"/>
  <c r="F31" i="13"/>
  <c r="L55" i="26"/>
  <c r="Q31" i="13" s="1"/>
  <c r="O31" i="13" s="1"/>
  <c r="G31" i="19"/>
  <c r="L27" i="26"/>
  <c r="Q32" i="13" s="1"/>
  <c r="O32" i="13" s="1"/>
  <c r="H32" i="17"/>
  <c r="H33" i="19"/>
  <c r="D33" i="19" s="1"/>
  <c r="F33" i="13"/>
  <c r="I33" i="13"/>
  <c r="L87" i="26"/>
  <c r="Q33" i="13" s="1"/>
  <c r="O33" i="13" s="1"/>
  <c r="G33" i="19"/>
  <c r="H34" i="19"/>
  <c r="D34" i="19" s="1"/>
  <c r="F34" i="13"/>
  <c r="I34" i="13"/>
  <c r="L29" i="26"/>
  <c r="Q34" i="13" s="1"/>
  <c r="O34" i="13" s="1"/>
  <c r="G34" i="19"/>
  <c r="H35" i="19"/>
  <c r="D35" i="19" s="1"/>
  <c r="L30" i="26"/>
  <c r="Q35" i="13" s="1"/>
  <c r="O35" i="13" s="1"/>
  <c r="H36" i="19"/>
  <c r="D36" i="19" s="1"/>
  <c r="C38" i="154"/>
  <c r="H37" i="19"/>
  <c r="D37" i="19" s="1"/>
  <c r="F37" i="13"/>
  <c r="I37" i="13"/>
  <c r="G37" i="19"/>
  <c r="H38" i="19"/>
  <c r="D38" i="19" s="1"/>
  <c r="F38" i="13"/>
  <c r="I38" i="13"/>
  <c r="C39" i="128"/>
  <c r="G38" i="19"/>
  <c r="H39" i="19"/>
  <c r="D39" i="19" s="1"/>
  <c r="C40" i="128"/>
  <c r="H40" i="19"/>
  <c r="D40" i="19" s="1"/>
  <c r="C42" i="154"/>
  <c r="H41" i="19"/>
  <c r="D41" i="19" s="1"/>
  <c r="F41" i="13"/>
  <c r="I41" i="13"/>
  <c r="L35" i="26"/>
  <c r="Q41" i="13" s="1"/>
  <c r="O41" i="13" s="1"/>
  <c r="G41" i="19"/>
  <c r="H42" i="19"/>
  <c r="D42" i="19" s="1"/>
  <c r="F42" i="13"/>
  <c r="I42" i="13"/>
  <c r="G42" i="19"/>
  <c r="H43" i="19"/>
  <c r="D43" i="19" s="1"/>
  <c r="C44" i="128"/>
  <c r="G43" i="19"/>
  <c r="H44" i="19"/>
  <c r="D44" i="19" s="1"/>
  <c r="F44" i="13"/>
  <c r="G44" i="19"/>
  <c r="H46" i="19"/>
  <c r="D46" i="19" s="1"/>
  <c r="F46" i="13"/>
  <c r="I46" i="13"/>
  <c r="G46" i="19"/>
  <c r="H47" i="19"/>
  <c r="D47" i="19" s="1"/>
  <c r="G47" i="19"/>
  <c r="H48" i="19"/>
  <c r="D48" i="19" s="1"/>
  <c r="G48" i="19"/>
  <c r="H49" i="19"/>
  <c r="D49" i="19" s="1"/>
  <c r="C51" i="154"/>
  <c r="G49" i="19"/>
  <c r="H50" i="19"/>
  <c r="D50" i="19" s="1"/>
  <c r="G50" i="19"/>
  <c r="H51" i="19"/>
  <c r="D51" i="19" s="1"/>
  <c r="C52" i="128"/>
  <c r="G51" i="19"/>
  <c r="H52" i="19"/>
  <c r="D52" i="19" s="1"/>
  <c r="C53" i="128"/>
  <c r="G52" i="19"/>
  <c r="N10" i="17"/>
  <c r="N13" i="17"/>
  <c r="N14" i="17"/>
  <c r="N25" i="17"/>
  <c r="N31" i="17"/>
  <c r="N33" i="17"/>
  <c r="N41" i="17"/>
  <c r="N42" i="17"/>
  <c r="N46" i="17"/>
  <c r="N47" i="17"/>
  <c r="N48" i="17"/>
  <c r="N49" i="17"/>
  <c r="N50" i="17"/>
  <c r="N51" i="17"/>
  <c r="N52" i="17"/>
  <c r="A55" i="9"/>
  <c r="A56" i="9"/>
  <c r="A57" i="9"/>
  <c r="A58" i="9"/>
  <c r="A60" i="9"/>
  <c r="A61" i="9"/>
  <c r="A62" i="9"/>
  <c r="A63" i="9"/>
  <c r="A64" i="9"/>
  <c r="A65" i="9"/>
  <c r="A66" i="9"/>
  <c r="A67" i="9"/>
  <c r="A68" i="9"/>
  <c r="A69" i="9"/>
  <c r="A70" i="9"/>
  <c r="A71" i="9"/>
  <c r="A72" i="9"/>
  <c r="A73" i="9"/>
  <c r="A75" i="9"/>
  <c r="A76" i="9"/>
  <c r="A79" i="9"/>
  <c r="A80" i="9"/>
  <c r="A81" i="9"/>
  <c r="A82" i="9"/>
  <c r="A84" i="9"/>
  <c r="A85" i="9"/>
  <c r="A86" i="9"/>
  <c r="A87" i="9"/>
  <c r="A88" i="9"/>
  <c r="A59" i="9"/>
  <c r="I59" i="116" s="1"/>
  <c r="G72" i="10"/>
  <c r="N72" i="17"/>
  <c r="A74" i="9"/>
  <c r="I74" i="116" s="1"/>
  <c r="P76" i="13"/>
  <c r="O76" i="13" s="1"/>
  <c r="N76" i="17"/>
  <c r="P81" i="13"/>
  <c r="O81" i="13" s="1"/>
  <c r="N81" i="17"/>
  <c r="P82" i="13"/>
  <c r="O82" i="13" s="1"/>
  <c r="N82" i="17"/>
  <c r="D87" i="19"/>
  <c r="P88" i="13"/>
  <c r="O88" i="13" s="1"/>
  <c r="N88" i="17"/>
  <c r="D89" i="19"/>
  <c r="N89" i="17"/>
  <c r="B56" i="21"/>
  <c r="B60" i="21"/>
  <c r="B67" i="21"/>
  <c r="B69" i="21"/>
  <c r="B79" i="21"/>
  <c r="B82" i="21"/>
  <c r="B84" i="21"/>
  <c r="B85" i="21"/>
  <c r="B86" i="21"/>
  <c r="B88" i="21"/>
  <c r="AG45" i="99"/>
  <c r="AG46" i="99"/>
  <c r="AG49" i="99"/>
  <c r="AG50" i="99"/>
  <c r="AG51" i="99"/>
  <c r="AD10" i="99"/>
  <c r="AD11" i="99"/>
  <c r="AD14" i="99"/>
  <c r="AD15" i="99"/>
  <c r="AD16" i="99"/>
  <c r="AD17" i="99"/>
  <c r="AD18" i="99"/>
  <c r="AD19" i="99"/>
  <c r="AD20" i="99"/>
  <c r="AD21" i="99"/>
  <c r="AD23" i="99"/>
  <c r="AD25" i="99"/>
  <c r="AD28" i="99"/>
  <c r="AD29" i="99"/>
  <c r="AD34" i="99"/>
  <c r="AD35" i="99"/>
  <c r="AD36" i="99"/>
  <c r="AD37" i="99"/>
  <c r="AD38" i="99"/>
  <c r="AD39" i="99"/>
  <c r="AD40" i="99"/>
  <c r="AD42" i="99"/>
  <c r="B46" i="99"/>
  <c r="B19" i="99"/>
  <c r="B27" i="99"/>
  <c r="F42" i="128"/>
  <c r="E42" i="128"/>
  <c r="C21" i="128"/>
  <c r="C32" i="128"/>
  <c r="C35" i="154"/>
  <c r="C36" i="154"/>
  <c r="C37" i="154"/>
  <c r="C38" i="128"/>
  <c r="C45" i="128"/>
  <c r="C47" i="128"/>
  <c r="C51" i="128"/>
  <c r="D8" i="155"/>
  <c r="E8" i="155"/>
  <c r="G47" i="21"/>
  <c r="F49" i="140"/>
  <c r="I49" i="60" s="1"/>
  <c r="G50" i="21"/>
  <c r="J50" i="21" s="1"/>
  <c r="N10" i="13"/>
  <c r="C10" i="13"/>
  <c r="N46" i="13"/>
  <c r="A67" i="10"/>
  <c r="G83" i="10"/>
  <c r="I18" i="10"/>
  <c r="I37" i="10"/>
  <c r="B50" i="36"/>
  <c r="B47" i="36"/>
  <c r="K10" i="36"/>
  <c r="C37" i="25"/>
  <c r="C36" i="25"/>
  <c r="C24" i="25"/>
  <c r="I30" i="36"/>
  <c r="C40" i="25"/>
  <c r="C29" i="25"/>
  <c r="F37" i="36"/>
  <c r="P37" i="36" s="1"/>
  <c r="C32" i="25"/>
  <c r="C26" i="25"/>
  <c r="C17" i="25"/>
  <c r="C11" i="25"/>
  <c r="D38" i="8"/>
  <c r="C20" i="25"/>
  <c r="D75" i="8"/>
  <c r="C19" i="25"/>
  <c r="C41" i="25"/>
  <c r="C35" i="25"/>
  <c r="C12" i="25"/>
  <c r="D58" i="8"/>
  <c r="C15" i="25"/>
  <c r="C43" i="25"/>
  <c r="C25" i="25"/>
  <c r="K21" i="12"/>
  <c r="D15" i="8"/>
  <c r="C31" i="25"/>
  <c r="C34" i="25"/>
  <c r="C18" i="25"/>
  <c r="D24" i="8"/>
  <c r="G100" i="8"/>
  <c r="F23" i="140"/>
  <c r="I23" i="60" s="1"/>
  <c r="F15" i="140"/>
  <c r="I15" i="60" s="1"/>
  <c r="F15" i="60"/>
  <c r="D11" i="8"/>
  <c r="I35" i="257"/>
  <c r="E34" i="140"/>
  <c r="H34" i="60" s="1"/>
  <c r="F34" i="140"/>
  <c r="I34" i="60" s="1"/>
  <c r="I42" i="257"/>
  <c r="I38" i="257"/>
  <c r="I34" i="257"/>
  <c r="C22" i="25"/>
  <c r="N42" i="8"/>
  <c r="F44" i="140"/>
  <c r="F13" i="140"/>
  <c r="I13" i="60" s="1"/>
  <c r="F13" i="60"/>
  <c r="C16" i="25"/>
  <c r="F17" i="140"/>
  <c r="F38" i="140"/>
  <c r="F38" i="60"/>
  <c r="F39" i="140"/>
  <c r="F19" i="140"/>
  <c r="I19" i="60" s="1"/>
  <c r="F31" i="140"/>
  <c r="I31" i="60" s="1"/>
  <c r="F22" i="140"/>
  <c r="F22" i="60"/>
  <c r="F18" i="140"/>
  <c r="I18" i="60" s="1"/>
  <c r="F28" i="140"/>
  <c r="I28" i="60" s="1"/>
  <c r="F28" i="60"/>
  <c r="F21" i="140"/>
  <c r="I21" i="60" s="1"/>
  <c r="F21" i="60"/>
  <c r="F36" i="140"/>
  <c r="I36" i="60" s="1"/>
  <c r="C44" i="25"/>
  <c r="F48" i="140"/>
  <c r="I48" i="60" s="1"/>
  <c r="C21" i="25"/>
  <c r="C39" i="25"/>
  <c r="C38" i="25"/>
  <c r="F35" i="140"/>
  <c r="I35" i="60" s="1"/>
  <c r="F30" i="140"/>
  <c r="I30" i="60" s="1"/>
  <c r="F30" i="60"/>
  <c r="H27" i="21"/>
  <c r="J27" i="21"/>
  <c r="I27" i="21"/>
  <c r="F40" i="140"/>
  <c r="I40" i="60" s="1"/>
  <c r="R38" i="8"/>
  <c r="D83" i="8"/>
  <c r="G101" i="8"/>
  <c r="F26" i="140"/>
  <c r="I26" i="60" s="1"/>
  <c r="F26" i="60"/>
  <c r="F46" i="140"/>
  <c r="I46" i="60" s="1"/>
  <c r="F46" i="60"/>
  <c r="F14" i="140"/>
  <c r="I14" i="60" s="1"/>
  <c r="F25" i="140"/>
  <c r="I25" i="60" s="1"/>
  <c r="F25" i="60"/>
  <c r="F42" i="140"/>
  <c r="I42" i="60" s="1"/>
  <c r="I32" i="10"/>
  <c r="F32" i="60"/>
  <c r="N30" i="8"/>
  <c r="R24" i="8"/>
  <c r="F20" i="140"/>
  <c r="I20" i="60" s="1"/>
  <c r="F20" i="60"/>
  <c r="G79" i="21"/>
  <c r="J79" i="21" s="1"/>
  <c r="F81" i="140"/>
  <c r="F43" i="140"/>
  <c r="F43" i="60"/>
  <c r="F89" i="140"/>
  <c r="F16" i="140"/>
  <c r="I16" i="60" s="1"/>
  <c r="F16" i="60"/>
  <c r="G51" i="21"/>
  <c r="J51" i="21" s="1"/>
  <c r="F53" i="60"/>
  <c r="F12" i="140"/>
  <c r="I12" i="60" s="1"/>
  <c r="F12" i="60"/>
  <c r="F37" i="140"/>
  <c r="I37" i="60" s="1"/>
  <c r="F24" i="140"/>
  <c r="I24" i="60" s="1"/>
  <c r="F24" i="60"/>
  <c r="F87" i="140"/>
  <c r="E33" i="140"/>
  <c r="H33" i="60" s="1"/>
  <c r="N31" i="59"/>
  <c r="G31" i="21" s="1"/>
  <c r="I31" i="21" s="1"/>
  <c r="F33" i="60"/>
  <c r="F45" i="60"/>
  <c r="G49" i="21"/>
  <c r="J49" i="21" s="1"/>
  <c r="C42" i="25"/>
  <c r="G48" i="21"/>
  <c r="J48" i="21" s="1"/>
  <c r="E100" i="8"/>
  <c r="N25" i="59"/>
  <c r="G25" i="21" s="1"/>
  <c r="I25" i="21" s="1"/>
  <c r="F27" i="60"/>
  <c r="F76" i="140"/>
  <c r="C33" i="25"/>
  <c r="F91" i="140"/>
  <c r="F91" i="60"/>
  <c r="N41" i="13"/>
  <c r="C41" i="13"/>
  <c r="N14" i="13"/>
  <c r="C14" i="13"/>
  <c r="F41" i="140"/>
  <c r="I41" i="60" s="1"/>
  <c r="F41" i="60"/>
  <c r="F77" i="140"/>
  <c r="F77" i="60"/>
  <c r="F78" i="140"/>
  <c r="N13" i="13"/>
  <c r="C13" i="13"/>
  <c r="G52" i="21"/>
  <c r="J52" i="21" s="1"/>
  <c r="F54" i="140"/>
  <c r="I54" i="60" s="1"/>
  <c r="F54" i="60"/>
  <c r="N31" i="13"/>
  <c r="F82" i="140"/>
  <c r="F58" i="140"/>
  <c r="N52" i="13"/>
  <c r="C52" i="13"/>
  <c r="N49" i="13"/>
  <c r="C28" i="13"/>
  <c r="F67" i="140"/>
  <c r="F83" i="140"/>
  <c r="F61" i="140"/>
  <c r="N33" i="13"/>
  <c r="C33" i="13"/>
  <c r="F63" i="140"/>
  <c r="F65" i="140"/>
  <c r="F74" i="140"/>
  <c r="F72" i="140"/>
  <c r="F64" i="140"/>
  <c r="C14" i="25"/>
  <c r="F60" i="140"/>
  <c r="F70" i="140"/>
  <c r="F90" i="140"/>
  <c r="F73" i="140"/>
  <c r="F73" i="60"/>
  <c r="N48" i="13"/>
  <c r="C48" i="13"/>
  <c r="F75" i="140"/>
  <c r="F86" i="140"/>
  <c r="F57" i="140"/>
  <c r="F57" i="60"/>
  <c r="F69" i="140"/>
  <c r="F59" i="140"/>
  <c r="B33" i="36"/>
  <c r="B18" i="36"/>
  <c r="B22" i="36"/>
  <c r="B34" i="36"/>
  <c r="B35" i="36"/>
  <c r="B43" i="36"/>
  <c r="B29" i="36"/>
  <c r="H29" i="36" s="1"/>
  <c r="B31" i="36"/>
  <c r="F68" i="140"/>
  <c r="F56" i="140"/>
  <c r="F71" i="140"/>
  <c r="B49" i="36"/>
  <c r="F88" i="140"/>
  <c r="F79" i="140"/>
  <c r="F84" i="140"/>
  <c r="F84" i="60"/>
  <c r="B51" i="36"/>
  <c r="F80" i="140"/>
  <c r="F62" i="140"/>
  <c r="F62" i="60"/>
  <c r="F66" i="140"/>
  <c r="N51" i="13"/>
  <c r="C51" i="13"/>
  <c r="N50" i="13"/>
  <c r="C23" i="13"/>
  <c r="F34" i="60"/>
  <c r="N47" i="13"/>
  <c r="C47" i="13"/>
  <c r="E24" i="116"/>
  <c r="D83" i="17"/>
  <c r="D53" i="17" s="1"/>
  <c r="F14" i="60"/>
  <c r="I38" i="60"/>
  <c r="I22" i="60"/>
  <c r="F42" i="60"/>
  <c r="E40" i="116"/>
  <c r="I40" i="116"/>
  <c r="F31" i="60"/>
  <c r="F29" i="60"/>
  <c r="I50" i="60"/>
  <c r="F50" i="60"/>
  <c r="E48" i="116"/>
  <c r="I48" i="116"/>
  <c r="F36" i="60"/>
  <c r="I44" i="60"/>
  <c r="F44" i="60"/>
  <c r="F40" i="60"/>
  <c r="E25" i="116"/>
  <c r="I47" i="116"/>
  <c r="E11" i="116"/>
  <c r="I50" i="116"/>
  <c r="F37" i="60"/>
  <c r="F49" i="60"/>
  <c r="F19" i="60"/>
  <c r="I53" i="60"/>
  <c r="F52" i="60"/>
  <c r="I17" i="60"/>
  <c r="F17" i="60"/>
  <c r="F51" i="60"/>
  <c r="F23" i="60"/>
  <c r="E33" i="116"/>
  <c r="I33" i="116"/>
  <c r="I39" i="60"/>
  <c r="F39" i="60"/>
  <c r="F18" i="60"/>
  <c r="F35" i="60"/>
  <c r="F48" i="60"/>
  <c r="P54" i="13"/>
  <c r="O54" i="13" s="1"/>
  <c r="P55" i="13"/>
  <c r="O55" i="13" s="1"/>
  <c r="P56" i="13"/>
  <c r="O56" i="13" s="1"/>
  <c r="P57" i="13"/>
  <c r="O57" i="13" s="1"/>
  <c r="P58" i="13"/>
  <c r="O58" i="13" s="1"/>
  <c r="P59" i="13"/>
  <c r="O59" i="13" s="1"/>
  <c r="P60" i="13"/>
  <c r="O60" i="13" s="1"/>
  <c r="P61" i="13"/>
  <c r="O61" i="13" s="1"/>
  <c r="P62" i="13"/>
  <c r="O62" i="13" s="1"/>
  <c r="P63" i="13"/>
  <c r="O63" i="13" s="1"/>
  <c r="P64" i="13"/>
  <c r="O64" i="13" s="1"/>
  <c r="P65" i="13"/>
  <c r="O65" i="13" s="1"/>
  <c r="P66" i="13"/>
  <c r="O66" i="13" s="1"/>
  <c r="P68" i="13"/>
  <c r="O68" i="13" s="1"/>
  <c r="P69" i="13"/>
  <c r="O69" i="13" s="1"/>
  <c r="P70" i="13"/>
  <c r="O70" i="13" s="1"/>
  <c r="P71" i="13"/>
  <c r="O71" i="13" s="1"/>
  <c r="P73" i="13"/>
  <c r="O73" i="13" s="1"/>
  <c r="P74" i="13"/>
  <c r="O74" i="13" s="1"/>
  <c r="P75" i="13"/>
  <c r="O75" i="13" s="1"/>
  <c r="P78" i="13"/>
  <c r="O78" i="13" s="1"/>
  <c r="P79" i="13"/>
  <c r="O79" i="13" s="1"/>
  <c r="P80" i="13"/>
  <c r="O80" i="13" s="1"/>
  <c r="P84" i="13"/>
  <c r="O84" i="13" s="1"/>
  <c r="P85" i="13"/>
  <c r="O85" i="13" s="1"/>
  <c r="P86" i="13"/>
  <c r="O86" i="13" s="1"/>
  <c r="H87" i="13"/>
  <c r="P87" i="13"/>
  <c r="O87" i="13" s="1"/>
  <c r="M90" i="59"/>
  <c r="G53" i="19"/>
  <c r="E89" i="116"/>
  <c r="H20" i="17"/>
  <c r="H43" i="17"/>
  <c r="K43" i="17"/>
  <c r="H39" i="17"/>
  <c r="D10" i="100"/>
  <c r="K10" i="100"/>
  <c r="E89" i="100"/>
  <c r="F89" i="100"/>
  <c r="G89" i="100"/>
  <c r="H89" i="100"/>
  <c r="I89" i="100"/>
  <c r="J89" i="100"/>
  <c r="D45" i="100"/>
  <c r="D46" i="100"/>
  <c r="D47" i="100"/>
  <c r="D48" i="100"/>
  <c r="D49" i="100"/>
  <c r="D50" i="100"/>
  <c r="D51" i="100"/>
  <c r="D9" i="100"/>
  <c r="D11" i="100"/>
  <c r="D12" i="100"/>
  <c r="D13" i="100"/>
  <c r="D14" i="100"/>
  <c r="D15" i="100"/>
  <c r="D16" i="100"/>
  <c r="D17" i="100"/>
  <c r="D18" i="100"/>
  <c r="D19" i="100"/>
  <c r="D20" i="100"/>
  <c r="D21" i="100"/>
  <c r="D22" i="100"/>
  <c r="D23" i="100"/>
  <c r="D24" i="100"/>
  <c r="D25" i="100"/>
  <c r="D26" i="100"/>
  <c r="D27" i="100"/>
  <c r="D28" i="100"/>
  <c r="D29" i="100"/>
  <c r="D30" i="100"/>
  <c r="D31" i="100"/>
  <c r="D32" i="100"/>
  <c r="D33" i="100"/>
  <c r="D34" i="100"/>
  <c r="D35" i="100"/>
  <c r="D36" i="100"/>
  <c r="D37" i="100"/>
  <c r="D38" i="100"/>
  <c r="D39" i="100"/>
  <c r="D40" i="100"/>
  <c r="D41" i="100"/>
  <c r="D42" i="100"/>
  <c r="D43" i="100"/>
  <c r="K90" i="100"/>
  <c r="K53" i="100"/>
  <c r="K54" i="100"/>
  <c r="K55" i="100"/>
  <c r="K56" i="100"/>
  <c r="K57" i="100"/>
  <c r="K58" i="100"/>
  <c r="K59" i="100"/>
  <c r="K60" i="100"/>
  <c r="K61" i="100"/>
  <c r="K62" i="100"/>
  <c r="K63" i="100"/>
  <c r="K64" i="100"/>
  <c r="K65" i="100"/>
  <c r="K66" i="100"/>
  <c r="K67" i="100"/>
  <c r="K68" i="100"/>
  <c r="K69" i="100"/>
  <c r="K70" i="100"/>
  <c r="K71" i="100"/>
  <c r="K72" i="100"/>
  <c r="K73" i="100"/>
  <c r="K74" i="100"/>
  <c r="K75" i="100"/>
  <c r="K76" i="100"/>
  <c r="K77" i="100"/>
  <c r="K78" i="100"/>
  <c r="K79" i="100"/>
  <c r="K80" i="100"/>
  <c r="K81" i="100"/>
  <c r="K82" i="100"/>
  <c r="K83" i="100"/>
  <c r="K84" i="100"/>
  <c r="K85" i="100"/>
  <c r="K86" i="100"/>
  <c r="K87" i="100"/>
  <c r="K88" i="100"/>
  <c r="K45" i="100"/>
  <c r="K46" i="100"/>
  <c r="K47" i="100"/>
  <c r="K48" i="100"/>
  <c r="K49" i="100"/>
  <c r="K50" i="100"/>
  <c r="K51" i="100"/>
  <c r="K9" i="100"/>
  <c r="K11" i="100"/>
  <c r="K12" i="100"/>
  <c r="K13" i="100"/>
  <c r="K14" i="100"/>
  <c r="K15" i="100"/>
  <c r="K16" i="100"/>
  <c r="K17" i="100"/>
  <c r="K18" i="100"/>
  <c r="K19" i="100"/>
  <c r="K20" i="100"/>
  <c r="K21" i="100"/>
  <c r="K22" i="100"/>
  <c r="K23" i="100"/>
  <c r="K24" i="100"/>
  <c r="K25" i="100"/>
  <c r="K26" i="100"/>
  <c r="K27" i="100"/>
  <c r="K28" i="100"/>
  <c r="K29" i="100"/>
  <c r="K30" i="100"/>
  <c r="K31" i="100"/>
  <c r="K32" i="100"/>
  <c r="K33" i="100"/>
  <c r="K34" i="100"/>
  <c r="K35" i="100"/>
  <c r="K36" i="100"/>
  <c r="K37" i="100"/>
  <c r="K38" i="100"/>
  <c r="K39" i="100"/>
  <c r="K40" i="100"/>
  <c r="K41" i="100"/>
  <c r="K42" i="100"/>
  <c r="K43" i="100"/>
  <c r="H42" i="128"/>
  <c r="I42" i="128"/>
  <c r="D90" i="100"/>
  <c r="D53" i="100"/>
  <c r="C53" i="100" s="1"/>
  <c r="D54" i="100"/>
  <c r="D55" i="100"/>
  <c r="D56" i="100"/>
  <c r="D57" i="100"/>
  <c r="D58" i="100"/>
  <c r="D59" i="100"/>
  <c r="D60" i="100"/>
  <c r="D61" i="100"/>
  <c r="C61" i="100" s="1"/>
  <c r="D62" i="100"/>
  <c r="D63" i="100"/>
  <c r="D64" i="100"/>
  <c r="D65" i="100"/>
  <c r="D66" i="100"/>
  <c r="D67" i="100"/>
  <c r="D68" i="100"/>
  <c r="C68" i="100" s="1"/>
  <c r="D69" i="100"/>
  <c r="C69" i="100" s="1"/>
  <c r="D70" i="100"/>
  <c r="D71" i="100"/>
  <c r="D72" i="100"/>
  <c r="D73" i="100"/>
  <c r="D74" i="100"/>
  <c r="D75" i="100"/>
  <c r="D76" i="100"/>
  <c r="D77" i="100"/>
  <c r="C77" i="100" s="1"/>
  <c r="D78" i="100"/>
  <c r="D79" i="100"/>
  <c r="D80" i="100"/>
  <c r="D81" i="100"/>
  <c r="D82" i="100"/>
  <c r="D83" i="100"/>
  <c r="D84" i="100"/>
  <c r="D85" i="100"/>
  <c r="C85" i="100" s="1"/>
  <c r="D86" i="100"/>
  <c r="D87" i="100"/>
  <c r="D88" i="100"/>
  <c r="I77" i="116"/>
  <c r="I89" i="116"/>
  <c r="I83" i="116"/>
  <c r="I89" i="9"/>
  <c r="AL8" i="167"/>
  <c r="AL11" i="167"/>
  <c r="AL17" i="167"/>
  <c r="AL18" i="167"/>
  <c r="AL25" i="167"/>
  <c r="AL29" i="167"/>
  <c r="AL41" i="167"/>
  <c r="AL30" i="167"/>
  <c r="AM8" i="167"/>
  <c r="AM11" i="167"/>
  <c r="AM17" i="167"/>
  <c r="AM18" i="167"/>
  <c r="AM25" i="167"/>
  <c r="AM29" i="167"/>
  <c r="AM41" i="167"/>
  <c r="AM30" i="167"/>
  <c r="AN8" i="167"/>
  <c r="AN11" i="167"/>
  <c r="AN17" i="167"/>
  <c r="AN18" i="167"/>
  <c r="AN25" i="167"/>
  <c r="AN29" i="167"/>
  <c r="AN41" i="167"/>
  <c r="AN30" i="167"/>
  <c r="AL9" i="167"/>
  <c r="AL10" i="167"/>
  <c r="AL12" i="167"/>
  <c r="AL13" i="167"/>
  <c r="AP13" i="167" s="1"/>
  <c r="AL14" i="167"/>
  <c r="AL15" i="167"/>
  <c r="AL16" i="167"/>
  <c r="AL19" i="167"/>
  <c r="AL20" i="167"/>
  <c r="AL21" i="167"/>
  <c r="AL22" i="167"/>
  <c r="AL23" i="167"/>
  <c r="AL24" i="167"/>
  <c r="AL26" i="167"/>
  <c r="AL27" i="167"/>
  <c r="AP27" i="167" s="1"/>
  <c r="AL28" i="167"/>
  <c r="AL31" i="167"/>
  <c r="AL32" i="167"/>
  <c r="AL33" i="167"/>
  <c r="AL34" i="167"/>
  <c r="AL35" i="167"/>
  <c r="AL36" i="167"/>
  <c r="AL37" i="167"/>
  <c r="AL38" i="167"/>
  <c r="AL39" i="167"/>
  <c r="AL40" i="167"/>
  <c r="AL42" i="167"/>
  <c r="AL44" i="167"/>
  <c r="Y27" i="167"/>
  <c r="Z27" i="167"/>
  <c r="AA27" i="167"/>
  <c r="AB27" i="167"/>
  <c r="AC27" i="167"/>
  <c r="AD27" i="167"/>
  <c r="AE27" i="167"/>
  <c r="AF27" i="167"/>
  <c r="AG27" i="167"/>
  <c r="AH27" i="167"/>
  <c r="AI27" i="167"/>
  <c r="AJ27" i="167"/>
  <c r="AK27" i="167"/>
  <c r="AM9" i="167"/>
  <c r="AM10" i="167"/>
  <c r="AM12" i="167"/>
  <c r="AM13" i="167"/>
  <c r="AM14" i="167"/>
  <c r="AM15" i="167"/>
  <c r="AM16" i="167"/>
  <c r="AM19" i="167"/>
  <c r="AM20" i="167"/>
  <c r="AM21" i="167"/>
  <c r="AM22" i="167"/>
  <c r="AM23" i="167"/>
  <c r="AM24" i="167"/>
  <c r="AM26" i="167"/>
  <c r="AM27" i="167"/>
  <c r="AM28" i="167"/>
  <c r="AM31" i="167"/>
  <c r="AM32" i="167"/>
  <c r="AM33" i="167"/>
  <c r="AM34" i="167"/>
  <c r="AM35" i="167"/>
  <c r="AM36" i="167"/>
  <c r="AM37" i="167"/>
  <c r="AM38" i="167"/>
  <c r="AM39" i="167"/>
  <c r="AM40" i="167"/>
  <c r="AM42" i="167"/>
  <c r="AN9" i="167"/>
  <c r="AN10" i="167"/>
  <c r="AN12" i="167"/>
  <c r="AN13" i="167"/>
  <c r="AN14" i="167"/>
  <c r="AN15" i="167"/>
  <c r="AN16" i="167"/>
  <c r="AN19" i="167"/>
  <c r="AN20" i="167"/>
  <c r="AN21" i="167"/>
  <c r="AN22" i="167"/>
  <c r="AN23" i="167"/>
  <c r="AN24" i="167"/>
  <c r="AN26" i="167"/>
  <c r="AN27" i="167"/>
  <c r="AN28" i="167"/>
  <c r="AN31" i="167"/>
  <c r="AN32" i="167"/>
  <c r="AN33" i="167"/>
  <c r="AN34" i="167"/>
  <c r="AN35" i="167"/>
  <c r="AN36" i="167"/>
  <c r="AN37" i="167"/>
  <c r="AN38" i="167"/>
  <c r="AN39" i="167"/>
  <c r="AN40" i="167"/>
  <c r="AN42" i="167"/>
  <c r="Y44" i="167"/>
  <c r="Z44" i="167"/>
  <c r="AA44" i="167"/>
  <c r="AB44" i="167"/>
  <c r="AC44" i="167"/>
  <c r="AD44" i="167"/>
  <c r="AG44" i="167"/>
  <c r="AJ44" i="167"/>
  <c r="AK44" i="167"/>
  <c r="I64" i="54"/>
  <c r="I61" i="54"/>
  <c r="B76" i="12"/>
  <c r="B84" i="12"/>
  <c r="G34" i="60"/>
  <c r="V32" i="21" s="1"/>
  <c r="N11" i="8"/>
  <c r="B57" i="12"/>
  <c r="E104" i="59"/>
  <c r="E120" i="59"/>
  <c r="E136" i="59"/>
  <c r="E148" i="59"/>
  <c r="E164" i="59"/>
  <c r="E172" i="59"/>
  <c r="E184" i="59"/>
  <c r="E192" i="59"/>
  <c r="E200" i="59"/>
  <c r="E204" i="59"/>
  <c r="E96" i="59"/>
  <c r="E100" i="59"/>
  <c r="E108" i="59"/>
  <c r="E112" i="59"/>
  <c r="E116" i="59"/>
  <c r="E124" i="59"/>
  <c r="E128" i="59"/>
  <c r="E132" i="59"/>
  <c r="E140" i="59"/>
  <c r="E144" i="59"/>
  <c r="H144" i="59" s="1"/>
  <c r="E152" i="59"/>
  <c r="E156" i="59"/>
  <c r="E160" i="59"/>
  <c r="E168" i="59"/>
  <c r="E176" i="59"/>
  <c r="E180" i="59"/>
  <c r="E188" i="59"/>
  <c r="E196" i="59"/>
  <c r="E208" i="59"/>
  <c r="E212" i="59"/>
  <c r="E216" i="59"/>
  <c r="H74" i="59"/>
  <c r="B52" i="14"/>
  <c r="W10" i="21"/>
  <c r="W18" i="21"/>
  <c r="G27" i="21"/>
  <c r="C27" i="21"/>
  <c r="T37" i="21"/>
  <c r="G41" i="60"/>
  <c r="V39" i="21" s="1"/>
  <c r="D93" i="60"/>
  <c r="K24" i="59"/>
  <c r="H89" i="17"/>
  <c r="M69" i="21"/>
  <c r="W69" i="21" s="1"/>
  <c r="L59" i="26"/>
  <c r="L89" i="26"/>
  <c r="L81" i="26"/>
  <c r="C85" i="140"/>
  <c r="F85" i="60"/>
  <c r="F69" i="60"/>
  <c r="J44" i="100"/>
  <c r="J8" i="100"/>
  <c r="C84" i="100"/>
  <c r="A57" i="10"/>
  <c r="A60" i="10"/>
  <c r="A69" i="10"/>
  <c r="A79" i="10"/>
  <c r="A82" i="10"/>
  <c r="A84" i="10"/>
  <c r="A85" i="10"/>
  <c r="A86" i="10"/>
  <c r="A87" i="10"/>
  <c r="A88" i="10"/>
  <c r="A56" i="17"/>
  <c r="A60" i="17"/>
  <c r="N60" i="17" s="1"/>
  <c r="A67" i="17"/>
  <c r="A69" i="17"/>
  <c r="K11" i="17"/>
  <c r="N11" i="17"/>
  <c r="N12" i="17"/>
  <c r="K15" i="17"/>
  <c r="N15" i="17"/>
  <c r="J16" i="17"/>
  <c r="K16" i="17"/>
  <c r="N16" i="17"/>
  <c r="N18" i="17"/>
  <c r="N19" i="17"/>
  <c r="N20" i="17"/>
  <c r="J21" i="17"/>
  <c r="N21" i="17"/>
  <c r="G22" i="30"/>
  <c r="D22" i="30" s="1"/>
  <c r="N24" i="17"/>
  <c r="K25" i="17"/>
  <c r="N26" i="17"/>
  <c r="N27" i="17"/>
  <c r="H28" i="17"/>
  <c r="N28" i="17"/>
  <c r="N30" i="17"/>
  <c r="N32" i="17"/>
  <c r="N34" i="17"/>
  <c r="N35" i="17"/>
  <c r="H36" i="17"/>
  <c r="J36" i="17"/>
  <c r="K36" i="17"/>
  <c r="N36" i="17"/>
  <c r="N39" i="17"/>
  <c r="K40" i="17"/>
  <c r="N40" i="17"/>
  <c r="K42" i="17"/>
  <c r="N43" i="17"/>
  <c r="D45" i="17"/>
  <c r="I45" i="19"/>
  <c r="J45" i="19"/>
  <c r="N45" i="17"/>
  <c r="J46" i="17"/>
  <c r="K46" i="17"/>
  <c r="H48" i="17"/>
  <c r="J48" i="17"/>
  <c r="F21" i="30"/>
  <c r="F30" i="30"/>
  <c r="E30" i="30" s="1"/>
  <c r="N36" i="13" s="1"/>
  <c r="N55" i="17"/>
  <c r="N56" i="17"/>
  <c r="N57" i="17"/>
  <c r="N58" i="17"/>
  <c r="N59" i="17"/>
  <c r="N61" i="17"/>
  <c r="N62" i="17"/>
  <c r="N63" i="17"/>
  <c r="N64" i="17"/>
  <c r="N65" i="17"/>
  <c r="N66" i="17"/>
  <c r="N67" i="17"/>
  <c r="N74" i="17"/>
  <c r="N77" i="17"/>
  <c r="N78" i="17"/>
  <c r="A79" i="17"/>
  <c r="N79" i="17"/>
  <c r="N80" i="17"/>
  <c r="A82" i="17"/>
  <c r="N83" i="17"/>
  <c r="A84" i="17"/>
  <c r="N84" i="17"/>
  <c r="A85" i="17"/>
  <c r="N85" i="17"/>
  <c r="A86" i="17"/>
  <c r="N86" i="17"/>
  <c r="A87" i="17"/>
  <c r="N87" i="17"/>
  <c r="A88" i="17"/>
  <c r="A56" i="19"/>
  <c r="A60" i="19"/>
  <c r="A67" i="19"/>
  <c r="A69" i="19"/>
  <c r="A79" i="19"/>
  <c r="A82" i="19"/>
  <c r="A84" i="19"/>
  <c r="A85" i="19"/>
  <c r="A86" i="19"/>
  <c r="A87" i="19"/>
  <c r="A88" i="19"/>
  <c r="O55" i="140"/>
  <c r="N55" i="140"/>
  <c r="O47" i="140"/>
  <c r="N47" i="140"/>
  <c r="F76" i="60"/>
  <c r="F78" i="60"/>
  <c r="F65" i="60"/>
  <c r="F81" i="60"/>
  <c r="F82" i="60"/>
  <c r="F85" i="140"/>
  <c r="F58" i="60"/>
  <c r="F66" i="60"/>
  <c r="V54" i="29"/>
  <c r="V54" i="27"/>
  <c r="V53" i="29"/>
  <c r="V52" i="29"/>
  <c r="V51" i="29"/>
  <c r="V50" i="29"/>
  <c r="V49" i="29"/>
  <c r="V48" i="29"/>
  <c r="V47" i="29"/>
  <c r="V46" i="29"/>
  <c r="V45" i="29"/>
  <c r="V44" i="29"/>
  <c r="V43" i="29"/>
  <c r="V42" i="29"/>
  <c r="V41" i="29"/>
  <c r="V40" i="29"/>
  <c r="V39" i="29"/>
  <c r="V38" i="29"/>
  <c r="V37" i="29"/>
  <c r="V36" i="29"/>
  <c r="V35" i="29"/>
  <c r="V34" i="29"/>
  <c r="V33" i="29"/>
  <c r="V32" i="29"/>
  <c r="V31" i="29"/>
  <c r="V30" i="29"/>
  <c r="V29" i="29"/>
  <c r="Q31" i="59"/>
  <c r="Q80" i="59"/>
  <c r="N157" i="59"/>
  <c r="Q61" i="59"/>
  <c r="Q49" i="59"/>
  <c r="Q50" i="59"/>
  <c r="Q48" i="59"/>
  <c r="Q81" i="59"/>
  <c r="Q51" i="59"/>
  <c r="H31" i="59"/>
  <c r="H50" i="59"/>
  <c r="H25" i="59"/>
  <c r="E37" i="59"/>
  <c r="H49" i="59"/>
  <c r="H52" i="59"/>
  <c r="H48" i="59"/>
  <c r="E11" i="59"/>
  <c r="H10" i="59"/>
  <c r="E46" i="59"/>
  <c r="A83" i="9"/>
  <c r="C52" i="154"/>
  <c r="C48" i="154"/>
  <c r="C87" i="100"/>
  <c r="C86" i="100"/>
  <c r="C83" i="100"/>
  <c r="C81" i="100"/>
  <c r="C79" i="100"/>
  <c r="C75" i="100"/>
  <c r="C74" i="100"/>
  <c r="C73" i="100"/>
  <c r="C71" i="100"/>
  <c r="C70" i="100"/>
  <c r="C67" i="100"/>
  <c r="C65" i="100"/>
  <c r="C63" i="100"/>
  <c r="C59" i="100"/>
  <c r="C58" i="100"/>
  <c r="C57" i="100"/>
  <c r="C55" i="100"/>
  <c r="C54" i="100"/>
  <c r="E92" i="128"/>
  <c r="D94" i="127"/>
  <c r="E44" i="100"/>
  <c r="E8" i="100"/>
  <c r="F44" i="100"/>
  <c r="F8" i="100"/>
  <c r="G44" i="100"/>
  <c r="H44" i="100"/>
  <c r="I44" i="100"/>
  <c r="I8" i="100"/>
  <c r="L44" i="100"/>
  <c r="M44" i="100"/>
  <c r="E52" i="100"/>
  <c r="F52" i="100"/>
  <c r="G52" i="100"/>
  <c r="H52" i="100"/>
  <c r="I52" i="100"/>
  <c r="J52" i="100"/>
  <c r="L52" i="100"/>
  <c r="M52" i="100"/>
  <c r="L89" i="100"/>
  <c r="L8" i="100"/>
  <c r="M89" i="100"/>
  <c r="G8" i="100"/>
  <c r="H8" i="100"/>
  <c r="M8" i="100"/>
  <c r="D59" i="13"/>
  <c r="E59" i="13"/>
  <c r="D67" i="13"/>
  <c r="E67" i="13"/>
  <c r="D72" i="13"/>
  <c r="E72" i="13"/>
  <c r="D74" i="13"/>
  <c r="E74" i="13"/>
  <c r="D77" i="13"/>
  <c r="E77" i="13"/>
  <c r="D83" i="13"/>
  <c r="E83" i="13"/>
  <c r="M89" i="13"/>
  <c r="D89" i="13"/>
  <c r="E89" i="13"/>
  <c r="D54" i="13"/>
  <c r="E54" i="13"/>
  <c r="D55" i="13"/>
  <c r="E55" i="13"/>
  <c r="D56" i="13"/>
  <c r="E56" i="13"/>
  <c r="D57" i="13"/>
  <c r="E57" i="13"/>
  <c r="D58" i="13"/>
  <c r="E58" i="13"/>
  <c r="D60" i="13"/>
  <c r="E60" i="13"/>
  <c r="D61" i="13"/>
  <c r="E61" i="13"/>
  <c r="D63" i="13"/>
  <c r="E63" i="13"/>
  <c r="D64" i="13"/>
  <c r="E64" i="13"/>
  <c r="D65" i="13"/>
  <c r="E65" i="13"/>
  <c r="D66" i="13"/>
  <c r="C66" i="13" s="1"/>
  <c r="E66" i="13"/>
  <c r="D68" i="13"/>
  <c r="E68" i="13"/>
  <c r="D69" i="13"/>
  <c r="E69" i="13"/>
  <c r="D70" i="13"/>
  <c r="E70" i="13"/>
  <c r="D71" i="13"/>
  <c r="E71" i="13"/>
  <c r="D73" i="13"/>
  <c r="E73" i="13"/>
  <c r="D75" i="13"/>
  <c r="E75" i="13"/>
  <c r="D76" i="13"/>
  <c r="E76" i="13"/>
  <c r="D78" i="13"/>
  <c r="E78" i="13"/>
  <c r="D79" i="13"/>
  <c r="E79" i="13"/>
  <c r="D80" i="13"/>
  <c r="E80" i="13"/>
  <c r="D81" i="13"/>
  <c r="E81" i="13"/>
  <c r="D82" i="13"/>
  <c r="E82" i="13"/>
  <c r="D84" i="13"/>
  <c r="E84" i="13"/>
  <c r="D85" i="13"/>
  <c r="E85" i="13"/>
  <c r="D86" i="13"/>
  <c r="E86" i="13"/>
  <c r="D87" i="13"/>
  <c r="E87" i="13"/>
  <c r="D88" i="13"/>
  <c r="E88" i="13"/>
  <c r="B55" i="100"/>
  <c r="B59" i="100"/>
  <c r="B66" i="100"/>
  <c r="B68" i="100"/>
  <c r="B78" i="100"/>
  <c r="B81" i="100"/>
  <c r="B83" i="100"/>
  <c r="B84" i="100"/>
  <c r="B85" i="100"/>
  <c r="B87" i="100"/>
  <c r="C17" i="154"/>
  <c r="C39" i="154"/>
  <c r="D62" i="13"/>
  <c r="E62" i="13"/>
  <c r="C11" i="13"/>
  <c r="C15" i="13"/>
  <c r="C16" i="13"/>
  <c r="C17" i="13"/>
  <c r="C19" i="13"/>
  <c r="C20" i="13"/>
  <c r="C21" i="13"/>
  <c r="C22" i="13"/>
  <c r="C26" i="13"/>
  <c r="C29" i="13"/>
  <c r="C34" i="13"/>
  <c r="C37" i="13"/>
  <c r="C38" i="13"/>
  <c r="C40" i="13"/>
  <c r="B67" i="12"/>
  <c r="B74" i="12"/>
  <c r="G55" i="8"/>
  <c r="G56" i="8"/>
  <c r="P56" i="8" s="1"/>
  <c r="G57" i="8"/>
  <c r="P57" i="8" s="1"/>
  <c r="G66" i="8"/>
  <c r="P66" i="8" s="1"/>
  <c r="G67" i="8"/>
  <c r="P67" i="8" s="1"/>
  <c r="G74" i="8"/>
  <c r="P74" i="8" s="1"/>
  <c r="G75" i="8"/>
  <c r="G76" i="8"/>
  <c r="P76" i="8" s="1"/>
  <c r="G82" i="8"/>
  <c r="G83" i="8"/>
  <c r="G54" i="8"/>
  <c r="H31" i="256"/>
  <c r="E6" i="256"/>
  <c r="E7" i="256"/>
  <c r="B8" i="256"/>
  <c r="C8" i="256"/>
  <c r="D8" i="256"/>
  <c r="C9" i="256"/>
  <c r="D9" i="256"/>
  <c r="C10" i="256"/>
  <c r="I25" i="256"/>
  <c r="J25" i="256"/>
  <c r="U100" i="184"/>
  <c r="G36" i="184"/>
  <c r="E14" i="187" s="1"/>
  <c r="G100" i="184"/>
  <c r="C13" i="187" s="1"/>
  <c r="U36" i="184"/>
  <c r="C23" i="188" s="1"/>
  <c r="V36" i="184"/>
  <c r="C21" i="188" s="1"/>
  <c r="E12" i="187" s="1"/>
  <c r="V100" i="184"/>
  <c r="C12" i="187" s="1"/>
  <c r="D36" i="184"/>
  <c r="C20" i="188" s="1"/>
  <c r="E11" i="187" s="1"/>
  <c r="P36" i="184"/>
  <c r="T36" i="184"/>
  <c r="C15" i="188" s="1"/>
  <c r="D100" i="184"/>
  <c r="P100" i="184"/>
  <c r="C10" i="187" s="1"/>
  <c r="T100" i="184"/>
  <c r="T101" i="184" s="1"/>
  <c r="AE90" i="184"/>
  <c r="AE89" i="184"/>
  <c r="AE88" i="184"/>
  <c r="AE84" i="184"/>
  <c r="AE75" i="184"/>
  <c r="AE72" i="184"/>
  <c r="AE36" i="184"/>
  <c r="AB100" i="184"/>
  <c r="AB101" i="184" s="1"/>
  <c r="X100" i="184"/>
  <c r="X101" i="184" s="1"/>
  <c r="L100" i="184"/>
  <c r="L101" i="184" s="1"/>
  <c r="H100" i="184"/>
  <c r="H101" i="184" s="1"/>
  <c r="AD100" i="184"/>
  <c r="AD101" i="184" s="1"/>
  <c r="AC100" i="184"/>
  <c r="AC101" i="184" s="1"/>
  <c r="AA100" i="184"/>
  <c r="AA101" i="184" s="1"/>
  <c r="Z100" i="184"/>
  <c r="Z101" i="184" s="1"/>
  <c r="Y100" i="184"/>
  <c r="Y101" i="184" s="1"/>
  <c r="W100" i="184"/>
  <c r="W101" i="184" s="1"/>
  <c r="S100" i="184"/>
  <c r="S101" i="184" s="1"/>
  <c r="R100" i="184"/>
  <c r="R101" i="184" s="1"/>
  <c r="Q100" i="184"/>
  <c r="Q101" i="184" s="1"/>
  <c r="O100" i="184"/>
  <c r="O101" i="184" s="1"/>
  <c r="N100" i="184"/>
  <c r="N101" i="184" s="1"/>
  <c r="M100" i="184"/>
  <c r="M101" i="184" s="1"/>
  <c r="K100" i="184"/>
  <c r="K101" i="184" s="1"/>
  <c r="J100" i="184"/>
  <c r="J101" i="184" s="1"/>
  <c r="I100" i="184"/>
  <c r="I101" i="184" s="1"/>
  <c r="F100" i="184"/>
  <c r="F101" i="184" s="1"/>
  <c r="E100" i="184"/>
  <c r="E101" i="184" s="1"/>
  <c r="C100" i="184"/>
  <c r="C101" i="184" s="1"/>
  <c r="AD68" i="184"/>
  <c r="AD69" i="184" s="1"/>
  <c r="AC68" i="184"/>
  <c r="AC69" i="184" s="1"/>
  <c r="AB68" i="184"/>
  <c r="AB69" i="184" s="1"/>
  <c r="AA68" i="184"/>
  <c r="AA69" i="184" s="1"/>
  <c r="Z68" i="184"/>
  <c r="Z69" i="184" s="1"/>
  <c r="Y68" i="184"/>
  <c r="Y69" i="184" s="1"/>
  <c r="X68" i="184"/>
  <c r="X69" i="184" s="1"/>
  <c r="W68" i="184"/>
  <c r="W69" i="184" s="1"/>
  <c r="V68" i="184"/>
  <c r="V69" i="184" s="1"/>
  <c r="U68" i="184"/>
  <c r="U69" i="184" s="1"/>
  <c r="T68" i="184"/>
  <c r="T69" i="184" s="1"/>
  <c r="S68" i="184"/>
  <c r="S69" i="184" s="1"/>
  <c r="R68" i="184"/>
  <c r="R69" i="184" s="1"/>
  <c r="Q68" i="184"/>
  <c r="Q69" i="184" s="1"/>
  <c r="P68" i="184"/>
  <c r="P69" i="184" s="1"/>
  <c r="O68" i="184"/>
  <c r="O69" i="184" s="1"/>
  <c r="N68" i="184"/>
  <c r="N69" i="184" s="1"/>
  <c r="M68" i="184"/>
  <c r="M69" i="184" s="1"/>
  <c r="L68" i="184"/>
  <c r="L69" i="184" s="1"/>
  <c r="K68" i="184"/>
  <c r="K69" i="184" s="1"/>
  <c r="J68" i="184"/>
  <c r="J69" i="184" s="1"/>
  <c r="I68" i="184"/>
  <c r="I69" i="184" s="1"/>
  <c r="H68" i="184"/>
  <c r="H69" i="184" s="1"/>
  <c r="G68" i="184"/>
  <c r="G69" i="184" s="1"/>
  <c r="F68" i="184"/>
  <c r="F69" i="184" s="1"/>
  <c r="E68" i="184"/>
  <c r="E69" i="184" s="1"/>
  <c r="D68" i="184"/>
  <c r="D69" i="184" s="1"/>
  <c r="C68" i="184"/>
  <c r="C69" i="184" s="1"/>
  <c r="AD36" i="184"/>
  <c r="AD37" i="184" s="1"/>
  <c r="AC36" i="184"/>
  <c r="AC37" i="184" s="1"/>
  <c r="AB36" i="184"/>
  <c r="AB37" i="184" s="1"/>
  <c r="AA36" i="184"/>
  <c r="AA37" i="184" s="1"/>
  <c r="Z36" i="184"/>
  <c r="Z37" i="184" s="1"/>
  <c r="Y36" i="184"/>
  <c r="Y37" i="184" s="1"/>
  <c r="X36" i="184"/>
  <c r="X37" i="184" s="1"/>
  <c r="W36" i="184"/>
  <c r="W37" i="184" s="1"/>
  <c r="S36" i="184"/>
  <c r="S37" i="184" s="1"/>
  <c r="R36" i="184"/>
  <c r="R37" i="184" s="1"/>
  <c r="Q36" i="184"/>
  <c r="Q37" i="184" s="1"/>
  <c r="O36" i="184"/>
  <c r="O37" i="184" s="1"/>
  <c r="N36" i="184"/>
  <c r="N37" i="184" s="1"/>
  <c r="M36" i="184"/>
  <c r="M37" i="184" s="1"/>
  <c r="L36" i="184"/>
  <c r="L37" i="184" s="1"/>
  <c r="K36" i="184"/>
  <c r="K37" i="184" s="1"/>
  <c r="J36" i="184"/>
  <c r="J37" i="184" s="1"/>
  <c r="I36" i="184"/>
  <c r="I37" i="184" s="1"/>
  <c r="H36" i="184"/>
  <c r="H37" i="184" s="1"/>
  <c r="F36" i="184"/>
  <c r="F37" i="184" s="1"/>
  <c r="E36" i="184"/>
  <c r="E37" i="184" s="1"/>
  <c r="C36" i="184"/>
  <c r="C37" i="184" s="1"/>
  <c r="C13" i="188"/>
  <c r="C12" i="188"/>
  <c r="AE66" i="184"/>
  <c r="AE65" i="184"/>
  <c r="AE64" i="184"/>
  <c r="AE63" i="184"/>
  <c r="AE62" i="184"/>
  <c r="AE61" i="184"/>
  <c r="AE60" i="184"/>
  <c r="AE59" i="184"/>
  <c r="AE58" i="184"/>
  <c r="AE57" i="184"/>
  <c r="AE56" i="184"/>
  <c r="AE55" i="184"/>
  <c r="AE54" i="184"/>
  <c r="AE53" i="184"/>
  <c r="AE52" i="184"/>
  <c r="AE51" i="184"/>
  <c r="AE50" i="184"/>
  <c r="AE49" i="184"/>
  <c r="AE48" i="184"/>
  <c r="AE47" i="184"/>
  <c r="AE46" i="184"/>
  <c r="AE45" i="184"/>
  <c r="AE44" i="184"/>
  <c r="AE43" i="184"/>
  <c r="AE40" i="184"/>
  <c r="AE42" i="184"/>
  <c r="AE41" i="184"/>
  <c r="AE39" i="184"/>
  <c r="AE98" i="184"/>
  <c r="AE97" i="184"/>
  <c r="AE96" i="184"/>
  <c r="AE95" i="184"/>
  <c r="AE94" i="184"/>
  <c r="AE93" i="184"/>
  <c r="AE92" i="184"/>
  <c r="AE91" i="184"/>
  <c r="AE87" i="184"/>
  <c r="AE86" i="184"/>
  <c r="AE85" i="184"/>
  <c r="AE83" i="184"/>
  <c r="AE82" i="184"/>
  <c r="AE81" i="184"/>
  <c r="AE80" i="184"/>
  <c r="AE79" i="184"/>
  <c r="AE78" i="184"/>
  <c r="AE77" i="184"/>
  <c r="AE76" i="184"/>
  <c r="AE74" i="184"/>
  <c r="AE73" i="184"/>
  <c r="AE71" i="184"/>
  <c r="AF44" i="167"/>
  <c r="AH44" i="167"/>
  <c r="AI44" i="167"/>
  <c r="AM44" i="167"/>
  <c r="AN44" i="167"/>
  <c r="AE44" i="167"/>
  <c r="D8" i="162"/>
  <c r="E8" i="162" s="1"/>
  <c r="I101" i="54"/>
  <c r="E91" i="59"/>
  <c r="E93" i="59"/>
  <c r="E94" i="59"/>
  <c r="E95" i="59"/>
  <c r="E97" i="59"/>
  <c r="E98" i="59"/>
  <c r="E99" i="59"/>
  <c r="E101" i="59"/>
  <c r="E102" i="59"/>
  <c r="E103" i="59"/>
  <c r="E105" i="59"/>
  <c r="E106" i="59"/>
  <c r="E107" i="59"/>
  <c r="E109" i="59"/>
  <c r="E110" i="59"/>
  <c r="E111" i="59"/>
  <c r="E113" i="59"/>
  <c r="E114" i="59"/>
  <c r="E115" i="59"/>
  <c r="E117" i="59"/>
  <c r="E118" i="59"/>
  <c r="E119" i="59"/>
  <c r="E121" i="59"/>
  <c r="E122" i="59"/>
  <c r="E123" i="59"/>
  <c r="E125" i="59"/>
  <c r="E126" i="59"/>
  <c r="E127" i="59"/>
  <c r="E129" i="59"/>
  <c r="E130" i="59"/>
  <c r="E131" i="59"/>
  <c r="E133" i="59"/>
  <c r="E134" i="59"/>
  <c r="E135" i="59"/>
  <c r="E137" i="59"/>
  <c r="E138" i="59"/>
  <c r="E139" i="59"/>
  <c r="E141" i="59"/>
  <c r="E142" i="59"/>
  <c r="E143" i="59"/>
  <c r="E145" i="59"/>
  <c r="E146" i="59"/>
  <c r="E147" i="59"/>
  <c r="E149" i="59"/>
  <c r="E150" i="59"/>
  <c r="E151" i="59"/>
  <c r="E153" i="59"/>
  <c r="E154" i="59"/>
  <c r="E155" i="59"/>
  <c r="E158" i="59"/>
  <c r="E159" i="59"/>
  <c r="E161" i="59"/>
  <c r="E162" i="59"/>
  <c r="E163" i="59"/>
  <c r="E165" i="59"/>
  <c r="E166" i="59"/>
  <c r="E167" i="59"/>
  <c r="E169" i="59"/>
  <c r="E170" i="59"/>
  <c r="E171" i="59"/>
  <c r="E173" i="59"/>
  <c r="E174" i="59"/>
  <c r="E175" i="59"/>
  <c r="E177" i="59"/>
  <c r="E178" i="59"/>
  <c r="E179" i="59"/>
  <c r="E181" i="59"/>
  <c r="E182" i="59"/>
  <c r="E183" i="59"/>
  <c r="E185" i="59"/>
  <c r="E186" i="59"/>
  <c r="E187" i="59"/>
  <c r="E189" i="59"/>
  <c r="E190" i="59"/>
  <c r="E191" i="59"/>
  <c r="E193" i="59"/>
  <c r="E194" i="59"/>
  <c r="E195" i="59"/>
  <c r="E197" i="59"/>
  <c r="E198" i="59"/>
  <c r="E199" i="59"/>
  <c r="E201" i="59"/>
  <c r="E202" i="59"/>
  <c r="E203" i="59"/>
  <c r="E205" i="59"/>
  <c r="E206" i="59"/>
  <c r="E207" i="59"/>
  <c r="E209" i="59"/>
  <c r="E210" i="59"/>
  <c r="E211" i="59"/>
  <c r="E213" i="59"/>
  <c r="E214" i="59"/>
  <c r="E215" i="59"/>
  <c r="E217" i="59"/>
  <c r="E218" i="59"/>
  <c r="E219" i="59"/>
  <c r="N53"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Q150" i="59" s="1"/>
  <c r="N151" i="59"/>
  <c r="N152" i="59"/>
  <c r="N153" i="59"/>
  <c r="N154" i="59"/>
  <c r="N155" i="59"/>
  <c r="N156"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Q181" i="59" s="1"/>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Q215" i="59" s="1"/>
  <c r="N216" i="59"/>
  <c r="N217" i="59"/>
  <c r="N218" i="59"/>
  <c r="M45" i="59"/>
  <c r="M9" i="59"/>
  <c r="G51" i="168"/>
  <c r="G50" i="168"/>
  <c r="G49" i="168"/>
  <c r="G48" i="168"/>
  <c r="G47" i="168"/>
  <c r="G46" i="168"/>
  <c r="G45" i="168"/>
  <c r="G44" i="168"/>
  <c r="G43" i="168"/>
  <c r="G42" i="168"/>
  <c r="G41" i="168"/>
  <c r="G40" i="168"/>
  <c r="G39" i="168"/>
  <c r="G38" i="168"/>
  <c r="G37" i="168"/>
  <c r="G36" i="168"/>
  <c r="G35" i="168"/>
  <c r="G34" i="168"/>
  <c r="G33" i="168"/>
  <c r="G32" i="168"/>
  <c r="G31" i="168"/>
  <c r="G30" i="168"/>
  <c r="G29" i="168"/>
  <c r="G28" i="168"/>
  <c r="G27" i="168"/>
  <c r="G26" i="168"/>
  <c r="G25" i="168"/>
  <c r="G24" i="168"/>
  <c r="G23" i="168"/>
  <c r="G22" i="168"/>
  <c r="G21" i="168"/>
  <c r="G20" i="168"/>
  <c r="G19" i="168"/>
  <c r="G18" i="168"/>
  <c r="G17" i="168"/>
  <c r="G16" i="168"/>
  <c r="G15" i="168"/>
  <c r="G14" i="168"/>
  <c r="G13" i="168"/>
  <c r="G12" i="168"/>
  <c r="G11" i="168"/>
  <c r="G10" i="168"/>
  <c r="G9" i="168"/>
  <c r="G8" i="168"/>
  <c r="G7" i="168"/>
  <c r="G6" i="168"/>
  <c r="D6" i="167"/>
  <c r="E6" i="167" s="1"/>
  <c r="F6" i="167" s="1"/>
  <c r="G6" i="167" s="1"/>
  <c r="H6" i="167" s="1"/>
  <c r="I6" i="167" s="1"/>
  <c r="J6" i="167" s="1"/>
  <c r="K6" i="167" s="1"/>
  <c r="L6" i="167" s="1"/>
  <c r="M6" i="167" s="1"/>
  <c r="N6" i="167" s="1"/>
  <c r="O6" i="167" s="1"/>
  <c r="P6" i="167" s="1"/>
  <c r="Q6" i="167" s="1"/>
  <c r="R6" i="167" s="1"/>
  <c r="S6" i="167" s="1"/>
  <c r="T6" i="167" s="1"/>
  <c r="U6" i="167" s="1"/>
  <c r="V6" i="167" s="1"/>
  <c r="W6" i="167" s="1"/>
  <c r="X6" i="167" s="1"/>
  <c r="Y6" i="167" s="1"/>
  <c r="Z6" i="167" s="1"/>
  <c r="AA6" i="167" s="1"/>
  <c r="AB6" i="167" s="1"/>
  <c r="AC6" i="167" s="1"/>
  <c r="AD6" i="167" s="1"/>
  <c r="AE6" i="167" s="1"/>
  <c r="AF6" i="167" s="1"/>
  <c r="AG6" i="167" s="1"/>
  <c r="AH6" i="167" s="1"/>
  <c r="AI6" i="167" s="1"/>
  <c r="AJ6" i="167" s="1"/>
  <c r="AK6" i="167" s="1"/>
  <c r="B59" i="127"/>
  <c r="B63" i="127"/>
  <c r="B70" i="127"/>
  <c r="B72" i="127"/>
  <c r="B82" i="127"/>
  <c r="B85" i="127"/>
  <c r="B87" i="127"/>
  <c r="B88" i="127"/>
  <c r="B89" i="127"/>
  <c r="B90" i="127"/>
  <c r="B91" i="127"/>
  <c r="I9" i="160"/>
  <c r="E44" i="155"/>
  <c r="E91" i="155" s="1"/>
  <c r="D44" i="155"/>
  <c r="B88" i="155"/>
  <c r="B87" i="155"/>
  <c r="B86" i="155"/>
  <c r="B85" i="155"/>
  <c r="B84" i="155"/>
  <c r="B83" i="155"/>
  <c r="B82" i="155"/>
  <c r="B81" i="155"/>
  <c r="B80" i="155"/>
  <c r="B79" i="155"/>
  <c r="B78" i="155"/>
  <c r="B77" i="155"/>
  <c r="B76" i="155"/>
  <c r="B75" i="155"/>
  <c r="B74" i="155"/>
  <c r="B73" i="155"/>
  <c r="B72" i="155"/>
  <c r="B71" i="155"/>
  <c r="B70" i="155"/>
  <c r="B69" i="155"/>
  <c r="B68" i="155"/>
  <c r="B67" i="155"/>
  <c r="B66" i="155"/>
  <c r="B65" i="155"/>
  <c r="B64" i="155"/>
  <c r="B63" i="155"/>
  <c r="B62" i="155"/>
  <c r="B61" i="155"/>
  <c r="B60" i="155"/>
  <c r="B59" i="155"/>
  <c r="B58" i="155"/>
  <c r="B57" i="155"/>
  <c r="B56" i="155"/>
  <c r="B55" i="155"/>
  <c r="B54" i="155"/>
  <c r="B53" i="155"/>
  <c r="B93" i="154"/>
  <c r="B90" i="154"/>
  <c r="B89" i="154"/>
  <c r="B88" i="154"/>
  <c r="B87" i="154"/>
  <c r="B86" i="154"/>
  <c r="B84" i="154"/>
  <c r="B81" i="154"/>
  <c r="B71" i="154"/>
  <c r="B69" i="154"/>
  <c r="B62" i="154"/>
  <c r="B58" i="154"/>
  <c r="L38" i="54"/>
  <c r="L96" i="54"/>
  <c r="L95" i="54"/>
  <c r="L90" i="54"/>
  <c r="L89" i="54"/>
  <c r="L88" i="54"/>
  <c r="L85" i="54"/>
  <c r="L82" i="54"/>
  <c r="L81" i="54"/>
  <c r="L79" i="54"/>
  <c r="L78" i="54"/>
  <c r="L69" i="54"/>
  <c r="L63" i="54"/>
  <c r="L62" i="54"/>
  <c r="L60" i="54"/>
  <c r="L56" i="54"/>
  <c r="L54" i="54"/>
  <c r="L50" i="54"/>
  <c r="L49" i="54"/>
  <c r="L48" i="54"/>
  <c r="L47" i="54"/>
  <c r="L44" i="54"/>
  <c r="L42" i="54"/>
  <c r="L40" i="54"/>
  <c r="L37" i="54"/>
  <c r="L36" i="54"/>
  <c r="L35" i="54"/>
  <c r="L34" i="54"/>
  <c r="L33" i="54"/>
  <c r="L31" i="54"/>
  <c r="L30" i="54"/>
  <c r="L27" i="54"/>
  <c r="L26" i="54"/>
  <c r="L25" i="54"/>
  <c r="L24" i="54"/>
  <c r="L22" i="54"/>
  <c r="L19" i="54"/>
  <c r="L18" i="54"/>
  <c r="L17" i="54"/>
  <c r="L16" i="54"/>
  <c r="L15" i="54"/>
  <c r="L13" i="54"/>
  <c r="L11" i="54"/>
  <c r="L9" i="54"/>
  <c r="G46" i="21"/>
  <c r="B46" i="15" s="1"/>
  <c r="I91" i="60"/>
  <c r="K90" i="21"/>
  <c r="F72" i="60"/>
  <c r="F89" i="60"/>
  <c r="G93" i="60"/>
  <c r="W11" i="21"/>
  <c r="W13" i="21"/>
  <c r="W16" i="21"/>
  <c r="W19" i="21"/>
  <c r="B26" i="24"/>
  <c r="W29" i="21"/>
  <c r="M31" i="21"/>
  <c r="W31" i="21" s="1"/>
  <c r="W33" i="21"/>
  <c r="D36" i="24"/>
  <c r="W39" i="21"/>
  <c r="W40" i="21"/>
  <c r="M43" i="21"/>
  <c r="W43" i="21" s="1"/>
  <c r="M49" i="21"/>
  <c r="W49" i="21" s="1"/>
  <c r="M51" i="21"/>
  <c r="M52" i="21"/>
  <c r="W52" i="21" s="1"/>
  <c r="M55" i="21"/>
  <c r="D55" i="24" s="1"/>
  <c r="M57" i="21"/>
  <c r="D57" i="24" s="1"/>
  <c r="M58" i="21"/>
  <c r="W58" i="21" s="1"/>
  <c r="M59" i="21"/>
  <c r="D59" i="24" s="1"/>
  <c r="M61" i="21"/>
  <c r="P61" i="21"/>
  <c r="M64" i="21"/>
  <c r="W64" i="21" s="1"/>
  <c r="M65" i="21"/>
  <c r="M68" i="21"/>
  <c r="M70" i="21"/>
  <c r="D70" i="24" s="1"/>
  <c r="M74" i="21"/>
  <c r="D74" i="24" s="1"/>
  <c r="M75" i="21"/>
  <c r="M77" i="21"/>
  <c r="D77" i="24" s="1"/>
  <c r="M78" i="21"/>
  <c r="M79" i="21"/>
  <c r="M80" i="21"/>
  <c r="W80" i="21" s="1"/>
  <c r="M82" i="21"/>
  <c r="D82" i="24" s="1"/>
  <c r="M83" i="21"/>
  <c r="M85" i="21"/>
  <c r="D85" i="24" s="1"/>
  <c r="M87" i="21"/>
  <c r="D87" i="24" s="1"/>
  <c r="M88" i="21"/>
  <c r="D88" i="24" s="1"/>
  <c r="M50" i="21"/>
  <c r="W50" i="21" s="1"/>
  <c r="W15" i="21"/>
  <c r="W20" i="21"/>
  <c r="W23" i="21"/>
  <c r="W28" i="21"/>
  <c r="W34" i="21"/>
  <c r="W35" i="21"/>
  <c r="W37" i="21"/>
  <c r="W38" i="21"/>
  <c r="D41" i="24"/>
  <c r="D46" i="24"/>
  <c r="E10" i="24"/>
  <c r="E12" i="24"/>
  <c r="E13" i="24"/>
  <c r="G14" i="24"/>
  <c r="E18" i="24"/>
  <c r="X28" i="21"/>
  <c r="E32" i="24"/>
  <c r="G32" i="24"/>
  <c r="E34" i="24"/>
  <c r="E36" i="24"/>
  <c r="G36" i="24"/>
  <c r="J36" i="24" s="1"/>
  <c r="E40" i="24"/>
  <c r="G44" i="24"/>
  <c r="E47" i="24"/>
  <c r="P80" i="21"/>
  <c r="F46" i="24"/>
  <c r="P60" i="21"/>
  <c r="G15" i="24"/>
  <c r="F23" i="24"/>
  <c r="X27" i="21"/>
  <c r="F30" i="24"/>
  <c r="F34" i="24"/>
  <c r="G23" i="24"/>
  <c r="I56" i="60"/>
  <c r="I57" i="60"/>
  <c r="I58" i="60"/>
  <c r="I59" i="60"/>
  <c r="I60" i="60"/>
  <c r="I61" i="60"/>
  <c r="I62" i="60"/>
  <c r="I63" i="60"/>
  <c r="I64" i="60"/>
  <c r="I65" i="60"/>
  <c r="I66" i="60"/>
  <c r="I67" i="60"/>
  <c r="I68" i="60"/>
  <c r="I69" i="60"/>
  <c r="I70" i="60"/>
  <c r="I71" i="60"/>
  <c r="I72" i="60"/>
  <c r="I73" i="60"/>
  <c r="I74" i="60"/>
  <c r="I75" i="60"/>
  <c r="I76" i="60"/>
  <c r="I77" i="60"/>
  <c r="I78" i="60"/>
  <c r="I79" i="60"/>
  <c r="I80" i="60"/>
  <c r="I81" i="60"/>
  <c r="I82" i="60"/>
  <c r="I83" i="60"/>
  <c r="I84" i="60"/>
  <c r="I85" i="60"/>
  <c r="I86" i="60"/>
  <c r="I87" i="60"/>
  <c r="I88" i="60"/>
  <c r="I89" i="60"/>
  <c r="I90" i="60"/>
  <c r="H93" i="60"/>
  <c r="F59" i="60"/>
  <c r="F60" i="60"/>
  <c r="F61" i="60"/>
  <c r="F63" i="60"/>
  <c r="F64" i="60"/>
  <c r="F67" i="60"/>
  <c r="F68" i="60"/>
  <c r="F70" i="60"/>
  <c r="F71" i="60"/>
  <c r="F74" i="60"/>
  <c r="F75" i="60"/>
  <c r="F79" i="60"/>
  <c r="F80" i="60"/>
  <c r="F83" i="60"/>
  <c r="F86" i="60"/>
  <c r="F87" i="60"/>
  <c r="F88" i="60"/>
  <c r="F90" i="60"/>
  <c r="F56" i="60"/>
  <c r="F93" i="60"/>
  <c r="E93" i="60"/>
  <c r="AG45" i="98"/>
  <c r="AG46" i="98"/>
  <c r="AG49" i="98"/>
  <c r="AG50" i="98"/>
  <c r="AG51" i="98"/>
  <c r="AD10" i="98"/>
  <c r="AD11" i="98"/>
  <c r="AD14" i="98"/>
  <c r="AD15" i="98"/>
  <c r="AD16" i="98"/>
  <c r="AD17" i="98"/>
  <c r="AD18" i="98"/>
  <c r="AD19" i="98"/>
  <c r="AD20" i="98"/>
  <c r="AD21" i="98"/>
  <c r="AD23" i="98"/>
  <c r="AD25" i="98"/>
  <c r="AD28" i="98"/>
  <c r="AD29" i="98"/>
  <c r="AD34" i="98"/>
  <c r="AD35" i="98"/>
  <c r="AD36" i="98"/>
  <c r="AD37" i="98"/>
  <c r="AD38" i="98"/>
  <c r="AD39" i="98"/>
  <c r="AD40" i="98"/>
  <c r="AD42" i="98"/>
  <c r="U53" i="21"/>
  <c r="H54" i="15"/>
  <c r="H55" i="15"/>
  <c r="H56" i="15"/>
  <c r="H57" i="15"/>
  <c r="H58" i="15"/>
  <c r="H59" i="15"/>
  <c r="H60" i="15"/>
  <c r="H61" i="15"/>
  <c r="H62" i="15"/>
  <c r="H63" i="15"/>
  <c r="H64" i="15"/>
  <c r="H65" i="15"/>
  <c r="H66" i="15"/>
  <c r="H67" i="15"/>
  <c r="H68" i="15"/>
  <c r="H69" i="15"/>
  <c r="H70" i="15"/>
  <c r="H71" i="15"/>
  <c r="H72" i="15"/>
  <c r="H73" i="15"/>
  <c r="H74" i="15"/>
  <c r="H75" i="15"/>
  <c r="H76" i="15"/>
  <c r="H77" i="15"/>
  <c r="H78" i="15"/>
  <c r="B79" i="15"/>
  <c r="H79" i="15"/>
  <c r="M79" i="15"/>
  <c r="H80" i="15"/>
  <c r="H81" i="15"/>
  <c r="H82" i="15"/>
  <c r="H83" i="15"/>
  <c r="B84" i="15"/>
  <c r="H84" i="15"/>
  <c r="H85" i="15"/>
  <c r="H86" i="15"/>
  <c r="B87" i="15"/>
  <c r="H87" i="15"/>
  <c r="H88" i="15"/>
  <c r="H89" i="15"/>
  <c r="B58" i="126"/>
  <c r="B62" i="126"/>
  <c r="B69" i="126"/>
  <c r="B71" i="126"/>
  <c r="B81" i="126"/>
  <c r="B84" i="126"/>
  <c r="B86" i="126"/>
  <c r="B87" i="126"/>
  <c r="B88" i="126"/>
  <c r="B89" i="126"/>
  <c r="B90" i="126"/>
  <c r="B94" i="126"/>
  <c r="B57" i="128"/>
  <c r="B61" i="128"/>
  <c r="B68" i="128"/>
  <c r="B70" i="128"/>
  <c r="B80" i="128"/>
  <c r="B83" i="128"/>
  <c r="B85" i="128"/>
  <c r="B86" i="128"/>
  <c r="B87" i="128"/>
  <c r="B88" i="128"/>
  <c r="B89" i="128"/>
  <c r="B93" i="128"/>
  <c r="B95" i="127"/>
  <c r="Q33" i="9"/>
  <c r="D101" i="26"/>
  <c r="D99" i="26"/>
  <c r="D101" i="54"/>
  <c r="D99" i="54"/>
  <c r="T54" i="28"/>
  <c r="B43" i="24"/>
  <c r="S54" i="28"/>
  <c r="V53" i="21"/>
  <c r="W27" i="21"/>
  <c r="W45" i="21"/>
  <c r="X45" i="21"/>
  <c r="W53" i="21"/>
  <c r="X53" i="21"/>
  <c r="W63" i="21"/>
  <c r="X63" i="21"/>
  <c r="W89" i="21"/>
  <c r="X89" i="21"/>
  <c r="U45" i="21"/>
  <c r="B48" i="14"/>
  <c r="B49" i="14"/>
  <c r="B50" i="14"/>
  <c r="V45" i="21"/>
  <c r="S53" i="21"/>
  <c r="T53" i="21"/>
  <c r="U54" i="27"/>
  <c r="U54" i="29"/>
  <c r="C93" i="60"/>
  <c r="B50" i="99"/>
  <c r="A27" i="99"/>
  <c r="M8" i="102"/>
  <c r="M11" i="102"/>
  <c r="M12" i="102"/>
  <c r="M16" i="102"/>
  <c r="M17" i="102"/>
  <c r="M19" i="102"/>
  <c r="M24" i="102"/>
  <c r="I40" i="102"/>
  <c r="J40" i="102"/>
  <c r="K40" i="102"/>
  <c r="L40" i="102"/>
  <c r="C40" i="102"/>
  <c r="D40" i="102"/>
  <c r="E40" i="102"/>
  <c r="F40" i="102"/>
  <c r="G8" i="102"/>
  <c r="G9" i="102"/>
  <c r="G10" i="102"/>
  <c r="G11" i="102"/>
  <c r="G12" i="102"/>
  <c r="G13" i="102"/>
  <c r="G14" i="102"/>
  <c r="G15" i="102"/>
  <c r="G16" i="102"/>
  <c r="G17" i="102"/>
  <c r="G18" i="102"/>
  <c r="G19" i="102"/>
  <c r="G20" i="102"/>
  <c r="G21" i="102"/>
  <c r="G22" i="102"/>
  <c r="G23" i="102"/>
  <c r="G24" i="102"/>
  <c r="G25" i="102"/>
  <c r="G27" i="102"/>
  <c r="G28" i="102"/>
  <c r="G29" i="102"/>
  <c r="G30" i="102"/>
  <c r="G31" i="102"/>
  <c r="G32" i="102"/>
  <c r="G33" i="102"/>
  <c r="G34" i="102"/>
  <c r="B40" i="102"/>
  <c r="H87" i="59"/>
  <c r="J87" i="59" s="1"/>
  <c r="K87" i="59" s="1"/>
  <c r="J90" i="59"/>
  <c r="J45" i="59"/>
  <c r="J9" i="59"/>
  <c r="K90" i="59"/>
  <c r="K45" i="59"/>
  <c r="Q92" i="59"/>
  <c r="Q94" i="59"/>
  <c r="Q101" i="59"/>
  <c r="Q102" i="59"/>
  <c r="Q106" i="59"/>
  <c r="Q107" i="59"/>
  <c r="Q111" i="59"/>
  <c r="Q113" i="59"/>
  <c r="Q114" i="59"/>
  <c r="Q115" i="59"/>
  <c r="Q117" i="59"/>
  <c r="Q118" i="59"/>
  <c r="Q119" i="59"/>
  <c r="Q122" i="59"/>
  <c r="Q123" i="59"/>
  <c r="Q127" i="59"/>
  <c r="Q129" i="59"/>
  <c r="Q132" i="59"/>
  <c r="Q134" i="59"/>
  <c r="Q135" i="59"/>
  <c r="Q137" i="59"/>
  <c r="Q140" i="59"/>
  <c r="Q141" i="59"/>
  <c r="Q143" i="59"/>
  <c r="Q144" i="59"/>
  <c r="Q145" i="59"/>
  <c r="Q147" i="59"/>
  <c r="Q149" i="59"/>
  <c r="Q153" i="59"/>
  <c r="Q155" i="59"/>
  <c r="Q161" i="59"/>
  <c r="Q162" i="59"/>
  <c r="Q163" i="59"/>
  <c r="Q165" i="59"/>
  <c r="Q168" i="59"/>
  <c r="Q169" i="59"/>
  <c r="Q172" i="59"/>
  <c r="Q174" i="59"/>
  <c r="Q177" i="59"/>
  <c r="Q180" i="59"/>
  <c r="Q182" i="59"/>
  <c r="Q184" i="59"/>
  <c r="Q187" i="59"/>
  <c r="Q188" i="59"/>
  <c r="Q191" i="59"/>
  <c r="Q193" i="59"/>
  <c r="Q195" i="59"/>
  <c r="Q196" i="59"/>
  <c r="Q197" i="59"/>
  <c r="Q198" i="59"/>
  <c r="Q200" i="59"/>
  <c r="Q201" i="59"/>
  <c r="Q204" i="59"/>
  <c r="Q205" i="59"/>
  <c r="Q207" i="59"/>
  <c r="Q208" i="59"/>
  <c r="Q209" i="59"/>
  <c r="Q211" i="59"/>
  <c r="Q212" i="59"/>
  <c r="Q217" i="59"/>
  <c r="Q219" i="59"/>
  <c r="Q96" i="59"/>
  <c r="Q100" i="59"/>
  <c r="Q56" i="59"/>
  <c r="Q69" i="59"/>
  <c r="Q82" i="59"/>
  <c r="Q84" i="59"/>
  <c r="Q86" i="59"/>
  <c r="Q87" i="59"/>
  <c r="H91" i="59"/>
  <c r="H93" i="59"/>
  <c r="H94" i="59"/>
  <c r="H95" i="59"/>
  <c r="H97" i="59"/>
  <c r="H99" i="59"/>
  <c r="H101" i="59"/>
  <c r="H103" i="59"/>
  <c r="H105" i="59"/>
  <c r="H106" i="59"/>
  <c r="H107" i="59"/>
  <c r="H110" i="59"/>
  <c r="H111" i="59"/>
  <c r="H114" i="59"/>
  <c r="H115" i="59"/>
  <c r="H118" i="59"/>
  <c r="H121" i="59"/>
  <c r="H122" i="59"/>
  <c r="H123" i="59"/>
  <c r="H125" i="59"/>
  <c r="H126" i="59"/>
  <c r="H127" i="59"/>
  <c r="H129" i="59"/>
  <c r="H131" i="59"/>
  <c r="H133" i="59"/>
  <c r="H134" i="59"/>
  <c r="H135" i="59"/>
  <c r="H137" i="59"/>
  <c r="H138" i="59"/>
  <c r="H139" i="59"/>
  <c r="H141" i="59"/>
  <c r="H142" i="59"/>
  <c r="H143" i="59"/>
  <c r="H145" i="59"/>
  <c r="H146" i="59"/>
  <c r="H147" i="59"/>
  <c r="H149" i="59"/>
  <c r="H151" i="59"/>
  <c r="H153" i="59"/>
  <c r="H154" i="59"/>
  <c r="H155" i="59"/>
  <c r="H158" i="59"/>
  <c r="H159" i="59"/>
  <c r="H162" i="59"/>
  <c r="H163" i="59"/>
  <c r="H165" i="59"/>
  <c r="H166" i="59"/>
  <c r="H167" i="59"/>
  <c r="H169" i="59"/>
  <c r="H170" i="59"/>
  <c r="H171" i="59"/>
  <c r="H173" i="59"/>
  <c r="H174" i="59"/>
  <c r="H175" i="59"/>
  <c r="H177" i="59"/>
  <c r="H178" i="59"/>
  <c r="H179" i="59"/>
  <c r="H180" i="59"/>
  <c r="H182" i="59"/>
  <c r="H183" i="59"/>
  <c r="H186" i="59"/>
  <c r="H187" i="59"/>
  <c r="H188" i="59"/>
  <c r="H190" i="59"/>
  <c r="H191" i="59"/>
  <c r="H194" i="59"/>
  <c r="H195" i="59"/>
  <c r="H196" i="59"/>
  <c r="H197" i="59"/>
  <c r="H198" i="59"/>
  <c r="H199" i="59"/>
  <c r="H200" i="59"/>
  <c r="H202" i="59"/>
  <c r="H204" i="59"/>
  <c r="H205" i="59"/>
  <c r="H206" i="59"/>
  <c r="H207" i="59"/>
  <c r="H208" i="59"/>
  <c r="H209" i="59"/>
  <c r="H210" i="59"/>
  <c r="H211" i="59"/>
  <c r="H213" i="59"/>
  <c r="H216" i="59"/>
  <c r="H217" i="59"/>
  <c r="H218" i="59"/>
  <c r="H219" i="59"/>
  <c r="G9" i="59"/>
  <c r="H102" i="59"/>
  <c r="H150" i="59"/>
  <c r="H181" i="59"/>
  <c r="H215" i="59"/>
  <c r="H82" i="59"/>
  <c r="B93" i="101"/>
  <c r="B89" i="101"/>
  <c r="B88" i="101"/>
  <c r="B87" i="101"/>
  <c r="B86" i="101"/>
  <c r="B85" i="101"/>
  <c r="B83" i="101"/>
  <c r="B80" i="101"/>
  <c r="B70" i="101"/>
  <c r="B68" i="101"/>
  <c r="B61" i="101"/>
  <c r="B57" i="101"/>
  <c r="B86" i="100"/>
  <c r="C87" i="99"/>
  <c r="C86" i="99"/>
  <c r="C85" i="99"/>
  <c r="C84" i="99"/>
  <c r="C83" i="99"/>
  <c r="C81" i="99"/>
  <c r="C78" i="99"/>
  <c r="C68" i="99"/>
  <c r="C66" i="99"/>
  <c r="C59" i="99"/>
  <c r="C55" i="99"/>
  <c r="C87" i="98"/>
  <c r="C86" i="98"/>
  <c r="C85" i="98"/>
  <c r="C84" i="98"/>
  <c r="C83" i="98"/>
  <c r="C81" i="98"/>
  <c r="C78" i="98"/>
  <c r="C68" i="98"/>
  <c r="C66" i="98"/>
  <c r="C59" i="98"/>
  <c r="C55" i="98"/>
  <c r="N25" i="13"/>
  <c r="N26" i="13"/>
  <c r="N64" i="13"/>
  <c r="N62" i="13"/>
  <c r="N65" i="13"/>
  <c r="N83" i="13"/>
  <c r="N72" i="13"/>
  <c r="N91" i="13"/>
  <c r="F100" i="8"/>
  <c r="E26" i="24"/>
  <c r="P15" i="12"/>
  <c r="P19" i="12"/>
  <c r="P27" i="12"/>
  <c r="P33" i="12"/>
  <c r="P34" i="12"/>
  <c r="P42" i="12"/>
  <c r="D80" i="24"/>
  <c r="E48" i="24"/>
  <c r="H89" i="14"/>
  <c r="I89" i="14" s="1"/>
  <c r="H88" i="14"/>
  <c r="I88" i="14" s="1"/>
  <c r="H87" i="14"/>
  <c r="I87" i="14" s="1"/>
  <c r="H86" i="14"/>
  <c r="I86" i="14" s="1"/>
  <c r="H85" i="14"/>
  <c r="I85" i="14" s="1"/>
  <c r="H84" i="14"/>
  <c r="I84" i="14" s="1"/>
  <c r="H83" i="14"/>
  <c r="I83" i="14" s="1"/>
  <c r="H82" i="14"/>
  <c r="I82" i="14" s="1"/>
  <c r="H81" i="14"/>
  <c r="I81" i="14" s="1"/>
  <c r="H80" i="14"/>
  <c r="I80" i="14" s="1"/>
  <c r="H79" i="14"/>
  <c r="I79" i="14" s="1"/>
  <c r="H78" i="14"/>
  <c r="I78" i="14" s="1"/>
  <c r="H77" i="14"/>
  <c r="I77" i="14" s="1"/>
  <c r="H76" i="14"/>
  <c r="I76" i="14" s="1"/>
  <c r="H75" i="14"/>
  <c r="I75" i="14" s="1"/>
  <c r="H74" i="14"/>
  <c r="I74" i="14" s="1"/>
  <c r="H73" i="14"/>
  <c r="I73" i="14" s="1"/>
  <c r="H72" i="14"/>
  <c r="I72" i="14" s="1"/>
  <c r="H71" i="14"/>
  <c r="I71" i="14" s="1"/>
  <c r="H70" i="14"/>
  <c r="I70" i="14" s="1"/>
  <c r="H69" i="14"/>
  <c r="I69" i="14" s="1"/>
  <c r="H68" i="14"/>
  <c r="I68" i="14" s="1"/>
  <c r="H67" i="14"/>
  <c r="I67" i="14" s="1"/>
  <c r="H66" i="14"/>
  <c r="I66" i="14" s="1"/>
  <c r="H65" i="14"/>
  <c r="I65" i="14" s="1"/>
  <c r="H64" i="14"/>
  <c r="I64" i="14" s="1"/>
  <c r="H63" i="14"/>
  <c r="I63" i="14" s="1"/>
  <c r="H62" i="14"/>
  <c r="I62" i="14" s="1"/>
  <c r="H61" i="14"/>
  <c r="I61" i="14" s="1"/>
  <c r="H60" i="14"/>
  <c r="I60" i="14" s="1"/>
  <c r="H59" i="14"/>
  <c r="I59" i="14" s="1"/>
  <c r="H58" i="14"/>
  <c r="I58" i="14" s="1"/>
  <c r="H57" i="14"/>
  <c r="I57" i="14" s="1"/>
  <c r="H56" i="14"/>
  <c r="I56" i="14" s="1"/>
  <c r="H55" i="14"/>
  <c r="I55" i="14" s="1"/>
  <c r="H54" i="14"/>
  <c r="I54" i="14" s="1"/>
  <c r="M45" i="14"/>
  <c r="H47" i="15"/>
  <c r="M26" i="15"/>
  <c r="M31" i="14"/>
  <c r="C51" i="15"/>
  <c r="H48" i="15"/>
  <c r="B44" i="24"/>
  <c r="E44" i="24"/>
  <c r="M32" i="15"/>
  <c r="B21" i="25"/>
  <c r="B16" i="25"/>
  <c r="F16" i="25" s="1"/>
  <c r="B35" i="25"/>
  <c r="F35" i="25" s="1"/>
  <c r="D44" i="24"/>
  <c r="N43" i="13"/>
  <c r="M44" i="15"/>
  <c r="N27" i="13"/>
  <c r="G23" i="13"/>
  <c r="H23" i="13" s="1"/>
  <c r="G14" i="13"/>
  <c r="H14" i="13" s="1"/>
  <c r="M13" i="14"/>
  <c r="K101" i="54"/>
  <c r="E101" i="54"/>
  <c r="J101" i="54"/>
  <c r="H101" i="54"/>
  <c r="G101" i="54"/>
  <c r="F101" i="54"/>
  <c r="C101" i="54"/>
  <c r="B101" i="54"/>
  <c r="I100" i="54"/>
  <c r="K100" i="54"/>
  <c r="D100" i="54"/>
  <c r="E100" i="54"/>
  <c r="J100" i="54"/>
  <c r="H100" i="54"/>
  <c r="G100" i="54"/>
  <c r="F100" i="54"/>
  <c r="C100" i="54"/>
  <c r="B100" i="54"/>
  <c r="K99" i="54"/>
  <c r="E99" i="54"/>
  <c r="J99" i="54"/>
  <c r="H99" i="54"/>
  <c r="G99" i="54"/>
  <c r="F99" i="54"/>
  <c r="C99" i="54"/>
  <c r="B99" i="54"/>
  <c r="G41" i="13"/>
  <c r="H41" i="13" s="1"/>
  <c r="M24" i="14"/>
  <c r="M11" i="14"/>
  <c r="C12" i="24"/>
  <c r="F12" i="24"/>
  <c r="M16" i="14"/>
  <c r="S17" i="23"/>
  <c r="M18" i="14"/>
  <c r="M28" i="14"/>
  <c r="M29" i="14"/>
  <c r="M35" i="14"/>
  <c r="C36" i="24"/>
  <c r="M36" i="14"/>
  <c r="M40" i="14"/>
  <c r="G46" i="13"/>
  <c r="H46" i="13" s="1"/>
  <c r="D62" i="36"/>
  <c r="E87" i="24"/>
  <c r="A88" i="24"/>
  <c r="A87" i="24"/>
  <c r="A86" i="24"/>
  <c r="A85" i="24"/>
  <c r="A84" i="24"/>
  <c r="A82" i="24"/>
  <c r="A79" i="24"/>
  <c r="A69" i="24"/>
  <c r="A67" i="24"/>
  <c r="A60" i="24"/>
  <c r="A56" i="24"/>
  <c r="A88" i="23"/>
  <c r="A87" i="23"/>
  <c r="A86" i="23"/>
  <c r="A85" i="23"/>
  <c r="A84" i="23"/>
  <c r="A82" i="23"/>
  <c r="A79" i="23"/>
  <c r="A69" i="23"/>
  <c r="A67" i="23"/>
  <c r="A60" i="23"/>
  <c r="A56" i="23"/>
  <c r="A88" i="14"/>
  <c r="A87" i="14"/>
  <c r="A86" i="14"/>
  <c r="A85" i="14"/>
  <c r="A84" i="14"/>
  <c r="A82" i="14"/>
  <c r="A79" i="14"/>
  <c r="A69" i="14"/>
  <c r="A67" i="14"/>
  <c r="A60" i="14"/>
  <c r="A56" i="14"/>
  <c r="A88" i="15"/>
  <c r="A87" i="15"/>
  <c r="A86" i="15"/>
  <c r="A85" i="15"/>
  <c r="A84" i="15"/>
  <c r="A82" i="15"/>
  <c r="A79" i="15"/>
  <c r="A69" i="15"/>
  <c r="A67" i="15"/>
  <c r="A60" i="15"/>
  <c r="A56" i="15"/>
  <c r="B87" i="21"/>
  <c r="A88" i="25"/>
  <c r="A87" i="25"/>
  <c r="A86" i="25"/>
  <c r="A85" i="25"/>
  <c r="A84" i="25"/>
  <c r="A82" i="25"/>
  <c r="A79" i="25"/>
  <c r="A69" i="25"/>
  <c r="A67" i="25"/>
  <c r="A60" i="25"/>
  <c r="A56" i="25"/>
  <c r="A88" i="13"/>
  <c r="N88" i="13" s="1"/>
  <c r="A87" i="13"/>
  <c r="A86" i="13"/>
  <c r="A85" i="13"/>
  <c r="A84" i="13"/>
  <c r="A82" i="13"/>
  <c r="A79" i="13"/>
  <c r="A69" i="13"/>
  <c r="A67" i="13"/>
  <c r="A60" i="13"/>
  <c r="N60" i="13" s="1"/>
  <c r="A56" i="13"/>
  <c r="A88" i="12"/>
  <c r="A87" i="12"/>
  <c r="A86" i="12"/>
  <c r="A85" i="12"/>
  <c r="A84" i="12"/>
  <c r="A82" i="12"/>
  <c r="A79" i="12"/>
  <c r="A69" i="12"/>
  <c r="A67" i="12"/>
  <c r="A60" i="12"/>
  <c r="A57" i="12"/>
  <c r="G38" i="24"/>
  <c r="D38" i="24"/>
  <c r="D33" i="24"/>
  <c r="G30" i="24"/>
  <c r="G29" i="24"/>
  <c r="G26" i="24"/>
  <c r="D26" i="24"/>
  <c r="G24" i="24"/>
  <c r="D24" i="24"/>
  <c r="G17" i="24"/>
  <c r="D15" i="24"/>
  <c r="D14" i="24"/>
  <c r="D12" i="24"/>
  <c r="G12" i="24"/>
  <c r="U15" i="29"/>
  <c r="U15" i="27"/>
  <c r="U16" i="29"/>
  <c r="U16" i="27"/>
  <c r="U17" i="29"/>
  <c r="U17" i="27"/>
  <c r="U18" i="29"/>
  <c r="U19" i="29"/>
  <c r="U19" i="27"/>
  <c r="U20" i="29"/>
  <c r="U21" i="29"/>
  <c r="U21" i="27"/>
  <c r="U22" i="29"/>
  <c r="U23" i="29"/>
  <c r="U23" i="27"/>
  <c r="U24" i="29"/>
  <c r="U24" i="27"/>
  <c r="U25" i="29"/>
  <c r="U25" i="27"/>
  <c r="U26" i="29"/>
  <c r="U27" i="29"/>
  <c r="U28" i="29"/>
  <c r="U28" i="27"/>
  <c r="U29" i="29"/>
  <c r="U30" i="29"/>
  <c r="U31" i="29"/>
  <c r="U32" i="29"/>
  <c r="U33" i="29"/>
  <c r="U34" i="29"/>
  <c r="U35" i="29"/>
  <c r="U35" i="27"/>
  <c r="U35" i="28" s="1"/>
  <c r="U36" i="29"/>
  <c r="U37" i="29"/>
  <c r="U38" i="29"/>
  <c r="U39" i="29"/>
  <c r="U39" i="27"/>
  <c r="U40" i="29"/>
  <c r="U41" i="29"/>
  <c r="U41" i="27"/>
  <c r="U42" i="29"/>
  <c r="U42" i="27"/>
  <c r="U43" i="29"/>
  <c r="U44" i="29"/>
  <c r="U45" i="29"/>
  <c r="U45" i="27"/>
  <c r="U46" i="29"/>
  <c r="U47" i="29"/>
  <c r="U48" i="29"/>
  <c r="U48" i="27"/>
  <c r="U49" i="29"/>
  <c r="U50" i="29"/>
  <c r="U51" i="29"/>
  <c r="U51" i="27"/>
  <c r="U51" i="28" s="1"/>
  <c r="U52" i="29"/>
  <c r="U52" i="27"/>
  <c r="U53" i="29"/>
  <c r="U53" i="27"/>
  <c r="U14" i="29"/>
  <c r="B20" i="25"/>
  <c r="L14" i="26"/>
  <c r="R48" i="28"/>
  <c r="W48" i="28"/>
  <c r="S49" i="28"/>
  <c r="W49" i="28"/>
  <c r="T50" i="28"/>
  <c r="W50" i="28"/>
  <c r="S51" i="28"/>
  <c r="W51" i="28"/>
  <c r="R52" i="28"/>
  <c r="T52" i="28"/>
  <c r="W52" i="28"/>
  <c r="R53" i="28"/>
  <c r="V53" i="27"/>
  <c r="V53" i="28" s="1"/>
  <c r="T53" i="28"/>
  <c r="W53" i="28"/>
  <c r="R54" i="28"/>
  <c r="W54" i="28"/>
  <c r="R15" i="28"/>
  <c r="T15" i="28"/>
  <c r="V15" i="29"/>
  <c r="W15" i="29"/>
  <c r="W15" i="27"/>
  <c r="R16" i="28"/>
  <c r="T16" i="28"/>
  <c r="V16" i="29"/>
  <c r="W16" i="29"/>
  <c r="W16" i="27"/>
  <c r="R17" i="28"/>
  <c r="S17" i="28"/>
  <c r="T17" i="28"/>
  <c r="V17" i="29"/>
  <c r="V17" i="27"/>
  <c r="W17" i="29"/>
  <c r="W17" i="27"/>
  <c r="S18" i="28"/>
  <c r="T18" i="28"/>
  <c r="U18" i="27"/>
  <c r="V18" i="29"/>
  <c r="W18" i="29"/>
  <c r="W18" i="27"/>
  <c r="R19" i="28"/>
  <c r="T19" i="28"/>
  <c r="V19" i="29"/>
  <c r="W19" i="29"/>
  <c r="W19" i="27"/>
  <c r="R20" i="28"/>
  <c r="T20" i="28"/>
  <c r="V20" i="29"/>
  <c r="W20" i="29"/>
  <c r="W20" i="27"/>
  <c r="R21" i="28"/>
  <c r="V21" i="27"/>
  <c r="V21" i="28" s="1"/>
  <c r="T21" i="28"/>
  <c r="V21" i="29"/>
  <c r="W21" i="29"/>
  <c r="W21" i="27"/>
  <c r="R22" i="28"/>
  <c r="V22" i="27"/>
  <c r="T22" i="28"/>
  <c r="V22" i="29"/>
  <c r="W22" i="29"/>
  <c r="W22" i="27"/>
  <c r="R23" i="28"/>
  <c r="T23" i="28"/>
  <c r="V23" i="29"/>
  <c r="W23" i="29"/>
  <c r="W23" i="27"/>
  <c r="R24" i="28"/>
  <c r="T24" i="28"/>
  <c r="V24" i="29"/>
  <c r="V24" i="27"/>
  <c r="W24" i="29"/>
  <c r="W24" i="27"/>
  <c r="R25" i="28"/>
  <c r="S25" i="28"/>
  <c r="V25" i="27"/>
  <c r="V25" i="29"/>
  <c r="T25" i="28"/>
  <c r="W25" i="29"/>
  <c r="W25" i="27"/>
  <c r="S26" i="28"/>
  <c r="T26" i="28"/>
  <c r="V26" i="29"/>
  <c r="V26" i="27"/>
  <c r="W26" i="29"/>
  <c r="W26" i="27"/>
  <c r="R27" i="28"/>
  <c r="S27" i="28"/>
  <c r="V27" i="29"/>
  <c r="W27" i="29"/>
  <c r="W27" i="27"/>
  <c r="R28" i="28"/>
  <c r="T28" i="28"/>
  <c r="V28" i="29"/>
  <c r="V28" i="27"/>
  <c r="W28" i="29"/>
  <c r="W28" i="27"/>
  <c r="R29" i="28"/>
  <c r="T29" i="28"/>
  <c r="W29" i="29"/>
  <c r="W29" i="27"/>
  <c r="T30" i="28"/>
  <c r="W30" i="29"/>
  <c r="W30" i="27"/>
  <c r="R31" i="28"/>
  <c r="W31" i="29"/>
  <c r="W31" i="27"/>
  <c r="R32" i="28"/>
  <c r="T32" i="28"/>
  <c r="W32" i="29"/>
  <c r="W32" i="27"/>
  <c r="R33" i="28"/>
  <c r="T33" i="28"/>
  <c r="W33" i="28"/>
  <c r="S34" i="28"/>
  <c r="T34" i="28"/>
  <c r="W34" i="28"/>
  <c r="R35" i="28"/>
  <c r="T35" i="28"/>
  <c r="W35" i="28"/>
  <c r="R36" i="28"/>
  <c r="S36" i="28"/>
  <c r="T36" i="28"/>
  <c r="U36" i="27"/>
  <c r="W36" i="28"/>
  <c r="V37" i="27"/>
  <c r="V37" i="28" s="1"/>
  <c r="R37" i="28"/>
  <c r="S37" i="28"/>
  <c r="T37" i="28"/>
  <c r="W37" i="28"/>
  <c r="R38" i="28"/>
  <c r="S38" i="28"/>
  <c r="W38" i="28"/>
  <c r="R39" i="28"/>
  <c r="T39" i="28"/>
  <c r="W39" i="28"/>
  <c r="R40" i="28"/>
  <c r="U40" i="27"/>
  <c r="S40" i="28"/>
  <c r="T40" i="28"/>
  <c r="W40" i="28"/>
  <c r="R41" i="28"/>
  <c r="S41" i="28"/>
  <c r="W41" i="28"/>
  <c r="R42" i="28"/>
  <c r="T42" i="28"/>
  <c r="W42" i="28"/>
  <c r="S43" i="28"/>
  <c r="T43" i="28"/>
  <c r="W43" i="28"/>
  <c r="V44" i="27"/>
  <c r="V44" i="28" s="1"/>
  <c r="T44" i="28"/>
  <c r="W44" i="28"/>
  <c r="R45" i="28"/>
  <c r="S45" i="28"/>
  <c r="T45" i="28"/>
  <c r="W45" i="28"/>
  <c r="S46" i="28"/>
  <c r="T46" i="28"/>
  <c r="W46" i="28"/>
  <c r="R47" i="28"/>
  <c r="T47" i="28"/>
  <c r="W47" i="28"/>
  <c r="V14" i="27"/>
  <c r="V14" i="29"/>
  <c r="T14" i="28"/>
  <c r="R14" i="28"/>
  <c r="W14" i="29"/>
  <c r="W14" i="27"/>
  <c r="Q48" i="28"/>
  <c r="Q49" i="28"/>
  <c r="Q50" i="28"/>
  <c r="Q51" i="28"/>
  <c r="Q52" i="28"/>
  <c r="Q53" i="28"/>
  <c r="Q54" i="28"/>
  <c r="P15" i="28"/>
  <c r="Q15" i="28"/>
  <c r="P16" i="28"/>
  <c r="Q16" i="28"/>
  <c r="P17" i="28"/>
  <c r="Q17" i="28"/>
  <c r="P18" i="28"/>
  <c r="Q18" i="28"/>
  <c r="P19" i="28"/>
  <c r="Q19" i="28"/>
  <c r="P20" i="28"/>
  <c r="Q20" i="28"/>
  <c r="P21" i="28"/>
  <c r="Q21" i="28"/>
  <c r="P22" i="28"/>
  <c r="Q22" i="28"/>
  <c r="P23" i="28"/>
  <c r="Q23" i="28"/>
  <c r="P24" i="28"/>
  <c r="Q24" i="28"/>
  <c r="P25" i="28"/>
  <c r="Q25" i="28"/>
  <c r="P26" i="28"/>
  <c r="Q26" i="28"/>
  <c r="P27" i="28"/>
  <c r="Q27" i="28"/>
  <c r="P28" i="28"/>
  <c r="Q28" i="28"/>
  <c r="P29" i="28"/>
  <c r="Q29" i="28"/>
  <c r="P30" i="28"/>
  <c r="Q30" i="28"/>
  <c r="P31" i="28"/>
  <c r="Q31" i="28"/>
  <c r="P32" i="28"/>
  <c r="Q32" i="28"/>
  <c r="P33" i="28"/>
  <c r="Q33" i="28"/>
  <c r="P34" i="28"/>
  <c r="Q34" i="28"/>
  <c r="P35" i="28"/>
  <c r="Q35" i="28"/>
  <c r="P36" i="28"/>
  <c r="Q36" i="28"/>
  <c r="P37" i="28"/>
  <c r="Q37" i="28"/>
  <c r="P38" i="28"/>
  <c r="Q38" i="28"/>
  <c r="P39" i="28"/>
  <c r="Q39" i="28"/>
  <c r="P40" i="28"/>
  <c r="Q40" i="28"/>
  <c r="P41" i="28"/>
  <c r="Q41" i="28"/>
  <c r="P42" i="28"/>
  <c r="Q42" i="28"/>
  <c r="P43" i="28"/>
  <c r="Q43" i="28"/>
  <c r="P44" i="28"/>
  <c r="Q44" i="28"/>
  <c r="P45" i="28"/>
  <c r="Q45" i="28"/>
  <c r="P46" i="28"/>
  <c r="Q46" i="28"/>
  <c r="P47" i="28"/>
  <c r="Q47" i="28"/>
  <c r="Q14" i="28"/>
  <c r="P48" i="28"/>
  <c r="P49" i="28"/>
  <c r="P50" i="28"/>
  <c r="P51" i="28"/>
  <c r="P52" i="28"/>
  <c r="P53" i="28"/>
  <c r="P54" i="28"/>
  <c r="P14" i="28"/>
  <c r="O15" i="28"/>
  <c r="O16" i="28"/>
  <c r="O17" i="28"/>
  <c r="O18" i="28"/>
  <c r="O19" i="28"/>
  <c r="O20" i="28"/>
  <c r="O21" i="28"/>
  <c r="O22" i="28"/>
  <c r="O23" i="28"/>
  <c r="O24" i="28"/>
  <c r="O25" i="28"/>
  <c r="O26" i="28"/>
  <c r="O27"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14" i="28"/>
  <c r="D32" i="24"/>
  <c r="M32" i="14"/>
  <c r="M11" i="15"/>
  <c r="M12" i="15"/>
  <c r="F13" i="24"/>
  <c r="C13" i="24"/>
  <c r="E14" i="24"/>
  <c r="M14" i="15"/>
  <c r="B15" i="24"/>
  <c r="F15" i="24"/>
  <c r="C15" i="24"/>
  <c r="T16" i="21"/>
  <c r="M16" i="15"/>
  <c r="M17" i="15"/>
  <c r="B18" i="24"/>
  <c r="M18" i="15"/>
  <c r="E19" i="24"/>
  <c r="B19" i="24"/>
  <c r="E21" i="24"/>
  <c r="B21" i="24"/>
  <c r="M21" i="15"/>
  <c r="M22" i="15"/>
  <c r="G22" i="24"/>
  <c r="B23" i="24"/>
  <c r="E23" i="24"/>
  <c r="M23" i="15"/>
  <c r="B24" i="24"/>
  <c r="M24" i="15"/>
  <c r="M25" i="15"/>
  <c r="M28" i="15"/>
  <c r="M29" i="15"/>
  <c r="B33" i="24"/>
  <c r="E33" i="24"/>
  <c r="M33" i="15"/>
  <c r="M35" i="15"/>
  <c r="B36" i="24"/>
  <c r="M36" i="15"/>
  <c r="G37" i="24"/>
  <c r="B40" i="24"/>
  <c r="F40" i="24"/>
  <c r="M40" i="15"/>
  <c r="M41" i="15"/>
  <c r="T42" i="21"/>
  <c r="G42" i="24"/>
  <c r="M10" i="15"/>
  <c r="L96" i="26"/>
  <c r="L95" i="26"/>
  <c r="L79" i="26"/>
  <c r="L80" i="26"/>
  <c r="L82" i="26"/>
  <c r="L83" i="26"/>
  <c r="L84" i="26"/>
  <c r="L85" i="26"/>
  <c r="L86" i="26"/>
  <c r="L88" i="26"/>
  <c r="L90" i="26"/>
  <c r="L91" i="26"/>
  <c r="L92" i="26"/>
  <c r="L78" i="26"/>
  <c r="L73" i="26"/>
  <c r="L74" i="26"/>
  <c r="L72" i="26"/>
  <c r="L67" i="26"/>
  <c r="L69" i="26"/>
  <c r="L66" i="26"/>
  <c r="L60" i="26"/>
  <c r="L61" i="26"/>
  <c r="L62" i="26"/>
  <c r="L63" i="26"/>
  <c r="L64" i="26"/>
  <c r="L53" i="26"/>
  <c r="L54" i="26"/>
  <c r="L56" i="26"/>
  <c r="L57" i="26"/>
  <c r="L52" i="26"/>
  <c r="L43" i="26"/>
  <c r="L44" i="26"/>
  <c r="L45" i="26"/>
  <c r="L46" i="26"/>
  <c r="L47" i="26"/>
  <c r="L48" i="26"/>
  <c r="L49" i="26"/>
  <c r="L50" i="26"/>
  <c r="L42" i="26"/>
  <c r="L40" i="26"/>
  <c r="L31" i="26"/>
  <c r="L32" i="26"/>
  <c r="L33" i="26"/>
  <c r="L34" i="26"/>
  <c r="L36" i="26"/>
  <c r="L37" i="26"/>
  <c r="L22" i="26"/>
  <c r="L25" i="26"/>
  <c r="L16" i="26"/>
  <c r="L17" i="26"/>
  <c r="L18" i="26"/>
  <c r="L19" i="26"/>
  <c r="L15" i="26"/>
  <c r="L13" i="26"/>
  <c r="L11" i="26"/>
  <c r="L9" i="26"/>
  <c r="Q91" i="13" s="1"/>
  <c r="I99" i="26"/>
  <c r="K99" i="26"/>
  <c r="E99" i="26"/>
  <c r="I100" i="26"/>
  <c r="K100" i="26"/>
  <c r="D100" i="26"/>
  <c r="E100" i="26"/>
  <c r="C100" i="26"/>
  <c r="F100" i="26"/>
  <c r="G100" i="26"/>
  <c r="H100" i="26"/>
  <c r="J100" i="26"/>
  <c r="B100" i="26"/>
  <c r="J99" i="26"/>
  <c r="B99" i="26"/>
  <c r="C99" i="26"/>
  <c r="F99" i="26"/>
  <c r="G99" i="26"/>
  <c r="I101" i="26"/>
  <c r="K101" i="26"/>
  <c r="E101" i="26"/>
  <c r="J101" i="26"/>
  <c r="B101" i="26"/>
  <c r="C101" i="26"/>
  <c r="F101" i="26"/>
  <c r="G101" i="26"/>
  <c r="H101" i="26"/>
  <c r="L10" i="29"/>
  <c r="L11" i="29" s="1"/>
  <c r="L12" i="29" s="1"/>
  <c r="L13" i="29" s="1"/>
  <c r="L14" i="29" s="1"/>
  <c r="L15" i="29" s="1"/>
  <c r="L16" i="29" s="1"/>
  <c r="L17" i="29" s="1"/>
  <c r="L18" i="29" s="1"/>
  <c r="L19" i="29" s="1"/>
  <c r="L20" i="29" s="1"/>
  <c r="L21" i="29" s="1"/>
  <c r="L22" i="29" s="1"/>
  <c r="L23" i="29" s="1"/>
  <c r="L24" i="29" s="1"/>
  <c r="L25" i="29" s="1"/>
  <c r="L26" i="29" s="1"/>
  <c r="L27" i="29" s="1"/>
  <c r="L28" i="29" s="1"/>
  <c r="L29" i="29" s="1"/>
  <c r="L30" i="29" s="1"/>
  <c r="L31" i="29" s="1"/>
  <c r="L32" i="29" s="1"/>
  <c r="L33" i="29" s="1"/>
  <c r="L34" i="29" s="1"/>
  <c r="L35" i="29" s="1"/>
  <c r="L36" i="29" s="1"/>
  <c r="L37" i="29" s="1"/>
  <c r="L38" i="29" s="1"/>
  <c r="L39" i="29" s="1"/>
  <c r="L40" i="29" s="1"/>
  <c r="L41" i="29" s="1"/>
  <c r="L42" i="29" s="1"/>
  <c r="L43" i="29" s="1"/>
  <c r="L44" i="29" s="1"/>
  <c r="L45" i="29" s="1"/>
  <c r="L46" i="29" s="1"/>
  <c r="L47" i="29" s="1"/>
  <c r="L48" i="29" s="1"/>
  <c r="L49" i="29" s="1"/>
  <c r="L50" i="29" s="1"/>
  <c r="L51" i="29" s="1"/>
  <c r="L52" i="29" s="1"/>
  <c r="L53" i="29" s="1"/>
  <c r="L54" i="29" s="1"/>
  <c r="L47" i="20"/>
  <c r="M47" i="20"/>
  <c r="O47" i="20"/>
  <c r="P47" i="20"/>
  <c r="F47" i="20"/>
  <c r="G47" i="20"/>
  <c r="C47" i="20"/>
  <c r="D47" i="20"/>
  <c r="L10" i="28"/>
  <c r="L11" i="28" s="1"/>
  <c r="L12" i="28" s="1"/>
  <c r="L13" i="28" s="1"/>
  <c r="L14" i="28" s="1"/>
  <c r="L15" i="28" s="1"/>
  <c r="L16" i="28" s="1"/>
  <c r="L17" i="28" s="1"/>
  <c r="L18" i="28" s="1"/>
  <c r="L19" i="28" s="1"/>
  <c r="L20" i="28" s="1"/>
  <c r="L21" i="28" s="1"/>
  <c r="L22" i="28" s="1"/>
  <c r="L23" i="28" s="1"/>
  <c r="L24" i="28" s="1"/>
  <c r="L25" i="28" s="1"/>
  <c r="L26" i="28" s="1"/>
  <c r="L27" i="28" s="1"/>
  <c r="L28" i="28" s="1"/>
  <c r="L29" i="28" s="1"/>
  <c r="L30" i="28" s="1"/>
  <c r="L31" i="28" s="1"/>
  <c r="L32" i="28" s="1"/>
  <c r="L33" i="28" s="1"/>
  <c r="L34" i="28" s="1"/>
  <c r="L35" i="28" s="1"/>
  <c r="L36" i="28" s="1"/>
  <c r="L37" i="28" s="1"/>
  <c r="L38" i="28" s="1"/>
  <c r="L39" i="28" s="1"/>
  <c r="L40" i="28" s="1"/>
  <c r="L41" i="28" s="1"/>
  <c r="L42" i="28" s="1"/>
  <c r="L43" i="28" s="1"/>
  <c r="L44" i="28" s="1"/>
  <c r="L45" i="28" s="1"/>
  <c r="L46" i="28" s="1"/>
  <c r="L47" i="28" s="1"/>
  <c r="L48" i="28" s="1"/>
  <c r="L49" i="28" s="1"/>
  <c r="L50" i="28" s="1"/>
  <c r="L51" i="28" s="1"/>
  <c r="L52" i="28" s="1"/>
  <c r="L53" i="28" s="1"/>
  <c r="L54" i="28" s="1"/>
  <c r="L10" i="27"/>
  <c r="L11" i="27" s="1"/>
  <c r="L12" i="27" s="1"/>
  <c r="L13" i="27" s="1"/>
  <c r="L14" i="27" s="1"/>
  <c r="L15" i="27" s="1"/>
  <c r="L16" i="27" s="1"/>
  <c r="L17" i="27" s="1"/>
  <c r="L18" i="27" s="1"/>
  <c r="L19" i="27" s="1"/>
  <c r="L20" i="27" s="1"/>
  <c r="L21" i="27" s="1"/>
  <c r="L22" i="27" s="1"/>
  <c r="L23" i="27" s="1"/>
  <c r="L24" i="27" s="1"/>
  <c r="L25" i="27" s="1"/>
  <c r="L26" i="27" s="1"/>
  <c r="L27" i="27" s="1"/>
  <c r="L28" i="27" s="1"/>
  <c r="L29" i="27" s="1"/>
  <c r="L30" i="27" s="1"/>
  <c r="L31" i="27" s="1"/>
  <c r="L32" i="27" s="1"/>
  <c r="L33" i="27" s="1"/>
  <c r="L34" i="27" s="1"/>
  <c r="L35" i="27" s="1"/>
  <c r="L36" i="27" s="1"/>
  <c r="L37" i="27" s="1"/>
  <c r="L38" i="27" s="1"/>
  <c r="L39" i="27" s="1"/>
  <c r="L40" i="27" s="1"/>
  <c r="L41" i="27" s="1"/>
  <c r="L42" i="27" s="1"/>
  <c r="L43" i="27" s="1"/>
  <c r="L44" i="27" s="1"/>
  <c r="L45" i="27" s="1"/>
  <c r="L46" i="27" s="1"/>
  <c r="L47" i="27" s="1"/>
  <c r="L48" i="27" s="1"/>
  <c r="L49" i="27" s="1"/>
  <c r="L50" i="27" s="1"/>
  <c r="L51" i="27" s="1"/>
  <c r="L52" i="27" s="1"/>
  <c r="L53" i="27" s="1"/>
  <c r="L54" i="27" s="1"/>
  <c r="V9" i="29"/>
  <c r="W9" i="29"/>
  <c r="V10" i="29"/>
  <c r="W10" i="29"/>
  <c r="V11" i="29"/>
  <c r="W11" i="29"/>
  <c r="V12" i="29"/>
  <c r="W12" i="29"/>
  <c r="V13" i="29"/>
  <c r="W13" i="29"/>
  <c r="H99" i="26"/>
  <c r="L60" i="20"/>
  <c r="M60" i="20"/>
  <c r="O60" i="20"/>
  <c r="P60" i="20"/>
  <c r="R42" i="23"/>
  <c r="R43" i="23"/>
  <c r="R34" i="23"/>
  <c r="G30" i="13"/>
  <c r="H30" i="13" s="1"/>
  <c r="G11" i="13"/>
  <c r="H11" i="13" s="1"/>
  <c r="G16" i="13"/>
  <c r="H16" i="13" s="1"/>
  <c r="G17" i="13"/>
  <c r="H17" i="13" s="1"/>
  <c r="G18" i="13"/>
  <c r="H18" i="13" s="1"/>
  <c r="G19" i="13"/>
  <c r="H19" i="13" s="1"/>
  <c r="G21" i="13"/>
  <c r="H21" i="13" s="1"/>
  <c r="G22" i="13"/>
  <c r="H22" i="13" s="1"/>
  <c r="G24" i="13"/>
  <c r="H24" i="13" s="1"/>
  <c r="G28" i="13"/>
  <c r="H28" i="13" s="1"/>
  <c r="G33" i="13"/>
  <c r="H33" i="13" s="1"/>
  <c r="G34" i="13"/>
  <c r="H34" i="13" s="1"/>
  <c r="G37" i="13"/>
  <c r="H37" i="13" s="1"/>
  <c r="G38" i="13"/>
  <c r="H38" i="13" s="1"/>
  <c r="G44" i="13"/>
  <c r="H44" i="13" s="1"/>
  <c r="G10" i="13"/>
  <c r="H10" i="13" s="1"/>
  <c r="N11" i="13"/>
  <c r="N12" i="13"/>
  <c r="N15" i="13"/>
  <c r="N16" i="13"/>
  <c r="N18" i="13"/>
  <c r="N19" i="13"/>
  <c r="N20" i="13"/>
  <c r="N24" i="13"/>
  <c r="N28" i="13"/>
  <c r="N30" i="13"/>
  <c r="N32" i="13"/>
  <c r="N34" i="13"/>
  <c r="N35" i="13"/>
  <c r="N39" i="13"/>
  <c r="N40" i="13"/>
  <c r="D19" i="20"/>
  <c r="F19" i="20"/>
  <c r="I19" i="20"/>
  <c r="J19" i="20"/>
  <c r="L19" i="20"/>
  <c r="O19" i="20"/>
  <c r="P19" i="20"/>
  <c r="D18" i="20"/>
  <c r="F18" i="20"/>
  <c r="L18" i="20"/>
  <c r="M18" i="20"/>
  <c r="O18" i="20"/>
  <c r="N18" i="20" s="1"/>
  <c r="C17" i="20"/>
  <c r="F17" i="20"/>
  <c r="G17" i="20"/>
  <c r="I17" i="20"/>
  <c r="L17" i="20"/>
  <c r="M17" i="20"/>
  <c r="O17" i="20"/>
  <c r="C16" i="20"/>
  <c r="F16" i="20"/>
  <c r="I16" i="20"/>
  <c r="J16" i="20"/>
  <c r="L16" i="20"/>
  <c r="O16" i="20"/>
  <c r="P16" i="20"/>
  <c r="O14" i="20"/>
  <c r="P14" i="20"/>
  <c r="C13" i="20"/>
  <c r="D13" i="20"/>
  <c r="L13" i="20"/>
  <c r="M13" i="20"/>
  <c r="O13" i="20"/>
  <c r="P13" i="20"/>
  <c r="G12" i="20"/>
  <c r="L12" i="20"/>
  <c r="O12" i="20"/>
  <c r="O11" i="20"/>
  <c r="P12" i="20"/>
  <c r="S22" i="23"/>
  <c r="R47" i="23"/>
  <c r="R46" i="23"/>
  <c r="R11" i="23"/>
  <c r="R14" i="23"/>
  <c r="R15" i="23"/>
  <c r="R16" i="23"/>
  <c r="R18" i="23"/>
  <c r="R19" i="23"/>
  <c r="R20" i="23"/>
  <c r="R21" i="23"/>
  <c r="R22" i="23"/>
  <c r="R23" i="23"/>
  <c r="R26" i="23"/>
  <c r="R28" i="23"/>
  <c r="R29" i="23"/>
  <c r="R33" i="23"/>
  <c r="R37" i="23"/>
  <c r="R38" i="23"/>
  <c r="R41" i="23"/>
  <c r="R44" i="23"/>
  <c r="R76" i="23"/>
  <c r="S80" i="23"/>
  <c r="R80" i="23"/>
  <c r="S76" i="23"/>
  <c r="S47" i="23"/>
  <c r="S46" i="23"/>
  <c r="S45" i="23"/>
  <c r="R45" i="23"/>
  <c r="S31" i="23"/>
  <c r="R31" i="23"/>
  <c r="S27" i="23"/>
  <c r="R27" i="23"/>
  <c r="S24" i="23"/>
  <c r="R24" i="23"/>
  <c r="R17" i="23"/>
  <c r="S13" i="23"/>
  <c r="R13" i="23"/>
  <c r="S10" i="23"/>
  <c r="R10" i="23"/>
  <c r="D41" i="15"/>
  <c r="S45" i="21"/>
  <c r="T45" i="21"/>
  <c r="U43" i="21"/>
  <c r="M10" i="14"/>
  <c r="D44" i="15"/>
  <c r="D34" i="15"/>
  <c r="D32" i="15"/>
  <c r="D30" i="15"/>
  <c r="D28" i="15"/>
  <c r="D27" i="15"/>
  <c r="D18" i="15"/>
  <c r="I10" i="15"/>
  <c r="O55" i="20"/>
  <c r="P55" i="20"/>
  <c r="L55" i="20"/>
  <c r="M55" i="20"/>
  <c r="J55" i="20"/>
  <c r="G60" i="20"/>
  <c r="F55" i="20"/>
  <c r="G55" i="20"/>
  <c r="C55" i="20"/>
  <c r="C60" i="20"/>
  <c r="D60" i="20"/>
  <c r="O34" i="20"/>
  <c r="N34" i="20" s="1"/>
  <c r="O32" i="20"/>
  <c r="P30" i="20"/>
  <c r="P29" i="20"/>
  <c r="O29" i="20"/>
  <c r="O26" i="20"/>
  <c r="L32" i="20"/>
  <c r="L31" i="20"/>
  <c r="L30" i="20"/>
  <c r="M29" i="20"/>
  <c r="L29" i="20"/>
  <c r="L26" i="20"/>
  <c r="I32" i="20"/>
  <c r="J32" i="20"/>
  <c r="I30" i="20"/>
  <c r="J30" i="20"/>
  <c r="I29" i="20"/>
  <c r="F34" i="20"/>
  <c r="E34" i="20" s="1"/>
  <c r="F32" i="20"/>
  <c r="G32" i="20"/>
  <c r="G31" i="20"/>
  <c r="F30" i="20"/>
  <c r="F29" i="20"/>
  <c r="G29" i="20"/>
  <c r="G25" i="20"/>
  <c r="X34" i="20"/>
  <c r="C32" i="20"/>
  <c r="D32" i="20"/>
  <c r="C31" i="20"/>
  <c r="D31" i="20"/>
  <c r="C30" i="20"/>
  <c r="C29" i="20"/>
  <c r="D29" i="20"/>
  <c r="C26" i="20"/>
  <c r="D26" i="20"/>
  <c r="AG21" i="20"/>
  <c r="F21" i="20"/>
  <c r="E21" i="20" s="1"/>
  <c r="C21" i="20"/>
  <c r="B21" i="20" s="1"/>
  <c r="O24" i="20"/>
  <c r="O27" i="20"/>
  <c r="P27" i="20"/>
  <c r="O31" i="20"/>
  <c r="P25" i="20"/>
  <c r="O23" i="20"/>
  <c r="L24" i="20"/>
  <c r="L25" i="20"/>
  <c r="L23" i="20"/>
  <c r="AD34" i="20"/>
  <c r="I24" i="20"/>
  <c r="I26" i="20"/>
  <c r="I27" i="20"/>
  <c r="I28" i="20"/>
  <c r="J31" i="20"/>
  <c r="I23" i="20"/>
  <c r="F24" i="20"/>
  <c r="F27" i="20"/>
  <c r="F28" i="20"/>
  <c r="F23" i="20"/>
  <c r="C24" i="20"/>
  <c r="C27" i="20"/>
  <c r="C28" i="20"/>
  <c r="C23" i="20"/>
  <c r="I60" i="20"/>
  <c r="O51" i="20"/>
  <c r="O52" i="20"/>
  <c r="O53" i="20"/>
  <c r="O56" i="20"/>
  <c r="O57" i="20"/>
  <c r="O58" i="20"/>
  <c r="L51" i="20"/>
  <c r="L52" i="20"/>
  <c r="L54" i="20"/>
  <c r="L56" i="20"/>
  <c r="L57" i="20"/>
  <c r="L58" i="20"/>
  <c r="I50" i="20"/>
  <c r="I51" i="20"/>
  <c r="I52" i="20"/>
  <c r="I53" i="20"/>
  <c r="I54" i="20"/>
  <c r="I56" i="20"/>
  <c r="I58" i="20"/>
  <c r="F50" i="20"/>
  <c r="F49" i="20"/>
  <c r="F51" i="20"/>
  <c r="F53" i="20"/>
  <c r="F54" i="20"/>
  <c r="F56" i="20"/>
  <c r="F57" i="20"/>
  <c r="F58" i="20"/>
  <c r="C52" i="20"/>
  <c r="C53" i="20"/>
  <c r="C54" i="20"/>
  <c r="C56" i="20"/>
  <c r="C57" i="20"/>
  <c r="C58" i="20"/>
  <c r="O49" i="20"/>
  <c r="L49" i="20"/>
  <c r="I49" i="20"/>
  <c r="I47" i="20"/>
  <c r="O38" i="20"/>
  <c r="O39" i="20"/>
  <c r="O40" i="20"/>
  <c r="O42" i="20"/>
  <c r="O43" i="20"/>
  <c r="O44" i="20"/>
  <c r="O45" i="20"/>
  <c r="L38" i="20"/>
  <c r="L39" i="20"/>
  <c r="L41" i="20"/>
  <c r="L42" i="20"/>
  <c r="L43" i="20"/>
  <c r="L44" i="20"/>
  <c r="L45" i="20"/>
  <c r="I37" i="20"/>
  <c r="I38" i="20"/>
  <c r="I39" i="20"/>
  <c r="I40" i="20"/>
  <c r="I41" i="20"/>
  <c r="I42" i="20"/>
  <c r="I43" i="20"/>
  <c r="I45" i="20"/>
  <c r="F37" i="20"/>
  <c r="F38" i="20"/>
  <c r="F41" i="20"/>
  <c r="F42" i="20"/>
  <c r="F43" i="20"/>
  <c r="F44" i="20"/>
  <c r="F45" i="20"/>
  <c r="C39" i="20"/>
  <c r="C40" i="20"/>
  <c r="C41" i="20"/>
  <c r="C42" i="20"/>
  <c r="C43" i="20"/>
  <c r="C44" i="20"/>
  <c r="C45" i="20"/>
  <c r="O36" i="20"/>
  <c r="L36" i="20"/>
  <c r="I36" i="20"/>
  <c r="F36" i="20"/>
  <c r="C36" i="20"/>
  <c r="O10" i="20"/>
  <c r="L11" i="20"/>
  <c r="L10" i="20"/>
  <c r="AD21" i="20"/>
  <c r="I11" i="20"/>
  <c r="I13" i="20"/>
  <c r="I14" i="20"/>
  <c r="I15" i="20"/>
  <c r="J18" i="20"/>
  <c r="I10" i="20"/>
  <c r="F11" i="20"/>
  <c r="F14" i="20"/>
  <c r="F15" i="20"/>
  <c r="F10" i="20"/>
  <c r="C11" i="20"/>
  <c r="C14" i="20"/>
  <c r="C15" i="20"/>
  <c r="C10" i="20"/>
  <c r="V39" i="27"/>
  <c r="V39" i="28" s="1"/>
  <c r="V31" i="27"/>
  <c r="V31" i="28" s="1"/>
  <c r="V41" i="27"/>
  <c r="V41" i="28" s="1"/>
  <c r="V38" i="27"/>
  <c r="V38" i="28" s="1"/>
  <c r="V32" i="27"/>
  <c r="V32" i="28" s="1"/>
  <c r="U22" i="27"/>
  <c r="V45" i="27"/>
  <c r="V45" i="28" s="1"/>
  <c r="R44" i="28"/>
  <c r="U43" i="27"/>
  <c r="S23" i="28"/>
  <c r="S22" i="28"/>
  <c r="S21" i="28"/>
  <c r="S53" i="28"/>
  <c r="R34" i="28"/>
  <c r="V34" i="27"/>
  <c r="V34" i="28" s="1"/>
  <c r="S19" i="28"/>
  <c r="V16" i="27"/>
  <c r="S16" i="28"/>
  <c r="V35" i="27"/>
  <c r="V35" i="28" s="1"/>
  <c r="T51" i="28"/>
  <c r="V29" i="27"/>
  <c r="V29" i="28" s="1"/>
  <c r="S29" i="28"/>
  <c r="U29" i="27"/>
  <c r="S28" i="28"/>
  <c r="R18" i="28"/>
  <c r="V18" i="27"/>
  <c r="V18" i="28" s="1"/>
  <c r="G18" i="24"/>
  <c r="D18" i="24"/>
  <c r="U14" i="27"/>
  <c r="S14" i="28"/>
  <c r="T41" i="28"/>
  <c r="R43" i="28"/>
  <c r="V43" i="27"/>
  <c r="V43" i="28" s="1"/>
  <c r="V40" i="27"/>
  <c r="V40" i="28" s="1"/>
  <c r="S39" i="28"/>
  <c r="R30" i="28"/>
  <c r="V30" i="27"/>
  <c r="V30" i="28" s="1"/>
  <c r="S50" i="28"/>
  <c r="S48" i="28"/>
  <c r="V48" i="27"/>
  <c r="V48" i="28" s="1"/>
  <c r="U37" i="27"/>
  <c r="U47" i="27"/>
  <c r="S47" i="28"/>
  <c r="V47" i="27"/>
  <c r="V47" i="28" s="1"/>
  <c r="S33" i="28"/>
  <c r="V33" i="27"/>
  <c r="V33" i="28" s="1"/>
  <c r="S31" i="28"/>
  <c r="U50" i="27"/>
  <c r="U34" i="27"/>
  <c r="U26" i="27"/>
  <c r="U26" i="28" s="1"/>
  <c r="U44" i="27"/>
  <c r="S42" i="28"/>
  <c r="V42" i="27"/>
  <c r="V42" i="28" s="1"/>
  <c r="S24" i="28"/>
  <c r="R51" i="28"/>
  <c r="V51" i="27"/>
  <c r="V51" i="28" s="1"/>
  <c r="U33" i="27"/>
  <c r="V36" i="27"/>
  <c r="V36" i="28" s="1"/>
  <c r="S35" i="28"/>
  <c r="V27" i="27"/>
  <c r="V23" i="27"/>
  <c r="V19" i="27"/>
  <c r="V15" i="27"/>
  <c r="S52" i="28"/>
  <c r="S43" i="23"/>
  <c r="T31" i="28"/>
  <c r="U31" i="27"/>
  <c r="U38" i="27"/>
  <c r="T38" i="28"/>
  <c r="U32" i="27"/>
  <c r="S32" i="28"/>
  <c r="T48" i="28"/>
  <c r="U27" i="27"/>
  <c r="T27" i="28"/>
  <c r="S20" i="28"/>
  <c r="V20" i="27"/>
  <c r="U20" i="27"/>
  <c r="R50" i="28"/>
  <c r="V50" i="27"/>
  <c r="V50" i="28" s="1"/>
  <c r="T49" i="28"/>
  <c r="U49" i="27"/>
  <c r="U49" i="28" s="1"/>
  <c r="S30" i="28"/>
  <c r="U30" i="27"/>
  <c r="R26" i="28"/>
  <c r="S44" i="28"/>
  <c r="U46" i="27"/>
  <c r="R49" i="28"/>
  <c r="V49" i="27"/>
  <c r="V49" i="28" s="1"/>
  <c r="R46" i="28"/>
  <c r="V46" i="27"/>
  <c r="V46" i="28" s="1"/>
  <c r="S15" i="28"/>
  <c r="V52" i="27"/>
  <c r="V52" i="28"/>
  <c r="M15" i="15"/>
  <c r="G27" i="13"/>
  <c r="H27" i="13" s="1"/>
  <c r="G34" i="24"/>
  <c r="I27" i="15"/>
  <c r="B32" i="25"/>
  <c r="F32" i="25" s="1"/>
  <c r="U31" i="21"/>
  <c r="L29" i="25"/>
  <c r="B13" i="24"/>
  <c r="E37" i="24"/>
  <c r="B37" i="24"/>
  <c r="C46" i="15"/>
  <c r="H46" i="14"/>
  <c r="I46" i="14" s="1"/>
  <c r="F22" i="24"/>
  <c r="C22" i="24"/>
  <c r="D21" i="24"/>
  <c r="B28" i="24"/>
  <c r="B35" i="24"/>
  <c r="E15" i="24"/>
  <c r="C28" i="24"/>
  <c r="F28" i="24"/>
  <c r="G16" i="24"/>
  <c r="D16" i="24"/>
  <c r="B22" i="24"/>
  <c r="B34" i="24"/>
  <c r="D39" i="24"/>
  <c r="G39" i="24"/>
  <c r="B29" i="24"/>
  <c r="M19" i="14"/>
  <c r="B11" i="24"/>
  <c r="E11" i="24"/>
  <c r="E39" i="24"/>
  <c r="B39" i="24"/>
  <c r="F32" i="24"/>
  <c r="C32" i="24"/>
  <c r="T10" i="21"/>
  <c r="D28" i="24"/>
  <c r="C24" i="24"/>
  <c r="G20" i="24"/>
  <c r="F17" i="24"/>
  <c r="C17" i="24"/>
  <c r="D10" i="24"/>
  <c r="E42" i="24"/>
  <c r="G35" i="24"/>
  <c r="G28" i="24"/>
  <c r="B42" i="24"/>
  <c r="C29" i="24"/>
  <c r="F19" i="24"/>
  <c r="C19" i="24"/>
  <c r="H47" i="14"/>
  <c r="I47" i="14" s="1"/>
  <c r="T18" i="21"/>
  <c r="C30" i="24"/>
  <c r="S19" i="21"/>
  <c r="U13" i="21"/>
  <c r="B52" i="24"/>
  <c r="T26" i="21"/>
  <c r="S40" i="21"/>
  <c r="T36" i="21"/>
  <c r="S34" i="21"/>
  <c r="T34" i="21"/>
  <c r="D29" i="24"/>
  <c r="S29" i="21"/>
  <c r="M30" i="15"/>
  <c r="G42" i="13"/>
  <c r="H42" i="13" s="1"/>
  <c r="C16" i="24"/>
  <c r="F16" i="24"/>
  <c r="S32" i="21"/>
  <c r="M20" i="14"/>
  <c r="M37" i="14"/>
  <c r="C37" i="24"/>
  <c r="F37" i="24"/>
  <c r="C41" i="24"/>
  <c r="F41" i="24"/>
  <c r="M41" i="14"/>
  <c r="S44" i="21"/>
  <c r="H46" i="15"/>
  <c r="I46" i="15" s="1"/>
  <c r="S38" i="21"/>
  <c r="T30" i="21"/>
  <c r="B20" i="24"/>
  <c r="E17" i="24"/>
  <c r="B17" i="24"/>
  <c r="T17" i="21"/>
  <c r="E41" i="24"/>
  <c r="F26" i="24"/>
  <c r="C26" i="24"/>
  <c r="F14" i="24"/>
  <c r="C14" i="24"/>
  <c r="B32" i="24"/>
  <c r="D35" i="24"/>
  <c r="B38" i="24"/>
  <c r="E38" i="24"/>
  <c r="F33" i="24"/>
  <c r="C33" i="24"/>
  <c r="F10" i="24"/>
  <c r="F18" i="24"/>
  <c r="E22" i="24"/>
  <c r="E30" i="24"/>
  <c r="F44" i="24"/>
  <c r="C44" i="24"/>
  <c r="S36" i="21"/>
  <c r="M34" i="15"/>
  <c r="C34" i="24"/>
  <c r="M37" i="15"/>
  <c r="T14" i="21"/>
  <c r="T38" i="21"/>
  <c r="M42" i="15"/>
  <c r="F42" i="24"/>
  <c r="C42" i="24"/>
  <c r="G40" i="24"/>
  <c r="T40" i="21"/>
  <c r="M38" i="15"/>
  <c r="F38" i="24"/>
  <c r="C38" i="24"/>
  <c r="F21" i="24"/>
  <c r="C21" i="24"/>
  <c r="T21" i="21"/>
  <c r="T20" i="21"/>
  <c r="M19" i="15"/>
  <c r="T19" i="21"/>
  <c r="S18" i="21"/>
  <c r="S16" i="21"/>
  <c r="S24" i="21"/>
  <c r="D22" i="24"/>
  <c r="M20" i="15"/>
  <c r="F20" i="24"/>
  <c r="S13" i="21"/>
  <c r="M38" i="14"/>
  <c r="M17" i="14"/>
  <c r="U27" i="21"/>
  <c r="M44" i="14"/>
  <c r="C35" i="24"/>
  <c r="T35" i="21"/>
  <c r="T11" i="21"/>
  <c r="F11" i="24"/>
  <c r="C11" i="24"/>
  <c r="S41" i="21"/>
  <c r="D42" i="24"/>
  <c r="F36" i="24"/>
  <c r="D30" i="24"/>
  <c r="S12" i="21"/>
  <c r="S14" i="21"/>
  <c r="S33" i="21"/>
  <c r="C40" i="24"/>
  <c r="S35" i="21"/>
  <c r="E28" i="24"/>
  <c r="E24" i="24"/>
  <c r="D19" i="24"/>
  <c r="C46" i="24"/>
  <c r="E35" i="24"/>
  <c r="B43" i="25"/>
  <c r="M48" i="13"/>
  <c r="O35" i="23"/>
  <c r="I27" i="14"/>
  <c r="D27" i="13" s="1"/>
  <c r="E27" i="13" s="1"/>
  <c r="B49" i="24"/>
  <c r="B12" i="25"/>
  <c r="D75" i="24"/>
  <c r="P75" i="21"/>
  <c r="G75" i="24" s="1"/>
  <c r="H50" i="15"/>
  <c r="M31" i="15"/>
  <c r="C52" i="15"/>
  <c r="H51" i="15"/>
  <c r="H49" i="15"/>
  <c r="C48" i="15"/>
  <c r="C50" i="15"/>
  <c r="H52" i="15"/>
  <c r="B50" i="24"/>
  <c r="E50" i="24"/>
  <c r="T12" i="21"/>
  <c r="S17" i="21"/>
  <c r="M22" i="14"/>
  <c r="S22" i="21"/>
  <c r="S10" i="21"/>
  <c r="T32" i="21"/>
  <c r="M12" i="14"/>
  <c r="M21" i="14"/>
  <c r="M15" i="14"/>
  <c r="M34" i="14"/>
  <c r="C20" i="24"/>
  <c r="T13" i="21"/>
  <c r="D23" i="24"/>
  <c r="T23" i="21"/>
  <c r="M26" i="14"/>
  <c r="C49" i="15"/>
  <c r="S15" i="21"/>
  <c r="M46" i="15"/>
  <c r="T41" i="21"/>
  <c r="M42" i="14"/>
  <c r="S42" i="21"/>
  <c r="M14" i="14"/>
  <c r="S23" i="21"/>
  <c r="C23" i="24"/>
  <c r="I23" i="24" s="1"/>
  <c r="L44" i="25"/>
  <c r="T28" i="21"/>
  <c r="G21" i="24"/>
  <c r="S21" i="21"/>
  <c r="S11" i="21"/>
  <c r="M30" i="14"/>
  <c r="C10" i="24"/>
  <c r="S37" i="21"/>
  <c r="S26" i="21"/>
  <c r="G19" i="24"/>
  <c r="T15" i="21"/>
  <c r="E79" i="24"/>
  <c r="M46" i="14"/>
  <c r="T44" i="21"/>
  <c r="M23" i="14"/>
  <c r="D40" i="24"/>
  <c r="F29" i="24"/>
  <c r="S28" i="21"/>
  <c r="T22" i="21"/>
  <c r="D20" i="24"/>
  <c r="S20" i="21"/>
  <c r="M33" i="14"/>
  <c r="C18" i="24"/>
  <c r="E69" i="24"/>
  <c r="Q91" i="59"/>
  <c r="P79" i="21"/>
  <c r="P67" i="21"/>
  <c r="G67" i="24" s="1"/>
  <c r="P58" i="21"/>
  <c r="X58" i="21" s="1"/>
  <c r="P54" i="21"/>
  <c r="G54" i="24" s="1"/>
  <c r="C29" i="188"/>
  <c r="D29" i="188" s="1"/>
  <c r="C27" i="188"/>
  <c r="C14" i="188"/>
  <c r="D14" i="188" s="1"/>
  <c r="M25" i="14"/>
  <c r="D21" i="188"/>
  <c r="F12" i="187" s="1"/>
  <c r="D23" i="188"/>
  <c r="D50" i="24"/>
  <c r="C30" i="188"/>
  <c r="D30" i="188" s="1"/>
  <c r="C28" i="188"/>
  <c r="D28" i="188" s="1"/>
  <c r="F14" i="187"/>
  <c r="C31" i="188"/>
  <c r="D31" i="188" s="1"/>
  <c r="C8" i="188"/>
  <c r="D8" i="188"/>
  <c r="D126" i="184"/>
  <c r="D52" i="24"/>
  <c r="H52" i="14"/>
  <c r="I52" i="14" s="1"/>
  <c r="H51" i="59"/>
  <c r="B49" i="15"/>
  <c r="U49" i="21" s="1"/>
  <c r="E49" i="24"/>
  <c r="G51" i="60"/>
  <c r="G52" i="60"/>
  <c r="V50" i="21" s="1"/>
  <c r="E86" i="24"/>
  <c r="B86" i="15"/>
  <c r="S27" i="21"/>
  <c r="G27" i="60"/>
  <c r="U25" i="21"/>
  <c r="B47" i="15"/>
  <c r="H51" i="14"/>
  <c r="I51" i="14" s="1"/>
  <c r="Q130" i="59"/>
  <c r="B69" i="15"/>
  <c r="G47" i="140"/>
  <c r="E45" i="59"/>
  <c r="E92" i="59"/>
  <c r="C24" i="13"/>
  <c r="H22" i="59"/>
  <c r="H17" i="59"/>
  <c r="Q32" i="59"/>
  <c r="Q10" i="59"/>
  <c r="Q20" i="59"/>
  <c r="Q25" i="59"/>
  <c r="B85" i="140"/>
  <c r="G36" i="60"/>
  <c r="V34" i="21" s="1"/>
  <c r="T31" i="21"/>
  <c r="G29" i="13"/>
  <c r="H29" i="13" s="1"/>
  <c r="H168" i="59"/>
  <c r="H113" i="59"/>
  <c r="H109" i="59"/>
  <c r="W82" i="21"/>
  <c r="P73" i="21"/>
  <c r="G73" i="24" s="1"/>
  <c r="M73" i="21"/>
  <c r="W73" i="21" s="1"/>
  <c r="P69" i="21"/>
  <c r="P65" i="21"/>
  <c r="P47" i="21"/>
  <c r="G47" i="24" s="1"/>
  <c r="W44" i="21"/>
  <c r="W26" i="21"/>
  <c r="W21" i="21"/>
  <c r="W88" i="21"/>
  <c r="M62" i="21"/>
  <c r="W59" i="21"/>
  <c r="M47" i="21"/>
  <c r="W47" i="21" s="1"/>
  <c r="W42" i="21"/>
  <c r="C46" i="21"/>
  <c r="C18" i="13"/>
  <c r="H35" i="59"/>
  <c r="G45" i="60"/>
  <c r="V43" i="21" s="1"/>
  <c r="G31" i="60"/>
  <c r="D58" i="24"/>
  <c r="G11" i="24"/>
  <c r="W55" i="21"/>
  <c r="C31" i="24"/>
  <c r="X23" i="21"/>
  <c r="N45" i="59"/>
  <c r="H157" i="59"/>
  <c r="H16" i="59"/>
  <c r="Q21" i="59"/>
  <c r="Q74" i="59"/>
  <c r="Q17" i="59"/>
  <c r="Q42" i="59"/>
  <c r="Q11" i="59"/>
  <c r="G12" i="60"/>
  <c r="G39" i="60"/>
  <c r="G28" i="60"/>
  <c r="V26" i="21" s="1"/>
  <c r="G22" i="60"/>
  <c r="G14" i="60"/>
  <c r="W43" i="98"/>
  <c r="K89" i="17"/>
  <c r="J89" i="17"/>
  <c r="I89" i="17"/>
  <c r="B89" i="14"/>
  <c r="Q25" i="9"/>
  <c r="G91" i="60"/>
  <c r="B89" i="15"/>
  <c r="N15" i="8"/>
  <c r="K47" i="17"/>
  <c r="W70" i="21"/>
  <c r="D69" i="24"/>
  <c r="I93" i="60"/>
  <c r="Q93" i="60" s="1"/>
  <c r="D12" i="187"/>
  <c r="P77" i="21"/>
  <c r="P56" i="21"/>
  <c r="G56" i="24" s="1"/>
  <c r="P85" i="21"/>
  <c r="P81" i="21"/>
  <c r="G81" i="24" s="1"/>
  <c r="M81" i="21"/>
  <c r="D81" i="24" s="1"/>
  <c r="M60" i="21"/>
  <c r="D60" i="24" s="1"/>
  <c r="K25" i="256"/>
  <c r="L25" i="256" s="1"/>
  <c r="K24" i="256"/>
  <c r="L24" i="256" s="1"/>
  <c r="K22" i="256"/>
  <c r="L22" i="256" s="1"/>
  <c r="K20" i="256"/>
  <c r="L20" i="256" s="1"/>
  <c r="K18" i="256"/>
  <c r="L18" i="256" s="1"/>
  <c r="K16" i="256"/>
  <c r="L16" i="256" s="1"/>
  <c r="K14" i="256"/>
  <c r="L14" i="256" s="1"/>
  <c r="K12" i="256"/>
  <c r="L12" i="256" s="1"/>
  <c r="K10" i="256"/>
  <c r="L10" i="256" s="1"/>
  <c r="K6" i="256"/>
  <c r="L6" i="256" s="1"/>
  <c r="D12" i="188"/>
  <c r="P101" i="184"/>
  <c r="K7" i="256"/>
  <c r="L7" i="256" s="1"/>
  <c r="C78" i="13"/>
  <c r="C56" i="13"/>
  <c r="C72" i="13"/>
  <c r="C87" i="13"/>
  <c r="G101" i="184"/>
  <c r="V101" i="184"/>
  <c r="H13" i="59"/>
  <c r="Q44" i="59"/>
  <c r="Q29" i="59"/>
  <c r="Q36" i="59"/>
  <c r="G33" i="60"/>
  <c r="H32" i="59"/>
  <c r="H20" i="59"/>
  <c r="H23" i="59"/>
  <c r="K50" i="17"/>
  <c r="Q52" i="59"/>
  <c r="G20" i="60"/>
  <c r="V18" i="21" s="1"/>
  <c r="I83" i="257"/>
  <c r="I79" i="257"/>
  <c r="I75" i="257"/>
  <c r="I67" i="257"/>
  <c r="I59" i="257"/>
  <c r="G43" i="60"/>
  <c r="D92" i="60"/>
  <c r="G46" i="60"/>
  <c r="V44" i="21" s="1"/>
  <c r="G37" i="60"/>
  <c r="V35" i="21" s="1"/>
  <c r="G24" i="60"/>
  <c r="V22" i="21" s="1"/>
  <c r="D11" i="60"/>
  <c r="H47" i="59"/>
  <c r="B51" i="24"/>
  <c r="G53" i="60"/>
  <c r="B51" i="14"/>
  <c r="B51" i="15"/>
  <c r="F87" i="24"/>
  <c r="C87" i="15"/>
  <c r="T87" i="21"/>
  <c r="G49" i="60"/>
  <c r="V47" i="21" s="1"/>
  <c r="B47" i="24"/>
  <c r="B47" i="14"/>
  <c r="F52" i="24"/>
  <c r="T52" i="21"/>
  <c r="G54" i="60"/>
  <c r="V52" i="21" s="1"/>
  <c r="B52" i="15"/>
  <c r="U52" i="21" s="1"/>
  <c r="E52" i="24"/>
  <c r="M88" i="15"/>
  <c r="M52" i="15"/>
  <c r="C18" i="188"/>
  <c r="E9" i="187" s="1"/>
  <c r="D78" i="24"/>
  <c r="W74" i="21"/>
  <c r="M67" i="21"/>
  <c r="E51" i="24"/>
  <c r="B50" i="15"/>
  <c r="U50" i="21" s="1"/>
  <c r="N22" i="13"/>
  <c r="M56" i="21"/>
  <c r="D56" i="24" s="1"/>
  <c r="B48" i="15"/>
  <c r="U48" i="21" s="1"/>
  <c r="G50" i="60"/>
  <c r="D37" i="184"/>
  <c r="U37" i="184"/>
  <c r="K4" i="256"/>
  <c r="L4" i="256" s="1"/>
  <c r="V37" i="184"/>
  <c r="AE37" i="184"/>
  <c r="K9" i="256"/>
  <c r="L9" i="256" s="1"/>
  <c r="K8" i="256"/>
  <c r="L8" i="256" s="1"/>
  <c r="J89" i="9"/>
  <c r="G44" i="60"/>
  <c r="T50" i="21"/>
  <c r="F50" i="24"/>
  <c r="R30" i="8"/>
  <c r="B55" i="12"/>
  <c r="B15" i="25"/>
  <c r="J37" i="17"/>
  <c r="H11" i="17"/>
  <c r="B11" i="25"/>
  <c r="R44" i="8"/>
  <c r="N44" i="8"/>
  <c r="L39" i="25"/>
  <c r="P49" i="21"/>
  <c r="G49" i="24" s="1"/>
  <c r="E84" i="24"/>
  <c r="P84" i="21"/>
  <c r="X84" i="21" s="1"/>
  <c r="G10" i="24"/>
  <c r="X12" i="21"/>
  <c r="D17" i="24"/>
  <c r="W17" i="21"/>
  <c r="W57" i="21"/>
  <c r="AH48" i="167"/>
  <c r="AG48" i="167"/>
  <c r="AA49" i="167"/>
  <c r="AA43" i="167"/>
  <c r="M71" i="21"/>
  <c r="W51" i="21"/>
  <c r="D51" i="24"/>
  <c r="M48" i="21"/>
  <c r="B48" i="24"/>
  <c r="P48" i="12"/>
  <c r="W43" i="167"/>
  <c r="K43" i="167"/>
  <c r="F43" i="167"/>
  <c r="G20" i="13"/>
  <c r="H20" i="13" s="1"/>
  <c r="M84" i="21"/>
  <c r="W84" i="21" s="1"/>
  <c r="M54" i="21"/>
  <c r="W54" i="21" s="1"/>
  <c r="P31" i="21"/>
  <c r="X31" i="21" s="1"/>
  <c r="M86" i="21"/>
  <c r="C11" i="187"/>
  <c r="D101" i="184"/>
  <c r="D20" i="188"/>
  <c r="F11" i="187" s="1"/>
  <c r="C19" i="188"/>
  <c r="D19" i="188"/>
  <c r="F10" i="187" s="1"/>
  <c r="P37" i="184"/>
  <c r="G32" i="60"/>
  <c r="S30" i="21"/>
  <c r="G26" i="60"/>
  <c r="T24" i="21"/>
  <c r="B16" i="24"/>
  <c r="G18" i="60"/>
  <c r="W14" i="21"/>
  <c r="B14" i="24"/>
  <c r="X34" i="21"/>
  <c r="W46" i="21"/>
  <c r="W36" i="21"/>
  <c r="Q158" i="59"/>
  <c r="F35" i="30"/>
  <c r="E21" i="30"/>
  <c r="N21" i="13" s="1"/>
  <c r="G26" i="13"/>
  <c r="H26" i="13" s="1"/>
  <c r="G15" i="13"/>
  <c r="H15" i="13" s="1"/>
  <c r="X33" i="21"/>
  <c r="G33" i="24"/>
  <c r="P25" i="21"/>
  <c r="P62" i="21"/>
  <c r="X44" i="21"/>
  <c r="W75" i="21"/>
  <c r="M50" i="15"/>
  <c r="M66" i="21"/>
  <c r="M25" i="21"/>
  <c r="F8" i="162"/>
  <c r="AE100" i="184"/>
  <c r="AE101" i="184" s="1"/>
  <c r="C22" i="188"/>
  <c r="D22" i="188" s="1"/>
  <c r="C81" i="13"/>
  <c r="C54" i="13"/>
  <c r="H46" i="59"/>
  <c r="Q38" i="59"/>
  <c r="Q34" i="59"/>
  <c r="Q22" i="59"/>
  <c r="K11" i="60"/>
  <c r="X43" i="167"/>
  <c r="R43" i="167"/>
  <c r="I43" i="167"/>
  <c r="G43" i="167"/>
  <c r="U101" i="184"/>
  <c r="C14" i="187"/>
  <c r="D14" i="187" s="1"/>
  <c r="Q13" i="59"/>
  <c r="F91" i="100"/>
  <c r="S43" i="167"/>
  <c r="N43" i="167"/>
  <c r="C43" i="167"/>
  <c r="C86" i="13"/>
  <c r="C89" i="13"/>
  <c r="T89" i="13" s="1"/>
  <c r="H30" i="59"/>
  <c r="Q157" i="59"/>
  <c r="G38" i="60"/>
  <c r="Q43" i="167"/>
  <c r="O43" i="167"/>
  <c r="J43" i="167"/>
  <c r="G35" i="30"/>
  <c r="M87" i="15"/>
  <c r="M69" i="15"/>
  <c r="M85" i="15"/>
  <c r="AK49" i="167"/>
  <c r="AF43" i="167"/>
  <c r="AB43" i="167"/>
  <c r="AD43" i="167"/>
  <c r="AH43" i="167"/>
  <c r="AI43" i="167"/>
  <c r="AM49" i="167"/>
  <c r="AP25" i="167"/>
  <c r="V48" i="167"/>
  <c r="V43" i="167"/>
  <c r="AP16" i="167"/>
  <c r="AP14" i="167"/>
  <c r="AP12" i="167"/>
  <c r="AM48" i="167"/>
  <c r="AJ49" i="167"/>
  <c r="AE48" i="167"/>
  <c r="AB49" i="167"/>
  <c r="Z49" i="167"/>
  <c r="W49" i="167"/>
  <c r="AK48" i="167"/>
  <c r="AH49" i="167"/>
  <c r="AC48" i="167"/>
  <c r="AA48" i="167"/>
  <c r="X49" i="167"/>
  <c r="AP28" i="167"/>
  <c r="AP15" i="167"/>
  <c r="AI48" i="167"/>
  <c r="AF49" i="167"/>
  <c r="Y48" i="167"/>
  <c r="W48" i="167"/>
  <c r="F31" i="36"/>
  <c r="P31" i="36" s="1"/>
  <c r="B78" i="15"/>
  <c r="E78" i="24"/>
  <c r="C43" i="13"/>
  <c r="M51" i="15"/>
  <c r="T51" i="21"/>
  <c r="F51" i="24"/>
  <c r="H49" i="14"/>
  <c r="I49" i="14" s="1"/>
  <c r="M48" i="15"/>
  <c r="T48" i="21"/>
  <c r="M80" i="15"/>
  <c r="F48" i="24"/>
  <c r="H48" i="14"/>
  <c r="I48" i="14" s="1"/>
  <c r="M49" i="15"/>
  <c r="F49" i="24"/>
  <c r="T49" i="21"/>
  <c r="B82" i="24"/>
  <c r="B82" i="14"/>
  <c r="J39" i="12" l="1"/>
  <c r="B26" i="25"/>
  <c r="H17" i="17"/>
  <c r="M28" i="13"/>
  <c r="H37" i="17"/>
  <c r="K26" i="17"/>
  <c r="I26" i="9"/>
  <c r="C15" i="154"/>
  <c r="E17" i="116"/>
  <c r="I28" i="116"/>
  <c r="H43" i="36"/>
  <c r="G85" i="8"/>
  <c r="G77" i="8"/>
  <c r="P77" i="8" s="1"/>
  <c r="D54" i="8"/>
  <c r="F19" i="25"/>
  <c r="K17" i="12"/>
  <c r="K39" i="12"/>
  <c r="K35" i="12"/>
  <c r="R12" i="8"/>
  <c r="G60" i="8"/>
  <c r="P60" i="8" s="1"/>
  <c r="P51" i="12"/>
  <c r="R15" i="8"/>
  <c r="C20" i="154"/>
  <c r="Q46" i="9"/>
  <c r="L35" i="25"/>
  <c r="J43" i="17"/>
  <c r="I48" i="9"/>
  <c r="I16" i="257"/>
  <c r="I29" i="10"/>
  <c r="P14" i="12"/>
  <c r="H15" i="17"/>
  <c r="M31" i="13"/>
  <c r="D20" i="25"/>
  <c r="H35" i="17"/>
  <c r="I43" i="257"/>
  <c r="P38" i="12"/>
  <c r="B24" i="25"/>
  <c r="R54" i="59"/>
  <c r="G54" i="21" s="1"/>
  <c r="U22" i="21"/>
  <c r="U14" i="21"/>
  <c r="U29" i="21"/>
  <c r="R58" i="59"/>
  <c r="G58" i="21" s="1"/>
  <c r="J49" i="60"/>
  <c r="C42" i="13"/>
  <c r="R68" i="59"/>
  <c r="G68" i="21" s="1"/>
  <c r="H77" i="59"/>
  <c r="K19" i="12"/>
  <c r="L37" i="25"/>
  <c r="L24" i="25"/>
  <c r="E54" i="24"/>
  <c r="H12" i="24"/>
  <c r="Q120" i="59"/>
  <c r="Q112" i="59"/>
  <c r="B12" i="24"/>
  <c r="X13" i="21"/>
  <c r="N90" i="21"/>
  <c r="N91" i="21" s="1"/>
  <c r="I47" i="257"/>
  <c r="I87" i="257"/>
  <c r="I71" i="257"/>
  <c r="I63" i="257"/>
  <c r="I55" i="257"/>
  <c r="P11" i="12"/>
  <c r="I54" i="257"/>
  <c r="I77" i="257"/>
  <c r="K31" i="17"/>
  <c r="K19" i="17"/>
  <c r="H36" i="36"/>
  <c r="J25" i="17"/>
  <c r="I25" i="17" s="1"/>
  <c r="E36" i="116"/>
  <c r="C11" i="128"/>
  <c r="E19" i="116"/>
  <c r="R51" i="8"/>
  <c r="K15" i="12"/>
  <c r="C27" i="154"/>
  <c r="P47" i="12"/>
  <c r="B39" i="25"/>
  <c r="F39" i="25" s="1"/>
  <c r="H31" i="36"/>
  <c r="M51" i="13"/>
  <c r="G72" i="8"/>
  <c r="P72" i="8" s="1"/>
  <c r="J31" i="17"/>
  <c r="J19" i="17"/>
  <c r="I16" i="116"/>
  <c r="N27" i="8"/>
  <c r="D78" i="8"/>
  <c r="K78" i="8" s="1"/>
  <c r="J37" i="12"/>
  <c r="L30" i="25"/>
  <c r="R16" i="8"/>
  <c r="K48" i="17"/>
  <c r="I48" i="17" s="1"/>
  <c r="B40" i="25"/>
  <c r="F40" i="25" s="1"/>
  <c r="B17" i="25"/>
  <c r="F17" i="25" s="1"/>
  <c r="Q48" i="9"/>
  <c r="G87" i="8"/>
  <c r="P87" i="8" s="1"/>
  <c r="G71" i="8"/>
  <c r="G63" i="8"/>
  <c r="P63" i="8" s="1"/>
  <c r="C41" i="154"/>
  <c r="J40" i="17"/>
  <c r="I40" i="17" s="1"/>
  <c r="K35" i="17"/>
  <c r="H31" i="17"/>
  <c r="J15" i="17"/>
  <c r="I15" i="17" s="1"/>
  <c r="H19" i="17"/>
  <c r="I46" i="116"/>
  <c r="E16" i="116"/>
  <c r="E35" i="116"/>
  <c r="R17" i="8"/>
  <c r="C45" i="9"/>
  <c r="K45" i="268" s="1"/>
  <c r="C46" i="154"/>
  <c r="F12" i="25"/>
  <c r="G78" i="8"/>
  <c r="P78" i="8" s="1"/>
  <c r="G70" i="8"/>
  <c r="P70" i="8" s="1"/>
  <c r="C24" i="154"/>
  <c r="H78" i="17"/>
  <c r="K39" i="17"/>
  <c r="K20" i="17"/>
  <c r="E39" i="116"/>
  <c r="I34" i="116"/>
  <c r="I24" i="10"/>
  <c r="I30" i="10"/>
  <c r="N34" i="8"/>
  <c r="I15" i="257"/>
  <c r="D34" i="8"/>
  <c r="P52" i="9"/>
  <c r="E27" i="140"/>
  <c r="H27" i="60" s="1"/>
  <c r="F25" i="13"/>
  <c r="Q97" i="59"/>
  <c r="I26" i="116"/>
  <c r="E20" i="116"/>
  <c r="R25" i="8"/>
  <c r="F28" i="36"/>
  <c r="L28" i="36" s="1"/>
  <c r="E25" i="21"/>
  <c r="C25" i="13" s="1"/>
  <c r="V27" i="28"/>
  <c r="K39" i="14"/>
  <c r="L39" i="14" s="1"/>
  <c r="Q216" i="59"/>
  <c r="D64" i="24"/>
  <c r="G37" i="184"/>
  <c r="Q203" i="59"/>
  <c r="Q178" i="59"/>
  <c r="Q156" i="59"/>
  <c r="E78" i="116"/>
  <c r="I35" i="116"/>
  <c r="E32" i="116"/>
  <c r="I25" i="9"/>
  <c r="D30" i="8"/>
  <c r="J30" i="8" s="1"/>
  <c r="F12" i="36"/>
  <c r="D19" i="8"/>
  <c r="D71" i="8"/>
  <c r="J71" i="8" s="1"/>
  <c r="F30" i="36"/>
  <c r="L30" i="36" s="1"/>
  <c r="E35" i="12"/>
  <c r="B35" i="13" s="1"/>
  <c r="K14" i="9"/>
  <c r="K34" i="25"/>
  <c r="E20" i="24"/>
  <c r="E16" i="24"/>
  <c r="H16" i="24" s="1"/>
  <c r="C38" i="100"/>
  <c r="U47" i="21"/>
  <c r="Q176" i="59"/>
  <c r="Q164" i="59"/>
  <c r="D63" i="8"/>
  <c r="I30" i="257"/>
  <c r="I19" i="257"/>
  <c r="I14" i="10"/>
  <c r="J33" i="24"/>
  <c r="H47" i="24"/>
  <c r="F27" i="140"/>
  <c r="I27" i="60" s="1"/>
  <c r="Q27" i="60" s="1"/>
  <c r="Q98" i="59"/>
  <c r="G73" i="8"/>
  <c r="P73" i="8" s="1"/>
  <c r="I25" i="116"/>
  <c r="H38" i="59"/>
  <c r="H34" i="59"/>
  <c r="Q47" i="59"/>
  <c r="D87" i="8"/>
  <c r="K87" i="8" s="1"/>
  <c r="D78" i="12"/>
  <c r="I73" i="257"/>
  <c r="D32" i="23"/>
  <c r="C32" i="13" s="1"/>
  <c r="U54" i="28"/>
  <c r="K38" i="25"/>
  <c r="P37" i="12"/>
  <c r="P18" i="12"/>
  <c r="C40" i="154"/>
  <c r="D79" i="8"/>
  <c r="J79" i="8" s="1"/>
  <c r="P43" i="12"/>
  <c r="P16" i="12"/>
  <c r="D86" i="8"/>
  <c r="J86" i="8" s="1"/>
  <c r="I32" i="257"/>
  <c r="K39" i="36"/>
  <c r="P46" i="12"/>
  <c r="P21" i="12"/>
  <c r="P13" i="12"/>
  <c r="C29" i="154"/>
  <c r="P39" i="12"/>
  <c r="P20" i="12"/>
  <c r="K19" i="25"/>
  <c r="H41" i="36"/>
  <c r="F79" i="21"/>
  <c r="I79" i="13" s="1"/>
  <c r="G81" i="60"/>
  <c r="V79" i="21" s="1"/>
  <c r="B79" i="14"/>
  <c r="J19" i="24"/>
  <c r="U20" i="28"/>
  <c r="K44" i="14"/>
  <c r="X41" i="21"/>
  <c r="W29" i="28"/>
  <c r="V25" i="28"/>
  <c r="P82" i="21"/>
  <c r="G82" i="24" s="1"/>
  <c r="J82" i="24" s="1"/>
  <c r="C21" i="100"/>
  <c r="C43" i="100"/>
  <c r="G45" i="19"/>
  <c r="C79" i="13"/>
  <c r="H91" i="100"/>
  <c r="Q67" i="59"/>
  <c r="P87" i="21"/>
  <c r="U52" i="28"/>
  <c r="C61" i="13"/>
  <c r="J42" i="24"/>
  <c r="O91" i="21"/>
  <c r="W41" i="21"/>
  <c r="N90" i="59"/>
  <c r="C59" i="13"/>
  <c r="H11" i="59"/>
  <c r="H28" i="59"/>
  <c r="G13" i="60"/>
  <c r="V11" i="21" s="1"/>
  <c r="C88" i="100"/>
  <c r="G42" i="128"/>
  <c r="I28" i="24"/>
  <c r="V22" i="28"/>
  <c r="G40" i="102"/>
  <c r="H26" i="24"/>
  <c r="H43" i="59"/>
  <c r="P9" i="59"/>
  <c r="C72" i="100"/>
  <c r="C19" i="100"/>
  <c r="U11" i="21"/>
  <c r="U38" i="21"/>
  <c r="U35" i="21"/>
  <c r="S16" i="23"/>
  <c r="U45" i="28"/>
  <c r="U41" i="28"/>
  <c r="U23" i="28"/>
  <c r="U79" i="21"/>
  <c r="J14" i="24"/>
  <c r="K91" i="21"/>
  <c r="Q173" i="59"/>
  <c r="Q126" i="59"/>
  <c r="H117" i="59"/>
  <c r="C56" i="100"/>
  <c r="C15" i="100"/>
  <c r="G42" i="140"/>
  <c r="J42" i="60" s="1"/>
  <c r="F52" i="13"/>
  <c r="C52" i="14"/>
  <c r="D52" i="14" s="1"/>
  <c r="G52" i="13" s="1"/>
  <c r="C9" i="188"/>
  <c r="W30" i="21"/>
  <c r="G41" i="24"/>
  <c r="J41" i="24" s="1"/>
  <c r="D13" i="24"/>
  <c r="U36" i="28"/>
  <c r="U21" i="28"/>
  <c r="Q206" i="59"/>
  <c r="Q148" i="59"/>
  <c r="Q131" i="59"/>
  <c r="C88" i="13"/>
  <c r="C68" i="13"/>
  <c r="T27" i="21"/>
  <c r="J42" i="128"/>
  <c r="Q160" i="59"/>
  <c r="B30" i="24"/>
  <c r="H30" i="24" s="1"/>
  <c r="W77" i="21"/>
  <c r="X32" i="21"/>
  <c r="C32" i="188"/>
  <c r="D32" i="188" s="1"/>
  <c r="H214" i="59"/>
  <c r="Q146" i="59"/>
  <c r="Q138" i="59"/>
  <c r="Q103" i="59"/>
  <c r="C82" i="13"/>
  <c r="C71" i="13"/>
  <c r="Q43" i="59"/>
  <c r="Q15" i="59"/>
  <c r="Q24" i="59"/>
  <c r="C80" i="100"/>
  <c r="C64" i="100"/>
  <c r="C11" i="100"/>
  <c r="K36" i="25"/>
  <c r="D34" i="24"/>
  <c r="J34" i="24" s="1"/>
  <c r="C8" i="185"/>
  <c r="X16" i="21"/>
  <c r="B8" i="185"/>
  <c r="T46" i="21"/>
  <c r="U27" i="28"/>
  <c r="U34" i="28"/>
  <c r="U33" i="21"/>
  <c r="H119" i="59"/>
  <c r="H98" i="59"/>
  <c r="D13" i="188"/>
  <c r="T37" i="184"/>
  <c r="C62" i="13"/>
  <c r="C83" i="13"/>
  <c r="H45" i="19"/>
  <c r="U18" i="28"/>
  <c r="E46" i="24"/>
  <c r="D8" i="185"/>
  <c r="D10" i="185" s="1"/>
  <c r="E7" i="187" s="1"/>
  <c r="X10" i="21"/>
  <c r="B79" i="24"/>
  <c r="H79" i="24" s="1"/>
  <c r="E13" i="187"/>
  <c r="D13" i="187" s="1"/>
  <c r="D15" i="188"/>
  <c r="W85" i="21"/>
  <c r="D11" i="24"/>
  <c r="H203" i="59"/>
  <c r="Q192" i="59"/>
  <c r="Q110" i="59"/>
  <c r="Q93" i="59"/>
  <c r="D67" i="8"/>
  <c r="I67" i="8" s="1"/>
  <c r="L67" i="8" s="1"/>
  <c r="D59" i="8"/>
  <c r="J59" i="8" s="1"/>
  <c r="D47" i="8"/>
  <c r="K47" i="8" s="1"/>
  <c r="F13" i="187"/>
  <c r="G13" i="24"/>
  <c r="J13" i="24" s="1"/>
  <c r="U32" i="28"/>
  <c r="D37" i="24"/>
  <c r="W22" i="28"/>
  <c r="H193" i="59"/>
  <c r="H161" i="59"/>
  <c r="Q199" i="59"/>
  <c r="Q133" i="59"/>
  <c r="Q124" i="59"/>
  <c r="Q116" i="59"/>
  <c r="Q108" i="59"/>
  <c r="C80" i="13"/>
  <c r="Q30" i="59"/>
  <c r="Q18" i="59"/>
  <c r="C76" i="100"/>
  <c r="C60" i="100"/>
  <c r="D45" i="19"/>
  <c r="D42" i="8"/>
  <c r="H24" i="17"/>
  <c r="P44" i="12"/>
  <c r="Q60" i="59"/>
  <c r="R60" i="59" s="1"/>
  <c r="G60" i="21" s="1"/>
  <c r="D47" i="24"/>
  <c r="J47" i="24" s="1"/>
  <c r="H49" i="24"/>
  <c r="I18" i="24"/>
  <c r="J21" i="24"/>
  <c r="S11" i="23"/>
  <c r="J29" i="24"/>
  <c r="AL43" i="167"/>
  <c r="AP43" i="167" s="1"/>
  <c r="G57" i="140"/>
  <c r="G50" i="140"/>
  <c r="J50" i="60" s="1"/>
  <c r="H48" i="257" s="1"/>
  <c r="E30" i="140"/>
  <c r="H30" i="60" s="1"/>
  <c r="J30" i="24"/>
  <c r="Q34" i="60"/>
  <c r="H81" i="59"/>
  <c r="G86" i="140"/>
  <c r="R80" i="59"/>
  <c r="G80" i="21" s="1"/>
  <c r="J80" i="21" s="1"/>
  <c r="M81" i="15" s="1"/>
  <c r="H40" i="24"/>
  <c r="H33" i="24"/>
  <c r="H48" i="24"/>
  <c r="P57" i="21"/>
  <c r="H42" i="59"/>
  <c r="Q35" i="59"/>
  <c r="G80" i="140"/>
  <c r="J80" i="60" s="1"/>
  <c r="H78" i="257" s="1"/>
  <c r="H57" i="59"/>
  <c r="AM43" i="167"/>
  <c r="F92" i="60"/>
  <c r="F11" i="60"/>
  <c r="U15" i="28"/>
  <c r="Q159" i="59"/>
  <c r="C75" i="13"/>
  <c r="H26" i="59"/>
  <c r="H24" i="59"/>
  <c r="G21" i="60"/>
  <c r="V19" i="21" s="1"/>
  <c r="H100" i="59"/>
  <c r="C78" i="100"/>
  <c r="C66" i="100"/>
  <c r="C9" i="100"/>
  <c r="E47" i="116"/>
  <c r="J47" i="268"/>
  <c r="K47" i="268"/>
  <c r="H47" i="268"/>
  <c r="C39" i="100"/>
  <c r="C27" i="100"/>
  <c r="C45" i="100"/>
  <c r="E23" i="140"/>
  <c r="H23" i="60" s="1"/>
  <c r="I89" i="261"/>
  <c r="I89" i="268"/>
  <c r="E32" i="23"/>
  <c r="E40" i="23" s="1"/>
  <c r="I40" i="13" s="1"/>
  <c r="D18" i="188"/>
  <c r="F9" i="187" s="1"/>
  <c r="X67" i="21"/>
  <c r="J11" i="24"/>
  <c r="V20" i="28"/>
  <c r="U29" i="28"/>
  <c r="U26" i="21"/>
  <c r="S30" i="23"/>
  <c r="V24" i="28"/>
  <c r="U24" i="28"/>
  <c r="U17" i="28"/>
  <c r="S37" i="23"/>
  <c r="P46" i="21"/>
  <c r="G46" i="24" s="1"/>
  <c r="J46" i="24" s="1"/>
  <c r="C73" i="13"/>
  <c r="C69" i="13"/>
  <c r="C65" i="13"/>
  <c r="H41" i="59"/>
  <c r="G16" i="60"/>
  <c r="V14" i="21" s="1"/>
  <c r="AP33" i="167"/>
  <c r="C82" i="100"/>
  <c r="G56" i="140"/>
  <c r="J56" i="60" s="1"/>
  <c r="H54" i="257" s="1"/>
  <c r="E19" i="140"/>
  <c r="H19" i="60" s="1"/>
  <c r="P35" i="12"/>
  <c r="P49" i="9"/>
  <c r="X75" i="21"/>
  <c r="G84" i="24"/>
  <c r="V15" i="28"/>
  <c r="V16" i="28"/>
  <c r="U22" i="28"/>
  <c r="U40" i="21"/>
  <c r="S29" i="23"/>
  <c r="W17" i="28"/>
  <c r="W15" i="28"/>
  <c r="E8" i="256"/>
  <c r="C84" i="13"/>
  <c r="C77" i="13"/>
  <c r="H19" i="59"/>
  <c r="H40" i="59"/>
  <c r="C31" i="100"/>
  <c r="C49" i="100"/>
  <c r="G82" i="140"/>
  <c r="J82" i="60" s="1"/>
  <c r="H80" i="257" s="1"/>
  <c r="D54" i="12"/>
  <c r="G54" i="12" s="1"/>
  <c r="N54" i="12" s="1"/>
  <c r="P40" i="12"/>
  <c r="J89" i="268"/>
  <c r="K89" i="268"/>
  <c r="H89" i="268"/>
  <c r="B50" i="25"/>
  <c r="J50" i="268"/>
  <c r="K50" i="268"/>
  <c r="H50" i="268"/>
  <c r="U30" i="28"/>
  <c r="W23" i="28"/>
  <c r="I30" i="24"/>
  <c r="E49" i="60"/>
  <c r="P49" i="60" s="1"/>
  <c r="J17" i="24"/>
  <c r="W81" i="21"/>
  <c r="H50" i="24"/>
  <c r="U39" i="21"/>
  <c r="R30" i="23"/>
  <c r="S40" i="23"/>
  <c r="W26" i="28"/>
  <c r="W25" i="28"/>
  <c r="W16" i="28"/>
  <c r="U48" i="28"/>
  <c r="U19" i="28"/>
  <c r="L14" i="14"/>
  <c r="D14" i="13" s="1"/>
  <c r="W24" i="21"/>
  <c r="Q154" i="59"/>
  <c r="C62" i="100"/>
  <c r="E83" i="116"/>
  <c r="H83" i="268"/>
  <c r="AG49" i="167"/>
  <c r="C35" i="100"/>
  <c r="C23" i="100"/>
  <c r="Q88" i="59"/>
  <c r="R88" i="59" s="1"/>
  <c r="G88" i="21" s="1"/>
  <c r="I11" i="17"/>
  <c r="H54" i="268"/>
  <c r="K40" i="268"/>
  <c r="H40" i="268"/>
  <c r="J40" i="268"/>
  <c r="K36" i="268"/>
  <c r="H36" i="268"/>
  <c r="J36" i="268"/>
  <c r="H32" i="261"/>
  <c r="H32" i="268"/>
  <c r="H25" i="268"/>
  <c r="J25" i="268"/>
  <c r="K25" i="268"/>
  <c r="K20" i="268"/>
  <c r="H20" i="268"/>
  <c r="J20" i="268"/>
  <c r="K16" i="268"/>
  <c r="H16" i="268"/>
  <c r="J16" i="268"/>
  <c r="J11" i="268"/>
  <c r="K11" i="268"/>
  <c r="H11" i="268"/>
  <c r="H46" i="17"/>
  <c r="H46" i="268"/>
  <c r="J46" i="268"/>
  <c r="K46" i="268"/>
  <c r="I10" i="10"/>
  <c r="I27" i="10"/>
  <c r="H52" i="17"/>
  <c r="K52" i="268"/>
  <c r="H52" i="268"/>
  <c r="J52" i="268"/>
  <c r="J43" i="268"/>
  <c r="K43" i="268"/>
  <c r="H43" i="268"/>
  <c r="J39" i="268"/>
  <c r="K39" i="268"/>
  <c r="H39" i="268"/>
  <c r="J35" i="268"/>
  <c r="K35" i="268"/>
  <c r="H35" i="268"/>
  <c r="B31" i="25"/>
  <c r="D31" i="25" s="1"/>
  <c r="J31" i="268"/>
  <c r="K31" i="268"/>
  <c r="H31" i="268"/>
  <c r="H24" i="261"/>
  <c r="H24" i="268"/>
  <c r="J19" i="268"/>
  <c r="K19" i="268"/>
  <c r="H19" i="268"/>
  <c r="J15" i="268"/>
  <c r="K15" i="268"/>
  <c r="H15" i="268"/>
  <c r="K48" i="268"/>
  <c r="H48" i="268"/>
  <c r="J48" i="268"/>
  <c r="H78" i="268"/>
  <c r="H49" i="268"/>
  <c r="J49" i="268"/>
  <c r="K49" i="268"/>
  <c r="H42" i="268"/>
  <c r="J42" i="268"/>
  <c r="K42" i="268"/>
  <c r="H38" i="268"/>
  <c r="J38" i="268"/>
  <c r="K38" i="268"/>
  <c r="H34" i="17"/>
  <c r="H34" i="268"/>
  <c r="J34" i="268"/>
  <c r="K34" i="268"/>
  <c r="H29" i="268"/>
  <c r="J29" i="268"/>
  <c r="K29" i="268"/>
  <c r="H22" i="268"/>
  <c r="J22" i="268"/>
  <c r="K22" i="268"/>
  <c r="B18" i="25"/>
  <c r="H18" i="268"/>
  <c r="J18" i="268"/>
  <c r="K18" i="268"/>
  <c r="K14" i="17"/>
  <c r="H14" i="268"/>
  <c r="J14" i="268"/>
  <c r="K14" i="268"/>
  <c r="H30" i="261"/>
  <c r="H30" i="268"/>
  <c r="K44" i="268"/>
  <c r="H44" i="268"/>
  <c r="J44" i="268"/>
  <c r="H77" i="268"/>
  <c r="H41" i="268"/>
  <c r="J41" i="268"/>
  <c r="K41" i="268"/>
  <c r="K37" i="17"/>
  <c r="I37" i="17" s="1"/>
  <c r="H37" i="268"/>
  <c r="J37" i="268"/>
  <c r="K37" i="268"/>
  <c r="H33" i="268"/>
  <c r="J33" i="268"/>
  <c r="K33" i="268"/>
  <c r="E26" i="116"/>
  <c r="H26" i="268"/>
  <c r="J26" i="268"/>
  <c r="K26" i="268"/>
  <c r="H21" i="268"/>
  <c r="J21" i="268"/>
  <c r="K21" i="268"/>
  <c r="H17" i="268"/>
  <c r="J17" i="268"/>
  <c r="K17" i="268"/>
  <c r="H12" i="261"/>
  <c r="H12" i="268"/>
  <c r="J51" i="268"/>
  <c r="K51" i="268"/>
  <c r="H51" i="268"/>
  <c r="E28" i="116"/>
  <c r="K28" i="268"/>
  <c r="H28" i="268"/>
  <c r="J28" i="268"/>
  <c r="V19" i="28"/>
  <c r="W56" i="21"/>
  <c r="I10" i="24"/>
  <c r="I46" i="24"/>
  <c r="I20" i="24"/>
  <c r="U38" i="28"/>
  <c r="U17" i="21"/>
  <c r="S42" i="23"/>
  <c r="L34" i="14"/>
  <c r="D34" i="13" s="1"/>
  <c r="E34" i="13" s="1"/>
  <c r="T34" i="13" s="1"/>
  <c r="J37" i="24"/>
  <c r="W31" i="28"/>
  <c r="X73" i="21"/>
  <c r="H21" i="24"/>
  <c r="S33" i="23"/>
  <c r="W60" i="21"/>
  <c r="U30" i="21"/>
  <c r="H52" i="24"/>
  <c r="G58" i="24"/>
  <c r="J58" i="24" s="1"/>
  <c r="V25" i="21"/>
  <c r="H22" i="24"/>
  <c r="I16" i="24"/>
  <c r="H37" i="24"/>
  <c r="V23" i="28"/>
  <c r="U36" i="21"/>
  <c r="K47" i="20"/>
  <c r="H36" i="24"/>
  <c r="W14" i="28"/>
  <c r="V14" i="28"/>
  <c r="W30" i="28"/>
  <c r="W20" i="28"/>
  <c r="U37" i="28"/>
  <c r="Q218" i="59"/>
  <c r="G91" i="100"/>
  <c r="M91" i="100"/>
  <c r="Q23" i="59"/>
  <c r="Q26" i="59"/>
  <c r="H116" i="59"/>
  <c r="H192" i="59"/>
  <c r="AP8" i="167"/>
  <c r="AL49" i="167"/>
  <c r="J57" i="60"/>
  <c r="H55" i="257" s="1"/>
  <c r="F29" i="140"/>
  <c r="I70" i="257"/>
  <c r="AN49" i="167"/>
  <c r="H79" i="21"/>
  <c r="W32" i="28"/>
  <c r="V28" i="28"/>
  <c r="W18" i="28"/>
  <c r="V17" i="28"/>
  <c r="K93" i="60"/>
  <c r="O93" i="60" s="1"/>
  <c r="G55" i="140"/>
  <c r="X21" i="21"/>
  <c r="W32" i="21"/>
  <c r="Q171" i="59"/>
  <c r="C85" i="13"/>
  <c r="C76" i="13"/>
  <c r="C70" i="13"/>
  <c r="C74" i="13"/>
  <c r="H29" i="59"/>
  <c r="Q39" i="59"/>
  <c r="Q40" i="59"/>
  <c r="AP10" i="167"/>
  <c r="C41" i="100"/>
  <c r="C37" i="100"/>
  <c r="C33" i="100"/>
  <c r="C29" i="100"/>
  <c r="C25" i="100"/>
  <c r="C17" i="100"/>
  <c r="C13" i="100"/>
  <c r="C51" i="100"/>
  <c r="G63" i="140"/>
  <c r="J63" i="60" s="1"/>
  <c r="H61" i="257" s="1"/>
  <c r="G61" i="140"/>
  <c r="J61" i="60" s="1"/>
  <c r="H59" i="257" s="1"/>
  <c r="G53" i="140"/>
  <c r="J53" i="60" s="1"/>
  <c r="H51" i="257" s="1"/>
  <c r="G43" i="140"/>
  <c r="J43" i="60" s="1"/>
  <c r="E43" i="60" s="1"/>
  <c r="G14" i="140"/>
  <c r="J14" i="60" s="1"/>
  <c r="H12" i="257" s="1"/>
  <c r="G29" i="140"/>
  <c r="J29" i="60" s="1"/>
  <c r="H27" i="257" s="1"/>
  <c r="F19" i="36"/>
  <c r="L19" i="36" s="1"/>
  <c r="I84" i="257"/>
  <c r="I76" i="257"/>
  <c r="I64" i="257"/>
  <c r="I60" i="257"/>
  <c r="I56" i="257"/>
  <c r="G11" i="19"/>
  <c r="P52" i="21"/>
  <c r="P48" i="21"/>
  <c r="G48" i="24" s="1"/>
  <c r="X14" i="21"/>
  <c r="W78" i="21"/>
  <c r="Q170" i="59"/>
  <c r="C9" i="187"/>
  <c r="D9" i="187" s="1"/>
  <c r="C60" i="13"/>
  <c r="D52" i="100"/>
  <c r="C42" i="100"/>
  <c r="C34" i="100"/>
  <c r="C30" i="100"/>
  <c r="C26" i="100"/>
  <c r="C22" i="100"/>
  <c r="C18" i="100"/>
  <c r="C14" i="100"/>
  <c r="K89" i="100"/>
  <c r="C40" i="100"/>
  <c r="C36" i="100"/>
  <c r="C32" i="100"/>
  <c r="C28" i="100"/>
  <c r="C24" i="100"/>
  <c r="C20" i="100"/>
  <c r="C16" i="100"/>
  <c r="C12" i="100"/>
  <c r="H34" i="36"/>
  <c r="J86" i="60"/>
  <c r="H84" i="257" s="1"/>
  <c r="E37" i="140"/>
  <c r="H37" i="60" s="1"/>
  <c r="Q37" i="60" s="1"/>
  <c r="E39" i="140"/>
  <c r="H39" i="60" s="1"/>
  <c r="E44" i="140"/>
  <c r="H44" i="60" s="1"/>
  <c r="Q44" i="60" s="1"/>
  <c r="G89" i="25"/>
  <c r="I16" i="9"/>
  <c r="Q16" i="9"/>
  <c r="F13" i="36"/>
  <c r="P13" i="36" s="1"/>
  <c r="I22" i="10"/>
  <c r="O44" i="36"/>
  <c r="F38" i="36"/>
  <c r="P38" i="36" s="1"/>
  <c r="K41" i="36"/>
  <c r="D40" i="8"/>
  <c r="F44" i="36"/>
  <c r="L44" i="36" s="1"/>
  <c r="F43" i="36"/>
  <c r="L43" i="36" s="1"/>
  <c r="I41" i="10"/>
  <c r="F39" i="36"/>
  <c r="P39" i="36" s="1"/>
  <c r="G24" i="25"/>
  <c r="K24" i="25" s="1"/>
  <c r="I24" i="9"/>
  <c r="Q15" i="9"/>
  <c r="M15" i="13"/>
  <c r="J30" i="36"/>
  <c r="J26" i="9"/>
  <c r="M10" i="13"/>
  <c r="N20" i="8"/>
  <c r="I10" i="116"/>
  <c r="I15" i="116"/>
  <c r="G26" i="25"/>
  <c r="K26" i="25" s="1"/>
  <c r="I19" i="10"/>
  <c r="O43" i="36"/>
  <c r="D88" i="8"/>
  <c r="I88" i="8" s="1"/>
  <c r="L88" i="8" s="1"/>
  <c r="D60" i="8"/>
  <c r="K60" i="8" s="1"/>
  <c r="D35" i="8"/>
  <c r="D25" i="8"/>
  <c r="J25" i="8" s="1"/>
  <c r="C21" i="154"/>
  <c r="M19" i="13"/>
  <c r="N16" i="8"/>
  <c r="I38" i="116"/>
  <c r="I24" i="116"/>
  <c r="N35" i="8"/>
  <c r="D33" i="8"/>
  <c r="J33" i="8" s="1"/>
  <c r="I29" i="257"/>
  <c r="I14" i="257"/>
  <c r="I51" i="257"/>
  <c r="D43" i="8"/>
  <c r="J43" i="8" s="1"/>
  <c r="J48" i="9"/>
  <c r="D80" i="8"/>
  <c r="J80" i="8" s="1"/>
  <c r="D16" i="8"/>
  <c r="J16" i="8" s="1"/>
  <c r="D76" i="8"/>
  <c r="K76" i="8" s="1"/>
  <c r="D64" i="8"/>
  <c r="J64" i="8" s="1"/>
  <c r="D20" i="8"/>
  <c r="J20" i="8" s="1"/>
  <c r="I15" i="10"/>
  <c r="I11" i="10"/>
  <c r="C26" i="128"/>
  <c r="K10" i="9"/>
  <c r="B46" i="25"/>
  <c r="R10" i="8"/>
  <c r="G16" i="25"/>
  <c r="K16" i="25" s="1"/>
  <c r="I39" i="17"/>
  <c r="Q10" i="9"/>
  <c r="D19" i="25"/>
  <c r="M34" i="13"/>
  <c r="M24" i="13"/>
  <c r="O19" i="25"/>
  <c r="Q24" i="9"/>
  <c r="I19" i="116"/>
  <c r="N39" i="8"/>
  <c r="I20" i="257"/>
  <c r="I39" i="257"/>
  <c r="I40" i="10"/>
  <c r="I31" i="9"/>
  <c r="X62" i="21"/>
  <c r="G62" i="24"/>
  <c r="X49" i="21"/>
  <c r="G85" i="24"/>
  <c r="J85" i="24" s="1"/>
  <c r="X85" i="21"/>
  <c r="U28" i="21"/>
  <c r="U32" i="21"/>
  <c r="F51" i="140"/>
  <c r="I51" i="60" s="1"/>
  <c r="D49" i="24"/>
  <c r="J49" i="24" s="1"/>
  <c r="C49" i="13"/>
  <c r="V42" i="21"/>
  <c r="U15" i="21"/>
  <c r="U44" i="21"/>
  <c r="U37" i="21"/>
  <c r="H50" i="14"/>
  <c r="I50" i="14" s="1"/>
  <c r="F52" i="140"/>
  <c r="I52" i="60" s="1"/>
  <c r="C50" i="13"/>
  <c r="W48" i="21"/>
  <c r="D48" i="24"/>
  <c r="V41" i="21"/>
  <c r="H20" i="24"/>
  <c r="D17" i="13"/>
  <c r="E17" i="13" s="1"/>
  <c r="AP29" i="167"/>
  <c r="E31" i="140"/>
  <c r="H31" i="60" s="1"/>
  <c r="Q31" i="60" s="1"/>
  <c r="K39" i="15"/>
  <c r="L39" i="15" s="1"/>
  <c r="S19" i="23"/>
  <c r="U10" i="21"/>
  <c r="X37" i="21"/>
  <c r="P78" i="21"/>
  <c r="P72" i="21"/>
  <c r="Q210" i="59"/>
  <c r="Q202" i="59"/>
  <c r="Q186" i="59"/>
  <c r="Q183" i="59"/>
  <c r="Q33" i="59"/>
  <c r="Q14" i="59"/>
  <c r="H96" i="59"/>
  <c r="G72" i="140"/>
  <c r="J72" i="60" s="1"/>
  <c r="H70" i="257" s="1"/>
  <c r="G77" i="140"/>
  <c r="J77" i="60" s="1"/>
  <c r="H75" i="257" s="1"/>
  <c r="G41" i="140"/>
  <c r="J41" i="60" s="1"/>
  <c r="E12" i="140"/>
  <c r="G21" i="140"/>
  <c r="J21" i="60" s="1"/>
  <c r="E21" i="140"/>
  <c r="E18" i="140"/>
  <c r="H18" i="60" s="1"/>
  <c r="Q18" i="60" s="1"/>
  <c r="E15" i="140"/>
  <c r="H15" i="60" s="1"/>
  <c r="J34" i="13"/>
  <c r="F34" i="19" s="1"/>
  <c r="E34" i="19" s="1"/>
  <c r="I32" i="24"/>
  <c r="H28" i="24"/>
  <c r="I33" i="24"/>
  <c r="H34" i="24"/>
  <c r="U42" i="21"/>
  <c r="S18" i="23"/>
  <c r="D26" i="13"/>
  <c r="E26" i="13" s="1"/>
  <c r="T26" i="13" s="1"/>
  <c r="D22" i="13"/>
  <c r="E22" i="13" s="1"/>
  <c r="T22" i="13" s="1"/>
  <c r="D23" i="13"/>
  <c r="E23" i="13" s="1"/>
  <c r="T23" i="13" s="1"/>
  <c r="X42" i="21"/>
  <c r="X40" i="21"/>
  <c r="H136" i="59"/>
  <c r="G74" i="140"/>
  <c r="J74" i="60" s="1"/>
  <c r="H72" i="257" s="1"/>
  <c r="E32" i="140"/>
  <c r="H32" i="60" s="1"/>
  <c r="G26" i="140"/>
  <c r="J26" i="60" s="1"/>
  <c r="E26" i="60" s="1"/>
  <c r="G35" i="140"/>
  <c r="J35" i="60" s="1"/>
  <c r="H33" i="257" s="1"/>
  <c r="E28" i="140"/>
  <c r="H28" i="60" s="1"/>
  <c r="Q28" i="60" s="1"/>
  <c r="G34" i="140"/>
  <c r="J34" i="60" s="1"/>
  <c r="H32" i="257" s="1"/>
  <c r="H55" i="59"/>
  <c r="Q83" i="59"/>
  <c r="R61" i="59"/>
  <c r="G61" i="21" s="1"/>
  <c r="R56" i="59"/>
  <c r="G56" i="21" s="1"/>
  <c r="J56" i="21" s="1"/>
  <c r="M56" i="15" s="1"/>
  <c r="D42" i="13"/>
  <c r="P86" i="21"/>
  <c r="X86" i="21" s="1"/>
  <c r="Q104" i="59"/>
  <c r="H37" i="59"/>
  <c r="G23" i="60"/>
  <c r="AP36" i="167"/>
  <c r="G79" i="140"/>
  <c r="J79" i="60" s="1"/>
  <c r="H77" i="257" s="1"/>
  <c r="G67" i="140"/>
  <c r="J67" i="60" s="1"/>
  <c r="H65" i="257" s="1"/>
  <c r="G91" i="140"/>
  <c r="J91" i="60" s="1"/>
  <c r="H89" i="257" s="1"/>
  <c r="G87" i="140"/>
  <c r="J87" i="60" s="1"/>
  <c r="H85" i="257" s="1"/>
  <c r="E48" i="140"/>
  <c r="H48" i="60" s="1"/>
  <c r="H76" i="59"/>
  <c r="X82" i="21"/>
  <c r="D65" i="24"/>
  <c r="W65" i="21"/>
  <c r="W83" i="21"/>
  <c r="D83" i="24"/>
  <c r="H24" i="24"/>
  <c r="J22" i="24"/>
  <c r="H18" i="24"/>
  <c r="J12" i="24"/>
  <c r="P71" i="21"/>
  <c r="I32" i="13"/>
  <c r="V49" i="21"/>
  <c r="I17" i="24"/>
  <c r="U24" i="21"/>
  <c r="U18" i="21"/>
  <c r="J44" i="24"/>
  <c r="J75" i="24"/>
  <c r="X54" i="21"/>
  <c r="X81" i="21"/>
  <c r="J56" i="24"/>
  <c r="I29" i="24"/>
  <c r="J23" i="24"/>
  <c r="I36" i="24"/>
  <c r="H42" i="24"/>
  <c r="H19" i="24"/>
  <c r="X30" i="21"/>
  <c r="P74" i="21"/>
  <c r="C48" i="14"/>
  <c r="D48" i="14" s="1"/>
  <c r="G48" i="13" s="1"/>
  <c r="F48" i="13"/>
  <c r="J28" i="24"/>
  <c r="I26" i="24"/>
  <c r="U20" i="21"/>
  <c r="U51" i="21"/>
  <c r="H32" i="24"/>
  <c r="I19" i="24"/>
  <c r="H35" i="24"/>
  <c r="U12" i="21"/>
  <c r="S14" i="23"/>
  <c r="S20" i="23"/>
  <c r="S34" i="23"/>
  <c r="L24" i="14"/>
  <c r="D24" i="13" s="1"/>
  <c r="E24" i="13" s="1"/>
  <c r="T24" i="13" s="1"/>
  <c r="D21" i="13"/>
  <c r="E21" i="13" s="1"/>
  <c r="T21" i="13" s="1"/>
  <c r="D15" i="13"/>
  <c r="E15" i="13" s="1"/>
  <c r="D11" i="13"/>
  <c r="E11" i="13" s="1"/>
  <c r="T11" i="13" s="1"/>
  <c r="H23" i="24"/>
  <c r="H15" i="24"/>
  <c r="I13" i="24"/>
  <c r="J24" i="24"/>
  <c r="I12" i="24"/>
  <c r="P66" i="21"/>
  <c r="X36" i="21"/>
  <c r="X17" i="21"/>
  <c r="X15" i="21"/>
  <c r="C49" i="14"/>
  <c r="D49" i="14" s="1"/>
  <c r="G49" i="13" s="1"/>
  <c r="F49" i="13"/>
  <c r="AF48" i="167"/>
  <c r="H59" i="59"/>
  <c r="Q99" i="59"/>
  <c r="H15" i="59"/>
  <c r="G40" i="60"/>
  <c r="V38" i="21" s="1"/>
  <c r="H184" i="59"/>
  <c r="AP40" i="167"/>
  <c r="AP37" i="167"/>
  <c r="G71" i="140"/>
  <c r="J71" i="60" s="1"/>
  <c r="H69" i="257" s="1"/>
  <c r="G75" i="140"/>
  <c r="J75" i="60" s="1"/>
  <c r="H73" i="257" s="1"/>
  <c r="G73" i="140"/>
  <c r="J73" i="60" s="1"/>
  <c r="H71" i="257" s="1"/>
  <c r="G51" i="140"/>
  <c r="J51" i="60" s="1"/>
  <c r="E51" i="60" s="1"/>
  <c r="G33" i="140"/>
  <c r="J33" i="60" s="1"/>
  <c r="H31" i="257" s="1"/>
  <c r="E43" i="140"/>
  <c r="H43" i="60" s="1"/>
  <c r="E20" i="140"/>
  <c r="G32" i="140"/>
  <c r="J32" i="60" s="1"/>
  <c r="H30" i="257" s="1"/>
  <c r="E14" i="140"/>
  <c r="H14" i="60" s="1"/>
  <c r="Q14" i="60" s="1"/>
  <c r="E46" i="140"/>
  <c r="H46" i="60" s="1"/>
  <c r="Q46" i="60" s="1"/>
  <c r="E40" i="140"/>
  <c r="H40" i="60" s="1"/>
  <c r="E22" i="140"/>
  <c r="H22" i="60" s="1"/>
  <c r="Q22" i="60" s="1"/>
  <c r="D19" i="140"/>
  <c r="G17" i="140"/>
  <c r="J17" i="60" s="1"/>
  <c r="H15" i="257" s="1"/>
  <c r="I38" i="10"/>
  <c r="J20" i="13"/>
  <c r="F20" i="19" s="1"/>
  <c r="E20" i="19" s="1"/>
  <c r="K38" i="9"/>
  <c r="F43" i="21"/>
  <c r="X29" i="21"/>
  <c r="P55" i="21"/>
  <c r="Q179" i="59"/>
  <c r="Q151" i="59"/>
  <c r="Q136" i="59"/>
  <c r="Q125" i="59"/>
  <c r="Q105" i="59"/>
  <c r="H44" i="59"/>
  <c r="G45" i="59"/>
  <c r="H39" i="59"/>
  <c r="H36" i="59"/>
  <c r="H21" i="59"/>
  <c r="Q27" i="59"/>
  <c r="G25" i="60"/>
  <c r="H160" i="59"/>
  <c r="E43" i="167"/>
  <c r="AP42" i="167"/>
  <c r="V49" i="167"/>
  <c r="G68" i="140"/>
  <c r="J68" i="60" s="1"/>
  <c r="H66" i="257" s="1"/>
  <c r="G59" i="140"/>
  <c r="J59" i="60" s="1"/>
  <c r="H57" i="257" s="1"/>
  <c r="G40" i="140"/>
  <c r="J40" i="60" s="1"/>
  <c r="G22" i="140"/>
  <c r="J22" i="60" s="1"/>
  <c r="H20" i="257" s="1"/>
  <c r="J41" i="13"/>
  <c r="F41" i="19" s="1"/>
  <c r="F9" i="59"/>
  <c r="I32" i="23"/>
  <c r="I12" i="23" s="1"/>
  <c r="X26" i="21"/>
  <c r="P88" i="21"/>
  <c r="P83" i="21"/>
  <c r="P50" i="21"/>
  <c r="W22" i="21"/>
  <c r="Q214" i="59"/>
  <c r="Q190" i="59"/>
  <c r="Q167" i="59"/>
  <c r="H33" i="59"/>
  <c r="H12" i="59"/>
  <c r="B41" i="24"/>
  <c r="H41" i="24" s="1"/>
  <c r="G17" i="60"/>
  <c r="H176" i="59"/>
  <c r="H156" i="59"/>
  <c r="H124" i="59"/>
  <c r="H148" i="59"/>
  <c r="L43" i="167"/>
  <c r="AP32" i="167"/>
  <c r="AP26" i="167"/>
  <c r="AP23" i="167"/>
  <c r="AP21" i="167"/>
  <c r="AP19" i="167"/>
  <c r="AP9" i="167"/>
  <c r="H47" i="257"/>
  <c r="G60" i="140"/>
  <c r="J60" i="60" s="1"/>
  <c r="H58" i="257" s="1"/>
  <c r="G54" i="140"/>
  <c r="J54" i="60" s="1"/>
  <c r="G78" i="140"/>
  <c r="J78" i="60" s="1"/>
  <c r="H76" i="257" s="1"/>
  <c r="J43" i="21"/>
  <c r="M43" i="15" s="1"/>
  <c r="G89" i="140"/>
  <c r="J89" i="60" s="1"/>
  <c r="H87" i="257" s="1"/>
  <c r="F32" i="140"/>
  <c r="E42" i="140"/>
  <c r="H42" i="60" s="1"/>
  <c r="G28" i="140"/>
  <c r="J28" i="60" s="1"/>
  <c r="H26" i="257" s="1"/>
  <c r="E17" i="140"/>
  <c r="H17" i="60" s="1"/>
  <c r="I36" i="10"/>
  <c r="G52" i="140"/>
  <c r="J52" i="60" s="1"/>
  <c r="H50" i="257" s="1"/>
  <c r="P29" i="12"/>
  <c r="R74" i="59"/>
  <c r="G74" i="21" s="1"/>
  <c r="J34" i="12"/>
  <c r="J16" i="12"/>
  <c r="J12" i="12"/>
  <c r="V36" i="21"/>
  <c r="E10" i="187"/>
  <c r="C24" i="188"/>
  <c r="D24" i="188" s="1"/>
  <c r="X61" i="21"/>
  <c r="G61" i="24"/>
  <c r="D9" i="185"/>
  <c r="D11" i="185" s="1"/>
  <c r="C35" i="188"/>
  <c r="V16" i="21"/>
  <c r="V30" i="21"/>
  <c r="D54" i="24"/>
  <c r="J54" i="24" s="1"/>
  <c r="D84" i="24"/>
  <c r="W71" i="21"/>
  <c r="D71" i="24"/>
  <c r="H45" i="59"/>
  <c r="J81" i="24"/>
  <c r="X60" i="21"/>
  <c r="G60" i="24"/>
  <c r="J60" i="24" s="1"/>
  <c r="J20" i="24"/>
  <c r="U41" i="21"/>
  <c r="S15" i="23"/>
  <c r="D62" i="24"/>
  <c r="W62" i="21"/>
  <c r="X56" i="21"/>
  <c r="X69" i="21"/>
  <c r="G69" i="24"/>
  <c r="J69" i="24" s="1"/>
  <c r="J10" i="24"/>
  <c r="J39" i="24"/>
  <c r="I22" i="24"/>
  <c r="J18" i="24"/>
  <c r="S28" i="23"/>
  <c r="S41" i="23"/>
  <c r="P90" i="59"/>
  <c r="I34" i="24"/>
  <c r="P59" i="21"/>
  <c r="G59" i="24" s="1"/>
  <c r="J59" i="24" s="1"/>
  <c r="F24" i="24"/>
  <c r="X24" i="21"/>
  <c r="H13" i="24"/>
  <c r="Q121" i="59"/>
  <c r="X35" i="21"/>
  <c r="F35" i="24"/>
  <c r="I35" i="24" s="1"/>
  <c r="J32" i="24"/>
  <c r="Q142" i="59"/>
  <c r="J15" i="24"/>
  <c r="J38" i="24"/>
  <c r="Q139" i="59"/>
  <c r="W87" i="21"/>
  <c r="Q166" i="59"/>
  <c r="AE68" i="184"/>
  <c r="K13" i="256"/>
  <c r="L13" i="256" s="1"/>
  <c r="K5" i="256"/>
  <c r="L5" i="256" s="1"/>
  <c r="K15" i="256"/>
  <c r="L15" i="256" s="1"/>
  <c r="K23" i="256"/>
  <c r="L23" i="256" s="1"/>
  <c r="K11" i="256"/>
  <c r="L11" i="256" s="1"/>
  <c r="K19" i="256"/>
  <c r="L19" i="256" s="1"/>
  <c r="H14" i="59"/>
  <c r="H51" i="24"/>
  <c r="I38" i="24"/>
  <c r="J40" i="24"/>
  <c r="I41" i="24"/>
  <c r="U47" i="28"/>
  <c r="D29" i="13"/>
  <c r="E29" i="13" s="1"/>
  <c r="T29" i="13" s="1"/>
  <c r="D20" i="13"/>
  <c r="B47" i="20"/>
  <c r="N47" i="20"/>
  <c r="V26" i="28"/>
  <c r="U28" i="28"/>
  <c r="U16" i="28"/>
  <c r="J26" i="24"/>
  <c r="J93" i="60"/>
  <c r="P93" i="60" s="1"/>
  <c r="P51" i="21"/>
  <c r="X47" i="21"/>
  <c r="X18" i="21"/>
  <c r="H201" i="59"/>
  <c r="H130" i="59"/>
  <c r="B10" i="24"/>
  <c r="H10" i="24" s="1"/>
  <c r="V10" i="21"/>
  <c r="G35" i="60"/>
  <c r="T33" i="21"/>
  <c r="E29" i="24"/>
  <c r="H29" i="24" s="1"/>
  <c r="T29" i="21"/>
  <c r="U89" i="21"/>
  <c r="I42" i="24"/>
  <c r="I44" i="24"/>
  <c r="H38" i="24"/>
  <c r="I14" i="24"/>
  <c r="H17" i="24"/>
  <c r="I37" i="24"/>
  <c r="H11" i="24"/>
  <c r="U46" i="28"/>
  <c r="U31" i="28"/>
  <c r="U33" i="28"/>
  <c r="U44" i="28"/>
  <c r="U50" i="28"/>
  <c r="U14" i="28"/>
  <c r="S21" i="23"/>
  <c r="S23" i="23"/>
  <c r="D37" i="13"/>
  <c r="K34" i="14"/>
  <c r="D16" i="13"/>
  <c r="E16" i="13" s="1"/>
  <c r="N60" i="20"/>
  <c r="I15" i="24"/>
  <c r="U40" i="28"/>
  <c r="W28" i="28"/>
  <c r="W24" i="28"/>
  <c r="U42" i="28"/>
  <c r="U39" i="28"/>
  <c r="Q213" i="59"/>
  <c r="Q152" i="59"/>
  <c r="Q109" i="59"/>
  <c r="L44" i="14"/>
  <c r="D44" i="13" s="1"/>
  <c r="X39" i="21"/>
  <c r="X22" i="21"/>
  <c r="X20" i="21"/>
  <c r="X11" i="21"/>
  <c r="W12" i="21"/>
  <c r="Q175" i="59"/>
  <c r="Q128" i="59"/>
  <c r="C64" i="13"/>
  <c r="C57" i="13"/>
  <c r="C55" i="13"/>
  <c r="C67" i="13"/>
  <c r="E91" i="100"/>
  <c r="P64" i="21"/>
  <c r="Q28" i="59"/>
  <c r="N22" i="261"/>
  <c r="N22" i="17"/>
  <c r="H140" i="59"/>
  <c r="Q95" i="59"/>
  <c r="M40" i="102"/>
  <c r="X19" i="21"/>
  <c r="P76" i="21"/>
  <c r="P70" i="21"/>
  <c r="G70" i="24" s="1"/>
  <c r="J70" i="24" s="1"/>
  <c r="X38" i="21"/>
  <c r="Q194" i="59"/>
  <c r="B9" i="185"/>
  <c r="C63" i="13"/>
  <c r="C58" i="13"/>
  <c r="L91" i="100"/>
  <c r="I91" i="100"/>
  <c r="H27" i="59"/>
  <c r="N9" i="59"/>
  <c r="Q16" i="59"/>
  <c r="Q41" i="59"/>
  <c r="Q37" i="59"/>
  <c r="Q12" i="59"/>
  <c r="J91" i="100"/>
  <c r="G42" i="60"/>
  <c r="G29" i="60"/>
  <c r="H132" i="59"/>
  <c r="H108" i="59"/>
  <c r="H172" i="59"/>
  <c r="H104" i="59"/>
  <c r="T43" i="167"/>
  <c r="P43" i="167"/>
  <c r="I59" i="54"/>
  <c r="AC43" i="167"/>
  <c r="Y43" i="167"/>
  <c r="AP17" i="167"/>
  <c r="AE49" i="167"/>
  <c r="C48" i="100"/>
  <c r="D89" i="100"/>
  <c r="G66" i="140"/>
  <c r="J66" i="60" s="1"/>
  <c r="H64" i="257" s="1"/>
  <c r="G62" i="140"/>
  <c r="J62" i="60" s="1"/>
  <c r="H60" i="257" s="1"/>
  <c r="G69" i="140"/>
  <c r="J69" i="60" s="1"/>
  <c r="H67" i="257" s="1"/>
  <c r="G90" i="140"/>
  <c r="J90" i="60" s="1"/>
  <c r="H88" i="257" s="1"/>
  <c r="G64" i="140"/>
  <c r="J64" i="60" s="1"/>
  <c r="H62" i="257" s="1"/>
  <c r="G65" i="140"/>
  <c r="J65" i="60" s="1"/>
  <c r="H63" i="257" s="1"/>
  <c r="H43" i="167"/>
  <c r="D43" i="167"/>
  <c r="AJ43" i="167"/>
  <c r="Z43" i="167"/>
  <c r="AI49" i="167"/>
  <c r="D44" i="100"/>
  <c r="C51" i="14"/>
  <c r="D51" i="14" s="1"/>
  <c r="G51" i="13" s="1"/>
  <c r="F51" i="13"/>
  <c r="F50" i="13"/>
  <c r="C50" i="14"/>
  <c r="D50" i="14" s="1"/>
  <c r="G50" i="13" s="1"/>
  <c r="Q46" i="59"/>
  <c r="Q19" i="59"/>
  <c r="V54" i="28"/>
  <c r="G15" i="60"/>
  <c r="H212" i="59"/>
  <c r="H152" i="59"/>
  <c r="H128" i="59"/>
  <c r="H112" i="59"/>
  <c r="H164" i="59"/>
  <c r="H120" i="59"/>
  <c r="U43" i="167"/>
  <c r="M43" i="167"/>
  <c r="AG43" i="167"/>
  <c r="AP38" i="167"/>
  <c r="AP34" i="167"/>
  <c r="AP30" i="167"/>
  <c r="AP18" i="167"/>
  <c r="Y49" i="167"/>
  <c r="X48" i="167"/>
  <c r="K8" i="100"/>
  <c r="D8" i="100"/>
  <c r="G88" i="140"/>
  <c r="J88" i="60" s="1"/>
  <c r="H86" i="257" s="1"/>
  <c r="G70" i="140"/>
  <c r="J70" i="60" s="1"/>
  <c r="H68" i="257" s="1"/>
  <c r="G83" i="140"/>
  <c r="J83" i="60" s="1"/>
  <c r="H81" i="257" s="1"/>
  <c r="Q62" i="59"/>
  <c r="L35" i="23"/>
  <c r="AP39" i="167"/>
  <c r="AP35" i="167"/>
  <c r="AP31" i="167"/>
  <c r="AP24" i="167"/>
  <c r="AP22" i="167"/>
  <c r="AP20" i="167"/>
  <c r="AC49" i="167"/>
  <c r="AB48" i="167"/>
  <c r="C90" i="100"/>
  <c r="C50" i="100"/>
  <c r="C46" i="100"/>
  <c r="C10" i="100"/>
  <c r="J78" i="21"/>
  <c r="M78" i="15" s="1"/>
  <c r="F47" i="13"/>
  <c r="C47" i="14"/>
  <c r="D47" i="14" s="1"/>
  <c r="G47" i="13" s="1"/>
  <c r="I82" i="257"/>
  <c r="I78" i="257"/>
  <c r="I74" i="257"/>
  <c r="I66" i="257"/>
  <c r="I62" i="257"/>
  <c r="I58" i="257"/>
  <c r="I18" i="257"/>
  <c r="I10" i="257"/>
  <c r="H89" i="261"/>
  <c r="K89" i="261"/>
  <c r="J89" i="261"/>
  <c r="R73" i="59"/>
  <c r="G73" i="21" s="1"/>
  <c r="G58" i="140"/>
  <c r="J58" i="60" s="1"/>
  <c r="H56" i="257" s="1"/>
  <c r="G76" i="140"/>
  <c r="J76" i="60" s="1"/>
  <c r="H74" i="257" s="1"/>
  <c r="I43" i="21"/>
  <c r="G37" i="140"/>
  <c r="J37" i="60" s="1"/>
  <c r="G16" i="140"/>
  <c r="J16" i="60" s="1"/>
  <c r="E16" i="140"/>
  <c r="H16" i="60" s="1"/>
  <c r="G81" i="140"/>
  <c r="J81" i="60" s="1"/>
  <c r="G25" i="140"/>
  <c r="J25" i="60" s="1"/>
  <c r="H23" i="257" s="1"/>
  <c r="E26" i="140"/>
  <c r="G30" i="140"/>
  <c r="J30" i="60" s="1"/>
  <c r="H28" i="257" s="1"/>
  <c r="G48" i="140"/>
  <c r="J48" i="60" s="1"/>
  <c r="H46" i="257" s="1"/>
  <c r="G31" i="140"/>
  <c r="J31" i="60" s="1"/>
  <c r="H29" i="257" s="1"/>
  <c r="G19" i="140"/>
  <c r="J19" i="60" s="1"/>
  <c r="H17" i="257" s="1"/>
  <c r="E38" i="140"/>
  <c r="H38" i="60" s="1"/>
  <c r="Q38" i="60" s="1"/>
  <c r="G13" i="140"/>
  <c r="J13" i="60" s="1"/>
  <c r="H11" i="8"/>
  <c r="J11" i="8" s="1"/>
  <c r="G23" i="140"/>
  <c r="J23" i="60" s="1"/>
  <c r="E23" i="60" s="1"/>
  <c r="W22" i="99"/>
  <c r="L22" i="99"/>
  <c r="I89" i="257"/>
  <c r="I85" i="257"/>
  <c r="I81" i="257"/>
  <c r="I69" i="257"/>
  <c r="I65" i="257"/>
  <c r="I61" i="257"/>
  <c r="I57" i="257"/>
  <c r="I52" i="257"/>
  <c r="B89" i="25"/>
  <c r="P28" i="12"/>
  <c r="E15" i="8"/>
  <c r="B15" i="9" s="1"/>
  <c r="H15" i="9" s="1"/>
  <c r="H86" i="21"/>
  <c r="I88" i="59"/>
  <c r="C88" i="21" s="1"/>
  <c r="F88" i="21" s="1"/>
  <c r="I77" i="59"/>
  <c r="I74" i="59"/>
  <c r="R63" i="59"/>
  <c r="G63" i="21" s="1"/>
  <c r="F47" i="21"/>
  <c r="J31" i="13"/>
  <c r="F31" i="19" s="1"/>
  <c r="E31" i="19" s="1"/>
  <c r="I88" i="257"/>
  <c r="I80" i="257"/>
  <c r="I72" i="257"/>
  <c r="I68" i="257"/>
  <c r="I31" i="257"/>
  <c r="E31" i="21"/>
  <c r="F33" i="140" s="1"/>
  <c r="I33" i="60" s="1"/>
  <c r="Q33" i="60" s="1"/>
  <c r="O45" i="59"/>
  <c r="F51" i="21"/>
  <c r="H43" i="21"/>
  <c r="G24" i="140"/>
  <c r="J24" i="60" s="1"/>
  <c r="E24" i="140"/>
  <c r="E25" i="140"/>
  <c r="D25" i="140" s="1"/>
  <c r="E36" i="140"/>
  <c r="H36" i="60" s="1"/>
  <c r="Q36" i="60" s="1"/>
  <c r="G18" i="140"/>
  <c r="J18" i="60" s="1"/>
  <c r="E18" i="60" s="1"/>
  <c r="G38" i="140"/>
  <c r="J38" i="60" s="1"/>
  <c r="H36" i="257" s="1"/>
  <c r="E13" i="140"/>
  <c r="H13" i="60" s="1"/>
  <c r="Q13" i="60" s="1"/>
  <c r="H15" i="8"/>
  <c r="J15" i="8" s="1"/>
  <c r="I44" i="10"/>
  <c r="W43" i="99"/>
  <c r="W18" i="99"/>
  <c r="L220" i="59"/>
  <c r="I50" i="257"/>
  <c r="P47" i="9"/>
  <c r="H88" i="59"/>
  <c r="Q65" i="59"/>
  <c r="R65" i="59" s="1"/>
  <c r="G65" i="21" s="1"/>
  <c r="O60" i="59"/>
  <c r="F50" i="21"/>
  <c r="E52" i="140" s="1"/>
  <c r="O18" i="25"/>
  <c r="C37" i="128"/>
  <c r="K29" i="20"/>
  <c r="C35" i="10"/>
  <c r="F27" i="36"/>
  <c r="P27" i="36" s="1"/>
  <c r="O36" i="36"/>
  <c r="N19" i="20"/>
  <c r="O34" i="25"/>
  <c r="F20" i="36"/>
  <c r="P20" i="36" s="1"/>
  <c r="O32" i="25"/>
  <c r="C10" i="10"/>
  <c r="O22" i="25"/>
  <c r="O19" i="36"/>
  <c r="AG55" i="20"/>
  <c r="AJ34" i="20"/>
  <c r="F24" i="36"/>
  <c r="L24" i="36" s="1"/>
  <c r="R32" i="8"/>
  <c r="O16" i="25"/>
  <c r="I47" i="17"/>
  <c r="Q39" i="9"/>
  <c r="G39" i="25"/>
  <c r="K39" i="25" s="1"/>
  <c r="F18" i="25"/>
  <c r="D18" i="25"/>
  <c r="H44" i="36"/>
  <c r="I13" i="10"/>
  <c r="F11" i="36"/>
  <c r="L11" i="36" s="1"/>
  <c r="Q26" i="9"/>
  <c r="AJ13" i="20"/>
  <c r="G81" i="8"/>
  <c r="P81" i="8" s="1"/>
  <c r="O31" i="36"/>
  <c r="C53" i="154"/>
  <c r="C22" i="154"/>
  <c r="G15" i="25"/>
  <c r="K15" i="25" s="1"/>
  <c r="AG18" i="20"/>
  <c r="P10" i="12"/>
  <c r="K52" i="17"/>
  <c r="I52" i="17" s="1"/>
  <c r="E52" i="116"/>
  <c r="O25" i="36"/>
  <c r="H39" i="36"/>
  <c r="O16" i="36"/>
  <c r="B49" i="12"/>
  <c r="C34" i="10"/>
  <c r="N41" i="8"/>
  <c r="N18" i="8"/>
  <c r="I41" i="257"/>
  <c r="D41" i="8"/>
  <c r="J41" i="8" s="1"/>
  <c r="D29" i="8"/>
  <c r="J29" i="8" s="1"/>
  <c r="F34" i="36"/>
  <c r="L34" i="36" s="1"/>
  <c r="F16" i="36"/>
  <c r="L16" i="36" s="1"/>
  <c r="D84" i="8"/>
  <c r="K84" i="8" s="1"/>
  <c r="F36" i="36"/>
  <c r="P36" i="36" s="1"/>
  <c r="D83" i="12"/>
  <c r="K20" i="9"/>
  <c r="F20" i="25"/>
  <c r="D21" i="25"/>
  <c r="P50" i="12"/>
  <c r="R34" i="8"/>
  <c r="H83" i="17"/>
  <c r="I46" i="17"/>
  <c r="I31" i="116"/>
  <c r="H11" i="36"/>
  <c r="R31" i="8"/>
  <c r="N37" i="8"/>
  <c r="I33" i="257"/>
  <c r="D37" i="8"/>
  <c r="J37" i="8" s="1"/>
  <c r="D18" i="8"/>
  <c r="J18" i="8" s="1"/>
  <c r="I28" i="9"/>
  <c r="I12" i="10"/>
  <c r="D32" i="8"/>
  <c r="E22" i="8"/>
  <c r="O38" i="36"/>
  <c r="K37" i="12"/>
  <c r="K26" i="12"/>
  <c r="L43" i="25"/>
  <c r="L32" i="25"/>
  <c r="O29" i="25"/>
  <c r="J26" i="12"/>
  <c r="J22" i="12"/>
  <c r="J20" i="12"/>
  <c r="L18" i="25"/>
  <c r="N10" i="8"/>
  <c r="I20" i="10"/>
  <c r="O29" i="36"/>
  <c r="Q31" i="9"/>
  <c r="G61" i="8"/>
  <c r="P61" i="8" s="1"/>
  <c r="C45" i="154"/>
  <c r="N29" i="8"/>
  <c r="D74" i="8"/>
  <c r="I74" i="8" s="1"/>
  <c r="L74" i="8" s="1"/>
  <c r="N25" i="8"/>
  <c r="M39" i="13"/>
  <c r="M26" i="13"/>
  <c r="C22" i="128"/>
  <c r="I21" i="10"/>
  <c r="I34" i="20"/>
  <c r="J45" i="261"/>
  <c r="H45" i="261"/>
  <c r="B65" i="9"/>
  <c r="B65" i="12" s="1"/>
  <c r="G65" i="8"/>
  <c r="P65" i="8" s="1"/>
  <c r="P71" i="8"/>
  <c r="O18" i="36"/>
  <c r="I11" i="9"/>
  <c r="G11" i="25"/>
  <c r="K11" i="25" s="1"/>
  <c r="R36" i="8"/>
  <c r="Q36" i="9"/>
  <c r="I36" i="116"/>
  <c r="M36" i="13"/>
  <c r="M29" i="13"/>
  <c r="I29" i="116"/>
  <c r="R29" i="8"/>
  <c r="K21" i="9"/>
  <c r="I21" i="116"/>
  <c r="I17" i="116"/>
  <c r="M17" i="13"/>
  <c r="Q12" i="9"/>
  <c r="I12" i="116"/>
  <c r="O35" i="36"/>
  <c r="H49" i="36"/>
  <c r="C34" i="128"/>
  <c r="G33" i="10"/>
  <c r="I33" i="10" s="1"/>
  <c r="C48" i="128"/>
  <c r="C49" i="154"/>
  <c r="C24" i="128"/>
  <c r="C25" i="154"/>
  <c r="M27" i="13"/>
  <c r="I27" i="116"/>
  <c r="G86" i="8"/>
  <c r="P86" i="8" s="1"/>
  <c r="F21" i="25"/>
  <c r="X32" i="20"/>
  <c r="O11" i="36"/>
  <c r="R39" i="8"/>
  <c r="R23" i="8"/>
  <c r="J17" i="20"/>
  <c r="H17" i="20" s="1"/>
  <c r="AD17" i="20"/>
  <c r="D17" i="20"/>
  <c r="B17" i="20" s="1"/>
  <c r="X17" i="20"/>
  <c r="N51" i="8"/>
  <c r="C54" i="154"/>
  <c r="N31" i="8"/>
  <c r="C23" i="154"/>
  <c r="I23" i="10"/>
  <c r="I19" i="9"/>
  <c r="Q19" i="9"/>
  <c r="C18" i="128"/>
  <c r="I17" i="10"/>
  <c r="C19" i="154"/>
  <c r="F35" i="9"/>
  <c r="K35" i="9"/>
  <c r="G35" i="25"/>
  <c r="K35" i="25" s="1"/>
  <c r="I35" i="9"/>
  <c r="M16" i="13"/>
  <c r="M11" i="13"/>
  <c r="B83" i="9"/>
  <c r="K83" i="8"/>
  <c r="H77" i="261"/>
  <c r="B49" i="25"/>
  <c r="K49" i="261"/>
  <c r="J49" i="261"/>
  <c r="H49" i="261"/>
  <c r="J49" i="17"/>
  <c r="I49" i="17" s="1"/>
  <c r="E49" i="116"/>
  <c r="H49" i="17"/>
  <c r="F42" i="9"/>
  <c r="I42" i="116"/>
  <c r="R42" i="8"/>
  <c r="K42" i="261"/>
  <c r="J42" i="261"/>
  <c r="H42" i="261"/>
  <c r="E38" i="116"/>
  <c r="K38" i="261"/>
  <c r="H38" i="261"/>
  <c r="J38" i="261"/>
  <c r="K34" i="261"/>
  <c r="H34" i="261"/>
  <c r="J34" i="261"/>
  <c r="K29" i="261"/>
  <c r="J29" i="261"/>
  <c r="H29" i="261"/>
  <c r="K22" i="261"/>
  <c r="H22" i="261"/>
  <c r="J22" i="261"/>
  <c r="K18" i="261"/>
  <c r="H18" i="261"/>
  <c r="J18" i="261"/>
  <c r="J14" i="261"/>
  <c r="K14" i="261"/>
  <c r="H14" i="261"/>
  <c r="H51" i="261"/>
  <c r="K51" i="261"/>
  <c r="J51" i="261"/>
  <c r="C44" i="10"/>
  <c r="F21" i="36"/>
  <c r="L21" i="36" s="1"/>
  <c r="I51" i="9"/>
  <c r="B15" i="36"/>
  <c r="H15" i="36" s="1"/>
  <c r="N13" i="8"/>
  <c r="I44" i="36"/>
  <c r="D36" i="8"/>
  <c r="J36" i="8" s="1"/>
  <c r="B54" i="25"/>
  <c r="H54" i="261"/>
  <c r="K50" i="261"/>
  <c r="J50" i="261"/>
  <c r="H50" i="261"/>
  <c r="B41" i="25"/>
  <c r="D41" i="25" s="1"/>
  <c r="J41" i="261"/>
  <c r="H41" i="261"/>
  <c r="K41" i="261"/>
  <c r="B33" i="25"/>
  <c r="D33" i="25" s="1"/>
  <c r="H33" i="261"/>
  <c r="K33" i="261"/>
  <c r="J33" i="261"/>
  <c r="K21" i="261"/>
  <c r="J21" i="261"/>
  <c r="H21" i="261"/>
  <c r="J17" i="261"/>
  <c r="H17" i="261"/>
  <c r="K17" i="261"/>
  <c r="O34" i="36"/>
  <c r="Q14" i="9"/>
  <c r="M14" i="13"/>
  <c r="D24" i="25"/>
  <c r="R35" i="8"/>
  <c r="M46" i="13"/>
  <c r="H19" i="36"/>
  <c r="L20" i="25"/>
  <c r="Q28" i="9"/>
  <c r="J38" i="17"/>
  <c r="I38" i="17" s="1"/>
  <c r="Q51" i="9"/>
  <c r="M35" i="13"/>
  <c r="L22" i="25"/>
  <c r="B34" i="25"/>
  <c r="D34" i="25" s="1"/>
  <c r="B14" i="25"/>
  <c r="D14" i="25" s="1"/>
  <c r="L26" i="25"/>
  <c r="H19" i="20"/>
  <c r="O12" i="25"/>
  <c r="P52" i="12"/>
  <c r="G69" i="8"/>
  <c r="P69" i="8" s="1"/>
  <c r="C33" i="154"/>
  <c r="J33" i="17"/>
  <c r="I33" i="17" s="1"/>
  <c r="K28" i="17"/>
  <c r="H22" i="17"/>
  <c r="H21" i="17"/>
  <c r="K18" i="17"/>
  <c r="H50" i="17"/>
  <c r="H12" i="17"/>
  <c r="H26" i="17"/>
  <c r="H41" i="17"/>
  <c r="E54" i="116"/>
  <c r="E21" i="116"/>
  <c r="I11" i="116"/>
  <c r="I39" i="116"/>
  <c r="I51" i="116"/>
  <c r="E41" i="116"/>
  <c r="O24" i="36"/>
  <c r="N49" i="8"/>
  <c r="C32" i="10"/>
  <c r="C37" i="10"/>
  <c r="I38" i="36"/>
  <c r="B52" i="36"/>
  <c r="D52" i="36" s="1"/>
  <c r="K52" i="36" s="1"/>
  <c r="C14" i="10"/>
  <c r="R20" i="8"/>
  <c r="I25" i="257"/>
  <c r="N32" i="8"/>
  <c r="I48" i="257"/>
  <c r="D72" i="8"/>
  <c r="J72" i="8" s="1"/>
  <c r="B83" i="25"/>
  <c r="H83" i="261"/>
  <c r="B52" i="25"/>
  <c r="J52" i="261"/>
  <c r="H52" i="261"/>
  <c r="K52" i="261"/>
  <c r="H47" i="261"/>
  <c r="K47" i="261"/>
  <c r="J47" i="261"/>
  <c r="J40" i="261"/>
  <c r="H40" i="261"/>
  <c r="K40" i="261"/>
  <c r="H36" i="261"/>
  <c r="K36" i="261"/>
  <c r="J36" i="261"/>
  <c r="B25" i="25"/>
  <c r="D25" i="25" s="1"/>
  <c r="K25" i="261"/>
  <c r="J25" i="261"/>
  <c r="H25" i="261"/>
  <c r="J20" i="261"/>
  <c r="H20" i="261"/>
  <c r="K20" i="261"/>
  <c r="J16" i="261"/>
  <c r="H16" i="261"/>
  <c r="K16" i="261"/>
  <c r="K11" i="261"/>
  <c r="H11" i="261"/>
  <c r="J11" i="261"/>
  <c r="K43" i="12"/>
  <c r="K11" i="12"/>
  <c r="K48" i="261"/>
  <c r="J48" i="261"/>
  <c r="H48" i="261"/>
  <c r="J35" i="12"/>
  <c r="J29" i="12"/>
  <c r="C21" i="10"/>
  <c r="D44" i="8"/>
  <c r="H44" i="8" s="1"/>
  <c r="J44" i="8" s="1"/>
  <c r="F28" i="9"/>
  <c r="J37" i="261"/>
  <c r="H37" i="261"/>
  <c r="K37" i="261"/>
  <c r="H26" i="261"/>
  <c r="J26" i="261"/>
  <c r="K26" i="261"/>
  <c r="H46" i="261"/>
  <c r="J46" i="261"/>
  <c r="K46" i="261"/>
  <c r="K28" i="261"/>
  <c r="J28" i="261"/>
  <c r="H28" i="261"/>
  <c r="G59" i="8"/>
  <c r="P59" i="8" s="1"/>
  <c r="H38" i="17"/>
  <c r="B38" i="25"/>
  <c r="D38" i="25" s="1"/>
  <c r="H25" i="36"/>
  <c r="C28" i="154"/>
  <c r="P55" i="8"/>
  <c r="H20" i="36"/>
  <c r="J50" i="17"/>
  <c r="I50" i="17" s="1"/>
  <c r="G47" i="8"/>
  <c r="P47" i="8" s="1"/>
  <c r="B37" i="25"/>
  <c r="D37" i="25" s="1"/>
  <c r="B22" i="25"/>
  <c r="D22" i="25" s="1"/>
  <c r="N14" i="20"/>
  <c r="AG16" i="20"/>
  <c r="E47" i="20"/>
  <c r="Q35" i="9"/>
  <c r="G88" i="8"/>
  <c r="P88" i="8" s="1"/>
  <c r="C16" i="154"/>
  <c r="H33" i="17"/>
  <c r="J28" i="17"/>
  <c r="K17" i="17"/>
  <c r="I17" i="17" s="1"/>
  <c r="O43" i="25"/>
  <c r="F41" i="36"/>
  <c r="J41" i="17"/>
  <c r="I14" i="116"/>
  <c r="E12" i="116"/>
  <c r="N43" i="8"/>
  <c r="R40" i="8"/>
  <c r="N12" i="8"/>
  <c r="N28" i="8"/>
  <c r="C15" i="10"/>
  <c r="I12" i="257"/>
  <c r="I28" i="257"/>
  <c r="I13" i="257"/>
  <c r="R11" i="8"/>
  <c r="I46" i="257"/>
  <c r="J58" i="8"/>
  <c r="D31" i="8"/>
  <c r="J31" i="8" s="1"/>
  <c r="D56" i="8"/>
  <c r="K56" i="8" s="1"/>
  <c r="D39" i="8"/>
  <c r="J39" i="8" s="1"/>
  <c r="D68" i="8"/>
  <c r="K68" i="8" s="1"/>
  <c r="D12" i="8"/>
  <c r="J12" i="8" s="1"/>
  <c r="D62" i="8"/>
  <c r="K62" i="8" s="1"/>
  <c r="I28" i="36"/>
  <c r="B78" i="25"/>
  <c r="H78" i="261"/>
  <c r="B28" i="25"/>
  <c r="D28" i="25" s="1"/>
  <c r="E41" i="8"/>
  <c r="P41" i="8" s="1"/>
  <c r="K43" i="261"/>
  <c r="J43" i="261"/>
  <c r="H43" i="261"/>
  <c r="J39" i="261"/>
  <c r="H39" i="261"/>
  <c r="K39" i="261"/>
  <c r="K35" i="261"/>
  <c r="H35" i="261"/>
  <c r="J35" i="261"/>
  <c r="K31" i="261"/>
  <c r="J31" i="261"/>
  <c r="H31" i="261"/>
  <c r="H19" i="261"/>
  <c r="K19" i="261"/>
  <c r="J19" i="261"/>
  <c r="K15" i="261"/>
  <c r="J15" i="261"/>
  <c r="H15" i="261"/>
  <c r="H44" i="261"/>
  <c r="J44" i="261"/>
  <c r="K44" i="261"/>
  <c r="O35" i="25"/>
  <c r="R19" i="8"/>
  <c r="N19" i="8"/>
  <c r="L37" i="36"/>
  <c r="P75" i="8"/>
  <c r="D15" i="25"/>
  <c r="R28" i="8"/>
  <c r="P83" i="8"/>
  <c r="O21" i="20"/>
  <c r="N21" i="20" s="1"/>
  <c r="AJ21" i="20"/>
  <c r="AD55" i="20"/>
  <c r="O17" i="25"/>
  <c r="F10" i="36"/>
  <c r="P10" i="36" s="1"/>
  <c r="R41" i="8"/>
  <c r="I24" i="19"/>
  <c r="J24" i="19"/>
  <c r="K17" i="20"/>
  <c r="F24" i="25"/>
  <c r="I21" i="20"/>
  <c r="AG29" i="20"/>
  <c r="AA29" i="20"/>
  <c r="X26" i="20"/>
  <c r="L21" i="20"/>
  <c r="K21" i="20" s="1"/>
  <c r="AA21" i="20"/>
  <c r="AD32" i="20"/>
  <c r="I40" i="36"/>
  <c r="F40" i="36"/>
  <c r="E29" i="20"/>
  <c r="G33" i="25"/>
  <c r="I33" i="9"/>
  <c r="M33" i="13"/>
  <c r="C16" i="10"/>
  <c r="C11" i="10"/>
  <c r="K40" i="36"/>
  <c r="K19" i="36"/>
  <c r="D10" i="8"/>
  <c r="E10" i="8" s="1"/>
  <c r="D73" i="8"/>
  <c r="J73" i="8" s="1"/>
  <c r="E16" i="8"/>
  <c r="I16" i="8" s="1"/>
  <c r="L16" i="8" s="1"/>
  <c r="E42" i="8"/>
  <c r="J24" i="12"/>
  <c r="J40" i="12"/>
  <c r="J21" i="12"/>
  <c r="J19" i="12"/>
  <c r="J15" i="12"/>
  <c r="J11" i="12"/>
  <c r="D43" i="25"/>
  <c r="H16" i="20"/>
  <c r="O26" i="25"/>
  <c r="C17" i="10"/>
  <c r="C36" i="10"/>
  <c r="D70" i="8"/>
  <c r="J70" i="8" s="1"/>
  <c r="O41" i="36"/>
  <c r="O11" i="25"/>
  <c r="D22" i="8"/>
  <c r="D82" i="8"/>
  <c r="J82" i="8" s="1"/>
  <c r="M25" i="13"/>
  <c r="K31" i="9"/>
  <c r="E19" i="8"/>
  <c r="K19" i="8" s="1"/>
  <c r="E34" i="8"/>
  <c r="P34" i="8" s="1"/>
  <c r="K40" i="12"/>
  <c r="K36" i="12"/>
  <c r="K34" i="12"/>
  <c r="K32" i="12"/>
  <c r="K29" i="12"/>
  <c r="K24" i="12"/>
  <c r="K22" i="12"/>
  <c r="K20" i="12"/>
  <c r="K18" i="12"/>
  <c r="K16" i="12"/>
  <c r="J43" i="12"/>
  <c r="J38" i="12"/>
  <c r="J36" i="12"/>
  <c r="J32" i="12"/>
  <c r="H16" i="36"/>
  <c r="D66" i="8"/>
  <c r="K66" i="8" s="1"/>
  <c r="K24" i="9"/>
  <c r="O37" i="36"/>
  <c r="I36" i="9"/>
  <c r="K34" i="9"/>
  <c r="K26" i="9"/>
  <c r="K16" i="9"/>
  <c r="E39" i="8"/>
  <c r="I49" i="116"/>
  <c r="B44" i="25"/>
  <c r="J44" i="17"/>
  <c r="E44" i="116"/>
  <c r="K44" i="17"/>
  <c r="M44" i="13"/>
  <c r="I44" i="116"/>
  <c r="L31" i="36"/>
  <c r="I55" i="20"/>
  <c r="H55" i="20" s="1"/>
  <c r="L21" i="25"/>
  <c r="L40" i="25"/>
  <c r="X18" i="20"/>
  <c r="C18" i="20"/>
  <c r="B18" i="20" s="1"/>
  <c r="I15" i="36"/>
  <c r="F15" i="36"/>
  <c r="L15" i="36" s="1"/>
  <c r="C35" i="128"/>
  <c r="I34" i="10"/>
  <c r="C44" i="154"/>
  <c r="C43" i="128"/>
  <c r="I42" i="10"/>
  <c r="I38" i="9"/>
  <c r="F38" i="9"/>
  <c r="Q38" i="9"/>
  <c r="C17" i="128"/>
  <c r="C18" i="154"/>
  <c r="I16" i="10"/>
  <c r="K15" i="9"/>
  <c r="I15" i="9"/>
  <c r="B75" i="9"/>
  <c r="B75" i="12" s="1"/>
  <c r="K75" i="8"/>
  <c r="E77" i="116"/>
  <c r="H77" i="17"/>
  <c r="D77" i="12"/>
  <c r="E40" i="8"/>
  <c r="B40" i="36"/>
  <c r="E32" i="8"/>
  <c r="B32" i="36"/>
  <c r="O32" i="36" s="1"/>
  <c r="E30" i="8"/>
  <c r="B30" i="36"/>
  <c r="E12" i="8"/>
  <c r="B12" i="36"/>
  <c r="B42" i="25"/>
  <c r="D42" i="25" s="1"/>
  <c r="H42" i="17"/>
  <c r="E42" i="116"/>
  <c r="J42" i="17"/>
  <c r="I42" i="17" s="1"/>
  <c r="E34" i="116"/>
  <c r="J34" i="17"/>
  <c r="K34" i="17"/>
  <c r="E29" i="116"/>
  <c r="H29" i="17"/>
  <c r="B29" i="25"/>
  <c r="J29" i="17"/>
  <c r="K29" i="17"/>
  <c r="J22" i="17"/>
  <c r="K22" i="17"/>
  <c r="E22" i="116"/>
  <c r="E18" i="116"/>
  <c r="H18" i="17"/>
  <c r="J18" i="17"/>
  <c r="H14" i="17"/>
  <c r="E14" i="116"/>
  <c r="J14" i="17"/>
  <c r="I23" i="257"/>
  <c r="N23" i="8"/>
  <c r="P23" i="12"/>
  <c r="L38" i="25"/>
  <c r="K38" i="12"/>
  <c r="L12" i="25"/>
  <c r="K12" i="12"/>
  <c r="B51" i="25"/>
  <c r="H51" i="17"/>
  <c r="E51" i="8"/>
  <c r="E51" i="116"/>
  <c r="J51" i="17"/>
  <c r="K51" i="17"/>
  <c r="B50" i="9"/>
  <c r="G50" i="8"/>
  <c r="P50" i="8" s="1"/>
  <c r="B30" i="25"/>
  <c r="E30" i="116"/>
  <c r="H30" i="17"/>
  <c r="L17" i="25"/>
  <c r="J17" i="12"/>
  <c r="M30" i="13"/>
  <c r="I30" i="116"/>
  <c r="R49" i="8"/>
  <c r="L11" i="25"/>
  <c r="N24" i="8"/>
  <c r="H30" i="20"/>
  <c r="AB20" i="20"/>
  <c r="F20" i="20" s="1"/>
  <c r="H38" i="36"/>
  <c r="AA32" i="20"/>
  <c r="N38" i="8"/>
  <c r="C42" i="10"/>
  <c r="K15" i="36"/>
  <c r="H17" i="36"/>
  <c r="I43" i="10"/>
  <c r="I39" i="10"/>
  <c r="I35" i="10"/>
  <c r="I31" i="10"/>
  <c r="I26" i="10"/>
  <c r="G45" i="10"/>
  <c r="C50" i="154"/>
  <c r="K39" i="9"/>
  <c r="I39" i="9"/>
  <c r="J32" i="19"/>
  <c r="I32" i="19"/>
  <c r="C29" i="128"/>
  <c r="I28" i="10"/>
  <c r="C30" i="154"/>
  <c r="Q43" i="9"/>
  <c r="I43" i="116"/>
  <c r="R43" i="8"/>
  <c r="F37" i="9"/>
  <c r="I37" i="116"/>
  <c r="R37" i="8"/>
  <c r="I32" i="116"/>
  <c r="M22" i="13"/>
  <c r="K18" i="9"/>
  <c r="I18" i="116"/>
  <c r="R18" i="8"/>
  <c r="G9" i="9"/>
  <c r="R13" i="8"/>
  <c r="I13" i="116"/>
  <c r="B77" i="25"/>
  <c r="B64" i="9"/>
  <c r="B64" i="12" s="1"/>
  <c r="K41" i="9"/>
  <c r="I41" i="116"/>
  <c r="E21" i="8"/>
  <c r="B21" i="36"/>
  <c r="H54" i="17"/>
  <c r="AA55" i="20"/>
  <c r="O39" i="36"/>
  <c r="C102" i="8"/>
  <c r="P28" i="36"/>
  <c r="AJ27" i="20"/>
  <c r="E55" i="20"/>
  <c r="AJ14" i="20"/>
  <c r="H9" i="10"/>
  <c r="G97" i="9"/>
  <c r="AD19" i="20"/>
  <c r="M38" i="13"/>
  <c r="L19" i="25"/>
  <c r="L15" i="25"/>
  <c r="P85" i="8"/>
  <c r="G62" i="8"/>
  <c r="P62" i="8" s="1"/>
  <c r="H44" i="17"/>
  <c r="R21" i="8"/>
  <c r="N21" i="8"/>
  <c r="R26" i="8"/>
  <c r="N26" i="8"/>
  <c r="K28" i="36"/>
  <c r="K34" i="36"/>
  <c r="I29" i="36"/>
  <c r="F29" i="36"/>
  <c r="K22" i="36"/>
  <c r="C49" i="128"/>
  <c r="G78" i="12"/>
  <c r="N78" i="12" s="1"/>
  <c r="D89" i="8"/>
  <c r="J89" i="8" s="1"/>
  <c r="D85" i="8"/>
  <c r="K85" i="8" s="1"/>
  <c r="P36" i="12"/>
  <c r="N36" i="8"/>
  <c r="P26" i="12"/>
  <c r="I26" i="257"/>
  <c r="N17" i="8"/>
  <c r="P17" i="12"/>
  <c r="P49" i="12"/>
  <c r="I49" i="257"/>
  <c r="B47" i="25"/>
  <c r="H47" i="17"/>
  <c r="I31" i="17"/>
  <c r="O40" i="25"/>
  <c r="H37" i="36"/>
  <c r="C49" i="10"/>
  <c r="C40" i="10"/>
  <c r="C20" i="10"/>
  <c r="C46" i="10"/>
  <c r="C18" i="10"/>
  <c r="D77" i="8"/>
  <c r="J77" i="8" s="1"/>
  <c r="I17" i="257"/>
  <c r="K29" i="36"/>
  <c r="D57" i="8"/>
  <c r="J57" i="8" s="1"/>
  <c r="I82" i="8"/>
  <c r="L82" i="8" s="1"/>
  <c r="D61" i="8"/>
  <c r="J61" i="8" s="1"/>
  <c r="D50" i="36"/>
  <c r="F26" i="9"/>
  <c r="D13" i="8"/>
  <c r="K19" i="9"/>
  <c r="D52" i="8"/>
  <c r="D48" i="8"/>
  <c r="H48" i="8" s="1"/>
  <c r="J48" i="8" s="1"/>
  <c r="D50" i="8"/>
  <c r="I50" i="8" s="1"/>
  <c r="L50" i="8" s="1"/>
  <c r="D27" i="8"/>
  <c r="H27" i="8" s="1"/>
  <c r="J27" i="8" s="1"/>
  <c r="E17" i="8"/>
  <c r="E24" i="8"/>
  <c r="I24" i="8" s="1"/>
  <c r="L24" i="8" s="1"/>
  <c r="E43" i="8"/>
  <c r="K55" i="20"/>
  <c r="B13" i="20"/>
  <c r="X16" i="20"/>
  <c r="O38" i="25"/>
  <c r="O36" i="25"/>
  <c r="G68" i="8"/>
  <c r="P68" i="8" s="1"/>
  <c r="C45" i="36"/>
  <c r="I21" i="257"/>
  <c r="K13" i="36"/>
  <c r="I25" i="36"/>
  <c r="J40" i="8"/>
  <c r="D69" i="8"/>
  <c r="K69" i="8" s="1"/>
  <c r="D21" i="8"/>
  <c r="K31" i="36"/>
  <c r="D9" i="17"/>
  <c r="D91" i="17" s="1"/>
  <c r="K36" i="9"/>
  <c r="D51" i="8"/>
  <c r="H51" i="8" s="1"/>
  <c r="J51" i="8" s="1"/>
  <c r="D77" i="9"/>
  <c r="G77" i="25" s="1"/>
  <c r="E20" i="8"/>
  <c r="E18" i="8"/>
  <c r="E25" i="8"/>
  <c r="I25" i="8" s="1"/>
  <c r="L25" i="8" s="1"/>
  <c r="E37" i="8"/>
  <c r="P37" i="8" s="1"/>
  <c r="D32" i="25"/>
  <c r="AE20" i="20"/>
  <c r="I20" i="20" s="1"/>
  <c r="X29" i="20"/>
  <c r="AJ55" i="20"/>
  <c r="O30" i="25"/>
  <c r="O20" i="25"/>
  <c r="G79" i="8"/>
  <c r="P79" i="8" s="1"/>
  <c r="I36" i="17"/>
  <c r="I35" i="17"/>
  <c r="I21" i="17"/>
  <c r="D65" i="8"/>
  <c r="K65" i="8" s="1"/>
  <c r="C28" i="10"/>
  <c r="I44" i="257"/>
  <c r="D12" i="25"/>
  <c r="D81" i="8"/>
  <c r="J81" i="8" s="1"/>
  <c r="D26" i="8"/>
  <c r="D28" i="8"/>
  <c r="E38" i="8"/>
  <c r="I38" i="8" s="1"/>
  <c r="L38" i="8" s="1"/>
  <c r="N55" i="20"/>
  <c r="E39" i="12"/>
  <c r="AE46" i="20"/>
  <c r="I46" i="20" s="1"/>
  <c r="AJ16" i="20"/>
  <c r="AB33" i="20"/>
  <c r="F33" i="20" s="1"/>
  <c r="F15" i="25"/>
  <c r="AJ29" i="20"/>
  <c r="H24" i="36"/>
  <c r="I43" i="17"/>
  <c r="R27" i="8"/>
  <c r="J29" i="20"/>
  <c r="H29" i="20" s="1"/>
  <c r="AD29" i="20"/>
  <c r="K13" i="20"/>
  <c r="E17" i="20"/>
  <c r="K60" i="20"/>
  <c r="I51" i="36"/>
  <c r="F62" i="36"/>
  <c r="G48" i="36" s="1"/>
  <c r="F34" i="9"/>
  <c r="I34" i="9"/>
  <c r="Q34" i="9"/>
  <c r="C30" i="128"/>
  <c r="N22" i="8"/>
  <c r="R22" i="8"/>
  <c r="X13" i="20"/>
  <c r="K18" i="20"/>
  <c r="AD30" i="20"/>
  <c r="Y33" i="20"/>
  <c r="C33" i="20" s="1"/>
  <c r="AE66" i="20"/>
  <c r="P82" i="8"/>
  <c r="D16" i="20"/>
  <c r="B16" i="20" s="1"/>
  <c r="N40" i="8"/>
  <c r="AA34" i="20"/>
  <c r="H32" i="20"/>
  <c r="N13" i="20"/>
  <c r="AG17" i="20"/>
  <c r="C36" i="128"/>
  <c r="L36" i="99"/>
  <c r="L15" i="99"/>
  <c r="E9" i="59"/>
  <c r="W42" i="98"/>
  <c r="L21" i="98"/>
  <c r="L35" i="99"/>
  <c r="W35" i="99"/>
  <c r="L42" i="98"/>
  <c r="W23" i="98"/>
  <c r="W28" i="98"/>
  <c r="L11" i="98"/>
  <c r="B29" i="20"/>
  <c r="AK59" i="20"/>
  <c r="O59" i="20" s="1"/>
  <c r="Y20" i="20"/>
  <c r="C20" i="20" s="1"/>
  <c r="X21" i="20"/>
  <c r="N12" i="20"/>
  <c r="I12" i="20"/>
  <c r="AE59" i="20"/>
  <c r="I59" i="20" s="1"/>
  <c r="F36" i="25"/>
  <c r="D36" i="25"/>
  <c r="B26" i="20"/>
  <c r="X30" i="20"/>
  <c r="C34" i="20"/>
  <c r="B34" i="20" s="1"/>
  <c r="AJ17" i="20"/>
  <c r="P17" i="20"/>
  <c r="N17" i="20" s="1"/>
  <c r="I19" i="17"/>
  <c r="I26" i="17"/>
  <c r="I20" i="36"/>
  <c r="K20" i="36"/>
  <c r="O20" i="36"/>
  <c r="D55" i="8"/>
  <c r="J55" i="8" s="1"/>
  <c r="C53" i="8"/>
  <c r="I32" i="36"/>
  <c r="F32" i="36"/>
  <c r="L32" i="36" s="1"/>
  <c r="I46" i="9"/>
  <c r="K46" i="9"/>
  <c r="G46" i="25"/>
  <c r="N29" i="20"/>
  <c r="O39" i="25"/>
  <c r="I16" i="17"/>
  <c r="O15" i="25"/>
  <c r="C29" i="10"/>
  <c r="I83" i="8"/>
  <c r="L83" i="8" s="1"/>
  <c r="C22" i="10"/>
  <c r="I39" i="36"/>
  <c r="K32" i="36"/>
  <c r="J34" i="8"/>
  <c r="I58" i="8"/>
  <c r="L58" i="8" s="1"/>
  <c r="K58" i="8"/>
  <c r="I36" i="36"/>
  <c r="K28" i="9"/>
  <c r="C50" i="128"/>
  <c r="F24" i="9"/>
  <c r="G31" i="25"/>
  <c r="F31" i="9"/>
  <c r="I16" i="36"/>
  <c r="I11" i="36"/>
  <c r="G9" i="10"/>
  <c r="D18" i="12"/>
  <c r="K11" i="9"/>
  <c r="F11" i="9"/>
  <c r="O21" i="25"/>
  <c r="P49" i="8"/>
  <c r="O24" i="25"/>
  <c r="C43" i="10"/>
  <c r="I43" i="36"/>
  <c r="J35" i="8"/>
  <c r="B14" i="9"/>
  <c r="I14" i="9"/>
  <c r="E48" i="8"/>
  <c r="K48" i="9"/>
  <c r="G48" i="25"/>
  <c r="F48" i="9"/>
  <c r="C19" i="10"/>
  <c r="H28" i="8"/>
  <c r="J28" i="8" s="1"/>
  <c r="K43" i="36"/>
  <c r="K29" i="9"/>
  <c r="C12" i="128"/>
  <c r="D39" i="12"/>
  <c r="F39" i="9"/>
  <c r="E36" i="8"/>
  <c r="C24" i="10"/>
  <c r="C41" i="10"/>
  <c r="C27" i="10"/>
  <c r="J19" i="8"/>
  <c r="C41" i="128"/>
  <c r="D16" i="12"/>
  <c r="F46" i="9"/>
  <c r="F14" i="9"/>
  <c r="F10" i="9"/>
  <c r="D49" i="8"/>
  <c r="J49" i="8" s="1"/>
  <c r="B89" i="9"/>
  <c r="D78" i="9"/>
  <c r="E26" i="8"/>
  <c r="E44" i="8"/>
  <c r="D23" i="8"/>
  <c r="J23" i="8" s="1"/>
  <c r="B28" i="9"/>
  <c r="B53" i="8"/>
  <c r="D52" i="9"/>
  <c r="G45" i="9"/>
  <c r="E35" i="8"/>
  <c r="I35" i="8" s="1"/>
  <c r="L35" i="8" s="1"/>
  <c r="P54" i="8"/>
  <c r="C37" i="20"/>
  <c r="Y46" i="20"/>
  <c r="C46" i="20" s="1"/>
  <c r="F40" i="20"/>
  <c r="AB46" i="20"/>
  <c r="F46" i="20" s="1"/>
  <c r="I25" i="20"/>
  <c r="AE33" i="20"/>
  <c r="I33" i="20" s="1"/>
  <c r="L28" i="20"/>
  <c r="AH33" i="20"/>
  <c r="L33" i="20" s="1"/>
  <c r="AA18" i="20"/>
  <c r="G18" i="20"/>
  <c r="E18" i="20" s="1"/>
  <c r="M19" i="20"/>
  <c r="K19" i="20" s="1"/>
  <c r="AG19" i="20"/>
  <c r="E20" i="13"/>
  <c r="T20" i="13" s="1"/>
  <c r="X25" i="21"/>
  <c r="C8" i="187"/>
  <c r="D11" i="187"/>
  <c r="C49" i="20"/>
  <c r="Y66" i="20"/>
  <c r="AJ25" i="20"/>
  <c r="AK33" i="20"/>
  <c r="O33" i="20" s="1"/>
  <c r="O25" i="20"/>
  <c r="W25" i="21"/>
  <c r="D43" i="24"/>
  <c r="G80" i="24"/>
  <c r="J80" i="24" s="1"/>
  <c r="X80" i="21"/>
  <c r="E14" i="60"/>
  <c r="V12" i="21"/>
  <c r="AH46" i="20"/>
  <c r="L46" i="20" s="1"/>
  <c r="L37" i="20"/>
  <c r="AK46" i="20"/>
  <c r="O46" i="20" s="1"/>
  <c r="O37" i="20"/>
  <c r="M26" i="20"/>
  <c r="K26" i="20" s="1"/>
  <c r="AG26" i="20"/>
  <c r="M30" i="20"/>
  <c r="K30" i="20" s="1"/>
  <c r="AG30" i="20"/>
  <c r="P32" i="20"/>
  <c r="N32" i="20" s="1"/>
  <c r="AJ32" i="20"/>
  <c r="X55" i="20"/>
  <c r="D55" i="20"/>
  <c r="B55" i="20" s="1"/>
  <c r="F60" i="20"/>
  <c r="E60" i="20" s="1"/>
  <c r="AB66" i="20"/>
  <c r="W66" i="21"/>
  <c r="D66" i="24"/>
  <c r="V51" i="21"/>
  <c r="E53" i="60"/>
  <c r="B46" i="14"/>
  <c r="U46" i="21" s="1"/>
  <c r="S46" i="21"/>
  <c r="B46" i="24"/>
  <c r="G48" i="60"/>
  <c r="V46" i="21" s="1"/>
  <c r="O50" i="20"/>
  <c r="AK66" i="20"/>
  <c r="E35" i="30"/>
  <c r="N42" i="13" s="1"/>
  <c r="W79" i="21"/>
  <c r="D79" i="24"/>
  <c r="D67" i="24"/>
  <c r="J67" i="24" s="1"/>
  <c r="W67" i="21"/>
  <c r="V31" i="21"/>
  <c r="E33" i="60"/>
  <c r="V29" i="21"/>
  <c r="E31" i="60"/>
  <c r="X65" i="21"/>
  <c r="G65" i="24"/>
  <c r="H92" i="59"/>
  <c r="E90" i="59"/>
  <c r="AH59" i="20"/>
  <c r="L59" i="20" s="1"/>
  <c r="L50" i="20"/>
  <c r="B32" i="20"/>
  <c r="F31" i="20"/>
  <c r="E31" i="20" s="1"/>
  <c r="AA31" i="20"/>
  <c r="AJ26" i="20"/>
  <c r="P26" i="20"/>
  <c r="N26" i="20" s="1"/>
  <c r="AK20" i="20"/>
  <c r="O20" i="20" s="1"/>
  <c r="N20" i="20" s="1"/>
  <c r="G16" i="20"/>
  <c r="E16" i="20" s="1"/>
  <c r="AA16" i="20"/>
  <c r="AA19" i="20"/>
  <c r="G19" i="20"/>
  <c r="E19" i="20" s="1"/>
  <c r="E37" i="13"/>
  <c r="T37" i="13" s="1"/>
  <c r="H14" i="24"/>
  <c r="D9" i="188"/>
  <c r="C10" i="185"/>
  <c r="C7" i="187" s="1"/>
  <c r="D7" i="187" s="1"/>
  <c r="AH66" i="20"/>
  <c r="C9" i="185"/>
  <c r="C11" i="185" s="1"/>
  <c r="P12" i="36"/>
  <c r="L12" i="36"/>
  <c r="F25" i="20"/>
  <c r="E25" i="20" s="1"/>
  <c r="AA25" i="20"/>
  <c r="AA30" i="20"/>
  <c r="G30" i="20"/>
  <c r="E30" i="20" s="1"/>
  <c r="M31" i="20"/>
  <c r="K31" i="20" s="1"/>
  <c r="AG31" i="20"/>
  <c r="AG34" i="20"/>
  <c r="L34" i="20"/>
  <c r="K34" i="20" s="1"/>
  <c r="U23" i="21"/>
  <c r="U21" i="21"/>
  <c r="U19" i="21"/>
  <c r="M12" i="20"/>
  <c r="K12" i="20" s="1"/>
  <c r="AG12" i="20"/>
  <c r="AA12" i="20"/>
  <c r="F12" i="20"/>
  <c r="E12" i="20" s="1"/>
  <c r="T17" i="13"/>
  <c r="D16" i="25"/>
  <c r="O37" i="25"/>
  <c r="V24" i="21"/>
  <c r="D35" i="188"/>
  <c r="F11" i="25"/>
  <c r="D11" i="25"/>
  <c r="V48" i="21"/>
  <c r="G77" i="24"/>
  <c r="J77" i="24" s="1"/>
  <c r="X77" i="21"/>
  <c r="V20" i="21"/>
  <c r="D68" i="24"/>
  <c r="W68" i="21"/>
  <c r="D73" i="24"/>
  <c r="J73" i="24" s="1"/>
  <c r="C33" i="188"/>
  <c r="D27" i="188"/>
  <c r="X79" i="21"/>
  <c r="G79" i="24"/>
  <c r="F43" i="25"/>
  <c r="I21" i="24"/>
  <c r="L15" i="20"/>
  <c r="AH20" i="20"/>
  <c r="L20" i="20" s="1"/>
  <c r="D30" i="20"/>
  <c r="B30" i="20" s="1"/>
  <c r="X31" i="20"/>
  <c r="AJ30" i="20"/>
  <c r="O30" i="20"/>
  <c r="N30" i="20" s="1"/>
  <c r="B60" i="20"/>
  <c r="S44" i="23"/>
  <c r="X19" i="20"/>
  <c r="C19" i="20"/>
  <c r="B19" i="20" s="1"/>
  <c r="L100" i="26"/>
  <c r="K10" i="14"/>
  <c r="L10" i="14" s="1"/>
  <c r="D10" i="13" s="1"/>
  <c r="W21" i="28"/>
  <c r="U53" i="28"/>
  <c r="U25" i="28"/>
  <c r="X70" i="21"/>
  <c r="E6" i="174"/>
  <c r="AN43" i="167"/>
  <c r="AN48" i="167"/>
  <c r="D86" i="24"/>
  <c r="W86" i="21"/>
  <c r="AD16" i="20"/>
  <c r="AJ12" i="20"/>
  <c r="AG13" i="20"/>
  <c r="M16" i="20"/>
  <c r="K16" i="20" s="1"/>
  <c r="T27" i="13"/>
  <c r="I11" i="24"/>
  <c r="U43" i="28"/>
  <c r="AB59" i="20"/>
  <c r="F59" i="20" s="1"/>
  <c r="B31" i="20"/>
  <c r="AA17" i="20"/>
  <c r="D38" i="13"/>
  <c r="L99" i="26"/>
  <c r="D10" i="187"/>
  <c r="V40" i="21"/>
  <c r="AK43" i="167"/>
  <c r="AP11" i="167"/>
  <c r="AL48" i="167"/>
  <c r="N16" i="20"/>
  <c r="V89" i="21"/>
  <c r="G90" i="59"/>
  <c r="Q39" i="60"/>
  <c r="V37" i="21"/>
  <c r="F26" i="25"/>
  <c r="D26" i="25"/>
  <c r="J35" i="24"/>
  <c r="I24" i="24"/>
  <c r="H39" i="24"/>
  <c r="J16" i="24"/>
  <c r="C50" i="20"/>
  <c r="Y59" i="20"/>
  <c r="C59" i="20" s="1"/>
  <c r="E32" i="20"/>
  <c r="M32" i="20"/>
  <c r="K32" i="20" s="1"/>
  <c r="AG32" i="20"/>
  <c r="U16" i="21"/>
  <c r="U34" i="21"/>
  <c r="S26" i="23"/>
  <c r="S38" i="23"/>
  <c r="AJ19" i="20"/>
  <c r="D40" i="13"/>
  <c r="D19" i="13"/>
  <c r="D35" i="25"/>
  <c r="L101" i="26"/>
  <c r="I40" i="24"/>
  <c r="W27" i="28"/>
  <c r="W19" i="28"/>
  <c r="H44" i="24"/>
  <c r="D61" i="24"/>
  <c r="W61" i="21"/>
  <c r="V33" i="21"/>
  <c r="E25" i="60"/>
  <c r="V23" i="21"/>
  <c r="P43" i="21"/>
  <c r="X43" i="21" s="1"/>
  <c r="P68" i="21"/>
  <c r="G68" i="24" s="1"/>
  <c r="M76" i="21"/>
  <c r="D76" i="24" s="1"/>
  <c r="M72" i="21"/>
  <c r="D72" i="24" s="1"/>
  <c r="K21" i="256"/>
  <c r="L21" i="256" s="1"/>
  <c r="K17" i="256"/>
  <c r="L17" i="256" s="1"/>
  <c r="G84" i="8"/>
  <c r="P84" i="8" s="1"/>
  <c r="G80" i="8"/>
  <c r="P80" i="8" s="1"/>
  <c r="G64" i="8"/>
  <c r="P64" i="8" s="1"/>
  <c r="G58" i="8"/>
  <c r="G30" i="60"/>
  <c r="G19" i="60"/>
  <c r="AE43" i="167"/>
  <c r="K52" i="100"/>
  <c r="C52" i="100" s="1"/>
  <c r="AD49" i="167"/>
  <c r="C47" i="100"/>
  <c r="AD48" i="167"/>
  <c r="AP41" i="167"/>
  <c r="AJ48" i="167"/>
  <c r="I43" i="60"/>
  <c r="Q43" i="60" s="1"/>
  <c r="E43" i="24"/>
  <c r="H43" i="24" s="1"/>
  <c r="Z48" i="167"/>
  <c r="K44" i="100"/>
  <c r="H24" i="257"/>
  <c r="J39" i="21"/>
  <c r="H39" i="21" s="1"/>
  <c r="D26" i="140"/>
  <c r="H26" i="60"/>
  <c r="D36" i="140"/>
  <c r="D17" i="8"/>
  <c r="C14" i="8"/>
  <c r="J67" i="8"/>
  <c r="H14" i="257"/>
  <c r="G27" i="140"/>
  <c r="J27" i="60" s="1"/>
  <c r="E27" i="60" s="1"/>
  <c r="D37" i="140"/>
  <c r="C37" i="140" s="1"/>
  <c r="B37" i="140" s="1"/>
  <c r="H12" i="60"/>
  <c r="D12" i="140"/>
  <c r="D46" i="140"/>
  <c r="I29" i="60"/>
  <c r="C30" i="10"/>
  <c r="K38" i="36"/>
  <c r="D27" i="140"/>
  <c r="E29" i="140"/>
  <c r="I63" i="8"/>
  <c r="L63" i="8" s="1"/>
  <c r="K63" i="8"/>
  <c r="J63" i="8"/>
  <c r="I21" i="36"/>
  <c r="K26" i="36"/>
  <c r="F61" i="36"/>
  <c r="I37" i="36"/>
  <c r="K37" i="36"/>
  <c r="I32" i="60"/>
  <c r="G84" i="140"/>
  <c r="J84" i="60" s="1"/>
  <c r="H82" i="257" s="1"/>
  <c r="C39" i="10"/>
  <c r="G45" i="140"/>
  <c r="J45" i="60" s="1"/>
  <c r="E45" i="60" s="1"/>
  <c r="G12" i="140"/>
  <c r="J12" i="60" s="1"/>
  <c r="D43" i="140"/>
  <c r="C43" i="140" s="1"/>
  <c r="B43" i="140" s="1"/>
  <c r="J54" i="8"/>
  <c r="K54" i="8"/>
  <c r="I54" i="8"/>
  <c r="D30" i="140"/>
  <c r="I22" i="257"/>
  <c r="I27" i="257"/>
  <c r="J38" i="8"/>
  <c r="K86" i="8"/>
  <c r="I86" i="8"/>
  <c r="L86" i="8" s="1"/>
  <c r="C48" i="10"/>
  <c r="C31" i="10"/>
  <c r="C13" i="10"/>
  <c r="G36" i="140"/>
  <c r="J36" i="60" s="1"/>
  <c r="D28" i="140"/>
  <c r="C28" i="140" s="1"/>
  <c r="B28" i="140" s="1"/>
  <c r="D38" i="140"/>
  <c r="C38" i="140" s="1"/>
  <c r="B38" i="140" s="1"/>
  <c r="M38" i="140" s="1"/>
  <c r="G44" i="140"/>
  <c r="J44" i="60" s="1"/>
  <c r="G15" i="140"/>
  <c r="J15" i="60" s="1"/>
  <c r="I41" i="36"/>
  <c r="I79" i="8"/>
  <c r="L79" i="8" s="1"/>
  <c r="K79" i="8"/>
  <c r="I68" i="8"/>
  <c r="L68" i="8" s="1"/>
  <c r="K36" i="36"/>
  <c r="G20" i="140"/>
  <c r="J20" i="60" s="1"/>
  <c r="H18" i="257" s="1"/>
  <c r="G46" i="140"/>
  <c r="J46" i="60" s="1"/>
  <c r="C38" i="10"/>
  <c r="J83" i="8"/>
  <c r="E35" i="140"/>
  <c r="K21" i="36"/>
  <c r="C26" i="10"/>
  <c r="G39" i="140"/>
  <c r="J39" i="60" s="1"/>
  <c r="E39" i="60" s="1"/>
  <c r="D17" i="140"/>
  <c r="C17" i="140" s="1"/>
  <c r="B17" i="140" s="1"/>
  <c r="D34" i="140"/>
  <c r="C34" i="140" s="1"/>
  <c r="B34" i="140" s="1"/>
  <c r="M34" i="140" s="1"/>
  <c r="I11" i="257"/>
  <c r="K44" i="36"/>
  <c r="I34" i="36"/>
  <c r="K16" i="36"/>
  <c r="J76" i="8"/>
  <c r="K30" i="36"/>
  <c r="I24" i="36"/>
  <c r="K24" i="36"/>
  <c r="I31" i="36"/>
  <c r="D47" i="36"/>
  <c r="C12" i="10"/>
  <c r="I36" i="257"/>
  <c r="D44" i="140"/>
  <c r="D23" i="140"/>
  <c r="C23" i="140" s="1"/>
  <c r="B23" i="140" s="1"/>
  <c r="J24" i="8"/>
  <c r="I12" i="36"/>
  <c r="K12" i="36"/>
  <c r="K59" i="8"/>
  <c r="K27" i="36"/>
  <c r="K71" i="8"/>
  <c r="I71" i="8"/>
  <c r="L71" i="8" s="1"/>
  <c r="I19" i="36"/>
  <c r="K11" i="36"/>
  <c r="I24" i="257"/>
  <c r="I40" i="257"/>
  <c r="I37" i="257"/>
  <c r="H47" i="21"/>
  <c r="J24" i="13"/>
  <c r="J33" i="13"/>
  <c r="F33" i="19" s="1"/>
  <c r="I30" i="19"/>
  <c r="J30" i="19"/>
  <c r="L91" i="21"/>
  <c r="F36" i="9"/>
  <c r="B9" i="8"/>
  <c r="F19" i="9"/>
  <c r="H86" i="59"/>
  <c r="I86" i="59" s="1"/>
  <c r="H73" i="59"/>
  <c r="H68" i="59"/>
  <c r="H56" i="59"/>
  <c r="I56" i="59" s="1"/>
  <c r="R9" i="59"/>
  <c r="H54" i="59"/>
  <c r="B45" i="8"/>
  <c r="B28" i="36"/>
  <c r="K12" i="59"/>
  <c r="K9" i="59" s="1"/>
  <c r="I9" i="59"/>
  <c r="H85" i="59"/>
  <c r="I85" i="59" s="1"/>
  <c r="H71" i="59"/>
  <c r="H65" i="59"/>
  <c r="I65" i="59" s="1"/>
  <c r="C65" i="21" s="1"/>
  <c r="C101" i="8"/>
  <c r="C46" i="8" s="1"/>
  <c r="F16" i="9"/>
  <c r="F15" i="9"/>
  <c r="B33" i="9"/>
  <c r="F82" i="21"/>
  <c r="D82" i="21" s="1"/>
  <c r="E12" i="23"/>
  <c r="I12" i="13" s="1"/>
  <c r="D47" i="9"/>
  <c r="E31" i="8"/>
  <c r="E29" i="8"/>
  <c r="E11" i="8"/>
  <c r="D36" i="23"/>
  <c r="C36" i="13" s="1"/>
  <c r="H61" i="59"/>
  <c r="R72" i="59"/>
  <c r="G72" i="21" s="1"/>
  <c r="I72" i="59"/>
  <c r="H84" i="59"/>
  <c r="I84" i="59" s="1"/>
  <c r="H70" i="59"/>
  <c r="H64" i="59"/>
  <c r="C87" i="21"/>
  <c r="J68" i="21"/>
  <c r="M68" i="15" s="1"/>
  <c r="H75" i="59"/>
  <c r="H69" i="59"/>
  <c r="I69" i="59" s="1"/>
  <c r="H63" i="59"/>
  <c r="D54" i="9"/>
  <c r="H84" i="21"/>
  <c r="J61" i="21"/>
  <c r="M61" i="15" s="1"/>
  <c r="F89" i="21"/>
  <c r="I89" i="13" s="1"/>
  <c r="H83" i="59"/>
  <c r="I81" i="59"/>
  <c r="C81" i="21" s="1"/>
  <c r="H78" i="59"/>
  <c r="I78" i="59" s="1"/>
  <c r="H67" i="59"/>
  <c r="I67" i="59" s="1"/>
  <c r="J88" i="21"/>
  <c r="M89" i="15" s="1"/>
  <c r="I57" i="59"/>
  <c r="C57" i="21" s="1"/>
  <c r="F90" i="59"/>
  <c r="R82" i="59"/>
  <c r="G82" i="21" s="1"/>
  <c r="Q77" i="59"/>
  <c r="R77" i="59" s="1"/>
  <c r="G77" i="21" s="1"/>
  <c r="D39" i="23"/>
  <c r="H80" i="59"/>
  <c r="H60" i="59"/>
  <c r="I60" i="59" s="1"/>
  <c r="J88" i="59"/>
  <c r="J53" i="59" s="1"/>
  <c r="J220" i="59" s="1"/>
  <c r="I62" i="59"/>
  <c r="F53" i="59"/>
  <c r="E58" i="59"/>
  <c r="Q85" i="59"/>
  <c r="R85" i="59" s="1"/>
  <c r="G85" i="21" s="1"/>
  <c r="R83" i="59"/>
  <c r="G83" i="21" s="1"/>
  <c r="O9" i="59"/>
  <c r="D79" i="21"/>
  <c r="B46" i="9"/>
  <c r="H69" i="21"/>
  <c r="H89" i="21"/>
  <c r="F45" i="59"/>
  <c r="Q75" i="59"/>
  <c r="I76" i="59"/>
  <c r="R62" i="59"/>
  <c r="G62" i="21" s="1"/>
  <c r="Q59" i="59"/>
  <c r="Q57" i="59"/>
  <c r="F49" i="21"/>
  <c r="E39" i="23"/>
  <c r="I36" i="23"/>
  <c r="I35" i="23"/>
  <c r="H66" i="59"/>
  <c r="I59" i="59"/>
  <c r="R76" i="59"/>
  <c r="G76" i="21" s="1"/>
  <c r="R70" i="59"/>
  <c r="G70" i="21" s="1"/>
  <c r="Q66" i="59"/>
  <c r="F52" i="21"/>
  <c r="E54" i="140" s="1"/>
  <c r="F48" i="21"/>
  <c r="H32" i="23"/>
  <c r="H36" i="23" s="1"/>
  <c r="R81" i="59"/>
  <c r="G81" i="21" s="1"/>
  <c r="R71" i="59"/>
  <c r="G71" i="21" s="1"/>
  <c r="R64" i="59"/>
  <c r="G64" i="21" s="1"/>
  <c r="Q55" i="59"/>
  <c r="O67" i="59"/>
  <c r="O53" i="59" s="1"/>
  <c r="R67" i="59"/>
  <c r="G67" i="21" s="1"/>
  <c r="O90" i="59"/>
  <c r="D43" i="21"/>
  <c r="I39" i="23"/>
  <c r="E36" i="23"/>
  <c r="I36" i="13" s="1"/>
  <c r="F39" i="21"/>
  <c r="K30" i="8" l="1"/>
  <c r="E19" i="12"/>
  <c r="J25" i="9"/>
  <c r="L31" i="99"/>
  <c r="P44" i="36"/>
  <c r="K20" i="8"/>
  <c r="K34" i="8"/>
  <c r="I59" i="8"/>
  <c r="L59" i="8" s="1"/>
  <c r="O53" i="257"/>
  <c r="Q53" i="257" s="1"/>
  <c r="I64" i="59"/>
  <c r="R57" i="59"/>
  <c r="G57" i="21" s="1"/>
  <c r="I70" i="59"/>
  <c r="C70" i="21" s="1"/>
  <c r="G72" i="60" s="1"/>
  <c r="E72" i="60" s="1"/>
  <c r="C72" i="60" s="1"/>
  <c r="O70" i="257" s="1"/>
  <c r="Q70" i="257" s="1"/>
  <c r="D19" i="12"/>
  <c r="R59" i="59"/>
  <c r="G59" i="21" s="1"/>
  <c r="M83" i="8"/>
  <c r="D35" i="23"/>
  <c r="C35" i="13" s="1"/>
  <c r="D34" i="12"/>
  <c r="G34" i="12" s="1"/>
  <c r="N34" i="12" s="1"/>
  <c r="J16" i="9"/>
  <c r="J58" i="21"/>
  <c r="E58" i="24"/>
  <c r="B58" i="15"/>
  <c r="Q45" i="59"/>
  <c r="E35" i="60"/>
  <c r="F12" i="9"/>
  <c r="B12" i="10" s="1"/>
  <c r="C12" i="19" s="1"/>
  <c r="B38" i="10"/>
  <c r="C32" i="23"/>
  <c r="D48" i="140"/>
  <c r="I55" i="59"/>
  <c r="D37" i="12"/>
  <c r="G37" i="12" s="1"/>
  <c r="N37" i="12" s="1"/>
  <c r="I80" i="59"/>
  <c r="R75" i="59"/>
  <c r="G75" i="21" s="1"/>
  <c r="G77" i="60" s="1"/>
  <c r="E77" i="60" s="1"/>
  <c r="C77" i="60" s="1"/>
  <c r="O75" i="257" s="1"/>
  <c r="Q75" i="257" s="1"/>
  <c r="I75" i="59"/>
  <c r="C75" i="21" s="1"/>
  <c r="I61" i="59"/>
  <c r="D38" i="12"/>
  <c r="I42" i="8"/>
  <c r="L42" i="8" s="1"/>
  <c r="J78" i="12"/>
  <c r="I66" i="59"/>
  <c r="K66" i="59" s="1"/>
  <c r="I63" i="59"/>
  <c r="I83" i="59"/>
  <c r="D22" i="12"/>
  <c r="B68" i="15"/>
  <c r="E68" i="24"/>
  <c r="R55" i="59"/>
  <c r="G55" i="21" s="1"/>
  <c r="E55" i="24" s="1"/>
  <c r="I73" i="59"/>
  <c r="R66" i="59"/>
  <c r="G66" i="21" s="1"/>
  <c r="I71" i="59"/>
  <c r="E16" i="12"/>
  <c r="H16" i="12" s="1"/>
  <c r="O16" i="12" s="1"/>
  <c r="D11" i="12"/>
  <c r="I47" i="8"/>
  <c r="L47" i="8" s="1"/>
  <c r="I20" i="17"/>
  <c r="I68" i="59"/>
  <c r="C68" i="21" s="1"/>
  <c r="E15" i="12"/>
  <c r="H15" i="12" s="1"/>
  <c r="O15" i="12" s="1"/>
  <c r="J54" i="21"/>
  <c r="B54" i="15"/>
  <c r="H49" i="257"/>
  <c r="D18" i="140"/>
  <c r="C18" i="140" s="1"/>
  <c r="B18" i="140" s="1"/>
  <c r="L16" i="257" s="1"/>
  <c r="D22" i="140"/>
  <c r="X48" i="21"/>
  <c r="D15" i="140"/>
  <c r="H25" i="60"/>
  <c r="C26" i="140"/>
  <c r="B26" i="140" s="1"/>
  <c r="D42" i="140"/>
  <c r="C42" i="140" s="1"/>
  <c r="B42" i="140" s="1"/>
  <c r="C49" i="60"/>
  <c r="J87" i="8"/>
  <c r="E12" i="12"/>
  <c r="B12" i="13" s="1"/>
  <c r="F37" i="25"/>
  <c r="K45" i="261"/>
  <c r="I45" i="261" s="1"/>
  <c r="P30" i="36"/>
  <c r="J45" i="268"/>
  <c r="I45" i="268" s="1"/>
  <c r="D39" i="25"/>
  <c r="I64" i="8"/>
  <c r="L64" i="8" s="1"/>
  <c r="D40" i="25"/>
  <c r="J45" i="17"/>
  <c r="I76" i="8"/>
  <c r="L76" i="8" s="1"/>
  <c r="J42" i="8"/>
  <c r="J78" i="8"/>
  <c r="H45" i="17"/>
  <c r="H45" i="268"/>
  <c r="K73" i="8"/>
  <c r="G52" i="8"/>
  <c r="P52" i="8" s="1"/>
  <c r="I57" i="8"/>
  <c r="L57" i="8" s="1"/>
  <c r="P43" i="36"/>
  <c r="K64" i="8"/>
  <c r="K45" i="17"/>
  <c r="I40" i="8"/>
  <c r="L40" i="8" s="1"/>
  <c r="I78" i="8"/>
  <c r="L78" i="8" s="1"/>
  <c r="D17" i="25"/>
  <c r="X46" i="21"/>
  <c r="H35" i="12"/>
  <c r="O35" i="12" s="1"/>
  <c r="E35" i="23"/>
  <c r="I35" i="13" s="1"/>
  <c r="I69" i="8"/>
  <c r="L69" i="8" s="1"/>
  <c r="I65" i="8"/>
  <c r="L65" i="8" s="1"/>
  <c r="Q37" i="9"/>
  <c r="Q44" i="9"/>
  <c r="J69" i="8"/>
  <c r="I41" i="9"/>
  <c r="Q41" i="9"/>
  <c r="F34" i="25"/>
  <c r="K37" i="9"/>
  <c r="I29" i="9"/>
  <c r="C41" i="127"/>
  <c r="J68" i="8"/>
  <c r="I87" i="8"/>
  <c r="L87" i="8" s="1"/>
  <c r="H46" i="24"/>
  <c r="I14" i="17"/>
  <c r="E29" i="12"/>
  <c r="B29" i="13" s="1"/>
  <c r="D31" i="140"/>
  <c r="M79" i="14"/>
  <c r="I37" i="9"/>
  <c r="E20" i="12"/>
  <c r="F49" i="36"/>
  <c r="P49" i="36" s="1"/>
  <c r="P45" i="59"/>
  <c r="E21" i="60"/>
  <c r="P21" i="60" s="1"/>
  <c r="D12" i="23"/>
  <c r="C25" i="140"/>
  <c r="B25" i="140" s="1"/>
  <c r="M25" i="140" s="1"/>
  <c r="J84" i="24"/>
  <c r="E50" i="60"/>
  <c r="C50" i="60" s="1"/>
  <c r="K80" i="8"/>
  <c r="L38" i="36"/>
  <c r="I80" i="8"/>
  <c r="L80" i="8" s="1"/>
  <c r="N220" i="59"/>
  <c r="E34" i="60"/>
  <c r="C34" i="60" s="1"/>
  <c r="I70" i="8"/>
  <c r="L70" i="8" s="1"/>
  <c r="D14" i="140"/>
  <c r="C14" i="140" s="1"/>
  <c r="B14" i="140" s="1"/>
  <c r="I44" i="9"/>
  <c r="K70" i="8"/>
  <c r="E15" i="60"/>
  <c r="P15" i="60" s="1"/>
  <c r="C30" i="140"/>
  <c r="B30" i="140" s="1"/>
  <c r="F44" i="9"/>
  <c r="J47" i="8"/>
  <c r="L20" i="36"/>
  <c r="J54" i="12"/>
  <c r="Q16" i="60"/>
  <c r="G44" i="25"/>
  <c r="J44" i="25" s="1"/>
  <c r="K44" i="25" s="1"/>
  <c r="E16" i="60"/>
  <c r="C16" i="60" s="1"/>
  <c r="D39" i="140"/>
  <c r="K44" i="9"/>
  <c r="X87" i="21"/>
  <c r="G87" i="24"/>
  <c r="J87" i="24" s="1"/>
  <c r="H40" i="257"/>
  <c r="E42" i="60"/>
  <c r="C42" i="60" s="1"/>
  <c r="K12" i="9"/>
  <c r="C8" i="100"/>
  <c r="C53" i="13"/>
  <c r="D8" i="187"/>
  <c r="H10" i="8"/>
  <c r="J10" i="8" s="1"/>
  <c r="J62" i="24"/>
  <c r="H41" i="257"/>
  <c r="P16" i="36"/>
  <c r="G12" i="25"/>
  <c r="K12" i="25" s="1"/>
  <c r="I12" i="9"/>
  <c r="H24" i="19"/>
  <c r="C45" i="13"/>
  <c r="H52" i="13"/>
  <c r="E81" i="140"/>
  <c r="D16" i="140"/>
  <c r="C16" i="140" s="1"/>
  <c r="B16" i="140" s="1"/>
  <c r="K67" i="8"/>
  <c r="E37" i="30"/>
  <c r="D37" i="30" s="1"/>
  <c r="N68" i="261" s="1"/>
  <c r="L39" i="36"/>
  <c r="J88" i="8"/>
  <c r="W10" i="98"/>
  <c r="E8" i="187"/>
  <c r="F8" i="187" s="1"/>
  <c r="D13" i="140"/>
  <c r="C13" i="140" s="1"/>
  <c r="B13" i="140" s="1"/>
  <c r="M13" i="140" s="1"/>
  <c r="K74" i="8"/>
  <c r="P15" i="8"/>
  <c r="P19" i="36"/>
  <c r="E52" i="60"/>
  <c r="I15" i="8"/>
  <c r="L15" i="8" s="1"/>
  <c r="L36" i="36"/>
  <c r="H19" i="257"/>
  <c r="D32" i="140"/>
  <c r="C32" i="140" s="1"/>
  <c r="B32" i="140" s="1"/>
  <c r="L25" i="99"/>
  <c r="K15" i="8"/>
  <c r="K88" i="8"/>
  <c r="E22" i="60"/>
  <c r="O15" i="9"/>
  <c r="K17" i="36"/>
  <c r="C22" i="140"/>
  <c r="B22" i="140" s="1"/>
  <c r="K36" i="8"/>
  <c r="E18" i="12"/>
  <c r="B18" i="13" s="1"/>
  <c r="B15" i="12"/>
  <c r="J48" i="24"/>
  <c r="C44" i="100"/>
  <c r="J65" i="24"/>
  <c r="W29" i="99"/>
  <c r="G86" i="24"/>
  <c r="J86" i="24" s="1"/>
  <c r="G57" i="24"/>
  <c r="J57" i="24" s="1"/>
  <c r="X57" i="21"/>
  <c r="B80" i="15"/>
  <c r="E80" i="24"/>
  <c r="I28" i="268"/>
  <c r="I18" i="268"/>
  <c r="I22" i="268"/>
  <c r="I40" i="268"/>
  <c r="K32" i="268"/>
  <c r="K24" i="268"/>
  <c r="E88" i="24"/>
  <c r="B88" i="15"/>
  <c r="K30" i="268"/>
  <c r="P32" i="36"/>
  <c r="J24" i="268"/>
  <c r="I14" i="268"/>
  <c r="I49" i="268"/>
  <c r="K82" i="8"/>
  <c r="L38" i="99"/>
  <c r="B34" i="9"/>
  <c r="B34" i="12" s="1"/>
  <c r="F29" i="9"/>
  <c r="I39" i="268"/>
  <c r="I50" i="268"/>
  <c r="I47" i="268"/>
  <c r="I37" i="268"/>
  <c r="I41" i="268"/>
  <c r="I46" i="268"/>
  <c r="I52" i="268"/>
  <c r="I15" i="268"/>
  <c r="I20" i="268"/>
  <c r="I36" i="268"/>
  <c r="M20" i="13"/>
  <c r="H63" i="268"/>
  <c r="H71" i="268"/>
  <c r="H82" i="268"/>
  <c r="H60" i="268"/>
  <c r="H68" i="268"/>
  <c r="H88" i="268"/>
  <c r="H56" i="268"/>
  <c r="I51" i="268"/>
  <c r="I17" i="268"/>
  <c r="I44" i="268"/>
  <c r="I34" i="268"/>
  <c r="I38" i="268"/>
  <c r="I16" i="268"/>
  <c r="H87" i="268"/>
  <c r="I87" i="268"/>
  <c r="J87" i="268"/>
  <c r="K87" i="268"/>
  <c r="J30" i="261"/>
  <c r="J30" i="268"/>
  <c r="H62" i="268"/>
  <c r="H70" i="268"/>
  <c r="H81" i="268"/>
  <c r="H65" i="268"/>
  <c r="H73" i="268"/>
  <c r="H85" i="268"/>
  <c r="C31" i="261"/>
  <c r="C34" i="261"/>
  <c r="I29" i="268"/>
  <c r="I48" i="268"/>
  <c r="I19" i="268"/>
  <c r="I43" i="268"/>
  <c r="H67" i="268"/>
  <c r="H76" i="268"/>
  <c r="H64" i="268"/>
  <c r="H72" i="268"/>
  <c r="H84" i="268"/>
  <c r="H55" i="268"/>
  <c r="H57" i="268"/>
  <c r="H75" i="268"/>
  <c r="I26" i="268"/>
  <c r="I33" i="268"/>
  <c r="H79" i="268"/>
  <c r="K79" i="268"/>
  <c r="J79" i="268"/>
  <c r="H58" i="268"/>
  <c r="H66" i="268"/>
  <c r="H86" i="268"/>
  <c r="H61" i="268"/>
  <c r="H69" i="268"/>
  <c r="H80" i="268"/>
  <c r="J32" i="261"/>
  <c r="J32" i="268"/>
  <c r="I21" i="268"/>
  <c r="I42" i="268"/>
  <c r="I31" i="268"/>
  <c r="I35" i="268"/>
  <c r="I11" i="268"/>
  <c r="I25" i="268"/>
  <c r="J79" i="24"/>
  <c r="I34" i="8"/>
  <c r="L34" i="8" s="1"/>
  <c r="B41" i="9"/>
  <c r="P41" i="9" s="1"/>
  <c r="K22" i="8"/>
  <c r="J83" i="12"/>
  <c r="H48" i="13"/>
  <c r="H79" i="13"/>
  <c r="C79" i="15"/>
  <c r="T79" i="21"/>
  <c r="F79" i="24"/>
  <c r="G52" i="24"/>
  <c r="J52" i="24" s="1"/>
  <c r="X52" i="21"/>
  <c r="D66" i="9"/>
  <c r="M66" i="13" s="1"/>
  <c r="I45" i="116"/>
  <c r="E45" i="116"/>
  <c r="I32" i="8"/>
  <c r="L32" i="8" s="1"/>
  <c r="P15" i="9"/>
  <c r="K25" i="8"/>
  <c r="K77" i="8"/>
  <c r="J74" i="8"/>
  <c r="J32" i="8"/>
  <c r="J60" i="8"/>
  <c r="W19" i="98"/>
  <c r="L17" i="98"/>
  <c r="W36" i="99"/>
  <c r="F38" i="25"/>
  <c r="P15" i="36"/>
  <c r="D43" i="12"/>
  <c r="E34" i="12"/>
  <c r="B34" i="13" s="1"/>
  <c r="K34" i="13" s="1"/>
  <c r="L34" i="13" s="1"/>
  <c r="D24" i="12"/>
  <c r="G24" i="12" s="1"/>
  <c r="N24" i="12" s="1"/>
  <c r="J28" i="36"/>
  <c r="J38" i="36"/>
  <c r="L42" i="9"/>
  <c r="G42" i="261" s="1"/>
  <c r="B35" i="10"/>
  <c r="F35" i="10" s="1"/>
  <c r="K35" i="10" s="1"/>
  <c r="J28" i="9"/>
  <c r="D12" i="12"/>
  <c r="C12" i="12" s="1"/>
  <c r="J11" i="9"/>
  <c r="J24" i="9"/>
  <c r="F18" i="9"/>
  <c r="K12" i="8"/>
  <c r="F22" i="25"/>
  <c r="D36" i="12"/>
  <c r="G36" i="12" s="1"/>
  <c r="N36" i="12" s="1"/>
  <c r="C34" i="17"/>
  <c r="I18" i="9"/>
  <c r="H18" i="59"/>
  <c r="Q18" i="9"/>
  <c r="I60" i="8"/>
  <c r="L60" i="8" s="1"/>
  <c r="I43" i="8"/>
  <c r="L43" i="8" s="1"/>
  <c r="D32" i="12"/>
  <c r="E24" i="12"/>
  <c r="H24" i="12" s="1"/>
  <c r="O24" i="12" s="1"/>
  <c r="E36" i="12"/>
  <c r="H36" i="12" s="1"/>
  <c r="O36" i="12" s="1"/>
  <c r="L62" i="8"/>
  <c r="M78" i="8"/>
  <c r="R78" i="8" s="1"/>
  <c r="I41" i="17"/>
  <c r="D29" i="12"/>
  <c r="J35" i="9"/>
  <c r="J19" i="9"/>
  <c r="D26" i="12"/>
  <c r="E26" i="12"/>
  <c r="H26" i="12" s="1"/>
  <c r="O26" i="12" s="1"/>
  <c r="B26" i="10"/>
  <c r="P26" i="13" s="1"/>
  <c r="O26" i="13" s="1"/>
  <c r="J26" i="13" s="1"/>
  <c r="F26" i="19" s="1"/>
  <c r="E26" i="19" s="1"/>
  <c r="E11" i="12"/>
  <c r="B11" i="13" s="1"/>
  <c r="J51" i="9"/>
  <c r="J31" i="9"/>
  <c r="C20" i="261"/>
  <c r="I22" i="8"/>
  <c r="L22" i="8" s="1"/>
  <c r="I77" i="8"/>
  <c r="L77" i="8" s="1"/>
  <c r="D35" i="12"/>
  <c r="G35" i="12" s="1"/>
  <c r="N35" i="12" s="1"/>
  <c r="K32" i="8"/>
  <c r="D40" i="12"/>
  <c r="G40" i="12" s="1"/>
  <c r="N40" i="12" s="1"/>
  <c r="J44" i="36"/>
  <c r="D20" i="12"/>
  <c r="H52" i="60"/>
  <c r="Q52" i="60" s="1"/>
  <c r="D52" i="140"/>
  <c r="C52" i="140" s="1"/>
  <c r="B52" i="140" s="1"/>
  <c r="B56" i="15"/>
  <c r="E56" i="24"/>
  <c r="H39" i="257"/>
  <c r="E41" i="60"/>
  <c r="C43" i="60"/>
  <c r="P43" i="60"/>
  <c r="O49" i="60"/>
  <c r="O47" i="257"/>
  <c r="E13" i="99"/>
  <c r="E61" i="24"/>
  <c r="B61" i="15"/>
  <c r="D21" i="140"/>
  <c r="C21" i="140" s="1"/>
  <c r="B21" i="140" s="1"/>
  <c r="H21" i="60"/>
  <c r="Q21" i="60" s="1"/>
  <c r="V21" i="21"/>
  <c r="Q23" i="60"/>
  <c r="G72" i="24"/>
  <c r="J72" i="24" s="1"/>
  <c r="X72" i="21"/>
  <c r="E91" i="60"/>
  <c r="Q42" i="60"/>
  <c r="E42" i="13"/>
  <c r="T42" i="13" s="1"/>
  <c r="C55" i="21"/>
  <c r="K55" i="59"/>
  <c r="G78" i="24"/>
  <c r="J78" i="24" s="1"/>
  <c r="X78" i="21"/>
  <c r="C51" i="60"/>
  <c r="O51" i="60" s="1"/>
  <c r="P51" i="60"/>
  <c r="L14" i="98"/>
  <c r="O15" i="36"/>
  <c r="I39" i="8"/>
  <c r="L39" i="8" s="1"/>
  <c r="Q90" i="59"/>
  <c r="Q17" i="60"/>
  <c r="V15" i="21"/>
  <c r="E17" i="60"/>
  <c r="G50" i="24"/>
  <c r="J50" i="24" s="1"/>
  <c r="X50" i="21"/>
  <c r="I43" i="13"/>
  <c r="M43" i="14"/>
  <c r="H49" i="13"/>
  <c r="G66" i="24"/>
  <c r="J66" i="24" s="1"/>
  <c r="X66" i="21"/>
  <c r="X74" i="21"/>
  <c r="G74" i="24"/>
  <c r="J74" i="24" s="1"/>
  <c r="E32" i="60"/>
  <c r="I84" i="8"/>
  <c r="L84" i="8" s="1"/>
  <c r="C48" i="140"/>
  <c r="B48" i="140" s="1"/>
  <c r="L46" i="257" s="1"/>
  <c r="J61" i="24"/>
  <c r="H90" i="59"/>
  <c r="G45" i="13"/>
  <c r="E17" i="12"/>
  <c r="B17" i="13" s="1"/>
  <c r="I20" i="9"/>
  <c r="D31" i="12"/>
  <c r="G31" i="12" s="1"/>
  <c r="N31" i="12" s="1"/>
  <c r="T43" i="21"/>
  <c r="K41" i="13"/>
  <c r="B41" i="13" s="1"/>
  <c r="H56" i="21"/>
  <c r="C56" i="15" s="1"/>
  <c r="H52" i="257"/>
  <c r="H45" i="257" s="1"/>
  <c r="E54" i="60"/>
  <c r="X83" i="21"/>
  <c r="G83" i="24"/>
  <c r="J83" i="24" s="1"/>
  <c r="G71" i="24"/>
  <c r="J71" i="24" s="1"/>
  <c r="X71" i="21"/>
  <c r="Q9" i="59"/>
  <c r="D20" i="140"/>
  <c r="H20" i="60"/>
  <c r="Q20" i="60" s="1"/>
  <c r="E45" i="140"/>
  <c r="K57" i="8"/>
  <c r="D40" i="140"/>
  <c r="C40" i="140" s="1"/>
  <c r="B40" i="140" s="1"/>
  <c r="M40" i="140" s="1"/>
  <c r="I18" i="36"/>
  <c r="L34" i="98"/>
  <c r="F17" i="9"/>
  <c r="F20" i="9"/>
  <c r="I56" i="8"/>
  <c r="L56" i="8" s="1"/>
  <c r="H16" i="257"/>
  <c r="V44" i="167"/>
  <c r="T16" i="13"/>
  <c r="P24" i="36"/>
  <c r="J84" i="8"/>
  <c r="F45" i="13"/>
  <c r="H50" i="13"/>
  <c r="X59" i="21"/>
  <c r="T15" i="13"/>
  <c r="J74" i="21"/>
  <c r="M74" i="15" s="1"/>
  <c r="B74" i="15"/>
  <c r="E74" i="24"/>
  <c r="G88" i="24"/>
  <c r="J88" i="24" s="1"/>
  <c r="X88" i="21"/>
  <c r="G55" i="24"/>
  <c r="J55" i="24" s="1"/>
  <c r="X55" i="21"/>
  <c r="P18" i="60"/>
  <c r="C18" i="60"/>
  <c r="P16" i="60"/>
  <c r="C89" i="100"/>
  <c r="E28" i="60"/>
  <c r="C28" i="60" s="1"/>
  <c r="I50" i="13"/>
  <c r="M50" i="14"/>
  <c r="C50" i="24"/>
  <c r="I50" i="24" s="1"/>
  <c r="S50" i="21"/>
  <c r="C31" i="13"/>
  <c r="K31" i="13" s="1"/>
  <c r="B31" i="13" s="1"/>
  <c r="E91" i="21"/>
  <c r="S31" i="21"/>
  <c r="H38" i="257"/>
  <c r="E40" i="60"/>
  <c r="C77" i="21"/>
  <c r="G79" i="60" s="1"/>
  <c r="V77" i="21" s="1"/>
  <c r="K77" i="59"/>
  <c r="C23" i="60"/>
  <c r="P23" i="60"/>
  <c r="H78" i="21"/>
  <c r="X76" i="21"/>
  <c r="G76" i="24"/>
  <c r="J76" i="24" s="1"/>
  <c r="E38" i="60"/>
  <c r="H80" i="21"/>
  <c r="H80" i="13" s="1"/>
  <c r="F7" i="187"/>
  <c r="N70" i="261"/>
  <c r="N73" i="261"/>
  <c r="N69" i="261"/>
  <c r="N75" i="261"/>
  <c r="N71" i="261"/>
  <c r="N54" i="261"/>
  <c r="D24" i="140"/>
  <c r="C24" i="140" s="1"/>
  <c r="B24" i="140" s="1"/>
  <c r="H24" i="60"/>
  <c r="Q24" i="60" s="1"/>
  <c r="I51" i="13"/>
  <c r="C51" i="24"/>
  <c r="I51" i="24" s="1"/>
  <c r="S51" i="21"/>
  <c r="M51" i="14"/>
  <c r="I47" i="13"/>
  <c r="C47" i="24"/>
  <c r="S47" i="21"/>
  <c r="M47" i="14"/>
  <c r="H35" i="257"/>
  <c r="E37" i="60"/>
  <c r="C31" i="140"/>
  <c r="B31" i="140" s="1"/>
  <c r="Q15" i="60"/>
  <c r="V13" i="21"/>
  <c r="C35" i="23"/>
  <c r="F32" i="13"/>
  <c r="J32" i="13" s="1"/>
  <c r="F32" i="19" s="1"/>
  <c r="R32" i="23"/>
  <c r="G32" i="13"/>
  <c r="D33" i="140"/>
  <c r="C33" i="140" s="1"/>
  <c r="B33" i="140" s="1"/>
  <c r="M33" i="140" s="1"/>
  <c r="D91" i="100"/>
  <c r="H22" i="257"/>
  <c r="E24" i="60"/>
  <c r="J63" i="21"/>
  <c r="M63" i="15" s="1"/>
  <c r="B63" i="15"/>
  <c r="H86" i="13"/>
  <c r="C86" i="15"/>
  <c r="T86" i="21"/>
  <c r="F86" i="24"/>
  <c r="H11" i="257"/>
  <c r="E13" i="60"/>
  <c r="E81" i="60"/>
  <c r="C81" i="60" s="1"/>
  <c r="O79" i="257" s="1"/>
  <c r="Q79" i="257" s="1"/>
  <c r="H79" i="257"/>
  <c r="F45" i="140"/>
  <c r="I45" i="60" s="1"/>
  <c r="I91" i="21"/>
  <c r="J60" i="21"/>
  <c r="M60" i="15" s="1"/>
  <c r="B60" i="15"/>
  <c r="E60" i="24"/>
  <c r="H47" i="13"/>
  <c r="H21" i="257"/>
  <c r="H51" i="13"/>
  <c r="E29" i="60"/>
  <c r="V27" i="21"/>
  <c r="G64" i="24"/>
  <c r="J64" i="24" s="1"/>
  <c r="X64" i="21"/>
  <c r="X51" i="21"/>
  <c r="G51" i="24"/>
  <c r="J51" i="24" s="1"/>
  <c r="AE69" i="184"/>
  <c r="B11" i="185" s="1"/>
  <c r="B10" i="185"/>
  <c r="C27" i="140"/>
  <c r="B27" i="140" s="1"/>
  <c r="H37" i="257"/>
  <c r="X68" i="21"/>
  <c r="R44" i="167"/>
  <c r="D36" i="13"/>
  <c r="E36" i="13" s="1"/>
  <c r="O49" i="36"/>
  <c r="K18" i="36"/>
  <c r="G90" i="60"/>
  <c r="E90" i="60" s="1"/>
  <c r="P90" i="60" s="1"/>
  <c r="B88" i="24"/>
  <c r="H88" i="24" s="1"/>
  <c r="B88" i="14"/>
  <c r="C74" i="21"/>
  <c r="K74" i="59"/>
  <c r="J73" i="21"/>
  <c r="E73" i="24"/>
  <c r="B73" i="15"/>
  <c r="E53" i="140"/>
  <c r="C19" i="140"/>
  <c r="B19" i="140" s="1"/>
  <c r="F56" i="24"/>
  <c r="L59" i="54"/>
  <c r="I99" i="54"/>
  <c r="L99" i="54" s="1"/>
  <c r="E44" i="13"/>
  <c r="T44" i="13" s="1"/>
  <c r="I44" i="17"/>
  <c r="D69" i="9"/>
  <c r="G69" i="25" s="1"/>
  <c r="I21" i="8"/>
  <c r="L21" i="8" s="1"/>
  <c r="Q17" i="9"/>
  <c r="E31" i="99"/>
  <c r="D31" i="99" s="1"/>
  <c r="E14" i="99"/>
  <c r="P19" i="99"/>
  <c r="E28" i="99"/>
  <c r="K17" i="9"/>
  <c r="D72" i="9"/>
  <c r="F72" i="9" s="1"/>
  <c r="K26" i="8"/>
  <c r="I34" i="17"/>
  <c r="E40" i="12"/>
  <c r="B40" i="13" s="1"/>
  <c r="P11" i="36"/>
  <c r="K21" i="8"/>
  <c r="K37" i="8"/>
  <c r="I22" i="36"/>
  <c r="M43" i="13"/>
  <c r="K43" i="9"/>
  <c r="I30" i="9"/>
  <c r="P31" i="98"/>
  <c r="F21" i="9"/>
  <c r="D62" i="9"/>
  <c r="G62" i="25" s="1"/>
  <c r="K62" i="12" s="1"/>
  <c r="J26" i="8"/>
  <c r="I30" i="8"/>
  <c r="L30" i="8" s="1"/>
  <c r="I26" i="8"/>
  <c r="L26" i="8" s="1"/>
  <c r="C29" i="127"/>
  <c r="F30" i="9"/>
  <c r="K30" i="9"/>
  <c r="G30" i="25"/>
  <c r="K30" i="12" s="1"/>
  <c r="I43" i="9"/>
  <c r="I35" i="36"/>
  <c r="J85" i="8"/>
  <c r="H22" i="36"/>
  <c r="F10" i="8"/>
  <c r="E101" i="8"/>
  <c r="E21" i="12"/>
  <c r="H21" i="12" s="1"/>
  <c r="O21" i="12" s="1"/>
  <c r="E43" i="12"/>
  <c r="B43" i="13" s="1"/>
  <c r="H35" i="36"/>
  <c r="B22" i="9"/>
  <c r="O22" i="9" s="1"/>
  <c r="P22" i="8"/>
  <c r="G83" i="12"/>
  <c r="N83" i="12" s="1"/>
  <c r="P21" i="36"/>
  <c r="C10" i="128"/>
  <c r="Q30" i="9"/>
  <c r="W16" i="99"/>
  <c r="P27" i="99"/>
  <c r="L10" i="99"/>
  <c r="P9" i="99"/>
  <c r="J62" i="8"/>
  <c r="F35" i="36"/>
  <c r="L35" i="36" s="1"/>
  <c r="C47" i="154"/>
  <c r="P34" i="36"/>
  <c r="I97" i="116"/>
  <c r="C31" i="17"/>
  <c r="B37" i="9"/>
  <c r="O37" i="9" s="1"/>
  <c r="W34" i="98"/>
  <c r="P21" i="99"/>
  <c r="W10" i="99"/>
  <c r="E32" i="99"/>
  <c r="E10" i="99"/>
  <c r="W11" i="99"/>
  <c r="I18" i="8"/>
  <c r="L18" i="8" s="1"/>
  <c r="K35" i="36"/>
  <c r="I18" i="17"/>
  <c r="Q20" i="9"/>
  <c r="G20" i="25"/>
  <c r="K20" i="25" s="1"/>
  <c r="I25" i="261"/>
  <c r="I51" i="261"/>
  <c r="I49" i="261"/>
  <c r="I26" i="261"/>
  <c r="I15" i="261"/>
  <c r="I35" i="261"/>
  <c r="I33" i="261"/>
  <c r="I28" i="261"/>
  <c r="I48" i="261"/>
  <c r="I39" i="261"/>
  <c r="I40" i="261"/>
  <c r="I52" i="261"/>
  <c r="I41" i="261"/>
  <c r="I43" i="261"/>
  <c r="I46" i="261"/>
  <c r="I19" i="261"/>
  <c r="I31" i="261"/>
  <c r="I47" i="261"/>
  <c r="I22" i="261"/>
  <c r="I29" i="261"/>
  <c r="H67" i="261"/>
  <c r="H72" i="261"/>
  <c r="H55" i="261"/>
  <c r="J24" i="17"/>
  <c r="J24" i="261"/>
  <c r="L28" i="9"/>
  <c r="C31" i="127"/>
  <c r="G42" i="25"/>
  <c r="Q42" i="9"/>
  <c r="K42" i="9"/>
  <c r="F22" i="9"/>
  <c r="K79" i="261"/>
  <c r="J79" i="261"/>
  <c r="H79" i="261"/>
  <c r="H81" i="261"/>
  <c r="H85" i="261"/>
  <c r="J66" i="8"/>
  <c r="K72" i="8"/>
  <c r="I73" i="8"/>
  <c r="L73" i="8" s="1"/>
  <c r="E51" i="99"/>
  <c r="W17" i="98"/>
  <c r="L28" i="98"/>
  <c r="L18" i="99"/>
  <c r="E46" i="99"/>
  <c r="W31" i="99"/>
  <c r="E39" i="99"/>
  <c r="F18" i="36"/>
  <c r="L18" i="36" s="1"/>
  <c r="I28" i="17"/>
  <c r="I14" i="261"/>
  <c r="M40" i="13"/>
  <c r="I31" i="8"/>
  <c r="L31" i="8" s="1"/>
  <c r="H63" i="261"/>
  <c r="H71" i="261"/>
  <c r="H82" i="261"/>
  <c r="D60" i="9"/>
  <c r="O60" i="9" s="1"/>
  <c r="H60" i="261"/>
  <c r="H68" i="261"/>
  <c r="H88" i="261"/>
  <c r="H56" i="261"/>
  <c r="K30" i="17"/>
  <c r="K30" i="261"/>
  <c r="I30" i="261" s="1"/>
  <c r="H58" i="261"/>
  <c r="H75" i="261"/>
  <c r="I12" i="8"/>
  <c r="L12" i="8" s="1"/>
  <c r="J22" i="8"/>
  <c r="I66" i="8"/>
  <c r="L66" i="8" s="1"/>
  <c r="G46" i="36"/>
  <c r="G45" i="36" s="1"/>
  <c r="I36" i="8"/>
  <c r="L36" i="8" s="1"/>
  <c r="K22" i="9"/>
  <c r="I72" i="8"/>
  <c r="L72" i="8" s="1"/>
  <c r="I85" i="8"/>
  <c r="L85" i="8" s="1"/>
  <c r="F77" i="9"/>
  <c r="B77" i="10" s="1"/>
  <c r="E37" i="12"/>
  <c r="H37" i="12" s="1"/>
  <c r="O37" i="12" s="1"/>
  <c r="Q22" i="9"/>
  <c r="F43" i="9"/>
  <c r="F40" i="9"/>
  <c r="P17" i="99"/>
  <c r="L37" i="98"/>
  <c r="W34" i="99"/>
  <c r="L34" i="99"/>
  <c r="I51" i="8"/>
  <c r="L51" i="8" s="1"/>
  <c r="H32" i="36"/>
  <c r="E103" i="9"/>
  <c r="E89" i="9" s="1"/>
  <c r="M12" i="13"/>
  <c r="C11" i="154"/>
  <c r="I42" i="9"/>
  <c r="C45" i="127"/>
  <c r="P41" i="36"/>
  <c r="L41" i="36"/>
  <c r="I11" i="261"/>
  <c r="I20" i="261"/>
  <c r="I17" i="261"/>
  <c r="I18" i="261"/>
  <c r="I38" i="261"/>
  <c r="M42" i="13"/>
  <c r="G27" i="25"/>
  <c r="F27" i="9"/>
  <c r="K27" i="9"/>
  <c r="I17" i="9"/>
  <c r="G17" i="25"/>
  <c r="K17" i="25" s="1"/>
  <c r="H76" i="261"/>
  <c r="H64" i="261"/>
  <c r="H84" i="261"/>
  <c r="H57" i="261"/>
  <c r="I40" i="9"/>
  <c r="Q40" i="9"/>
  <c r="G40" i="25"/>
  <c r="K40" i="25" s="1"/>
  <c r="H62" i="261"/>
  <c r="H70" i="261"/>
  <c r="H65" i="261"/>
  <c r="H73" i="261"/>
  <c r="I19" i="8"/>
  <c r="L19" i="8" s="1"/>
  <c r="L10" i="98"/>
  <c r="E36" i="99"/>
  <c r="D36" i="99" s="1"/>
  <c r="E14" i="98"/>
  <c r="D14" i="98" s="1"/>
  <c r="P11" i="99"/>
  <c r="E35" i="99"/>
  <c r="D35" i="99" s="1"/>
  <c r="I9" i="10"/>
  <c r="K49" i="36"/>
  <c r="I44" i="261"/>
  <c r="I21" i="261"/>
  <c r="C38" i="127"/>
  <c r="L35" i="9"/>
  <c r="H87" i="261"/>
  <c r="K87" i="261"/>
  <c r="J87" i="261"/>
  <c r="I87" i="261"/>
  <c r="D55" i="9"/>
  <c r="O55" i="9" s="1"/>
  <c r="H66" i="261"/>
  <c r="D86" i="9"/>
  <c r="G86" i="25" s="1"/>
  <c r="H86" i="261"/>
  <c r="H61" i="261"/>
  <c r="H69" i="261"/>
  <c r="H80" i="261"/>
  <c r="J56" i="8"/>
  <c r="J21" i="8"/>
  <c r="I49" i="36"/>
  <c r="B28" i="10"/>
  <c r="F28" i="10" s="1"/>
  <c r="K28" i="10" s="1"/>
  <c r="K40" i="9"/>
  <c r="E35" i="98"/>
  <c r="L36" i="98"/>
  <c r="L20" i="98"/>
  <c r="P16" i="99"/>
  <c r="E9" i="99"/>
  <c r="W42" i="99"/>
  <c r="L20" i="99"/>
  <c r="H51" i="36"/>
  <c r="K32" i="17"/>
  <c r="K32" i="261"/>
  <c r="K41" i="8"/>
  <c r="I41" i="8"/>
  <c r="L41" i="8" s="1"/>
  <c r="B42" i="10"/>
  <c r="C42" i="19" s="1"/>
  <c r="B42" i="19" s="1"/>
  <c r="K39" i="8"/>
  <c r="K24" i="17"/>
  <c r="K24" i="261"/>
  <c r="I37" i="261"/>
  <c r="I16" i="261"/>
  <c r="I36" i="261"/>
  <c r="I50" i="261"/>
  <c r="I34" i="261"/>
  <c r="I42" i="261"/>
  <c r="D83" i="9"/>
  <c r="B83" i="12"/>
  <c r="Q27" i="9"/>
  <c r="I21" i="9"/>
  <c r="G21" i="25"/>
  <c r="K21" i="25" s="1"/>
  <c r="M21" i="13"/>
  <c r="Q21" i="9"/>
  <c r="G29" i="25"/>
  <c r="K29" i="25" s="1"/>
  <c r="Q29" i="9"/>
  <c r="H18" i="36"/>
  <c r="D73" i="9"/>
  <c r="M73" i="13" s="1"/>
  <c r="E25" i="98"/>
  <c r="P21" i="98"/>
  <c r="P49" i="98"/>
  <c r="P43" i="99"/>
  <c r="O43" i="99" s="1"/>
  <c r="E19" i="98"/>
  <c r="E30" i="98"/>
  <c r="P32" i="99"/>
  <c r="P41" i="99"/>
  <c r="P35" i="99"/>
  <c r="O35" i="99" s="1"/>
  <c r="P33" i="99"/>
  <c r="P28" i="99"/>
  <c r="P25" i="99"/>
  <c r="P13" i="99"/>
  <c r="P51" i="99"/>
  <c r="L23" i="99"/>
  <c r="E29" i="99"/>
  <c r="E45" i="99"/>
  <c r="P40" i="99"/>
  <c r="P37" i="99"/>
  <c r="P29" i="99"/>
  <c r="O29" i="99" s="1"/>
  <c r="P20" i="99"/>
  <c r="P50" i="99"/>
  <c r="E43" i="99"/>
  <c r="E23" i="99"/>
  <c r="E18" i="99"/>
  <c r="P36" i="99"/>
  <c r="P12" i="99"/>
  <c r="E40" i="99"/>
  <c r="E37" i="99"/>
  <c r="E26" i="99"/>
  <c r="E22" i="99"/>
  <c r="D22" i="99" s="1"/>
  <c r="E19" i="99"/>
  <c r="E17" i="99"/>
  <c r="E12" i="99"/>
  <c r="L26" i="9"/>
  <c r="E20" i="98"/>
  <c r="J36" i="9"/>
  <c r="B42" i="9"/>
  <c r="K42" i="8"/>
  <c r="P42" i="8"/>
  <c r="I9" i="116"/>
  <c r="L38" i="9"/>
  <c r="D21" i="12"/>
  <c r="B16" i="9"/>
  <c r="K16" i="8"/>
  <c r="P16" i="8"/>
  <c r="I29" i="17"/>
  <c r="J33" i="9"/>
  <c r="L40" i="36"/>
  <c r="P40" i="36"/>
  <c r="D84" i="9"/>
  <c r="G84" i="25" s="1"/>
  <c r="C46" i="128"/>
  <c r="B39" i="9"/>
  <c r="P39" i="8"/>
  <c r="B19" i="9"/>
  <c r="P19" i="8"/>
  <c r="D15" i="12"/>
  <c r="J40" i="36"/>
  <c r="B38" i="9"/>
  <c r="K38" i="8"/>
  <c r="P38" i="8"/>
  <c r="B17" i="9"/>
  <c r="P17" i="8"/>
  <c r="M32" i="13"/>
  <c r="Q32" i="9"/>
  <c r="G32" i="25"/>
  <c r="K32" i="25" s="1"/>
  <c r="D17" i="12"/>
  <c r="D30" i="25"/>
  <c r="J30" i="12" s="1"/>
  <c r="F30" i="25"/>
  <c r="H20" i="12"/>
  <c r="O20" i="12" s="1"/>
  <c r="B20" i="13"/>
  <c r="G77" i="12"/>
  <c r="N77" i="12" s="1"/>
  <c r="J77" i="12"/>
  <c r="K49" i="9"/>
  <c r="O49" i="9"/>
  <c r="M49" i="13"/>
  <c r="K81" i="8"/>
  <c r="I44" i="8"/>
  <c r="L44" i="8" s="1"/>
  <c r="F49" i="9"/>
  <c r="P32" i="98"/>
  <c r="L25" i="98"/>
  <c r="E42" i="99"/>
  <c r="P46" i="99"/>
  <c r="B25" i="9"/>
  <c r="P25" i="8"/>
  <c r="J25" i="36"/>
  <c r="J65" i="8"/>
  <c r="B43" i="9"/>
  <c r="K43" i="8"/>
  <c r="P43" i="8"/>
  <c r="E13" i="8"/>
  <c r="H13" i="8"/>
  <c r="I50" i="36"/>
  <c r="H50" i="36"/>
  <c r="O50" i="36"/>
  <c r="O22" i="36"/>
  <c r="F22" i="36"/>
  <c r="P29" i="36"/>
  <c r="L29" i="36"/>
  <c r="I37" i="8"/>
  <c r="L37" i="8" s="1"/>
  <c r="B21" i="9"/>
  <c r="P21" i="8"/>
  <c r="G41" i="25"/>
  <c r="F41" i="9"/>
  <c r="M41" i="13"/>
  <c r="I22" i="9"/>
  <c r="G22" i="25"/>
  <c r="K22" i="25" s="1"/>
  <c r="J39" i="9"/>
  <c r="K50" i="8"/>
  <c r="E22" i="12"/>
  <c r="C22" i="12" s="1"/>
  <c r="F29" i="25"/>
  <c r="D29" i="25"/>
  <c r="H12" i="36"/>
  <c r="O12" i="36"/>
  <c r="H40" i="36"/>
  <c r="O40" i="36"/>
  <c r="B20" i="9"/>
  <c r="P20" i="8"/>
  <c r="J52" i="8"/>
  <c r="K52" i="8"/>
  <c r="I52" i="8"/>
  <c r="L52" i="8" s="1"/>
  <c r="J32" i="17"/>
  <c r="H32" i="19"/>
  <c r="B10" i="9"/>
  <c r="K10" i="8"/>
  <c r="E38" i="12"/>
  <c r="C38" i="12" s="1"/>
  <c r="O30" i="36"/>
  <c r="H30" i="36"/>
  <c r="J38" i="9"/>
  <c r="J15" i="36"/>
  <c r="D64" i="9"/>
  <c r="O64" i="9" s="1"/>
  <c r="I81" i="8"/>
  <c r="L81" i="8" s="1"/>
  <c r="E32" i="12"/>
  <c r="H32" i="12" s="1"/>
  <c r="O32" i="12" s="1"/>
  <c r="I49" i="9"/>
  <c r="W15" i="98"/>
  <c r="P10" i="98"/>
  <c r="P16" i="98"/>
  <c r="E22" i="98"/>
  <c r="L23" i="98"/>
  <c r="W38" i="99"/>
  <c r="F32" i="9"/>
  <c r="P20" i="98"/>
  <c r="D56" i="9"/>
  <c r="I56" i="9" s="1"/>
  <c r="D58" i="9"/>
  <c r="G58" i="25" s="1"/>
  <c r="I20" i="8"/>
  <c r="L20" i="8" s="1"/>
  <c r="G49" i="25"/>
  <c r="I32" i="9"/>
  <c r="W36" i="98"/>
  <c r="P28" i="98"/>
  <c r="O28" i="98" s="1"/>
  <c r="L31" i="98"/>
  <c r="L16" i="98"/>
  <c r="P37" i="98"/>
  <c r="P17" i="98"/>
  <c r="L42" i="99"/>
  <c r="E28" i="98"/>
  <c r="E45" i="98"/>
  <c r="E26" i="98"/>
  <c r="B18" i="9"/>
  <c r="P18" i="8"/>
  <c r="K32" i="9"/>
  <c r="G29" i="12"/>
  <c r="N29" i="12" s="1"/>
  <c r="B24" i="9"/>
  <c r="K24" i="8"/>
  <c r="P24" i="8"/>
  <c r="K61" i="8"/>
  <c r="I61" i="8"/>
  <c r="L61" i="8" s="1"/>
  <c r="N83" i="8"/>
  <c r="R83" i="8"/>
  <c r="M47" i="8"/>
  <c r="J29" i="36"/>
  <c r="H19" i="12"/>
  <c r="O19" i="12" s="1"/>
  <c r="B19" i="13"/>
  <c r="M18" i="13"/>
  <c r="G18" i="25"/>
  <c r="K18" i="25" s="1"/>
  <c r="G37" i="25"/>
  <c r="K37" i="25" s="1"/>
  <c r="M37" i="13"/>
  <c r="G43" i="25"/>
  <c r="K43" i="25" s="1"/>
  <c r="H49" i="9"/>
  <c r="D50" i="9"/>
  <c r="O50" i="9" s="1"/>
  <c r="B50" i="12"/>
  <c r="P50" i="9"/>
  <c r="K18" i="8"/>
  <c r="B51" i="9"/>
  <c r="K51" i="8"/>
  <c r="G51" i="8"/>
  <c r="P51" i="8" s="1"/>
  <c r="I22" i="17"/>
  <c r="B12" i="9"/>
  <c r="P12" i="8"/>
  <c r="B32" i="9"/>
  <c r="P32" i="8"/>
  <c r="B40" i="9"/>
  <c r="K40" i="8"/>
  <c r="P40" i="8"/>
  <c r="L75" i="8"/>
  <c r="J75" i="8"/>
  <c r="J15" i="9"/>
  <c r="Q49" i="9"/>
  <c r="E39" i="98"/>
  <c r="P26" i="98"/>
  <c r="W38" i="98"/>
  <c r="W25" i="99"/>
  <c r="I77" i="9"/>
  <c r="K77" i="9"/>
  <c r="O77" i="9"/>
  <c r="M77" i="13"/>
  <c r="H77" i="9"/>
  <c r="O21" i="36"/>
  <c r="H21" i="36"/>
  <c r="I17" i="36"/>
  <c r="F17" i="36"/>
  <c r="L17" i="36" s="1"/>
  <c r="O17" i="36"/>
  <c r="I51" i="17"/>
  <c r="J29" i="9"/>
  <c r="B30" i="9"/>
  <c r="P30" i="8"/>
  <c r="H34" i="9"/>
  <c r="P34" i="9"/>
  <c r="O34" i="9"/>
  <c r="E44" i="25"/>
  <c r="J44" i="12" s="1"/>
  <c r="D44" i="25"/>
  <c r="J50" i="8"/>
  <c r="D24" i="19"/>
  <c r="D71" i="9"/>
  <c r="I71" i="9" s="1"/>
  <c r="D88" i="9"/>
  <c r="G88" i="25" s="1"/>
  <c r="Q59" i="8"/>
  <c r="J34" i="36"/>
  <c r="Q68" i="8"/>
  <c r="J41" i="36"/>
  <c r="B26" i="9"/>
  <c r="P26" i="8"/>
  <c r="B10" i="10"/>
  <c r="C13" i="127"/>
  <c r="B46" i="10"/>
  <c r="C49" i="127"/>
  <c r="L46" i="9"/>
  <c r="B14" i="12"/>
  <c r="E14" i="8"/>
  <c r="O14" i="9"/>
  <c r="H14" i="9"/>
  <c r="P14" i="9"/>
  <c r="B24" i="10"/>
  <c r="L24" i="9"/>
  <c r="J39" i="36"/>
  <c r="I55" i="8"/>
  <c r="L55" i="8" s="1"/>
  <c r="K55" i="8"/>
  <c r="E102" i="8"/>
  <c r="F48" i="8" s="1"/>
  <c r="B48" i="36" s="1"/>
  <c r="D48" i="36" s="1"/>
  <c r="F48" i="36" s="1"/>
  <c r="L48" i="36" s="1"/>
  <c r="D53" i="8"/>
  <c r="L40" i="9"/>
  <c r="C38" i="19"/>
  <c r="B38" i="19" s="1"/>
  <c r="J38" i="10"/>
  <c r="P38" i="13"/>
  <c r="O38" i="13" s="1"/>
  <c r="J38" i="13" s="1"/>
  <c r="P40" i="98"/>
  <c r="P45" i="98"/>
  <c r="E17" i="98"/>
  <c r="D17" i="98" s="1"/>
  <c r="E23" i="98"/>
  <c r="E46" i="98"/>
  <c r="E27" i="98"/>
  <c r="W11" i="98"/>
  <c r="P33" i="98"/>
  <c r="P11" i="98"/>
  <c r="L29" i="98"/>
  <c r="E36" i="98"/>
  <c r="E49" i="98"/>
  <c r="W31" i="98"/>
  <c r="W16" i="98"/>
  <c r="P42" i="98"/>
  <c r="O42" i="98" s="1"/>
  <c r="P25" i="98"/>
  <c r="P50" i="98"/>
  <c r="L38" i="98"/>
  <c r="L29" i="99"/>
  <c r="E41" i="99"/>
  <c r="W39" i="99"/>
  <c r="P42" i="99"/>
  <c r="P31" i="99"/>
  <c r="P26" i="99"/>
  <c r="L17" i="99"/>
  <c r="E50" i="99"/>
  <c r="B34" i="10"/>
  <c r="C37" i="127"/>
  <c r="L34" i="9"/>
  <c r="O51" i="36"/>
  <c r="E27" i="99"/>
  <c r="Q71" i="8"/>
  <c r="M59" i="8"/>
  <c r="N59" i="8" s="1"/>
  <c r="J24" i="36"/>
  <c r="Q83" i="8"/>
  <c r="Q86" i="8"/>
  <c r="B35" i="9"/>
  <c r="K35" i="8"/>
  <c r="P35" i="8"/>
  <c r="E28" i="8"/>
  <c r="B28" i="12"/>
  <c r="P28" i="9"/>
  <c r="H28" i="9"/>
  <c r="O28" i="9"/>
  <c r="G78" i="25"/>
  <c r="I78" i="9"/>
  <c r="O78" i="9"/>
  <c r="M78" i="13"/>
  <c r="H78" i="9"/>
  <c r="B14" i="10"/>
  <c r="C17" i="127"/>
  <c r="L14" i="9"/>
  <c r="G16" i="12"/>
  <c r="N16" i="12" s="1"/>
  <c r="G22" i="12"/>
  <c r="N22" i="12" s="1"/>
  <c r="C42" i="127"/>
  <c r="B39" i="10"/>
  <c r="F39" i="10" s="1"/>
  <c r="K39" i="10" s="1"/>
  <c r="L39" i="9"/>
  <c r="G39" i="12"/>
  <c r="N39" i="12" s="1"/>
  <c r="C26" i="19"/>
  <c r="B26" i="19" s="1"/>
  <c r="G38" i="12"/>
  <c r="N38" i="12" s="1"/>
  <c r="B11" i="10"/>
  <c r="C14" i="127"/>
  <c r="L11" i="9"/>
  <c r="J16" i="36"/>
  <c r="J46" i="9"/>
  <c r="B37" i="10"/>
  <c r="C40" i="127"/>
  <c r="L37" i="9"/>
  <c r="O52" i="36"/>
  <c r="E11" i="98"/>
  <c r="D11" i="98" s="1"/>
  <c r="P36" i="98"/>
  <c r="E50" i="98"/>
  <c r="E32" i="98"/>
  <c r="P27" i="98"/>
  <c r="P29" i="98"/>
  <c r="P13" i="98"/>
  <c r="P43" i="98"/>
  <c r="O43" i="98" s="1"/>
  <c r="P51" i="98"/>
  <c r="E33" i="99"/>
  <c r="E29" i="98"/>
  <c r="E16" i="98"/>
  <c r="E51" i="98"/>
  <c r="E33" i="98"/>
  <c r="W25" i="98"/>
  <c r="W14" i="98"/>
  <c r="P38" i="98"/>
  <c r="P18" i="98"/>
  <c r="W29" i="98"/>
  <c r="L35" i="98"/>
  <c r="P15" i="99"/>
  <c r="P10" i="99"/>
  <c r="L11" i="99"/>
  <c r="P49" i="99"/>
  <c r="L16" i="99"/>
  <c r="E20" i="99"/>
  <c r="E15" i="99"/>
  <c r="D15" i="99" s="1"/>
  <c r="W37" i="99"/>
  <c r="W20" i="99"/>
  <c r="L39" i="99"/>
  <c r="C20" i="17"/>
  <c r="C74" i="9"/>
  <c r="J19" i="36"/>
  <c r="P38" i="140"/>
  <c r="J31" i="36"/>
  <c r="P58" i="8"/>
  <c r="E89" i="8"/>
  <c r="H89" i="9"/>
  <c r="B53" i="9"/>
  <c r="B89" i="12"/>
  <c r="B53" i="12" s="1"/>
  <c r="O89" i="9"/>
  <c r="E23" i="8"/>
  <c r="I23" i="8" s="1"/>
  <c r="L23" i="8" s="1"/>
  <c r="I52" i="36"/>
  <c r="J52" i="36" s="1"/>
  <c r="F52" i="36"/>
  <c r="H52" i="36"/>
  <c r="B36" i="9"/>
  <c r="P36" i="8"/>
  <c r="G32" i="12"/>
  <c r="N32" i="12" s="1"/>
  <c r="G43" i="12"/>
  <c r="N43" i="12" s="1"/>
  <c r="B48" i="9"/>
  <c r="K48" i="8"/>
  <c r="I48" i="8"/>
  <c r="L48" i="8" s="1"/>
  <c r="D101" i="8"/>
  <c r="C35" i="12"/>
  <c r="J32" i="36"/>
  <c r="E38" i="98"/>
  <c r="E18" i="98"/>
  <c r="P12" i="98"/>
  <c r="E37" i="98"/>
  <c r="E10" i="98"/>
  <c r="E40" i="98"/>
  <c r="E9" i="98"/>
  <c r="P41" i="98"/>
  <c r="P23" i="98"/>
  <c r="O23" i="98" s="1"/>
  <c r="P39" i="98"/>
  <c r="L39" i="98"/>
  <c r="L19" i="98"/>
  <c r="W28" i="99"/>
  <c r="P38" i="99"/>
  <c r="E21" i="98"/>
  <c r="D21" i="98" s="1"/>
  <c r="E41" i="98"/>
  <c r="E12" i="98"/>
  <c r="W37" i="98"/>
  <c r="W20" i="98"/>
  <c r="P34" i="98"/>
  <c r="P45" i="99"/>
  <c r="W21" i="99"/>
  <c r="P22" i="99"/>
  <c r="O22" i="99" s="1"/>
  <c r="L21" i="99"/>
  <c r="L14" i="99"/>
  <c r="E34" i="99"/>
  <c r="E25" i="99"/>
  <c r="D25" i="99" s="1"/>
  <c r="W17" i="99"/>
  <c r="L37" i="99"/>
  <c r="E21" i="99"/>
  <c r="E16" i="99"/>
  <c r="E11" i="99"/>
  <c r="Q80" i="8"/>
  <c r="C39" i="12"/>
  <c r="H39" i="12"/>
  <c r="O39" i="12" s="1"/>
  <c r="B39" i="13"/>
  <c r="F24" i="19"/>
  <c r="E24" i="19" s="1"/>
  <c r="J12" i="36"/>
  <c r="Q25" i="8"/>
  <c r="J37" i="36"/>
  <c r="J21" i="36"/>
  <c r="G52" i="25"/>
  <c r="F52" i="9"/>
  <c r="K52" i="9"/>
  <c r="I52" i="9"/>
  <c r="Q52" i="9"/>
  <c r="H52" i="9"/>
  <c r="M52" i="13"/>
  <c r="O52" i="9"/>
  <c r="B44" i="9"/>
  <c r="K44" i="8"/>
  <c r="P44" i="8"/>
  <c r="K49" i="8"/>
  <c r="I49" i="8"/>
  <c r="L49" i="8" s="1"/>
  <c r="G11" i="12"/>
  <c r="N11" i="12" s="1"/>
  <c r="G19" i="12"/>
  <c r="N19" i="12" s="1"/>
  <c r="C19" i="12"/>
  <c r="F13" i="9"/>
  <c r="M13" i="13"/>
  <c r="G13" i="25"/>
  <c r="Q13" i="9"/>
  <c r="B48" i="10"/>
  <c r="F48" i="10" s="1"/>
  <c r="K48" i="10" s="1"/>
  <c r="C51" i="127"/>
  <c r="L48" i="9"/>
  <c r="J14" i="9"/>
  <c r="J43" i="36"/>
  <c r="K13" i="9"/>
  <c r="G18" i="12"/>
  <c r="N18" i="12" s="1"/>
  <c r="J18" i="9"/>
  <c r="J11" i="36"/>
  <c r="C34" i="127"/>
  <c r="B31" i="10"/>
  <c r="F31" i="10" s="1"/>
  <c r="K31" i="10" s="1"/>
  <c r="L31" i="9"/>
  <c r="J36" i="36"/>
  <c r="Q58" i="8"/>
  <c r="J20" i="36"/>
  <c r="E34" i="98"/>
  <c r="D34" i="98" s="1"/>
  <c r="P14" i="98"/>
  <c r="P19" i="98"/>
  <c r="P46" i="98"/>
  <c r="P22" i="98"/>
  <c r="E31" i="98"/>
  <c r="E43" i="98"/>
  <c r="E13" i="98"/>
  <c r="W39" i="98"/>
  <c r="P9" i="98"/>
  <c r="P35" i="98"/>
  <c r="P15" i="98"/>
  <c r="L15" i="98"/>
  <c r="P14" i="99"/>
  <c r="E42" i="98"/>
  <c r="D42" i="98" s="1"/>
  <c r="E15" i="98"/>
  <c r="W35" i="98"/>
  <c r="W18" i="98"/>
  <c r="W21" i="98"/>
  <c r="P30" i="98"/>
  <c r="L18" i="98"/>
  <c r="W23" i="99"/>
  <c r="W14" i="99"/>
  <c r="P39" i="99"/>
  <c r="P34" i="99"/>
  <c r="L28" i="99"/>
  <c r="E38" i="99"/>
  <c r="D38" i="99" s="1"/>
  <c r="W19" i="99"/>
  <c r="P30" i="99"/>
  <c r="L19" i="99"/>
  <c r="E49" i="99"/>
  <c r="W15" i="99"/>
  <c r="P23" i="99"/>
  <c r="P18" i="99"/>
  <c r="O18" i="99" s="1"/>
  <c r="E30" i="99"/>
  <c r="J34" i="9"/>
  <c r="J51" i="36"/>
  <c r="F65" i="21"/>
  <c r="D65" i="21" s="1"/>
  <c r="B65" i="24"/>
  <c r="B65" i="14"/>
  <c r="K68" i="59"/>
  <c r="K83" i="59"/>
  <c r="M85" i="140"/>
  <c r="C83" i="21"/>
  <c r="G85" i="60" s="1"/>
  <c r="D64" i="19"/>
  <c r="K64" i="59"/>
  <c r="C64" i="21"/>
  <c r="K73" i="59"/>
  <c r="C73" i="21"/>
  <c r="P25" i="140"/>
  <c r="O25" i="140"/>
  <c r="N25" i="140"/>
  <c r="AP44" i="167"/>
  <c r="C78" i="21"/>
  <c r="K78" i="59"/>
  <c r="K63" i="59"/>
  <c r="C63" i="21"/>
  <c r="K61" i="59"/>
  <c r="C61" i="21"/>
  <c r="K71" i="59"/>
  <c r="C71" i="21"/>
  <c r="G73" i="60" s="1"/>
  <c r="K86" i="59"/>
  <c r="C86" i="21"/>
  <c r="H62" i="12"/>
  <c r="O62" i="12" s="1"/>
  <c r="E33" i="19"/>
  <c r="D33" i="12"/>
  <c r="J57" i="21"/>
  <c r="M57" i="15" s="1"/>
  <c r="G59" i="60"/>
  <c r="V57" i="21" s="1"/>
  <c r="E57" i="24"/>
  <c r="B57" i="15"/>
  <c r="K60" i="59"/>
  <c r="C60" i="21"/>
  <c r="K69" i="59"/>
  <c r="C69" i="21"/>
  <c r="J72" i="21"/>
  <c r="M72" i="15" s="1"/>
  <c r="B72" i="15"/>
  <c r="E72" i="24"/>
  <c r="G82" i="13"/>
  <c r="C82" i="14"/>
  <c r="D82" i="14" s="1"/>
  <c r="S82" i="21"/>
  <c r="C82" i="24"/>
  <c r="K56" i="59"/>
  <c r="C56" i="21"/>
  <c r="I39" i="13"/>
  <c r="M39" i="14"/>
  <c r="J67" i="21"/>
  <c r="M67" i="15" s="1"/>
  <c r="E67" i="24"/>
  <c r="B67" i="15"/>
  <c r="J71" i="21"/>
  <c r="M71" i="15" s="1"/>
  <c r="B71" i="15"/>
  <c r="E71" i="24"/>
  <c r="I48" i="13"/>
  <c r="S48" i="21"/>
  <c r="M89" i="14"/>
  <c r="M48" i="14"/>
  <c r="C48" i="24"/>
  <c r="I48" i="24" s="1"/>
  <c r="J70" i="21"/>
  <c r="M70" i="15" s="1"/>
  <c r="E70" i="24"/>
  <c r="B70" i="15"/>
  <c r="C72" i="21"/>
  <c r="K72" i="59"/>
  <c r="I49" i="13"/>
  <c r="S49" i="21"/>
  <c r="C49" i="24"/>
  <c r="I49" i="24" s="1"/>
  <c r="M49" i="14"/>
  <c r="J62" i="21"/>
  <c r="M62" i="15" s="1"/>
  <c r="B62" i="15"/>
  <c r="E62" i="24"/>
  <c r="J75" i="21"/>
  <c r="M75" i="15" s="1"/>
  <c r="E75" i="24"/>
  <c r="E46" i="8"/>
  <c r="B46" i="12"/>
  <c r="P46" i="9"/>
  <c r="H46" i="9"/>
  <c r="O46" i="9"/>
  <c r="J55" i="21"/>
  <c r="M55" i="15" s="1"/>
  <c r="B55" i="15"/>
  <c r="H58" i="59"/>
  <c r="E53" i="59"/>
  <c r="C80" i="21"/>
  <c r="K80" i="59"/>
  <c r="J65" i="21"/>
  <c r="M65" i="15" s="1"/>
  <c r="B65" i="15"/>
  <c r="E65" i="24"/>
  <c r="G67" i="60"/>
  <c r="E67" i="60" s="1"/>
  <c r="C67" i="60" s="1"/>
  <c r="O65" i="257" s="1"/>
  <c r="Q65" i="257" s="1"/>
  <c r="F220" i="59"/>
  <c r="C90" i="21"/>
  <c r="F75" i="21"/>
  <c r="D75" i="21" s="1"/>
  <c r="B75" i="14"/>
  <c r="B75" i="24"/>
  <c r="D84" i="19"/>
  <c r="K84" i="59"/>
  <c r="B63" i="25"/>
  <c r="D63" i="12"/>
  <c r="G63" i="12" s="1"/>
  <c r="E63" i="116"/>
  <c r="H63" i="17"/>
  <c r="M68" i="8"/>
  <c r="R68" i="8" s="1"/>
  <c r="I68" i="116"/>
  <c r="M88" i="8"/>
  <c r="I88" i="116"/>
  <c r="B57" i="25"/>
  <c r="D57" i="12"/>
  <c r="G57" i="12" s="1"/>
  <c r="E57" i="116"/>
  <c r="H57" i="17"/>
  <c r="E41" i="19"/>
  <c r="D41" i="12"/>
  <c r="M70" i="8"/>
  <c r="R70" i="8" s="1"/>
  <c r="I70" i="116"/>
  <c r="B69" i="25"/>
  <c r="D69" i="12"/>
  <c r="G69" i="12" s="1"/>
  <c r="E69" i="116"/>
  <c r="H69" i="17"/>
  <c r="I47" i="36"/>
  <c r="H47" i="36"/>
  <c r="O47" i="36"/>
  <c r="F47" i="36"/>
  <c r="L47" i="36" s="1"/>
  <c r="L15" i="257"/>
  <c r="F38" i="10"/>
  <c r="K38" i="10" s="1"/>
  <c r="E44" i="60"/>
  <c r="H42" i="257"/>
  <c r="M21" i="140"/>
  <c r="L19" i="257"/>
  <c r="P45" i="60"/>
  <c r="C45" i="60"/>
  <c r="D54" i="140"/>
  <c r="C54" i="140" s="1"/>
  <c r="B54" i="140" s="1"/>
  <c r="H54" i="60"/>
  <c r="D81" i="140"/>
  <c r="C81" i="140" s="1"/>
  <c r="B81" i="140" s="1"/>
  <c r="Q26" i="60"/>
  <c r="M32" i="140"/>
  <c r="L30" i="257"/>
  <c r="Q19" i="60"/>
  <c r="E19" i="60"/>
  <c r="C25" i="60"/>
  <c r="P25" i="60"/>
  <c r="E40" i="13"/>
  <c r="T40" i="13" s="1"/>
  <c r="F44" i="167"/>
  <c r="V17" i="21"/>
  <c r="N54" i="17"/>
  <c r="N68" i="17"/>
  <c r="N73" i="17"/>
  <c r="N75" i="17"/>
  <c r="N69" i="17"/>
  <c r="N71" i="17"/>
  <c r="N70" i="17"/>
  <c r="P53" i="60"/>
  <c r="C53" i="60"/>
  <c r="J76" i="21"/>
  <c r="M76" i="15" s="1"/>
  <c r="E76" i="24"/>
  <c r="B76" i="15"/>
  <c r="H69" i="13"/>
  <c r="T69" i="21"/>
  <c r="C69" i="15"/>
  <c r="F69" i="24"/>
  <c r="J83" i="21"/>
  <c r="M84" i="15" s="1"/>
  <c r="B83" i="15"/>
  <c r="E83" i="24"/>
  <c r="C39" i="13"/>
  <c r="D39" i="13"/>
  <c r="F57" i="21"/>
  <c r="D57" i="21" s="1"/>
  <c r="B57" i="24"/>
  <c r="B57" i="14"/>
  <c r="F81" i="21"/>
  <c r="D81" i="21" s="1"/>
  <c r="B81" i="14"/>
  <c r="B81" i="24"/>
  <c r="H61" i="21"/>
  <c r="F87" i="21"/>
  <c r="B87" i="14"/>
  <c r="U87" i="21" s="1"/>
  <c r="G89" i="60"/>
  <c r="E89" i="60" s="1"/>
  <c r="C89" i="60" s="1"/>
  <c r="O87" i="257" s="1"/>
  <c r="Q87" i="257" s="1"/>
  <c r="B87" i="24"/>
  <c r="H87" i="24" s="1"/>
  <c r="M67" i="8"/>
  <c r="R67" i="8" s="1"/>
  <c r="I67" i="116"/>
  <c r="M76" i="8"/>
  <c r="I76" i="116"/>
  <c r="D67" i="9"/>
  <c r="O67" i="9" s="1"/>
  <c r="B60" i="25"/>
  <c r="D60" i="12"/>
  <c r="G60" i="12" s="1"/>
  <c r="E60" i="116"/>
  <c r="H60" i="17"/>
  <c r="M79" i="8"/>
  <c r="R79" i="8" s="1"/>
  <c r="I79" i="116"/>
  <c r="AA9" i="99"/>
  <c r="AA13" i="99"/>
  <c r="AB13" i="99" s="1"/>
  <c r="AA26" i="99"/>
  <c r="AB26" i="99" s="1"/>
  <c r="AA30" i="99"/>
  <c r="AB30" i="99" s="1"/>
  <c r="AA33" i="99"/>
  <c r="AB33" i="99" s="1"/>
  <c r="AA43" i="99"/>
  <c r="AB43" i="99" s="1"/>
  <c r="AA46" i="99"/>
  <c r="AB46" i="99" s="1"/>
  <c r="AA50" i="99"/>
  <c r="AB50" i="99" s="1"/>
  <c r="AA24" i="99"/>
  <c r="AB24" i="99" s="1"/>
  <c r="AA48" i="99"/>
  <c r="AB48" i="99" s="1"/>
  <c r="AA32" i="99"/>
  <c r="AB32" i="99" s="1"/>
  <c r="AA51" i="99"/>
  <c r="AB51" i="99" s="1"/>
  <c r="AA89" i="99"/>
  <c r="AB89" i="99" s="1"/>
  <c r="AA47" i="99"/>
  <c r="AB47" i="99" s="1"/>
  <c r="AA22" i="99"/>
  <c r="AB22" i="99" s="1"/>
  <c r="AA45" i="99"/>
  <c r="AB45" i="99" s="1"/>
  <c r="AA27" i="99"/>
  <c r="AB27" i="99" s="1"/>
  <c r="AA49" i="99"/>
  <c r="AB49" i="99" s="1"/>
  <c r="AA12" i="99"/>
  <c r="AB12" i="99" s="1"/>
  <c r="AA41" i="99"/>
  <c r="AB41" i="99" s="1"/>
  <c r="AA20" i="98"/>
  <c r="AA20" i="99"/>
  <c r="AA16" i="99"/>
  <c r="AA19" i="99"/>
  <c r="AA27" i="98"/>
  <c r="AB27" i="98" s="1"/>
  <c r="AA30" i="98"/>
  <c r="AB30" i="98" s="1"/>
  <c r="AA21" i="98"/>
  <c r="AA51" i="98"/>
  <c r="AB51" i="98" s="1"/>
  <c r="AA45" i="98"/>
  <c r="AB45" i="98" s="1"/>
  <c r="AA38" i="99"/>
  <c r="AA15" i="99"/>
  <c r="AA34" i="98"/>
  <c r="AA9" i="98"/>
  <c r="AA35" i="98"/>
  <c r="AA11" i="99"/>
  <c r="AA18" i="98"/>
  <c r="AA24" i="98"/>
  <c r="AB24" i="98" s="1"/>
  <c r="AA46" i="98"/>
  <c r="AB46" i="98" s="1"/>
  <c r="AA39" i="98"/>
  <c r="AA23" i="99"/>
  <c r="AA43" i="98"/>
  <c r="AB43" i="98" s="1"/>
  <c r="AA13" i="98"/>
  <c r="AB13" i="98" s="1"/>
  <c r="AA40" i="98"/>
  <c r="AA29" i="98"/>
  <c r="AA21" i="99"/>
  <c r="AA40" i="99"/>
  <c r="AA49" i="98"/>
  <c r="AB49" i="98" s="1"/>
  <c r="AA15" i="98"/>
  <c r="AA42" i="99"/>
  <c r="AA12" i="98"/>
  <c r="AB12" i="98" s="1"/>
  <c r="AA41" i="98"/>
  <c r="AB41" i="98" s="1"/>
  <c r="AA28" i="99"/>
  <c r="AA17" i="99"/>
  <c r="AA23" i="98"/>
  <c r="AA42" i="98"/>
  <c r="AA14" i="98"/>
  <c r="AA31" i="98"/>
  <c r="AA29" i="99"/>
  <c r="AA39" i="99"/>
  <c r="AA89" i="98"/>
  <c r="AB89" i="98" s="1"/>
  <c r="AA25" i="98"/>
  <c r="AA17" i="98"/>
  <c r="AA33" i="98"/>
  <c r="AB33" i="98" s="1"/>
  <c r="AA22" i="98"/>
  <c r="AB22" i="98" s="1"/>
  <c r="AA11" i="98"/>
  <c r="AA32" i="98"/>
  <c r="AB32" i="98" s="1"/>
  <c r="AA37" i="98"/>
  <c r="AA36" i="99"/>
  <c r="AA28" i="98"/>
  <c r="AA16" i="98"/>
  <c r="AA10" i="99"/>
  <c r="AA38" i="98"/>
  <c r="AA26" i="98"/>
  <c r="AB26" i="98" s="1"/>
  <c r="AA25" i="99"/>
  <c r="AA19" i="98"/>
  <c r="AA47" i="98"/>
  <c r="AB47" i="98" s="1"/>
  <c r="AA50" i="98"/>
  <c r="AB50" i="98" s="1"/>
  <c r="AA10" i="98"/>
  <c r="AA37" i="99"/>
  <c r="AA35" i="99"/>
  <c r="AA48" i="98"/>
  <c r="AB48" i="98" s="1"/>
  <c r="AA18" i="99"/>
  <c r="AA34" i="99"/>
  <c r="AA36" i="98"/>
  <c r="AA14" i="99"/>
  <c r="AA31" i="99"/>
  <c r="M58" i="8"/>
  <c r="I58" i="116"/>
  <c r="B70" i="25"/>
  <c r="D70" i="12"/>
  <c r="G70" i="12" s="1"/>
  <c r="E70" i="116"/>
  <c r="H70" i="17"/>
  <c r="M65" i="8"/>
  <c r="I65" i="116"/>
  <c r="I73" i="116"/>
  <c r="O220" i="59"/>
  <c r="G90" i="21"/>
  <c r="J64" i="21"/>
  <c r="M64" i="15" s="1"/>
  <c r="G66" i="60"/>
  <c r="E66" i="60" s="1"/>
  <c r="C66" i="60" s="1"/>
  <c r="O64" i="257" s="1"/>
  <c r="Q64" i="257" s="1"/>
  <c r="E64" i="24"/>
  <c r="B64" i="15"/>
  <c r="G32" i="23"/>
  <c r="H39" i="23"/>
  <c r="J66" i="21"/>
  <c r="M66" i="15" s="1"/>
  <c r="B66" i="15"/>
  <c r="E66" i="24"/>
  <c r="D66" i="19"/>
  <c r="J59" i="21"/>
  <c r="M59" i="15" s="1"/>
  <c r="E59" i="24"/>
  <c r="B59" i="15"/>
  <c r="H89" i="13"/>
  <c r="C89" i="15"/>
  <c r="T89" i="21"/>
  <c r="J85" i="21"/>
  <c r="M86" i="15" s="1"/>
  <c r="E85" i="24"/>
  <c r="B85" i="15"/>
  <c r="J82" i="21"/>
  <c r="M83" i="15" s="1"/>
  <c r="B82" i="15"/>
  <c r="U82" i="21" s="1"/>
  <c r="G84" i="60"/>
  <c r="V82" i="21" s="1"/>
  <c r="E82" i="24"/>
  <c r="H82" i="24" s="1"/>
  <c r="H88" i="21"/>
  <c r="G53" i="9"/>
  <c r="M54" i="8"/>
  <c r="I54" i="116"/>
  <c r="H54" i="9"/>
  <c r="M54" i="13"/>
  <c r="H68" i="21"/>
  <c r="C84" i="21"/>
  <c r="H72" i="59"/>
  <c r="G53" i="59"/>
  <c r="G220" i="59" s="1"/>
  <c r="B33" i="12"/>
  <c r="E33" i="8"/>
  <c r="P33" i="9"/>
  <c r="O33" i="9"/>
  <c r="H33" i="9"/>
  <c r="B16" i="10"/>
  <c r="C19" i="127"/>
  <c r="L16" i="9"/>
  <c r="M63" i="8"/>
  <c r="R63" i="8" s="1"/>
  <c r="I63" i="116"/>
  <c r="M71" i="8"/>
  <c r="R71" i="8" s="1"/>
  <c r="I71" i="116"/>
  <c r="I82" i="116"/>
  <c r="F28" i="8"/>
  <c r="O28" i="36"/>
  <c r="H28" i="36"/>
  <c r="B19" i="10"/>
  <c r="C22" i="127"/>
  <c r="L19" i="9"/>
  <c r="D70" i="9"/>
  <c r="H70" i="9" s="1"/>
  <c r="B64" i="25"/>
  <c r="D64" i="12"/>
  <c r="E64" i="116"/>
  <c r="H64" i="17"/>
  <c r="B72" i="25"/>
  <c r="H72" i="17"/>
  <c r="E72" i="116"/>
  <c r="B84" i="25"/>
  <c r="D84" i="12"/>
  <c r="E84" i="116"/>
  <c r="H84" i="17"/>
  <c r="I55" i="116"/>
  <c r="I57" i="116"/>
  <c r="B66" i="25"/>
  <c r="D66" i="12"/>
  <c r="G66" i="12" s="1"/>
  <c r="H66" i="17"/>
  <c r="E66" i="116"/>
  <c r="M75" i="8"/>
  <c r="I75" i="116"/>
  <c r="B86" i="25"/>
  <c r="D86" i="12"/>
  <c r="G86" i="12" s="1"/>
  <c r="E86" i="116"/>
  <c r="H86" i="17"/>
  <c r="I61" i="116"/>
  <c r="M69" i="8"/>
  <c r="R69" i="8" s="1"/>
  <c r="I69" i="116"/>
  <c r="M80" i="8"/>
  <c r="I80" i="116"/>
  <c r="C44" i="140"/>
  <c r="B44" i="140" s="1"/>
  <c r="P39" i="60"/>
  <c r="C39" i="60"/>
  <c r="E50" i="140"/>
  <c r="I26" i="36"/>
  <c r="F26" i="36"/>
  <c r="L26" i="36" s="1"/>
  <c r="H26" i="36"/>
  <c r="O26" i="36"/>
  <c r="Q63" i="8"/>
  <c r="C20" i="140"/>
  <c r="B20" i="140" s="1"/>
  <c r="I92" i="60"/>
  <c r="I11" i="60"/>
  <c r="L14" i="257"/>
  <c r="C12" i="140"/>
  <c r="B12" i="140" s="1"/>
  <c r="K17" i="8"/>
  <c r="I17" i="8"/>
  <c r="L17" i="8" s="1"/>
  <c r="J17" i="8"/>
  <c r="C39" i="140"/>
  <c r="B39" i="140" s="1"/>
  <c r="H43" i="257"/>
  <c r="H25" i="257"/>
  <c r="P34" i="60"/>
  <c r="W72" i="21"/>
  <c r="E19" i="13"/>
  <c r="T19" i="13" s="1"/>
  <c r="X44" i="167"/>
  <c r="E38" i="13"/>
  <c r="T38" i="13" s="1"/>
  <c r="M44" i="167"/>
  <c r="H13" i="257"/>
  <c r="H35" i="23"/>
  <c r="C37" i="188"/>
  <c r="D37" i="188" s="1"/>
  <c r="D33" i="188"/>
  <c r="G11" i="60"/>
  <c r="P50" i="60"/>
  <c r="W44" i="167"/>
  <c r="C33" i="60"/>
  <c r="P33" i="60"/>
  <c r="P91" i="21"/>
  <c r="Q72" i="59"/>
  <c r="P53" i="59"/>
  <c r="P220" i="59" s="1"/>
  <c r="B11" i="9"/>
  <c r="K11" i="8"/>
  <c r="P11" i="8"/>
  <c r="G47" i="25"/>
  <c r="F47" i="9"/>
  <c r="I47" i="9"/>
  <c r="K47" i="9"/>
  <c r="M47" i="13"/>
  <c r="O47" i="9"/>
  <c r="H47" i="9"/>
  <c r="D45" i="9"/>
  <c r="Q47" i="9"/>
  <c r="M82" i="14"/>
  <c r="G54" i="25"/>
  <c r="I54" i="9"/>
  <c r="O54" i="9"/>
  <c r="B71" i="25"/>
  <c r="D71" i="12"/>
  <c r="G71" i="12" s="1"/>
  <c r="E71" i="116"/>
  <c r="H71" i="17"/>
  <c r="B82" i="25"/>
  <c r="E82" i="116"/>
  <c r="H82" i="17"/>
  <c r="K65" i="59"/>
  <c r="K85" i="59"/>
  <c r="C23" i="127"/>
  <c r="D82" i="9"/>
  <c r="H82" i="9" s="1"/>
  <c r="G73" i="25"/>
  <c r="M60" i="8"/>
  <c r="I60" i="116"/>
  <c r="B79" i="25"/>
  <c r="D79" i="9"/>
  <c r="M79" i="13" s="1"/>
  <c r="D79" i="12"/>
  <c r="G79" i="12" s="1"/>
  <c r="E79" i="116"/>
  <c r="J79" i="17"/>
  <c r="H79" i="17"/>
  <c r="K79" i="17"/>
  <c r="B55" i="25"/>
  <c r="D55" i="12"/>
  <c r="G55" i="12" s="1"/>
  <c r="E55" i="116"/>
  <c r="H55" i="17"/>
  <c r="M62" i="8"/>
  <c r="I62" i="116"/>
  <c r="I81" i="116"/>
  <c r="B61" i="25"/>
  <c r="D61" i="12"/>
  <c r="G61" i="12" s="1"/>
  <c r="E61" i="116"/>
  <c r="H61" i="17"/>
  <c r="B80" i="25"/>
  <c r="D80" i="12"/>
  <c r="E80" i="116"/>
  <c r="H80" i="17"/>
  <c r="C47" i="15"/>
  <c r="L21" i="257"/>
  <c r="M23" i="140"/>
  <c r="K47" i="36"/>
  <c r="O34" i="140"/>
  <c r="P34" i="140"/>
  <c r="L54" i="8"/>
  <c r="M43" i="140"/>
  <c r="L41" i="257"/>
  <c r="Q32" i="60"/>
  <c r="L23" i="257"/>
  <c r="Q25" i="140"/>
  <c r="L25" i="257"/>
  <c r="M17" i="140"/>
  <c r="M27" i="140"/>
  <c r="G44" i="167"/>
  <c r="P22" i="60"/>
  <c r="C22" i="60"/>
  <c r="C90" i="60"/>
  <c r="E48" i="60"/>
  <c r="Q48" i="60"/>
  <c r="M91" i="21"/>
  <c r="J81" i="21"/>
  <c r="M82" i="15" s="1"/>
  <c r="B81" i="15"/>
  <c r="E81" i="24"/>
  <c r="G83" i="60"/>
  <c r="V81" i="21" s="1"/>
  <c r="I52" i="13"/>
  <c r="M52" i="14"/>
  <c r="S52" i="21"/>
  <c r="C52" i="24"/>
  <c r="I52" i="24" s="1"/>
  <c r="G79" i="13"/>
  <c r="C79" i="24"/>
  <c r="I79" i="24" s="1"/>
  <c r="C79" i="14"/>
  <c r="D79" i="14" s="1"/>
  <c r="H81" i="60"/>
  <c r="S79" i="21"/>
  <c r="J77" i="21"/>
  <c r="M77" i="15" s="1"/>
  <c r="E77" i="24"/>
  <c r="B77" i="15"/>
  <c r="C67" i="21"/>
  <c r="K67" i="59"/>
  <c r="K75" i="59"/>
  <c r="K70" i="59"/>
  <c r="B29" i="9"/>
  <c r="K29" i="8"/>
  <c r="I29" i="8"/>
  <c r="L29" i="8" s="1"/>
  <c r="P29" i="8"/>
  <c r="I88" i="13"/>
  <c r="M88" i="14"/>
  <c r="D57" i="9"/>
  <c r="M57" i="13" s="1"/>
  <c r="D63" i="9"/>
  <c r="B87" i="25"/>
  <c r="D87" i="9"/>
  <c r="O87" i="9" s="1"/>
  <c r="D87" i="12"/>
  <c r="G87" i="12" s="1"/>
  <c r="E87" i="116"/>
  <c r="H87" i="17"/>
  <c r="I87" i="17"/>
  <c r="K87" i="17"/>
  <c r="J87" i="17"/>
  <c r="B21" i="10"/>
  <c r="B90" i="8"/>
  <c r="C39" i="127"/>
  <c r="B36" i="10"/>
  <c r="L36" i="9"/>
  <c r="B68" i="25"/>
  <c r="D68" i="12"/>
  <c r="H68" i="17"/>
  <c r="E68" i="116"/>
  <c r="B88" i="25"/>
  <c r="E88" i="116"/>
  <c r="H88" i="17"/>
  <c r="M56" i="8"/>
  <c r="R56" i="8" s="1"/>
  <c r="I56" i="116"/>
  <c r="B62" i="25"/>
  <c r="D62" i="12"/>
  <c r="E62" i="116"/>
  <c r="H62" i="17"/>
  <c r="B81" i="25"/>
  <c r="D81" i="9"/>
  <c r="H81" i="9" s="1"/>
  <c r="E81" i="116"/>
  <c r="H81" i="17"/>
  <c r="M85" i="8"/>
  <c r="R85" i="8" s="1"/>
  <c r="I85" i="116"/>
  <c r="J47" i="21"/>
  <c r="M47" i="15" s="1"/>
  <c r="L32" i="257"/>
  <c r="Q34" i="140"/>
  <c r="H44" i="257"/>
  <c r="E46" i="60"/>
  <c r="L50" i="257"/>
  <c r="C15" i="60"/>
  <c r="O38" i="140"/>
  <c r="M28" i="140"/>
  <c r="L26" i="257"/>
  <c r="L12" i="257"/>
  <c r="M14" i="140"/>
  <c r="I11" i="8"/>
  <c r="L11" i="8" s="1"/>
  <c r="N34" i="140"/>
  <c r="H10" i="257"/>
  <c r="J11" i="60"/>
  <c r="K33" i="13"/>
  <c r="B33" i="13" s="1"/>
  <c r="E51" i="140"/>
  <c r="C27" i="60"/>
  <c r="P27" i="60"/>
  <c r="Q40" i="60"/>
  <c r="N38" i="140"/>
  <c r="F39" i="24"/>
  <c r="T39" i="21"/>
  <c r="K91" i="100"/>
  <c r="E30" i="60"/>
  <c r="Q30" i="60"/>
  <c r="P44" i="167"/>
  <c r="E20" i="60"/>
  <c r="W76" i="21"/>
  <c r="E14" i="13"/>
  <c r="T14" i="13" s="1"/>
  <c r="V28" i="21"/>
  <c r="N44" i="167"/>
  <c r="E10" i="13"/>
  <c r="T10" i="13" s="1"/>
  <c r="Q12" i="60"/>
  <c r="U44" i="167"/>
  <c r="P52" i="60"/>
  <c r="C52" i="60"/>
  <c r="E220" i="59"/>
  <c r="E226" i="59" s="1"/>
  <c r="C31" i="60"/>
  <c r="P31" i="60"/>
  <c r="F43" i="13"/>
  <c r="S43" i="21"/>
  <c r="C43" i="24"/>
  <c r="C59" i="21"/>
  <c r="K59" i="59"/>
  <c r="C76" i="21"/>
  <c r="C62" i="21"/>
  <c r="G64" i="60" s="1"/>
  <c r="K62" i="59"/>
  <c r="D39" i="21"/>
  <c r="E41" i="140" s="1"/>
  <c r="D89" i="21"/>
  <c r="H84" i="13"/>
  <c r="T84" i="21"/>
  <c r="C84" i="15"/>
  <c r="F84" i="24"/>
  <c r="B31" i="9"/>
  <c r="K31" i="8"/>
  <c r="P31" i="8"/>
  <c r="D88" i="21"/>
  <c r="D80" i="9"/>
  <c r="M80" i="13" s="1"/>
  <c r="D68" i="9"/>
  <c r="H68" i="9" s="1"/>
  <c r="B15" i="10"/>
  <c r="C18" i="127"/>
  <c r="L15" i="9"/>
  <c r="B67" i="25"/>
  <c r="D67" i="12"/>
  <c r="G67" i="12" s="1"/>
  <c r="E67" i="116"/>
  <c r="H67" i="17"/>
  <c r="B76" i="25"/>
  <c r="E76" i="116"/>
  <c r="H76" i="17"/>
  <c r="M87" i="8"/>
  <c r="R87" i="8" s="1"/>
  <c r="I87" i="116"/>
  <c r="D61" i="9"/>
  <c r="M61" i="13" s="1"/>
  <c r="C45" i="8"/>
  <c r="D46" i="8"/>
  <c r="C85" i="21"/>
  <c r="D76" i="9"/>
  <c r="M76" i="13" s="1"/>
  <c r="I54" i="59"/>
  <c r="C59" i="9"/>
  <c r="D65" i="9"/>
  <c r="M65" i="13" s="1"/>
  <c r="M64" i="8"/>
  <c r="R64" i="8" s="1"/>
  <c r="I64" i="116"/>
  <c r="I72" i="116"/>
  <c r="M84" i="8"/>
  <c r="R84" i="8" s="1"/>
  <c r="I84" i="116"/>
  <c r="B56" i="25"/>
  <c r="D56" i="12"/>
  <c r="G56" i="12" s="1"/>
  <c r="E56" i="116"/>
  <c r="H56" i="17"/>
  <c r="H30" i="19"/>
  <c r="J30" i="17"/>
  <c r="B58" i="25"/>
  <c r="D58" i="12"/>
  <c r="E58" i="116"/>
  <c r="H58" i="17"/>
  <c r="M66" i="8"/>
  <c r="R66" i="8" s="1"/>
  <c r="I66" i="116"/>
  <c r="B75" i="25"/>
  <c r="D75" i="9"/>
  <c r="O75" i="9" s="1"/>
  <c r="D75" i="12"/>
  <c r="E75" i="116"/>
  <c r="H75" i="17"/>
  <c r="M86" i="8"/>
  <c r="R86" i="8" s="1"/>
  <c r="I86" i="116"/>
  <c r="B65" i="25"/>
  <c r="D65" i="12"/>
  <c r="G65" i="12" s="1"/>
  <c r="E65" i="116"/>
  <c r="H65" i="17"/>
  <c r="B73" i="25"/>
  <c r="D73" i="12"/>
  <c r="G73" i="12" s="1"/>
  <c r="E73" i="116"/>
  <c r="H73" i="17"/>
  <c r="B85" i="25"/>
  <c r="D85" i="9"/>
  <c r="O85" i="9" s="1"/>
  <c r="D85" i="12"/>
  <c r="G85" i="12" s="1"/>
  <c r="E85" i="116"/>
  <c r="H85" i="17"/>
  <c r="C15" i="140"/>
  <c r="B15" i="140" s="1"/>
  <c r="H35" i="60"/>
  <c r="D35" i="140"/>
  <c r="C35" i="140" s="1"/>
  <c r="B35" i="140" s="1"/>
  <c r="Q79" i="8"/>
  <c r="Q38" i="140"/>
  <c r="L36" i="257"/>
  <c r="H34" i="257"/>
  <c r="E36" i="60"/>
  <c r="Q30" i="8"/>
  <c r="L20" i="257"/>
  <c r="M22" i="140"/>
  <c r="M30" i="140"/>
  <c r="L28" i="257"/>
  <c r="G33" i="36"/>
  <c r="G23" i="36"/>
  <c r="G42" i="36"/>
  <c r="G14" i="36"/>
  <c r="D29" i="140"/>
  <c r="C29" i="140" s="1"/>
  <c r="B29" i="140" s="1"/>
  <c r="H29" i="60"/>
  <c r="Q25" i="60"/>
  <c r="C46" i="140"/>
  <c r="B46" i="140" s="1"/>
  <c r="M37" i="140"/>
  <c r="L35" i="257"/>
  <c r="D14" i="8"/>
  <c r="C9" i="8"/>
  <c r="C36" i="140"/>
  <c r="B36" i="140" s="1"/>
  <c r="O40" i="140"/>
  <c r="L24" i="257"/>
  <c r="M26" i="140"/>
  <c r="M39" i="15"/>
  <c r="I48" i="36"/>
  <c r="Q44" i="167"/>
  <c r="D44" i="167"/>
  <c r="H44" i="167"/>
  <c r="L44" i="167"/>
  <c r="O44" i="167"/>
  <c r="E44" i="167"/>
  <c r="K44" i="167"/>
  <c r="I44" i="167"/>
  <c r="C44" i="167"/>
  <c r="J68" i="24"/>
  <c r="T44" i="167"/>
  <c r="C35" i="60"/>
  <c r="P35" i="60"/>
  <c r="H12" i="23"/>
  <c r="P42" i="60"/>
  <c r="J44" i="167"/>
  <c r="E12" i="60"/>
  <c r="C26" i="60"/>
  <c r="P26" i="60"/>
  <c r="P14" i="60"/>
  <c r="C14" i="60"/>
  <c r="S44" i="167"/>
  <c r="D34" i="99" l="1"/>
  <c r="M34" i="261"/>
  <c r="I84" i="9"/>
  <c r="H62" i="8"/>
  <c r="B16" i="13"/>
  <c r="C16" i="12"/>
  <c r="M34" i="17"/>
  <c r="C29" i="12"/>
  <c r="O16" i="99"/>
  <c r="G42" i="17"/>
  <c r="L42" i="17" s="1"/>
  <c r="T42" i="17" s="1"/>
  <c r="O36" i="99"/>
  <c r="L43" i="9"/>
  <c r="G43" i="17" s="1"/>
  <c r="Q32" i="8"/>
  <c r="M82" i="8"/>
  <c r="N82" i="8" s="1"/>
  <c r="Q13" i="140"/>
  <c r="Q69" i="8"/>
  <c r="Q73" i="8"/>
  <c r="Q87" i="8"/>
  <c r="M58" i="15"/>
  <c r="H58" i="21"/>
  <c r="H84" i="9"/>
  <c r="F80" i="24"/>
  <c r="L38" i="257"/>
  <c r="H55" i="9"/>
  <c r="C66" i="21"/>
  <c r="B66" i="24" s="1"/>
  <c r="H66" i="24" s="1"/>
  <c r="N13" i="140"/>
  <c r="C26" i="17"/>
  <c r="I62" i="8"/>
  <c r="Q74" i="8"/>
  <c r="I24" i="268"/>
  <c r="Q70" i="8"/>
  <c r="M77" i="8"/>
  <c r="N77" i="8" s="1"/>
  <c r="B29" i="10"/>
  <c r="P29" i="13" s="1"/>
  <c r="O29" i="13" s="1"/>
  <c r="J29" i="13" s="1"/>
  <c r="F29" i="19" s="1"/>
  <c r="E29" i="19" s="1"/>
  <c r="Q33" i="140"/>
  <c r="M61" i="8"/>
  <c r="O66" i="9"/>
  <c r="B75" i="15"/>
  <c r="U75" i="21" s="1"/>
  <c r="J44" i="9"/>
  <c r="O10" i="98"/>
  <c r="J20" i="9"/>
  <c r="Q34" i="8"/>
  <c r="Q88" i="8"/>
  <c r="M54" i="15"/>
  <c r="H54" i="21"/>
  <c r="Q53" i="59"/>
  <c r="Q220" i="59" s="1"/>
  <c r="P13" i="140"/>
  <c r="I58" i="59"/>
  <c r="C58" i="21" s="1"/>
  <c r="J37" i="9"/>
  <c r="G20" i="12"/>
  <c r="N20" i="12" s="1"/>
  <c r="C25" i="127"/>
  <c r="Q64" i="8"/>
  <c r="Q78" i="8"/>
  <c r="I64" i="268"/>
  <c r="L32" i="9"/>
  <c r="G32" i="261" s="1"/>
  <c r="J49" i="9"/>
  <c r="J12" i="9"/>
  <c r="Q47" i="8"/>
  <c r="R59" i="8"/>
  <c r="I82" i="13"/>
  <c r="G57" i="60"/>
  <c r="O41" i="9"/>
  <c r="I10" i="8"/>
  <c r="L10" i="8" s="1"/>
  <c r="D35" i="13"/>
  <c r="E35" i="13" s="1"/>
  <c r="T35" i="13" s="1"/>
  <c r="Q67" i="8"/>
  <c r="AB14" i="271"/>
  <c r="Q76" i="8"/>
  <c r="L11" i="257"/>
  <c r="O62" i="9"/>
  <c r="R53" i="59"/>
  <c r="R220" i="59" s="1"/>
  <c r="I84" i="268"/>
  <c r="O19" i="99"/>
  <c r="B41" i="12"/>
  <c r="B15" i="13"/>
  <c r="L12" i="9"/>
  <c r="G12" i="17" s="1"/>
  <c r="M74" i="8"/>
  <c r="J41" i="9"/>
  <c r="C40" i="23"/>
  <c r="C39" i="23"/>
  <c r="B39" i="23" s="1"/>
  <c r="R39" i="23" s="1"/>
  <c r="C12" i="23"/>
  <c r="C36" i="23"/>
  <c r="C21" i="60"/>
  <c r="O19" i="257" s="1"/>
  <c r="I45" i="17"/>
  <c r="B44" i="10"/>
  <c r="C44" i="19" s="1"/>
  <c r="B44" i="19" s="1"/>
  <c r="C34" i="12"/>
  <c r="F34" i="12" s="1"/>
  <c r="B36" i="13"/>
  <c r="Q82" i="8"/>
  <c r="L49" i="36"/>
  <c r="L29" i="9"/>
  <c r="G29" i="17" s="1"/>
  <c r="L29" i="17" s="1"/>
  <c r="T29" i="17" s="1"/>
  <c r="H29" i="12"/>
  <c r="O29" i="12" s="1"/>
  <c r="I66" i="9"/>
  <c r="O31" i="98"/>
  <c r="L22" i="9"/>
  <c r="G66" i="25"/>
  <c r="H12" i="12"/>
  <c r="O12" i="12" s="1"/>
  <c r="O21" i="99"/>
  <c r="P35" i="13"/>
  <c r="C32" i="127"/>
  <c r="G12" i="12"/>
  <c r="N12" i="12" s="1"/>
  <c r="H34" i="12"/>
  <c r="O34" i="12" s="1"/>
  <c r="AB14" i="101"/>
  <c r="L44" i="9"/>
  <c r="G44" i="17" s="1"/>
  <c r="F26" i="10"/>
  <c r="K26" i="10" s="1"/>
  <c r="M60" i="13"/>
  <c r="I60" i="9"/>
  <c r="O13" i="140"/>
  <c r="C47" i="127"/>
  <c r="H66" i="9"/>
  <c r="H60" i="9"/>
  <c r="G60" i="25"/>
  <c r="M73" i="8"/>
  <c r="R73" i="8" s="1"/>
  <c r="B26" i="13"/>
  <c r="K26" i="13" s="1"/>
  <c r="L26" i="13" s="1"/>
  <c r="B21" i="13"/>
  <c r="O34" i="98"/>
  <c r="N35" i="10"/>
  <c r="J26" i="10"/>
  <c r="H41" i="9"/>
  <c r="I30" i="268"/>
  <c r="H56" i="13"/>
  <c r="C12" i="13"/>
  <c r="D12" i="13"/>
  <c r="E12" i="13" s="1"/>
  <c r="T12" i="13" s="1"/>
  <c r="M42" i="140"/>
  <c r="L40" i="257"/>
  <c r="Q15" i="8"/>
  <c r="I32" i="268"/>
  <c r="AB13" i="271"/>
  <c r="O49" i="257"/>
  <c r="P28" i="60"/>
  <c r="H18" i="12"/>
  <c r="O18" i="12" s="1"/>
  <c r="U88" i="21"/>
  <c r="I32" i="261"/>
  <c r="U65" i="21"/>
  <c r="E68" i="9"/>
  <c r="F68" i="9" s="1"/>
  <c r="T36" i="13"/>
  <c r="F79" i="13"/>
  <c r="J79" i="13" s="1"/>
  <c r="K79" i="13" s="1"/>
  <c r="B79" i="13" s="1"/>
  <c r="C18" i="12"/>
  <c r="B74" i="25"/>
  <c r="C11" i="12"/>
  <c r="O21" i="60"/>
  <c r="I66" i="261"/>
  <c r="H81" i="24"/>
  <c r="D31" i="98"/>
  <c r="O37" i="99"/>
  <c r="H45" i="13"/>
  <c r="I64" i="17"/>
  <c r="I66" i="268"/>
  <c r="I84" i="261"/>
  <c r="H32" i="13"/>
  <c r="B38" i="261"/>
  <c r="C29" i="261"/>
  <c r="M29" i="261" s="1"/>
  <c r="C33" i="261"/>
  <c r="M33" i="261" s="1"/>
  <c r="H74" i="17"/>
  <c r="H74" i="268"/>
  <c r="H59" i="268"/>
  <c r="H55" i="21"/>
  <c r="T55" i="21" s="1"/>
  <c r="O11" i="99"/>
  <c r="H71" i="21"/>
  <c r="T71" i="21" s="1"/>
  <c r="H67" i="21"/>
  <c r="T67" i="21" s="1"/>
  <c r="D19" i="99"/>
  <c r="Q84" i="8"/>
  <c r="M57" i="8"/>
  <c r="R57" i="8" s="1"/>
  <c r="G26" i="12"/>
  <c r="N26" i="12" s="1"/>
  <c r="L18" i="9"/>
  <c r="G18" i="17" s="1"/>
  <c r="L18" i="17" s="1"/>
  <c r="T18" i="17" s="1"/>
  <c r="L30" i="9"/>
  <c r="G30" i="261" s="1"/>
  <c r="L30" i="261" s="1"/>
  <c r="AH30" i="261" s="1"/>
  <c r="H56" i="9"/>
  <c r="Q60" i="8"/>
  <c r="H17" i="12"/>
  <c r="O17" i="12" s="1"/>
  <c r="M62" i="13"/>
  <c r="G55" i="25"/>
  <c r="I62" i="9"/>
  <c r="Q19" i="8"/>
  <c r="C35" i="19"/>
  <c r="B35" i="19" s="1"/>
  <c r="O10" i="99"/>
  <c r="J35" i="10"/>
  <c r="Q42" i="8"/>
  <c r="D18" i="99"/>
  <c r="B40" i="10"/>
  <c r="F40" i="10" s="1"/>
  <c r="K40" i="10" s="1"/>
  <c r="N78" i="8"/>
  <c r="B17" i="10"/>
  <c r="P17" i="13" s="1"/>
  <c r="O17" i="13" s="1"/>
  <c r="I55" i="9"/>
  <c r="M55" i="13"/>
  <c r="Q18" i="8"/>
  <c r="Q72" i="8"/>
  <c r="M20" i="261"/>
  <c r="M84" i="13"/>
  <c r="C21" i="127"/>
  <c r="H62" i="9"/>
  <c r="J43" i="9"/>
  <c r="O28" i="99"/>
  <c r="C24" i="12"/>
  <c r="C29" i="19"/>
  <c r="B29" i="19" s="1"/>
  <c r="Q57" i="8"/>
  <c r="B24" i="13"/>
  <c r="K24" i="13" s="1"/>
  <c r="L24" i="13" s="1"/>
  <c r="H11" i="12"/>
  <c r="O11" i="12" s="1"/>
  <c r="B18" i="10"/>
  <c r="C18" i="19" s="1"/>
  <c r="B18" i="19" s="1"/>
  <c r="K29" i="13"/>
  <c r="L29" i="13" s="1"/>
  <c r="L17" i="9"/>
  <c r="G17" i="261" s="1"/>
  <c r="L17" i="261" s="1"/>
  <c r="AH17" i="261" s="1"/>
  <c r="O72" i="9"/>
  <c r="O19" i="98"/>
  <c r="C37" i="12"/>
  <c r="F29" i="10"/>
  <c r="K29" i="10" s="1"/>
  <c r="J29" i="10"/>
  <c r="H40" i="12"/>
  <c r="O40" i="12" s="1"/>
  <c r="M72" i="13"/>
  <c r="C20" i="127"/>
  <c r="O69" i="9"/>
  <c r="C28" i="19"/>
  <c r="B28" i="19" s="1"/>
  <c r="G72" i="25"/>
  <c r="H69" i="9"/>
  <c r="H58" i="9"/>
  <c r="H37" i="9"/>
  <c r="U41" i="13"/>
  <c r="L41" i="13"/>
  <c r="E41" i="12"/>
  <c r="C41" i="12" s="1"/>
  <c r="J22" i="36"/>
  <c r="N40" i="140"/>
  <c r="Q36" i="8"/>
  <c r="F12" i="10"/>
  <c r="K12" i="10" s="1"/>
  <c r="K72" i="9"/>
  <c r="Q28" i="140"/>
  <c r="B20" i="10"/>
  <c r="M69" i="13"/>
  <c r="B37" i="12"/>
  <c r="D14" i="99"/>
  <c r="D10" i="98"/>
  <c r="Q35" i="8"/>
  <c r="J35" i="36"/>
  <c r="B32" i="10"/>
  <c r="P32" i="13" s="1"/>
  <c r="H22" i="9"/>
  <c r="Q65" i="8"/>
  <c r="L49" i="9"/>
  <c r="G49" i="17" s="1"/>
  <c r="L49" i="17" s="1"/>
  <c r="T49" i="17" s="1"/>
  <c r="Q38" i="8"/>
  <c r="J21" i="9"/>
  <c r="M31" i="261"/>
  <c r="M31" i="17"/>
  <c r="J40" i="9"/>
  <c r="J17" i="9"/>
  <c r="B22" i="10"/>
  <c r="F22" i="10" s="1"/>
  <c r="K22" i="10" s="1"/>
  <c r="Q40" i="8"/>
  <c r="M81" i="8"/>
  <c r="R81" i="8" s="1"/>
  <c r="B30" i="10"/>
  <c r="F30" i="10" s="1"/>
  <c r="K30" i="10" s="1"/>
  <c r="I72" i="9"/>
  <c r="I69" i="9"/>
  <c r="Q40" i="140"/>
  <c r="C20" i="12"/>
  <c r="P37" i="9"/>
  <c r="J12" i="10"/>
  <c r="D11" i="99"/>
  <c r="C40" i="12"/>
  <c r="M20" i="17"/>
  <c r="O38" i="98"/>
  <c r="L77" i="9"/>
  <c r="G77" i="261" s="1"/>
  <c r="Q16" i="8"/>
  <c r="Q39" i="8"/>
  <c r="J49" i="36"/>
  <c r="J42" i="9"/>
  <c r="M72" i="8"/>
  <c r="R72" i="8" s="1"/>
  <c r="Q62" i="8"/>
  <c r="E30" i="12"/>
  <c r="H30" i="12" s="1"/>
  <c r="O30" i="12" s="1"/>
  <c r="C24" i="127"/>
  <c r="P33" i="140"/>
  <c r="H9" i="59"/>
  <c r="Q12" i="8"/>
  <c r="J30" i="9"/>
  <c r="Q56" i="8"/>
  <c r="H72" i="9"/>
  <c r="Q23" i="140"/>
  <c r="L20" i="9"/>
  <c r="Q77" i="8"/>
  <c r="C41" i="261"/>
  <c r="M41" i="261" s="1"/>
  <c r="O21" i="98"/>
  <c r="P12" i="13"/>
  <c r="O12" i="13" s="1"/>
  <c r="J12" i="19" s="1"/>
  <c r="C24" i="261"/>
  <c r="M24" i="261" s="1"/>
  <c r="C26" i="12"/>
  <c r="C36" i="12"/>
  <c r="P40" i="140"/>
  <c r="C43" i="127"/>
  <c r="Q41" i="8"/>
  <c r="J32" i="9"/>
  <c r="Q37" i="8"/>
  <c r="Q22" i="8"/>
  <c r="Q66" i="8"/>
  <c r="D10" i="99"/>
  <c r="J18" i="36"/>
  <c r="C26" i="261"/>
  <c r="M26" i="261" s="1"/>
  <c r="Q61" i="8"/>
  <c r="H74" i="21"/>
  <c r="T74" i="21" s="1"/>
  <c r="D17" i="99"/>
  <c r="O43" i="60"/>
  <c r="O41" i="257"/>
  <c r="D23" i="99"/>
  <c r="D45" i="140"/>
  <c r="C45" i="140" s="1"/>
  <c r="B45" i="140" s="1"/>
  <c r="B55" i="24"/>
  <c r="H55" i="24" s="1"/>
  <c r="B55" i="14"/>
  <c r="U55" i="21" s="1"/>
  <c r="F55" i="21"/>
  <c r="P91" i="60"/>
  <c r="C91" i="60"/>
  <c r="P41" i="60"/>
  <c r="C41" i="60"/>
  <c r="M86" i="13"/>
  <c r="M58" i="13"/>
  <c r="H45" i="60"/>
  <c r="Q45" i="60" s="1"/>
  <c r="H43" i="12"/>
  <c r="O43" i="12" s="1"/>
  <c r="K30" i="25"/>
  <c r="N28" i="10"/>
  <c r="D16" i="98"/>
  <c r="D20" i="98"/>
  <c r="P32" i="60"/>
  <c r="C32" i="60"/>
  <c r="U81" i="21"/>
  <c r="H86" i="9"/>
  <c r="M18" i="140"/>
  <c r="L21" i="9"/>
  <c r="G21" i="17" s="1"/>
  <c r="L21" i="17" s="1"/>
  <c r="T21" i="17" s="1"/>
  <c r="I86" i="9"/>
  <c r="T80" i="21"/>
  <c r="O33" i="140"/>
  <c r="O86" i="9"/>
  <c r="H53" i="59"/>
  <c r="H65" i="24"/>
  <c r="D28" i="99"/>
  <c r="O14" i="98"/>
  <c r="J28" i="10"/>
  <c r="C32" i="12"/>
  <c r="J31" i="12"/>
  <c r="Q85" i="8"/>
  <c r="T56" i="21"/>
  <c r="L31" i="257"/>
  <c r="N33" i="140"/>
  <c r="C80" i="15"/>
  <c r="H75" i="21"/>
  <c r="T75" i="21" s="1"/>
  <c r="H62" i="21"/>
  <c r="T62" i="21" s="1"/>
  <c r="P28" i="13"/>
  <c r="O28" i="13" s="1"/>
  <c r="J28" i="13" s="1"/>
  <c r="F28" i="19" s="1"/>
  <c r="E28" i="19" s="1"/>
  <c r="B37" i="13"/>
  <c r="C43" i="12"/>
  <c r="D20" i="99"/>
  <c r="B32" i="13"/>
  <c r="K32" i="13" s="1"/>
  <c r="L32" i="13" s="1"/>
  <c r="C21" i="12"/>
  <c r="H60" i="21"/>
  <c r="C60" i="15" s="1"/>
  <c r="C54" i="60"/>
  <c r="P54" i="60"/>
  <c r="P17" i="60"/>
  <c r="C17" i="60"/>
  <c r="E73" i="60"/>
  <c r="C73" i="60" s="1"/>
  <c r="O71" i="257" s="1"/>
  <c r="Q71" i="257" s="1"/>
  <c r="V71" i="21"/>
  <c r="H70" i="21"/>
  <c r="H70" i="13" s="1"/>
  <c r="F35" i="13"/>
  <c r="B35" i="23"/>
  <c r="R35" i="23" s="1"/>
  <c r="G35" i="13"/>
  <c r="C37" i="60"/>
  <c r="P37" i="60"/>
  <c r="H76" i="21"/>
  <c r="H76" i="13" s="1"/>
  <c r="I64" i="261"/>
  <c r="L17" i="257"/>
  <c r="M19" i="140"/>
  <c r="M73" i="15"/>
  <c r="H73" i="21"/>
  <c r="C24" i="60"/>
  <c r="P24" i="60"/>
  <c r="H78" i="13"/>
  <c r="C78" i="15"/>
  <c r="T78" i="21"/>
  <c r="F78" i="24"/>
  <c r="F77" i="21"/>
  <c r="M77" i="14" s="1"/>
  <c r="B77" i="24"/>
  <c r="H77" i="24" s="1"/>
  <c r="B77" i="14"/>
  <c r="U77" i="21" s="1"/>
  <c r="H81" i="21"/>
  <c r="T81" i="21" s="1"/>
  <c r="H53" i="60"/>
  <c r="Q53" i="60" s="1"/>
  <c r="D53" i="140"/>
  <c r="C53" i="140" s="1"/>
  <c r="B53" i="140" s="1"/>
  <c r="V88" i="21"/>
  <c r="P29" i="60"/>
  <c r="C29" i="60"/>
  <c r="C38" i="60"/>
  <c r="P38" i="60"/>
  <c r="C40" i="60"/>
  <c r="P40" i="60"/>
  <c r="O14" i="257"/>
  <c r="O16" i="60"/>
  <c r="O18" i="60"/>
  <c r="O16" i="257"/>
  <c r="D6" i="174"/>
  <c r="H59" i="21"/>
  <c r="T59" i="21" s="1"/>
  <c r="V64" i="21"/>
  <c r="V65" i="21"/>
  <c r="V75" i="21"/>
  <c r="U57" i="21"/>
  <c r="H57" i="21"/>
  <c r="T57" i="21" s="1"/>
  <c r="G76" i="60"/>
  <c r="E76" i="60" s="1"/>
  <c r="B74" i="14"/>
  <c r="U74" i="21" s="1"/>
  <c r="B74" i="24"/>
  <c r="H74" i="24" s="1"/>
  <c r="F74" i="21"/>
  <c r="T60" i="21"/>
  <c r="C13" i="60"/>
  <c r="P13" i="60"/>
  <c r="H63" i="21"/>
  <c r="M31" i="140"/>
  <c r="L29" i="257"/>
  <c r="L22" i="257"/>
  <c r="M24" i="140"/>
  <c r="O23" i="60"/>
  <c r="O21" i="257"/>
  <c r="Q26" i="8"/>
  <c r="B45" i="9"/>
  <c r="O45" i="9" s="1"/>
  <c r="O25" i="99"/>
  <c r="P35" i="36"/>
  <c r="B10" i="36"/>
  <c r="H10" i="36" s="1"/>
  <c r="P10" i="8"/>
  <c r="M56" i="13"/>
  <c r="O84" i="9"/>
  <c r="G56" i="25"/>
  <c r="G71" i="25"/>
  <c r="O15" i="99"/>
  <c r="Q51" i="8"/>
  <c r="P18" i="36"/>
  <c r="O20" i="99"/>
  <c r="D25" i="98"/>
  <c r="B22" i="12"/>
  <c r="I22" i="12" s="1"/>
  <c r="P22" i="9"/>
  <c r="O56" i="9"/>
  <c r="D38" i="98"/>
  <c r="D36" i="98"/>
  <c r="I13" i="8"/>
  <c r="L13" i="8" s="1"/>
  <c r="Q21" i="8"/>
  <c r="H71" i="9"/>
  <c r="O17" i="99"/>
  <c r="O42" i="99"/>
  <c r="AB13" i="101"/>
  <c r="G16" i="17"/>
  <c r="L16" i="17" s="1"/>
  <c r="T16" i="17" s="1"/>
  <c r="G16" i="261"/>
  <c r="L16" i="261" s="1"/>
  <c r="AH16" i="261" s="1"/>
  <c r="G38" i="17"/>
  <c r="L38" i="17" s="1"/>
  <c r="T38" i="17" s="1"/>
  <c r="G38" i="261"/>
  <c r="L38" i="261" s="1"/>
  <c r="AH38" i="261" s="1"/>
  <c r="H83" i="9"/>
  <c r="I83" i="9"/>
  <c r="M83" i="13"/>
  <c r="F83" i="9"/>
  <c r="G83" i="25"/>
  <c r="K83" i="9"/>
  <c r="L42" i="19"/>
  <c r="B42" i="261"/>
  <c r="B42" i="17"/>
  <c r="C30" i="127"/>
  <c r="B27" i="10"/>
  <c r="G28" i="17"/>
  <c r="L28" i="17" s="1"/>
  <c r="T28" i="17" s="1"/>
  <c r="G28" i="261"/>
  <c r="L28" i="261" s="1"/>
  <c r="AH28" i="261" s="1"/>
  <c r="H59" i="261"/>
  <c r="O34" i="99"/>
  <c r="O38" i="99"/>
  <c r="D35" i="98"/>
  <c r="D28" i="98"/>
  <c r="G22" i="17"/>
  <c r="L22" i="17" s="1"/>
  <c r="T22" i="17" s="1"/>
  <c r="G22" i="261"/>
  <c r="L22" i="261" s="1"/>
  <c r="AH22" i="261" s="1"/>
  <c r="I58" i="9"/>
  <c r="I64" i="9"/>
  <c r="H73" i="9"/>
  <c r="O15" i="98"/>
  <c r="G31" i="17"/>
  <c r="L31" i="17" s="1"/>
  <c r="T31" i="17" s="1"/>
  <c r="G31" i="261"/>
  <c r="L31" i="261" s="1"/>
  <c r="AH31" i="261" s="1"/>
  <c r="D37" i="99"/>
  <c r="G48" i="8"/>
  <c r="P48" i="8" s="1"/>
  <c r="K26" i="19"/>
  <c r="B26" i="261"/>
  <c r="G39" i="17"/>
  <c r="G39" i="261"/>
  <c r="L39" i="261" s="1"/>
  <c r="AH39" i="261" s="1"/>
  <c r="O31" i="99"/>
  <c r="D29" i="99"/>
  <c r="G40" i="17"/>
  <c r="L40" i="17" s="1"/>
  <c r="T40" i="17" s="1"/>
  <c r="G40" i="261"/>
  <c r="L40" i="261" s="1"/>
  <c r="AH40" i="261" s="1"/>
  <c r="B43" i="10"/>
  <c r="F43" i="10" s="1"/>
  <c r="K43" i="10" s="1"/>
  <c r="G30" i="17"/>
  <c r="G46" i="17"/>
  <c r="L46" i="17" s="1"/>
  <c r="T46" i="17" s="1"/>
  <c r="G46" i="261"/>
  <c r="L46" i="261" s="1"/>
  <c r="AH46" i="261" s="1"/>
  <c r="P42" i="13"/>
  <c r="O42" i="13" s="1"/>
  <c r="J42" i="13" s="1"/>
  <c r="K42" i="13" s="1"/>
  <c r="G26" i="17"/>
  <c r="G26" i="261"/>
  <c r="L26" i="261" s="1"/>
  <c r="AH26" i="261" s="1"/>
  <c r="I24" i="17"/>
  <c r="G15" i="17"/>
  <c r="L15" i="17" s="1"/>
  <c r="T15" i="17" s="1"/>
  <c r="G15" i="261"/>
  <c r="L15" i="261" s="1"/>
  <c r="AH15" i="261" s="1"/>
  <c r="G17" i="17"/>
  <c r="L17" i="17" s="1"/>
  <c r="T17" i="17" s="1"/>
  <c r="G19" i="17"/>
  <c r="G19" i="261"/>
  <c r="L19" i="261" s="1"/>
  <c r="AH19" i="261" s="1"/>
  <c r="G32" i="17"/>
  <c r="G14" i="17"/>
  <c r="L14" i="17" s="1"/>
  <c r="T14" i="17" s="1"/>
  <c r="G14" i="261"/>
  <c r="L14" i="261" s="1"/>
  <c r="AH14" i="261" s="1"/>
  <c r="E31" i="12"/>
  <c r="U31" i="13"/>
  <c r="G35" i="17"/>
  <c r="L35" i="17" s="1"/>
  <c r="T35" i="17" s="1"/>
  <c r="G35" i="261"/>
  <c r="L35" i="261" s="1"/>
  <c r="AH35" i="261" s="1"/>
  <c r="E74" i="9"/>
  <c r="E69" i="9"/>
  <c r="E78" i="9"/>
  <c r="E71" i="9"/>
  <c r="K71" i="9" s="1"/>
  <c r="E55" i="9"/>
  <c r="E70" i="9"/>
  <c r="F70" i="9" s="1"/>
  <c r="E79" i="9"/>
  <c r="K79" i="9" s="1"/>
  <c r="E56" i="9"/>
  <c r="E63" i="9"/>
  <c r="F63" i="9" s="1"/>
  <c r="E57" i="9"/>
  <c r="F57" i="9" s="1"/>
  <c r="E82" i="9"/>
  <c r="F82" i="9" s="1"/>
  <c r="E81" i="9"/>
  <c r="K81" i="9" s="1"/>
  <c r="E75" i="9"/>
  <c r="F75" i="9" s="1"/>
  <c r="E66" i="9"/>
  <c r="E60" i="9"/>
  <c r="E54" i="9"/>
  <c r="E76" i="9"/>
  <c r="F76" i="9" s="1"/>
  <c r="E59" i="9"/>
  <c r="E86" i="9"/>
  <c r="E87" i="9"/>
  <c r="F87" i="9" s="1"/>
  <c r="E58" i="9"/>
  <c r="K58" i="9" s="1"/>
  <c r="E84" i="9"/>
  <c r="E88" i="9"/>
  <c r="K88" i="9" s="1"/>
  <c r="E80" i="9"/>
  <c r="K80" i="9" s="1"/>
  <c r="E61" i="9"/>
  <c r="F61" i="9" s="1"/>
  <c r="E85" i="9"/>
  <c r="K85" i="9" s="1"/>
  <c r="E73" i="9"/>
  <c r="E62" i="9"/>
  <c r="G34" i="17"/>
  <c r="L34" i="17" s="1"/>
  <c r="T34" i="17" s="1"/>
  <c r="G34" i="261"/>
  <c r="L34" i="261" s="1"/>
  <c r="AH34" i="261" s="1"/>
  <c r="C46" i="127"/>
  <c r="L42" i="261"/>
  <c r="AH42" i="261" s="1"/>
  <c r="I24" i="261"/>
  <c r="H48" i="36"/>
  <c r="O73" i="9"/>
  <c r="O58" i="9"/>
  <c r="G36" i="17"/>
  <c r="L36" i="17" s="1"/>
  <c r="T36" i="17" s="1"/>
  <c r="G36" i="261"/>
  <c r="L36" i="261" s="1"/>
  <c r="AH36" i="261" s="1"/>
  <c r="I73" i="9"/>
  <c r="G20" i="17"/>
  <c r="G20" i="261"/>
  <c r="L20" i="261" s="1"/>
  <c r="AH20" i="261" s="1"/>
  <c r="O35" i="98"/>
  <c r="G48" i="17"/>
  <c r="L48" i="17" s="1"/>
  <c r="T48" i="17" s="1"/>
  <c r="G48" i="261"/>
  <c r="L48" i="261" s="1"/>
  <c r="AH48" i="261" s="1"/>
  <c r="D19" i="98"/>
  <c r="D37" i="98"/>
  <c r="D74" i="12"/>
  <c r="G74" i="12" s="1"/>
  <c r="H74" i="261"/>
  <c r="D39" i="99"/>
  <c r="O36" i="98"/>
  <c r="G37" i="17"/>
  <c r="L37" i="17" s="1"/>
  <c r="T37" i="17" s="1"/>
  <c r="G37" i="261"/>
  <c r="L37" i="261" s="1"/>
  <c r="AH37" i="261" s="1"/>
  <c r="G11" i="17"/>
  <c r="L11" i="17" s="1"/>
  <c r="T11" i="17" s="1"/>
  <c r="G11" i="261"/>
  <c r="L11" i="261" s="1"/>
  <c r="AH11" i="261" s="1"/>
  <c r="G24" i="17"/>
  <c r="G24" i="261"/>
  <c r="O17" i="98"/>
  <c r="E64" i="9"/>
  <c r="F64" i="9" s="1"/>
  <c r="J42" i="10"/>
  <c r="O83" i="9"/>
  <c r="L31" i="13"/>
  <c r="F42" i="10"/>
  <c r="F44" i="25"/>
  <c r="D32" i="19"/>
  <c r="G15" i="12"/>
  <c r="N15" i="12" s="1"/>
  <c r="B39" i="12"/>
  <c r="F39" i="12" s="1"/>
  <c r="P39" i="9"/>
  <c r="O39" i="9"/>
  <c r="H39" i="9"/>
  <c r="B16" i="12"/>
  <c r="F16" i="12" s="1"/>
  <c r="P16" i="9"/>
  <c r="O16" i="9"/>
  <c r="H16" i="9"/>
  <c r="G21" i="12"/>
  <c r="N21" i="12" s="1"/>
  <c r="M87" i="13"/>
  <c r="M67" i="13"/>
  <c r="Q55" i="8"/>
  <c r="B19" i="12"/>
  <c r="F19" i="12" s="1"/>
  <c r="O19" i="9"/>
  <c r="P19" i="9"/>
  <c r="H19" i="9"/>
  <c r="Q43" i="140"/>
  <c r="D23" i="98"/>
  <c r="C15" i="12"/>
  <c r="D42" i="99"/>
  <c r="B49" i="10"/>
  <c r="C49" i="19" s="1"/>
  <c r="B49" i="19" s="1"/>
  <c r="B42" i="12"/>
  <c r="O42" i="9"/>
  <c r="P42" i="9"/>
  <c r="H42" i="9"/>
  <c r="J47" i="36"/>
  <c r="J17" i="36"/>
  <c r="B21" i="12"/>
  <c r="O21" i="9"/>
  <c r="P21" i="9"/>
  <c r="H21" i="9"/>
  <c r="J50" i="36"/>
  <c r="B38" i="12"/>
  <c r="F38" i="12" s="1"/>
  <c r="H38" i="9"/>
  <c r="P38" i="9"/>
  <c r="O38" i="9"/>
  <c r="O18" i="98"/>
  <c r="O20" i="98"/>
  <c r="D39" i="98"/>
  <c r="Q81" i="8"/>
  <c r="Q43" i="8"/>
  <c r="Q75" i="8"/>
  <c r="H75" i="8"/>
  <c r="H53" i="8" s="1"/>
  <c r="J53" i="8" s="1"/>
  <c r="P32" i="9"/>
  <c r="B32" i="12"/>
  <c r="F32" i="12" s="1"/>
  <c r="O32" i="9"/>
  <c r="B20" i="12"/>
  <c r="P20" i="9"/>
  <c r="H20" i="9"/>
  <c r="O20" i="9"/>
  <c r="B41" i="10"/>
  <c r="L41" i="9"/>
  <c r="B43" i="12"/>
  <c r="P43" i="9"/>
  <c r="O43" i="9"/>
  <c r="D30" i="12"/>
  <c r="K48" i="36"/>
  <c r="O65" i="9"/>
  <c r="H64" i="9"/>
  <c r="G64" i="25"/>
  <c r="M55" i="8"/>
  <c r="R55" i="8" s="1"/>
  <c r="I88" i="9"/>
  <c r="D74" i="9"/>
  <c r="O74" i="9" s="1"/>
  <c r="C52" i="127"/>
  <c r="Q24" i="8"/>
  <c r="Q50" i="8"/>
  <c r="P17" i="36"/>
  <c r="B40" i="12"/>
  <c r="O40" i="9"/>
  <c r="H40" i="9"/>
  <c r="P40" i="9"/>
  <c r="P12" i="9"/>
  <c r="O12" i="9"/>
  <c r="B12" i="12"/>
  <c r="I12" i="12" s="1"/>
  <c r="H12" i="9"/>
  <c r="G50" i="25"/>
  <c r="I50" i="9"/>
  <c r="H50" i="9"/>
  <c r="M50" i="13"/>
  <c r="Q50" i="9"/>
  <c r="H43" i="9"/>
  <c r="B18" i="12"/>
  <c r="P18" i="9"/>
  <c r="O18" i="9"/>
  <c r="H18" i="9"/>
  <c r="Q52" i="8"/>
  <c r="M50" i="8"/>
  <c r="Q49" i="8"/>
  <c r="J77" i="9"/>
  <c r="B38" i="13"/>
  <c r="K38" i="13" s="1"/>
  <c r="L38" i="13" s="1"/>
  <c r="H38" i="12"/>
  <c r="O38" i="12" s="1"/>
  <c r="I32" i="17"/>
  <c r="Q20" i="8"/>
  <c r="E74" i="116"/>
  <c r="O30" i="9"/>
  <c r="B30" i="12"/>
  <c r="P30" i="9"/>
  <c r="H30" i="9"/>
  <c r="B17" i="12"/>
  <c r="H17" i="9"/>
  <c r="P17" i="9"/>
  <c r="O17" i="9"/>
  <c r="O48" i="36"/>
  <c r="M64" i="13"/>
  <c r="Q27" i="140"/>
  <c r="J47" i="9"/>
  <c r="O23" i="99"/>
  <c r="O37" i="98"/>
  <c r="O16" i="98"/>
  <c r="D29" i="98"/>
  <c r="D44" i="12"/>
  <c r="I75" i="8"/>
  <c r="B51" i="12"/>
  <c r="O51" i="9"/>
  <c r="H51" i="9"/>
  <c r="P51" i="9"/>
  <c r="R47" i="8"/>
  <c r="N47" i="8"/>
  <c r="B24" i="12"/>
  <c r="H24" i="9"/>
  <c r="P24" i="9"/>
  <c r="O24" i="9"/>
  <c r="C10" i="9"/>
  <c r="O10" i="9" s="1"/>
  <c r="B10" i="12"/>
  <c r="P10" i="9"/>
  <c r="H10" i="9"/>
  <c r="M52" i="8"/>
  <c r="M54" i="140" s="1"/>
  <c r="B22" i="13"/>
  <c r="H22" i="12"/>
  <c r="O22" i="12" s="1"/>
  <c r="J22" i="9"/>
  <c r="P22" i="36"/>
  <c r="L22" i="36"/>
  <c r="B13" i="9"/>
  <c r="F13" i="8"/>
  <c r="B13" i="36" s="1"/>
  <c r="G13" i="8"/>
  <c r="B25" i="12"/>
  <c r="H25" i="9"/>
  <c r="P25" i="9"/>
  <c r="O25" i="9"/>
  <c r="K20" i="13"/>
  <c r="L20" i="13" s="1"/>
  <c r="G17" i="12"/>
  <c r="N17" i="12" s="1"/>
  <c r="C17" i="12"/>
  <c r="H32" i="9"/>
  <c r="C24" i="17"/>
  <c r="J71" i="9"/>
  <c r="Q22" i="140"/>
  <c r="B52" i="10"/>
  <c r="L52" i="9"/>
  <c r="C55" i="127"/>
  <c r="B48" i="12"/>
  <c r="P48" i="9"/>
  <c r="H48" i="9"/>
  <c r="O48" i="9"/>
  <c r="B36" i="12"/>
  <c r="H36" i="9"/>
  <c r="O36" i="9"/>
  <c r="P36" i="9"/>
  <c r="F44" i="10"/>
  <c r="K44" i="10" s="1"/>
  <c r="I36" i="12"/>
  <c r="F77" i="10"/>
  <c r="C77" i="10" s="1"/>
  <c r="N77" i="10" s="1"/>
  <c r="J77" i="10"/>
  <c r="P77" i="13" s="1"/>
  <c r="O77" i="13" s="1"/>
  <c r="C77" i="19"/>
  <c r="J46" i="10"/>
  <c r="F46" i="10"/>
  <c r="K46" i="10" s="1"/>
  <c r="C46" i="19"/>
  <c r="B46" i="19" s="1"/>
  <c r="C10" i="19"/>
  <c r="B10" i="19" s="1"/>
  <c r="J10" i="10"/>
  <c r="F10" i="10"/>
  <c r="K10" i="10" s="1"/>
  <c r="P10" i="13"/>
  <c r="O10" i="13" s="1"/>
  <c r="J10" i="13" s="1"/>
  <c r="H87" i="9"/>
  <c r="O39" i="99"/>
  <c r="D15" i="98"/>
  <c r="O39" i="98"/>
  <c r="D18" i="98"/>
  <c r="M48" i="8"/>
  <c r="Q48" i="8"/>
  <c r="F89" i="9"/>
  <c r="K89" i="9"/>
  <c r="R74" i="8"/>
  <c r="N74" i="8"/>
  <c r="C39" i="19"/>
  <c r="B39" i="19" s="1"/>
  <c r="J39" i="10"/>
  <c r="P39" i="13"/>
  <c r="O39" i="13" s="1"/>
  <c r="B35" i="12"/>
  <c r="F35" i="12" s="1"/>
  <c r="P35" i="9"/>
  <c r="H35" i="9"/>
  <c r="O35" i="9"/>
  <c r="I30" i="17"/>
  <c r="J54" i="9"/>
  <c r="C33" i="17"/>
  <c r="M33" i="17" s="1"/>
  <c r="Q54" i="8"/>
  <c r="O82" i="9"/>
  <c r="O71" i="9"/>
  <c r="J84" i="9"/>
  <c r="M71" i="13"/>
  <c r="H88" i="9"/>
  <c r="D102" i="9"/>
  <c r="C102" i="9"/>
  <c r="O14" i="99"/>
  <c r="C48" i="19"/>
  <c r="B48" i="19" s="1"/>
  <c r="J48" i="10"/>
  <c r="B13" i="10"/>
  <c r="C16" i="127"/>
  <c r="B44" i="12"/>
  <c r="P44" i="9"/>
  <c r="H44" i="9"/>
  <c r="O44" i="9"/>
  <c r="D16" i="99"/>
  <c r="D21" i="99"/>
  <c r="B23" i="9"/>
  <c r="F23" i="8"/>
  <c r="B23" i="36" s="1"/>
  <c r="K23" i="8"/>
  <c r="G23" i="8"/>
  <c r="U34" i="13"/>
  <c r="P37" i="13"/>
  <c r="O37" i="13" s="1"/>
  <c r="J37" i="13" s="1"/>
  <c r="F37" i="19" s="1"/>
  <c r="E37" i="19" s="1"/>
  <c r="J37" i="10"/>
  <c r="C37" i="19"/>
  <c r="B37" i="19" s="1"/>
  <c r="F37" i="10"/>
  <c r="K37" i="10" s="1"/>
  <c r="C11" i="19"/>
  <c r="B11" i="19" s="1"/>
  <c r="F11" i="10"/>
  <c r="K11" i="10" s="1"/>
  <c r="J11" i="10"/>
  <c r="P11" i="13"/>
  <c r="O11" i="13" s="1"/>
  <c r="J11" i="13" s="1"/>
  <c r="P14" i="13"/>
  <c r="O14" i="13" s="1"/>
  <c r="J14" i="13" s="1"/>
  <c r="C14" i="19"/>
  <c r="B14" i="19" s="1"/>
  <c r="F14" i="10"/>
  <c r="K14" i="10" s="1"/>
  <c r="J14" i="10"/>
  <c r="J78" i="9"/>
  <c r="C34" i="19"/>
  <c r="B34" i="19" s="1"/>
  <c r="J34" i="10"/>
  <c r="P34" i="13"/>
  <c r="F34" i="10"/>
  <c r="K34" i="10" s="1"/>
  <c r="O25" i="98"/>
  <c r="O11" i="98"/>
  <c r="C24" i="19"/>
  <c r="B24" i="19" s="1"/>
  <c r="F24" i="10"/>
  <c r="K24" i="10" s="1"/>
  <c r="P24" i="13"/>
  <c r="J24" i="10"/>
  <c r="Q44" i="8"/>
  <c r="Q31" i="8"/>
  <c r="J56" i="9"/>
  <c r="I28" i="8"/>
  <c r="L28" i="8" s="1"/>
  <c r="K28" i="8"/>
  <c r="F38" i="19"/>
  <c r="E38" i="19" s="1"/>
  <c r="J48" i="36"/>
  <c r="Q26" i="140"/>
  <c r="Q37" i="140"/>
  <c r="Q14" i="140"/>
  <c r="O81" i="9"/>
  <c r="O88" i="9"/>
  <c r="J26" i="36"/>
  <c r="Q21" i="140"/>
  <c r="M88" i="13"/>
  <c r="E102" i="9"/>
  <c r="E51" i="9" s="1"/>
  <c r="C31" i="19"/>
  <c r="B31" i="19" s="1"/>
  <c r="P31" i="13"/>
  <c r="J31" i="10"/>
  <c r="J52" i="9"/>
  <c r="K44" i="12"/>
  <c r="O44" i="25"/>
  <c r="P52" i="36"/>
  <c r="L52" i="36"/>
  <c r="I89" i="8"/>
  <c r="L89" i="8" s="1"/>
  <c r="E53" i="8"/>
  <c r="F89" i="8"/>
  <c r="K89" i="8"/>
  <c r="O29" i="98"/>
  <c r="I34" i="12"/>
  <c r="B26" i="17"/>
  <c r="F26" i="17" s="1"/>
  <c r="L26" i="19"/>
  <c r="B38" i="17"/>
  <c r="L38" i="19"/>
  <c r="F14" i="8"/>
  <c r="B14" i="36" s="1"/>
  <c r="C61" i="36" s="1"/>
  <c r="G14" i="8"/>
  <c r="B26" i="12"/>
  <c r="H26" i="9"/>
  <c r="O26" i="9"/>
  <c r="P26" i="9"/>
  <c r="G57" i="13"/>
  <c r="C57" i="24"/>
  <c r="C57" i="14"/>
  <c r="D57" i="14" s="1"/>
  <c r="S57" i="21"/>
  <c r="G75" i="13"/>
  <c r="C75" i="24"/>
  <c r="C75" i="14"/>
  <c r="D75" i="14" s="1"/>
  <c r="S75" i="21"/>
  <c r="K58" i="59"/>
  <c r="E64" i="60"/>
  <c r="Q29" i="60"/>
  <c r="P48" i="36"/>
  <c r="O14" i="60"/>
  <c r="O12" i="257"/>
  <c r="G9" i="36"/>
  <c r="G85" i="25"/>
  <c r="F85" i="9"/>
  <c r="I85" i="9"/>
  <c r="N86" i="8"/>
  <c r="J75" i="12"/>
  <c r="N66" i="8"/>
  <c r="N64" i="8"/>
  <c r="B59" i="25"/>
  <c r="D59" i="12"/>
  <c r="G59" i="12" s="1"/>
  <c r="E59" i="116"/>
  <c r="H59" i="17"/>
  <c r="D59" i="9"/>
  <c r="O59" i="9" s="1"/>
  <c r="B31" i="12"/>
  <c r="P31" i="9"/>
  <c r="O31" i="9"/>
  <c r="H31" i="9"/>
  <c r="G89" i="13"/>
  <c r="F89" i="13" s="1"/>
  <c r="C89" i="14"/>
  <c r="D89" i="14" s="1"/>
  <c r="S89" i="21"/>
  <c r="O27" i="60"/>
  <c r="O25" i="257"/>
  <c r="O15" i="60"/>
  <c r="O13" i="257"/>
  <c r="C46" i="60"/>
  <c r="P46" i="60"/>
  <c r="J62" i="12"/>
  <c r="C62" i="12"/>
  <c r="J68" i="12"/>
  <c r="G63" i="25"/>
  <c r="I63" i="9"/>
  <c r="F67" i="21"/>
  <c r="D67" i="21" s="1"/>
  <c r="B67" i="24"/>
  <c r="H67" i="24" s="1"/>
  <c r="B67" i="14"/>
  <c r="U67" i="21" s="1"/>
  <c r="H83" i="60"/>
  <c r="Q83" i="60" s="1"/>
  <c r="C48" i="60"/>
  <c r="P48" i="60"/>
  <c r="P17" i="140"/>
  <c r="N17" i="140"/>
  <c r="O17" i="140"/>
  <c r="E49" i="140"/>
  <c r="J80" i="12"/>
  <c r="O61" i="9"/>
  <c r="N62" i="8"/>
  <c r="N60" i="8"/>
  <c r="C29" i="17"/>
  <c r="B47" i="10"/>
  <c r="L47" i="9"/>
  <c r="C50" i="127"/>
  <c r="Q11" i="8"/>
  <c r="O33" i="60"/>
  <c r="O31" i="257"/>
  <c r="L37" i="257"/>
  <c r="M39" i="140"/>
  <c r="O39" i="60"/>
  <c r="O37" i="257"/>
  <c r="L42" i="257"/>
  <c r="M44" i="140"/>
  <c r="H80" i="9"/>
  <c r="N61" i="8"/>
  <c r="M75" i="13"/>
  <c r="N75" i="8"/>
  <c r="J84" i="12"/>
  <c r="F84" i="21"/>
  <c r="D84" i="21" s="1"/>
  <c r="S84" i="21" s="1"/>
  <c r="G86" i="60"/>
  <c r="V84" i="21" s="1"/>
  <c r="B84" i="14"/>
  <c r="U84" i="21" s="1"/>
  <c r="B84" i="24"/>
  <c r="H84" i="24" s="1"/>
  <c r="G12" i="23"/>
  <c r="G32" i="19"/>
  <c r="E32" i="19" s="1"/>
  <c r="S32" i="23"/>
  <c r="G35" i="23"/>
  <c r="G36" i="23"/>
  <c r="G39" i="23"/>
  <c r="H65" i="9"/>
  <c r="N65" i="8"/>
  <c r="N58" i="8"/>
  <c r="AD33" i="98"/>
  <c r="AD41" i="98"/>
  <c r="AD49" i="98"/>
  <c r="AD12" i="99"/>
  <c r="AD22" i="99"/>
  <c r="AD32" i="99"/>
  <c r="AD46" i="99"/>
  <c r="AD26" i="99"/>
  <c r="H79" i="9"/>
  <c r="H76" i="9"/>
  <c r="H61" i="13"/>
  <c r="T61" i="21"/>
  <c r="F61" i="24"/>
  <c r="C61" i="15"/>
  <c r="G81" i="13"/>
  <c r="C81" i="14"/>
  <c r="D81" i="14" s="1"/>
  <c r="C81" i="24"/>
  <c r="P32" i="140"/>
  <c r="O32" i="140"/>
  <c r="N32" i="140"/>
  <c r="O43" i="257"/>
  <c r="O45" i="60"/>
  <c r="P21" i="140"/>
  <c r="O21" i="140"/>
  <c r="N21" i="140"/>
  <c r="P44" i="60"/>
  <c r="C44" i="60"/>
  <c r="G41" i="12"/>
  <c r="N41" i="12" s="1"/>
  <c r="J41" i="12"/>
  <c r="N88" i="8"/>
  <c r="F90" i="21"/>
  <c r="D90" i="21" s="1"/>
  <c r="G90" i="13" s="1"/>
  <c r="F80" i="21"/>
  <c r="D80" i="21" s="1"/>
  <c r="S80" i="21" s="1"/>
  <c r="G82" i="60"/>
  <c r="V80" i="21" s="1"/>
  <c r="B80" i="14"/>
  <c r="U80" i="21" s="1"/>
  <c r="B80" i="24"/>
  <c r="H80" i="24" s="1"/>
  <c r="H55" i="13"/>
  <c r="H75" i="24"/>
  <c r="V70" i="21"/>
  <c r="G33" i="12"/>
  <c r="N33" i="12" s="1"/>
  <c r="J33" i="12"/>
  <c r="F63" i="21"/>
  <c r="D63" i="21" s="1"/>
  <c r="G65" i="60"/>
  <c r="E65" i="60" s="1"/>
  <c r="C65" i="60" s="1"/>
  <c r="O63" i="257" s="1"/>
  <c r="Q63" i="257" s="1"/>
  <c r="B63" i="14"/>
  <c r="U63" i="21" s="1"/>
  <c r="L43" i="257"/>
  <c r="M45" i="140"/>
  <c r="F68" i="21"/>
  <c r="D68" i="21" s="1"/>
  <c r="B68" i="24"/>
  <c r="H68" i="24" s="1"/>
  <c r="B68" i="14"/>
  <c r="U68" i="21" s="1"/>
  <c r="G70" i="60"/>
  <c r="E70" i="60" s="1"/>
  <c r="C70" i="60" s="1"/>
  <c r="O68" i="257" s="1"/>
  <c r="Q68" i="257" s="1"/>
  <c r="P12" i="60"/>
  <c r="C12" i="60"/>
  <c r="E11" i="60"/>
  <c r="B6" i="174"/>
  <c r="N30" i="140"/>
  <c r="P30" i="140"/>
  <c r="O30" i="140"/>
  <c r="O26" i="60"/>
  <c r="O24" i="257"/>
  <c r="O42" i="60"/>
  <c r="O40" i="257"/>
  <c r="O35" i="60"/>
  <c r="O33" i="257"/>
  <c r="C6" i="174"/>
  <c r="K14" i="8"/>
  <c r="H14" i="8"/>
  <c r="I14" i="8" s="1"/>
  <c r="D9" i="8"/>
  <c r="L44" i="257"/>
  <c r="M46" i="140"/>
  <c r="H42" i="36"/>
  <c r="N48" i="10"/>
  <c r="N31" i="10"/>
  <c r="L13" i="257"/>
  <c r="M15" i="140"/>
  <c r="N73" i="12"/>
  <c r="J73" i="12"/>
  <c r="G75" i="12"/>
  <c r="N75" i="12" s="1"/>
  <c r="D30" i="19"/>
  <c r="J56" i="12"/>
  <c r="N56" i="12"/>
  <c r="M26" i="17"/>
  <c r="I53" i="59"/>
  <c r="I220" i="59" s="1"/>
  <c r="K54" i="59"/>
  <c r="C54" i="21"/>
  <c r="B72" i="10"/>
  <c r="L72" i="9"/>
  <c r="G61" i="25"/>
  <c r="I61" i="9"/>
  <c r="P15" i="13"/>
  <c r="O15" i="13" s="1"/>
  <c r="C15" i="19"/>
  <c r="J15" i="10"/>
  <c r="F15" i="10"/>
  <c r="K15" i="10" s="1"/>
  <c r="G88" i="13"/>
  <c r="S88" i="21"/>
  <c r="C88" i="14"/>
  <c r="D88" i="14" s="1"/>
  <c r="C88" i="24"/>
  <c r="F59" i="21"/>
  <c r="D59" i="21" s="1"/>
  <c r="B59" i="24"/>
  <c r="H59" i="24" s="1"/>
  <c r="B59" i="14"/>
  <c r="U59" i="21" s="1"/>
  <c r="O50" i="257"/>
  <c r="O52" i="60"/>
  <c r="P28" i="140"/>
  <c r="N28" i="140"/>
  <c r="O28" i="140"/>
  <c r="O68" i="9"/>
  <c r="G68" i="12"/>
  <c r="N68" i="12" s="1"/>
  <c r="C36" i="19"/>
  <c r="B36" i="19" s="1"/>
  <c r="F36" i="10"/>
  <c r="K36" i="10" s="1"/>
  <c r="J36" i="10"/>
  <c r="P36" i="13"/>
  <c r="O36" i="13" s="1"/>
  <c r="G87" i="25"/>
  <c r="I87" i="9"/>
  <c r="K87" i="9"/>
  <c r="G57" i="25"/>
  <c r="I57" i="9"/>
  <c r="Q29" i="8"/>
  <c r="E79" i="60"/>
  <c r="O90" i="60"/>
  <c r="O88" i="257"/>
  <c r="Q88" i="257" s="1"/>
  <c r="T47" i="21"/>
  <c r="G80" i="12"/>
  <c r="N80" i="12" s="1"/>
  <c r="R62" i="8"/>
  <c r="C53" i="9"/>
  <c r="N79" i="12"/>
  <c r="J79" i="12"/>
  <c r="R60" i="8"/>
  <c r="G82" i="25"/>
  <c r="I82" i="9"/>
  <c r="C20" i="19"/>
  <c r="B20" i="19" s="1"/>
  <c r="J20" i="10"/>
  <c r="F20" i="10"/>
  <c r="K20" i="10" s="1"/>
  <c r="P20" i="13"/>
  <c r="J71" i="12"/>
  <c r="N71" i="12"/>
  <c r="Q45" i="9"/>
  <c r="I45" i="9"/>
  <c r="J45" i="9" s="1"/>
  <c r="M45" i="13"/>
  <c r="B11" i="12"/>
  <c r="O11" i="9"/>
  <c r="H11" i="9"/>
  <c r="P11" i="9"/>
  <c r="C101" i="9"/>
  <c r="O34" i="60"/>
  <c r="O32" i="257"/>
  <c r="Q17" i="8"/>
  <c r="L10" i="257"/>
  <c r="M12" i="140"/>
  <c r="P26" i="36"/>
  <c r="D50" i="140"/>
  <c r="C50" i="140" s="1"/>
  <c r="B50" i="140" s="1"/>
  <c r="H50" i="60"/>
  <c r="H61" i="9"/>
  <c r="J86" i="12"/>
  <c r="N86" i="12"/>
  <c r="R75" i="8"/>
  <c r="N66" i="12"/>
  <c r="J66" i="12"/>
  <c r="M82" i="13"/>
  <c r="N71" i="8"/>
  <c r="H68" i="13"/>
  <c r="F68" i="24"/>
  <c r="T68" i="21"/>
  <c r="C68" i="15"/>
  <c r="I53" i="116"/>
  <c r="H88" i="13"/>
  <c r="E90" i="140"/>
  <c r="H90" i="60"/>
  <c r="T88" i="21"/>
  <c r="C88" i="15"/>
  <c r="F88" i="24"/>
  <c r="H82" i="21"/>
  <c r="H85" i="21"/>
  <c r="E91" i="140"/>
  <c r="I66" i="17"/>
  <c r="H66" i="21"/>
  <c r="J90" i="21"/>
  <c r="J91" i="21" s="1"/>
  <c r="N70" i="12"/>
  <c r="J70" i="12"/>
  <c r="AD32" i="98"/>
  <c r="AD12" i="98"/>
  <c r="AD13" i="98"/>
  <c r="AD46" i="98"/>
  <c r="AD30" i="98"/>
  <c r="AD49" i="99"/>
  <c r="AG47" i="99"/>
  <c r="AD47" i="99"/>
  <c r="AG48" i="99"/>
  <c r="AD48" i="99"/>
  <c r="AD13" i="99"/>
  <c r="G67" i="25"/>
  <c r="F67" i="9"/>
  <c r="I67" i="9"/>
  <c r="K67" i="9"/>
  <c r="S81" i="21"/>
  <c r="I81" i="13"/>
  <c r="M81" i="14"/>
  <c r="O25" i="60"/>
  <c r="O23" i="257"/>
  <c r="Q54" i="60"/>
  <c r="N38" i="10"/>
  <c r="C41" i="17"/>
  <c r="J57" i="12"/>
  <c r="N57" i="12"/>
  <c r="N68" i="8"/>
  <c r="I84" i="17"/>
  <c r="H65" i="21"/>
  <c r="E57" i="60"/>
  <c r="E45" i="8"/>
  <c r="K46" i="8"/>
  <c r="F46" i="8"/>
  <c r="H72" i="21"/>
  <c r="F60" i="21"/>
  <c r="D60" i="21" s="1"/>
  <c r="S60" i="21" s="1"/>
  <c r="G62" i="60"/>
  <c r="B60" i="24"/>
  <c r="H60" i="24" s="1"/>
  <c r="B60" i="14"/>
  <c r="U60" i="21" s="1"/>
  <c r="F61" i="21"/>
  <c r="B61" i="24"/>
  <c r="H61" i="24" s="1"/>
  <c r="G63" i="60"/>
  <c r="V61" i="21" s="1"/>
  <c r="B61" i="14"/>
  <c r="U61" i="21" s="1"/>
  <c r="F78" i="21"/>
  <c r="D78" i="21" s="1"/>
  <c r="G80" i="60"/>
  <c r="E80" i="60" s="1"/>
  <c r="C80" i="60" s="1"/>
  <c r="O78" i="257" s="1"/>
  <c r="Q78" i="257" s="1"/>
  <c r="B78" i="24"/>
  <c r="H78" i="24" s="1"/>
  <c r="B78" i="14"/>
  <c r="U78" i="21" s="1"/>
  <c r="F83" i="21"/>
  <c r="D83" i="21" s="1"/>
  <c r="B83" i="24"/>
  <c r="H83" i="24" s="1"/>
  <c r="B83" i="14"/>
  <c r="U83" i="21" s="1"/>
  <c r="P22" i="140"/>
  <c r="N22" i="140"/>
  <c r="O22" i="140"/>
  <c r="L33" i="257"/>
  <c r="G75" i="25"/>
  <c r="I75" i="9"/>
  <c r="J58" i="12"/>
  <c r="N84" i="8"/>
  <c r="F85" i="21"/>
  <c r="D85" i="21" s="1"/>
  <c r="B85" i="24"/>
  <c r="H85" i="24" s="1"/>
  <c r="B85" i="14"/>
  <c r="U85" i="21" s="1"/>
  <c r="N87" i="8"/>
  <c r="G68" i="25"/>
  <c r="I68" i="9"/>
  <c r="F62" i="21"/>
  <c r="B62" i="14"/>
  <c r="U62" i="21" s="1"/>
  <c r="B62" i="24"/>
  <c r="H62" i="24" s="1"/>
  <c r="F76" i="21"/>
  <c r="B76" i="24"/>
  <c r="H76" i="24" s="1"/>
  <c r="B76" i="14"/>
  <c r="U76" i="21" s="1"/>
  <c r="P30" i="60"/>
  <c r="C30" i="60"/>
  <c r="E33" i="12"/>
  <c r="C33" i="12" s="1"/>
  <c r="I33" i="12" s="1"/>
  <c r="U33" i="13"/>
  <c r="D41" i="140"/>
  <c r="C41" i="140" s="1"/>
  <c r="B41" i="140" s="1"/>
  <c r="H41" i="60"/>
  <c r="D51" i="140"/>
  <c r="C51" i="140" s="1"/>
  <c r="B51" i="140" s="1"/>
  <c r="H51" i="60"/>
  <c r="P14" i="140"/>
  <c r="N14" i="140"/>
  <c r="O14" i="140"/>
  <c r="H85" i="9"/>
  <c r="N85" i="8"/>
  <c r="G81" i="25"/>
  <c r="I81" i="9"/>
  <c r="B29" i="12"/>
  <c r="O29" i="9"/>
  <c r="P29" i="9"/>
  <c r="H29" i="9"/>
  <c r="F47" i="24"/>
  <c r="I47" i="24" s="1"/>
  <c r="O80" i="9"/>
  <c r="J55" i="12"/>
  <c r="N55" i="12"/>
  <c r="G79" i="25"/>
  <c r="I79" i="9"/>
  <c r="O50" i="60"/>
  <c r="O48" i="257"/>
  <c r="L18" i="257"/>
  <c r="M20" i="140"/>
  <c r="N80" i="8"/>
  <c r="R61" i="8"/>
  <c r="H75" i="9"/>
  <c r="J64" i="12"/>
  <c r="G70" i="25"/>
  <c r="I70" i="9"/>
  <c r="C19" i="19"/>
  <c r="B19" i="19" s="1"/>
  <c r="J19" i="10"/>
  <c r="F19" i="10"/>
  <c r="K19" i="10" s="1"/>
  <c r="P19" i="13"/>
  <c r="O19" i="13" s="1"/>
  <c r="G28" i="8"/>
  <c r="M63" i="13"/>
  <c r="N63" i="8"/>
  <c r="N54" i="8"/>
  <c r="E84" i="60"/>
  <c r="G87" i="60"/>
  <c r="V85" i="21" s="1"/>
  <c r="H59" i="13"/>
  <c r="C59" i="15"/>
  <c r="F59" i="24"/>
  <c r="F226" i="59"/>
  <c r="F227" i="59" s="1"/>
  <c r="O70" i="9"/>
  <c r="AD48" i="98"/>
  <c r="AG48" i="98"/>
  <c r="AD50" i="98"/>
  <c r="AD26" i="98"/>
  <c r="AG24" i="98"/>
  <c r="AD24" i="98"/>
  <c r="AB9" i="98"/>
  <c r="AA90" i="98"/>
  <c r="AD45" i="98"/>
  <c r="AD27" i="98"/>
  <c r="AD27" i="99"/>
  <c r="AG89" i="99"/>
  <c r="AD89" i="99"/>
  <c r="AD24" i="99"/>
  <c r="AG24" i="99"/>
  <c r="AD33" i="99"/>
  <c r="AB9" i="99"/>
  <c r="AA90" i="99"/>
  <c r="N76" i="8"/>
  <c r="I87" i="13"/>
  <c r="M87" i="14"/>
  <c r="I57" i="13"/>
  <c r="M57" i="14"/>
  <c r="V83" i="21"/>
  <c r="G78" i="60"/>
  <c r="O51" i="257"/>
  <c r="O53" i="60"/>
  <c r="C19" i="60"/>
  <c r="P19" i="60"/>
  <c r="O57" i="9"/>
  <c r="J63" i="12"/>
  <c r="N63" i="12"/>
  <c r="I75" i="13"/>
  <c r="M75" i="14"/>
  <c r="G91" i="21"/>
  <c r="H62" i="13"/>
  <c r="F62" i="24"/>
  <c r="C62" i="15"/>
  <c r="F72" i="21"/>
  <c r="B72" i="14"/>
  <c r="U72" i="21" s="1"/>
  <c r="B72" i="24"/>
  <c r="H72" i="24" s="1"/>
  <c r="C71" i="15"/>
  <c r="H71" i="13"/>
  <c r="F71" i="24"/>
  <c r="G69" i="60"/>
  <c r="V67" i="21" s="1"/>
  <c r="H67" i="13"/>
  <c r="C67" i="15"/>
  <c r="F67" i="24"/>
  <c r="F56" i="21"/>
  <c r="D56" i="21" s="1"/>
  <c r="S56" i="21" s="1"/>
  <c r="G58" i="60"/>
  <c r="V56" i="21" s="1"/>
  <c r="B56" i="24"/>
  <c r="H56" i="24" s="1"/>
  <c r="B56" i="14"/>
  <c r="U56" i="21" s="1"/>
  <c r="G74" i="60"/>
  <c r="F69" i="21"/>
  <c r="B69" i="24"/>
  <c r="H69" i="24" s="1"/>
  <c r="G71" i="60"/>
  <c r="V69" i="21" s="1"/>
  <c r="B69" i="14"/>
  <c r="U69" i="21" s="1"/>
  <c r="H57" i="24"/>
  <c r="F71" i="21"/>
  <c r="D71" i="21" s="1"/>
  <c r="S71" i="21" s="1"/>
  <c r="B71" i="14"/>
  <c r="U71" i="21" s="1"/>
  <c r="B71" i="24"/>
  <c r="H71" i="24" s="1"/>
  <c r="F64" i="21"/>
  <c r="D64" i="21" s="1"/>
  <c r="S64" i="21" s="1"/>
  <c r="B64" i="14"/>
  <c r="U64" i="21" s="1"/>
  <c r="B64" i="24"/>
  <c r="H64" i="24" s="1"/>
  <c r="N85" i="140"/>
  <c r="Q85" i="140"/>
  <c r="P85" i="140"/>
  <c r="G65" i="13"/>
  <c r="C65" i="14"/>
  <c r="D65" i="14" s="1"/>
  <c r="C65" i="24"/>
  <c r="O26" i="140"/>
  <c r="P26" i="140"/>
  <c r="N26" i="140"/>
  <c r="L34" i="257"/>
  <c r="M36" i="140"/>
  <c r="P37" i="140"/>
  <c r="N37" i="140"/>
  <c r="O37" i="140"/>
  <c r="L27" i="257"/>
  <c r="M29" i="140"/>
  <c r="H33" i="36"/>
  <c r="Q30" i="140"/>
  <c r="P36" i="60"/>
  <c r="C36" i="60"/>
  <c r="Q35" i="60"/>
  <c r="N85" i="12"/>
  <c r="J85" i="12"/>
  <c r="N65" i="12"/>
  <c r="J65" i="12"/>
  <c r="G58" i="12"/>
  <c r="N58" i="12" s="1"/>
  <c r="G65" i="25"/>
  <c r="F65" i="9"/>
  <c r="I65" i="9"/>
  <c r="K65" i="9"/>
  <c r="G76" i="25"/>
  <c r="I76" i="9"/>
  <c r="D45" i="8"/>
  <c r="H46" i="8"/>
  <c r="I46" i="8" s="1"/>
  <c r="O76" i="9"/>
  <c r="J67" i="12"/>
  <c r="N67" i="12"/>
  <c r="G80" i="25"/>
  <c r="I80" i="9"/>
  <c r="F39" i="13"/>
  <c r="C39" i="24"/>
  <c r="I39" i="24" s="1"/>
  <c r="S39" i="21"/>
  <c r="O29" i="257"/>
  <c r="O31" i="60"/>
  <c r="O28" i="60"/>
  <c r="O26" i="257"/>
  <c r="P20" i="60"/>
  <c r="C20" i="60"/>
  <c r="C91" i="100"/>
  <c r="H94" i="126" s="1"/>
  <c r="L33" i="13"/>
  <c r="N39" i="10"/>
  <c r="H9" i="257"/>
  <c r="M85" i="13"/>
  <c r="G62" i="12"/>
  <c r="N62" i="12" s="1"/>
  <c r="N56" i="8"/>
  <c r="C90" i="8"/>
  <c r="C91" i="8" s="1"/>
  <c r="C96" i="8" s="1"/>
  <c r="B91" i="8"/>
  <c r="I90" i="257"/>
  <c r="C21" i="19"/>
  <c r="B21" i="19" s="1"/>
  <c r="F21" i="10"/>
  <c r="K21" i="10" s="1"/>
  <c r="J21" i="10"/>
  <c r="P21" i="13"/>
  <c r="O21" i="13" s="1"/>
  <c r="J87" i="12"/>
  <c r="N87" i="12"/>
  <c r="F70" i="21"/>
  <c r="B70" i="14"/>
  <c r="U70" i="21" s="1"/>
  <c r="B70" i="24"/>
  <c r="H70" i="24" s="1"/>
  <c r="H77" i="21"/>
  <c r="E83" i="60"/>
  <c r="O20" i="257"/>
  <c r="O22" i="60"/>
  <c r="P27" i="140"/>
  <c r="O27" i="140"/>
  <c r="N27" i="140"/>
  <c r="P43" i="140"/>
  <c r="O43" i="140"/>
  <c r="N43" i="140"/>
  <c r="P23" i="140"/>
  <c r="N23" i="140"/>
  <c r="O23" i="140"/>
  <c r="J61" i="12"/>
  <c r="N61" i="12"/>
  <c r="M81" i="13"/>
  <c r="O79" i="9"/>
  <c r="F17" i="10"/>
  <c r="K17" i="10" s="1"/>
  <c r="R80" i="8"/>
  <c r="N69" i="8"/>
  <c r="H57" i="9"/>
  <c r="G84" i="12"/>
  <c r="N84" i="12" s="1"/>
  <c r="G64" i="12"/>
  <c r="N64" i="12" s="1"/>
  <c r="H63" i="9"/>
  <c r="P16" i="13"/>
  <c r="O16" i="13" s="1"/>
  <c r="C16" i="19"/>
  <c r="B16" i="19" s="1"/>
  <c r="J16" i="10"/>
  <c r="F16" i="10"/>
  <c r="K16" i="10" s="1"/>
  <c r="K33" i="8"/>
  <c r="G33" i="8"/>
  <c r="P33" i="8" s="1"/>
  <c r="I33" i="8"/>
  <c r="L33" i="8" s="1"/>
  <c r="R54" i="8"/>
  <c r="G101" i="9"/>
  <c r="H91" i="60"/>
  <c r="G61" i="60"/>
  <c r="V59" i="21" s="1"/>
  <c r="H64" i="21"/>
  <c r="R65" i="8"/>
  <c r="R58" i="8"/>
  <c r="AD47" i="98"/>
  <c r="AG47" i="98"/>
  <c r="AD22" i="98"/>
  <c r="AG89" i="98"/>
  <c r="AD89" i="98"/>
  <c r="AD51" i="98"/>
  <c r="AD41" i="99"/>
  <c r="AD45" i="99"/>
  <c r="AD51" i="99"/>
  <c r="AD50" i="99"/>
  <c r="AD30" i="99"/>
  <c r="M81" i="140"/>
  <c r="N79" i="8"/>
  <c r="N60" i="12"/>
  <c r="J60" i="12"/>
  <c r="R76" i="8"/>
  <c r="H67" i="9"/>
  <c r="N67" i="8"/>
  <c r="V87" i="21"/>
  <c r="D87" i="21"/>
  <c r="E39" i="13"/>
  <c r="T39" i="13" s="1"/>
  <c r="H83" i="21"/>
  <c r="Q32" i="140"/>
  <c r="L52" i="257"/>
  <c r="Q17" i="140"/>
  <c r="P47" i="36"/>
  <c r="N69" i="12"/>
  <c r="J69" i="12"/>
  <c r="M70" i="13"/>
  <c r="N70" i="8"/>
  <c r="R88" i="8"/>
  <c r="M68" i="13"/>
  <c r="O63" i="9"/>
  <c r="V55" i="21"/>
  <c r="V62" i="21"/>
  <c r="I45" i="13"/>
  <c r="E59" i="60"/>
  <c r="F86" i="21"/>
  <c r="B86" i="24"/>
  <c r="H86" i="24" s="1"/>
  <c r="B86" i="14"/>
  <c r="U86" i="21" s="1"/>
  <c r="G88" i="60"/>
  <c r="V86" i="21" s="1"/>
  <c r="F73" i="21"/>
  <c r="D73" i="21" s="1"/>
  <c r="B73" i="14"/>
  <c r="U73" i="21" s="1"/>
  <c r="G75" i="60"/>
  <c r="E75" i="60" s="1"/>
  <c r="C75" i="60" s="1"/>
  <c r="O73" i="257" s="1"/>
  <c r="Q73" i="257" s="1"/>
  <c r="B73" i="24"/>
  <c r="H73" i="24" s="1"/>
  <c r="S65" i="21"/>
  <c r="I65" i="13"/>
  <c r="M65" i="14"/>
  <c r="G43" i="261" l="1"/>
  <c r="L43" i="261" s="1"/>
  <c r="AH43" i="261" s="1"/>
  <c r="J66" i="9"/>
  <c r="R82" i="8"/>
  <c r="B29" i="17"/>
  <c r="B28" i="17"/>
  <c r="L29" i="19"/>
  <c r="J86" i="9"/>
  <c r="F40" i="13"/>
  <c r="G40" i="19"/>
  <c r="B40" i="23"/>
  <c r="R40" i="23" s="1"/>
  <c r="G40" i="13"/>
  <c r="T70" i="21"/>
  <c r="E77" i="140"/>
  <c r="F66" i="21"/>
  <c r="K75" i="9"/>
  <c r="C70" i="15"/>
  <c r="T76" i="21"/>
  <c r="C76" i="15"/>
  <c r="J40" i="10"/>
  <c r="F32" i="10"/>
  <c r="K32" i="10" s="1"/>
  <c r="B30" i="13"/>
  <c r="J30" i="13" s="1"/>
  <c r="F30" i="19" s="1"/>
  <c r="E30" i="19" s="1"/>
  <c r="J55" i="9"/>
  <c r="G29" i="261"/>
  <c r="L29" i="261" s="1"/>
  <c r="AH29" i="261" s="1"/>
  <c r="G12" i="261"/>
  <c r="I226" i="59"/>
  <c r="L226" i="59" s="1"/>
  <c r="M65" i="59" s="1"/>
  <c r="D65" i="19" s="1"/>
  <c r="H77" i="60"/>
  <c r="B66" i="14"/>
  <c r="U66" i="21" s="1"/>
  <c r="F70" i="24"/>
  <c r="F76" i="24"/>
  <c r="R77" i="8"/>
  <c r="G68" i="60"/>
  <c r="V66" i="21" s="1"/>
  <c r="F55" i="24"/>
  <c r="K29" i="19"/>
  <c r="C32" i="19"/>
  <c r="J83" i="9"/>
  <c r="T54" i="21"/>
  <c r="F54" i="24"/>
  <c r="H54" i="13"/>
  <c r="C54" i="15"/>
  <c r="F36" i="13"/>
  <c r="B36" i="23"/>
  <c r="R36" i="23" s="1"/>
  <c r="G36" i="13"/>
  <c r="H36" i="13" s="1"/>
  <c r="J73" i="9"/>
  <c r="C43" i="19"/>
  <c r="B43" i="19" s="1"/>
  <c r="J60" i="9"/>
  <c r="J32" i="10"/>
  <c r="F36" i="12"/>
  <c r="C55" i="15"/>
  <c r="Q10" i="8"/>
  <c r="H58" i="13"/>
  <c r="F58" i="24"/>
  <c r="C58" i="15"/>
  <c r="T58" i="21"/>
  <c r="J69" i="9"/>
  <c r="B12" i="23"/>
  <c r="R12" i="23" s="1"/>
  <c r="G12" i="13"/>
  <c r="F12" i="13"/>
  <c r="F9" i="13" s="1"/>
  <c r="G77" i="17"/>
  <c r="Q13" i="8"/>
  <c r="J62" i="9"/>
  <c r="E83" i="140"/>
  <c r="H81" i="13"/>
  <c r="L32" i="261"/>
  <c r="AH32" i="261" s="1"/>
  <c r="C81" i="15"/>
  <c r="F81" i="24"/>
  <c r="I81" i="24" s="1"/>
  <c r="G49" i="261"/>
  <c r="L49" i="261" s="1"/>
  <c r="AH49" i="261" s="1"/>
  <c r="J17" i="10"/>
  <c r="C17" i="19"/>
  <c r="B17" i="19" s="1"/>
  <c r="P18" i="13"/>
  <c r="O18" i="13" s="1"/>
  <c r="J18" i="13" s="1"/>
  <c r="F21" i="12"/>
  <c r="J18" i="10"/>
  <c r="C10" i="36"/>
  <c r="O10" i="36" s="1"/>
  <c r="N73" i="8"/>
  <c r="F18" i="10"/>
  <c r="K18" i="10" s="1"/>
  <c r="K57" i="9"/>
  <c r="F26" i="12"/>
  <c r="J44" i="10"/>
  <c r="L28" i="19"/>
  <c r="P44" i="13"/>
  <c r="O44" i="13" s="1"/>
  <c r="G18" i="261"/>
  <c r="L18" i="261" s="1"/>
  <c r="AH18" i="261" s="1"/>
  <c r="G44" i="261"/>
  <c r="L44" i="261" s="1"/>
  <c r="AH44" i="261" s="1"/>
  <c r="N72" i="8"/>
  <c r="F20" i="12"/>
  <c r="N26" i="10"/>
  <c r="N42" i="140"/>
  <c r="P42" i="140"/>
  <c r="O42" i="140"/>
  <c r="Q42" i="140"/>
  <c r="L35" i="19"/>
  <c r="F79" i="9"/>
  <c r="B79" i="10" s="1"/>
  <c r="C23" i="9"/>
  <c r="H23" i="268" s="1"/>
  <c r="E53" i="116"/>
  <c r="C74" i="15"/>
  <c r="F57" i="24"/>
  <c r="N57" i="8"/>
  <c r="K68" i="9"/>
  <c r="P40" i="13"/>
  <c r="O40" i="13" s="1"/>
  <c r="J40" i="13" s="1"/>
  <c r="F40" i="19" s="1"/>
  <c r="E40" i="19" s="1"/>
  <c r="I12" i="19"/>
  <c r="C40" i="19"/>
  <c r="B40" i="19" s="1"/>
  <c r="U24" i="13"/>
  <c r="P45" i="9"/>
  <c r="K70" i="9"/>
  <c r="H45" i="9"/>
  <c r="J30" i="10"/>
  <c r="N30" i="10"/>
  <c r="P30" i="13"/>
  <c r="N29" i="10"/>
  <c r="K64" i="9"/>
  <c r="J12" i="13"/>
  <c r="K12" i="13" s="1"/>
  <c r="U12" i="13" s="1"/>
  <c r="C30" i="19"/>
  <c r="H57" i="13"/>
  <c r="B35" i="17"/>
  <c r="F24" i="12"/>
  <c r="E59" i="140"/>
  <c r="C75" i="15"/>
  <c r="H41" i="12"/>
  <c r="O41" i="12" s="1"/>
  <c r="I88" i="24"/>
  <c r="F88" i="9"/>
  <c r="B88" i="10" s="1"/>
  <c r="C88" i="19" s="1"/>
  <c r="F74" i="24"/>
  <c r="C57" i="15"/>
  <c r="C22" i="19"/>
  <c r="B22" i="19" s="1"/>
  <c r="F75" i="24"/>
  <c r="I75" i="24" s="1"/>
  <c r="K82" i="9"/>
  <c r="V73" i="21"/>
  <c r="U29" i="13"/>
  <c r="H59" i="60"/>
  <c r="Q59" i="60" s="1"/>
  <c r="H75" i="13"/>
  <c r="K53" i="59"/>
  <c r="K220" i="59" s="1"/>
  <c r="I20" i="12"/>
  <c r="B36" i="261"/>
  <c r="B18" i="261"/>
  <c r="B34" i="261"/>
  <c r="E34" i="261" s="1"/>
  <c r="O34" i="261" s="1"/>
  <c r="B14" i="261"/>
  <c r="B48" i="261"/>
  <c r="B44" i="261"/>
  <c r="B28" i="261"/>
  <c r="B29" i="261"/>
  <c r="B11" i="261"/>
  <c r="C37" i="261"/>
  <c r="M37" i="261" s="1"/>
  <c r="B39" i="261"/>
  <c r="K12" i="261"/>
  <c r="K12" i="268"/>
  <c r="B10" i="261"/>
  <c r="H10" i="268"/>
  <c r="J10" i="268"/>
  <c r="K10" i="268"/>
  <c r="B49" i="261"/>
  <c r="B21" i="261"/>
  <c r="H53" i="268"/>
  <c r="B16" i="261"/>
  <c r="B20" i="261"/>
  <c r="E20" i="261" s="1"/>
  <c r="O20" i="261" s="1"/>
  <c r="B43" i="261"/>
  <c r="B31" i="261"/>
  <c r="E31" i="261" s="1"/>
  <c r="O31" i="261" s="1"/>
  <c r="C38" i="261"/>
  <c r="M38" i="261" s="1"/>
  <c r="B24" i="261"/>
  <c r="F24" i="261" s="1"/>
  <c r="B46" i="261"/>
  <c r="G21" i="261"/>
  <c r="L21" i="261" s="1"/>
  <c r="AH21" i="261" s="1"/>
  <c r="B19" i="261"/>
  <c r="B37" i="261"/>
  <c r="J49" i="10"/>
  <c r="C28" i="261"/>
  <c r="H220" i="59"/>
  <c r="B35" i="261"/>
  <c r="M24" i="17"/>
  <c r="V74" i="21"/>
  <c r="F60" i="24"/>
  <c r="Q18" i="140"/>
  <c r="K76" i="9"/>
  <c r="N18" i="140"/>
  <c r="K41" i="12"/>
  <c r="P22" i="13"/>
  <c r="O22" i="13" s="1"/>
  <c r="J22" i="13" s="1"/>
  <c r="F22" i="12"/>
  <c r="F42" i="19"/>
  <c r="D42" i="12" s="1"/>
  <c r="N12" i="10"/>
  <c r="P18" i="140"/>
  <c r="J22" i="10"/>
  <c r="O18" i="140"/>
  <c r="K61" i="9"/>
  <c r="I16" i="12"/>
  <c r="I43" i="12"/>
  <c r="I37" i="12"/>
  <c r="C32" i="261"/>
  <c r="M32" i="261" s="1"/>
  <c r="Q46" i="140"/>
  <c r="J72" i="9"/>
  <c r="L24" i="17"/>
  <c r="T24" i="17" s="1"/>
  <c r="I40" i="12"/>
  <c r="L20" i="17"/>
  <c r="T20" i="17" s="1"/>
  <c r="L26" i="17"/>
  <c r="T26" i="17" s="1"/>
  <c r="J64" i="9"/>
  <c r="F37" i="12"/>
  <c r="J88" i="9"/>
  <c r="N81" i="8"/>
  <c r="F80" i="9"/>
  <c r="L80" i="9" s="1"/>
  <c r="F81" i="9"/>
  <c r="L81" i="9" s="1"/>
  <c r="L43" i="17"/>
  <c r="T43" i="17" s="1"/>
  <c r="L44" i="17"/>
  <c r="T44" i="17" s="1"/>
  <c r="L19" i="17"/>
  <c r="T19" i="17" s="1"/>
  <c r="L39" i="17"/>
  <c r="T39" i="17" s="1"/>
  <c r="J58" i="9"/>
  <c r="Q24" i="140"/>
  <c r="D14" i="36"/>
  <c r="I14" i="36" s="1"/>
  <c r="I38" i="12"/>
  <c r="F49" i="10"/>
  <c r="K49" i="10" s="1"/>
  <c r="P13" i="8"/>
  <c r="H60" i="13"/>
  <c r="O91" i="60"/>
  <c r="O89" i="257"/>
  <c r="Q89" i="257" s="1"/>
  <c r="L24" i="261"/>
  <c r="AH24" i="261" s="1"/>
  <c r="H74" i="13"/>
  <c r="O41" i="60"/>
  <c r="O39" i="257"/>
  <c r="D55" i="21"/>
  <c r="I55" i="13"/>
  <c r="M55" i="14"/>
  <c r="N55" i="8"/>
  <c r="N74" i="12"/>
  <c r="P43" i="13"/>
  <c r="O43" i="13" s="1"/>
  <c r="J43" i="13" s="1"/>
  <c r="F43" i="19" s="1"/>
  <c r="E43" i="19" s="1"/>
  <c r="I32" i="12"/>
  <c r="D77" i="21"/>
  <c r="S77" i="21" s="1"/>
  <c r="O15" i="257"/>
  <c r="O17" i="60"/>
  <c r="F81" i="13"/>
  <c r="N43" i="10"/>
  <c r="F43" i="12"/>
  <c r="K28" i="13"/>
  <c r="B28" i="13" s="1"/>
  <c r="L28" i="13" s="1"/>
  <c r="I39" i="12"/>
  <c r="O30" i="257"/>
  <c r="O32" i="60"/>
  <c r="O54" i="60"/>
  <c r="O52" i="257"/>
  <c r="J74" i="12"/>
  <c r="I57" i="24"/>
  <c r="J43" i="10"/>
  <c r="E53" i="9"/>
  <c r="C76" i="60"/>
  <c r="P76" i="60"/>
  <c r="O38" i="60"/>
  <c r="O36" i="257"/>
  <c r="L51" i="257"/>
  <c r="M53" i="140"/>
  <c r="O24" i="60"/>
  <c r="O22" i="257"/>
  <c r="F73" i="24"/>
  <c r="H73" i="13"/>
  <c r="T73" i="21"/>
  <c r="C73" i="15"/>
  <c r="O37" i="60"/>
  <c r="O35" i="257"/>
  <c r="H90" i="21"/>
  <c r="H90" i="13" s="1"/>
  <c r="O13" i="60"/>
  <c r="O11" i="257"/>
  <c r="O29" i="60"/>
  <c r="O27" i="257"/>
  <c r="H35" i="13"/>
  <c r="P24" i="140"/>
  <c r="N24" i="140"/>
  <c r="O24" i="140"/>
  <c r="N31" i="140"/>
  <c r="O31" i="140"/>
  <c r="Q31" i="140"/>
  <c r="P31" i="140"/>
  <c r="O40" i="60"/>
  <c r="O38" i="257"/>
  <c r="P19" i="140"/>
  <c r="Q19" i="140"/>
  <c r="N19" i="140"/>
  <c r="O19" i="140"/>
  <c r="V78" i="21"/>
  <c r="F79" i="19"/>
  <c r="H63" i="13"/>
  <c r="C63" i="15"/>
  <c r="T63" i="21"/>
  <c r="I74" i="13"/>
  <c r="D74" i="21"/>
  <c r="M74" i="14"/>
  <c r="J35" i="13"/>
  <c r="K35" i="13" s="1"/>
  <c r="L35" i="13" s="1"/>
  <c r="B64" i="10"/>
  <c r="C64" i="19" s="1"/>
  <c r="B64" i="19" s="1"/>
  <c r="B64" i="261" s="1"/>
  <c r="L64" i="9"/>
  <c r="G64" i="261" s="1"/>
  <c r="K63" i="9"/>
  <c r="L30" i="17"/>
  <c r="T30" i="17" s="1"/>
  <c r="B45" i="12"/>
  <c r="K74" i="9"/>
  <c r="B32" i="19"/>
  <c r="K24" i="19"/>
  <c r="G72" i="17"/>
  <c r="G72" i="261"/>
  <c r="K55" i="9"/>
  <c r="F55" i="9"/>
  <c r="I19" i="12"/>
  <c r="L32" i="17"/>
  <c r="T32" i="17" s="1"/>
  <c r="G41" i="17"/>
  <c r="G41" i="261"/>
  <c r="L41" i="261" s="1"/>
  <c r="AH41" i="261" s="1"/>
  <c r="F62" i="9"/>
  <c r="K62" i="9"/>
  <c r="H31" i="12"/>
  <c r="O31" i="12" s="1"/>
  <c r="K31" i="12"/>
  <c r="C31" i="12"/>
  <c r="I31" i="12" s="1"/>
  <c r="B83" i="10"/>
  <c r="L83" i="9"/>
  <c r="H53" i="261"/>
  <c r="B24" i="17"/>
  <c r="E24" i="17" s="1"/>
  <c r="O24" i="17" s="1"/>
  <c r="F12" i="12"/>
  <c r="U26" i="13"/>
  <c r="F71" i="9"/>
  <c r="K73" i="9"/>
  <c r="F73" i="9"/>
  <c r="F86" i="9"/>
  <c r="K86" i="9"/>
  <c r="K60" i="9"/>
  <c r="F60" i="9"/>
  <c r="F78" i="9"/>
  <c r="K78" i="9"/>
  <c r="L24" i="19"/>
  <c r="G52" i="17"/>
  <c r="L52" i="17" s="1"/>
  <c r="T52" i="17" s="1"/>
  <c r="G52" i="261"/>
  <c r="L52" i="261" s="1"/>
  <c r="AH52" i="261" s="1"/>
  <c r="K54" i="9"/>
  <c r="F54" i="9"/>
  <c r="K56" i="9"/>
  <c r="F56" i="9"/>
  <c r="E26" i="261"/>
  <c r="O26" i="261" s="1"/>
  <c r="F26" i="261"/>
  <c r="J27" i="10"/>
  <c r="P27" i="13"/>
  <c r="O27" i="13" s="1"/>
  <c r="J27" i="13" s="1"/>
  <c r="C27" i="19"/>
  <c r="B27" i="19" s="1"/>
  <c r="F27" i="10"/>
  <c r="K27" i="10" s="1"/>
  <c r="I74" i="9"/>
  <c r="N20" i="10"/>
  <c r="G47" i="17"/>
  <c r="L47" i="17" s="1"/>
  <c r="T47" i="17" s="1"/>
  <c r="G47" i="261"/>
  <c r="L47" i="261" s="1"/>
  <c r="AH47" i="261" s="1"/>
  <c r="N32" i="10"/>
  <c r="K28" i="19"/>
  <c r="J10" i="261"/>
  <c r="K10" i="261"/>
  <c r="H10" i="261"/>
  <c r="K42" i="10"/>
  <c r="N42" i="10"/>
  <c r="K84" i="9"/>
  <c r="F84" i="9"/>
  <c r="K66" i="9"/>
  <c r="F66" i="9"/>
  <c r="F69" i="9"/>
  <c r="K69" i="9"/>
  <c r="F58" i="9"/>
  <c r="I26" i="12"/>
  <c r="I15" i="12"/>
  <c r="F15" i="12"/>
  <c r="Q54" i="140"/>
  <c r="Q15" i="140"/>
  <c r="F40" i="12"/>
  <c r="F17" i="12"/>
  <c r="K37" i="13"/>
  <c r="L37" i="13" s="1"/>
  <c r="U20" i="13"/>
  <c r="E10" i="116"/>
  <c r="H10" i="17"/>
  <c r="I10" i="9"/>
  <c r="J10" i="17"/>
  <c r="K10" i="17"/>
  <c r="B10" i="25"/>
  <c r="L10" i="9"/>
  <c r="H74" i="9"/>
  <c r="G74" i="25"/>
  <c r="N17" i="10"/>
  <c r="D90" i="8"/>
  <c r="E50" i="9"/>
  <c r="E45" i="9" s="1"/>
  <c r="K45" i="9" s="1"/>
  <c r="I24" i="12"/>
  <c r="C13" i="36"/>
  <c r="O13" i="36" s="1"/>
  <c r="H13" i="36"/>
  <c r="N52" i="8"/>
  <c r="R52" i="8"/>
  <c r="L10" i="36"/>
  <c r="B13" i="12"/>
  <c r="P13" i="9"/>
  <c r="H13" i="9"/>
  <c r="C13" i="9"/>
  <c r="G44" i="12"/>
  <c r="N44" i="12" s="1"/>
  <c r="R50" i="8"/>
  <c r="N50" i="8"/>
  <c r="M52" i="140"/>
  <c r="N37" i="10"/>
  <c r="F18" i="12"/>
  <c r="I18" i="12"/>
  <c r="M74" i="13"/>
  <c r="F74" i="9"/>
  <c r="L74" i="9" s="1"/>
  <c r="Q39" i="140"/>
  <c r="I17" i="12"/>
  <c r="I21" i="12"/>
  <c r="B42" i="13"/>
  <c r="L42" i="13" s="1"/>
  <c r="J50" i="9"/>
  <c r="G30" i="12"/>
  <c r="N30" i="12" s="1"/>
  <c r="C30" i="12"/>
  <c r="I30" i="12" s="1"/>
  <c r="J41" i="10"/>
  <c r="F41" i="10"/>
  <c r="K41" i="10" s="1"/>
  <c r="C41" i="19"/>
  <c r="B41" i="19" s="1"/>
  <c r="P41" i="13"/>
  <c r="Q33" i="12"/>
  <c r="J70" i="9"/>
  <c r="K30" i="13"/>
  <c r="Q36" i="12"/>
  <c r="I53" i="8"/>
  <c r="L53" i="8" s="1"/>
  <c r="J76" i="9"/>
  <c r="J65" i="9"/>
  <c r="Q20" i="140"/>
  <c r="J81" i="9"/>
  <c r="J68" i="9"/>
  <c r="M46" i="8"/>
  <c r="M48" i="140" s="1"/>
  <c r="J67" i="9"/>
  <c r="D53" i="9"/>
  <c r="I53" i="9" s="1"/>
  <c r="J53" i="9" s="1"/>
  <c r="J82" i="9"/>
  <c r="E26" i="17"/>
  <c r="O26" i="17" s="1"/>
  <c r="J85" i="9"/>
  <c r="C23" i="36"/>
  <c r="Q89" i="8"/>
  <c r="M89" i="8"/>
  <c r="U38" i="13"/>
  <c r="N24" i="10"/>
  <c r="B37" i="17"/>
  <c r="K37" i="19"/>
  <c r="L37" i="19"/>
  <c r="B23" i="12"/>
  <c r="P23" i="9"/>
  <c r="P46" i="13"/>
  <c r="O46" i="13" s="1"/>
  <c r="J46" i="13" s="1"/>
  <c r="B44" i="17"/>
  <c r="L44" i="19"/>
  <c r="J80" i="9"/>
  <c r="J57" i="9"/>
  <c r="E44" i="12"/>
  <c r="B31" i="17"/>
  <c r="L31" i="19"/>
  <c r="K31" i="19"/>
  <c r="B48" i="17"/>
  <c r="L48" i="19"/>
  <c r="Q81" i="140"/>
  <c r="N40" i="10"/>
  <c r="Q34" i="12"/>
  <c r="G89" i="8"/>
  <c r="F53" i="8"/>
  <c r="E27" i="8"/>
  <c r="Q28" i="8"/>
  <c r="N34" i="10"/>
  <c r="B14" i="17"/>
  <c r="L14" i="19"/>
  <c r="K11" i="13"/>
  <c r="L11" i="13" s="1"/>
  <c r="F11" i="19"/>
  <c r="E11" i="19" s="1"/>
  <c r="B11" i="17"/>
  <c r="L11" i="19"/>
  <c r="P23" i="8"/>
  <c r="J13" i="10"/>
  <c r="P13" i="13"/>
  <c r="O13" i="13" s="1"/>
  <c r="J13" i="13" s="1"/>
  <c r="C13" i="19"/>
  <c r="B13" i="19" s="1"/>
  <c r="F13" i="10"/>
  <c r="B39" i="17"/>
  <c r="L39" i="19"/>
  <c r="R48" i="8"/>
  <c r="N48" i="8"/>
  <c r="K12" i="17"/>
  <c r="J9" i="19"/>
  <c r="K10" i="13"/>
  <c r="B10" i="13" s="1"/>
  <c r="F10" i="19"/>
  <c r="B10" i="17"/>
  <c r="L10" i="19"/>
  <c r="N46" i="10"/>
  <c r="I35" i="12"/>
  <c r="C52" i="19"/>
  <c r="B52" i="19" s="1"/>
  <c r="F52" i="10"/>
  <c r="K52" i="10" s="1"/>
  <c r="J52" i="10"/>
  <c r="J87" i="9"/>
  <c r="M14" i="8"/>
  <c r="N14" i="8" s="1"/>
  <c r="B34" i="17"/>
  <c r="L34" i="19"/>
  <c r="K34" i="19"/>
  <c r="Q29" i="140"/>
  <c r="N19" i="10"/>
  <c r="J79" i="9"/>
  <c r="J75" i="9"/>
  <c r="J61" i="9"/>
  <c r="J63" i="9"/>
  <c r="P14" i="8"/>
  <c r="U32" i="13"/>
  <c r="L43" i="19"/>
  <c r="K53" i="8"/>
  <c r="K38" i="19"/>
  <c r="C38" i="17"/>
  <c r="N14" i="10"/>
  <c r="K14" i="13"/>
  <c r="B14" i="13" s="1"/>
  <c r="F14" i="19"/>
  <c r="N11" i="10"/>
  <c r="C37" i="17"/>
  <c r="M37" i="17" s="1"/>
  <c r="Q23" i="8"/>
  <c r="P48" i="13"/>
  <c r="O48" i="13" s="1"/>
  <c r="J48" i="13" s="1"/>
  <c r="B89" i="10"/>
  <c r="L89" i="9"/>
  <c r="C28" i="17"/>
  <c r="H12" i="19"/>
  <c r="J12" i="17"/>
  <c r="B49" i="17"/>
  <c r="L49" i="19"/>
  <c r="N10" i="10"/>
  <c r="B46" i="17"/>
  <c r="L46" i="19"/>
  <c r="N44" i="10"/>
  <c r="E79" i="12"/>
  <c r="U79" i="13"/>
  <c r="L14" i="8"/>
  <c r="M56" i="59"/>
  <c r="D56" i="19" s="1"/>
  <c r="M60" i="59"/>
  <c r="D60" i="19" s="1"/>
  <c r="M70" i="59"/>
  <c r="D70" i="19" s="1"/>
  <c r="M74" i="59"/>
  <c r="D74" i="19" s="1"/>
  <c r="M78" i="59"/>
  <c r="D78" i="19" s="1"/>
  <c r="M82" i="59"/>
  <c r="D82" i="19" s="1"/>
  <c r="M88" i="59"/>
  <c r="D88" i="19" s="1"/>
  <c r="M58" i="59"/>
  <c r="D58" i="19" s="1"/>
  <c r="M63" i="59"/>
  <c r="D63" i="19" s="1"/>
  <c r="M76" i="59"/>
  <c r="D76" i="19" s="1"/>
  <c r="M81" i="59"/>
  <c r="D81" i="19" s="1"/>
  <c r="M54" i="59"/>
  <c r="M61" i="59"/>
  <c r="D61" i="19" s="1"/>
  <c r="M69" i="59"/>
  <c r="D69" i="19" s="1"/>
  <c r="M77" i="59"/>
  <c r="D77" i="19" s="1"/>
  <c r="M85" i="59"/>
  <c r="D85" i="19" s="1"/>
  <c r="M62" i="59"/>
  <c r="D62" i="19" s="1"/>
  <c r="M72" i="59"/>
  <c r="D72" i="19" s="1"/>
  <c r="M79" i="59"/>
  <c r="D79" i="19" s="1"/>
  <c r="M86" i="59"/>
  <c r="D86" i="19" s="1"/>
  <c r="M57" i="59"/>
  <c r="D57" i="19" s="1"/>
  <c r="M67" i="59"/>
  <c r="D67" i="19" s="1"/>
  <c r="M73" i="59"/>
  <c r="D73" i="19" s="1"/>
  <c r="M59" i="59"/>
  <c r="D59" i="19" s="1"/>
  <c r="M68" i="59"/>
  <c r="D68" i="19" s="1"/>
  <c r="M75" i="59"/>
  <c r="D75" i="19" s="1"/>
  <c r="M83" i="59"/>
  <c r="D83" i="19" s="1"/>
  <c r="G68" i="13"/>
  <c r="F68" i="13" s="1"/>
  <c r="C68" i="14"/>
  <c r="D68" i="14" s="1"/>
  <c r="C68" i="24"/>
  <c r="I68" i="24" s="1"/>
  <c r="E70" i="140"/>
  <c r="H70" i="60"/>
  <c r="S68" i="21"/>
  <c r="G59" i="13"/>
  <c r="F59" i="13" s="1"/>
  <c r="C59" i="24"/>
  <c r="I59" i="24" s="1"/>
  <c r="C59" i="14"/>
  <c r="D59" i="14" s="1"/>
  <c r="E61" i="140"/>
  <c r="H61" i="60"/>
  <c r="Q61" i="60" s="1"/>
  <c r="S59" i="21"/>
  <c r="G67" i="13"/>
  <c r="F67" i="13" s="1"/>
  <c r="C67" i="24"/>
  <c r="I67" i="24" s="1"/>
  <c r="C67" i="14"/>
  <c r="D67" i="14" s="1"/>
  <c r="E69" i="140"/>
  <c r="H69" i="60"/>
  <c r="Q69" i="60" s="1"/>
  <c r="S67" i="21"/>
  <c r="L46" i="8"/>
  <c r="I45" i="8"/>
  <c r="L45" i="8" s="1"/>
  <c r="G73" i="13"/>
  <c r="C73" i="24"/>
  <c r="C73" i="14"/>
  <c r="D73" i="14" s="1"/>
  <c r="E75" i="140"/>
  <c r="H75" i="60"/>
  <c r="I86" i="13"/>
  <c r="M86" i="14"/>
  <c r="E66" i="140"/>
  <c r="H64" i="13"/>
  <c r="H66" i="60"/>
  <c r="F64" i="24"/>
  <c r="C64" i="15"/>
  <c r="T64" i="21"/>
  <c r="Q91" i="60"/>
  <c r="I70" i="13"/>
  <c r="M70" i="14"/>
  <c r="B76" i="10"/>
  <c r="L76" i="9"/>
  <c r="P36" i="140"/>
  <c r="N36" i="140"/>
  <c r="O36" i="140"/>
  <c r="E58" i="60"/>
  <c r="J19" i="13"/>
  <c r="B70" i="10"/>
  <c r="L70" i="9"/>
  <c r="L79" i="9"/>
  <c r="I62" i="13"/>
  <c r="M62" i="14"/>
  <c r="G83" i="13"/>
  <c r="C83" i="14"/>
  <c r="D83" i="14" s="1"/>
  <c r="C83" i="24"/>
  <c r="E62" i="60"/>
  <c r="E87" i="140"/>
  <c r="H85" i="13"/>
  <c r="F85" i="24"/>
  <c r="H87" i="60"/>
  <c r="C85" i="15"/>
  <c r="T85" i="21"/>
  <c r="B36" i="17"/>
  <c r="L36" i="19"/>
  <c r="I42" i="36"/>
  <c r="O42" i="36"/>
  <c r="F42" i="36"/>
  <c r="L42" i="36" s="1"/>
  <c r="K42" i="36"/>
  <c r="P45" i="140"/>
  <c r="N45" i="140"/>
  <c r="O45" i="140"/>
  <c r="V63" i="21"/>
  <c r="E65" i="140"/>
  <c r="G63" i="13"/>
  <c r="F63" i="13" s="1"/>
  <c r="C63" i="14"/>
  <c r="D63" i="14" s="1"/>
  <c r="H65" i="60"/>
  <c r="I80" i="13"/>
  <c r="M80" i="14"/>
  <c r="I84" i="13"/>
  <c r="M84" i="14"/>
  <c r="C47" i="19"/>
  <c r="B47" i="19" s="1"/>
  <c r="F47" i="10"/>
  <c r="G101" i="10"/>
  <c r="D101" i="10"/>
  <c r="E101" i="10"/>
  <c r="J47" i="10"/>
  <c r="C101" i="10"/>
  <c r="O46" i="257"/>
  <c r="O48" i="60"/>
  <c r="D83" i="140"/>
  <c r="C83" i="140" s="1"/>
  <c r="B83" i="140" s="1"/>
  <c r="I62" i="12"/>
  <c r="F62" i="12"/>
  <c r="B18" i="17"/>
  <c r="L18" i="19"/>
  <c r="B85" i="10"/>
  <c r="L85" i="9"/>
  <c r="K14" i="36"/>
  <c r="E89" i="140"/>
  <c r="G87" i="13"/>
  <c r="F87" i="13" s="1"/>
  <c r="H89" i="60"/>
  <c r="C87" i="24"/>
  <c r="I87" i="24" s="1"/>
  <c r="C87" i="14"/>
  <c r="D87" i="14" s="1"/>
  <c r="S87" i="21"/>
  <c r="I69" i="13"/>
  <c r="M69" i="14"/>
  <c r="I72" i="13"/>
  <c r="M72" i="14"/>
  <c r="AI24" i="99"/>
  <c r="C84" i="60"/>
  <c r="P84" i="60"/>
  <c r="B19" i="17"/>
  <c r="L19" i="19"/>
  <c r="I76" i="13"/>
  <c r="M76" i="14"/>
  <c r="G78" i="13"/>
  <c r="F78" i="13" s="1"/>
  <c r="E80" i="140"/>
  <c r="H80" i="60"/>
  <c r="C78" i="14"/>
  <c r="D78" i="14" s="1"/>
  <c r="C78" i="24"/>
  <c r="I78" i="24" s="1"/>
  <c r="I61" i="13"/>
  <c r="M61" i="14"/>
  <c r="M41" i="17"/>
  <c r="B67" i="10"/>
  <c r="L67" i="9"/>
  <c r="AI47" i="99"/>
  <c r="P12" i="140"/>
  <c r="O12" i="140"/>
  <c r="N12" i="140"/>
  <c r="B20" i="17"/>
  <c r="L20" i="19"/>
  <c r="K20" i="19"/>
  <c r="B82" i="10"/>
  <c r="L82" i="9"/>
  <c r="B87" i="10"/>
  <c r="L87" i="9"/>
  <c r="I59" i="13"/>
  <c r="M59" i="14"/>
  <c r="B61" i="10"/>
  <c r="L61" i="9"/>
  <c r="C72" i="19"/>
  <c r="F72" i="10"/>
  <c r="C72" i="10" s="1"/>
  <c r="N72" i="10" s="1"/>
  <c r="J72" i="10"/>
  <c r="P72" i="13" s="1"/>
  <c r="O72" i="13" s="1"/>
  <c r="B30" i="19"/>
  <c r="G80" i="13"/>
  <c r="F80" i="13" s="1"/>
  <c r="C80" i="24"/>
  <c r="I80" i="24" s="1"/>
  <c r="C80" i="14"/>
  <c r="D80" i="14" s="1"/>
  <c r="H82" i="60"/>
  <c r="Q82" i="60" s="1"/>
  <c r="E82" i="140"/>
  <c r="I41" i="12"/>
  <c r="F41" i="12"/>
  <c r="G35" i="19"/>
  <c r="F35" i="23"/>
  <c r="S35" i="23" s="1"/>
  <c r="G84" i="13"/>
  <c r="F84" i="13" s="1"/>
  <c r="C84" i="14"/>
  <c r="D84" i="14" s="1"/>
  <c r="C84" i="24"/>
  <c r="I84" i="24" s="1"/>
  <c r="E86" i="140"/>
  <c r="H86" i="60"/>
  <c r="Q86" i="60" s="1"/>
  <c r="P44" i="140"/>
  <c r="N44" i="140"/>
  <c r="O44" i="140"/>
  <c r="I73" i="13"/>
  <c r="M73" i="14"/>
  <c r="P59" i="60"/>
  <c r="C59" i="60"/>
  <c r="H83" i="13"/>
  <c r="F83" i="24"/>
  <c r="H85" i="60"/>
  <c r="E85" i="140"/>
  <c r="C83" i="15"/>
  <c r="T83" i="21"/>
  <c r="M33" i="8"/>
  <c r="Q33" i="8"/>
  <c r="B16" i="17"/>
  <c r="L16" i="19"/>
  <c r="J17" i="13"/>
  <c r="D70" i="21"/>
  <c r="J21" i="13"/>
  <c r="B21" i="17"/>
  <c r="L21" i="19"/>
  <c r="O20" i="60"/>
  <c r="O18" i="257"/>
  <c r="B65" i="10"/>
  <c r="L65" i="9"/>
  <c r="O36" i="60"/>
  <c r="O34" i="257"/>
  <c r="I33" i="36"/>
  <c r="O33" i="36"/>
  <c r="Q36" i="140"/>
  <c r="G71" i="13"/>
  <c r="F71" i="13" s="1"/>
  <c r="C71" i="24"/>
  <c r="I71" i="24" s="1"/>
  <c r="C71" i="14"/>
  <c r="D71" i="14" s="1"/>
  <c r="E74" i="60"/>
  <c r="G56" i="13"/>
  <c r="F56" i="13" s="1"/>
  <c r="E58" i="140"/>
  <c r="C56" i="14"/>
  <c r="D56" i="14" s="1"/>
  <c r="H58" i="60"/>
  <c r="C56" i="24"/>
  <c r="I56" i="24" s="1"/>
  <c r="H73" i="60"/>
  <c r="E73" i="140"/>
  <c r="AI89" i="99"/>
  <c r="I66" i="13"/>
  <c r="M66" i="14"/>
  <c r="F29" i="12"/>
  <c r="I29" i="12"/>
  <c r="Q41" i="60"/>
  <c r="K33" i="12"/>
  <c r="H33" i="12"/>
  <c r="O33" i="12" s="1"/>
  <c r="D62" i="21"/>
  <c r="B68" i="10"/>
  <c r="L68" i="9"/>
  <c r="G85" i="13"/>
  <c r="C85" i="14"/>
  <c r="D85" i="14" s="1"/>
  <c r="C85" i="24"/>
  <c r="S83" i="21"/>
  <c r="E63" i="60"/>
  <c r="E62" i="140"/>
  <c r="G60" i="13"/>
  <c r="C60" i="14"/>
  <c r="D60" i="14" s="1"/>
  <c r="H62" i="60"/>
  <c r="C60" i="24"/>
  <c r="I60" i="24" s="1"/>
  <c r="B46" i="36"/>
  <c r="F45" i="8"/>
  <c r="C57" i="60"/>
  <c r="P57" i="60"/>
  <c r="AI48" i="99"/>
  <c r="Q12" i="140"/>
  <c r="J36" i="13"/>
  <c r="F88" i="13"/>
  <c r="F54" i="21"/>
  <c r="B54" i="14"/>
  <c r="U54" i="21" s="1"/>
  <c r="B54" i="24"/>
  <c r="H54" i="24" s="1"/>
  <c r="G56" i="60"/>
  <c r="C91" i="21"/>
  <c r="S73" i="21"/>
  <c r="P54" i="140"/>
  <c r="N54" i="140"/>
  <c r="O54" i="140"/>
  <c r="H11" i="60"/>
  <c r="N81" i="140"/>
  <c r="P81" i="140"/>
  <c r="O81" i="140"/>
  <c r="AI47" i="98"/>
  <c r="E68" i="60"/>
  <c r="N16" i="10"/>
  <c r="J16" i="13"/>
  <c r="N21" i="10"/>
  <c r="N29" i="140"/>
  <c r="P29" i="140"/>
  <c r="O29" i="140"/>
  <c r="I71" i="13"/>
  <c r="M71" i="14"/>
  <c r="E71" i="60"/>
  <c r="I56" i="13"/>
  <c r="M56" i="14"/>
  <c r="AG90" i="99"/>
  <c r="AG90" i="98"/>
  <c r="AH47" i="98" s="1"/>
  <c r="AI48" i="98"/>
  <c r="D66" i="21"/>
  <c r="H68" i="60" s="1"/>
  <c r="Q68" i="60" s="1"/>
  <c r="E87" i="60"/>
  <c r="Q87" i="60"/>
  <c r="P28" i="8"/>
  <c r="P20" i="140"/>
  <c r="O20" i="140"/>
  <c r="N20" i="140"/>
  <c r="Q51" i="60"/>
  <c r="O30" i="60"/>
  <c r="O28" i="257"/>
  <c r="S85" i="21"/>
  <c r="I85" i="13"/>
  <c r="M85" i="14"/>
  <c r="S78" i="21"/>
  <c r="V60" i="21"/>
  <c r="I60" i="13"/>
  <c r="M60" i="14"/>
  <c r="E67" i="140"/>
  <c r="H65" i="13"/>
  <c r="F65" i="13" s="1"/>
  <c r="H67" i="60"/>
  <c r="F65" i="24"/>
  <c r="I65" i="24" s="1"/>
  <c r="C65" i="15"/>
  <c r="T65" i="21"/>
  <c r="H66" i="13"/>
  <c r="F66" i="24"/>
  <c r="C66" i="15"/>
  <c r="T66" i="21"/>
  <c r="D91" i="140"/>
  <c r="C91" i="140" s="1"/>
  <c r="B91" i="140" s="1"/>
  <c r="H82" i="13"/>
  <c r="F82" i="13" s="1"/>
  <c r="E84" i="140"/>
  <c r="F82" i="24"/>
  <c r="I82" i="24" s="1"/>
  <c r="H84" i="60"/>
  <c r="C82" i="15"/>
  <c r="T82" i="21"/>
  <c r="Q90" i="60"/>
  <c r="Q50" i="60"/>
  <c r="K23" i="17"/>
  <c r="H23" i="17"/>
  <c r="J23" i="17"/>
  <c r="D23" i="9"/>
  <c r="O23" i="9" s="1"/>
  <c r="F11" i="12"/>
  <c r="I11" i="12"/>
  <c r="C79" i="60"/>
  <c r="P79" i="60"/>
  <c r="N36" i="10"/>
  <c r="B15" i="19"/>
  <c r="O46" i="140"/>
  <c r="P46" i="140"/>
  <c r="N46" i="140"/>
  <c r="O12" i="60"/>
  <c r="O10" i="257"/>
  <c r="C11" i="60"/>
  <c r="I9" i="257"/>
  <c r="V68" i="21"/>
  <c r="I63" i="13"/>
  <c r="M63" i="14"/>
  <c r="E82" i="60"/>
  <c r="J81" i="13"/>
  <c r="K81" i="13" s="1"/>
  <c r="F39" i="23"/>
  <c r="S39" i="23" s="1"/>
  <c r="G39" i="19"/>
  <c r="C32" i="17"/>
  <c r="Q44" i="140"/>
  <c r="D49" i="140"/>
  <c r="C49" i="140" s="1"/>
  <c r="B49" i="140" s="1"/>
  <c r="H49" i="60"/>
  <c r="O44" i="257"/>
  <c r="O46" i="60"/>
  <c r="N18" i="10"/>
  <c r="F58" i="21"/>
  <c r="D58" i="21" s="1"/>
  <c r="B58" i="24"/>
  <c r="H58" i="24" s="1"/>
  <c r="G60" i="60"/>
  <c r="B58" i="14"/>
  <c r="U58" i="21" s="1"/>
  <c r="F75" i="13"/>
  <c r="F57" i="13"/>
  <c r="L17" i="19"/>
  <c r="E79" i="140"/>
  <c r="H79" i="60"/>
  <c r="C77" i="15"/>
  <c r="F77" i="24"/>
  <c r="T77" i="21"/>
  <c r="O91" i="257"/>
  <c r="Q91" i="257" s="1"/>
  <c r="D91" i="8"/>
  <c r="B96" i="8"/>
  <c r="G64" i="13"/>
  <c r="C64" i="14"/>
  <c r="D64" i="14" s="1"/>
  <c r="C64" i="24"/>
  <c r="E69" i="60"/>
  <c r="O17" i="257"/>
  <c r="O19" i="60"/>
  <c r="AI24" i="98"/>
  <c r="E88" i="60"/>
  <c r="D86" i="21"/>
  <c r="AI89" i="98"/>
  <c r="E61" i="60"/>
  <c r="P83" i="60"/>
  <c r="C83" i="60"/>
  <c r="F51" i="126"/>
  <c r="H38" i="126"/>
  <c r="H24" i="126"/>
  <c r="F38" i="126"/>
  <c r="H45" i="126"/>
  <c r="G12" i="126"/>
  <c r="G19" i="126"/>
  <c r="G29" i="126"/>
  <c r="H20" i="126"/>
  <c r="F53" i="126"/>
  <c r="G17" i="126"/>
  <c r="G28" i="126"/>
  <c r="F29" i="126"/>
  <c r="H53" i="126"/>
  <c r="G92" i="126"/>
  <c r="H54" i="126"/>
  <c r="G25" i="126"/>
  <c r="F46" i="126"/>
  <c r="G31" i="126"/>
  <c r="H12" i="126"/>
  <c r="H15" i="126"/>
  <c r="H39" i="126"/>
  <c r="H41" i="126"/>
  <c r="F33" i="126"/>
  <c r="H13" i="126"/>
  <c r="F18" i="126"/>
  <c r="H40" i="126"/>
  <c r="G30" i="126"/>
  <c r="F16" i="126"/>
  <c r="F27" i="126"/>
  <c r="G22" i="126"/>
  <c r="H52" i="126"/>
  <c r="F12" i="126"/>
  <c r="F21" i="126"/>
  <c r="G15" i="126"/>
  <c r="F28" i="126"/>
  <c r="G48" i="126"/>
  <c r="F19" i="126"/>
  <c r="F31" i="126"/>
  <c r="G45" i="126"/>
  <c r="F22" i="126"/>
  <c r="F52" i="126"/>
  <c r="G27" i="126"/>
  <c r="G37" i="126"/>
  <c r="F41" i="126"/>
  <c r="F42" i="126"/>
  <c r="G16" i="126"/>
  <c r="H46" i="126"/>
  <c r="G94" i="126"/>
  <c r="H49" i="126"/>
  <c r="G54" i="126"/>
  <c r="G18" i="126"/>
  <c r="F15" i="126"/>
  <c r="F36" i="126"/>
  <c r="G21" i="126"/>
  <c r="G33" i="126"/>
  <c r="G35" i="126"/>
  <c r="F24" i="126"/>
  <c r="H48" i="126"/>
  <c r="H35" i="126"/>
  <c r="F25" i="126"/>
  <c r="H29" i="126"/>
  <c r="F39" i="126"/>
  <c r="F54" i="126"/>
  <c r="H30" i="126"/>
  <c r="H16" i="126"/>
  <c r="G50" i="126"/>
  <c r="F17" i="126"/>
  <c r="H18" i="126"/>
  <c r="F48" i="126"/>
  <c r="H23" i="126"/>
  <c r="H44" i="126"/>
  <c r="G46" i="126"/>
  <c r="G38" i="126"/>
  <c r="G52" i="126"/>
  <c r="F23" i="126"/>
  <c r="F13" i="126"/>
  <c r="G39" i="126"/>
  <c r="G20" i="126"/>
  <c r="H36" i="126"/>
  <c r="H25" i="126"/>
  <c r="G13" i="126"/>
  <c r="H21" i="126"/>
  <c r="G51" i="126"/>
  <c r="F44" i="126"/>
  <c r="H92" i="126"/>
  <c r="G49" i="126"/>
  <c r="H50" i="126"/>
  <c r="G42" i="126"/>
  <c r="F49" i="126"/>
  <c r="H19" i="126"/>
  <c r="H27" i="126"/>
  <c r="F35" i="126"/>
  <c r="H28" i="126"/>
  <c r="G40" i="126"/>
  <c r="F40" i="126"/>
  <c r="G53" i="126"/>
  <c r="H31" i="126"/>
  <c r="F94" i="126"/>
  <c r="H33" i="126"/>
  <c r="F30" i="126"/>
  <c r="G47" i="126"/>
  <c r="H51" i="126"/>
  <c r="G24" i="126"/>
  <c r="H17" i="126"/>
  <c r="H42" i="126"/>
  <c r="F37" i="126"/>
  <c r="F45" i="126"/>
  <c r="G23" i="126"/>
  <c r="G41" i="126"/>
  <c r="H37" i="126"/>
  <c r="H22" i="126"/>
  <c r="G44" i="126"/>
  <c r="F20" i="126"/>
  <c r="G36" i="126"/>
  <c r="F50" i="126"/>
  <c r="F47" i="126"/>
  <c r="F92" i="126"/>
  <c r="H47" i="126"/>
  <c r="J39" i="13"/>
  <c r="F39" i="19" s="1"/>
  <c r="J46" i="8"/>
  <c r="H45" i="8"/>
  <c r="J45" i="8" s="1"/>
  <c r="I64" i="13"/>
  <c r="M64" i="14"/>
  <c r="D59" i="140"/>
  <c r="C59" i="140" s="1"/>
  <c r="B59" i="140" s="1"/>
  <c r="D69" i="21"/>
  <c r="D72" i="21"/>
  <c r="H74" i="60" s="1"/>
  <c r="D77" i="140"/>
  <c r="C77" i="140" s="1"/>
  <c r="B77" i="140" s="1"/>
  <c r="E78" i="60"/>
  <c r="AB90" i="99"/>
  <c r="AD9" i="99"/>
  <c r="AD9" i="98"/>
  <c r="AB90" i="98"/>
  <c r="AC9" i="98" s="1"/>
  <c r="L49" i="257"/>
  <c r="M51" i="140"/>
  <c r="L39" i="257"/>
  <c r="M41" i="140"/>
  <c r="D76" i="21"/>
  <c r="B75" i="10"/>
  <c r="L75" i="9"/>
  <c r="I83" i="13"/>
  <c r="M83" i="14"/>
  <c r="I78" i="13"/>
  <c r="M78" i="14"/>
  <c r="D61" i="21"/>
  <c r="H72" i="13"/>
  <c r="C72" i="15"/>
  <c r="F72" i="24"/>
  <c r="T72" i="21"/>
  <c r="G46" i="8"/>
  <c r="K45" i="8"/>
  <c r="K90" i="8" s="1"/>
  <c r="D90" i="140"/>
  <c r="C90" i="140" s="1"/>
  <c r="B90" i="140" s="1"/>
  <c r="L48" i="257"/>
  <c r="M50" i="140"/>
  <c r="H53" i="17"/>
  <c r="B57" i="10"/>
  <c r="L57" i="9"/>
  <c r="N15" i="10"/>
  <c r="J15" i="13"/>
  <c r="N15" i="140"/>
  <c r="P15" i="140"/>
  <c r="O15" i="140"/>
  <c r="J14" i="8"/>
  <c r="H9" i="8"/>
  <c r="J9" i="8" s="1"/>
  <c r="I68" i="13"/>
  <c r="M68" i="14"/>
  <c r="Q45" i="140"/>
  <c r="S63" i="21"/>
  <c r="V72" i="21"/>
  <c r="F51" i="9"/>
  <c r="K51" i="9"/>
  <c r="O42" i="257"/>
  <c r="O44" i="60"/>
  <c r="F36" i="23"/>
  <c r="S36" i="23" s="1"/>
  <c r="G36" i="19"/>
  <c r="F12" i="23"/>
  <c r="S12" i="23" s="1"/>
  <c r="G12" i="19"/>
  <c r="E86" i="60"/>
  <c r="F33" i="12"/>
  <c r="N39" i="140"/>
  <c r="O39" i="140"/>
  <c r="P39" i="140"/>
  <c r="F29" i="17"/>
  <c r="M29" i="17"/>
  <c r="E29" i="17"/>
  <c r="O29" i="17" s="1"/>
  <c r="P29" i="17" s="1"/>
  <c r="F31" i="154" s="1"/>
  <c r="I67" i="13"/>
  <c r="M67" i="14"/>
  <c r="B63" i="10"/>
  <c r="L63" i="9"/>
  <c r="N22" i="10"/>
  <c r="G59" i="25"/>
  <c r="F59" i="9"/>
  <c r="I59" i="9"/>
  <c r="K59" i="9"/>
  <c r="M59" i="13"/>
  <c r="H59" i="9"/>
  <c r="N59" i="12"/>
  <c r="J59" i="12"/>
  <c r="V76" i="21"/>
  <c r="P64" i="60"/>
  <c r="C64" i="60"/>
  <c r="C10" i="25" l="1"/>
  <c r="I10" i="36"/>
  <c r="B40" i="261"/>
  <c r="K43" i="13"/>
  <c r="L43" i="13" s="1"/>
  <c r="F28" i="17"/>
  <c r="K40" i="13"/>
  <c r="J12" i="268"/>
  <c r="C40" i="17"/>
  <c r="B22" i="17"/>
  <c r="B17" i="17"/>
  <c r="B43" i="17"/>
  <c r="B40" i="17"/>
  <c r="K40" i="19"/>
  <c r="M80" i="59"/>
  <c r="D80" i="19" s="1"/>
  <c r="M55" i="59"/>
  <c r="D55" i="19" s="1"/>
  <c r="M71" i="59"/>
  <c r="D71" i="19" s="1"/>
  <c r="I71" i="268" s="1"/>
  <c r="P49" i="13"/>
  <c r="O49" i="13" s="1"/>
  <c r="J49" i="13" s="1"/>
  <c r="F49" i="19" s="1"/>
  <c r="E49" i="19" s="1"/>
  <c r="Q39" i="12"/>
  <c r="J74" i="9"/>
  <c r="Q40" i="12"/>
  <c r="L88" i="9"/>
  <c r="G88" i="17" s="1"/>
  <c r="F31" i="261"/>
  <c r="B17" i="261"/>
  <c r="Q26" i="12"/>
  <c r="Q20" i="12"/>
  <c r="Q37" i="12"/>
  <c r="Q38" i="12"/>
  <c r="K50" i="9"/>
  <c r="Q43" i="12"/>
  <c r="H12" i="13"/>
  <c r="Q16" i="12"/>
  <c r="H40" i="13"/>
  <c r="B24" i="268"/>
  <c r="B80" i="10"/>
  <c r="C80" i="19" s="1"/>
  <c r="B80" i="19" s="1"/>
  <c r="B80" i="261" s="1"/>
  <c r="G88" i="10"/>
  <c r="L22" i="19"/>
  <c r="G64" i="10"/>
  <c r="F64" i="10" s="1"/>
  <c r="C64" i="10" s="1"/>
  <c r="N64" i="10" s="1"/>
  <c r="E23" i="116"/>
  <c r="D23" i="12"/>
  <c r="G23" i="12" s="1"/>
  <c r="F12" i="19"/>
  <c r="E12" i="19" s="1"/>
  <c r="L40" i="19"/>
  <c r="B23" i="25"/>
  <c r="I9" i="19"/>
  <c r="F20" i="261"/>
  <c r="G77" i="13"/>
  <c r="H77" i="13" s="1"/>
  <c r="F77" i="13" s="1"/>
  <c r="J77" i="13" s="1"/>
  <c r="F77" i="19" s="1"/>
  <c r="E37" i="261"/>
  <c r="O37" i="261" s="1"/>
  <c r="V37" i="261" s="1"/>
  <c r="K23" i="261"/>
  <c r="K23" i="268"/>
  <c r="C40" i="261"/>
  <c r="M40" i="261" s="1"/>
  <c r="H23" i="261"/>
  <c r="J23" i="268"/>
  <c r="B22" i="261"/>
  <c r="F28" i="261"/>
  <c r="J23" i="261"/>
  <c r="E74" i="140"/>
  <c r="J12" i="261"/>
  <c r="I12" i="261" s="1"/>
  <c r="L12" i="261" s="1"/>
  <c r="AH12" i="261" s="1"/>
  <c r="N49" i="10"/>
  <c r="E24" i="261"/>
  <c r="O24" i="261" s="1"/>
  <c r="V24" i="261" s="1"/>
  <c r="E68" i="140"/>
  <c r="F60" i="13"/>
  <c r="C24" i="268"/>
  <c r="I81" i="261"/>
  <c r="I81" i="268"/>
  <c r="I59" i="261"/>
  <c r="I59" i="268"/>
  <c r="I79" i="261"/>
  <c r="I79" i="268"/>
  <c r="I69" i="261"/>
  <c r="I69" i="268"/>
  <c r="I63" i="261"/>
  <c r="I63" i="268"/>
  <c r="I70" i="261"/>
  <c r="I70" i="268"/>
  <c r="C77" i="14"/>
  <c r="D77" i="14" s="1"/>
  <c r="I56" i="261"/>
  <c r="I56" i="268"/>
  <c r="I80" i="261"/>
  <c r="I80" i="268"/>
  <c r="I72" i="261"/>
  <c r="I72" i="268"/>
  <c r="I61" i="261"/>
  <c r="I61" i="268"/>
  <c r="I58" i="261"/>
  <c r="I58" i="268"/>
  <c r="I65" i="261"/>
  <c r="I65" i="268"/>
  <c r="E28" i="261"/>
  <c r="F34" i="261"/>
  <c r="I73" i="261"/>
  <c r="I73" i="268"/>
  <c r="I62" i="261"/>
  <c r="I62" i="268"/>
  <c r="I88" i="261"/>
  <c r="I88" i="268"/>
  <c r="I60" i="261"/>
  <c r="I60" i="268"/>
  <c r="I83" i="261"/>
  <c r="I83" i="268"/>
  <c r="I82" i="261"/>
  <c r="I82" i="268"/>
  <c r="I55" i="261"/>
  <c r="I55" i="268"/>
  <c r="H91" i="21"/>
  <c r="I75" i="261"/>
  <c r="I75" i="268"/>
  <c r="I57" i="261"/>
  <c r="I57" i="268"/>
  <c r="I85" i="261"/>
  <c r="I85" i="268"/>
  <c r="I76" i="261"/>
  <c r="I76" i="268"/>
  <c r="I78" i="261"/>
  <c r="I78" i="268"/>
  <c r="C77" i="24"/>
  <c r="I77" i="24" s="1"/>
  <c r="I12" i="268"/>
  <c r="I67" i="261"/>
  <c r="I67" i="268"/>
  <c r="I68" i="261"/>
  <c r="I68" i="268"/>
  <c r="I86" i="261"/>
  <c r="I86" i="268"/>
  <c r="I77" i="261"/>
  <c r="I77" i="268"/>
  <c r="I74" i="261"/>
  <c r="I74" i="268"/>
  <c r="F37" i="261"/>
  <c r="F40" i="261"/>
  <c r="O14" i="36"/>
  <c r="H14" i="36"/>
  <c r="F24" i="17"/>
  <c r="F14" i="36"/>
  <c r="P14" i="36" s="1"/>
  <c r="E24" i="268"/>
  <c r="O53" i="9"/>
  <c r="E42" i="19"/>
  <c r="E29" i="261"/>
  <c r="O29" i="261" s="1"/>
  <c r="F29" i="261"/>
  <c r="B13" i="261"/>
  <c r="B52" i="261"/>
  <c r="H13" i="268"/>
  <c r="J13" i="268"/>
  <c r="K13" i="268"/>
  <c r="E38" i="261"/>
  <c r="O38" i="261" s="1"/>
  <c r="T38" i="261" s="1"/>
  <c r="X38" i="261" s="1"/>
  <c r="F38" i="261"/>
  <c r="B32" i="261"/>
  <c r="F32" i="261" s="1"/>
  <c r="D24" i="268"/>
  <c r="B15" i="261"/>
  <c r="B30" i="261"/>
  <c r="B47" i="261"/>
  <c r="C11" i="261"/>
  <c r="E11" i="261" s="1"/>
  <c r="O11" i="261" s="1"/>
  <c r="B41" i="261"/>
  <c r="E41" i="261" s="1"/>
  <c r="O41" i="261" s="1"/>
  <c r="I10" i="268"/>
  <c r="F81" i="19"/>
  <c r="D81" i="12" s="1"/>
  <c r="J81" i="12" s="1"/>
  <c r="I83" i="24"/>
  <c r="B81" i="10"/>
  <c r="G81" i="10" s="1"/>
  <c r="U26" i="17"/>
  <c r="R46" i="8"/>
  <c r="C43" i="261"/>
  <c r="M43" i="261" s="1"/>
  <c r="F100" i="10"/>
  <c r="L41" i="17"/>
  <c r="T41" i="17" s="1"/>
  <c r="F35" i="19"/>
  <c r="E35" i="19" s="1"/>
  <c r="C30" i="261"/>
  <c r="Q19" i="12"/>
  <c r="C55" i="14"/>
  <c r="D55" i="14" s="1"/>
  <c r="C55" i="24"/>
  <c r="I55" i="24" s="1"/>
  <c r="S55" i="21"/>
  <c r="G55" i="13"/>
  <c r="F55" i="13" s="1"/>
  <c r="J55" i="13" s="1"/>
  <c r="F55" i="19" s="1"/>
  <c r="E57" i="140"/>
  <c r="D57" i="140" s="1"/>
  <c r="C57" i="140" s="1"/>
  <c r="B57" i="140" s="1"/>
  <c r="H57" i="60"/>
  <c r="Q57" i="60" s="1"/>
  <c r="F64" i="13"/>
  <c r="J64" i="13" s="1"/>
  <c r="F64" i="19" s="1"/>
  <c r="F83" i="13"/>
  <c r="I73" i="24"/>
  <c r="G64" i="17"/>
  <c r="B72" i="19"/>
  <c r="U37" i="13"/>
  <c r="K11" i="19"/>
  <c r="U35" i="13"/>
  <c r="B88" i="19"/>
  <c r="B88" i="261" s="1"/>
  <c r="N53" i="140"/>
  <c r="O53" i="140"/>
  <c r="Q53" i="140"/>
  <c r="P53" i="140"/>
  <c r="AH48" i="98"/>
  <c r="F73" i="13"/>
  <c r="S74" i="21"/>
  <c r="C74" i="14"/>
  <c r="D74" i="14" s="1"/>
  <c r="E76" i="140"/>
  <c r="D76" i="140" s="1"/>
  <c r="C76" i="140" s="1"/>
  <c r="B76" i="140" s="1"/>
  <c r="M76" i="140" s="1"/>
  <c r="H76" i="60"/>
  <c r="Q76" i="60" s="1"/>
  <c r="G74" i="13"/>
  <c r="F74" i="13" s="1"/>
  <c r="J74" i="13" s="1"/>
  <c r="F74" i="19" s="1"/>
  <c r="C74" i="24"/>
  <c r="I74" i="24" s="1"/>
  <c r="O74" i="257"/>
  <c r="Q74" i="257" s="1"/>
  <c r="O76" i="60"/>
  <c r="E90" i="8"/>
  <c r="F90" i="8" s="1"/>
  <c r="E39" i="19"/>
  <c r="K32" i="19"/>
  <c r="B74" i="10"/>
  <c r="C74" i="19" s="1"/>
  <c r="B74" i="19" s="1"/>
  <c r="B74" i="261" s="1"/>
  <c r="L32" i="19"/>
  <c r="F31" i="12"/>
  <c r="B32" i="17"/>
  <c r="E32" i="17" s="1"/>
  <c r="O32" i="17" s="1"/>
  <c r="AI26" i="261"/>
  <c r="V20" i="261"/>
  <c r="T20" i="261"/>
  <c r="X20" i="261" s="1"/>
  <c r="U20" i="261"/>
  <c r="Y20" i="261" s="1"/>
  <c r="S20" i="261"/>
  <c r="W20" i="261" s="1"/>
  <c r="V31" i="261"/>
  <c r="V34" i="261"/>
  <c r="S34" i="261"/>
  <c r="W34" i="261" s="1"/>
  <c r="T34" i="261"/>
  <c r="X34" i="261" s="1"/>
  <c r="U34" i="261"/>
  <c r="Y34" i="261" s="1"/>
  <c r="V26" i="261"/>
  <c r="S26" i="261"/>
  <c r="W26" i="261" s="1"/>
  <c r="T26" i="261"/>
  <c r="X26" i="261" s="1"/>
  <c r="U26" i="261"/>
  <c r="Y26" i="261" s="1"/>
  <c r="I10" i="261"/>
  <c r="AI24" i="261"/>
  <c r="AI31" i="261"/>
  <c r="AI20" i="261"/>
  <c r="G61" i="17"/>
  <c r="G61" i="261"/>
  <c r="G82" i="17"/>
  <c r="G82" i="261"/>
  <c r="G76" i="17"/>
  <c r="G76" i="261"/>
  <c r="G74" i="17"/>
  <c r="G74" i="261"/>
  <c r="N46" i="8"/>
  <c r="G65" i="17"/>
  <c r="G65" i="261"/>
  <c r="B84" i="10"/>
  <c r="L84" i="9"/>
  <c r="J83" i="10"/>
  <c r="P83" i="13" s="1"/>
  <c r="O83" i="13" s="1"/>
  <c r="F83" i="10"/>
  <c r="C83" i="10" s="1"/>
  <c r="N83" i="10" s="1"/>
  <c r="C83" i="19"/>
  <c r="B83" i="19" s="1"/>
  <c r="G57" i="17"/>
  <c r="G57" i="261"/>
  <c r="G75" i="17"/>
  <c r="G75" i="261"/>
  <c r="M45" i="8"/>
  <c r="R45" i="8" s="1"/>
  <c r="G87" i="17"/>
  <c r="G87" i="261"/>
  <c r="G79" i="17"/>
  <c r="G79" i="261"/>
  <c r="G80" i="17"/>
  <c r="G80" i="261"/>
  <c r="B69" i="10"/>
  <c r="L69" i="9"/>
  <c r="K27" i="13"/>
  <c r="B27" i="13" s="1"/>
  <c r="F27" i="19"/>
  <c r="E27" i="19" s="1"/>
  <c r="B54" i="10"/>
  <c r="L54" i="9"/>
  <c r="L78" i="9"/>
  <c r="B78" i="10"/>
  <c r="L86" i="9"/>
  <c r="B86" i="10"/>
  <c r="G70" i="17"/>
  <c r="G70" i="261"/>
  <c r="H13" i="261"/>
  <c r="J13" i="261"/>
  <c r="K13" i="261"/>
  <c r="L56" i="9"/>
  <c r="B56" i="10"/>
  <c r="G83" i="17"/>
  <c r="G83" i="261"/>
  <c r="B62" i="10"/>
  <c r="L62" i="9"/>
  <c r="G68" i="17"/>
  <c r="G68" i="261"/>
  <c r="G67" i="17"/>
  <c r="G67" i="261"/>
  <c r="G85" i="17"/>
  <c r="G85" i="261"/>
  <c r="N27" i="10"/>
  <c r="L27" i="19"/>
  <c r="B27" i="261"/>
  <c r="B27" i="17"/>
  <c r="G63" i="17"/>
  <c r="G63" i="261"/>
  <c r="G81" i="17"/>
  <c r="G81" i="261"/>
  <c r="R14" i="8"/>
  <c r="G89" i="17"/>
  <c r="G89" i="261"/>
  <c r="G10" i="17"/>
  <c r="G10" i="261"/>
  <c r="L58" i="9"/>
  <c r="B58" i="10"/>
  <c r="L66" i="9"/>
  <c r="B66" i="10"/>
  <c r="AI28" i="261"/>
  <c r="B60" i="10"/>
  <c r="L60" i="9"/>
  <c r="B73" i="10"/>
  <c r="L73" i="9"/>
  <c r="L71" i="9"/>
  <c r="B71" i="10"/>
  <c r="AI34" i="261"/>
  <c r="B55" i="10"/>
  <c r="L55" i="9"/>
  <c r="D96" i="8"/>
  <c r="Q15" i="12"/>
  <c r="Q41" i="140"/>
  <c r="H53" i="9"/>
  <c r="K53" i="9"/>
  <c r="Q52" i="140"/>
  <c r="N52" i="140"/>
  <c r="P52" i="140"/>
  <c r="O52" i="140"/>
  <c r="F50" i="9"/>
  <c r="M16" i="140"/>
  <c r="P42" i="36"/>
  <c r="D49" i="12"/>
  <c r="G49" i="12" s="1"/>
  <c r="N49" i="12" s="1"/>
  <c r="N41" i="10"/>
  <c r="Q21" i="12"/>
  <c r="Q18" i="12"/>
  <c r="I13" i="9"/>
  <c r="E13" i="116"/>
  <c r="B13" i="25"/>
  <c r="J13" i="17"/>
  <c r="L13" i="9"/>
  <c r="H13" i="17"/>
  <c r="K13" i="17"/>
  <c r="J42" i="12"/>
  <c r="G42" i="12"/>
  <c r="N42" i="12" s="1"/>
  <c r="B41" i="17"/>
  <c r="L41" i="19"/>
  <c r="K41" i="19"/>
  <c r="E42" i="12"/>
  <c r="C42" i="12" s="1"/>
  <c r="U42" i="13"/>
  <c r="Q17" i="12"/>
  <c r="D10" i="25"/>
  <c r="I13" i="36"/>
  <c r="C13" i="25"/>
  <c r="L13" i="36"/>
  <c r="I10" i="17"/>
  <c r="F30" i="12"/>
  <c r="U24" i="17"/>
  <c r="J10" i="36"/>
  <c r="J10" i="9"/>
  <c r="O13" i="9"/>
  <c r="L13" i="19"/>
  <c r="B13" i="17"/>
  <c r="B44" i="13"/>
  <c r="C44" i="12"/>
  <c r="H44" i="12"/>
  <c r="O44" i="12" s="1"/>
  <c r="J59" i="9"/>
  <c r="Q14" i="8"/>
  <c r="Q46" i="8"/>
  <c r="J33" i="36"/>
  <c r="Q41" i="12"/>
  <c r="P24" i="17"/>
  <c r="D12" i="19"/>
  <c r="H9" i="19"/>
  <c r="K48" i="13"/>
  <c r="B48" i="13" s="1"/>
  <c r="E48" i="12" s="1"/>
  <c r="F48" i="19"/>
  <c r="L14" i="13"/>
  <c r="M38" i="17"/>
  <c r="E38" i="17"/>
  <c r="F38" i="17"/>
  <c r="E28" i="17"/>
  <c r="U28" i="17" s="1"/>
  <c r="E34" i="17"/>
  <c r="O34" i="17" s="1"/>
  <c r="P34" i="17" s="1"/>
  <c r="F36" i="154" s="1"/>
  <c r="K36" i="154" s="1"/>
  <c r="F34" i="17"/>
  <c r="N52" i="10"/>
  <c r="E10" i="19"/>
  <c r="D10" i="12"/>
  <c r="F13" i="19"/>
  <c r="K13" i="13"/>
  <c r="U11" i="13"/>
  <c r="F27" i="8"/>
  <c r="E9" i="8"/>
  <c r="K9" i="8" s="1"/>
  <c r="B27" i="9"/>
  <c r="G27" i="8"/>
  <c r="G9" i="8" s="1"/>
  <c r="K27" i="8"/>
  <c r="I27" i="8"/>
  <c r="I12" i="17"/>
  <c r="L12" i="17" s="1"/>
  <c r="T12" i="17" s="1"/>
  <c r="D14" i="12"/>
  <c r="E14" i="19"/>
  <c r="C30" i="13"/>
  <c r="L30" i="13"/>
  <c r="Q51" i="140"/>
  <c r="Q11" i="12"/>
  <c r="Q29" i="12"/>
  <c r="J14" i="36"/>
  <c r="P47" i="13"/>
  <c r="O47" i="13" s="1"/>
  <c r="J47" i="13" s="1"/>
  <c r="F47" i="19" s="1"/>
  <c r="B52" i="17"/>
  <c r="L52" i="19"/>
  <c r="C11" i="17"/>
  <c r="E11" i="17" s="1"/>
  <c r="O11" i="17" s="1"/>
  <c r="P11" i="17" s="1"/>
  <c r="F13" i="154" s="1"/>
  <c r="K13" i="154" s="1"/>
  <c r="E31" i="17"/>
  <c r="F31" i="17"/>
  <c r="F46" i="19"/>
  <c r="K46" i="13"/>
  <c r="R89" i="8"/>
  <c r="N89" i="8"/>
  <c r="M53" i="8"/>
  <c r="C23" i="25"/>
  <c r="D23" i="25" s="1"/>
  <c r="D23" i="36"/>
  <c r="P26" i="17"/>
  <c r="F28" i="154" s="1"/>
  <c r="K28" i="154" s="1"/>
  <c r="C30" i="17"/>
  <c r="L10" i="13"/>
  <c r="E10" i="12"/>
  <c r="U10" i="13"/>
  <c r="Q50" i="140"/>
  <c r="K49" i="13"/>
  <c r="B49" i="13" s="1"/>
  <c r="L49" i="13" s="1"/>
  <c r="J42" i="36"/>
  <c r="C89" i="19"/>
  <c r="B89" i="19" s="1"/>
  <c r="F89" i="10"/>
  <c r="C89" i="10" s="1"/>
  <c r="N89" i="10" s="1"/>
  <c r="J89" i="10"/>
  <c r="P89" i="13" s="1"/>
  <c r="O89" i="13" s="1"/>
  <c r="J89" i="13" s="1"/>
  <c r="E14" i="12"/>
  <c r="U14" i="13"/>
  <c r="P52" i="13"/>
  <c r="O52" i="13" s="1"/>
  <c r="J52" i="13" s="1"/>
  <c r="Q35" i="12"/>
  <c r="E28" i="12"/>
  <c r="U28" i="13"/>
  <c r="K13" i="10"/>
  <c r="N13" i="10"/>
  <c r="G53" i="8"/>
  <c r="P53" i="8" s="1"/>
  <c r="P89" i="8"/>
  <c r="F37" i="17"/>
  <c r="E37" i="17"/>
  <c r="Q53" i="8"/>
  <c r="J65" i="13"/>
  <c r="K65" i="13" s="1"/>
  <c r="G58" i="13"/>
  <c r="F58" i="13" s="1"/>
  <c r="E60" i="140"/>
  <c r="H60" i="60"/>
  <c r="C58" i="14"/>
  <c r="D58" i="14" s="1"/>
  <c r="C58" i="24"/>
  <c r="I58" i="24" s="1"/>
  <c r="S58" i="21"/>
  <c r="B81" i="13"/>
  <c r="L81" i="13" s="1"/>
  <c r="O64" i="60"/>
  <c r="O62" i="257"/>
  <c r="Q62" i="257" s="1"/>
  <c r="P86" i="60"/>
  <c r="C86" i="60"/>
  <c r="AJ81" i="99"/>
  <c r="AJ33" i="99"/>
  <c r="AC34" i="99"/>
  <c r="AC25" i="99"/>
  <c r="AC85" i="99"/>
  <c r="AJ65" i="99"/>
  <c r="AC87" i="99"/>
  <c r="AJ80" i="99"/>
  <c r="AJ14" i="99"/>
  <c r="AJ10" i="99"/>
  <c r="AC40" i="99"/>
  <c r="AC81" i="99"/>
  <c r="AC52" i="99"/>
  <c r="AC68" i="99"/>
  <c r="AJ36" i="99"/>
  <c r="AC20" i="99"/>
  <c r="AC39" i="99"/>
  <c r="AC18" i="99"/>
  <c r="AC44" i="99"/>
  <c r="AJ57" i="99"/>
  <c r="AC21" i="99"/>
  <c r="AC84" i="99"/>
  <c r="AC71" i="99"/>
  <c r="AJ39" i="99"/>
  <c r="AC79" i="99"/>
  <c r="AC35" i="99"/>
  <c r="AC11" i="99"/>
  <c r="AJ61" i="99"/>
  <c r="AJ25" i="99"/>
  <c r="AC64" i="99"/>
  <c r="AJ85" i="99"/>
  <c r="AC74" i="99"/>
  <c r="AJ12" i="99"/>
  <c r="AC19" i="99"/>
  <c r="AJ60" i="99"/>
  <c r="AC76" i="99"/>
  <c r="AJ66" i="99"/>
  <c r="AJ73" i="99"/>
  <c r="AJ35" i="99"/>
  <c r="AJ67" i="99"/>
  <c r="AC38" i="99"/>
  <c r="AJ37" i="99"/>
  <c r="AC56" i="99"/>
  <c r="AJ15" i="99"/>
  <c r="AJ64" i="99"/>
  <c r="AJ9" i="99"/>
  <c r="AJ59" i="99"/>
  <c r="AJ20" i="99"/>
  <c r="AJ23" i="99"/>
  <c r="AJ40" i="99"/>
  <c r="AJ29" i="99"/>
  <c r="AC86" i="99"/>
  <c r="AJ54" i="99"/>
  <c r="AC90" i="99"/>
  <c r="AC58" i="99"/>
  <c r="AJ18" i="99"/>
  <c r="AC61" i="99"/>
  <c r="AJ75" i="99"/>
  <c r="AJ74" i="99"/>
  <c r="AJ83" i="99"/>
  <c r="AJ21" i="99"/>
  <c r="AJ78" i="99"/>
  <c r="AJ30" i="99"/>
  <c r="AC60" i="99"/>
  <c r="AJ82" i="99"/>
  <c r="AC17" i="99"/>
  <c r="AJ53" i="99"/>
  <c r="AJ42" i="99"/>
  <c r="AC66" i="99"/>
  <c r="AC70" i="99"/>
  <c r="AC14" i="99"/>
  <c r="AJ11" i="99"/>
  <c r="AJ88" i="99"/>
  <c r="AC75" i="99"/>
  <c r="AC88" i="99"/>
  <c r="AC55" i="99"/>
  <c r="AC29" i="99"/>
  <c r="AJ17" i="99"/>
  <c r="AC54" i="99"/>
  <c r="AJ26" i="99"/>
  <c r="AJ55" i="99"/>
  <c r="AJ43" i="99"/>
  <c r="AJ69" i="99"/>
  <c r="AC83" i="99"/>
  <c r="AJ31" i="99"/>
  <c r="AJ28" i="99"/>
  <c r="AC37" i="99"/>
  <c r="AJ38" i="99"/>
  <c r="AC15" i="99"/>
  <c r="AJ70" i="99"/>
  <c r="AJ68" i="99"/>
  <c r="AJ79" i="99"/>
  <c r="AJ34" i="99"/>
  <c r="AJ84" i="99"/>
  <c r="AC36" i="99"/>
  <c r="AC63" i="99"/>
  <c r="AJ62" i="99"/>
  <c r="AC16" i="99"/>
  <c r="AC28" i="99"/>
  <c r="AJ13" i="99"/>
  <c r="AC77" i="99"/>
  <c r="AC72" i="99"/>
  <c r="AC42" i="99"/>
  <c r="AJ71" i="99"/>
  <c r="AC80" i="99"/>
  <c r="AC59" i="99"/>
  <c r="AJ41" i="99"/>
  <c r="AJ32" i="99"/>
  <c r="AJ77" i="99"/>
  <c r="AC67" i="99"/>
  <c r="AC53" i="99"/>
  <c r="AC65" i="99"/>
  <c r="AC10" i="99"/>
  <c r="AJ87" i="99"/>
  <c r="AC57" i="99"/>
  <c r="AJ63" i="99"/>
  <c r="AJ72" i="99"/>
  <c r="AJ44" i="99"/>
  <c r="AJ19" i="99"/>
  <c r="AJ27" i="99"/>
  <c r="AC69" i="99"/>
  <c r="AC82" i="99"/>
  <c r="AJ52" i="99"/>
  <c r="AJ16" i="99"/>
  <c r="AC73" i="99"/>
  <c r="AJ56" i="99"/>
  <c r="AC62" i="99"/>
  <c r="AJ58" i="99"/>
  <c r="AC78" i="99"/>
  <c r="AC23" i="99"/>
  <c r="AJ86" i="99"/>
  <c r="AJ76" i="99"/>
  <c r="AC22" i="99"/>
  <c r="AC46" i="99"/>
  <c r="AC48" i="99"/>
  <c r="AC13" i="99"/>
  <c r="AC24" i="99"/>
  <c r="AC41" i="99"/>
  <c r="AC30" i="99"/>
  <c r="AC33" i="99"/>
  <c r="AC51" i="99"/>
  <c r="AC26" i="99"/>
  <c r="AC89" i="99"/>
  <c r="AC45" i="99"/>
  <c r="AC47" i="99"/>
  <c r="AC50" i="99"/>
  <c r="AC49" i="99"/>
  <c r="AC12" i="99"/>
  <c r="AC32" i="99"/>
  <c r="AC43" i="99"/>
  <c r="AC27" i="99"/>
  <c r="O83" i="60"/>
  <c r="O81" i="257"/>
  <c r="Q81" i="257" s="1"/>
  <c r="Q79" i="60"/>
  <c r="K22" i="13"/>
  <c r="L22" i="13" s="1"/>
  <c r="F22" i="19"/>
  <c r="E22" i="19" s="1"/>
  <c r="Q84" i="60"/>
  <c r="AH31" i="99"/>
  <c r="AH73" i="99"/>
  <c r="AH46" i="99"/>
  <c r="AI46" i="99" s="1"/>
  <c r="AJ46" i="99" s="1"/>
  <c r="AH62" i="99"/>
  <c r="AH90" i="99"/>
  <c r="AH10" i="99"/>
  <c r="AH11" i="99"/>
  <c r="AH56" i="99"/>
  <c r="AH60" i="99"/>
  <c r="AH9" i="99"/>
  <c r="AH51" i="99"/>
  <c r="AI51" i="99" s="1"/>
  <c r="AJ51" i="99" s="1"/>
  <c r="AH63" i="99"/>
  <c r="AH71" i="99"/>
  <c r="AH75" i="99"/>
  <c r="AH57" i="99"/>
  <c r="AH52" i="99"/>
  <c r="AH82" i="99"/>
  <c r="AH17" i="99"/>
  <c r="AH78" i="99"/>
  <c r="AH35" i="99"/>
  <c r="AH15" i="99"/>
  <c r="AH45" i="99"/>
  <c r="AI45" i="99" s="1"/>
  <c r="AJ45" i="99" s="1"/>
  <c r="AH12" i="99"/>
  <c r="AH44" i="99"/>
  <c r="AH28" i="99"/>
  <c r="AH41" i="99"/>
  <c r="AH61" i="99"/>
  <c r="AH76" i="99"/>
  <c r="AH37" i="99"/>
  <c r="AH58" i="99"/>
  <c r="AH14" i="99"/>
  <c r="AH32" i="99"/>
  <c r="AH64" i="99"/>
  <c r="AH50" i="99"/>
  <c r="AI50" i="99" s="1"/>
  <c r="AJ50" i="99" s="1"/>
  <c r="AH86" i="99"/>
  <c r="AH70" i="99"/>
  <c r="AH26" i="99"/>
  <c r="AH30" i="99"/>
  <c r="AH74" i="99"/>
  <c r="AH42" i="99"/>
  <c r="AH66" i="99"/>
  <c r="AH53" i="99"/>
  <c r="AH49" i="99"/>
  <c r="AI49" i="99" s="1"/>
  <c r="AJ49" i="99" s="1"/>
  <c r="AH88" i="99"/>
  <c r="AH68" i="99"/>
  <c r="AH83" i="99"/>
  <c r="AH54" i="99"/>
  <c r="AH69" i="99"/>
  <c r="AH59" i="99"/>
  <c r="AH87" i="99"/>
  <c r="AH55" i="99"/>
  <c r="AH29" i="99"/>
  <c r="AH21" i="99"/>
  <c r="AH39" i="99"/>
  <c r="AH27" i="99"/>
  <c r="AH84" i="99"/>
  <c r="AH40" i="99"/>
  <c r="AH65" i="99"/>
  <c r="AH23" i="99"/>
  <c r="AH19" i="99"/>
  <c r="AH67" i="99"/>
  <c r="AH25" i="99"/>
  <c r="AH20" i="99"/>
  <c r="AH22" i="99"/>
  <c r="AH43" i="99"/>
  <c r="AH72" i="99"/>
  <c r="AH33" i="99"/>
  <c r="AH16" i="99"/>
  <c r="AH18" i="99"/>
  <c r="AH36" i="99"/>
  <c r="AH85" i="99"/>
  <c r="AH80" i="99"/>
  <c r="AH38" i="99"/>
  <c r="AH13" i="99"/>
  <c r="AH77" i="99"/>
  <c r="AH79" i="99"/>
  <c r="AH81" i="99"/>
  <c r="AH34" i="99"/>
  <c r="E56" i="60"/>
  <c r="G92" i="60"/>
  <c r="I54" i="13"/>
  <c r="M54" i="14"/>
  <c r="F91" i="21"/>
  <c r="D62" i="140"/>
  <c r="C62" i="140" s="1"/>
  <c r="B62" i="140" s="1"/>
  <c r="J56" i="13"/>
  <c r="F56" i="19" s="1"/>
  <c r="C65" i="19"/>
  <c r="B65" i="19" s="1"/>
  <c r="B65" i="261" s="1"/>
  <c r="G65" i="10"/>
  <c r="F65" i="10" s="1"/>
  <c r="C65" i="10" s="1"/>
  <c r="N65" i="10" s="1"/>
  <c r="K21" i="13"/>
  <c r="L21" i="13" s="1"/>
  <c r="F21" i="19"/>
  <c r="E21" i="19" s="1"/>
  <c r="K17" i="13"/>
  <c r="L17" i="13" s="1"/>
  <c r="F17" i="19"/>
  <c r="E17" i="19" s="1"/>
  <c r="M35" i="140"/>
  <c r="R33" i="8"/>
  <c r="N33" i="8"/>
  <c r="O85" i="140"/>
  <c r="D85" i="140"/>
  <c r="G85" i="140" s="1"/>
  <c r="J85" i="60" s="1"/>
  <c r="B30" i="17"/>
  <c r="L30" i="19"/>
  <c r="K30" i="19"/>
  <c r="C61" i="19"/>
  <c r="B61" i="19" s="1"/>
  <c r="B61" i="261" s="1"/>
  <c r="G61" i="10"/>
  <c r="F61" i="10" s="1"/>
  <c r="C61" i="10" s="1"/>
  <c r="N61" i="10" s="1"/>
  <c r="C87" i="19"/>
  <c r="B87" i="19" s="1"/>
  <c r="B87" i="261" s="1"/>
  <c r="G87" i="10"/>
  <c r="F87" i="10" s="1"/>
  <c r="C87" i="10" s="1"/>
  <c r="N87" i="10" s="1"/>
  <c r="K18" i="13"/>
  <c r="L18" i="13" s="1"/>
  <c r="F18" i="19"/>
  <c r="E18" i="19" s="1"/>
  <c r="J83" i="13"/>
  <c r="F83" i="19" s="1"/>
  <c r="I75" i="17"/>
  <c r="I73" i="17"/>
  <c r="I79" i="17"/>
  <c r="I85" i="17"/>
  <c r="D54" i="19"/>
  <c r="I63" i="17"/>
  <c r="I78" i="17"/>
  <c r="I60" i="17"/>
  <c r="U29" i="17"/>
  <c r="C57" i="19"/>
  <c r="B57" i="19" s="1"/>
  <c r="B57" i="261" s="1"/>
  <c r="G57" i="10"/>
  <c r="F57" i="10" s="1"/>
  <c r="C57" i="10" s="1"/>
  <c r="N57" i="10" s="1"/>
  <c r="G45" i="8"/>
  <c r="P45" i="8" s="1"/>
  <c r="P46" i="8"/>
  <c r="C75" i="19"/>
  <c r="B75" i="19" s="1"/>
  <c r="B75" i="261" s="1"/>
  <c r="G75" i="10"/>
  <c r="AH89" i="99"/>
  <c r="C78" i="60"/>
  <c r="P78" i="60"/>
  <c r="M59" i="140"/>
  <c r="J90" i="8"/>
  <c r="Q45" i="8"/>
  <c r="D79" i="140"/>
  <c r="C79" i="140" s="1"/>
  <c r="B79" i="140" s="1"/>
  <c r="J75" i="13"/>
  <c r="K75" i="13" s="1"/>
  <c r="L12" i="13"/>
  <c r="Q49" i="60"/>
  <c r="I23" i="17"/>
  <c r="M91" i="140"/>
  <c r="AH47" i="99"/>
  <c r="D67" i="140"/>
  <c r="C67" i="140" s="1"/>
  <c r="B67" i="140" s="1"/>
  <c r="N48" i="140"/>
  <c r="O48" i="140"/>
  <c r="P48" i="140"/>
  <c r="Q48" i="140"/>
  <c r="P87" i="60"/>
  <c r="C87" i="60"/>
  <c r="AH24" i="99"/>
  <c r="K56" i="13"/>
  <c r="B56" i="13" s="1"/>
  <c r="K16" i="13"/>
  <c r="L16" i="13" s="1"/>
  <c r="F16" i="19"/>
  <c r="E16" i="19" s="1"/>
  <c r="J88" i="13"/>
  <c r="F88" i="19" s="1"/>
  <c r="D88" i="12" s="1"/>
  <c r="O55" i="257"/>
  <c r="Q55" i="257" s="1"/>
  <c r="O57" i="60"/>
  <c r="C68" i="19"/>
  <c r="B68" i="19" s="1"/>
  <c r="B68" i="261" s="1"/>
  <c r="G68" i="10"/>
  <c r="F68" i="10" s="1"/>
  <c r="C68" i="10" s="1"/>
  <c r="N68" i="10" s="1"/>
  <c r="C74" i="60"/>
  <c r="P74" i="60"/>
  <c r="G70" i="13"/>
  <c r="F70" i="13" s="1"/>
  <c r="C70" i="24"/>
  <c r="I70" i="24" s="1"/>
  <c r="C70" i="14"/>
  <c r="D70" i="14" s="1"/>
  <c r="E72" i="140"/>
  <c r="H72" i="60"/>
  <c r="S70" i="21"/>
  <c r="L40" i="13"/>
  <c r="U40" i="13"/>
  <c r="Q85" i="60"/>
  <c r="D82" i="140"/>
  <c r="C82" i="140" s="1"/>
  <c r="B82" i="140" s="1"/>
  <c r="J80" i="13"/>
  <c r="K80" i="13" s="1"/>
  <c r="B80" i="13" s="1"/>
  <c r="D80" i="140"/>
  <c r="C80" i="140" s="1"/>
  <c r="B80" i="140" s="1"/>
  <c r="O82" i="257"/>
  <c r="Q82" i="257" s="1"/>
  <c r="O84" i="60"/>
  <c r="D89" i="140"/>
  <c r="C89" i="140" s="1"/>
  <c r="B89" i="140" s="1"/>
  <c r="K47" i="10"/>
  <c r="F101" i="10"/>
  <c r="D65" i="140"/>
  <c r="C65" i="140" s="1"/>
  <c r="B65" i="140" s="1"/>
  <c r="D87" i="140"/>
  <c r="C87" i="140" s="1"/>
  <c r="B87" i="140" s="1"/>
  <c r="Q62" i="60"/>
  <c r="C76" i="19"/>
  <c r="B76" i="19" s="1"/>
  <c r="B76" i="261" s="1"/>
  <c r="G76" i="10"/>
  <c r="K77" i="13"/>
  <c r="B77" i="13" s="1"/>
  <c r="J68" i="13"/>
  <c r="K68" i="13" s="1"/>
  <c r="B68" i="13" s="1"/>
  <c r="I68" i="17"/>
  <c r="I67" i="17"/>
  <c r="I72" i="17"/>
  <c r="I77" i="17"/>
  <c r="B77" i="19"/>
  <c r="I81" i="17"/>
  <c r="I58" i="17"/>
  <c r="I74" i="17"/>
  <c r="I56" i="17"/>
  <c r="B59" i="10"/>
  <c r="L59" i="9"/>
  <c r="P50" i="140"/>
  <c r="N50" i="140"/>
  <c r="O50" i="140"/>
  <c r="M77" i="140"/>
  <c r="E88" i="140"/>
  <c r="G86" i="13"/>
  <c r="F86" i="13" s="1"/>
  <c r="C86" i="24"/>
  <c r="I86" i="24" s="1"/>
  <c r="H88" i="60"/>
  <c r="C86" i="14"/>
  <c r="D86" i="14" s="1"/>
  <c r="S86" i="21"/>
  <c r="J57" i="13"/>
  <c r="F57" i="19" s="1"/>
  <c r="P82" i="60"/>
  <c r="C82" i="60"/>
  <c r="P68" i="60"/>
  <c r="C68" i="60"/>
  <c r="J87" i="13"/>
  <c r="J63" i="13"/>
  <c r="K63" i="13" s="1"/>
  <c r="B63" i="13" s="1"/>
  <c r="P62" i="60"/>
  <c r="C62" i="60"/>
  <c r="K19" i="13"/>
  <c r="L19" i="13" s="1"/>
  <c r="F19" i="19"/>
  <c r="E19" i="19" s="1"/>
  <c r="G63" i="10"/>
  <c r="C63" i="19"/>
  <c r="B63" i="19" s="1"/>
  <c r="B63" i="261" s="1"/>
  <c r="G9" i="19"/>
  <c r="G91" i="19" s="1"/>
  <c r="G98" i="19" s="1"/>
  <c r="B51" i="10"/>
  <c r="C54" i="127"/>
  <c r="L51" i="9"/>
  <c r="G61" i="13"/>
  <c r="F61" i="13" s="1"/>
  <c r="C61" i="24"/>
  <c r="I61" i="24" s="1"/>
  <c r="C61" i="14"/>
  <c r="D61" i="14" s="1"/>
  <c r="S61" i="21"/>
  <c r="E63" i="140"/>
  <c r="H63" i="60"/>
  <c r="G76" i="13"/>
  <c r="F76" i="13" s="1"/>
  <c r="C76" i="14"/>
  <c r="D76" i="14" s="1"/>
  <c r="C76" i="24"/>
  <c r="I76" i="24" s="1"/>
  <c r="H78" i="60"/>
  <c r="S76" i="21"/>
  <c r="E78" i="140"/>
  <c r="N51" i="140"/>
  <c r="P51" i="140"/>
  <c r="O51" i="140"/>
  <c r="AJ44" i="98"/>
  <c r="AJ78" i="98"/>
  <c r="AC15" i="98"/>
  <c r="AJ43" i="98"/>
  <c r="AC56" i="98"/>
  <c r="AJ86" i="98"/>
  <c r="AJ29" i="98"/>
  <c r="AC38" i="98"/>
  <c r="AJ54" i="98"/>
  <c r="AC86" i="98"/>
  <c r="AJ11" i="98"/>
  <c r="AJ20" i="98"/>
  <c r="AJ76" i="98"/>
  <c r="AJ16" i="98"/>
  <c r="AC85" i="98"/>
  <c r="AC65" i="98"/>
  <c r="AJ55" i="98"/>
  <c r="AC82" i="98"/>
  <c r="AJ28" i="98"/>
  <c r="AC23" i="98"/>
  <c r="AC62" i="98"/>
  <c r="AC53" i="98"/>
  <c r="AC54" i="98"/>
  <c r="AC55" i="98"/>
  <c r="AJ74" i="98"/>
  <c r="AJ41" i="98"/>
  <c r="AC11" i="98"/>
  <c r="AC10" i="98"/>
  <c r="AC69" i="98"/>
  <c r="AC20" i="98"/>
  <c r="AC58" i="98"/>
  <c r="AJ17" i="98"/>
  <c r="AC57" i="98"/>
  <c r="AJ69" i="98"/>
  <c r="AJ77" i="98"/>
  <c r="AC73" i="98"/>
  <c r="AJ68" i="98"/>
  <c r="AC90" i="98"/>
  <c r="AJ75" i="98"/>
  <c r="AJ38" i="98"/>
  <c r="AJ10" i="98"/>
  <c r="AJ59" i="98"/>
  <c r="AC19" i="98"/>
  <c r="AJ15" i="98"/>
  <c r="AJ12" i="98"/>
  <c r="AC77" i="98"/>
  <c r="AJ14" i="98"/>
  <c r="AJ61" i="98"/>
  <c r="AC52" i="98"/>
  <c r="AJ27" i="98"/>
  <c r="AJ21" i="98"/>
  <c r="AC61" i="98"/>
  <c r="AC72" i="98"/>
  <c r="AJ70" i="98"/>
  <c r="AJ64" i="98"/>
  <c r="AC14" i="98"/>
  <c r="AJ42" i="98"/>
  <c r="AC17" i="98"/>
  <c r="AC81" i="98"/>
  <c r="AJ30" i="98"/>
  <c r="AJ85" i="98"/>
  <c r="AJ58" i="98"/>
  <c r="AC18" i="98"/>
  <c r="AC79" i="98"/>
  <c r="AJ26" i="98"/>
  <c r="AC28" i="98"/>
  <c r="AJ63" i="98"/>
  <c r="AJ79" i="98"/>
  <c r="AJ83" i="98"/>
  <c r="AC66" i="98"/>
  <c r="AC36" i="98"/>
  <c r="AJ67" i="98"/>
  <c r="AJ9" i="98"/>
  <c r="AJ52" i="98"/>
  <c r="AJ73" i="98"/>
  <c r="AC44" i="98"/>
  <c r="AJ23" i="98"/>
  <c r="AC39" i="98"/>
  <c r="AJ88" i="98"/>
  <c r="AC74" i="98"/>
  <c r="AC21" i="98"/>
  <c r="AC75" i="98"/>
  <c r="AC78" i="98"/>
  <c r="AC34" i="98"/>
  <c r="AJ62" i="98"/>
  <c r="AJ53" i="98"/>
  <c r="AJ82" i="98"/>
  <c r="AC16" i="98"/>
  <c r="AJ33" i="98"/>
  <c r="AJ65" i="98"/>
  <c r="AJ71" i="98"/>
  <c r="AC87" i="98"/>
  <c r="AC70" i="98"/>
  <c r="AC40" i="98"/>
  <c r="AC35" i="98"/>
  <c r="AC25" i="98"/>
  <c r="AC84" i="98"/>
  <c r="AJ36" i="98"/>
  <c r="AJ56" i="98"/>
  <c r="AJ80" i="98"/>
  <c r="AJ81" i="98"/>
  <c r="AC80" i="98"/>
  <c r="AC88" i="98"/>
  <c r="AJ18" i="98"/>
  <c r="AJ19" i="98"/>
  <c r="AJ72" i="98"/>
  <c r="AJ87" i="98"/>
  <c r="AJ31" i="98"/>
  <c r="AC63" i="98"/>
  <c r="AC29" i="98"/>
  <c r="AJ37" i="98"/>
  <c r="AC67" i="98"/>
  <c r="AC83" i="98"/>
  <c r="AC71" i="98"/>
  <c r="AJ84" i="98"/>
  <c r="AJ13" i="98"/>
  <c r="AJ25" i="98"/>
  <c r="AJ40" i="98"/>
  <c r="AC59" i="98"/>
  <c r="AC60" i="98"/>
  <c r="AJ66" i="98"/>
  <c r="AC68" i="98"/>
  <c r="AJ39" i="98"/>
  <c r="AJ34" i="98"/>
  <c r="AC37" i="98"/>
  <c r="AJ57" i="98"/>
  <c r="AC42" i="98"/>
  <c r="AJ35" i="98"/>
  <c r="AJ32" i="98"/>
  <c r="AJ60" i="98"/>
  <c r="AC64" i="98"/>
  <c r="AC76" i="98"/>
  <c r="AC12" i="98"/>
  <c r="AC46" i="98"/>
  <c r="AC50" i="98"/>
  <c r="AC43" i="98"/>
  <c r="AC48" i="98"/>
  <c r="AC47" i="98"/>
  <c r="AC89" i="98"/>
  <c r="AC41" i="98"/>
  <c r="AC32" i="98"/>
  <c r="AC13" i="98"/>
  <c r="AC27" i="98"/>
  <c r="AC22" i="98"/>
  <c r="AC51" i="98"/>
  <c r="AC30" i="98"/>
  <c r="AC24" i="98"/>
  <c r="AC45" i="98"/>
  <c r="AC33" i="98"/>
  <c r="AC49" i="98"/>
  <c r="AC26" i="98"/>
  <c r="AD90" i="99"/>
  <c r="AE9" i="99" s="1"/>
  <c r="G72" i="13"/>
  <c r="F72" i="13" s="1"/>
  <c r="J72" i="13" s="1"/>
  <c r="C72" i="14"/>
  <c r="D72" i="14" s="1"/>
  <c r="C72" i="24"/>
  <c r="I72" i="24" s="1"/>
  <c r="S72" i="21"/>
  <c r="G11" i="126"/>
  <c r="C88" i="60"/>
  <c r="P88" i="60"/>
  <c r="K74" i="13"/>
  <c r="B74" i="13" s="1"/>
  <c r="C69" i="60"/>
  <c r="P69" i="60"/>
  <c r="B15" i="17"/>
  <c r="L15" i="19"/>
  <c r="O79" i="60"/>
  <c r="O77" i="257"/>
  <c r="Q77" i="257" s="1"/>
  <c r="G23" i="25"/>
  <c r="I23" i="9"/>
  <c r="M23" i="13"/>
  <c r="D9" i="9"/>
  <c r="H23" i="9"/>
  <c r="D97" i="9"/>
  <c r="Q23" i="9"/>
  <c r="D84" i="140"/>
  <c r="C84" i="140" s="1"/>
  <c r="B84" i="140" s="1"/>
  <c r="AH48" i="99"/>
  <c r="G66" i="13"/>
  <c r="F66" i="13" s="1"/>
  <c r="C66" i="14"/>
  <c r="D66" i="14" s="1"/>
  <c r="C66" i="24"/>
  <c r="I66" i="24" s="1"/>
  <c r="S66" i="21"/>
  <c r="AH24" i="98"/>
  <c r="P63" i="60"/>
  <c r="C63" i="60"/>
  <c r="F85" i="13"/>
  <c r="G62" i="13"/>
  <c r="F62" i="13" s="1"/>
  <c r="C62" i="14"/>
  <c r="D62" i="14" s="1"/>
  <c r="C62" i="24"/>
  <c r="I62" i="24" s="1"/>
  <c r="H64" i="60"/>
  <c r="S62" i="21"/>
  <c r="E64" i="140"/>
  <c r="D73" i="140"/>
  <c r="C73" i="140" s="1"/>
  <c r="B73" i="140" s="1"/>
  <c r="Q74" i="60"/>
  <c r="J71" i="13"/>
  <c r="J84" i="13"/>
  <c r="F84" i="19" s="1"/>
  <c r="M9" i="8"/>
  <c r="E20" i="17"/>
  <c r="O20" i="17" s="1"/>
  <c r="F20" i="17"/>
  <c r="C67" i="19"/>
  <c r="B67" i="19" s="1"/>
  <c r="B67" i="261" s="1"/>
  <c r="J67" i="10"/>
  <c r="P67" i="13" s="1"/>
  <c r="O67" i="13" s="1"/>
  <c r="J67" i="13" s="1"/>
  <c r="F67" i="19" s="1"/>
  <c r="F67" i="10"/>
  <c r="C67" i="10" s="1"/>
  <c r="N67" i="10" s="1"/>
  <c r="J78" i="13"/>
  <c r="M83" i="140"/>
  <c r="B64" i="17"/>
  <c r="K39" i="13"/>
  <c r="L39" i="13" s="1"/>
  <c r="F88" i="10"/>
  <c r="C88" i="10" s="1"/>
  <c r="N88" i="10" s="1"/>
  <c r="C70" i="19"/>
  <c r="B70" i="19" s="1"/>
  <c r="B70" i="261" s="1"/>
  <c r="G70" i="10"/>
  <c r="F70" i="10" s="1"/>
  <c r="C70" i="10" s="1"/>
  <c r="N70" i="10" s="1"/>
  <c r="C58" i="60"/>
  <c r="P58" i="60"/>
  <c r="D66" i="140"/>
  <c r="C66" i="140" s="1"/>
  <c r="B66" i="140" s="1"/>
  <c r="J73" i="13"/>
  <c r="J59" i="13"/>
  <c r="F59" i="19" s="1"/>
  <c r="D70" i="140"/>
  <c r="C70" i="140" s="1"/>
  <c r="B70" i="140" s="1"/>
  <c r="I59" i="17"/>
  <c r="I57" i="17"/>
  <c r="I62" i="17"/>
  <c r="I69" i="17"/>
  <c r="I76" i="17"/>
  <c r="I88" i="17"/>
  <c r="I70" i="17"/>
  <c r="M90" i="140"/>
  <c r="H11" i="126"/>
  <c r="I58" i="13"/>
  <c r="M58" i="14"/>
  <c r="K31" i="154"/>
  <c r="K15" i="13"/>
  <c r="L15" i="13" s="1"/>
  <c r="F15" i="19"/>
  <c r="E15" i="19" s="1"/>
  <c r="D74" i="140"/>
  <c r="C74" i="140" s="1"/>
  <c r="B74" i="140" s="1"/>
  <c r="P41" i="140"/>
  <c r="N41" i="140"/>
  <c r="O41" i="140"/>
  <c r="AD90" i="98"/>
  <c r="AE9" i="98" s="1"/>
  <c r="AC9" i="99"/>
  <c r="G69" i="13"/>
  <c r="F69" i="13" s="1"/>
  <c r="C69" i="14"/>
  <c r="D69" i="14" s="1"/>
  <c r="C69" i="24"/>
  <c r="I69" i="24" s="1"/>
  <c r="E71" i="140"/>
  <c r="H71" i="60"/>
  <c r="S69" i="21"/>
  <c r="F11" i="126"/>
  <c r="C61" i="60"/>
  <c r="P61" i="60"/>
  <c r="E60" i="60"/>
  <c r="Q60" i="60"/>
  <c r="V58" i="21"/>
  <c r="M49" i="140"/>
  <c r="L47" i="257"/>
  <c r="F32" i="17"/>
  <c r="M32" i="17"/>
  <c r="J82" i="13"/>
  <c r="K82" i="13" s="1"/>
  <c r="D68" i="140"/>
  <c r="C68" i="140" s="1"/>
  <c r="B68" i="140" s="1"/>
  <c r="AH11" i="98"/>
  <c r="AH50" i="98"/>
  <c r="AI50" i="98" s="1"/>
  <c r="AJ50" i="98" s="1"/>
  <c r="AH33" i="98"/>
  <c r="AH68" i="98"/>
  <c r="AH21" i="98"/>
  <c r="AH88" i="98"/>
  <c r="AH40" i="98"/>
  <c r="AH74" i="98"/>
  <c r="AH52" i="98"/>
  <c r="AH49" i="98"/>
  <c r="AI49" i="98" s="1"/>
  <c r="AJ49" i="98" s="1"/>
  <c r="AH20" i="98"/>
  <c r="AH45" i="98"/>
  <c r="AI45" i="98" s="1"/>
  <c r="AJ45" i="98" s="1"/>
  <c r="AH25" i="98"/>
  <c r="AH38" i="98"/>
  <c r="AH23" i="98"/>
  <c r="AH79" i="98"/>
  <c r="AH55" i="98"/>
  <c r="AH17" i="98"/>
  <c r="AH19" i="98"/>
  <c r="AH73" i="98"/>
  <c r="AH44" i="98"/>
  <c r="AH77" i="98"/>
  <c r="AH43" i="98"/>
  <c r="AH31" i="98"/>
  <c r="AH37" i="98"/>
  <c r="AH10" i="98"/>
  <c r="AH83" i="98"/>
  <c r="AH32" i="98"/>
  <c r="AH66" i="98"/>
  <c r="AH51" i="98"/>
  <c r="AI51" i="98" s="1"/>
  <c r="AJ51" i="98" s="1"/>
  <c r="AH57" i="98"/>
  <c r="AH82" i="98"/>
  <c r="AH26" i="98"/>
  <c r="AH70" i="98"/>
  <c r="AH56" i="98"/>
  <c r="AH84" i="98"/>
  <c r="AH22" i="98"/>
  <c r="AH14" i="98"/>
  <c r="AH72" i="98"/>
  <c r="AH81" i="98"/>
  <c r="AH9" i="98"/>
  <c r="AH27" i="98"/>
  <c r="AH85" i="98"/>
  <c r="AH18" i="98"/>
  <c r="AH86" i="98"/>
  <c r="AH60" i="98"/>
  <c r="AH29" i="98"/>
  <c r="AH42" i="98"/>
  <c r="AH59" i="98"/>
  <c r="AH35" i="98"/>
  <c r="AH28" i="98"/>
  <c r="AH75" i="98"/>
  <c r="AH65" i="98"/>
  <c r="AH54" i="98"/>
  <c r="AH80" i="98"/>
  <c r="AH90" i="98"/>
  <c r="AH34" i="98"/>
  <c r="AH41" i="98"/>
  <c r="AH71" i="98"/>
  <c r="AH12" i="98"/>
  <c r="AH76" i="98"/>
  <c r="AH46" i="98"/>
  <c r="AI46" i="98" s="1"/>
  <c r="AJ46" i="98" s="1"/>
  <c r="AH87" i="98"/>
  <c r="AH62" i="98"/>
  <c r="AH67" i="98"/>
  <c r="AH53" i="98"/>
  <c r="AH16" i="98"/>
  <c r="AH13" i="98"/>
  <c r="AH64" i="98"/>
  <c r="AH39" i="98"/>
  <c r="AH69" i="98"/>
  <c r="AH61" i="98"/>
  <c r="AH63" i="98"/>
  <c r="AH58" i="98"/>
  <c r="AH36" i="98"/>
  <c r="AH78" i="98"/>
  <c r="AH15" i="98"/>
  <c r="AH30" i="98"/>
  <c r="P71" i="60"/>
  <c r="C71" i="60"/>
  <c r="V54" i="21"/>
  <c r="D54" i="21"/>
  <c r="K36" i="13"/>
  <c r="L36" i="13" s="1"/>
  <c r="F36" i="19"/>
  <c r="E36" i="19" s="1"/>
  <c r="D46" i="36"/>
  <c r="B45" i="36"/>
  <c r="E62" i="36"/>
  <c r="J60" i="13"/>
  <c r="K60" i="13" s="1"/>
  <c r="D58" i="140"/>
  <c r="C58" i="140" s="1"/>
  <c r="B58" i="140" s="1"/>
  <c r="AH89" i="98"/>
  <c r="O59" i="60"/>
  <c r="O57" i="257"/>
  <c r="Q57" i="257" s="1"/>
  <c r="D86" i="140"/>
  <c r="C86" i="140" s="1"/>
  <c r="B86" i="140" s="1"/>
  <c r="C43" i="17"/>
  <c r="K43" i="19"/>
  <c r="C82" i="19"/>
  <c r="B82" i="19" s="1"/>
  <c r="B82" i="261" s="1"/>
  <c r="G82" i="10"/>
  <c r="F82" i="10" s="1"/>
  <c r="C82" i="10" s="1"/>
  <c r="N82" i="10" s="1"/>
  <c r="C85" i="19"/>
  <c r="B85" i="19" s="1"/>
  <c r="B85" i="261" s="1"/>
  <c r="G85" i="10"/>
  <c r="F85" i="10" s="1"/>
  <c r="C85" i="10" s="1"/>
  <c r="N85" i="10" s="1"/>
  <c r="N47" i="10"/>
  <c r="B47" i="17"/>
  <c r="L47" i="19"/>
  <c r="M57" i="140"/>
  <c r="I85" i="24"/>
  <c r="C79" i="19"/>
  <c r="B79" i="19" s="1"/>
  <c r="B79" i="261" s="1"/>
  <c r="G79" i="10"/>
  <c r="Q58" i="60"/>
  <c r="I64" i="24"/>
  <c r="D75" i="140"/>
  <c r="C75" i="140" s="1"/>
  <c r="B75" i="140" s="1"/>
  <c r="F40" i="17"/>
  <c r="M40" i="17"/>
  <c r="E40" i="17"/>
  <c r="O40" i="17" s="1"/>
  <c r="P40" i="17" s="1"/>
  <c r="F42" i="154" s="1"/>
  <c r="D69" i="140"/>
  <c r="C69" i="140" s="1"/>
  <c r="B69" i="140" s="1"/>
  <c r="D61" i="140"/>
  <c r="C61" i="140" s="1"/>
  <c r="B61" i="140" s="1"/>
  <c r="F53" i="9"/>
  <c r="L53" i="9" s="1"/>
  <c r="I83" i="17"/>
  <c r="I80" i="17"/>
  <c r="I86" i="17"/>
  <c r="I55" i="17"/>
  <c r="I61" i="17"/>
  <c r="I82" i="17"/>
  <c r="I65" i="17"/>
  <c r="U43" i="13"/>
  <c r="K79" i="12"/>
  <c r="H79" i="12"/>
  <c r="O79" i="12" s="1"/>
  <c r="C79" i="12"/>
  <c r="AI38" i="261" l="1"/>
  <c r="G88" i="261"/>
  <c r="B83" i="261"/>
  <c r="I23" i="261"/>
  <c r="B88" i="17"/>
  <c r="C49" i="261"/>
  <c r="E49" i="261" s="1"/>
  <c r="AI49" i="261" s="1"/>
  <c r="C42" i="17"/>
  <c r="B72" i="17"/>
  <c r="I71" i="17"/>
  <c r="M53" i="59"/>
  <c r="M220" i="59" s="1"/>
  <c r="M226" i="59" s="1"/>
  <c r="K49" i="19"/>
  <c r="L50" i="9"/>
  <c r="G50" i="17" s="1"/>
  <c r="L50" i="17" s="1"/>
  <c r="T50" i="17" s="1"/>
  <c r="E40" i="261"/>
  <c r="O40" i="261" s="1"/>
  <c r="T40" i="261" s="1"/>
  <c r="X40" i="261" s="1"/>
  <c r="AI90" i="99"/>
  <c r="AJ22" i="99" s="1"/>
  <c r="C49" i="17"/>
  <c r="F49" i="17" s="1"/>
  <c r="L64" i="19"/>
  <c r="H53" i="13"/>
  <c r="G80" i="10"/>
  <c r="F80" i="10" s="1"/>
  <c r="C80" i="10" s="1"/>
  <c r="N80" i="10" s="1"/>
  <c r="I71" i="261"/>
  <c r="I23" i="268"/>
  <c r="F49" i="261"/>
  <c r="U40" i="261"/>
  <c r="Y40" i="261" s="1"/>
  <c r="K42" i="19"/>
  <c r="L72" i="19"/>
  <c r="G74" i="10"/>
  <c r="F74" i="10" s="1"/>
  <c r="C74" i="10" s="1"/>
  <c r="N74" i="10" s="1"/>
  <c r="M11" i="261"/>
  <c r="N23" i="12"/>
  <c r="F11" i="261"/>
  <c r="AI37" i="261"/>
  <c r="J23" i="12"/>
  <c r="D32" i="268"/>
  <c r="S24" i="261"/>
  <c r="W24" i="261" s="1"/>
  <c r="F24" i="268" s="1"/>
  <c r="T24" i="261"/>
  <c r="X24" i="261" s="1"/>
  <c r="AA24" i="261" s="1"/>
  <c r="U24" i="261"/>
  <c r="Y24" i="261" s="1"/>
  <c r="G24" i="268" s="1"/>
  <c r="C42" i="261"/>
  <c r="F42" i="261" s="1"/>
  <c r="U38" i="261"/>
  <c r="Y38" i="261" s="1"/>
  <c r="S38" i="261"/>
  <c r="W38" i="261" s="1"/>
  <c r="F30" i="261"/>
  <c r="K57" i="13"/>
  <c r="B57" i="13" s="1"/>
  <c r="L57" i="13" s="1"/>
  <c r="B90" i="9"/>
  <c r="E90" i="9" s="1"/>
  <c r="E30" i="261"/>
  <c r="O30" i="261" s="1"/>
  <c r="V30" i="261" s="1"/>
  <c r="L14" i="36"/>
  <c r="G81" i="12"/>
  <c r="N81" i="12" s="1"/>
  <c r="K83" i="13"/>
  <c r="B83" i="13" s="1"/>
  <c r="U83" i="13" s="1"/>
  <c r="F44" i="98"/>
  <c r="H44" i="98"/>
  <c r="V38" i="261"/>
  <c r="F60" i="19"/>
  <c r="K55" i="13"/>
  <c r="B55" i="13" s="1"/>
  <c r="E55" i="12" s="1"/>
  <c r="K55" i="12" s="1"/>
  <c r="I54" i="261"/>
  <c r="I54" i="268"/>
  <c r="K47" i="13"/>
  <c r="B47" i="13" s="1"/>
  <c r="U47" i="13" s="1"/>
  <c r="M30" i="261"/>
  <c r="F41" i="261"/>
  <c r="B77" i="261"/>
  <c r="C18" i="261"/>
  <c r="F18" i="261" s="1"/>
  <c r="C21" i="261"/>
  <c r="E21" i="261" s="1"/>
  <c r="O21" i="261" s="1"/>
  <c r="C14" i="261"/>
  <c r="M14" i="261" s="1"/>
  <c r="E32" i="268"/>
  <c r="S29" i="261"/>
  <c r="W29" i="261" s="1"/>
  <c r="T29" i="261"/>
  <c r="X29" i="261" s="1"/>
  <c r="U29" i="261"/>
  <c r="Y29" i="261" s="1"/>
  <c r="V29" i="261"/>
  <c r="C15" i="261"/>
  <c r="F15" i="261" s="1"/>
  <c r="C22" i="261"/>
  <c r="E22" i="261" s="1"/>
  <c r="O22" i="261" s="1"/>
  <c r="B32" i="268"/>
  <c r="I13" i="268"/>
  <c r="C36" i="261"/>
  <c r="E36" i="261" s="1"/>
  <c r="O36" i="261" s="1"/>
  <c r="C16" i="261"/>
  <c r="F16" i="261" s="1"/>
  <c r="C17" i="261"/>
  <c r="M17" i="261" s="1"/>
  <c r="L88" i="19"/>
  <c r="B72" i="261"/>
  <c r="E32" i="261"/>
  <c r="O32" i="261" s="1"/>
  <c r="C32" i="268"/>
  <c r="M90" i="8"/>
  <c r="M91" i="8" s="1"/>
  <c r="B89" i="261"/>
  <c r="AI29" i="261"/>
  <c r="M30" i="17"/>
  <c r="K39" i="19"/>
  <c r="C35" i="261"/>
  <c r="F35" i="261" s="1"/>
  <c r="C35" i="17"/>
  <c r="K35" i="19"/>
  <c r="C19" i="261"/>
  <c r="F19" i="261" s="1"/>
  <c r="C12" i="261"/>
  <c r="M12" i="261" s="1"/>
  <c r="C81" i="19"/>
  <c r="B81" i="19" s="1"/>
  <c r="B81" i="261" s="1"/>
  <c r="C10" i="261"/>
  <c r="M10" i="261" s="1"/>
  <c r="P16" i="140"/>
  <c r="F43" i="261"/>
  <c r="F45" i="9"/>
  <c r="L45" i="9" s="1"/>
  <c r="G45" i="17" s="1"/>
  <c r="L45" i="17" s="1"/>
  <c r="T45" i="17" s="1"/>
  <c r="E43" i="261"/>
  <c r="O43" i="261" s="1"/>
  <c r="U43" i="261" s="1"/>
  <c r="Y43" i="261" s="1"/>
  <c r="C39" i="261"/>
  <c r="F39" i="261" s="1"/>
  <c r="K27" i="19"/>
  <c r="F65" i="19"/>
  <c r="C53" i="127"/>
  <c r="C48" i="127" s="1"/>
  <c r="I44" i="98"/>
  <c r="J44" i="98"/>
  <c r="L10" i="17"/>
  <c r="T10" i="17" s="1"/>
  <c r="F80" i="19"/>
  <c r="C39" i="17"/>
  <c r="F39" i="17" s="1"/>
  <c r="F82" i="19"/>
  <c r="D82" i="12" s="1"/>
  <c r="K84" i="13"/>
  <c r="B84" i="13" s="1"/>
  <c r="U84" i="13" s="1"/>
  <c r="F63" i="19"/>
  <c r="F75" i="19"/>
  <c r="AA34" i="261"/>
  <c r="AB34" i="261"/>
  <c r="Z34" i="261"/>
  <c r="AB20" i="261"/>
  <c r="Z20" i="261"/>
  <c r="AA20" i="261"/>
  <c r="AA26" i="261"/>
  <c r="AB26" i="261"/>
  <c r="Z26" i="261"/>
  <c r="L10" i="261"/>
  <c r="AH10" i="261" s="1"/>
  <c r="V41" i="261"/>
  <c r="V11" i="261"/>
  <c r="U11" i="261"/>
  <c r="Y11" i="261" s="1"/>
  <c r="S11" i="261"/>
  <c r="W11" i="261" s="1"/>
  <c r="T11" i="261"/>
  <c r="X11" i="261" s="1"/>
  <c r="AI41" i="261"/>
  <c r="C60" i="19"/>
  <c r="B60" i="19" s="1"/>
  <c r="G60" i="10"/>
  <c r="G56" i="17"/>
  <c r="G56" i="261"/>
  <c r="G78" i="10"/>
  <c r="F78" i="10" s="1"/>
  <c r="C78" i="10" s="1"/>
  <c r="N78" i="10" s="1"/>
  <c r="C78" i="19"/>
  <c r="B78" i="19" s="1"/>
  <c r="B78" i="261" s="1"/>
  <c r="G53" i="17"/>
  <c r="G53" i="261"/>
  <c r="G51" i="17"/>
  <c r="L51" i="17" s="1"/>
  <c r="T51" i="17" s="1"/>
  <c r="G51" i="261"/>
  <c r="L51" i="261" s="1"/>
  <c r="AH51" i="261" s="1"/>
  <c r="O16" i="140"/>
  <c r="N45" i="8"/>
  <c r="G13" i="17"/>
  <c r="G13" i="261"/>
  <c r="G73" i="17"/>
  <c r="G73" i="261"/>
  <c r="G66" i="17"/>
  <c r="G66" i="261"/>
  <c r="L27" i="13"/>
  <c r="U27" i="13"/>
  <c r="E27" i="12"/>
  <c r="AI11" i="261"/>
  <c r="B50" i="10"/>
  <c r="J50" i="10" s="1"/>
  <c r="G55" i="17"/>
  <c r="G55" i="261"/>
  <c r="C73" i="19"/>
  <c r="B73" i="19" s="1"/>
  <c r="B73" i="261" s="1"/>
  <c r="G73" i="10"/>
  <c r="F73" i="10" s="1"/>
  <c r="C73" i="10" s="1"/>
  <c r="N73" i="10" s="1"/>
  <c r="C58" i="19"/>
  <c r="B58" i="19" s="1"/>
  <c r="G58" i="10"/>
  <c r="G62" i="17"/>
  <c r="G62" i="261"/>
  <c r="C86" i="19"/>
  <c r="B86" i="19" s="1"/>
  <c r="G86" i="10"/>
  <c r="G54" i="17"/>
  <c r="G54" i="261"/>
  <c r="G71" i="17"/>
  <c r="G71" i="261"/>
  <c r="C66" i="19"/>
  <c r="B66" i="19" s="1"/>
  <c r="G66" i="10"/>
  <c r="F66" i="10" s="1"/>
  <c r="C66" i="10" s="1"/>
  <c r="N66" i="10" s="1"/>
  <c r="C27" i="261"/>
  <c r="C27" i="17"/>
  <c r="C69" i="19"/>
  <c r="B69" i="19" s="1"/>
  <c r="G69" i="10"/>
  <c r="G84" i="10"/>
  <c r="C84" i="19"/>
  <c r="B84" i="19" s="1"/>
  <c r="G78" i="17"/>
  <c r="G78" i="261"/>
  <c r="L79" i="19"/>
  <c r="G59" i="17"/>
  <c r="G59" i="261"/>
  <c r="C55" i="19"/>
  <c r="B55" i="19" s="1"/>
  <c r="G55" i="10"/>
  <c r="C71" i="19"/>
  <c r="B71" i="19" s="1"/>
  <c r="G71" i="10"/>
  <c r="G60" i="17"/>
  <c r="G60" i="261"/>
  <c r="G58" i="17"/>
  <c r="G58" i="261"/>
  <c r="G62" i="10"/>
  <c r="C62" i="19"/>
  <c r="B62" i="19" s="1"/>
  <c r="C56" i="19"/>
  <c r="B56" i="19" s="1"/>
  <c r="G56" i="10"/>
  <c r="I13" i="261"/>
  <c r="M49" i="261"/>
  <c r="G86" i="17"/>
  <c r="G86" i="261"/>
  <c r="C54" i="19"/>
  <c r="B54" i="19" s="1"/>
  <c r="G54" i="10"/>
  <c r="F54" i="10" s="1"/>
  <c r="C54" i="10" s="1"/>
  <c r="N54" i="10" s="1"/>
  <c r="G69" i="17"/>
  <c r="G69" i="261"/>
  <c r="G84" i="17"/>
  <c r="G84" i="261"/>
  <c r="O49" i="261"/>
  <c r="L76" i="19"/>
  <c r="J49" i="12"/>
  <c r="Q57" i="140"/>
  <c r="U48" i="13"/>
  <c r="I13" i="17"/>
  <c r="Q16" i="140"/>
  <c r="J13" i="36"/>
  <c r="D13" i="25"/>
  <c r="J13" i="9"/>
  <c r="E42" i="17"/>
  <c r="O42" i="17" s="1"/>
  <c r="P42" i="17" s="1"/>
  <c r="F44" i="154" s="1"/>
  <c r="K44" i="154" s="1"/>
  <c r="M42" i="17"/>
  <c r="F42" i="17"/>
  <c r="U40" i="17"/>
  <c r="I42" i="12"/>
  <c r="F42" i="12"/>
  <c r="Q49" i="140"/>
  <c r="Q90" i="140"/>
  <c r="U19" i="13"/>
  <c r="N16" i="140"/>
  <c r="K42" i="12"/>
  <c r="H42" i="12"/>
  <c r="O42" i="12" s="1"/>
  <c r="E41" i="17"/>
  <c r="O41" i="17" s="1"/>
  <c r="F41" i="17"/>
  <c r="Q91" i="140"/>
  <c r="L27" i="8"/>
  <c r="I9" i="8"/>
  <c r="L9" i="8" s="1"/>
  <c r="P32" i="17"/>
  <c r="Q83" i="140"/>
  <c r="K67" i="13"/>
  <c r="B67" i="13" s="1"/>
  <c r="U21" i="13"/>
  <c r="E91" i="8"/>
  <c r="K91" i="8" s="1"/>
  <c r="K28" i="12"/>
  <c r="H28" i="12"/>
  <c r="O28" i="12" s="1"/>
  <c r="K52" i="13"/>
  <c r="B52" i="13" s="1"/>
  <c r="F52" i="19"/>
  <c r="H14" i="12"/>
  <c r="O14" i="12" s="1"/>
  <c r="B46" i="13"/>
  <c r="L46" i="13" s="1"/>
  <c r="F11" i="17"/>
  <c r="M11" i="17"/>
  <c r="U11" i="17"/>
  <c r="P27" i="8"/>
  <c r="B27" i="36"/>
  <c r="F9" i="8"/>
  <c r="F91" i="8" s="1"/>
  <c r="F96" i="8" s="1"/>
  <c r="U34" i="17"/>
  <c r="O37" i="17"/>
  <c r="P37" i="17" s="1"/>
  <c r="F39" i="154" s="1"/>
  <c r="K39" i="154" s="1"/>
  <c r="U37" i="17"/>
  <c r="L48" i="13"/>
  <c r="J23" i="9"/>
  <c r="L89" i="19"/>
  <c r="B89" i="17"/>
  <c r="H10" i="12"/>
  <c r="N53" i="8"/>
  <c r="R53" i="8"/>
  <c r="D46" i="12"/>
  <c r="E46" i="19"/>
  <c r="C9" i="13"/>
  <c r="U30" i="13"/>
  <c r="B13" i="13"/>
  <c r="L13" i="13" s="1"/>
  <c r="G10" i="12"/>
  <c r="J10" i="12" s="1"/>
  <c r="C10" i="12"/>
  <c r="B12" i="19"/>
  <c r="D9" i="19"/>
  <c r="I44" i="12"/>
  <c r="F44" i="12"/>
  <c r="I23" i="36"/>
  <c r="O23" i="36"/>
  <c r="H23" i="36"/>
  <c r="D9" i="36"/>
  <c r="G14" i="12"/>
  <c r="J14" i="12" s="1"/>
  <c r="C14" i="12"/>
  <c r="N24" i="116"/>
  <c r="C15" i="17"/>
  <c r="E15" i="17" s="1"/>
  <c r="O15" i="17" s="1"/>
  <c r="P15" i="17" s="1"/>
  <c r="F17" i="154" s="1"/>
  <c r="P20" i="17"/>
  <c r="F22" i="154" s="1"/>
  <c r="K22" i="154" s="1"/>
  <c r="L63" i="19"/>
  <c r="Q77" i="140"/>
  <c r="U16" i="13"/>
  <c r="L74" i="19"/>
  <c r="Q59" i="140"/>
  <c r="L75" i="19"/>
  <c r="U18" i="13"/>
  <c r="L87" i="19"/>
  <c r="F89" i="19"/>
  <c r="D89" i="12" s="1"/>
  <c r="K89" i="13"/>
  <c r="B89" i="13" s="1"/>
  <c r="U89" i="13" s="1"/>
  <c r="O31" i="17"/>
  <c r="P31" i="17" s="1"/>
  <c r="F33" i="154" s="1"/>
  <c r="K33" i="154" s="1"/>
  <c r="U31" i="17"/>
  <c r="C14" i="17"/>
  <c r="K14" i="19"/>
  <c r="E101" i="9"/>
  <c r="C27" i="9"/>
  <c r="B97" i="9"/>
  <c r="H97" i="9" s="1"/>
  <c r="D101" i="9"/>
  <c r="D61" i="36" s="1"/>
  <c r="B27" i="12"/>
  <c r="B9" i="12" s="1"/>
  <c r="H27" i="9"/>
  <c r="B9" i="9"/>
  <c r="H9" i="9" s="1"/>
  <c r="P27" i="9"/>
  <c r="E13" i="19"/>
  <c r="D13" i="12"/>
  <c r="C10" i="17"/>
  <c r="K10" i="19"/>
  <c r="O38" i="17"/>
  <c r="P38" i="17" s="1"/>
  <c r="F40" i="154" s="1"/>
  <c r="K40" i="154" s="1"/>
  <c r="U38" i="17"/>
  <c r="E48" i="19"/>
  <c r="D48" i="12"/>
  <c r="K44" i="13"/>
  <c r="I44" i="13" s="1"/>
  <c r="U44" i="13" s="1"/>
  <c r="J88" i="12"/>
  <c r="G88" i="12"/>
  <c r="N88" i="12" s="1"/>
  <c r="U56" i="13"/>
  <c r="E56" i="12"/>
  <c r="E63" i="12"/>
  <c r="U63" i="13"/>
  <c r="M86" i="140"/>
  <c r="O61" i="60"/>
  <c r="O59" i="257"/>
  <c r="Q59" i="257" s="1"/>
  <c r="M66" i="140"/>
  <c r="Q64" i="60"/>
  <c r="J86" i="13"/>
  <c r="F86" i="19" s="1"/>
  <c r="U68" i="13"/>
  <c r="E68" i="12"/>
  <c r="O74" i="60"/>
  <c r="O72" i="257"/>
  <c r="Q72" i="257" s="1"/>
  <c r="H90" i="8"/>
  <c r="B57" i="17"/>
  <c r="E83" i="12"/>
  <c r="C17" i="17"/>
  <c r="K17" i="19"/>
  <c r="B83" i="17"/>
  <c r="L83" i="19"/>
  <c r="K42" i="154"/>
  <c r="M75" i="140"/>
  <c r="F79" i="10"/>
  <c r="C79" i="10" s="1"/>
  <c r="N79" i="10" s="1"/>
  <c r="B85" i="17"/>
  <c r="F43" i="17"/>
  <c r="M43" i="17"/>
  <c r="E43" i="17"/>
  <c r="O43" i="17" s="1"/>
  <c r="M58" i="140"/>
  <c r="C36" i="17"/>
  <c r="K36" i="19"/>
  <c r="K64" i="13"/>
  <c r="B64" i="13" s="1"/>
  <c r="AE44" i="98"/>
  <c r="AE59" i="98"/>
  <c r="AE40" i="98"/>
  <c r="AE84" i="98"/>
  <c r="AE86" i="98"/>
  <c r="AE23" i="98"/>
  <c r="AE67" i="98"/>
  <c r="AE73" i="98"/>
  <c r="AE39" i="98"/>
  <c r="AE53" i="98"/>
  <c r="AE63" i="98"/>
  <c r="AE76" i="98"/>
  <c r="AE83" i="98"/>
  <c r="AE37" i="98"/>
  <c r="AE61" i="98"/>
  <c r="AE18" i="98"/>
  <c r="AE72" i="98"/>
  <c r="AE57" i="98"/>
  <c r="AE11" i="98"/>
  <c r="AE75" i="98"/>
  <c r="AE15" i="98"/>
  <c r="AE10" i="98"/>
  <c r="AE19" i="98"/>
  <c r="AE25" i="98"/>
  <c r="AE36" i="98"/>
  <c r="AE42" i="98"/>
  <c r="AE58" i="98"/>
  <c r="AE66" i="98"/>
  <c r="AE79" i="98"/>
  <c r="AE87" i="98"/>
  <c r="AE35" i="98"/>
  <c r="AE70" i="98"/>
  <c r="AE54" i="98"/>
  <c r="AE68" i="98"/>
  <c r="AE34" i="98"/>
  <c r="AE55" i="98"/>
  <c r="AE77" i="98"/>
  <c r="AE74" i="98"/>
  <c r="AE56" i="98"/>
  <c r="AE14" i="98"/>
  <c r="AE29" i="98"/>
  <c r="AE17" i="98"/>
  <c r="AE28" i="98"/>
  <c r="AE64" i="98"/>
  <c r="AE85" i="98"/>
  <c r="AE21" i="98"/>
  <c r="AE82" i="98"/>
  <c r="AE80" i="98"/>
  <c r="AE78" i="98"/>
  <c r="AE71" i="98"/>
  <c r="AE52" i="98"/>
  <c r="AE88" i="98"/>
  <c r="AE65" i="98"/>
  <c r="AE60" i="98"/>
  <c r="AE38" i="98"/>
  <c r="AE62" i="98"/>
  <c r="AE81" i="98"/>
  <c r="AE16" i="98"/>
  <c r="AE20" i="98"/>
  <c r="AE43" i="98"/>
  <c r="AE69" i="98"/>
  <c r="AE46" i="98"/>
  <c r="AE41" i="98"/>
  <c r="AE24" i="98"/>
  <c r="AE49" i="98"/>
  <c r="AE30" i="98"/>
  <c r="AE22" i="98"/>
  <c r="AE27" i="98"/>
  <c r="AE47" i="98"/>
  <c r="AE33" i="98"/>
  <c r="AE48" i="98"/>
  <c r="AE12" i="98"/>
  <c r="AE26" i="98"/>
  <c r="AE13" i="98"/>
  <c r="AE50" i="98"/>
  <c r="AE45" i="98"/>
  <c r="AE89" i="98"/>
  <c r="AE51" i="98"/>
  <c r="AE32" i="98"/>
  <c r="F73" i="19"/>
  <c r="N83" i="140"/>
  <c r="P83" i="140"/>
  <c r="O83" i="140"/>
  <c r="F78" i="19"/>
  <c r="U20" i="17"/>
  <c r="F71" i="19"/>
  <c r="D64" i="140"/>
  <c r="C64" i="140" s="1"/>
  <c r="B64" i="140" s="1"/>
  <c r="M84" i="140"/>
  <c r="E74" i="12"/>
  <c r="U74" i="13"/>
  <c r="L74" i="13"/>
  <c r="F72" i="19"/>
  <c r="D72" i="12" s="1"/>
  <c r="Q63" i="60"/>
  <c r="C51" i="19"/>
  <c r="B51" i="19" s="1"/>
  <c r="F51" i="10"/>
  <c r="K51" i="10" s="1"/>
  <c r="J51" i="10"/>
  <c r="F87" i="19"/>
  <c r="AI90" i="98"/>
  <c r="Q88" i="60"/>
  <c r="P77" i="140"/>
  <c r="N77" i="140"/>
  <c r="O77" i="140"/>
  <c r="B77" i="17"/>
  <c r="L77" i="19"/>
  <c r="U77" i="13"/>
  <c r="E77" i="12"/>
  <c r="C12" i="17"/>
  <c r="J70" i="13"/>
  <c r="F70" i="19" s="1"/>
  <c r="F81" i="10"/>
  <c r="C81" i="10" s="1"/>
  <c r="N81" i="10" s="1"/>
  <c r="L68" i="19"/>
  <c r="K88" i="13"/>
  <c r="B88" i="13" s="1"/>
  <c r="O87" i="60"/>
  <c r="O85" i="257"/>
  <c r="Q85" i="257" s="1"/>
  <c r="B75" i="13"/>
  <c r="M79" i="140"/>
  <c r="B74" i="17"/>
  <c r="F75" i="10"/>
  <c r="C75" i="10" s="1"/>
  <c r="N75" i="10" s="1"/>
  <c r="B75" i="17"/>
  <c r="L80" i="19"/>
  <c r="B87" i="17"/>
  <c r="L61" i="19"/>
  <c r="E30" i="17"/>
  <c r="O30" i="17" s="1"/>
  <c r="F30" i="17"/>
  <c r="U17" i="13"/>
  <c r="B65" i="17"/>
  <c r="I53" i="13"/>
  <c r="U22" i="13"/>
  <c r="G90" i="8"/>
  <c r="P90" i="8" s="1"/>
  <c r="O84" i="257"/>
  <c r="Q84" i="257" s="1"/>
  <c r="O86" i="60"/>
  <c r="U39" i="13"/>
  <c r="J58" i="13"/>
  <c r="F58" i="19" s="1"/>
  <c r="K44" i="98"/>
  <c r="M61" i="140"/>
  <c r="D45" i="36"/>
  <c r="O45" i="36" s="1"/>
  <c r="K46" i="36"/>
  <c r="I46" i="36"/>
  <c r="F46" i="36"/>
  <c r="P46" i="36" s="1"/>
  <c r="H46" i="36"/>
  <c r="J69" i="13"/>
  <c r="K69" i="13" s="1"/>
  <c r="N9" i="8"/>
  <c r="R9" i="8"/>
  <c r="J85" i="13"/>
  <c r="F85" i="19" s="1"/>
  <c r="J76" i="13"/>
  <c r="K76" i="13" s="1"/>
  <c r="M87" i="140"/>
  <c r="U80" i="13"/>
  <c r="E80" i="12"/>
  <c r="N76" i="140"/>
  <c r="P76" i="140"/>
  <c r="O76" i="140"/>
  <c r="L9" i="98"/>
  <c r="N57" i="140"/>
  <c r="P57" i="140"/>
  <c r="O57" i="140"/>
  <c r="L82" i="19"/>
  <c r="B60" i="13"/>
  <c r="O46" i="36"/>
  <c r="U36" i="13"/>
  <c r="M68" i="140"/>
  <c r="B82" i="13"/>
  <c r="U32" i="17"/>
  <c r="M70" i="140"/>
  <c r="O58" i="60"/>
  <c r="O56" i="257"/>
  <c r="Q56" i="257" s="1"/>
  <c r="L70" i="19"/>
  <c r="L67" i="19"/>
  <c r="B67" i="17"/>
  <c r="K73" i="13"/>
  <c r="B73" i="13" s="1"/>
  <c r="J62" i="13"/>
  <c r="K62" i="13" s="1"/>
  <c r="AJ48" i="99"/>
  <c r="H8" i="98"/>
  <c r="I8" i="98"/>
  <c r="G8" i="98"/>
  <c r="K8" i="98"/>
  <c r="J8" i="98"/>
  <c r="J66" i="13"/>
  <c r="K66" i="13" s="1"/>
  <c r="B66" i="13" s="1"/>
  <c r="M9" i="13"/>
  <c r="Q9" i="9"/>
  <c r="K15" i="19"/>
  <c r="AE16" i="99"/>
  <c r="AE77" i="99"/>
  <c r="AE54" i="99"/>
  <c r="AE34" i="99"/>
  <c r="AE52" i="99"/>
  <c r="AE72" i="99"/>
  <c r="AE80" i="99"/>
  <c r="AE29" i="99"/>
  <c r="AE83" i="99"/>
  <c r="AE73" i="99"/>
  <c r="AE17" i="99"/>
  <c r="AE25" i="99"/>
  <c r="AE44" i="99"/>
  <c r="AE64" i="99"/>
  <c r="AE75" i="99"/>
  <c r="AE81" i="99"/>
  <c r="AE42" i="99"/>
  <c r="AE20" i="99"/>
  <c r="AE68" i="99"/>
  <c r="AE86" i="99"/>
  <c r="AE19" i="99"/>
  <c r="AE58" i="99"/>
  <c r="AE87" i="99"/>
  <c r="AE84" i="99"/>
  <c r="AE60" i="99"/>
  <c r="AE14" i="99"/>
  <c r="AE37" i="99"/>
  <c r="AE61" i="99"/>
  <c r="AE67" i="99"/>
  <c r="AE79" i="99"/>
  <c r="AE65" i="99"/>
  <c r="AE11" i="99"/>
  <c r="AE57" i="99"/>
  <c r="AE53" i="99"/>
  <c r="AE10" i="99"/>
  <c r="AE35" i="99"/>
  <c r="AE66" i="99"/>
  <c r="AE62" i="99"/>
  <c r="AE40" i="99"/>
  <c r="AE70" i="99"/>
  <c r="AE36" i="99"/>
  <c r="AE39" i="99"/>
  <c r="AE18" i="99"/>
  <c r="AE55" i="99"/>
  <c r="AE76" i="99"/>
  <c r="AE85" i="99"/>
  <c r="AE56" i="99"/>
  <c r="AE71" i="99"/>
  <c r="AE38" i="99"/>
  <c r="AE74" i="99"/>
  <c r="AE21" i="99"/>
  <c r="AE28" i="99"/>
  <c r="AE63" i="99"/>
  <c r="AE43" i="99"/>
  <c r="AE59" i="99"/>
  <c r="AE15" i="99"/>
  <c r="AE69" i="99"/>
  <c r="AE82" i="99"/>
  <c r="AE78" i="99"/>
  <c r="AE23" i="99"/>
  <c r="AE88" i="99"/>
  <c r="AE41" i="99"/>
  <c r="AE24" i="99"/>
  <c r="AE47" i="99"/>
  <c r="AE48" i="99"/>
  <c r="AE13" i="99"/>
  <c r="AE32" i="99"/>
  <c r="AE51" i="99"/>
  <c r="AE46" i="99"/>
  <c r="AE27" i="99"/>
  <c r="AE12" i="99"/>
  <c r="AE49" i="99"/>
  <c r="AE50" i="99"/>
  <c r="AE22" i="99"/>
  <c r="AE45" i="99"/>
  <c r="AE33" i="99"/>
  <c r="AE30" i="99"/>
  <c r="AE26" i="99"/>
  <c r="AE89" i="99"/>
  <c r="D78" i="140"/>
  <c r="C78" i="140" s="1"/>
  <c r="B78" i="140" s="1"/>
  <c r="D63" i="140"/>
  <c r="C63" i="140" s="1"/>
  <c r="B63" i="140" s="1"/>
  <c r="J61" i="13"/>
  <c r="K61" i="13" s="1"/>
  <c r="B63" i="17"/>
  <c r="C19" i="17"/>
  <c r="K19" i="19"/>
  <c r="O62" i="60"/>
  <c r="O60" i="257"/>
  <c r="Q60" i="257" s="1"/>
  <c r="D47" i="12"/>
  <c r="E47" i="19"/>
  <c r="O68" i="60"/>
  <c r="O66" i="257"/>
  <c r="Q66" i="257" s="1"/>
  <c r="C59" i="19"/>
  <c r="B59" i="19" s="1"/>
  <c r="B59" i="261" s="1"/>
  <c r="G59" i="10"/>
  <c r="F59" i="10" s="1"/>
  <c r="C59" i="10" s="1"/>
  <c r="N59" i="10" s="1"/>
  <c r="B53" i="10"/>
  <c r="F76" i="10"/>
  <c r="C76" i="10" s="1"/>
  <c r="N76" i="10" s="1"/>
  <c r="M82" i="140"/>
  <c r="D72" i="140"/>
  <c r="C72" i="140" s="1"/>
  <c r="B72" i="140" s="1"/>
  <c r="B68" i="17"/>
  <c r="K48" i="12"/>
  <c r="H48" i="12"/>
  <c r="O48" i="12" s="1"/>
  <c r="K71" i="13"/>
  <c r="B71" i="13" s="1"/>
  <c r="M67" i="140"/>
  <c r="P91" i="140"/>
  <c r="N91" i="140"/>
  <c r="O91" i="140"/>
  <c r="L57" i="19"/>
  <c r="K59" i="13"/>
  <c r="B59" i="13" s="1"/>
  <c r="B78" i="17"/>
  <c r="B80" i="17"/>
  <c r="C18" i="17"/>
  <c r="K18" i="19"/>
  <c r="B61" i="17"/>
  <c r="H83" i="257"/>
  <c r="H53" i="257" s="1"/>
  <c r="J92" i="60"/>
  <c r="H90" i="257" s="1"/>
  <c r="E85" i="60"/>
  <c r="E92" i="60" s="1"/>
  <c r="P35" i="140"/>
  <c r="N35" i="140"/>
  <c r="O35" i="140"/>
  <c r="Q35" i="140"/>
  <c r="C21" i="17"/>
  <c r="K21" i="19"/>
  <c r="M62" i="140"/>
  <c r="U81" i="13"/>
  <c r="E81" i="12"/>
  <c r="B65" i="13"/>
  <c r="B82" i="17"/>
  <c r="O71" i="60"/>
  <c r="O69" i="257"/>
  <c r="Q69" i="257" s="1"/>
  <c r="J82" i="12"/>
  <c r="G82" i="12"/>
  <c r="N82" i="12" s="1"/>
  <c r="Q71" i="60"/>
  <c r="B70" i="17"/>
  <c r="AJ47" i="99"/>
  <c r="M73" i="140"/>
  <c r="O86" i="257"/>
  <c r="Q86" i="257" s="1"/>
  <c r="O88" i="60"/>
  <c r="K78" i="13"/>
  <c r="B78" i="13" s="1"/>
  <c r="M89" i="140"/>
  <c r="C16" i="17"/>
  <c r="K16" i="19"/>
  <c r="O78" i="60"/>
  <c r="O76" i="257"/>
  <c r="Q76" i="257" s="1"/>
  <c r="F35" i="17"/>
  <c r="M35" i="17"/>
  <c r="E35" i="17"/>
  <c r="O35" i="17" s="1"/>
  <c r="P35" i="17" s="1"/>
  <c r="F37" i="154" s="1"/>
  <c r="I79" i="12"/>
  <c r="F79" i="12"/>
  <c r="M69" i="140"/>
  <c r="B79" i="17"/>
  <c r="L85" i="19"/>
  <c r="AJ89" i="99"/>
  <c r="E50" i="36"/>
  <c r="E51" i="36"/>
  <c r="G54" i="13"/>
  <c r="C54" i="14"/>
  <c r="D54" i="14" s="1"/>
  <c r="C54" i="24"/>
  <c r="I54" i="24" s="1"/>
  <c r="E56" i="140"/>
  <c r="H56" i="60"/>
  <c r="D91" i="21"/>
  <c r="S54" i="21"/>
  <c r="N49" i="140"/>
  <c r="P49" i="140"/>
  <c r="O49" i="140"/>
  <c r="P60" i="60"/>
  <c r="C60" i="60"/>
  <c r="D71" i="140"/>
  <c r="C71" i="140" s="1"/>
  <c r="B71" i="140" s="1"/>
  <c r="M74" i="140"/>
  <c r="U15" i="13"/>
  <c r="P90" i="140"/>
  <c r="N90" i="140"/>
  <c r="O90" i="140"/>
  <c r="K87" i="13"/>
  <c r="B87" i="13" s="1"/>
  <c r="AJ24" i="99"/>
  <c r="O61" i="257"/>
  <c r="Q61" i="257" s="1"/>
  <c r="O63" i="60"/>
  <c r="O69" i="60"/>
  <c r="O67" i="257"/>
  <c r="Q67" i="257" s="1"/>
  <c r="Q78" i="60"/>
  <c r="F63" i="10"/>
  <c r="C63" i="10" s="1"/>
  <c r="N63" i="10" s="1"/>
  <c r="O80" i="257"/>
  <c r="Q80" i="257" s="1"/>
  <c r="O82" i="60"/>
  <c r="D88" i="140"/>
  <c r="C88" i="140" s="1"/>
  <c r="B88" i="140" s="1"/>
  <c r="F68" i="19"/>
  <c r="E49" i="17"/>
  <c r="O49" i="17" s="1"/>
  <c r="P49" i="17" s="1"/>
  <c r="F51" i="154" s="1"/>
  <c r="B76" i="17"/>
  <c r="M65" i="140"/>
  <c r="L80" i="13"/>
  <c r="K72" i="13"/>
  <c r="M80" i="140"/>
  <c r="C48" i="12"/>
  <c r="I8" i="99"/>
  <c r="J8" i="99"/>
  <c r="H8" i="99"/>
  <c r="T8" i="99"/>
  <c r="G8" i="99"/>
  <c r="R8" i="99"/>
  <c r="V8" i="99"/>
  <c r="K8" i="99"/>
  <c r="S8" i="99"/>
  <c r="U8" i="99"/>
  <c r="P59" i="140"/>
  <c r="N59" i="140"/>
  <c r="O59" i="140"/>
  <c r="D53" i="19"/>
  <c r="I54" i="17"/>
  <c r="E49" i="12"/>
  <c r="U49" i="13"/>
  <c r="L65" i="19"/>
  <c r="C56" i="60"/>
  <c r="P56" i="60"/>
  <c r="C22" i="17"/>
  <c r="K22" i="19"/>
  <c r="M39" i="17"/>
  <c r="E39" i="17"/>
  <c r="O39" i="17" s="1"/>
  <c r="E96" i="8"/>
  <c r="Q76" i="140"/>
  <c r="D60" i="140"/>
  <c r="C60" i="140" s="1"/>
  <c r="B60" i="140" s="1"/>
  <c r="E47" i="98"/>
  <c r="E18" i="261" l="1"/>
  <c r="O18" i="261" s="1"/>
  <c r="M18" i="261"/>
  <c r="E15" i="261"/>
  <c r="O15" i="261" s="1"/>
  <c r="V15" i="261" s="1"/>
  <c r="AB24" i="261"/>
  <c r="M49" i="17"/>
  <c r="AI40" i="261"/>
  <c r="G90" i="9"/>
  <c r="G50" i="261"/>
  <c r="L50" i="261" s="1"/>
  <c r="AH50" i="261" s="1"/>
  <c r="S40" i="261"/>
  <c r="W40" i="261" s="1"/>
  <c r="N90" i="8"/>
  <c r="V40" i="261"/>
  <c r="AB40" i="261" s="1"/>
  <c r="K86" i="13"/>
  <c r="B81" i="17"/>
  <c r="F22" i="261"/>
  <c r="K85" i="13"/>
  <c r="B85" i="13" s="1"/>
  <c r="U85" i="13" s="1"/>
  <c r="Z24" i="261"/>
  <c r="AJ90" i="99"/>
  <c r="C55" i="12"/>
  <c r="F55" i="12" s="1"/>
  <c r="H55" i="12"/>
  <c r="O55" i="12" s="1"/>
  <c r="E17" i="261"/>
  <c r="O17" i="261" s="1"/>
  <c r="V17" i="261" s="1"/>
  <c r="U55" i="13"/>
  <c r="E30" i="268"/>
  <c r="E89" i="12"/>
  <c r="F36" i="261"/>
  <c r="B90" i="12"/>
  <c r="T30" i="261"/>
  <c r="X30" i="261" s="1"/>
  <c r="AA30" i="261" s="1"/>
  <c r="C90" i="9"/>
  <c r="I90" i="268" s="1"/>
  <c r="F50" i="10"/>
  <c r="C50" i="10" s="1"/>
  <c r="N50" i="10" s="1"/>
  <c r="F10" i="261"/>
  <c r="M22" i="261"/>
  <c r="S30" i="261"/>
  <c r="W30" i="261" s="1"/>
  <c r="F30" i="268" s="1"/>
  <c r="E42" i="261"/>
  <c r="AI42" i="261" s="1"/>
  <c r="Z38" i="261"/>
  <c r="M42" i="261"/>
  <c r="M16" i="261"/>
  <c r="E16" i="261"/>
  <c r="O16" i="261" s="1"/>
  <c r="T16" i="261" s="1"/>
  <c r="X16" i="261" s="1"/>
  <c r="F21" i="261"/>
  <c r="M15" i="261"/>
  <c r="AI30" i="261"/>
  <c r="U30" i="261"/>
  <c r="Y30" i="261" s="1"/>
  <c r="G30" i="268" s="1"/>
  <c r="AB38" i="261"/>
  <c r="M21" i="261"/>
  <c r="AA38" i="261"/>
  <c r="G45" i="261"/>
  <c r="L45" i="261" s="1"/>
  <c r="AH45" i="261" s="1"/>
  <c r="L47" i="13"/>
  <c r="E14" i="261"/>
  <c r="AI14" i="261" s="1"/>
  <c r="F90" i="98"/>
  <c r="F14" i="261"/>
  <c r="V43" i="261"/>
  <c r="AB43" i="261" s="1"/>
  <c r="E47" i="12"/>
  <c r="K47" i="12" s="1"/>
  <c r="AI43" i="261"/>
  <c r="L46" i="98"/>
  <c r="D46" i="98" s="1"/>
  <c r="L51" i="99"/>
  <c r="P92" i="60"/>
  <c r="I53" i="261"/>
  <c r="I53" i="268"/>
  <c r="L41" i="98"/>
  <c r="D41" i="98" s="1"/>
  <c r="F17" i="261"/>
  <c r="M36" i="261"/>
  <c r="M39" i="261"/>
  <c r="B30" i="268"/>
  <c r="E10" i="261"/>
  <c r="AI10" i="261" s="1"/>
  <c r="T43" i="261"/>
  <c r="X43" i="261" s="1"/>
  <c r="C47" i="261"/>
  <c r="F47" i="261" s="1"/>
  <c r="C48" i="261"/>
  <c r="M48" i="261" s="1"/>
  <c r="C30" i="268"/>
  <c r="J27" i="268"/>
  <c r="K27" i="268"/>
  <c r="H27" i="268"/>
  <c r="B12" i="261"/>
  <c r="F12" i="261" s="1"/>
  <c r="D41" i="268"/>
  <c r="E41" i="268"/>
  <c r="B41" i="268"/>
  <c r="C41" i="268"/>
  <c r="D30" i="268"/>
  <c r="H90" i="268"/>
  <c r="C13" i="261"/>
  <c r="M13" i="261" s="1"/>
  <c r="T32" i="261"/>
  <c r="X32" i="261" s="1"/>
  <c r="U32" i="261"/>
  <c r="Y32" i="261" s="1"/>
  <c r="G32" i="268" s="1"/>
  <c r="V32" i="261"/>
  <c r="S32" i="261"/>
  <c r="W32" i="261" s="1"/>
  <c r="F32" i="268" s="1"/>
  <c r="B51" i="261"/>
  <c r="C46" i="261"/>
  <c r="F46" i="261" s="1"/>
  <c r="Z29" i="261"/>
  <c r="AA29" i="261"/>
  <c r="AB29" i="261"/>
  <c r="AI32" i="261"/>
  <c r="K70" i="13"/>
  <c r="B70" i="13" s="1"/>
  <c r="U70" i="13" s="1"/>
  <c r="L81" i="19"/>
  <c r="S43" i="261"/>
  <c r="W43" i="261" s="1"/>
  <c r="E39" i="261"/>
  <c r="O39" i="261" s="1"/>
  <c r="V39" i="261" s="1"/>
  <c r="E84" i="12"/>
  <c r="H84" i="12" s="1"/>
  <c r="O84" i="12" s="1"/>
  <c r="Q27" i="8"/>
  <c r="E19" i="261"/>
  <c r="O19" i="261" s="1"/>
  <c r="U19" i="261" s="1"/>
  <c r="Y19" i="261" s="1"/>
  <c r="U30" i="17"/>
  <c r="M19" i="261"/>
  <c r="Q73" i="140"/>
  <c r="E35" i="261"/>
  <c r="M35" i="261"/>
  <c r="F69" i="19"/>
  <c r="L13" i="17"/>
  <c r="T13" i="17" s="1"/>
  <c r="F61" i="19"/>
  <c r="L13" i="98"/>
  <c r="D13" i="98" s="1"/>
  <c r="E48" i="98"/>
  <c r="E44" i="98" s="1"/>
  <c r="G44" i="98"/>
  <c r="G90" i="98" s="1"/>
  <c r="N44" i="99"/>
  <c r="N90" i="99" s="1"/>
  <c r="L26" i="98"/>
  <c r="D26" i="98" s="1"/>
  <c r="H90" i="98"/>
  <c r="L78" i="19"/>
  <c r="B45" i="10"/>
  <c r="J45" i="10" s="1"/>
  <c r="K58" i="13"/>
  <c r="B58" i="13" s="1"/>
  <c r="U58" i="13" s="1"/>
  <c r="C50" i="19"/>
  <c r="B50" i="19" s="1"/>
  <c r="L48" i="98"/>
  <c r="L49" i="99"/>
  <c r="D49" i="99" s="1"/>
  <c r="L73" i="19"/>
  <c r="L12" i="99"/>
  <c r="L46" i="99"/>
  <c r="N8" i="98"/>
  <c r="L32" i="98"/>
  <c r="D32" i="98" s="1"/>
  <c r="K90" i="98"/>
  <c r="L48" i="99"/>
  <c r="L27" i="99"/>
  <c r="D27" i="99" s="1"/>
  <c r="L24" i="99"/>
  <c r="L41" i="99"/>
  <c r="D41" i="99" s="1"/>
  <c r="AE90" i="99"/>
  <c r="K14" i="12"/>
  <c r="AE90" i="98"/>
  <c r="L33" i="99"/>
  <c r="D33" i="99" s="1"/>
  <c r="L24" i="98"/>
  <c r="L22" i="98"/>
  <c r="D22" i="98" s="1"/>
  <c r="L32" i="99"/>
  <c r="D32" i="99" s="1"/>
  <c r="B54" i="261"/>
  <c r="B54" i="17"/>
  <c r="Z11" i="261"/>
  <c r="AA11" i="261"/>
  <c r="AB11" i="261"/>
  <c r="L69" i="19"/>
  <c r="L66" i="19"/>
  <c r="S15" i="261"/>
  <c r="W15" i="261" s="1"/>
  <c r="Z15" i="261" s="1"/>
  <c r="AI15" i="261"/>
  <c r="T15" i="261"/>
  <c r="X15" i="261" s="1"/>
  <c r="AA15" i="261" s="1"/>
  <c r="U15" i="261"/>
  <c r="Y15" i="261" s="1"/>
  <c r="AB15" i="261" s="1"/>
  <c r="E27" i="261"/>
  <c r="AI27" i="261" s="1"/>
  <c r="AI21" i="261"/>
  <c r="AI36" i="261"/>
  <c r="V18" i="261"/>
  <c r="T18" i="261"/>
  <c r="X18" i="261" s="1"/>
  <c r="U18" i="261"/>
  <c r="Y18" i="261" s="1"/>
  <c r="S18" i="261"/>
  <c r="W18" i="261" s="1"/>
  <c r="T17" i="261"/>
  <c r="X17" i="261" s="1"/>
  <c r="V36" i="261"/>
  <c r="U36" i="261"/>
  <c r="Y36" i="261" s="1"/>
  <c r="T36" i="261"/>
  <c r="X36" i="261" s="1"/>
  <c r="S36" i="261"/>
  <c r="W36" i="261" s="1"/>
  <c r="V49" i="261"/>
  <c r="V21" i="261"/>
  <c r="S21" i="261"/>
  <c r="W21" i="261" s="1"/>
  <c r="U21" i="261"/>
  <c r="Y21" i="261" s="1"/>
  <c r="T21" i="261"/>
  <c r="X21" i="261" s="1"/>
  <c r="V19" i="261"/>
  <c r="V22" i="261"/>
  <c r="S22" i="261"/>
  <c r="W22" i="261" s="1"/>
  <c r="U22" i="261"/>
  <c r="Y22" i="261" s="1"/>
  <c r="T22" i="261"/>
  <c r="X22" i="261" s="1"/>
  <c r="L13" i="261"/>
  <c r="AH13" i="261" s="1"/>
  <c r="B73" i="17"/>
  <c r="B56" i="261"/>
  <c r="B56" i="17"/>
  <c r="B55" i="261"/>
  <c r="B55" i="17"/>
  <c r="F27" i="261"/>
  <c r="B86" i="261"/>
  <c r="B86" i="17"/>
  <c r="L58" i="19"/>
  <c r="F58" i="10"/>
  <c r="C58" i="10" s="1"/>
  <c r="N58" i="10" s="1"/>
  <c r="N14" i="12"/>
  <c r="U41" i="17"/>
  <c r="B62" i="261"/>
  <c r="B62" i="17"/>
  <c r="L71" i="19"/>
  <c r="F71" i="10"/>
  <c r="C71" i="10" s="1"/>
  <c r="N71" i="10" s="1"/>
  <c r="B69" i="261"/>
  <c r="B69" i="17"/>
  <c r="B58" i="261"/>
  <c r="B58" i="17"/>
  <c r="D90" i="9"/>
  <c r="O90" i="9" s="1"/>
  <c r="L54" i="19"/>
  <c r="O27" i="9"/>
  <c r="J27" i="261"/>
  <c r="H27" i="261"/>
  <c r="K27" i="261"/>
  <c r="L62" i="19"/>
  <c r="F62" i="10"/>
  <c r="C62" i="10" s="1"/>
  <c r="N62" i="10" s="1"/>
  <c r="B71" i="261"/>
  <c r="B71" i="17"/>
  <c r="AI18" i="261"/>
  <c r="B84" i="261"/>
  <c r="B84" i="17"/>
  <c r="F69" i="10"/>
  <c r="C69" i="10" s="1"/>
  <c r="N69" i="10" s="1"/>
  <c r="B66" i="261"/>
  <c r="B66" i="17"/>
  <c r="F60" i="10"/>
  <c r="C60" i="10" s="1"/>
  <c r="N60" i="10" s="1"/>
  <c r="L60" i="19"/>
  <c r="AI22" i="261"/>
  <c r="F56" i="10"/>
  <c r="C56" i="10" s="1"/>
  <c r="N56" i="10" s="1"/>
  <c r="L56" i="19"/>
  <c r="F55" i="10"/>
  <c r="C55" i="10" s="1"/>
  <c r="N55" i="10" s="1"/>
  <c r="L55" i="19"/>
  <c r="F84" i="10"/>
  <c r="C84" i="10" s="1"/>
  <c r="N84" i="10" s="1"/>
  <c r="L84" i="19"/>
  <c r="F27" i="17"/>
  <c r="F86" i="10"/>
  <c r="C86" i="10" s="1"/>
  <c r="N86" i="10" s="1"/>
  <c r="L86" i="19"/>
  <c r="E27" i="17"/>
  <c r="U27" i="17" s="1"/>
  <c r="H27" i="12"/>
  <c r="O27" i="12" s="1"/>
  <c r="K27" i="12"/>
  <c r="B60" i="261"/>
  <c r="B60" i="17"/>
  <c r="B69" i="13"/>
  <c r="U69" i="13" s="1"/>
  <c r="Q74" i="140"/>
  <c r="M15" i="17"/>
  <c r="F15" i="17"/>
  <c r="Q70" i="140"/>
  <c r="N10" i="12"/>
  <c r="G91" i="8"/>
  <c r="G96" i="8" s="1"/>
  <c r="Q89" i="140"/>
  <c r="Q87" i="140"/>
  <c r="U42" i="17"/>
  <c r="B91" i="9"/>
  <c r="B91" i="12" s="1"/>
  <c r="L89" i="13"/>
  <c r="P41" i="17"/>
  <c r="Q42" i="12"/>
  <c r="E67" i="12"/>
  <c r="H67" i="12" s="1"/>
  <c r="O67" i="12" s="1"/>
  <c r="U67" i="13"/>
  <c r="L67" i="13"/>
  <c r="Q84" i="140"/>
  <c r="F24" i="257"/>
  <c r="H24" i="116"/>
  <c r="I14" i="12"/>
  <c r="F14" i="12"/>
  <c r="B12" i="17"/>
  <c r="E12" i="17" s="1"/>
  <c r="L12" i="19"/>
  <c r="K12" i="19"/>
  <c r="C46" i="17"/>
  <c r="K46" i="19"/>
  <c r="U52" i="13"/>
  <c r="E52" i="12"/>
  <c r="Q69" i="140"/>
  <c r="U35" i="17"/>
  <c r="Q62" i="140"/>
  <c r="Q82" i="140"/>
  <c r="P50" i="13"/>
  <c r="O50" i="13" s="1"/>
  <c r="J50" i="13" s="1"/>
  <c r="K91" i="98"/>
  <c r="P51" i="13"/>
  <c r="O51" i="13" s="1"/>
  <c r="J51" i="13" s="1"/>
  <c r="I9" i="13"/>
  <c r="F44" i="19"/>
  <c r="E44" i="19" s="1"/>
  <c r="J48" i="12"/>
  <c r="G48" i="12"/>
  <c r="N48" i="12" s="1"/>
  <c r="G13" i="12"/>
  <c r="J13" i="12" s="1"/>
  <c r="P9" i="9"/>
  <c r="J23" i="36"/>
  <c r="G46" i="12"/>
  <c r="N46" i="12" s="1"/>
  <c r="J46" i="12"/>
  <c r="K10" i="12"/>
  <c r="O10" i="12"/>
  <c r="E46" i="12"/>
  <c r="U46" i="13"/>
  <c r="E52" i="19"/>
  <c r="D52" i="12"/>
  <c r="J46" i="36"/>
  <c r="Q80" i="140"/>
  <c r="Q65" i="140"/>
  <c r="Q61" i="140"/>
  <c r="P30" i="17"/>
  <c r="K48" i="19"/>
  <c r="C48" i="17"/>
  <c r="M10" i="17"/>
  <c r="E10" i="17"/>
  <c r="F10" i="17"/>
  <c r="C13" i="17"/>
  <c r="K13" i="19"/>
  <c r="K27" i="17"/>
  <c r="I27" i="9"/>
  <c r="H27" i="17"/>
  <c r="C9" i="9"/>
  <c r="D27" i="12"/>
  <c r="B27" i="25"/>
  <c r="E27" i="116"/>
  <c r="J27" i="17"/>
  <c r="C97" i="9"/>
  <c r="I97" i="9" s="1"/>
  <c r="J97" i="9" s="1"/>
  <c r="L27" i="9"/>
  <c r="Q44" i="12"/>
  <c r="I10" i="12"/>
  <c r="F10" i="12"/>
  <c r="E13" i="12"/>
  <c r="C13" i="12" s="1"/>
  <c r="U13" i="13"/>
  <c r="H27" i="36"/>
  <c r="C27" i="36"/>
  <c r="O27" i="36" s="1"/>
  <c r="E61" i="36"/>
  <c r="B9" i="36"/>
  <c r="H9" i="36" s="1"/>
  <c r="L52" i="13"/>
  <c r="P39" i="17"/>
  <c r="F41" i="154" s="1"/>
  <c r="K41" i="154" s="1"/>
  <c r="U15" i="17"/>
  <c r="P43" i="17"/>
  <c r="F45" i="154" s="1"/>
  <c r="K45" i="154" s="1"/>
  <c r="B86" i="13"/>
  <c r="U86" i="13" s="1"/>
  <c r="E33" i="9"/>
  <c r="E25" i="9"/>
  <c r="E23" i="9"/>
  <c r="F14" i="17"/>
  <c r="M14" i="17"/>
  <c r="E14" i="17"/>
  <c r="O14" i="17" s="1"/>
  <c r="P14" i="17" s="1"/>
  <c r="F16" i="154" s="1"/>
  <c r="K16" i="154" s="1"/>
  <c r="G89" i="12"/>
  <c r="N89" i="12" s="1"/>
  <c r="J89" i="12"/>
  <c r="N32" i="116"/>
  <c r="K51" i="154"/>
  <c r="E71" i="12"/>
  <c r="U71" i="13"/>
  <c r="K17" i="154"/>
  <c r="B61" i="13"/>
  <c r="B62" i="13"/>
  <c r="U62" i="13" s="1"/>
  <c r="E78" i="12"/>
  <c r="U78" i="13"/>
  <c r="E73" i="12"/>
  <c r="U73" i="13"/>
  <c r="O58" i="257"/>
  <c r="Q58" i="257" s="1"/>
  <c r="O60" i="60"/>
  <c r="H92" i="60"/>
  <c r="Q56" i="60"/>
  <c r="D48" i="162"/>
  <c r="N91" i="8"/>
  <c r="P47" i="99"/>
  <c r="Q44" i="99"/>
  <c r="Q90" i="99" s="1"/>
  <c r="I44" i="99"/>
  <c r="I90" i="99" s="1"/>
  <c r="M12" i="17"/>
  <c r="J72" i="12"/>
  <c r="G72" i="12"/>
  <c r="N72" i="12" s="1"/>
  <c r="P75" i="140"/>
  <c r="N75" i="140"/>
  <c r="O75" i="140"/>
  <c r="H83" i="12"/>
  <c r="O83" i="12" s="1"/>
  <c r="C83" i="12"/>
  <c r="K83" i="12"/>
  <c r="W9" i="99"/>
  <c r="U87" i="13"/>
  <c r="E87" i="12"/>
  <c r="E59" i="12"/>
  <c r="U59" i="13"/>
  <c r="K56" i="12"/>
  <c r="H56" i="12"/>
  <c r="O56" i="12" s="1"/>
  <c r="C56" i="12"/>
  <c r="I55" i="12"/>
  <c r="L13" i="99"/>
  <c r="L45" i="99"/>
  <c r="M44" i="99"/>
  <c r="M90" i="99" s="1"/>
  <c r="U39" i="17"/>
  <c r="O56" i="60"/>
  <c r="O54" i="257"/>
  <c r="Q54" i="257" s="1"/>
  <c r="K49" i="12"/>
  <c r="H49" i="12"/>
  <c r="O49" i="12" s="1"/>
  <c r="C49" i="12"/>
  <c r="E89" i="99"/>
  <c r="E24" i="99"/>
  <c r="F8" i="99"/>
  <c r="M88" i="140"/>
  <c r="L50" i="98"/>
  <c r="D50" i="98" s="1"/>
  <c r="L27" i="98"/>
  <c r="D27" i="98" s="1"/>
  <c r="L9" i="99"/>
  <c r="M8" i="99"/>
  <c r="D56" i="140"/>
  <c r="C56" i="140" s="1"/>
  <c r="B56" i="140" s="1"/>
  <c r="K51" i="36"/>
  <c r="F51" i="36"/>
  <c r="L51" i="36" s="1"/>
  <c r="G44" i="99"/>
  <c r="G90" i="99" s="1"/>
  <c r="U44" i="99"/>
  <c r="U90" i="99" s="1"/>
  <c r="S44" i="99"/>
  <c r="S90" i="99" s="1"/>
  <c r="N89" i="140"/>
  <c r="P89" i="140"/>
  <c r="O89" i="140"/>
  <c r="K81" i="12"/>
  <c r="H81" i="12"/>
  <c r="O81" i="12" s="1"/>
  <c r="C81" i="12"/>
  <c r="L50" i="99"/>
  <c r="P62" i="140"/>
  <c r="N62" i="140"/>
  <c r="O62" i="140"/>
  <c r="F21" i="17"/>
  <c r="M21" i="17"/>
  <c r="E21" i="17"/>
  <c r="O21" i="17" s="1"/>
  <c r="P21" i="17" s="1"/>
  <c r="F23" i="154" s="1"/>
  <c r="N82" i="140"/>
  <c r="P82" i="140"/>
  <c r="O82" i="140"/>
  <c r="L59" i="19"/>
  <c r="G53" i="10"/>
  <c r="M78" i="140"/>
  <c r="L51" i="98"/>
  <c r="D51" i="98" s="1"/>
  <c r="F66" i="19"/>
  <c r="N70" i="140"/>
  <c r="P70" i="140"/>
  <c r="O70" i="140"/>
  <c r="E82" i="12"/>
  <c r="U82" i="13"/>
  <c r="E60" i="12"/>
  <c r="U60" i="13"/>
  <c r="I90" i="98"/>
  <c r="L47" i="99"/>
  <c r="P87" i="140"/>
  <c r="N87" i="140"/>
  <c r="O87" i="140"/>
  <c r="B76" i="13"/>
  <c r="L45" i="98"/>
  <c r="M44" i="98"/>
  <c r="M90" i="98" s="1"/>
  <c r="L46" i="36"/>
  <c r="I45" i="36"/>
  <c r="H45" i="36"/>
  <c r="I91" i="98"/>
  <c r="P61" i="140"/>
  <c r="N61" i="140"/>
  <c r="O61" i="140"/>
  <c r="L89" i="99"/>
  <c r="L88" i="13"/>
  <c r="K77" i="12"/>
  <c r="H77" i="12"/>
  <c r="O77" i="12" s="1"/>
  <c r="C77" i="12"/>
  <c r="B51" i="17"/>
  <c r="L51" i="19"/>
  <c r="L49" i="98"/>
  <c r="D49" i="98" s="1"/>
  <c r="Q75" i="140"/>
  <c r="H91" i="8"/>
  <c r="I90" i="8"/>
  <c r="I48" i="12"/>
  <c r="F48" i="12"/>
  <c r="F54" i="13"/>
  <c r="G53" i="13"/>
  <c r="K37" i="154"/>
  <c r="H44" i="99"/>
  <c r="H90" i="99" s="1"/>
  <c r="M8" i="98"/>
  <c r="U75" i="13"/>
  <c r="E75" i="12"/>
  <c r="P84" i="140"/>
  <c r="N84" i="140"/>
  <c r="O84" i="140"/>
  <c r="M60" i="140"/>
  <c r="G91" i="9"/>
  <c r="I90" i="116"/>
  <c r="R90" i="8"/>
  <c r="F22" i="17"/>
  <c r="M22" i="17"/>
  <c r="E22" i="17"/>
  <c r="O22" i="17" s="1"/>
  <c r="P22" i="17" s="1"/>
  <c r="F24" i="154" s="1"/>
  <c r="I53" i="17"/>
  <c r="D91" i="19"/>
  <c r="P89" i="99"/>
  <c r="U49" i="17"/>
  <c r="P48" i="99"/>
  <c r="N74" i="140"/>
  <c r="P74" i="140"/>
  <c r="O74" i="140"/>
  <c r="M71" i="140"/>
  <c r="K50" i="36"/>
  <c r="F50" i="36"/>
  <c r="L50" i="36" s="1"/>
  <c r="E45" i="36"/>
  <c r="K45" i="36" s="1"/>
  <c r="T44" i="99"/>
  <c r="T90" i="99" s="1"/>
  <c r="K44" i="99"/>
  <c r="K90" i="99" s="1"/>
  <c r="J44" i="99"/>
  <c r="J90" i="99" s="1"/>
  <c r="P85" i="60"/>
  <c r="C85" i="60"/>
  <c r="E64" i="12"/>
  <c r="U64" i="13"/>
  <c r="P67" i="140"/>
  <c r="N67" i="140"/>
  <c r="O67" i="140"/>
  <c r="F45" i="10"/>
  <c r="B59" i="17"/>
  <c r="E24" i="98"/>
  <c r="F8" i="98"/>
  <c r="F91" i="98" s="1"/>
  <c r="P68" i="140"/>
  <c r="N68" i="140"/>
  <c r="O68" i="140"/>
  <c r="K80" i="12"/>
  <c r="C80" i="12"/>
  <c r="H80" i="12"/>
  <c r="O80" i="12" s="1"/>
  <c r="F76" i="19"/>
  <c r="D76" i="12" s="1"/>
  <c r="N44" i="98"/>
  <c r="N90" i="98" s="1"/>
  <c r="H91" i="98"/>
  <c r="P79" i="140"/>
  <c r="N79" i="140"/>
  <c r="O79" i="140"/>
  <c r="K89" i="12"/>
  <c r="H89" i="12"/>
  <c r="O89" i="12" s="1"/>
  <c r="C89" i="12"/>
  <c r="L82" i="13"/>
  <c r="P58" i="140"/>
  <c r="N58" i="140"/>
  <c r="O58" i="140"/>
  <c r="U43" i="17"/>
  <c r="D51" i="99"/>
  <c r="K68" i="12"/>
  <c r="C68" i="12"/>
  <c r="H68" i="12"/>
  <c r="O68" i="12" s="1"/>
  <c r="N66" i="140"/>
  <c r="P66" i="140"/>
  <c r="O66" i="140"/>
  <c r="N86" i="140"/>
  <c r="P86" i="140"/>
  <c r="O86" i="140"/>
  <c r="K63" i="12"/>
  <c r="C63" i="12"/>
  <c r="H63" i="12"/>
  <c r="O63" i="12" s="1"/>
  <c r="C84" i="12"/>
  <c r="N8" i="99"/>
  <c r="N69" i="140"/>
  <c r="P69" i="140"/>
  <c r="O69" i="140"/>
  <c r="F18" i="17"/>
  <c r="M18" i="17"/>
  <c r="E18" i="17"/>
  <c r="O18" i="17" s="1"/>
  <c r="P18" i="17" s="1"/>
  <c r="F20" i="154" s="1"/>
  <c r="G47" i="12"/>
  <c r="C47" i="12"/>
  <c r="J47" i="12"/>
  <c r="F19" i="17"/>
  <c r="M19" i="17"/>
  <c r="E19" i="17"/>
  <c r="O19" i="17" s="1"/>
  <c r="U66" i="13"/>
  <c r="E66" i="12"/>
  <c r="J90" i="17"/>
  <c r="H90" i="17"/>
  <c r="K90" i="17"/>
  <c r="D12" i="99"/>
  <c r="P24" i="99"/>
  <c r="Q8" i="99"/>
  <c r="P80" i="140"/>
  <c r="N80" i="140"/>
  <c r="O80" i="140"/>
  <c r="N65" i="140"/>
  <c r="P65" i="140"/>
  <c r="O65" i="140"/>
  <c r="L89" i="98"/>
  <c r="E48" i="99"/>
  <c r="V44" i="99"/>
  <c r="V90" i="99" s="1"/>
  <c r="R44" i="99"/>
  <c r="R90" i="99" s="1"/>
  <c r="E47" i="99"/>
  <c r="F44" i="99"/>
  <c r="F90" i="99" s="1"/>
  <c r="F16" i="17"/>
  <c r="M16" i="17"/>
  <c r="E16" i="17"/>
  <c r="O16" i="17" s="1"/>
  <c r="P16" i="17" s="1"/>
  <c r="F18" i="154" s="1"/>
  <c r="P73" i="140"/>
  <c r="N73" i="140"/>
  <c r="O73" i="140"/>
  <c r="U65" i="13"/>
  <c r="E65" i="12"/>
  <c r="D46" i="99"/>
  <c r="L26" i="99"/>
  <c r="L43" i="99"/>
  <c r="H91" i="257"/>
  <c r="Q67" i="140"/>
  <c r="E88" i="12"/>
  <c r="U88" i="13"/>
  <c r="M72" i="140"/>
  <c r="U57" i="13"/>
  <c r="E57" i="12"/>
  <c r="C47" i="17"/>
  <c r="K47" i="19"/>
  <c r="M63" i="140"/>
  <c r="L12" i="98"/>
  <c r="D12" i="98" s="1"/>
  <c r="L33" i="98"/>
  <c r="D33" i="98" s="1"/>
  <c r="L66" i="13"/>
  <c r="F62" i="19"/>
  <c r="W9" i="98"/>
  <c r="Q68" i="140"/>
  <c r="D9" i="98"/>
  <c r="L43" i="98"/>
  <c r="D43" i="98" s="1"/>
  <c r="E89" i="98"/>
  <c r="J91" i="98"/>
  <c r="L65" i="13"/>
  <c r="C53" i="19"/>
  <c r="B53" i="19" s="1"/>
  <c r="L30" i="99"/>
  <c r="Q79" i="140"/>
  <c r="AJ22" i="98"/>
  <c r="AJ89" i="98"/>
  <c r="AJ48" i="98"/>
  <c r="AJ24" i="98"/>
  <c r="AJ47" i="98"/>
  <c r="C51" i="10"/>
  <c r="N51" i="10" s="1"/>
  <c r="L47" i="98"/>
  <c r="D47" i="98" s="1"/>
  <c r="L30" i="98"/>
  <c r="D30" i="98" s="1"/>
  <c r="B72" i="13"/>
  <c r="K74" i="12"/>
  <c r="H74" i="12"/>
  <c r="O74" i="12" s="1"/>
  <c r="C74" i="12"/>
  <c r="M64" i="140"/>
  <c r="F36" i="17"/>
  <c r="M36" i="17"/>
  <c r="E36" i="17"/>
  <c r="O36" i="17" s="1"/>
  <c r="P36" i="17" s="1"/>
  <c r="F38" i="154" s="1"/>
  <c r="Q58" i="140"/>
  <c r="J90" i="98"/>
  <c r="F17" i="17"/>
  <c r="M17" i="17"/>
  <c r="E17" i="17"/>
  <c r="O17" i="17" s="1"/>
  <c r="P17" i="17" s="1"/>
  <c r="F19" i="154" s="1"/>
  <c r="Q66" i="140"/>
  <c r="Q86" i="140"/>
  <c r="E47" i="261" l="1"/>
  <c r="M47" i="261"/>
  <c r="M46" i="261"/>
  <c r="AA40" i="261"/>
  <c r="Z40" i="261"/>
  <c r="E85" i="12"/>
  <c r="Z30" i="261"/>
  <c r="O42" i="261"/>
  <c r="V42" i="261" s="1"/>
  <c r="AB30" i="261"/>
  <c r="E48" i="261"/>
  <c r="AI48" i="261" s="1"/>
  <c r="C67" i="12"/>
  <c r="H90" i="9"/>
  <c r="K67" i="12"/>
  <c r="S16" i="261"/>
  <c r="W16" i="261" s="1"/>
  <c r="E90" i="116"/>
  <c r="H47" i="12"/>
  <c r="O47" i="12" s="1"/>
  <c r="S17" i="261"/>
  <c r="W17" i="261" s="1"/>
  <c r="Z17" i="261" s="1"/>
  <c r="AI17" i="261"/>
  <c r="K90" i="261"/>
  <c r="F48" i="261"/>
  <c r="U17" i="261"/>
  <c r="Y17" i="261" s="1"/>
  <c r="AB17" i="261" s="1"/>
  <c r="I91" i="99"/>
  <c r="E13" i="261"/>
  <c r="AI13" i="261" s="1"/>
  <c r="J90" i="261"/>
  <c r="T19" i="261"/>
  <c r="X19" i="261" s="1"/>
  <c r="AA19" i="261" s="1"/>
  <c r="K90" i="268"/>
  <c r="AA43" i="261"/>
  <c r="C45" i="19"/>
  <c r="B45" i="19" s="1"/>
  <c r="L45" i="19" s="1"/>
  <c r="K84" i="12"/>
  <c r="I90" i="9"/>
  <c r="J90" i="9" s="1"/>
  <c r="H90" i="261"/>
  <c r="S19" i="261"/>
  <c r="W19" i="261" s="1"/>
  <c r="Z19" i="261" s="1"/>
  <c r="J90" i="268"/>
  <c r="I90" i="17"/>
  <c r="K50" i="10"/>
  <c r="I90" i="261"/>
  <c r="AI19" i="261"/>
  <c r="Z43" i="261"/>
  <c r="V16" i="261"/>
  <c r="AA16" i="261" s="1"/>
  <c r="L50" i="19"/>
  <c r="G91" i="98"/>
  <c r="U16" i="261"/>
  <c r="Y16" i="261" s="1"/>
  <c r="F12" i="17"/>
  <c r="AI16" i="261"/>
  <c r="E58" i="12"/>
  <c r="C58" i="12" s="1"/>
  <c r="E12" i="261"/>
  <c r="O12" i="261" s="1"/>
  <c r="V12" i="261" s="1"/>
  <c r="E46" i="261"/>
  <c r="O46" i="261" s="1"/>
  <c r="O14" i="261"/>
  <c r="V14" i="261" s="1"/>
  <c r="O10" i="261"/>
  <c r="V10" i="261" s="1"/>
  <c r="W26" i="98"/>
  <c r="O26" i="98" s="1"/>
  <c r="D48" i="98"/>
  <c r="E69" i="12"/>
  <c r="K69" i="12" s="1"/>
  <c r="B50" i="261"/>
  <c r="B45" i="261" s="1"/>
  <c r="I27" i="268"/>
  <c r="D91" i="9"/>
  <c r="M91" i="13" s="1"/>
  <c r="H9" i="268"/>
  <c r="K9" i="268"/>
  <c r="J9" i="268"/>
  <c r="F13" i="261"/>
  <c r="AB32" i="261"/>
  <c r="Z32" i="261"/>
  <c r="AA32" i="261"/>
  <c r="K90" i="9"/>
  <c r="C52" i="261"/>
  <c r="M52" i="261" s="1"/>
  <c r="AI39" i="261"/>
  <c r="M91" i="99"/>
  <c r="W26" i="99"/>
  <c r="O26" i="99" s="1"/>
  <c r="W12" i="98"/>
  <c r="O12" i="98" s="1"/>
  <c r="M99" i="99"/>
  <c r="B50" i="17"/>
  <c r="B45" i="17" s="1"/>
  <c r="C44" i="261"/>
  <c r="F44" i="261" s="1"/>
  <c r="O35" i="261"/>
  <c r="AI35" i="261"/>
  <c r="M27" i="261"/>
  <c r="W51" i="98"/>
  <c r="O51" i="98" s="1"/>
  <c r="W22" i="98"/>
  <c r="O22" i="98" s="1"/>
  <c r="M100" i="98"/>
  <c r="W46" i="99"/>
  <c r="O46" i="99" s="1"/>
  <c r="W30" i="99"/>
  <c r="O30" i="99" s="1"/>
  <c r="W51" i="99"/>
  <c r="O51" i="99" s="1"/>
  <c r="N91" i="99"/>
  <c r="B53" i="17"/>
  <c r="M91" i="98"/>
  <c r="K45" i="10"/>
  <c r="K90" i="10" s="1"/>
  <c r="W48" i="99"/>
  <c r="W50" i="99"/>
  <c r="O50" i="99" s="1"/>
  <c r="W41" i="98"/>
  <c r="O41" i="98" s="1"/>
  <c r="W48" i="98"/>
  <c r="Y8" i="99"/>
  <c r="Y8" i="98"/>
  <c r="W49" i="98"/>
  <c r="O49" i="98" s="1"/>
  <c r="W27" i="99"/>
  <c r="O27" i="99" s="1"/>
  <c r="N91" i="98"/>
  <c r="Z22" i="261"/>
  <c r="AB22" i="261"/>
  <c r="AA22" i="261"/>
  <c r="O47" i="261"/>
  <c r="V47" i="261" s="1"/>
  <c r="AB19" i="261"/>
  <c r="AA21" i="261"/>
  <c r="AB21" i="261"/>
  <c r="Z21" i="261"/>
  <c r="Z36" i="261"/>
  <c r="AA36" i="261"/>
  <c r="AB36" i="261"/>
  <c r="AA17" i="261"/>
  <c r="Z18" i="261"/>
  <c r="AB18" i="261"/>
  <c r="AA18" i="261"/>
  <c r="I27" i="261"/>
  <c r="AI47" i="261"/>
  <c r="G27" i="17"/>
  <c r="G27" i="261"/>
  <c r="P91" i="8"/>
  <c r="M90" i="13"/>
  <c r="F90" i="9"/>
  <c r="L90" i="9" s="1"/>
  <c r="B53" i="261"/>
  <c r="C91" i="9"/>
  <c r="H9" i="261"/>
  <c r="K9" i="261"/>
  <c r="J9" i="261"/>
  <c r="O13" i="261"/>
  <c r="Q91" i="99"/>
  <c r="U36" i="17"/>
  <c r="Q88" i="140"/>
  <c r="N41" i="116"/>
  <c r="U91" i="99"/>
  <c r="E86" i="12"/>
  <c r="C86" i="12" s="1"/>
  <c r="E70" i="12"/>
  <c r="K70" i="12" s="1"/>
  <c r="T91" i="99"/>
  <c r="S91" i="99"/>
  <c r="U22" i="17"/>
  <c r="F13" i="12"/>
  <c r="I13" i="12"/>
  <c r="U18" i="17"/>
  <c r="P51" i="36"/>
  <c r="E97" i="9"/>
  <c r="K97" i="9" s="1"/>
  <c r="F23" i="9"/>
  <c r="K23" i="9"/>
  <c r="E9" i="9"/>
  <c r="E23" i="36"/>
  <c r="E25" i="36"/>
  <c r="E33" i="36"/>
  <c r="J27" i="9"/>
  <c r="F13" i="17"/>
  <c r="E13" i="17"/>
  <c r="M13" i="17"/>
  <c r="C52" i="17"/>
  <c r="K52" i="19"/>
  <c r="F46" i="17"/>
  <c r="M46" i="17"/>
  <c r="E46" i="17"/>
  <c r="O46" i="17" s="1"/>
  <c r="P46" i="17" s="1"/>
  <c r="F48" i="154" s="1"/>
  <c r="K48" i="154" s="1"/>
  <c r="Q64" i="140"/>
  <c r="V91" i="99"/>
  <c r="Q48" i="12"/>
  <c r="C45" i="10"/>
  <c r="N45" i="10" s="1"/>
  <c r="H32" i="116"/>
  <c r="F32" i="257"/>
  <c r="U14" i="17"/>
  <c r="K25" i="9"/>
  <c r="F25" i="9"/>
  <c r="C9" i="36"/>
  <c r="I9" i="36" s="1"/>
  <c r="J9" i="36" s="1"/>
  <c r="C27" i="25"/>
  <c r="D27" i="25" s="1"/>
  <c r="I27" i="36"/>
  <c r="L27" i="36"/>
  <c r="Q10" i="12"/>
  <c r="M27" i="17"/>
  <c r="J27" i="12"/>
  <c r="C27" i="12"/>
  <c r="F48" i="17"/>
  <c r="M48" i="17"/>
  <c r="E48" i="17"/>
  <c r="N30" i="116"/>
  <c r="H52" i="12"/>
  <c r="O52" i="12" s="1"/>
  <c r="K52" i="12"/>
  <c r="Q63" i="140"/>
  <c r="P19" i="17"/>
  <c r="F21" i="154" s="1"/>
  <c r="K21" i="154" s="1"/>
  <c r="J45" i="36"/>
  <c r="J91" i="99"/>
  <c r="K33" i="9"/>
  <c r="F33" i="9"/>
  <c r="H13" i="12"/>
  <c r="O13" i="12" s="1"/>
  <c r="I27" i="17"/>
  <c r="J9" i="17"/>
  <c r="H9" i="17"/>
  <c r="K9" i="17"/>
  <c r="I9" i="9"/>
  <c r="J9" i="9" s="1"/>
  <c r="G27" i="12"/>
  <c r="K46" i="12"/>
  <c r="C46" i="12"/>
  <c r="H46" i="12"/>
  <c r="O46" i="12" s="1"/>
  <c r="O9" i="9"/>
  <c r="N13" i="12"/>
  <c r="C44" i="17"/>
  <c r="K44" i="19"/>
  <c r="E97" i="116"/>
  <c r="E9" i="116"/>
  <c r="O10" i="17"/>
  <c r="U10" i="17"/>
  <c r="G52" i="12"/>
  <c r="N52" i="12" s="1"/>
  <c r="J52" i="12"/>
  <c r="C52" i="12"/>
  <c r="Q14" i="12"/>
  <c r="K19" i="154"/>
  <c r="K20" i="154"/>
  <c r="K18" i="154"/>
  <c r="K23" i="154"/>
  <c r="K38" i="154"/>
  <c r="D43" i="99"/>
  <c r="K65" i="12"/>
  <c r="H65" i="12"/>
  <c r="O65" i="12" s="1"/>
  <c r="C65" i="12"/>
  <c r="P8" i="99"/>
  <c r="I67" i="12"/>
  <c r="F67" i="12"/>
  <c r="F68" i="12"/>
  <c r="I68" i="12"/>
  <c r="I89" i="12"/>
  <c r="F89" i="12"/>
  <c r="F80" i="12"/>
  <c r="I80" i="12"/>
  <c r="O12" i="17"/>
  <c r="N71" i="140"/>
  <c r="P71" i="140"/>
  <c r="O71" i="140"/>
  <c r="D98" i="19"/>
  <c r="E90" i="98"/>
  <c r="F53" i="13"/>
  <c r="J54" i="13"/>
  <c r="J53" i="13" s="1"/>
  <c r="J91" i="8"/>
  <c r="H96" i="8"/>
  <c r="D45" i="98"/>
  <c r="L44" i="98"/>
  <c r="L90" i="98" s="1"/>
  <c r="K60" i="12"/>
  <c r="H60" i="12"/>
  <c r="O60" i="12" s="1"/>
  <c r="C60" i="12"/>
  <c r="W89" i="99"/>
  <c r="F81" i="12"/>
  <c r="I81" i="12"/>
  <c r="L8" i="99"/>
  <c r="D9" i="99"/>
  <c r="F91" i="99"/>
  <c r="I49" i="12"/>
  <c r="F49" i="12"/>
  <c r="L44" i="99"/>
  <c r="D45" i="99"/>
  <c r="F56" i="12"/>
  <c r="I56" i="12"/>
  <c r="X8" i="99"/>
  <c r="P44" i="99"/>
  <c r="Q92" i="60"/>
  <c r="K78" i="12"/>
  <c r="H78" i="12"/>
  <c r="O78" i="12" s="1"/>
  <c r="C78" i="12"/>
  <c r="W30" i="98"/>
  <c r="O30" i="98" s="1"/>
  <c r="W13" i="98"/>
  <c r="O13" i="98" s="1"/>
  <c r="N64" i="140"/>
  <c r="P64" i="140"/>
  <c r="O64" i="140"/>
  <c r="O9" i="98"/>
  <c r="P63" i="140"/>
  <c r="N63" i="140"/>
  <c r="O63" i="140"/>
  <c r="F47" i="17"/>
  <c r="M47" i="17"/>
  <c r="E47" i="17"/>
  <c r="K88" i="12"/>
  <c r="H88" i="12"/>
  <c r="O88" i="12" s="1"/>
  <c r="C88" i="12"/>
  <c r="D26" i="99"/>
  <c r="D47" i="99"/>
  <c r="E44" i="99"/>
  <c r="D48" i="99"/>
  <c r="K85" i="12"/>
  <c r="H85" i="12"/>
  <c r="O85" i="12" s="1"/>
  <c r="C85" i="12"/>
  <c r="U19" i="17"/>
  <c r="I47" i="12"/>
  <c r="F47" i="12"/>
  <c r="W50" i="98"/>
  <c r="O50" i="98" s="1"/>
  <c r="W41" i="99"/>
  <c r="K64" i="12"/>
  <c r="H64" i="12"/>
  <c r="O64" i="12" s="1"/>
  <c r="C64" i="12"/>
  <c r="Q71" i="140"/>
  <c r="O48" i="99"/>
  <c r="H91" i="99"/>
  <c r="I91" i="116"/>
  <c r="R91" i="8"/>
  <c r="W89" i="98"/>
  <c r="W24" i="98"/>
  <c r="K51" i="13"/>
  <c r="F51" i="19"/>
  <c r="E76" i="12"/>
  <c r="C76" i="12" s="1"/>
  <c r="U76" i="13"/>
  <c r="W32" i="99"/>
  <c r="Y44" i="99"/>
  <c r="Y90" i="99" s="1"/>
  <c r="L53" i="19"/>
  <c r="J53" i="10"/>
  <c r="M56" i="140"/>
  <c r="D89" i="99"/>
  <c r="D13" i="99"/>
  <c r="K59" i="12"/>
  <c r="H59" i="12"/>
  <c r="O59" i="12" s="1"/>
  <c r="C59" i="12"/>
  <c r="O9" i="99"/>
  <c r="W49" i="99"/>
  <c r="L76" i="13"/>
  <c r="K71" i="12"/>
  <c r="H71" i="12"/>
  <c r="O71" i="12" s="1"/>
  <c r="C71" i="12"/>
  <c r="E72" i="12"/>
  <c r="U72" i="13"/>
  <c r="AJ90" i="98"/>
  <c r="L8" i="98"/>
  <c r="X8" i="98"/>
  <c r="K57" i="12"/>
  <c r="C57" i="12"/>
  <c r="H57" i="12"/>
  <c r="O57" i="12" s="1"/>
  <c r="P72" i="140"/>
  <c r="N72" i="140"/>
  <c r="O72" i="140"/>
  <c r="F84" i="12"/>
  <c r="I84" i="12"/>
  <c r="I63" i="12"/>
  <c r="F63" i="12"/>
  <c r="J76" i="12"/>
  <c r="G76" i="12"/>
  <c r="N76" i="12" s="1"/>
  <c r="O83" i="257"/>
  <c r="Q83" i="257" s="1"/>
  <c r="O85" i="60"/>
  <c r="K24" i="154"/>
  <c r="N60" i="140"/>
  <c r="P60" i="140"/>
  <c r="O60" i="140"/>
  <c r="K75" i="12"/>
  <c r="C75" i="12"/>
  <c r="H75" i="12"/>
  <c r="O75" i="12" s="1"/>
  <c r="Y44" i="98"/>
  <c r="Y90" i="98" s="1"/>
  <c r="F77" i="12"/>
  <c r="I77" i="12"/>
  <c r="F45" i="36"/>
  <c r="L45" i="36" s="1"/>
  <c r="U12" i="17"/>
  <c r="W45" i="99"/>
  <c r="X44" i="99"/>
  <c r="X90" i="99" s="1"/>
  <c r="P78" i="140"/>
  <c r="N78" i="140"/>
  <c r="O78" i="140"/>
  <c r="R91" i="99"/>
  <c r="K87" i="12"/>
  <c r="C87" i="12"/>
  <c r="H87" i="12"/>
  <c r="O87" i="12" s="1"/>
  <c r="D53" i="12"/>
  <c r="K73" i="12"/>
  <c r="H73" i="12"/>
  <c r="O73" i="12" s="1"/>
  <c r="C73" i="12"/>
  <c r="E61" i="12"/>
  <c r="U61" i="13"/>
  <c r="U17" i="17"/>
  <c r="W46" i="98"/>
  <c r="O46" i="98" s="1"/>
  <c r="W33" i="98"/>
  <c r="O33" i="98" s="1"/>
  <c r="I74" i="12"/>
  <c r="F74" i="12"/>
  <c r="T8" i="98"/>
  <c r="R8" i="98"/>
  <c r="U8" i="98"/>
  <c r="V8" i="98"/>
  <c r="S8" i="98"/>
  <c r="D30" i="99"/>
  <c r="D89" i="98"/>
  <c r="J90" i="10"/>
  <c r="P45" i="13"/>
  <c r="O45" i="13" s="1"/>
  <c r="Q72" i="140"/>
  <c r="U16" i="17"/>
  <c r="K91" i="99"/>
  <c r="K66" i="12"/>
  <c r="H66" i="12"/>
  <c r="O66" i="12" s="1"/>
  <c r="C66" i="12"/>
  <c r="W33" i="99"/>
  <c r="N47" i="12"/>
  <c r="L72" i="13"/>
  <c r="W32" i="98"/>
  <c r="O32" i="98" s="1"/>
  <c r="D24" i="98"/>
  <c r="E8" i="98"/>
  <c r="W13" i="99"/>
  <c r="O13" i="99" s="1"/>
  <c r="P50" i="36"/>
  <c r="Q60" i="140"/>
  <c r="W47" i="98"/>
  <c r="I91" i="8"/>
  <c r="L90" i="8"/>
  <c r="Q90" i="8" s="1"/>
  <c r="W27" i="98"/>
  <c r="O27" i="98" s="1"/>
  <c r="X44" i="98"/>
  <c r="X90" i="98" s="1"/>
  <c r="W45" i="98"/>
  <c r="M101" i="98"/>
  <c r="K82" i="12"/>
  <c r="H82" i="12"/>
  <c r="O82" i="12" s="1"/>
  <c r="C82" i="12"/>
  <c r="W24" i="99"/>
  <c r="W12" i="99"/>
  <c r="Q78" i="140"/>
  <c r="F53" i="10"/>
  <c r="C53" i="10" s="1"/>
  <c r="N53" i="10" s="1"/>
  <c r="U21" i="17"/>
  <c r="D50" i="99"/>
  <c r="P88" i="140"/>
  <c r="N88" i="140"/>
  <c r="O88" i="140"/>
  <c r="D24" i="99"/>
  <c r="E8" i="99"/>
  <c r="G91" i="99"/>
  <c r="C92" i="60"/>
  <c r="M100" i="99"/>
  <c r="I83" i="12"/>
  <c r="F83" i="12"/>
  <c r="W47" i="99"/>
  <c r="O47" i="99" s="1"/>
  <c r="F50" i="19"/>
  <c r="K50" i="13"/>
  <c r="B50" i="13" s="1"/>
  <c r="J45" i="13"/>
  <c r="L62" i="13"/>
  <c r="L61" i="13"/>
  <c r="H58" i="12"/>
  <c r="O58" i="12" s="1"/>
  <c r="S12" i="261" l="1"/>
  <c r="W12" i="261" s="1"/>
  <c r="F12" i="268" s="1"/>
  <c r="O48" i="261"/>
  <c r="V48" i="261" s="1"/>
  <c r="U12" i="261"/>
  <c r="Y12" i="261" s="1"/>
  <c r="G12" i="268" s="1"/>
  <c r="K58" i="12"/>
  <c r="I95" i="99"/>
  <c r="Z16" i="261"/>
  <c r="B12" i="268"/>
  <c r="AB16" i="261"/>
  <c r="S44" i="98"/>
  <c r="S90" i="98" s="1"/>
  <c r="E52" i="261"/>
  <c r="AI52" i="261" s="1"/>
  <c r="C69" i="12"/>
  <c r="I69" i="12" s="1"/>
  <c r="H69" i="12"/>
  <c r="O69" i="12" s="1"/>
  <c r="E91" i="116"/>
  <c r="H91" i="9"/>
  <c r="T12" i="261"/>
  <c r="X12" i="261" s="1"/>
  <c r="AA12" i="261" s="1"/>
  <c r="M44" i="261"/>
  <c r="T44" i="98"/>
  <c r="T91" i="98" s="1"/>
  <c r="AI46" i="261"/>
  <c r="AI12" i="261"/>
  <c r="F52" i="261"/>
  <c r="V44" i="98"/>
  <c r="V91" i="98" s="1"/>
  <c r="Y91" i="99"/>
  <c r="N95" i="99" s="1"/>
  <c r="I9" i="268"/>
  <c r="D12" i="268"/>
  <c r="H86" i="12"/>
  <c r="O86" i="12" s="1"/>
  <c r="I91" i="261"/>
  <c r="H91" i="268"/>
  <c r="I91" i="268"/>
  <c r="E12" i="268"/>
  <c r="E44" i="261"/>
  <c r="O44" i="261" s="1"/>
  <c r="V44" i="261" s="1"/>
  <c r="O91" i="9"/>
  <c r="S35" i="261"/>
  <c r="W35" i="261" s="1"/>
  <c r="T35" i="261"/>
  <c r="X35" i="261" s="1"/>
  <c r="V35" i="261"/>
  <c r="U35" i="261"/>
  <c r="Y35" i="261" s="1"/>
  <c r="D8" i="99"/>
  <c r="F95" i="99"/>
  <c r="J95" i="99"/>
  <c r="U44" i="98"/>
  <c r="U91" i="98" s="1"/>
  <c r="O9" i="36"/>
  <c r="C93" i="127"/>
  <c r="B90" i="10"/>
  <c r="G90" i="10" s="1"/>
  <c r="L91" i="99"/>
  <c r="C70" i="12"/>
  <c r="F70" i="12" s="1"/>
  <c r="D8" i="98"/>
  <c r="F54" i="19"/>
  <c r="F53" i="19" s="1"/>
  <c r="L27" i="17"/>
  <c r="T27" i="17" s="1"/>
  <c r="I91" i="9"/>
  <c r="J91" i="9" s="1"/>
  <c r="K54" i="13"/>
  <c r="K53" i="13" s="1"/>
  <c r="Z12" i="261"/>
  <c r="V9" i="261"/>
  <c r="V46" i="261"/>
  <c r="V13" i="261"/>
  <c r="L27" i="261"/>
  <c r="AH27" i="261" s="1"/>
  <c r="O27" i="17"/>
  <c r="O27" i="261"/>
  <c r="O52" i="261"/>
  <c r="H70" i="12"/>
  <c r="O70" i="12" s="1"/>
  <c r="H91" i="17"/>
  <c r="H91" i="261"/>
  <c r="G90" i="17"/>
  <c r="G90" i="261"/>
  <c r="P91" i="99"/>
  <c r="I91" i="17"/>
  <c r="I9" i="261"/>
  <c r="E91" i="99"/>
  <c r="K86" i="12"/>
  <c r="N27" i="12"/>
  <c r="K95" i="99"/>
  <c r="H95" i="99"/>
  <c r="O24" i="116" s="1"/>
  <c r="G24" i="116" s="1"/>
  <c r="G53" i="12"/>
  <c r="N53" i="12" s="1"/>
  <c r="F41" i="257"/>
  <c r="H41" i="116"/>
  <c r="G95" i="99"/>
  <c r="K13" i="12"/>
  <c r="I52" i="12"/>
  <c r="F52" i="12"/>
  <c r="O13" i="17"/>
  <c r="U13" i="17"/>
  <c r="K25" i="36"/>
  <c r="F25" i="36"/>
  <c r="L25" i="36" s="1"/>
  <c r="C26" i="127"/>
  <c r="L23" i="9"/>
  <c r="B23" i="10"/>
  <c r="F97" i="9"/>
  <c r="L97" i="9" s="1"/>
  <c r="F9" i="9"/>
  <c r="Q49" i="12"/>
  <c r="P10" i="17"/>
  <c r="F12" i="154" s="1"/>
  <c r="K12" i="154" s="1"/>
  <c r="I46" i="12"/>
  <c r="F46" i="12"/>
  <c r="C36" i="127"/>
  <c r="L33" i="9"/>
  <c r="B33" i="10"/>
  <c r="H30" i="116"/>
  <c r="O30" i="116"/>
  <c r="F30" i="257"/>
  <c r="I27" i="12"/>
  <c r="F27" i="12"/>
  <c r="J27" i="36"/>
  <c r="E9" i="36"/>
  <c r="K23" i="36"/>
  <c r="F23" i="36"/>
  <c r="P23" i="36" s="1"/>
  <c r="P45" i="36"/>
  <c r="Q47" i="12"/>
  <c r="P12" i="17"/>
  <c r="O48" i="17"/>
  <c r="P48" i="17" s="1"/>
  <c r="F50" i="154" s="1"/>
  <c r="K50" i="154" s="1"/>
  <c r="U48" i="17"/>
  <c r="L25" i="9"/>
  <c r="C28" i="127"/>
  <c r="B25" i="10"/>
  <c r="M52" i="17"/>
  <c r="E52" i="17"/>
  <c r="O52" i="17" s="1"/>
  <c r="P52" i="17" s="1"/>
  <c r="F54" i="154" s="1"/>
  <c r="K54" i="154" s="1"/>
  <c r="F52" i="17"/>
  <c r="K9" i="9"/>
  <c r="E91" i="9"/>
  <c r="K91" i="9" s="1"/>
  <c r="Q13" i="12"/>
  <c r="F44" i="17"/>
  <c r="M44" i="17"/>
  <c r="E44" i="17"/>
  <c r="O44" i="17" s="1"/>
  <c r="I9" i="17"/>
  <c r="U46" i="17"/>
  <c r="F33" i="36"/>
  <c r="L33" i="36" s="1"/>
  <c r="K33" i="36"/>
  <c r="L50" i="13"/>
  <c r="K45" i="13"/>
  <c r="W44" i="98"/>
  <c r="W90" i="98" s="1"/>
  <c r="O45" i="98"/>
  <c r="I96" i="8"/>
  <c r="L91" i="8"/>
  <c r="Q91" i="8" s="1"/>
  <c r="I66" i="12"/>
  <c r="F66" i="12"/>
  <c r="O32" i="116"/>
  <c r="P90" i="13"/>
  <c r="Q8" i="98"/>
  <c r="P24" i="98"/>
  <c r="W44" i="99"/>
  <c r="W90" i="99" s="1"/>
  <c r="O45" i="99"/>
  <c r="I76" i="12"/>
  <c r="F76" i="12"/>
  <c r="F57" i="12"/>
  <c r="I57" i="12"/>
  <c r="I64" i="12"/>
  <c r="F64" i="12"/>
  <c r="O41" i="99"/>
  <c r="F88" i="12"/>
  <c r="I88" i="12"/>
  <c r="D50" i="12"/>
  <c r="E50" i="19"/>
  <c r="F45" i="19"/>
  <c r="O90" i="257"/>
  <c r="Q90" i="257" s="1"/>
  <c r="K92" i="60"/>
  <c r="O92" i="60" s="1"/>
  <c r="I82" i="12"/>
  <c r="F82" i="12"/>
  <c r="O89" i="99"/>
  <c r="L91" i="98"/>
  <c r="K61" i="12"/>
  <c r="C61" i="12"/>
  <c r="H61" i="12"/>
  <c r="O61" i="12" s="1"/>
  <c r="F87" i="12"/>
  <c r="I87" i="12"/>
  <c r="K72" i="12"/>
  <c r="H72" i="12"/>
  <c r="O72" i="12" s="1"/>
  <c r="C72" i="12"/>
  <c r="O49" i="99"/>
  <c r="W8" i="99"/>
  <c r="O8" i="99" s="1"/>
  <c r="D51" i="12"/>
  <c r="E51" i="19"/>
  <c r="F85" i="12"/>
  <c r="I85" i="12"/>
  <c r="O47" i="17"/>
  <c r="P47" i="17" s="1"/>
  <c r="F49" i="154" s="1"/>
  <c r="S91" i="98"/>
  <c r="I60" i="12"/>
  <c r="F60" i="12"/>
  <c r="D44" i="98"/>
  <c r="D90" i="98" s="1"/>
  <c r="I58" i="12"/>
  <c r="F58" i="12"/>
  <c r="E50" i="12"/>
  <c r="U50" i="13"/>
  <c r="E91" i="98"/>
  <c r="I73" i="12"/>
  <c r="F73" i="12"/>
  <c r="Q44" i="98"/>
  <c r="Q90" i="98" s="1"/>
  <c r="P47" i="98"/>
  <c r="T90" i="98"/>
  <c r="F71" i="12"/>
  <c r="I71" i="12"/>
  <c r="I86" i="12"/>
  <c r="F86" i="12"/>
  <c r="F59" i="12"/>
  <c r="I59" i="12"/>
  <c r="N56" i="140"/>
  <c r="P56" i="140"/>
  <c r="O56" i="140"/>
  <c r="K76" i="12"/>
  <c r="H76" i="12"/>
  <c r="O76" i="12" s="1"/>
  <c r="W8" i="98"/>
  <c r="F78" i="12"/>
  <c r="I78" i="12"/>
  <c r="L90" i="99"/>
  <c r="O24" i="99"/>
  <c r="O12" i="99"/>
  <c r="O33" i="99"/>
  <c r="F75" i="12"/>
  <c r="I75" i="12"/>
  <c r="R44" i="98"/>
  <c r="R90" i="98" s="1"/>
  <c r="Q56" i="140"/>
  <c r="O32" i="99"/>
  <c r="B51" i="13"/>
  <c r="N45" i="13" s="1"/>
  <c r="X91" i="98"/>
  <c r="D44" i="99"/>
  <c r="E90" i="99"/>
  <c r="U47" i="17"/>
  <c r="P89" i="98"/>
  <c r="F69" i="12"/>
  <c r="P90" i="99"/>
  <c r="X91" i="99"/>
  <c r="Y91" i="98"/>
  <c r="F65" i="12"/>
  <c r="I65" i="12"/>
  <c r="P48" i="98"/>
  <c r="O48" i="98" s="1"/>
  <c r="AB12" i="261" l="1"/>
  <c r="B9" i="268"/>
  <c r="W91" i="98"/>
  <c r="V90" i="98"/>
  <c r="D91" i="99"/>
  <c r="E9" i="268"/>
  <c r="C9" i="268"/>
  <c r="D9" i="268"/>
  <c r="C50" i="261"/>
  <c r="F50" i="261" s="1"/>
  <c r="C51" i="261"/>
  <c r="F51" i="261" s="1"/>
  <c r="AI44" i="261"/>
  <c r="C90" i="19"/>
  <c r="B90" i="19" s="1"/>
  <c r="N12" i="116"/>
  <c r="B54" i="13"/>
  <c r="M95" i="99"/>
  <c r="O41" i="116" s="1"/>
  <c r="U90" i="98"/>
  <c r="P27" i="17"/>
  <c r="F29" i="154" s="1"/>
  <c r="K29" i="154" s="1"/>
  <c r="Z35" i="261"/>
  <c r="AB35" i="261"/>
  <c r="AA35" i="261"/>
  <c r="J53" i="12"/>
  <c r="I70" i="12"/>
  <c r="E95" i="99"/>
  <c r="V27" i="261"/>
  <c r="V52" i="261"/>
  <c r="G33" i="17"/>
  <c r="L33" i="17" s="1"/>
  <c r="T33" i="17" s="1"/>
  <c r="G33" i="261"/>
  <c r="L33" i="261" s="1"/>
  <c r="AH33" i="261" s="1"/>
  <c r="G23" i="17"/>
  <c r="L23" i="17" s="1"/>
  <c r="T23" i="17" s="1"/>
  <c r="G23" i="261"/>
  <c r="L23" i="261" s="1"/>
  <c r="AH23" i="261" s="1"/>
  <c r="G25" i="17"/>
  <c r="L25" i="17" s="1"/>
  <c r="T25" i="17" s="1"/>
  <c r="G25" i="261"/>
  <c r="L25" i="261" s="1"/>
  <c r="AH25" i="261" s="1"/>
  <c r="P9" i="17"/>
  <c r="P25" i="36"/>
  <c r="R91" i="98"/>
  <c r="U44" i="17"/>
  <c r="Q91" i="98"/>
  <c r="D91" i="98"/>
  <c r="U52" i="17"/>
  <c r="J25" i="10"/>
  <c r="P25" i="13"/>
  <c r="O25" i="13" s="1"/>
  <c r="J25" i="13" s="1"/>
  <c r="C25" i="19"/>
  <c r="B25" i="19" s="1"/>
  <c r="F25" i="10"/>
  <c r="K25" i="10" s="1"/>
  <c r="K9" i="36"/>
  <c r="L9" i="9"/>
  <c r="F91" i="9"/>
  <c r="C12" i="127"/>
  <c r="C95" i="127" s="1"/>
  <c r="F9" i="36"/>
  <c r="L9" i="36" s="1"/>
  <c r="L23" i="36"/>
  <c r="Q27" i="12"/>
  <c r="P33" i="13"/>
  <c r="C33" i="19"/>
  <c r="B33" i="19" s="1"/>
  <c r="J33" i="10"/>
  <c r="F33" i="10"/>
  <c r="K33" i="10" s="1"/>
  <c r="Q52" i="12"/>
  <c r="Q46" i="12"/>
  <c r="P23" i="13"/>
  <c r="O23" i="13" s="1"/>
  <c r="J23" i="13" s="1"/>
  <c r="F23" i="10"/>
  <c r="C23" i="10" s="1"/>
  <c r="J23" i="10"/>
  <c r="C23" i="19"/>
  <c r="B9" i="10"/>
  <c r="P33" i="36"/>
  <c r="P44" i="17"/>
  <c r="F46" i="154" s="1"/>
  <c r="K46" i="154" s="1"/>
  <c r="P30" i="116"/>
  <c r="C30" i="257" s="1"/>
  <c r="G30" i="257"/>
  <c r="E30" i="257" s="1"/>
  <c r="D30" i="257" s="1"/>
  <c r="G30" i="116"/>
  <c r="F30" i="116" s="1"/>
  <c r="D30" i="116" s="1"/>
  <c r="B30" i="116" s="1"/>
  <c r="C30" i="116" s="1"/>
  <c r="P13" i="17"/>
  <c r="F15" i="154" s="1"/>
  <c r="K15" i="154" s="1"/>
  <c r="D90" i="99"/>
  <c r="C91" i="128"/>
  <c r="G91" i="10"/>
  <c r="C92" i="154"/>
  <c r="C93" i="154" s="1"/>
  <c r="O44" i="99"/>
  <c r="O90" i="99" s="1"/>
  <c r="O89" i="98"/>
  <c r="L51" i="13"/>
  <c r="B45" i="13"/>
  <c r="U45" i="13" s="1"/>
  <c r="C51" i="17"/>
  <c r="K51" i="19"/>
  <c r="I61" i="12"/>
  <c r="F61" i="12"/>
  <c r="F90" i="10"/>
  <c r="O24" i="98"/>
  <c r="P8" i="98"/>
  <c r="O8" i="98" s="1"/>
  <c r="G32" i="257"/>
  <c r="E32" i="257" s="1"/>
  <c r="D32" i="257" s="1"/>
  <c r="P32" i="116"/>
  <c r="C32" i="257" s="1"/>
  <c r="F24" i="116"/>
  <c r="P44" i="98"/>
  <c r="O47" i="98"/>
  <c r="G51" i="12"/>
  <c r="N51" i="12" s="1"/>
  <c r="J51" i="12"/>
  <c r="C50" i="17"/>
  <c r="E45" i="19"/>
  <c r="K45" i="19" s="1"/>
  <c r="K50" i="19"/>
  <c r="W91" i="99"/>
  <c r="G32" i="116"/>
  <c r="F32" i="116" s="1"/>
  <c r="E51" i="12"/>
  <c r="C51" i="12" s="1"/>
  <c r="U51" i="13"/>
  <c r="I72" i="12"/>
  <c r="F72" i="12"/>
  <c r="K50" i="12"/>
  <c r="H50" i="12"/>
  <c r="K49" i="154"/>
  <c r="G24" i="257"/>
  <c r="E24" i="257" s="1"/>
  <c r="D24" i="257" s="1"/>
  <c r="P24" i="116"/>
  <c r="C24" i="257" s="1"/>
  <c r="G50" i="12"/>
  <c r="J50" i="12"/>
  <c r="C50" i="12"/>
  <c r="D45" i="12"/>
  <c r="M51" i="261" l="1"/>
  <c r="F12" i="257"/>
  <c r="O12" i="116"/>
  <c r="P12" i="116" s="1"/>
  <c r="C12" i="257" s="1"/>
  <c r="C45" i="261"/>
  <c r="M45" i="261" s="1"/>
  <c r="B90" i="261"/>
  <c r="M50" i="261"/>
  <c r="E50" i="261"/>
  <c r="AI50" i="261" s="1"/>
  <c r="E51" i="261"/>
  <c r="O51" i="261" s="1"/>
  <c r="H12" i="116"/>
  <c r="B33" i="261"/>
  <c r="E33" i="261" s="1"/>
  <c r="O33" i="261" s="1"/>
  <c r="B25" i="261"/>
  <c r="U54" i="13"/>
  <c r="E54" i="12"/>
  <c r="B53" i="13"/>
  <c r="U53" i="13" s="1"/>
  <c r="B30" i="257"/>
  <c r="G9" i="17"/>
  <c r="L9" i="17" s="1"/>
  <c r="T9" i="17" s="1"/>
  <c r="G9" i="261"/>
  <c r="L9" i="261" s="1"/>
  <c r="AH9" i="261" s="1"/>
  <c r="M30" i="257"/>
  <c r="G45" i="12"/>
  <c r="J45" i="12" s="1"/>
  <c r="J30" i="116"/>
  <c r="K30" i="116"/>
  <c r="M30" i="116" s="1"/>
  <c r="J30" i="257"/>
  <c r="L45" i="13"/>
  <c r="E45" i="12"/>
  <c r="P91" i="98"/>
  <c r="O91" i="98" s="1"/>
  <c r="N23" i="10"/>
  <c r="F9" i="10"/>
  <c r="K9" i="10" s="1"/>
  <c r="K23" i="10"/>
  <c r="L33" i="19"/>
  <c r="K33" i="19"/>
  <c r="B33" i="17"/>
  <c r="F25" i="19"/>
  <c r="K25" i="13"/>
  <c r="B25" i="13" s="1"/>
  <c r="E25" i="12" s="1"/>
  <c r="P9" i="13"/>
  <c r="O9" i="13" s="1"/>
  <c r="J9" i="10"/>
  <c r="J9" i="13"/>
  <c r="F23" i="19"/>
  <c r="K23" i="13"/>
  <c r="C33" i="10"/>
  <c r="N33" i="10" s="1"/>
  <c r="L91" i="9"/>
  <c r="B91" i="10"/>
  <c r="J91" i="10" s="1"/>
  <c r="P91" i="13" s="1"/>
  <c r="C93" i="128"/>
  <c r="B23" i="19"/>
  <c r="C9" i="19"/>
  <c r="B25" i="17"/>
  <c r="L25" i="19"/>
  <c r="P9" i="36"/>
  <c r="C25" i="10"/>
  <c r="N25" i="10" s="1"/>
  <c r="D32" i="116"/>
  <c r="B32" i="116" s="1"/>
  <c r="C32" i="116" s="1"/>
  <c r="B32" i="257" s="1"/>
  <c r="F51" i="17"/>
  <c r="M51" i="17"/>
  <c r="E51" i="17"/>
  <c r="O51" i="17" s="1"/>
  <c r="P51" i="17" s="1"/>
  <c r="F53" i="154" s="1"/>
  <c r="G41" i="257"/>
  <c r="E41" i="257" s="1"/>
  <c r="D41" i="257" s="1"/>
  <c r="P41" i="116"/>
  <c r="C41" i="257" s="1"/>
  <c r="K51" i="12"/>
  <c r="H51" i="12"/>
  <c r="O51" i="12" s="1"/>
  <c r="B90" i="17"/>
  <c r="F50" i="17"/>
  <c r="M50" i="17"/>
  <c r="C45" i="17"/>
  <c r="E50" i="17"/>
  <c r="U50" i="17" s="1"/>
  <c r="C90" i="10"/>
  <c r="L90" i="19"/>
  <c r="N50" i="12"/>
  <c r="I50" i="12"/>
  <c r="F50" i="12"/>
  <c r="C45" i="12"/>
  <c r="I45" i="12" s="1"/>
  <c r="G41" i="116"/>
  <c r="F41" i="116" s="1"/>
  <c r="O91" i="99"/>
  <c r="E94" i="126" s="1"/>
  <c r="L95" i="99"/>
  <c r="D24" i="116"/>
  <c r="J24" i="116" s="1"/>
  <c r="O50" i="12"/>
  <c r="I51" i="12"/>
  <c r="F51" i="12"/>
  <c r="P90" i="98"/>
  <c r="O44" i="98"/>
  <c r="O90" i="98" s="1"/>
  <c r="G12" i="116" l="1"/>
  <c r="F12" i="116" s="1"/>
  <c r="G12" i="257"/>
  <c r="E12" i="257" s="1"/>
  <c r="D12" i="257" s="1"/>
  <c r="AI51" i="261"/>
  <c r="F45" i="261"/>
  <c r="E45" i="261"/>
  <c r="AI45" i="261" s="1"/>
  <c r="O50" i="261"/>
  <c r="V50" i="261" s="1"/>
  <c r="F33" i="261"/>
  <c r="B23" i="261"/>
  <c r="B9" i="261" s="1"/>
  <c r="B91" i="261" s="1"/>
  <c r="N45" i="12"/>
  <c r="N30" i="257"/>
  <c r="H54" i="12"/>
  <c r="K54" i="12"/>
  <c r="E53" i="12"/>
  <c r="C54" i="12"/>
  <c r="L25" i="13"/>
  <c r="J32" i="257"/>
  <c r="L30" i="116"/>
  <c r="P30" i="257"/>
  <c r="Q30" i="257" s="1"/>
  <c r="V33" i="261"/>
  <c r="V51" i="261"/>
  <c r="AI33" i="261"/>
  <c r="U25" i="13"/>
  <c r="G91" i="17"/>
  <c r="G91" i="261"/>
  <c r="K30" i="257"/>
  <c r="H45" i="12"/>
  <c r="O45" i="12" s="1"/>
  <c r="F91" i="10"/>
  <c r="K91" i="10" s="1"/>
  <c r="M32" i="257"/>
  <c r="B9" i="19"/>
  <c r="L9" i="19" s="1"/>
  <c r="C91" i="19"/>
  <c r="K24" i="116"/>
  <c r="L24" i="116" s="1"/>
  <c r="B23" i="17"/>
  <c r="B9" i="17" s="1"/>
  <c r="B91" i="17" s="1"/>
  <c r="L23" i="19"/>
  <c r="Q51" i="12"/>
  <c r="Q50" i="12"/>
  <c r="B23" i="13"/>
  <c r="L23" i="13" s="1"/>
  <c r="K9" i="13"/>
  <c r="C9" i="10"/>
  <c r="N9" i="10" s="1"/>
  <c r="J90" i="12"/>
  <c r="D90" i="12" s="1"/>
  <c r="G90" i="12" s="1"/>
  <c r="N90" i="12" s="1"/>
  <c r="E23" i="19"/>
  <c r="F9" i="19"/>
  <c r="E25" i="19"/>
  <c r="D25" i="12"/>
  <c r="E33" i="17"/>
  <c r="O33" i="17" s="1"/>
  <c r="P33" i="17" s="1"/>
  <c r="F35" i="154" s="1"/>
  <c r="K35" i="154" s="1"/>
  <c r="F33" i="17"/>
  <c r="K53" i="154"/>
  <c r="K25" i="12"/>
  <c r="H25" i="12"/>
  <c r="O25" i="12" s="1"/>
  <c r="N90" i="10"/>
  <c r="O50" i="17"/>
  <c r="P50" i="17" s="1"/>
  <c r="F52" i="154" s="1"/>
  <c r="E45" i="17"/>
  <c r="O45" i="17" s="1"/>
  <c r="B24" i="116"/>
  <c r="D41" i="116"/>
  <c r="B41" i="116" s="1"/>
  <c r="C41" i="116" s="1"/>
  <c r="B41" i="257" s="1"/>
  <c r="F45" i="12"/>
  <c r="F45" i="17"/>
  <c r="M45" i="17"/>
  <c r="J32" i="116"/>
  <c r="E48" i="126"/>
  <c r="C53" i="126"/>
  <c r="C51" i="126"/>
  <c r="C12" i="126"/>
  <c r="C33" i="126"/>
  <c r="C16" i="126"/>
  <c r="C50" i="126"/>
  <c r="C46" i="126"/>
  <c r="E52" i="126"/>
  <c r="C29" i="126"/>
  <c r="E15" i="126"/>
  <c r="E35" i="126"/>
  <c r="E92" i="126"/>
  <c r="D47" i="126"/>
  <c r="E36" i="126"/>
  <c r="C92" i="126"/>
  <c r="E47" i="126"/>
  <c r="D41" i="126"/>
  <c r="E22" i="126"/>
  <c r="E28" i="126"/>
  <c r="E13" i="126"/>
  <c r="E25" i="126"/>
  <c r="E24" i="126"/>
  <c r="D16" i="126"/>
  <c r="D24" i="126"/>
  <c r="D22" i="126"/>
  <c r="D46" i="126"/>
  <c r="D36" i="126"/>
  <c r="D28" i="126"/>
  <c r="D40" i="126"/>
  <c r="D29" i="126"/>
  <c r="D35" i="126"/>
  <c r="C31" i="126"/>
  <c r="C39" i="126"/>
  <c r="C23" i="126"/>
  <c r="C24" i="126"/>
  <c r="E29" i="126"/>
  <c r="E51" i="126"/>
  <c r="E12" i="126"/>
  <c r="E33" i="126"/>
  <c r="E27" i="126"/>
  <c r="C44" i="126"/>
  <c r="C15" i="126"/>
  <c r="C48" i="126"/>
  <c r="C27" i="126"/>
  <c r="D37" i="126"/>
  <c r="E38" i="126"/>
  <c r="E42" i="126"/>
  <c r="E21" i="126"/>
  <c r="E17" i="126"/>
  <c r="E40" i="126"/>
  <c r="D48" i="126"/>
  <c r="D21" i="126"/>
  <c r="D39" i="126"/>
  <c r="D31" i="126"/>
  <c r="D42" i="126"/>
  <c r="C41" i="126"/>
  <c r="D44" i="126"/>
  <c r="D12" i="126"/>
  <c r="E39" i="126"/>
  <c r="C22" i="126"/>
  <c r="C19" i="126"/>
  <c r="C13" i="126"/>
  <c r="E30" i="126"/>
  <c r="D92" i="126"/>
  <c r="D51" i="126"/>
  <c r="D50" i="126"/>
  <c r="C54" i="126"/>
  <c r="E44" i="126"/>
  <c r="C28" i="126"/>
  <c r="C37" i="126"/>
  <c r="C45" i="126"/>
  <c r="C20" i="126"/>
  <c r="C17" i="126"/>
  <c r="C30" i="126"/>
  <c r="C49" i="126"/>
  <c r="D18" i="126"/>
  <c r="E41" i="126"/>
  <c r="E31" i="126"/>
  <c r="E37" i="126"/>
  <c r="E23" i="126"/>
  <c r="C94" i="126"/>
  <c r="D20" i="126"/>
  <c r="D23" i="126"/>
  <c r="D49" i="126"/>
  <c r="D17" i="126"/>
  <c r="D53" i="126"/>
  <c r="D15" i="126"/>
  <c r="D38" i="126"/>
  <c r="D25" i="126"/>
  <c r="C21" i="126"/>
  <c r="C40" i="126"/>
  <c r="C42" i="126"/>
  <c r="C25" i="126"/>
  <c r="E54" i="126"/>
  <c r="E16" i="126"/>
  <c r="E49" i="126"/>
  <c r="E50" i="126"/>
  <c r="D27" i="126"/>
  <c r="C52" i="126"/>
  <c r="D94" i="126"/>
  <c r="C36" i="126"/>
  <c r="D45" i="126"/>
  <c r="D95" i="99"/>
  <c r="E20" i="126"/>
  <c r="D33" i="126"/>
  <c r="E45" i="126"/>
  <c r="E19" i="126"/>
  <c r="D52" i="126"/>
  <c r="D13" i="126"/>
  <c r="D30" i="126"/>
  <c r="E18" i="126"/>
  <c r="D19" i="126"/>
  <c r="D54" i="126"/>
  <c r="C38" i="126"/>
  <c r="C18" i="126"/>
  <c r="E46" i="126"/>
  <c r="E53" i="126"/>
  <c r="C35" i="126"/>
  <c r="C47" i="126"/>
  <c r="U51" i="17"/>
  <c r="K32" i="116"/>
  <c r="O45" i="261" l="1"/>
  <c r="C23" i="261"/>
  <c r="C25" i="261"/>
  <c r="E25" i="261" s="1"/>
  <c r="AI25" i="261" s="1"/>
  <c r="O54" i="12"/>
  <c r="H53" i="12"/>
  <c r="O53" i="12" s="1"/>
  <c r="F54" i="12"/>
  <c r="F53" i="12" s="1"/>
  <c r="I54" i="12"/>
  <c r="C53" i="12"/>
  <c r="I53" i="12" s="1"/>
  <c r="P32" i="257"/>
  <c r="Q32" i="257" s="1"/>
  <c r="K32" i="257"/>
  <c r="U33" i="17"/>
  <c r="K45" i="12"/>
  <c r="K90" i="12" s="1"/>
  <c r="E90" i="12" s="1"/>
  <c r="C90" i="12" s="1"/>
  <c r="F90" i="12" s="1"/>
  <c r="M24" i="116"/>
  <c r="J41" i="116"/>
  <c r="N32" i="257"/>
  <c r="C91" i="10"/>
  <c r="N91" i="10" s="1"/>
  <c r="K25" i="19"/>
  <c r="C25" i="17"/>
  <c r="G25" i="12"/>
  <c r="B98" i="12" s="1"/>
  <c r="D28" i="12" s="1"/>
  <c r="M28" i="261" s="1"/>
  <c r="J25" i="12"/>
  <c r="C25" i="12"/>
  <c r="U45" i="17"/>
  <c r="E23" i="12"/>
  <c r="U23" i="13"/>
  <c r="N9" i="13"/>
  <c r="B9" i="13"/>
  <c r="U9" i="13" s="1"/>
  <c r="B91" i="19"/>
  <c r="C98" i="19"/>
  <c r="C23" i="17"/>
  <c r="E9" i="19"/>
  <c r="K9" i="19" s="1"/>
  <c r="K23" i="19"/>
  <c r="M32" i="116"/>
  <c r="L32" i="116"/>
  <c r="C24" i="116"/>
  <c r="M24" i="257"/>
  <c r="J24" i="257"/>
  <c r="D12" i="116"/>
  <c r="M41" i="257"/>
  <c r="K41" i="116"/>
  <c r="D11" i="126"/>
  <c r="E11" i="126"/>
  <c r="J41" i="257"/>
  <c r="K52" i="154"/>
  <c r="K47" i="154" s="1"/>
  <c r="F47" i="154"/>
  <c r="F25" i="261" l="1"/>
  <c r="M25" i="261"/>
  <c r="C9" i="261"/>
  <c r="F23" i="261"/>
  <c r="M23" i="261"/>
  <c r="E23" i="261"/>
  <c r="AI23" i="261" s="1"/>
  <c r="I90" i="12"/>
  <c r="K53" i="12"/>
  <c r="H90" i="12"/>
  <c r="O90" i="12" s="1"/>
  <c r="B90" i="13"/>
  <c r="C90" i="13" s="1"/>
  <c r="C91" i="13" s="1"/>
  <c r="O25" i="261"/>
  <c r="F9" i="261"/>
  <c r="G28" i="12"/>
  <c r="J28" i="12"/>
  <c r="M28" i="17"/>
  <c r="C28" i="12"/>
  <c r="N41" i="257"/>
  <c r="F25" i="12"/>
  <c r="I25" i="12"/>
  <c r="C9" i="17"/>
  <c r="E23" i="17"/>
  <c r="F23" i="17"/>
  <c r="M23" i="17"/>
  <c r="K23" i="12"/>
  <c r="H23" i="12"/>
  <c r="C23" i="12"/>
  <c r="E9" i="12"/>
  <c r="D9" i="12"/>
  <c r="M9" i="261" s="1"/>
  <c r="L9" i="13"/>
  <c r="B98" i="19"/>
  <c r="L91" i="19"/>
  <c r="K12" i="116"/>
  <c r="M12" i="116" s="1"/>
  <c r="N24" i="257"/>
  <c r="M25" i="17"/>
  <c r="F25" i="17"/>
  <c r="E25" i="17"/>
  <c r="O25" i="17" s="1"/>
  <c r="P25" i="17" s="1"/>
  <c r="F27" i="154" s="1"/>
  <c r="K27" i="154" s="1"/>
  <c r="N25" i="12"/>
  <c r="P24" i="257"/>
  <c r="Q24" i="257" s="1"/>
  <c r="K24" i="257"/>
  <c r="B12" i="116"/>
  <c r="K41" i="257"/>
  <c r="P41" i="257"/>
  <c r="Q41" i="257" s="1"/>
  <c r="M41" i="116"/>
  <c r="L41" i="116"/>
  <c r="J12" i="116"/>
  <c r="B24" i="257"/>
  <c r="E9" i="261" l="1"/>
  <c r="AI9" i="261" s="1"/>
  <c r="O23" i="261"/>
  <c r="U23" i="261" s="1"/>
  <c r="Y23" i="261" s="1"/>
  <c r="I90" i="13"/>
  <c r="I91" i="13" s="1"/>
  <c r="F90" i="13"/>
  <c r="F91" i="13" s="1"/>
  <c r="K90" i="13"/>
  <c r="L90" i="13" s="1"/>
  <c r="G9" i="12"/>
  <c r="L12" i="116"/>
  <c r="N28" i="12"/>
  <c r="J90" i="13"/>
  <c r="V23" i="261"/>
  <c r="V25" i="261"/>
  <c r="O28" i="17"/>
  <c r="P28" i="17" s="1"/>
  <c r="F30" i="154" s="1"/>
  <c r="K30" i="154" s="1"/>
  <c r="O28" i="261"/>
  <c r="U25" i="17"/>
  <c r="O23" i="17"/>
  <c r="P23" i="17" s="1"/>
  <c r="F25" i="154" s="1"/>
  <c r="E9" i="17"/>
  <c r="F28" i="12"/>
  <c r="I28" i="12"/>
  <c r="C9" i="12"/>
  <c r="F23" i="12"/>
  <c r="I23" i="12"/>
  <c r="M9" i="17"/>
  <c r="F9" i="17"/>
  <c r="O23" i="12"/>
  <c r="H9" i="12"/>
  <c r="K9" i="12" s="1"/>
  <c r="E91" i="12"/>
  <c r="B91" i="13" s="1"/>
  <c r="T8" i="13"/>
  <c r="D91" i="12"/>
  <c r="U23" i="17"/>
  <c r="C12" i="116"/>
  <c r="J12" i="257"/>
  <c r="M12" i="257"/>
  <c r="O53" i="261" l="1"/>
  <c r="O90" i="13"/>
  <c r="H90" i="19" s="1"/>
  <c r="T23" i="261"/>
  <c r="X23" i="261" s="1"/>
  <c r="AA23" i="261" s="1"/>
  <c r="S23" i="261"/>
  <c r="W23" i="261" s="1"/>
  <c r="Z23" i="261" s="1"/>
  <c r="K91" i="13"/>
  <c r="L91" i="13" s="1"/>
  <c r="J9" i="12"/>
  <c r="J91" i="13"/>
  <c r="G91" i="12"/>
  <c r="N91" i="12" s="1"/>
  <c r="N9" i="12"/>
  <c r="O9" i="261"/>
  <c r="F90" i="19"/>
  <c r="F91" i="19" s="1"/>
  <c r="U90" i="13"/>
  <c r="F9" i="12"/>
  <c r="F91" i="12" s="1"/>
  <c r="AB23" i="261"/>
  <c r="S53" i="261"/>
  <c r="T53" i="261"/>
  <c r="U53" i="261"/>
  <c r="V28" i="261"/>
  <c r="S28" i="261"/>
  <c r="W28" i="261" s="1"/>
  <c r="T28" i="261"/>
  <c r="X28" i="261" s="1"/>
  <c r="U28" i="261"/>
  <c r="Y28" i="261" s="1"/>
  <c r="O90" i="261"/>
  <c r="O82" i="261"/>
  <c r="O63" i="261"/>
  <c r="O85" i="261"/>
  <c r="O89" i="261"/>
  <c r="O77" i="261"/>
  <c r="O73" i="261"/>
  <c r="O69" i="261"/>
  <c r="O56" i="261"/>
  <c r="O59" i="261"/>
  <c r="O83" i="261"/>
  <c r="O80" i="261"/>
  <c r="O75" i="261"/>
  <c r="O54" i="261"/>
  <c r="O78" i="261"/>
  <c r="O68" i="261"/>
  <c r="O87" i="261"/>
  <c r="O66" i="261"/>
  <c r="O62" i="261"/>
  <c r="O81" i="261"/>
  <c r="O88" i="261"/>
  <c r="O76" i="261"/>
  <c r="O72" i="261"/>
  <c r="O55" i="261"/>
  <c r="O57" i="261"/>
  <c r="O65" i="261"/>
  <c r="O61" i="261"/>
  <c r="O84" i="261"/>
  <c r="O71" i="261"/>
  <c r="O67" i="261"/>
  <c r="O86" i="261"/>
  <c r="O64" i="261"/>
  <c r="O60" i="261"/>
  <c r="O79" i="261"/>
  <c r="O74" i="261"/>
  <c r="O70" i="261"/>
  <c r="O58" i="261"/>
  <c r="N12" i="257"/>
  <c r="Q28" i="12"/>
  <c r="U9" i="17"/>
  <c r="O9" i="17"/>
  <c r="O53" i="17"/>
  <c r="I9" i="12"/>
  <c r="C91" i="12"/>
  <c r="I91" i="12" s="1"/>
  <c r="O9" i="12"/>
  <c r="H91" i="12"/>
  <c r="Q23" i="12"/>
  <c r="K25" i="154"/>
  <c r="K11" i="154" s="1"/>
  <c r="F11" i="154"/>
  <c r="B12" i="257"/>
  <c r="K12" i="257"/>
  <c r="P12" i="257"/>
  <c r="Q12" i="257" s="1"/>
  <c r="E90" i="19" l="1"/>
  <c r="U91" i="13"/>
  <c r="O91" i="13"/>
  <c r="J91" i="12"/>
  <c r="Z28" i="261"/>
  <c r="AA28" i="261"/>
  <c r="AB28" i="261"/>
  <c r="U61" i="261"/>
  <c r="S61" i="261"/>
  <c r="T61" i="261"/>
  <c r="T62" i="261"/>
  <c r="S62" i="261"/>
  <c r="U62" i="261"/>
  <c r="S59" i="261"/>
  <c r="U59" i="261"/>
  <c r="T59" i="261"/>
  <c r="T58" i="261"/>
  <c r="S58" i="261"/>
  <c r="U58" i="261"/>
  <c r="T60" i="261"/>
  <c r="U60" i="261"/>
  <c r="S60" i="261"/>
  <c r="S90" i="261"/>
  <c r="T90" i="261"/>
  <c r="U90" i="261"/>
  <c r="O91" i="12"/>
  <c r="K91" i="12"/>
  <c r="O57" i="17"/>
  <c r="K57" i="19" s="1"/>
  <c r="E57" i="261" s="1"/>
  <c r="O70" i="17"/>
  <c r="K70" i="19" s="1"/>
  <c r="E70" i="261" s="1"/>
  <c r="O54" i="17"/>
  <c r="K54" i="19" s="1"/>
  <c r="E54" i="261" s="1"/>
  <c r="O77" i="17"/>
  <c r="K77" i="19" s="1"/>
  <c r="O66" i="17"/>
  <c r="K66" i="19" s="1"/>
  <c r="E66" i="261" s="1"/>
  <c r="O74" i="17"/>
  <c r="K74" i="19" s="1"/>
  <c r="E74" i="261" s="1"/>
  <c r="O63" i="17"/>
  <c r="K63" i="19" s="1"/>
  <c r="E63" i="261" s="1"/>
  <c r="O87" i="17"/>
  <c r="K87" i="19" s="1"/>
  <c r="E87" i="261" s="1"/>
  <c r="O80" i="17"/>
  <c r="K80" i="19" s="1"/>
  <c r="E80" i="261" s="1"/>
  <c r="O60" i="17"/>
  <c r="K60" i="19" s="1"/>
  <c r="E60" i="261" s="1"/>
  <c r="O58" i="17"/>
  <c r="K58" i="19" s="1"/>
  <c r="E58" i="261" s="1"/>
  <c r="O86" i="17"/>
  <c r="K86" i="19" s="1"/>
  <c r="E86" i="261" s="1"/>
  <c r="O78" i="17"/>
  <c r="K78" i="19" s="1"/>
  <c r="E78" i="261" s="1"/>
  <c r="O62" i="17"/>
  <c r="K62" i="19" s="1"/>
  <c r="O75" i="17"/>
  <c r="K75" i="19" s="1"/>
  <c r="E75" i="261" s="1"/>
  <c r="O56" i="17"/>
  <c r="K56" i="19" s="1"/>
  <c r="E56" i="261" s="1"/>
  <c r="O85" i="17"/>
  <c r="K85" i="19" s="1"/>
  <c r="E85" i="261" s="1"/>
  <c r="O67" i="17"/>
  <c r="K67" i="19" s="1"/>
  <c r="E67" i="261" s="1"/>
  <c r="O81" i="17"/>
  <c r="K81" i="19" s="1"/>
  <c r="E81" i="261" s="1"/>
  <c r="O64" i="17"/>
  <c r="K64" i="19" s="1"/>
  <c r="E64" i="261" s="1"/>
  <c r="O72" i="17"/>
  <c r="O69" i="17"/>
  <c r="K69" i="19" s="1"/>
  <c r="E69" i="261" s="1"/>
  <c r="O79" i="17"/>
  <c r="K79" i="19" s="1"/>
  <c r="E79" i="261" s="1"/>
  <c r="O71" i="17"/>
  <c r="K71" i="19" s="1"/>
  <c r="E71" i="261" s="1"/>
  <c r="O84" i="17"/>
  <c r="K84" i="19" s="1"/>
  <c r="E84" i="261" s="1"/>
  <c r="O55" i="17"/>
  <c r="K55" i="19" s="1"/>
  <c r="E55" i="261" s="1"/>
  <c r="O65" i="17"/>
  <c r="K65" i="19" s="1"/>
  <c r="E65" i="261" s="1"/>
  <c r="O82" i="17"/>
  <c r="K82" i="19" s="1"/>
  <c r="E82" i="261" s="1"/>
  <c r="O76" i="17"/>
  <c r="K76" i="19" s="1"/>
  <c r="E76" i="261" s="1"/>
  <c r="O61" i="17"/>
  <c r="K61" i="19" s="1"/>
  <c r="E61" i="261" s="1"/>
  <c r="O73" i="17"/>
  <c r="K73" i="19" s="1"/>
  <c r="E73" i="261" s="1"/>
  <c r="O89" i="17"/>
  <c r="O88" i="17"/>
  <c r="K88" i="19" s="1"/>
  <c r="E88" i="261" s="1"/>
  <c r="O59" i="17"/>
  <c r="K59" i="19" s="1"/>
  <c r="E59" i="261" s="1"/>
  <c r="O90" i="17"/>
  <c r="O68" i="17"/>
  <c r="K68" i="19" s="1"/>
  <c r="E68" i="261" s="1"/>
  <c r="O83" i="17"/>
  <c r="C90" i="17"/>
  <c r="F98" i="19"/>
  <c r="K90" i="19" l="1"/>
  <c r="C90" i="261"/>
  <c r="M90" i="261" s="1"/>
  <c r="E90" i="261"/>
  <c r="L90" i="261" s="1"/>
  <c r="AH90" i="261" s="1"/>
  <c r="V90" i="261"/>
  <c r="F90" i="261"/>
  <c r="Y90" i="261"/>
  <c r="E77" i="261"/>
  <c r="E62" i="261"/>
  <c r="E55" i="17"/>
  <c r="E55" i="19"/>
  <c r="E60" i="17"/>
  <c r="E60" i="19"/>
  <c r="C60" i="261" s="1"/>
  <c r="K83" i="19"/>
  <c r="E88" i="17"/>
  <c r="E88" i="19"/>
  <c r="C88" i="261" s="1"/>
  <c r="E76" i="17"/>
  <c r="E76" i="19"/>
  <c r="C76" i="261" s="1"/>
  <c r="E84" i="17"/>
  <c r="E84" i="19"/>
  <c r="C84" i="261" s="1"/>
  <c r="K72" i="19"/>
  <c r="E85" i="17"/>
  <c r="E85" i="19"/>
  <c r="C85" i="261" s="1"/>
  <c r="E78" i="17"/>
  <c r="E78" i="19"/>
  <c r="C78" i="261" s="1"/>
  <c r="E80" i="19"/>
  <c r="C80" i="261" s="1"/>
  <c r="E80" i="17"/>
  <c r="E66" i="17"/>
  <c r="E66" i="19"/>
  <c r="C66" i="261" s="1"/>
  <c r="E57" i="19"/>
  <c r="C57" i="261" s="1"/>
  <c r="E57" i="17"/>
  <c r="E61" i="17"/>
  <c r="E61" i="19"/>
  <c r="C61" i="261" s="1"/>
  <c r="E67" i="17"/>
  <c r="E67" i="19"/>
  <c r="C67" i="261" s="1"/>
  <c r="E62" i="17"/>
  <c r="E62" i="19"/>
  <c r="E70" i="17"/>
  <c r="E70" i="19"/>
  <c r="C70" i="261" s="1"/>
  <c r="E68" i="17"/>
  <c r="E68" i="19"/>
  <c r="C68" i="261" s="1"/>
  <c r="K89" i="19"/>
  <c r="E82" i="17"/>
  <c r="E82" i="19"/>
  <c r="C82" i="261" s="1"/>
  <c r="E71" i="17"/>
  <c r="E71" i="19"/>
  <c r="C71" i="261" s="1"/>
  <c r="E64" i="17"/>
  <c r="E64" i="19"/>
  <c r="C64" i="261" s="1"/>
  <c r="E56" i="17"/>
  <c r="E56" i="19"/>
  <c r="C56" i="261" s="1"/>
  <c r="E86" i="19"/>
  <c r="C86" i="261" s="1"/>
  <c r="E86" i="17"/>
  <c r="E87" i="17"/>
  <c r="E87" i="19"/>
  <c r="C87" i="261" s="1"/>
  <c r="E77" i="17"/>
  <c r="E77" i="19"/>
  <c r="E59" i="17"/>
  <c r="E59" i="19"/>
  <c r="C59" i="261" s="1"/>
  <c r="E69" i="17"/>
  <c r="E69" i="19"/>
  <c r="C69" i="261" s="1"/>
  <c r="E74" i="19"/>
  <c r="C74" i="261" s="1"/>
  <c r="E74" i="17"/>
  <c r="E73" i="17"/>
  <c r="E73" i="19"/>
  <c r="C73" i="261" s="1"/>
  <c r="E65" i="17"/>
  <c r="E65" i="19"/>
  <c r="C65" i="261" s="1"/>
  <c r="E79" i="19"/>
  <c r="C79" i="261" s="1"/>
  <c r="E79" i="17"/>
  <c r="E81" i="17"/>
  <c r="E81" i="19"/>
  <c r="C81" i="261" s="1"/>
  <c r="E75" i="17"/>
  <c r="E75" i="19"/>
  <c r="C75" i="261" s="1"/>
  <c r="E58" i="19"/>
  <c r="C58" i="261" s="1"/>
  <c r="E58" i="17"/>
  <c r="E63" i="17"/>
  <c r="E63" i="19"/>
  <c r="C63" i="261" s="1"/>
  <c r="E54" i="17"/>
  <c r="E54" i="19"/>
  <c r="C54" i="261" s="1"/>
  <c r="P90" i="17"/>
  <c r="F92" i="154" s="1"/>
  <c r="F90" i="17"/>
  <c r="M90" i="17"/>
  <c r="E90" i="17"/>
  <c r="W90" i="261" l="1"/>
  <c r="Z90" i="261" s="1"/>
  <c r="X90" i="261"/>
  <c r="AA90" i="261" s="1"/>
  <c r="AB90" i="261"/>
  <c r="AI90" i="261"/>
  <c r="E72" i="261"/>
  <c r="C62" i="261"/>
  <c r="W62" i="261" s="1"/>
  <c r="C77" i="261"/>
  <c r="M77" i="261" s="1"/>
  <c r="C55" i="261"/>
  <c r="AI55" i="261" s="1"/>
  <c r="E89" i="261"/>
  <c r="E83" i="261"/>
  <c r="Y59" i="261"/>
  <c r="W59" i="261"/>
  <c r="X59" i="261"/>
  <c r="Y58" i="261"/>
  <c r="W58" i="261"/>
  <c r="X58" i="261"/>
  <c r="Y61" i="261"/>
  <c r="W61" i="261"/>
  <c r="X61" i="261"/>
  <c r="Y60" i="261"/>
  <c r="W60" i="261"/>
  <c r="X60" i="261"/>
  <c r="L54" i="261"/>
  <c r="AH54" i="261" s="1"/>
  <c r="F54" i="261"/>
  <c r="M54" i="261"/>
  <c r="AI54" i="261"/>
  <c r="V54" i="261"/>
  <c r="M81" i="261"/>
  <c r="L81" i="261"/>
  <c r="AH81" i="261" s="1"/>
  <c r="F81" i="261"/>
  <c r="AI81" i="261"/>
  <c r="V81" i="261"/>
  <c r="L65" i="261"/>
  <c r="AH65" i="261" s="1"/>
  <c r="F65" i="261"/>
  <c r="M65" i="261"/>
  <c r="AI65" i="261"/>
  <c r="V65" i="261"/>
  <c r="M59" i="261"/>
  <c r="L59" i="261"/>
  <c r="AH59" i="261" s="1"/>
  <c r="F59" i="261"/>
  <c r="AI59" i="261"/>
  <c r="V59" i="261"/>
  <c r="L87" i="261"/>
  <c r="AH87" i="261" s="1"/>
  <c r="F87" i="261"/>
  <c r="M87" i="261"/>
  <c r="AI87" i="261"/>
  <c r="V87" i="261"/>
  <c r="M56" i="261"/>
  <c r="F56" i="261"/>
  <c r="L56" i="261"/>
  <c r="AH56" i="261" s="1"/>
  <c r="AI56" i="261"/>
  <c r="V56" i="261"/>
  <c r="M71" i="261"/>
  <c r="F71" i="261"/>
  <c r="L71" i="261"/>
  <c r="AH71" i="261" s="1"/>
  <c r="AI71" i="261"/>
  <c r="V71" i="261"/>
  <c r="M57" i="261"/>
  <c r="F57" i="261"/>
  <c r="L57" i="261"/>
  <c r="AH57" i="261" s="1"/>
  <c r="AI57" i="261"/>
  <c r="V57" i="261"/>
  <c r="M80" i="261"/>
  <c r="F80" i="261"/>
  <c r="L80" i="261"/>
  <c r="AH80" i="261" s="1"/>
  <c r="AI80" i="261"/>
  <c r="V80" i="261"/>
  <c r="F76" i="261"/>
  <c r="M76" i="261"/>
  <c r="L76" i="261"/>
  <c r="AH76" i="261" s="1"/>
  <c r="AI76" i="261"/>
  <c r="V76" i="261"/>
  <c r="M58" i="261"/>
  <c r="L58" i="261"/>
  <c r="AH58" i="261" s="1"/>
  <c r="F58" i="261"/>
  <c r="AI58" i="261"/>
  <c r="V58" i="261"/>
  <c r="L74" i="261"/>
  <c r="AH74" i="261" s="1"/>
  <c r="F74" i="261"/>
  <c r="M74" i="261"/>
  <c r="AI74" i="261"/>
  <c r="V74" i="261"/>
  <c r="F68" i="261"/>
  <c r="L68" i="261"/>
  <c r="AH68" i="261" s="1"/>
  <c r="M68" i="261"/>
  <c r="AI68" i="261"/>
  <c r="V68" i="261"/>
  <c r="M61" i="261"/>
  <c r="F61" i="261"/>
  <c r="L61" i="261"/>
  <c r="AH61" i="261" s="1"/>
  <c r="V61" i="261"/>
  <c r="F66" i="261"/>
  <c r="M66" i="261"/>
  <c r="L66" i="261"/>
  <c r="AH66" i="261" s="1"/>
  <c r="AI66" i="261"/>
  <c r="V66" i="261"/>
  <c r="F78" i="261"/>
  <c r="L78" i="261"/>
  <c r="AH78" i="261" s="1"/>
  <c r="M78" i="261"/>
  <c r="AI78" i="261"/>
  <c r="V78" i="261"/>
  <c r="L60" i="261"/>
  <c r="AH60" i="261" s="1"/>
  <c r="F60" i="261"/>
  <c r="M60" i="261"/>
  <c r="AI60" i="261"/>
  <c r="V60" i="261"/>
  <c r="F63" i="261"/>
  <c r="M63" i="261"/>
  <c r="L63" i="261"/>
  <c r="AH63" i="261" s="1"/>
  <c r="AI63" i="261"/>
  <c r="V63" i="261"/>
  <c r="M75" i="261"/>
  <c r="L75" i="261"/>
  <c r="AH75" i="261" s="1"/>
  <c r="F75" i="261"/>
  <c r="AI75" i="261"/>
  <c r="V75" i="261"/>
  <c r="F73" i="261"/>
  <c r="L73" i="261"/>
  <c r="AH73" i="261" s="1"/>
  <c r="M73" i="261"/>
  <c r="AI73" i="261"/>
  <c r="V73" i="261"/>
  <c r="L69" i="261"/>
  <c r="AH69" i="261" s="1"/>
  <c r="M69" i="261"/>
  <c r="F69" i="261"/>
  <c r="AI69" i="261"/>
  <c r="V69" i="261"/>
  <c r="F77" i="261"/>
  <c r="V77" i="261"/>
  <c r="L64" i="261"/>
  <c r="AH64" i="261" s="1"/>
  <c r="F64" i="261"/>
  <c r="M64" i="261"/>
  <c r="AI64" i="261"/>
  <c r="V64" i="261"/>
  <c r="F82" i="261"/>
  <c r="M82" i="261"/>
  <c r="L82" i="261"/>
  <c r="AH82" i="261" s="1"/>
  <c r="AI82" i="261"/>
  <c r="V82" i="261"/>
  <c r="M84" i="261"/>
  <c r="F84" i="261"/>
  <c r="L84" i="261"/>
  <c r="AH84" i="261" s="1"/>
  <c r="AI84" i="261"/>
  <c r="V84" i="261"/>
  <c r="F88" i="261"/>
  <c r="L88" i="261"/>
  <c r="AH88" i="261" s="1"/>
  <c r="M88" i="261"/>
  <c r="AI88" i="261"/>
  <c r="V88" i="261"/>
  <c r="M79" i="261"/>
  <c r="L79" i="261"/>
  <c r="AH79" i="261" s="1"/>
  <c r="F79" i="261"/>
  <c r="AI79" i="261"/>
  <c r="V79" i="261"/>
  <c r="M86" i="261"/>
  <c r="F86" i="261"/>
  <c r="L86" i="261"/>
  <c r="AH86" i="261" s="1"/>
  <c r="AI86" i="261"/>
  <c r="V86" i="261"/>
  <c r="L70" i="261"/>
  <c r="AH70" i="261" s="1"/>
  <c r="M70" i="261"/>
  <c r="F70" i="261"/>
  <c r="AI70" i="261"/>
  <c r="V70" i="261"/>
  <c r="F67" i="261"/>
  <c r="M67" i="261"/>
  <c r="L67" i="261"/>
  <c r="AH67" i="261" s="1"/>
  <c r="AI67" i="261"/>
  <c r="V67" i="261"/>
  <c r="M85" i="261"/>
  <c r="L85" i="261"/>
  <c r="AH85" i="261" s="1"/>
  <c r="F85" i="261"/>
  <c r="AI85" i="261"/>
  <c r="V85" i="261"/>
  <c r="L55" i="261"/>
  <c r="AH55" i="261" s="1"/>
  <c r="AI61" i="261"/>
  <c r="H63" i="19"/>
  <c r="I63" i="19" s="1"/>
  <c r="C63" i="17"/>
  <c r="C75" i="17"/>
  <c r="H75" i="19"/>
  <c r="C73" i="17"/>
  <c r="H73" i="19"/>
  <c r="H69" i="19"/>
  <c r="C69" i="17"/>
  <c r="C77" i="17"/>
  <c r="H77" i="19"/>
  <c r="E89" i="17"/>
  <c r="E89" i="19"/>
  <c r="C67" i="17"/>
  <c r="H67" i="19"/>
  <c r="I67" i="19" s="1"/>
  <c r="H85" i="19"/>
  <c r="C85" i="17"/>
  <c r="C84" i="17"/>
  <c r="H84" i="19"/>
  <c r="H88" i="19"/>
  <c r="I88" i="19" s="1"/>
  <c r="C88" i="17"/>
  <c r="U90" i="17"/>
  <c r="H54" i="19"/>
  <c r="C54" i="17"/>
  <c r="C79" i="17"/>
  <c r="H79" i="19"/>
  <c r="C64" i="17"/>
  <c r="H64" i="19"/>
  <c r="H82" i="19"/>
  <c r="C82" i="17"/>
  <c r="C68" i="17"/>
  <c r="H68" i="19"/>
  <c r="H62" i="19"/>
  <c r="I62" i="19" s="1"/>
  <c r="C62" i="17"/>
  <c r="C57" i="17"/>
  <c r="H57" i="19"/>
  <c r="H80" i="19"/>
  <c r="I80" i="19" s="1"/>
  <c r="C80" i="17"/>
  <c r="H60" i="19"/>
  <c r="I60" i="19" s="1"/>
  <c r="C60" i="17"/>
  <c r="K53" i="19"/>
  <c r="C81" i="17"/>
  <c r="H81" i="19"/>
  <c r="C65" i="17"/>
  <c r="H65" i="19"/>
  <c r="C59" i="17"/>
  <c r="H59" i="19"/>
  <c r="H86" i="19"/>
  <c r="C86" i="17"/>
  <c r="C61" i="17"/>
  <c r="H61" i="19"/>
  <c r="C66" i="17"/>
  <c r="H66" i="19"/>
  <c r="I66" i="19" s="1"/>
  <c r="H78" i="19"/>
  <c r="I78" i="19" s="1"/>
  <c r="C78" i="17"/>
  <c r="H76" i="19"/>
  <c r="I76" i="19" s="1"/>
  <c r="C76" i="17"/>
  <c r="L90" i="17"/>
  <c r="T90" i="17" s="1"/>
  <c r="H58" i="19"/>
  <c r="I58" i="19" s="1"/>
  <c r="C58" i="17"/>
  <c r="H74" i="19"/>
  <c r="C74" i="17"/>
  <c r="C87" i="17"/>
  <c r="H87" i="19"/>
  <c r="H56" i="19"/>
  <c r="C56" i="17"/>
  <c r="H71" i="19"/>
  <c r="C71" i="17"/>
  <c r="C70" i="17"/>
  <c r="H70" i="19"/>
  <c r="E72" i="17"/>
  <c r="E72" i="19"/>
  <c r="E83" i="19"/>
  <c r="E83" i="17"/>
  <c r="C55" i="17"/>
  <c r="H55" i="19"/>
  <c r="F93" i="154"/>
  <c r="K92" i="154"/>
  <c r="K93" i="154" s="1"/>
  <c r="AI77" i="261" l="1"/>
  <c r="L77" i="261"/>
  <c r="AH77" i="261" s="1"/>
  <c r="V62" i="261"/>
  <c r="Z62" i="261" s="1"/>
  <c r="F55" i="261"/>
  <c r="M55" i="261"/>
  <c r="V55" i="261"/>
  <c r="M62" i="261"/>
  <c r="F62" i="261"/>
  <c r="J66" i="268"/>
  <c r="J63" i="268"/>
  <c r="J80" i="19"/>
  <c r="K80" i="17" s="1"/>
  <c r="J58" i="268"/>
  <c r="J60" i="268"/>
  <c r="J62" i="268"/>
  <c r="J67" i="268"/>
  <c r="J88" i="268"/>
  <c r="J80" i="268"/>
  <c r="J76" i="268"/>
  <c r="J78" i="268"/>
  <c r="Y62" i="261"/>
  <c r="E53" i="261"/>
  <c r="E91" i="261" s="1"/>
  <c r="O91" i="261" s="1"/>
  <c r="S91" i="261" s="1"/>
  <c r="AI62" i="261"/>
  <c r="X62" i="261"/>
  <c r="L62" i="261"/>
  <c r="AH62" i="261" s="1"/>
  <c r="Z59" i="261"/>
  <c r="AB60" i="261"/>
  <c r="J78" i="19"/>
  <c r="C72" i="261"/>
  <c r="AI72" i="261" s="1"/>
  <c r="J58" i="19"/>
  <c r="K58" i="261" s="1"/>
  <c r="C83" i="261"/>
  <c r="AI83" i="261" s="1"/>
  <c r="C89" i="261"/>
  <c r="L89" i="261" s="1"/>
  <c r="AH89" i="261" s="1"/>
  <c r="AB58" i="261"/>
  <c r="J66" i="19"/>
  <c r="J60" i="19"/>
  <c r="AB61" i="261"/>
  <c r="J62" i="19"/>
  <c r="K62" i="261" s="1"/>
  <c r="AA60" i="261"/>
  <c r="AB59" i="261"/>
  <c r="J76" i="19"/>
  <c r="Z61" i="261"/>
  <c r="Z60" i="261"/>
  <c r="AA61" i="261"/>
  <c r="AA58" i="261"/>
  <c r="Z58" i="261"/>
  <c r="AA59" i="261"/>
  <c r="J76" i="17"/>
  <c r="J76" i="261"/>
  <c r="J88" i="17"/>
  <c r="J88" i="261"/>
  <c r="J58" i="17"/>
  <c r="J58" i="261"/>
  <c r="J60" i="17"/>
  <c r="J60" i="261"/>
  <c r="J67" i="17"/>
  <c r="J67" i="261"/>
  <c r="J78" i="17"/>
  <c r="J78" i="261"/>
  <c r="J63" i="17"/>
  <c r="J63" i="261"/>
  <c r="J88" i="19"/>
  <c r="J67" i="19"/>
  <c r="J63" i="19"/>
  <c r="J66" i="17"/>
  <c r="J66" i="261"/>
  <c r="J80" i="17"/>
  <c r="J80" i="261"/>
  <c r="J62" i="17"/>
  <c r="J62" i="261"/>
  <c r="E53" i="17"/>
  <c r="E91" i="17" s="1"/>
  <c r="O91" i="17" s="1"/>
  <c r="M76" i="17"/>
  <c r="C76" i="268" s="1"/>
  <c r="L76" i="17"/>
  <c r="T76" i="17" s="1"/>
  <c r="P76" i="17"/>
  <c r="N76" i="116" s="1"/>
  <c r="U76" i="17"/>
  <c r="F76" i="17"/>
  <c r="P66" i="17"/>
  <c r="N66" i="116" s="1"/>
  <c r="U66" i="17"/>
  <c r="F66" i="17"/>
  <c r="L66" i="17"/>
  <c r="T66" i="17" s="1"/>
  <c r="M66" i="17"/>
  <c r="E66" i="268" s="1"/>
  <c r="L60" i="17"/>
  <c r="T60" i="17" s="1"/>
  <c r="M60" i="17"/>
  <c r="E60" i="268" s="1"/>
  <c r="P60" i="17"/>
  <c r="N60" i="116" s="1"/>
  <c r="U60" i="17"/>
  <c r="F60" i="17"/>
  <c r="M77" i="17"/>
  <c r="E77" i="268" s="1"/>
  <c r="F77" i="17"/>
  <c r="L77" i="17"/>
  <c r="T77" i="17" s="1"/>
  <c r="P77" i="17"/>
  <c r="U77" i="17"/>
  <c r="M55" i="17"/>
  <c r="E55" i="268" s="1"/>
  <c r="L55" i="17"/>
  <c r="T55" i="17" s="1"/>
  <c r="F55" i="17"/>
  <c r="P55" i="17"/>
  <c r="U55" i="17"/>
  <c r="C83" i="17"/>
  <c r="H83" i="19"/>
  <c r="M56" i="17"/>
  <c r="C56" i="268" s="1"/>
  <c r="P56" i="17"/>
  <c r="N56" i="116" s="1"/>
  <c r="F56" i="257" s="1"/>
  <c r="U56" i="17"/>
  <c r="F56" i="17"/>
  <c r="L56" i="17"/>
  <c r="T56" i="17" s="1"/>
  <c r="P74" i="17"/>
  <c r="N74" i="116" s="1"/>
  <c r="F74" i="257" s="1"/>
  <c r="U74" i="17"/>
  <c r="F74" i="17"/>
  <c r="L74" i="17"/>
  <c r="T74" i="17" s="1"/>
  <c r="M74" i="17"/>
  <c r="C74" i="268" s="1"/>
  <c r="F86" i="17"/>
  <c r="P86" i="17"/>
  <c r="N86" i="116" s="1"/>
  <c r="L86" i="17"/>
  <c r="T86" i="17" s="1"/>
  <c r="M86" i="17"/>
  <c r="C86" i="268" s="1"/>
  <c r="U86" i="17"/>
  <c r="I65" i="19"/>
  <c r="E53" i="19"/>
  <c r="K91" i="19"/>
  <c r="K98" i="19" s="1"/>
  <c r="M82" i="17"/>
  <c r="C82" i="268" s="1"/>
  <c r="L82" i="17"/>
  <c r="T82" i="17" s="1"/>
  <c r="P82" i="17"/>
  <c r="N82" i="116" s="1"/>
  <c r="U82" i="17"/>
  <c r="F82" i="17"/>
  <c r="P84" i="17"/>
  <c r="N84" i="116" s="1"/>
  <c r="F84" i="257" s="1"/>
  <c r="U84" i="17"/>
  <c r="F84" i="17"/>
  <c r="L84" i="17"/>
  <c r="T84" i="17" s="1"/>
  <c r="M84" i="17"/>
  <c r="C84" i="268" s="1"/>
  <c r="M67" i="17"/>
  <c r="E67" i="268" s="1"/>
  <c r="P67" i="17"/>
  <c r="U67" i="17"/>
  <c r="L67" i="17"/>
  <c r="T67" i="17" s="1"/>
  <c r="F67" i="17"/>
  <c r="I77" i="19"/>
  <c r="I69" i="19"/>
  <c r="P75" i="17"/>
  <c r="N75" i="116" s="1"/>
  <c r="U75" i="17"/>
  <c r="F75" i="17"/>
  <c r="M75" i="17"/>
  <c r="E75" i="268" s="1"/>
  <c r="L75" i="17"/>
  <c r="T75" i="17" s="1"/>
  <c r="I70" i="19"/>
  <c r="I56" i="19"/>
  <c r="I74" i="19"/>
  <c r="I86" i="19"/>
  <c r="F65" i="17"/>
  <c r="L65" i="17"/>
  <c r="T65" i="17" s="1"/>
  <c r="U65" i="17"/>
  <c r="M65" i="17"/>
  <c r="E65" i="268" s="1"/>
  <c r="P65" i="17"/>
  <c r="N65" i="116" s="1"/>
  <c r="F65" i="257" s="1"/>
  <c r="I57" i="19"/>
  <c r="I82" i="19"/>
  <c r="M88" i="17"/>
  <c r="C88" i="268" s="1"/>
  <c r="L88" i="17"/>
  <c r="T88" i="17" s="1"/>
  <c r="P88" i="17"/>
  <c r="N88" i="116" s="1"/>
  <c r="U88" i="17"/>
  <c r="F88" i="17"/>
  <c r="P85" i="17"/>
  <c r="N85" i="116" s="1"/>
  <c r="F85" i="257" s="1"/>
  <c r="U85" i="17"/>
  <c r="F85" i="17"/>
  <c r="M85" i="17"/>
  <c r="C85" i="268" s="1"/>
  <c r="L85" i="17"/>
  <c r="T85" i="17" s="1"/>
  <c r="I73" i="19"/>
  <c r="H72" i="19"/>
  <c r="C72" i="17"/>
  <c r="L70" i="17"/>
  <c r="T70" i="17" s="1"/>
  <c r="P70" i="17"/>
  <c r="N70" i="116" s="1"/>
  <c r="F70" i="257" s="1"/>
  <c r="U70" i="17"/>
  <c r="M70" i="17"/>
  <c r="C70" i="268" s="1"/>
  <c r="F70" i="17"/>
  <c r="P71" i="17"/>
  <c r="N71" i="116" s="1"/>
  <c r="F71" i="257" s="1"/>
  <c r="U71" i="17"/>
  <c r="F71" i="17"/>
  <c r="L71" i="17"/>
  <c r="T71" i="17" s="1"/>
  <c r="M71" i="17"/>
  <c r="E71" i="268" s="1"/>
  <c r="L58" i="17"/>
  <c r="T58" i="17" s="1"/>
  <c r="M58" i="17"/>
  <c r="E58" i="268" s="1"/>
  <c r="F58" i="17"/>
  <c r="P58" i="17"/>
  <c r="U58" i="17"/>
  <c r="F78" i="17"/>
  <c r="L78" i="17"/>
  <c r="T78" i="17" s="1"/>
  <c r="U78" i="17"/>
  <c r="M78" i="17"/>
  <c r="C78" i="268" s="1"/>
  <c r="P78" i="17"/>
  <c r="N78" i="116" s="1"/>
  <c r="I61" i="19"/>
  <c r="I59" i="19"/>
  <c r="I81" i="19"/>
  <c r="F57" i="17"/>
  <c r="M57" i="17"/>
  <c r="C57" i="268" s="1"/>
  <c r="P57" i="17"/>
  <c r="N57" i="116" s="1"/>
  <c r="L57" i="17"/>
  <c r="T57" i="17" s="1"/>
  <c r="U57" i="17"/>
  <c r="I68" i="19"/>
  <c r="I64" i="19"/>
  <c r="M54" i="17"/>
  <c r="E54" i="268" s="1"/>
  <c r="P54" i="17"/>
  <c r="L54" i="17"/>
  <c r="T54" i="17" s="1"/>
  <c r="F54" i="17"/>
  <c r="U54" i="17"/>
  <c r="I85" i="19"/>
  <c r="L73" i="17"/>
  <c r="T73" i="17" s="1"/>
  <c r="M73" i="17"/>
  <c r="C73" i="268" s="1"/>
  <c r="F73" i="17"/>
  <c r="P73" i="17"/>
  <c r="N73" i="116" s="1"/>
  <c r="F73" i="257" s="1"/>
  <c r="U73" i="17"/>
  <c r="P79" i="17"/>
  <c r="N79" i="116" s="1"/>
  <c r="U79" i="17"/>
  <c r="L79" i="17"/>
  <c r="T79" i="17" s="1"/>
  <c r="F79" i="17"/>
  <c r="M79" i="17"/>
  <c r="C79" i="268" s="1"/>
  <c r="C89" i="17"/>
  <c r="H89" i="19"/>
  <c r="M63" i="17"/>
  <c r="C63" i="268" s="1"/>
  <c r="L63" i="17"/>
  <c r="T63" i="17" s="1"/>
  <c r="F63" i="17"/>
  <c r="P63" i="17"/>
  <c r="N63" i="116" s="1"/>
  <c r="U63" i="17"/>
  <c r="I55" i="19"/>
  <c r="I71" i="19"/>
  <c r="F87" i="17"/>
  <c r="L87" i="17"/>
  <c r="T87" i="17" s="1"/>
  <c r="M87" i="17"/>
  <c r="C87" i="268" s="1"/>
  <c r="P87" i="17"/>
  <c r="N87" i="116" s="1"/>
  <c r="U87" i="17"/>
  <c r="M61" i="17"/>
  <c r="C61" i="268" s="1"/>
  <c r="P61" i="17"/>
  <c r="N61" i="116" s="1"/>
  <c r="U61" i="17"/>
  <c r="F61" i="17"/>
  <c r="L61" i="17"/>
  <c r="T61" i="17" s="1"/>
  <c r="P59" i="17"/>
  <c r="N59" i="116" s="1"/>
  <c r="U59" i="17"/>
  <c r="F59" i="17"/>
  <c r="L59" i="17"/>
  <c r="T59" i="17" s="1"/>
  <c r="M59" i="17"/>
  <c r="E59" i="268" s="1"/>
  <c r="F81" i="17"/>
  <c r="L81" i="17"/>
  <c r="T81" i="17" s="1"/>
  <c r="U81" i="17"/>
  <c r="M81" i="17"/>
  <c r="C81" i="268" s="1"/>
  <c r="P81" i="17"/>
  <c r="N81" i="116" s="1"/>
  <c r="F80" i="17"/>
  <c r="L80" i="17"/>
  <c r="T80" i="17" s="1"/>
  <c r="P80" i="17"/>
  <c r="N80" i="116" s="1"/>
  <c r="M80" i="17"/>
  <c r="E80" i="268" s="1"/>
  <c r="U80" i="17"/>
  <c r="L62" i="17"/>
  <c r="T62" i="17" s="1"/>
  <c r="M62" i="17"/>
  <c r="C62" i="268" s="1"/>
  <c r="F62" i="17"/>
  <c r="P62" i="17"/>
  <c r="U62" i="17"/>
  <c r="L68" i="17"/>
  <c r="T68" i="17" s="1"/>
  <c r="P68" i="17"/>
  <c r="N68" i="116" s="1"/>
  <c r="U68" i="17"/>
  <c r="M68" i="17"/>
  <c r="C68" i="268" s="1"/>
  <c r="F68" i="17"/>
  <c r="L64" i="17"/>
  <c r="T64" i="17" s="1"/>
  <c r="M64" i="17"/>
  <c r="E64" i="268" s="1"/>
  <c r="F64" i="17"/>
  <c r="P64" i="17"/>
  <c r="N64" i="116" s="1"/>
  <c r="U64" i="17"/>
  <c r="I54" i="19"/>
  <c r="I84" i="19"/>
  <c r="P69" i="17"/>
  <c r="N69" i="116" s="1"/>
  <c r="F69" i="257" s="1"/>
  <c r="U69" i="17"/>
  <c r="M69" i="17"/>
  <c r="C69" i="268" s="1"/>
  <c r="F69" i="17"/>
  <c r="L69" i="17"/>
  <c r="T69" i="17" s="1"/>
  <c r="I75" i="19"/>
  <c r="AB62" i="261" l="1"/>
  <c r="AA62" i="261"/>
  <c r="K80" i="261"/>
  <c r="K62" i="17"/>
  <c r="U91" i="261"/>
  <c r="T91" i="261"/>
  <c r="K66" i="261"/>
  <c r="J71" i="268"/>
  <c r="J77" i="268"/>
  <c r="J65" i="268"/>
  <c r="K80" i="268"/>
  <c r="J68" i="268"/>
  <c r="J82" i="268"/>
  <c r="J73" i="268"/>
  <c r="J57" i="268"/>
  <c r="K63" i="268"/>
  <c r="J74" i="268"/>
  <c r="K67" i="268"/>
  <c r="K62" i="268"/>
  <c r="K88" i="268"/>
  <c r="K58" i="268"/>
  <c r="K58" i="17"/>
  <c r="J55" i="261"/>
  <c r="J55" i="268"/>
  <c r="J64" i="261"/>
  <c r="J64" i="268"/>
  <c r="J59" i="261"/>
  <c r="J59" i="268"/>
  <c r="J56" i="261"/>
  <c r="J56" i="268"/>
  <c r="K76" i="17"/>
  <c r="K76" i="268"/>
  <c r="B75" i="268"/>
  <c r="B54" i="268"/>
  <c r="B60" i="268"/>
  <c r="B65" i="268"/>
  <c r="B66" i="268"/>
  <c r="B58" i="268"/>
  <c r="B71" i="268"/>
  <c r="B77" i="268"/>
  <c r="B67" i="268"/>
  <c r="B80" i="268"/>
  <c r="B59" i="268"/>
  <c r="B64" i="268"/>
  <c r="B55" i="268"/>
  <c r="D69" i="268"/>
  <c r="D85" i="268"/>
  <c r="D88" i="268"/>
  <c r="D79" i="268"/>
  <c r="D86" i="268"/>
  <c r="D76" i="268"/>
  <c r="D70" i="268"/>
  <c r="D62" i="268"/>
  <c r="D81" i="268"/>
  <c r="D57" i="268"/>
  <c r="D78" i="268"/>
  <c r="D87" i="268"/>
  <c r="D73" i="268"/>
  <c r="D84" i="268"/>
  <c r="D82" i="268"/>
  <c r="D61" i="268"/>
  <c r="D74" i="268"/>
  <c r="D56" i="268"/>
  <c r="D63" i="268"/>
  <c r="D68" i="268"/>
  <c r="J84" i="261"/>
  <c r="J84" i="268"/>
  <c r="J61" i="261"/>
  <c r="J61" i="268"/>
  <c r="J70" i="261"/>
  <c r="J70" i="268"/>
  <c r="K78" i="17"/>
  <c r="K78" i="268"/>
  <c r="C75" i="268"/>
  <c r="C54" i="268"/>
  <c r="C60" i="268"/>
  <c r="C65" i="268"/>
  <c r="C66" i="268"/>
  <c r="C58" i="268"/>
  <c r="C71" i="268"/>
  <c r="C77" i="268"/>
  <c r="C67" i="268"/>
  <c r="C80" i="268"/>
  <c r="C59" i="268"/>
  <c r="C64" i="268"/>
  <c r="C55" i="268"/>
  <c r="E69" i="268"/>
  <c r="E85" i="268"/>
  <c r="E88" i="268"/>
  <c r="E79" i="268"/>
  <c r="E86" i="268"/>
  <c r="E76" i="268"/>
  <c r="E70" i="268"/>
  <c r="E62" i="268"/>
  <c r="E81" i="268"/>
  <c r="E57" i="268"/>
  <c r="E78" i="268"/>
  <c r="E87" i="268"/>
  <c r="E73" i="268"/>
  <c r="E84" i="268"/>
  <c r="E82" i="268"/>
  <c r="E61" i="268"/>
  <c r="E74" i="268"/>
  <c r="E56" i="268"/>
  <c r="E63" i="268"/>
  <c r="E68" i="268"/>
  <c r="J54" i="261"/>
  <c r="J54" i="268"/>
  <c r="J85" i="261"/>
  <c r="J85" i="268"/>
  <c r="J86" i="261"/>
  <c r="J86" i="268"/>
  <c r="K60" i="17"/>
  <c r="K60" i="268"/>
  <c r="D75" i="268"/>
  <c r="D54" i="268"/>
  <c r="D60" i="268"/>
  <c r="D65" i="268"/>
  <c r="D66" i="268"/>
  <c r="D58" i="268"/>
  <c r="D71" i="268"/>
  <c r="D77" i="268"/>
  <c r="D67" i="268"/>
  <c r="D80" i="268"/>
  <c r="D59" i="268"/>
  <c r="D64" i="268"/>
  <c r="D55" i="268"/>
  <c r="B69" i="268"/>
  <c r="B85" i="268"/>
  <c r="B88" i="268"/>
  <c r="B79" i="268"/>
  <c r="B86" i="268"/>
  <c r="B76" i="268"/>
  <c r="B70" i="268"/>
  <c r="B62" i="268"/>
  <c r="B81" i="268"/>
  <c r="B57" i="268"/>
  <c r="B78" i="268"/>
  <c r="B87" i="268"/>
  <c r="B73" i="268"/>
  <c r="B84" i="268"/>
  <c r="B82" i="268"/>
  <c r="B61" i="268"/>
  <c r="B74" i="268"/>
  <c r="B56" i="268"/>
  <c r="B63" i="268"/>
  <c r="B68" i="268"/>
  <c r="J75" i="261"/>
  <c r="J75" i="268"/>
  <c r="J81" i="261"/>
  <c r="J81" i="268"/>
  <c r="J69" i="261"/>
  <c r="J69" i="268"/>
  <c r="K60" i="261"/>
  <c r="K66" i="17"/>
  <c r="K66" i="268"/>
  <c r="K78" i="261"/>
  <c r="L72" i="261"/>
  <c r="AH72" i="261" s="1"/>
  <c r="F83" i="261"/>
  <c r="M83" i="261"/>
  <c r="F72" i="261"/>
  <c r="V72" i="261"/>
  <c r="M72" i="261"/>
  <c r="K76" i="261"/>
  <c r="V83" i="261"/>
  <c r="L83" i="261"/>
  <c r="AH83" i="261" s="1"/>
  <c r="F89" i="261"/>
  <c r="V89" i="261"/>
  <c r="M89" i="261"/>
  <c r="C53" i="261"/>
  <c r="W53" i="261" s="1"/>
  <c r="AI89" i="261"/>
  <c r="N53" i="261"/>
  <c r="J77" i="17"/>
  <c r="J77" i="261"/>
  <c r="K63" i="17"/>
  <c r="K63" i="261"/>
  <c r="J82" i="17"/>
  <c r="J82" i="261"/>
  <c r="J74" i="17"/>
  <c r="J74" i="261"/>
  <c r="K67" i="17"/>
  <c r="K67" i="261"/>
  <c r="J71" i="17"/>
  <c r="J71" i="261"/>
  <c r="J68" i="17"/>
  <c r="J68" i="261"/>
  <c r="J73" i="17"/>
  <c r="J73" i="261"/>
  <c r="J57" i="17"/>
  <c r="J57" i="261"/>
  <c r="J74" i="19"/>
  <c r="J65" i="17"/>
  <c r="J65" i="261"/>
  <c r="K88" i="17"/>
  <c r="K88" i="261"/>
  <c r="J68" i="19"/>
  <c r="H53" i="19"/>
  <c r="H91" i="19" s="1"/>
  <c r="E91" i="19" s="1"/>
  <c r="C53" i="17"/>
  <c r="M53" i="17" s="1"/>
  <c r="J73" i="19"/>
  <c r="J82" i="19"/>
  <c r="J65" i="19"/>
  <c r="J71" i="19"/>
  <c r="J57" i="19"/>
  <c r="J77" i="19"/>
  <c r="H68" i="116"/>
  <c r="O68" i="116"/>
  <c r="F68" i="257"/>
  <c r="J84" i="17"/>
  <c r="J84" i="19"/>
  <c r="N54" i="116"/>
  <c r="H75" i="116"/>
  <c r="O75" i="116"/>
  <c r="P75" i="116" s="1"/>
  <c r="C75" i="257" s="1"/>
  <c r="F75" i="257"/>
  <c r="O81" i="116"/>
  <c r="H81" i="116"/>
  <c r="F81" i="257"/>
  <c r="J75" i="17"/>
  <c r="J75" i="19"/>
  <c r="J55" i="17"/>
  <c r="J55" i="19"/>
  <c r="F78" i="257"/>
  <c r="H78" i="116"/>
  <c r="O78" i="116"/>
  <c r="P78" i="116" s="1"/>
  <c r="C78" i="257" s="1"/>
  <c r="O66" i="116"/>
  <c r="F66" i="257"/>
  <c r="H66" i="116"/>
  <c r="H87" i="116"/>
  <c r="O87" i="116"/>
  <c r="F87" i="257"/>
  <c r="J59" i="17"/>
  <c r="J59" i="19"/>
  <c r="N67" i="116"/>
  <c r="J64" i="17"/>
  <c r="J64" i="19"/>
  <c r="J86" i="17"/>
  <c r="J86" i="19"/>
  <c r="J56" i="17"/>
  <c r="J56" i="19"/>
  <c r="O64" i="116"/>
  <c r="H64" i="116"/>
  <c r="H80" i="116"/>
  <c r="F80" i="257"/>
  <c r="O80" i="116"/>
  <c r="F59" i="257"/>
  <c r="O59" i="116"/>
  <c r="H59" i="116"/>
  <c r="H61" i="116"/>
  <c r="O61" i="116"/>
  <c r="P61" i="116" s="1"/>
  <c r="C61" i="257" s="1"/>
  <c r="H63" i="116"/>
  <c r="O63" i="116"/>
  <c r="P63" i="116" s="1"/>
  <c r="C63" i="257" s="1"/>
  <c r="F63" i="257"/>
  <c r="O79" i="116"/>
  <c r="H79" i="116"/>
  <c r="F64" i="257"/>
  <c r="M72" i="17"/>
  <c r="U72" i="17"/>
  <c r="F72" i="17"/>
  <c r="L72" i="17"/>
  <c r="T72" i="17" s="1"/>
  <c r="P72" i="17"/>
  <c r="O86" i="116"/>
  <c r="H86" i="116"/>
  <c r="I83" i="19"/>
  <c r="O60" i="116"/>
  <c r="P60" i="116" s="1"/>
  <c r="C60" i="257" s="1"/>
  <c r="F60" i="257"/>
  <c r="H60" i="116"/>
  <c r="O69" i="116"/>
  <c r="H69" i="116"/>
  <c r="J54" i="19"/>
  <c r="J54" i="17"/>
  <c r="F89" i="17"/>
  <c r="U89" i="17"/>
  <c r="M89" i="17"/>
  <c r="P89" i="17"/>
  <c r="N53" i="17"/>
  <c r="L89" i="17"/>
  <c r="T89" i="17" s="1"/>
  <c r="J81" i="17"/>
  <c r="J81" i="19"/>
  <c r="F61" i="257"/>
  <c r="N58" i="116"/>
  <c r="I72" i="19"/>
  <c r="O88" i="116"/>
  <c r="H88" i="116"/>
  <c r="F88" i="257"/>
  <c r="H65" i="116"/>
  <c r="O65" i="116"/>
  <c r="P65" i="116" s="1"/>
  <c r="C65" i="257" s="1"/>
  <c r="J69" i="17"/>
  <c r="J69" i="19"/>
  <c r="O84" i="116"/>
  <c r="P84" i="116" s="1"/>
  <c r="C84" i="257" s="1"/>
  <c r="H84" i="116"/>
  <c r="O82" i="116"/>
  <c r="P82" i="116" s="1"/>
  <c r="C82" i="257" s="1"/>
  <c r="H82" i="116"/>
  <c r="M83" i="17"/>
  <c r="L83" i="17"/>
  <c r="T83" i="17" s="1"/>
  <c r="F83" i="17"/>
  <c r="P83" i="17"/>
  <c r="U83" i="17"/>
  <c r="N55" i="116"/>
  <c r="F82" i="257"/>
  <c r="N62" i="116"/>
  <c r="O73" i="116"/>
  <c r="H73" i="116"/>
  <c r="J85" i="17"/>
  <c r="J85" i="19"/>
  <c r="H57" i="116"/>
  <c r="O57" i="116"/>
  <c r="J61" i="17"/>
  <c r="J61" i="19"/>
  <c r="H71" i="116"/>
  <c r="O71" i="116"/>
  <c r="P71" i="116" s="1"/>
  <c r="C71" i="257" s="1"/>
  <c r="H70" i="116"/>
  <c r="O70" i="116"/>
  <c r="H85" i="116"/>
  <c r="O85" i="116"/>
  <c r="F57" i="257"/>
  <c r="J70" i="17"/>
  <c r="J70" i="19"/>
  <c r="F79" i="257"/>
  <c r="H74" i="116"/>
  <c r="O74" i="116"/>
  <c r="P74" i="116" s="1"/>
  <c r="C74" i="257" s="1"/>
  <c r="H56" i="116"/>
  <c r="O56" i="116"/>
  <c r="N77" i="116"/>
  <c r="F76" i="257"/>
  <c r="H76" i="116"/>
  <c r="O76" i="116"/>
  <c r="P76" i="116" s="1"/>
  <c r="C76" i="257" s="1"/>
  <c r="F86" i="257"/>
  <c r="I13" i="260"/>
  <c r="Q13" i="261" s="1"/>
  <c r="I27" i="260"/>
  <c r="I33" i="260"/>
  <c r="Q33" i="261" s="1"/>
  <c r="I41" i="260"/>
  <c r="I14" i="260"/>
  <c r="Q14" i="261" s="1"/>
  <c r="I48" i="260"/>
  <c r="Q48" i="261" s="1"/>
  <c r="I50" i="260"/>
  <c r="Q50" i="261" s="1"/>
  <c r="I51" i="260"/>
  <c r="Q51" i="261" s="1"/>
  <c r="I55" i="260"/>
  <c r="Q55" i="261" s="1"/>
  <c r="I56" i="260"/>
  <c r="Q56" i="261" s="1"/>
  <c r="I59" i="260"/>
  <c r="I44" i="260"/>
  <c r="I63" i="260"/>
  <c r="Q63" i="261" s="1"/>
  <c r="I25" i="260"/>
  <c r="Q25" i="261" s="1"/>
  <c r="I31" i="260"/>
  <c r="Q31" i="261" s="1"/>
  <c r="I52" i="260"/>
  <c r="Q52" i="261" s="1"/>
  <c r="I54" i="260"/>
  <c r="Q54" i="261" s="1"/>
  <c r="I57" i="260"/>
  <c r="Q57" i="261" s="1"/>
  <c r="I65" i="260"/>
  <c r="Q65" i="261" s="1"/>
  <c r="I68" i="260"/>
  <c r="Q68" i="261" s="1"/>
  <c r="I71" i="260"/>
  <c r="Q71" i="261" s="1"/>
  <c r="I75" i="260"/>
  <c r="Q75" i="261" s="1"/>
  <c r="I76" i="260"/>
  <c r="Q76" i="261" s="1"/>
  <c r="I79" i="260"/>
  <c r="Q79" i="261" s="1"/>
  <c r="I89" i="260"/>
  <c r="I80" i="260"/>
  <c r="Q80" i="261" s="1"/>
  <c r="I66" i="260"/>
  <c r="Q66" i="261" s="1"/>
  <c r="I69" i="260"/>
  <c r="Q69" i="261" s="1"/>
  <c r="I73" i="260"/>
  <c r="Q73" i="261" s="1"/>
  <c r="I83" i="260"/>
  <c r="I85" i="260"/>
  <c r="Q85" i="261" s="1"/>
  <c r="I61" i="260"/>
  <c r="I64" i="260"/>
  <c r="Q64" i="261" s="1"/>
  <c r="I70" i="260"/>
  <c r="Q70" i="261" s="1"/>
  <c r="I74" i="260"/>
  <c r="Q74" i="261" s="1"/>
  <c r="I78" i="260"/>
  <c r="Q78" i="261" s="1"/>
  <c r="I86" i="260"/>
  <c r="Q86" i="261" s="1"/>
  <c r="I87" i="260"/>
  <c r="Q87" i="261" s="1"/>
  <c r="I60" i="260"/>
  <c r="I88" i="260"/>
  <c r="Q88" i="261" s="1"/>
  <c r="I84" i="260"/>
  <c r="Q84" i="261" s="1"/>
  <c r="I82" i="260"/>
  <c r="Q82" i="261" s="1"/>
  <c r="C83" i="268" l="1"/>
  <c r="C89" i="268"/>
  <c r="E72" i="268"/>
  <c r="H98" i="19"/>
  <c r="K70" i="268"/>
  <c r="K69" i="268"/>
  <c r="K84" i="268"/>
  <c r="K57" i="268"/>
  <c r="K74" i="268"/>
  <c r="K85" i="268"/>
  <c r="J72" i="268"/>
  <c r="J83" i="268"/>
  <c r="K56" i="268"/>
  <c r="K55" i="268"/>
  <c r="K71" i="268"/>
  <c r="K68" i="268"/>
  <c r="K59" i="268"/>
  <c r="K65" i="268"/>
  <c r="K61" i="268"/>
  <c r="K86" i="268"/>
  <c r="K75" i="268"/>
  <c r="K82" i="268"/>
  <c r="K81" i="268"/>
  <c r="K73" i="268"/>
  <c r="K64" i="268"/>
  <c r="K77" i="268"/>
  <c r="D83" i="268"/>
  <c r="D89" i="268"/>
  <c r="B72" i="268"/>
  <c r="K54" i="261"/>
  <c r="K54" i="268"/>
  <c r="E83" i="268"/>
  <c r="E89" i="268"/>
  <c r="C72" i="268"/>
  <c r="B83" i="268"/>
  <c r="B89" i="268"/>
  <c r="D72" i="268"/>
  <c r="V53" i="261"/>
  <c r="V91" i="261" s="1"/>
  <c r="M53" i="261"/>
  <c r="Y53" i="261"/>
  <c r="AI53" i="261"/>
  <c r="U53" i="17"/>
  <c r="L53" i="261"/>
  <c r="AH53" i="261" s="1"/>
  <c r="X53" i="261"/>
  <c r="C91" i="261"/>
  <c r="X91" i="261" s="1"/>
  <c r="F53" i="261"/>
  <c r="F53" i="17"/>
  <c r="L53" i="17"/>
  <c r="T53" i="17" s="1"/>
  <c r="Q41" i="261"/>
  <c r="Q44" i="261"/>
  <c r="Q83" i="261"/>
  <c r="Q27" i="261"/>
  <c r="Q89" i="261"/>
  <c r="F9" i="260"/>
  <c r="K55" i="17"/>
  <c r="K55" i="261"/>
  <c r="J83" i="17"/>
  <c r="J83" i="261"/>
  <c r="K59" i="17"/>
  <c r="K59" i="261"/>
  <c r="K57" i="17"/>
  <c r="K57" i="261"/>
  <c r="K73" i="17"/>
  <c r="K73" i="261"/>
  <c r="K68" i="17"/>
  <c r="K68" i="261"/>
  <c r="K70" i="17"/>
  <c r="K70" i="261"/>
  <c r="K69" i="17"/>
  <c r="K69" i="261"/>
  <c r="K86" i="17"/>
  <c r="K86" i="261"/>
  <c r="K77" i="17"/>
  <c r="K77" i="261"/>
  <c r="K82" i="17"/>
  <c r="K82" i="261"/>
  <c r="K61" i="17"/>
  <c r="K61" i="261"/>
  <c r="K85" i="17"/>
  <c r="K85" i="261"/>
  <c r="K81" i="17"/>
  <c r="K81" i="261"/>
  <c r="K56" i="17"/>
  <c r="K56" i="261"/>
  <c r="K64" i="17"/>
  <c r="K64" i="261"/>
  <c r="K75" i="17"/>
  <c r="K75" i="261"/>
  <c r="K71" i="17"/>
  <c r="K71" i="261"/>
  <c r="K74" i="17"/>
  <c r="K74" i="261"/>
  <c r="I62" i="260"/>
  <c r="P62" i="260"/>
  <c r="J72" i="17"/>
  <c r="J72" i="261"/>
  <c r="C91" i="17"/>
  <c r="B94" i="17" s="1"/>
  <c r="K84" i="17"/>
  <c r="K84" i="261"/>
  <c r="K65" i="17"/>
  <c r="K65" i="261"/>
  <c r="P53" i="17"/>
  <c r="P91" i="17" s="1"/>
  <c r="J72" i="19"/>
  <c r="I53" i="19"/>
  <c r="P85" i="116"/>
  <c r="C85" i="257" s="1"/>
  <c r="G85" i="257"/>
  <c r="E85" i="257" s="1"/>
  <c r="D85" i="257" s="1"/>
  <c r="G85" i="116"/>
  <c r="F85" i="116" s="1"/>
  <c r="H55" i="116"/>
  <c r="O55" i="116"/>
  <c r="F55" i="257"/>
  <c r="G88" i="257"/>
  <c r="E88" i="257" s="1"/>
  <c r="D88" i="257" s="1"/>
  <c r="G88" i="116"/>
  <c r="F88" i="116" s="1"/>
  <c r="P81" i="116"/>
  <c r="C81" i="257" s="1"/>
  <c r="G81" i="257"/>
  <c r="E81" i="257" s="1"/>
  <c r="D81" i="257" s="1"/>
  <c r="G81" i="116"/>
  <c r="F81" i="116" s="1"/>
  <c r="G74" i="257"/>
  <c r="E74" i="257" s="1"/>
  <c r="D74" i="257" s="1"/>
  <c r="G74" i="116"/>
  <c r="F74" i="116" s="1"/>
  <c r="G71" i="116"/>
  <c r="F71" i="116" s="1"/>
  <c r="G71" i="257"/>
  <c r="E71" i="257" s="1"/>
  <c r="D71" i="257" s="1"/>
  <c r="G57" i="116"/>
  <c r="F57" i="116" s="1"/>
  <c r="D57" i="116" s="1"/>
  <c r="B57" i="116" s="1"/>
  <c r="C57" i="116" s="1"/>
  <c r="G57" i="257"/>
  <c r="E57" i="257" s="1"/>
  <c r="D57" i="257" s="1"/>
  <c r="P88" i="116"/>
  <c r="C88" i="257" s="1"/>
  <c r="N89" i="116"/>
  <c r="P69" i="116"/>
  <c r="C69" i="257" s="1"/>
  <c r="G69" i="257"/>
  <c r="E69" i="257" s="1"/>
  <c r="D69" i="257" s="1"/>
  <c r="G69" i="116"/>
  <c r="F69" i="116" s="1"/>
  <c r="G60" i="257"/>
  <c r="E60" i="257" s="1"/>
  <c r="D60" i="257" s="1"/>
  <c r="G60" i="116"/>
  <c r="F60" i="116" s="1"/>
  <c r="G61" i="116"/>
  <c r="F61" i="116" s="1"/>
  <c r="D61" i="116" s="1"/>
  <c r="B61" i="116" s="1"/>
  <c r="J61" i="257" s="1"/>
  <c r="K61" i="257" s="1"/>
  <c r="G61" i="257"/>
  <c r="E61" i="257" s="1"/>
  <c r="D61" i="257" s="1"/>
  <c r="P59" i="116"/>
  <c r="C59" i="257" s="1"/>
  <c r="G59" i="257"/>
  <c r="E59" i="257" s="1"/>
  <c r="D59" i="257" s="1"/>
  <c r="G59" i="116"/>
  <c r="F59" i="116" s="1"/>
  <c r="H67" i="116"/>
  <c r="F67" i="257"/>
  <c r="O67" i="116"/>
  <c r="P67" i="116" s="1"/>
  <c r="C67" i="257" s="1"/>
  <c r="G87" i="257"/>
  <c r="E87" i="257" s="1"/>
  <c r="D87" i="257" s="1"/>
  <c r="G87" i="116"/>
  <c r="F87" i="116" s="1"/>
  <c r="D87" i="116" s="1"/>
  <c r="B87" i="116" s="1"/>
  <c r="C87" i="116" s="1"/>
  <c r="P66" i="116"/>
  <c r="C66" i="257" s="1"/>
  <c r="G66" i="257"/>
  <c r="E66" i="257" s="1"/>
  <c r="D66" i="257" s="1"/>
  <c r="G66" i="116"/>
  <c r="F66" i="116" s="1"/>
  <c r="D66" i="116" s="1"/>
  <c r="B66" i="116" s="1"/>
  <c r="C66" i="116" s="1"/>
  <c r="G68" i="257"/>
  <c r="E68" i="257" s="1"/>
  <c r="D68" i="257" s="1"/>
  <c r="G68" i="116"/>
  <c r="F68" i="116" s="1"/>
  <c r="D68" i="116" s="1"/>
  <c r="B68" i="116" s="1"/>
  <c r="C68" i="116" s="1"/>
  <c r="G76" i="257"/>
  <c r="E76" i="257" s="1"/>
  <c r="D76" i="257" s="1"/>
  <c r="G76" i="116"/>
  <c r="F76" i="116" s="1"/>
  <c r="D76" i="116" s="1"/>
  <c r="B76" i="116" s="1"/>
  <c r="J76" i="257" s="1"/>
  <c r="K76" i="257" s="1"/>
  <c r="F77" i="257"/>
  <c r="H77" i="116"/>
  <c r="O77" i="116"/>
  <c r="P70" i="116"/>
  <c r="C70" i="257" s="1"/>
  <c r="G70" i="116"/>
  <c r="F70" i="116" s="1"/>
  <c r="G70" i="257"/>
  <c r="E70" i="257" s="1"/>
  <c r="D70" i="257" s="1"/>
  <c r="P57" i="116"/>
  <c r="C57" i="257" s="1"/>
  <c r="F62" i="257"/>
  <c r="O62" i="116"/>
  <c r="H62" i="116"/>
  <c r="N83" i="116"/>
  <c r="G65" i="257"/>
  <c r="E65" i="257" s="1"/>
  <c r="D65" i="257" s="1"/>
  <c r="G65" i="116"/>
  <c r="F65" i="116" s="1"/>
  <c r="D65" i="116" s="1"/>
  <c r="B65" i="116" s="1"/>
  <c r="C65" i="116" s="1"/>
  <c r="K54" i="17"/>
  <c r="J83" i="19"/>
  <c r="G86" i="257"/>
  <c r="E86" i="257" s="1"/>
  <c r="D86" i="257" s="1"/>
  <c r="P86" i="116"/>
  <c r="C86" i="257" s="1"/>
  <c r="G86" i="116"/>
  <c r="F86" i="116" s="1"/>
  <c r="G79" i="257"/>
  <c r="E79" i="257" s="1"/>
  <c r="D79" i="257" s="1"/>
  <c r="P79" i="116"/>
  <c r="C79" i="257" s="1"/>
  <c r="G79" i="116"/>
  <c r="F79" i="116" s="1"/>
  <c r="G78" i="257"/>
  <c r="E78" i="257" s="1"/>
  <c r="D78" i="257" s="1"/>
  <c r="G78" i="116"/>
  <c r="F78" i="116" s="1"/>
  <c r="D78" i="116" s="1"/>
  <c r="B78" i="116" s="1"/>
  <c r="C78" i="116" s="1"/>
  <c r="G75" i="257"/>
  <c r="E75" i="257" s="1"/>
  <c r="D75" i="257" s="1"/>
  <c r="G75" i="116"/>
  <c r="F75" i="116" s="1"/>
  <c r="O54" i="116"/>
  <c r="P54" i="116" s="1"/>
  <c r="H54" i="116"/>
  <c r="F54" i="257"/>
  <c r="G56" i="257"/>
  <c r="E56" i="257" s="1"/>
  <c r="D56" i="257" s="1"/>
  <c r="G56" i="116"/>
  <c r="F56" i="116" s="1"/>
  <c r="P56" i="116"/>
  <c r="C56" i="257" s="1"/>
  <c r="P73" i="116"/>
  <c r="C73" i="257" s="1"/>
  <c r="G73" i="116"/>
  <c r="F73" i="116" s="1"/>
  <c r="G73" i="257"/>
  <c r="E73" i="257" s="1"/>
  <c r="D73" i="257" s="1"/>
  <c r="H48" i="162"/>
  <c r="E98" i="19"/>
  <c r="G82" i="257"/>
  <c r="E82" i="257" s="1"/>
  <c r="D82" i="257" s="1"/>
  <c r="G82" i="116"/>
  <c r="F82" i="116" s="1"/>
  <c r="G84" i="257"/>
  <c r="E84" i="257" s="1"/>
  <c r="D84" i="257" s="1"/>
  <c r="G84" i="116"/>
  <c r="F84" i="116" s="1"/>
  <c r="D84" i="116" s="1"/>
  <c r="B84" i="116" s="1"/>
  <c r="C84" i="116" s="1"/>
  <c r="O58" i="116"/>
  <c r="F58" i="257"/>
  <c r="H58" i="116"/>
  <c r="N72" i="116"/>
  <c r="G63" i="257"/>
  <c r="E63" i="257" s="1"/>
  <c r="D63" i="257" s="1"/>
  <c r="G63" i="116"/>
  <c r="F63" i="116" s="1"/>
  <c r="P80" i="116"/>
  <c r="C80" i="257" s="1"/>
  <c r="G80" i="257"/>
  <c r="E80" i="257" s="1"/>
  <c r="D80" i="257" s="1"/>
  <c r="G80" i="116"/>
  <c r="F80" i="116" s="1"/>
  <c r="D80" i="116" s="1"/>
  <c r="B80" i="116" s="1"/>
  <c r="C80" i="116" s="1"/>
  <c r="G64" i="257"/>
  <c r="E64" i="257" s="1"/>
  <c r="D64" i="257" s="1"/>
  <c r="G64" i="116"/>
  <c r="F64" i="116" s="1"/>
  <c r="P64" i="116"/>
  <c r="C64" i="257" s="1"/>
  <c r="P68" i="116"/>
  <c r="C68" i="257" s="1"/>
  <c r="P87" i="116"/>
  <c r="C87" i="257" s="1"/>
  <c r="I46" i="260"/>
  <c r="Q46" i="261" s="1"/>
  <c r="P88" i="260"/>
  <c r="N88" i="260" s="1"/>
  <c r="R88" i="261" s="1"/>
  <c r="S88" i="261" s="1"/>
  <c r="W88" i="261" s="1"/>
  <c r="F88" i="268" s="1"/>
  <c r="D88" i="260"/>
  <c r="P88" i="261" s="1"/>
  <c r="P86" i="260"/>
  <c r="N86" i="260" s="1"/>
  <c r="R86" i="261" s="1"/>
  <c r="S86" i="261" s="1"/>
  <c r="W86" i="261" s="1"/>
  <c r="Z86" i="261" s="1"/>
  <c r="D86" i="260"/>
  <c r="P86" i="261" s="1"/>
  <c r="P70" i="260"/>
  <c r="N70" i="260" s="1"/>
  <c r="R70" i="261" s="1"/>
  <c r="T70" i="261" s="1"/>
  <c r="X70" i="261" s="1"/>
  <c r="AA70" i="261" s="1"/>
  <c r="D70" i="260"/>
  <c r="P70" i="261" s="1"/>
  <c r="D69" i="260"/>
  <c r="P69" i="261" s="1"/>
  <c r="P69" i="260"/>
  <c r="N69" i="260" s="1"/>
  <c r="R69" i="261" s="1"/>
  <c r="U69" i="261" s="1"/>
  <c r="Y69" i="261" s="1"/>
  <c r="AB69" i="261" s="1"/>
  <c r="P64" i="260"/>
  <c r="N64" i="260" s="1"/>
  <c r="R64" i="261" s="1"/>
  <c r="U64" i="261" s="1"/>
  <c r="Y64" i="261" s="1"/>
  <c r="AB64" i="261" s="1"/>
  <c r="D64" i="260"/>
  <c r="P64" i="261" s="1"/>
  <c r="D76" i="260"/>
  <c r="P76" i="261" s="1"/>
  <c r="P76" i="260"/>
  <c r="N76" i="260" s="1"/>
  <c r="R76" i="261" s="1"/>
  <c r="U76" i="261" s="1"/>
  <c r="Y76" i="261" s="1"/>
  <c r="AB76" i="261" s="1"/>
  <c r="P61" i="260"/>
  <c r="D61" i="260"/>
  <c r="P50" i="260"/>
  <c r="N50" i="260" s="1"/>
  <c r="R50" i="261" s="1"/>
  <c r="T50" i="261" s="1"/>
  <c r="X50" i="261" s="1"/>
  <c r="AA50" i="261" s="1"/>
  <c r="P23" i="260"/>
  <c r="D23" i="260"/>
  <c r="P23" i="261" s="1"/>
  <c r="P48" i="260"/>
  <c r="N48" i="260" s="1"/>
  <c r="R48" i="261" s="1"/>
  <c r="T48" i="261" s="1"/>
  <c r="X48" i="261" s="1"/>
  <c r="AA48" i="261" s="1"/>
  <c r="D48" i="260"/>
  <c r="P48" i="261" s="1"/>
  <c r="D41" i="260"/>
  <c r="P41" i="261" s="1"/>
  <c r="P41" i="260"/>
  <c r="N41" i="260" s="1"/>
  <c r="I10" i="260"/>
  <c r="P60" i="260"/>
  <c r="D60" i="260"/>
  <c r="D85" i="260"/>
  <c r="P85" i="261" s="1"/>
  <c r="P85" i="260"/>
  <c r="N85" i="260" s="1"/>
  <c r="R85" i="261" s="1"/>
  <c r="S85" i="261" s="1"/>
  <c r="W85" i="261" s="1"/>
  <c r="Z85" i="261" s="1"/>
  <c r="D80" i="260"/>
  <c r="P80" i="261" s="1"/>
  <c r="P80" i="260"/>
  <c r="N80" i="260" s="1"/>
  <c r="R80" i="261" s="1"/>
  <c r="U80" i="261" s="1"/>
  <c r="Y80" i="261" s="1"/>
  <c r="AB80" i="261" s="1"/>
  <c r="P75" i="260"/>
  <c r="N75" i="260" s="1"/>
  <c r="R75" i="261" s="1"/>
  <c r="T75" i="261" s="1"/>
  <c r="X75" i="261" s="1"/>
  <c r="AA75" i="261" s="1"/>
  <c r="D75" i="260"/>
  <c r="P75" i="261" s="1"/>
  <c r="D63" i="260"/>
  <c r="P63" i="261" s="1"/>
  <c r="P63" i="260"/>
  <c r="N63" i="260" s="1"/>
  <c r="R63" i="261" s="1"/>
  <c r="S63" i="261" s="1"/>
  <c r="W63" i="261" s="1"/>
  <c r="Z63" i="261" s="1"/>
  <c r="D62" i="260"/>
  <c r="P55" i="260"/>
  <c r="N55" i="260" s="1"/>
  <c r="R55" i="261" s="1"/>
  <c r="U55" i="261" s="1"/>
  <c r="Y55" i="261" s="1"/>
  <c r="AB55" i="261" s="1"/>
  <c r="D55" i="260"/>
  <c r="P55" i="261" s="1"/>
  <c r="P28" i="260"/>
  <c r="D28" i="260"/>
  <c r="P28" i="261" s="1"/>
  <c r="P33" i="260"/>
  <c r="N33" i="260" s="1"/>
  <c r="R33" i="261" s="1"/>
  <c r="S33" i="261" s="1"/>
  <c r="W33" i="261" s="1"/>
  <c r="Z33" i="261" s="1"/>
  <c r="D33" i="260"/>
  <c r="P33" i="261" s="1"/>
  <c r="P84" i="260"/>
  <c r="N84" i="260" s="1"/>
  <c r="R84" i="261" s="1"/>
  <c r="T84" i="261" s="1"/>
  <c r="X84" i="261" s="1"/>
  <c r="AA84" i="261" s="1"/>
  <c r="D84" i="260"/>
  <c r="P84" i="261" s="1"/>
  <c r="P78" i="260"/>
  <c r="N78" i="260" s="1"/>
  <c r="R78" i="261" s="1"/>
  <c r="U78" i="261" s="1"/>
  <c r="Y78" i="261" s="1"/>
  <c r="AB78" i="261" s="1"/>
  <c r="D78" i="260"/>
  <c r="P78" i="261" s="1"/>
  <c r="P83" i="260"/>
  <c r="N83" i="260" s="1"/>
  <c r="D83" i="260"/>
  <c r="P83" i="261" s="1"/>
  <c r="P66" i="260"/>
  <c r="N66" i="260" s="1"/>
  <c r="R66" i="261" s="1"/>
  <c r="T66" i="261" s="1"/>
  <c r="X66" i="261" s="1"/>
  <c r="AA66" i="261" s="1"/>
  <c r="D66" i="260"/>
  <c r="P66" i="261" s="1"/>
  <c r="P89" i="260"/>
  <c r="N89" i="260" s="1"/>
  <c r="D89" i="260"/>
  <c r="P89" i="261" s="1"/>
  <c r="P71" i="260"/>
  <c r="N71" i="260" s="1"/>
  <c r="R71" i="261" s="1"/>
  <c r="S71" i="261" s="1"/>
  <c r="W71" i="261" s="1"/>
  <c r="Z71" i="261" s="1"/>
  <c r="D71" i="260"/>
  <c r="P71" i="261" s="1"/>
  <c r="D57" i="260"/>
  <c r="P57" i="261" s="1"/>
  <c r="P57" i="260"/>
  <c r="N57" i="260" s="1"/>
  <c r="R57" i="261" s="1"/>
  <c r="T57" i="261" s="1"/>
  <c r="X57" i="261" s="1"/>
  <c r="AA57" i="261" s="1"/>
  <c r="F45" i="260"/>
  <c r="P46" i="260"/>
  <c r="D46" i="260"/>
  <c r="P46" i="261" s="1"/>
  <c r="P59" i="260"/>
  <c r="N59" i="260" s="1"/>
  <c r="D59" i="260"/>
  <c r="P31" i="260"/>
  <c r="N31" i="260" s="1"/>
  <c r="R31" i="261" s="1"/>
  <c r="S31" i="261" s="1"/>
  <c r="W31" i="261" s="1"/>
  <c r="Z31" i="261" s="1"/>
  <c r="D31" i="260"/>
  <c r="P31" i="261" s="1"/>
  <c r="P52" i="260"/>
  <c r="N52" i="260" s="1"/>
  <c r="R52" i="261" s="1"/>
  <c r="S52" i="261" s="1"/>
  <c r="W52" i="261" s="1"/>
  <c r="Z52" i="261" s="1"/>
  <c r="P14" i="260"/>
  <c r="N14" i="260" s="1"/>
  <c r="R14" i="261" s="1"/>
  <c r="U14" i="261" s="1"/>
  <c r="Y14" i="261" s="1"/>
  <c r="AB14" i="261" s="1"/>
  <c r="D14" i="260"/>
  <c r="P14" i="261" s="1"/>
  <c r="P27" i="260"/>
  <c r="N27" i="260" s="1"/>
  <c r="D27" i="260"/>
  <c r="P27" i="261" s="1"/>
  <c r="P87" i="260"/>
  <c r="N87" i="260" s="1"/>
  <c r="R87" i="261" s="1"/>
  <c r="S87" i="261" s="1"/>
  <c r="W87" i="261" s="1"/>
  <c r="Z87" i="261" s="1"/>
  <c r="D87" i="260"/>
  <c r="P87" i="261" s="1"/>
  <c r="P82" i="260"/>
  <c r="N82" i="260" s="1"/>
  <c r="R82" i="261" s="1"/>
  <c r="U82" i="261" s="1"/>
  <c r="Y82" i="261" s="1"/>
  <c r="AB82" i="261" s="1"/>
  <c r="D82" i="260"/>
  <c r="P82" i="261" s="1"/>
  <c r="P74" i="260"/>
  <c r="N74" i="260" s="1"/>
  <c r="R74" i="261" s="1"/>
  <c r="T74" i="261" s="1"/>
  <c r="X74" i="261" s="1"/>
  <c r="AA74" i="261" s="1"/>
  <c r="D74" i="260"/>
  <c r="P74" i="261" s="1"/>
  <c r="D73" i="260"/>
  <c r="P73" i="261" s="1"/>
  <c r="P73" i="260"/>
  <c r="N73" i="260" s="1"/>
  <c r="R73" i="261" s="1"/>
  <c r="S73" i="261" s="1"/>
  <c r="W73" i="261" s="1"/>
  <c r="Z73" i="261" s="1"/>
  <c r="D65" i="260"/>
  <c r="P65" i="261" s="1"/>
  <c r="P65" i="260"/>
  <c r="N65" i="260" s="1"/>
  <c r="R65" i="261" s="1"/>
  <c r="T65" i="261" s="1"/>
  <c r="X65" i="261" s="1"/>
  <c r="AA65" i="261" s="1"/>
  <c r="D79" i="260"/>
  <c r="P79" i="261" s="1"/>
  <c r="P79" i="260"/>
  <c r="N79" i="260" s="1"/>
  <c r="R79" i="261" s="1"/>
  <c r="S79" i="261" s="1"/>
  <c r="W79" i="261" s="1"/>
  <c r="Z79" i="261" s="1"/>
  <c r="P68" i="260"/>
  <c r="N68" i="260" s="1"/>
  <c r="R68" i="261" s="1"/>
  <c r="T68" i="261" s="1"/>
  <c r="X68" i="261" s="1"/>
  <c r="AA68" i="261" s="1"/>
  <c r="D68" i="260"/>
  <c r="P68" i="261" s="1"/>
  <c r="P54" i="260"/>
  <c r="N54" i="260" s="1"/>
  <c r="R54" i="261" s="1"/>
  <c r="T54" i="261" s="1"/>
  <c r="X54" i="261" s="1"/>
  <c r="AA54" i="261" s="1"/>
  <c r="D54" i="260"/>
  <c r="P54" i="261" s="1"/>
  <c r="D44" i="260"/>
  <c r="P44" i="261" s="1"/>
  <c r="P44" i="260"/>
  <c r="N44" i="260" s="1"/>
  <c r="D56" i="260"/>
  <c r="P56" i="261" s="1"/>
  <c r="P56" i="260"/>
  <c r="N56" i="260" s="1"/>
  <c r="R56" i="261" s="1"/>
  <c r="T56" i="261" s="1"/>
  <c r="X56" i="261" s="1"/>
  <c r="AA56" i="261" s="1"/>
  <c r="P25" i="260"/>
  <c r="N25" i="260" s="1"/>
  <c r="R25" i="261" s="1"/>
  <c r="T25" i="261" s="1"/>
  <c r="X25" i="261" s="1"/>
  <c r="AA25" i="261" s="1"/>
  <c r="D25" i="260"/>
  <c r="P25" i="261" s="1"/>
  <c r="P51" i="260"/>
  <c r="N51" i="260" s="1"/>
  <c r="R51" i="261" s="1"/>
  <c r="U51" i="261" s="1"/>
  <c r="Y51" i="261" s="1"/>
  <c r="AB51" i="261" s="1"/>
  <c r="D51" i="260"/>
  <c r="P51" i="261" s="1"/>
  <c r="P10" i="260"/>
  <c r="D10" i="260"/>
  <c r="P10" i="261" s="1"/>
  <c r="P13" i="260"/>
  <c r="N13" i="260" s="1"/>
  <c r="R13" i="261" s="1"/>
  <c r="T13" i="261" s="1"/>
  <c r="X13" i="261" s="1"/>
  <c r="AA13" i="261" s="1"/>
  <c r="D13" i="260"/>
  <c r="P13" i="261" s="1"/>
  <c r="F91" i="17" l="1"/>
  <c r="J61" i="116"/>
  <c r="J57" i="257"/>
  <c r="K57" i="257" s="1"/>
  <c r="Q91" i="101"/>
  <c r="L93" i="271"/>
  <c r="F92" i="271"/>
  <c r="Q91" i="271"/>
  <c r="F91" i="271"/>
  <c r="F90" i="271"/>
  <c r="G89" i="271"/>
  <c r="I88" i="271"/>
  <c r="K87" i="271"/>
  <c r="M86" i="271"/>
  <c r="C86" i="271"/>
  <c r="G85" i="271"/>
  <c r="I84" i="271"/>
  <c r="J83" i="271"/>
  <c r="L82" i="271"/>
  <c r="M81" i="271"/>
  <c r="C81" i="271"/>
  <c r="F80" i="271"/>
  <c r="H79" i="271"/>
  <c r="I78" i="271"/>
  <c r="J77" i="271"/>
  <c r="K76" i="271"/>
  <c r="J93" i="271"/>
  <c r="L92" i="271"/>
  <c r="W91" i="271"/>
  <c r="L91" i="271"/>
  <c r="L90" i="271"/>
  <c r="M89" i="271"/>
  <c r="C89" i="271"/>
  <c r="G88" i="271"/>
  <c r="I87" i="271"/>
  <c r="K86" i="271"/>
  <c r="M85" i="271"/>
  <c r="C85" i="271"/>
  <c r="G84" i="271"/>
  <c r="H83" i="271"/>
  <c r="J82" i="271"/>
  <c r="K81" i="271"/>
  <c r="L80" i="271"/>
  <c r="F79" i="271"/>
  <c r="G78" i="271"/>
  <c r="H77" i="271"/>
  <c r="I76" i="271"/>
  <c r="J75" i="271"/>
  <c r="K74" i="271"/>
  <c r="L73" i="271"/>
  <c r="M72" i="271"/>
  <c r="C72" i="271"/>
  <c r="F71" i="271"/>
  <c r="G70" i="271"/>
  <c r="I69" i="271"/>
  <c r="J68" i="271"/>
  <c r="L67" i="271"/>
  <c r="I93" i="271"/>
  <c r="K92" i="271"/>
  <c r="V91" i="271"/>
  <c r="K91" i="271"/>
  <c r="K90" i="271"/>
  <c r="L89" i="271"/>
  <c r="F88" i="271"/>
  <c r="H87" i="271"/>
  <c r="J86" i="271"/>
  <c r="L85" i="271"/>
  <c r="F84" i="271"/>
  <c r="G83" i="271"/>
  <c r="I82" i="271"/>
  <c r="J81" i="271"/>
  <c r="K80" i="271"/>
  <c r="M79" i="271"/>
  <c r="C79" i="271"/>
  <c r="F78" i="271"/>
  <c r="G77" i="271"/>
  <c r="H76" i="271"/>
  <c r="I75" i="271"/>
  <c r="J74" i="271"/>
  <c r="K73" i="271"/>
  <c r="L72" i="271"/>
  <c r="M71" i="271"/>
  <c r="C71" i="271"/>
  <c r="F70" i="271"/>
  <c r="H69" i="271"/>
  <c r="I68" i="271"/>
  <c r="K67" i="271"/>
  <c r="L66" i="271"/>
  <c r="M65" i="271"/>
  <c r="C65" i="271"/>
  <c r="F64" i="271"/>
  <c r="G63" i="271"/>
  <c r="H62" i="271"/>
  <c r="I61" i="271"/>
  <c r="K60" i="271"/>
  <c r="L59" i="271"/>
  <c r="M58" i="271"/>
  <c r="C58" i="271"/>
  <c r="F57" i="271"/>
  <c r="H56" i="271"/>
  <c r="I55" i="271"/>
  <c r="J54" i="271"/>
  <c r="K53" i="271"/>
  <c r="K52" i="271"/>
  <c r="K51" i="271"/>
  <c r="K50" i="271"/>
  <c r="K49" i="271"/>
  <c r="K48" i="271"/>
  <c r="K47" i="271"/>
  <c r="V46" i="271"/>
  <c r="L46" i="271"/>
  <c r="M45" i="271"/>
  <c r="H93" i="271"/>
  <c r="J92" i="271"/>
  <c r="U91" i="271"/>
  <c r="J91" i="271"/>
  <c r="J90" i="271"/>
  <c r="K89" i="271"/>
  <c r="M88" i="271"/>
  <c r="C88" i="271"/>
  <c r="G87" i="271"/>
  <c r="I86" i="271"/>
  <c r="K85" i="271"/>
  <c r="M84" i="271"/>
  <c r="C84" i="271"/>
  <c r="F83" i="271"/>
  <c r="H82" i="271"/>
  <c r="I81" i="271"/>
  <c r="J80" i="271"/>
  <c r="L79" i="271"/>
  <c r="M78" i="271"/>
  <c r="C78" i="271"/>
  <c r="F77" i="271"/>
  <c r="G76" i="271"/>
  <c r="H75" i="271"/>
  <c r="I74" i="271"/>
  <c r="J73" i="271"/>
  <c r="K72" i="271"/>
  <c r="L71" i="271"/>
  <c r="M70" i="271"/>
  <c r="C70" i="271"/>
  <c r="G69" i="271"/>
  <c r="H68" i="271"/>
  <c r="J67" i="271"/>
  <c r="K66" i="271"/>
  <c r="L65" i="271"/>
  <c r="M64" i="271"/>
  <c r="C64" i="271"/>
  <c r="F63" i="271"/>
  <c r="G62" i="271"/>
  <c r="H61" i="271"/>
  <c r="J60" i="271"/>
  <c r="K59" i="271"/>
  <c r="L58" i="271"/>
  <c r="M57" i="271"/>
  <c r="C57" i="271"/>
  <c r="G56" i="271"/>
  <c r="H55" i="271"/>
  <c r="I54" i="271"/>
  <c r="J53" i="271"/>
  <c r="J52" i="271"/>
  <c r="J51" i="271"/>
  <c r="J50" i="271"/>
  <c r="J49" i="271"/>
  <c r="J48" i="271"/>
  <c r="J47" i="271"/>
  <c r="U46" i="271"/>
  <c r="K46" i="271"/>
  <c r="L45" i="271"/>
  <c r="M44" i="271"/>
  <c r="M43" i="271"/>
  <c r="M41" i="271"/>
  <c r="M40" i="271"/>
  <c r="M39" i="271"/>
  <c r="M38" i="271"/>
  <c r="M37" i="271"/>
  <c r="M36" i="271"/>
  <c r="M35" i="271"/>
  <c r="M34" i="271"/>
  <c r="M32" i="271"/>
  <c r="M30" i="271"/>
  <c r="I92" i="271"/>
  <c r="I91" i="271"/>
  <c r="J89" i="271"/>
  <c r="H88" i="271"/>
  <c r="L86" i="271"/>
  <c r="F85" i="271"/>
  <c r="K83" i="271"/>
  <c r="C82" i="271"/>
  <c r="G80" i="271"/>
  <c r="K78" i="271"/>
  <c r="M76" i="271"/>
  <c r="G75" i="271"/>
  <c r="C74" i="271"/>
  <c r="I72" i="271"/>
  <c r="G71" i="271"/>
  <c r="L69" i="271"/>
  <c r="G68" i="271"/>
  <c r="F67" i="271"/>
  <c r="C66" i="271"/>
  <c r="K64" i="271"/>
  <c r="J63" i="271"/>
  <c r="I62" i="271"/>
  <c r="F61" i="271"/>
  <c r="F60" i="271"/>
  <c r="C59" i="271"/>
  <c r="K57" i="271"/>
  <c r="K56" i="271"/>
  <c r="J55" i="271"/>
  <c r="G54" i="271"/>
  <c r="F53" i="271"/>
  <c r="L51" i="271"/>
  <c r="H50" i="271"/>
  <c r="F49" i="271"/>
  <c r="L47" i="271"/>
  <c r="S46" i="271"/>
  <c r="G46" i="271"/>
  <c r="F45" i="271"/>
  <c r="L43" i="271"/>
  <c r="E43" i="271" s="1"/>
  <c r="K41" i="271"/>
  <c r="J40" i="271"/>
  <c r="I39" i="271"/>
  <c r="H38" i="271"/>
  <c r="G37" i="271"/>
  <c r="F36" i="271"/>
  <c r="L34" i="271"/>
  <c r="K32" i="271"/>
  <c r="J30" i="271"/>
  <c r="J29" i="271"/>
  <c r="J28" i="271"/>
  <c r="J27" i="271"/>
  <c r="J26" i="271"/>
  <c r="J24" i="271"/>
  <c r="J23" i="271"/>
  <c r="J22" i="271"/>
  <c r="J21" i="271"/>
  <c r="J20" i="271"/>
  <c r="J19" i="271"/>
  <c r="J18" i="271"/>
  <c r="J17" i="271"/>
  <c r="J16" i="271"/>
  <c r="J15" i="271"/>
  <c r="K14" i="271"/>
  <c r="L12" i="271"/>
  <c r="L11" i="271"/>
  <c r="I90" i="271"/>
  <c r="M82" i="271"/>
  <c r="L77" i="271"/>
  <c r="G73" i="271"/>
  <c r="M93" i="271"/>
  <c r="H92" i="271"/>
  <c r="H91" i="271"/>
  <c r="I89" i="271"/>
  <c r="H86" i="271"/>
  <c r="I83" i="271"/>
  <c r="L81" i="271"/>
  <c r="C80" i="271"/>
  <c r="J78" i="271"/>
  <c r="L76" i="271"/>
  <c r="F75" i="271"/>
  <c r="M73" i="271"/>
  <c r="H72" i="271"/>
  <c r="L70" i="271"/>
  <c r="K69" i="271"/>
  <c r="F68" i="271"/>
  <c r="C67" i="271"/>
  <c r="K65" i="271"/>
  <c r="J64" i="271"/>
  <c r="I63" i="271"/>
  <c r="F62" i="271"/>
  <c r="C61" i="271"/>
  <c r="C60" i="271"/>
  <c r="K58" i="271"/>
  <c r="J57" i="271"/>
  <c r="J56" i="271"/>
  <c r="G55" i="271"/>
  <c r="F54" i="271"/>
  <c r="M52" i="271"/>
  <c r="I51" i="271"/>
  <c r="G50" i="271"/>
  <c r="M48" i="271"/>
  <c r="I47" i="271"/>
  <c r="R46" i="271"/>
  <c r="F46" i="271"/>
  <c r="L44" i="271"/>
  <c r="K43" i="271"/>
  <c r="J41" i="271"/>
  <c r="I40" i="271"/>
  <c r="H39" i="271"/>
  <c r="G38" i="271"/>
  <c r="F37" i="271"/>
  <c r="L35" i="271"/>
  <c r="K34" i="271"/>
  <c r="J32" i="271"/>
  <c r="I30" i="271"/>
  <c r="I29" i="271"/>
  <c r="I28" i="271"/>
  <c r="I27" i="271"/>
  <c r="I26" i="271"/>
  <c r="I24" i="271"/>
  <c r="I23" i="271"/>
  <c r="I22" i="271"/>
  <c r="I21" i="271"/>
  <c r="I20" i="271"/>
  <c r="I19" i="271"/>
  <c r="I18" i="271"/>
  <c r="I17" i="271"/>
  <c r="I16" i="271"/>
  <c r="I15" i="271"/>
  <c r="J14" i="271"/>
  <c r="K12" i="271"/>
  <c r="K11" i="271"/>
  <c r="T91" i="271"/>
  <c r="J87" i="271"/>
  <c r="F81" i="271"/>
  <c r="C76" i="271"/>
  <c r="I70" i="271"/>
  <c r="K93" i="271"/>
  <c r="G92" i="271"/>
  <c r="G91" i="271"/>
  <c r="H89" i="271"/>
  <c r="M87" i="271"/>
  <c r="G86" i="271"/>
  <c r="L84" i="271"/>
  <c r="C83" i="271"/>
  <c r="H81" i="271"/>
  <c r="H78" i="271"/>
  <c r="J76" i="271"/>
  <c r="C75" i="271"/>
  <c r="I73" i="271"/>
  <c r="G72" i="271"/>
  <c r="K70" i="271"/>
  <c r="J69" i="271"/>
  <c r="C68" i="271"/>
  <c r="M66" i="271"/>
  <c r="J65" i="271"/>
  <c r="I64" i="271"/>
  <c r="H63" i="271"/>
  <c r="C62" i="271"/>
  <c r="M59" i="271"/>
  <c r="J58" i="271"/>
  <c r="I57" i="271"/>
  <c r="I56" i="271"/>
  <c r="F55" i="271"/>
  <c r="C54" i="271"/>
  <c r="L52" i="271"/>
  <c r="H51" i="271"/>
  <c r="F50" i="271"/>
  <c r="L48" i="271"/>
  <c r="H47" i="271"/>
  <c r="Q46" i="271"/>
  <c r="C46" i="271"/>
  <c r="K44" i="271"/>
  <c r="J43" i="271"/>
  <c r="I41" i="271"/>
  <c r="H40" i="271"/>
  <c r="G39" i="271"/>
  <c r="F38" i="271"/>
  <c r="L36" i="271"/>
  <c r="K35" i="271"/>
  <c r="J34" i="271"/>
  <c r="I32" i="271"/>
  <c r="H30" i="271"/>
  <c r="H29" i="271"/>
  <c r="H28" i="271"/>
  <c r="H27" i="271"/>
  <c r="H26" i="271"/>
  <c r="H24" i="271"/>
  <c r="H23" i="271"/>
  <c r="H22" i="271"/>
  <c r="H21" i="271"/>
  <c r="H20" i="271"/>
  <c r="H19" i="271"/>
  <c r="H18" i="271"/>
  <c r="H17" i="271"/>
  <c r="H16" i="271"/>
  <c r="H15" i="271"/>
  <c r="I14" i="271"/>
  <c r="J12" i="271"/>
  <c r="J11" i="271"/>
  <c r="J84" i="271"/>
  <c r="J79" i="271"/>
  <c r="L74" i="271"/>
  <c r="C69" i="271"/>
  <c r="G93" i="271"/>
  <c r="X91" i="271"/>
  <c r="M90" i="271"/>
  <c r="F89" i="271"/>
  <c r="L87" i="271"/>
  <c r="F86" i="271"/>
  <c r="K84" i="271"/>
  <c r="G81" i="271"/>
  <c r="K79" i="271"/>
  <c r="M77" i="271"/>
  <c r="F76" i="271"/>
  <c r="M74" i="271"/>
  <c r="H73" i="271"/>
  <c r="F72" i="271"/>
  <c r="J70" i="271"/>
  <c r="F69" i="271"/>
  <c r="J66" i="271"/>
  <c r="I65" i="271"/>
  <c r="H64" i="271"/>
  <c r="C63" i="271"/>
  <c r="M61" i="271"/>
  <c r="M60" i="271"/>
  <c r="J59" i="271"/>
  <c r="I58" i="271"/>
  <c r="H57" i="271"/>
  <c r="F56" i="271"/>
  <c r="C55" i="271"/>
  <c r="M53" i="271"/>
  <c r="I52" i="271"/>
  <c r="G51" i="271"/>
  <c r="M49" i="271"/>
  <c r="I48" i="271"/>
  <c r="G47" i="271"/>
  <c r="N46" i="271"/>
  <c r="K45" i="271"/>
  <c r="J44" i="271"/>
  <c r="I43" i="271"/>
  <c r="H41" i="271"/>
  <c r="G40" i="271"/>
  <c r="F39" i="271"/>
  <c r="L37" i="271"/>
  <c r="E37" i="271" s="1"/>
  <c r="K36" i="271"/>
  <c r="J35" i="271"/>
  <c r="I34" i="271"/>
  <c r="H32" i="271"/>
  <c r="G30" i="271"/>
  <c r="G29" i="271"/>
  <c r="G28" i="271"/>
  <c r="G27" i="271"/>
  <c r="G26" i="271"/>
  <c r="G24" i="271"/>
  <c r="G23" i="271"/>
  <c r="G22" i="271"/>
  <c r="G21" i="271"/>
  <c r="G20" i="271"/>
  <c r="G19" i="271"/>
  <c r="G18" i="271"/>
  <c r="G17" i="271"/>
  <c r="G16" i="271"/>
  <c r="G15" i="271"/>
  <c r="H14" i="271"/>
  <c r="I12" i="271"/>
  <c r="I11" i="271"/>
  <c r="F93" i="271"/>
  <c r="K71" i="271"/>
  <c r="C93" i="271"/>
  <c r="S91" i="271"/>
  <c r="H90" i="271"/>
  <c r="L88" i="271"/>
  <c r="F87" i="271"/>
  <c r="J85" i="271"/>
  <c r="H84" i="271"/>
  <c r="K82" i="271"/>
  <c r="M80" i="271"/>
  <c r="I79" i="271"/>
  <c r="K77" i="271"/>
  <c r="M75" i="271"/>
  <c r="H74" i="271"/>
  <c r="F73" i="271"/>
  <c r="J71" i="271"/>
  <c r="H70" i="271"/>
  <c r="M68" i="271"/>
  <c r="I67" i="271"/>
  <c r="H66" i="271"/>
  <c r="G65" i="271"/>
  <c r="M63" i="271"/>
  <c r="L62" i="271"/>
  <c r="K61" i="271"/>
  <c r="I60" i="271"/>
  <c r="H59" i="271"/>
  <c r="G58" i="271"/>
  <c r="M55" i="271"/>
  <c r="L54" i="271"/>
  <c r="I53" i="271"/>
  <c r="G52" i="271"/>
  <c r="M50" i="271"/>
  <c r="I49" i="271"/>
  <c r="G48" i="271"/>
  <c r="X46" i="271"/>
  <c r="J46" i="271"/>
  <c r="I45" i="271"/>
  <c r="H44" i="271"/>
  <c r="G43" i="271"/>
  <c r="M92" i="271"/>
  <c r="M91" i="271"/>
  <c r="C90" i="271"/>
  <c r="J88" i="271"/>
  <c r="H85" i="271"/>
  <c r="L83" i="271"/>
  <c r="F82" i="271"/>
  <c r="H80" i="271"/>
  <c r="L78" i="271"/>
  <c r="C77" i="271"/>
  <c r="K75" i="271"/>
  <c r="F74" i="271"/>
  <c r="J72" i="271"/>
  <c r="H71" i="271"/>
  <c r="M69" i="271"/>
  <c r="K68" i="271"/>
  <c r="G67" i="271"/>
  <c r="F66" i="271"/>
  <c r="L64" i="271"/>
  <c r="K63" i="271"/>
  <c r="J62" i="271"/>
  <c r="G61" i="271"/>
  <c r="G60" i="271"/>
  <c r="F59" i="271"/>
  <c r="L57" i="271"/>
  <c r="L56" i="271"/>
  <c r="K55" i="271"/>
  <c r="H54" i="271"/>
  <c r="G53" i="271"/>
  <c r="M51" i="271"/>
  <c r="I50" i="271"/>
  <c r="G49" i="271"/>
  <c r="M47" i="271"/>
  <c r="T46" i="271"/>
  <c r="H46" i="271"/>
  <c r="G45" i="271"/>
  <c r="F44" i="271"/>
  <c r="L41" i="271"/>
  <c r="E41" i="271" s="1"/>
  <c r="K40" i="271"/>
  <c r="J39" i="271"/>
  <c r="I38" i="271"/>
  <c r="H37" i="271"/>
  <c r="G36" i="271"/>
  <c r="F35" i="271"/>
  <c r="L32" i="271"/>
  <c r="E32" i="271" s="1"/>
  <c r="K30" i="271"/>
  <c r="K29" i="271"/>
  <c r="K28" i="271"/>
  <c r="K27" i="271"/>
  <c r="K26" i="271"/>
  <c r="K24" i="271"/>
  <c r="K23" i="271"/>
  <c r="K22" i="271"/>
  <c r="K21" i="271"/>
  <c r="K20" i="271"/>
  <c r="K19" i="271"/>
  <c r="K18" i="271"/>
  <c r="K17" i="271"/>
  <c r="K16" i="271"/>
  <c r="K15" i="271"/>
  <c r="L14" i="271"/>
  <c r="M12" i="271"/>
  <c r="M11" i="271"/>
  <c r="C87" i="271"/>
  <c r="I80" i="271"/>
  <c r="F65" i="271"/>
  <c r="L60" i="271"/>
  <c r="M56" i="271"/>
  <c r="F52" i="271"/>
  <c r="W46" i="271"/>
  <c r="F43" i="271"/>
  <c r="K38" i="271"/>
  <c r="I35" i="271"/>
  <c r="L30" i="271"/>
  <c r="M27" i="271"/>
  <c r="F24" i="271"/>
  <c r="L21" i="271"/>
  <c r="M18" i="271"/>
  <c r="F16" i="271"/>
  <c r="G34" i="271"/>
  <c r="H53" i="271"/>
  <c r="L28" i="271"/>
  <c r="G14" i="271"/>
  <c r="L68" i="271"/>
  <c r="G64" i="271"/>
  <c r="H60" i="271"/>
  <c r="C56" i="271"/>
  <c r="F51" i="271"/>
  <c r="M46" i="271"/>
  <c r="G41" i="271"/>
  <c r="J38" i="271"/>
  <c r="H35" i="271"/>
  <c r="F30" i="271"/>
  <c r="L27" i="271"/>
  <c r="M23" i="271"/>
  <c r="F21" i="271"/>
  <c r="L18" i="271"/>
  <c r="M15" i="271"/>
  <c r="H12" i="271"/>
  <c r="F12" i="271"/>
  <c r="G90" i="271"/>
  <c r="H67" i="271"/>
  <c r="K54" i="271"/>
  <c r="F40" i="271"/>
  <c r="F29" i="271"/>
  <c r="F20" i="271"/>
  <c r="H11" i="271"/>
  <c r="G66" i="271"/>
  <c r="I36" i="271"/>
  <c r="F22" i="271"/>
  <c r="G79" i="271"/>
  <c r="L63" i="271"/>
  <c r="I59" i="271"/>
  <c r="L55" i="271"/>
  <c r="L50" i="271"/>
  <c r="I46" i="271"/>
  <c r="F41" i="271"/>
  <c r="K37" i="271"/>
  <c r="G35" i="271"/>
  <c r="M29" i="271"/>
  <c r="F27" i="271"/>
  <c r="L23" i="271"/>
  <c r="M20" i="271"/>
  <c r="F18" i="271"/>
  <c r="L15" i="271"/>
  <c r="G12" i="271"/>
  <c r="F15" i="271"/>
  <c r="H58" i="271"/>
  <c r="H45" i="271"/>
  <c r="L26" i="271"/>
  <c r="L17" i="271"/>
  <c r="K88" i="271"/>
  <c r="G44" i="271"/>
  <c r="L19" i="271"/>
  <c r="R91" i="271"/>
  <c r="I85" i="271"/>
  <c r="I77" i="271"/>
  <c r="M67" i="271"/>
  <c r="M62" i="271"/>
  <c r="G59" i="271"/>
  <c r="M54" i="271"/>
  <c r="L49" i="271"/>
  <c r="J45" i="271"/>
  <c r="L40" i="271"/>
  <c r="J37" i="271"/>
  <c r="H34" i="271"/>
  <c r="L29" i="271"/>
  <c r="M26" i="271"/>
  <c r="F23" i="271"/>
  <c r="L20" i="271"/>
  <c r="M17" i="271"/>
  <c r="L75" i="271"/>
  <c r="K62" i="271"/>
  <c r="H49" i="271"/>
  <c r="I37" i="271"/>
  <c r="M22" i="271"/>
  <c r="J61" i="271"/>
  <c r="G32" i="271"/>
  <c r="M16" i="271"/>
  <c r="M83" i="271"/>
  <c r="G74" i="271"/>
  <c r="I66" i="271"/>
  <c r="L61" i="271"/>
  <c r="F58" i="271"/>
  <c r="L53" i="271"/>
  <c r="E53" i="271" s="1"/>
  <c r="H48" i="271"/>
  <c r="I44" i="271"/>
  <c r="L39" i="271"/>
  <c r="J36" i="271"/>
  <c r="F34" i="271"/>
  <c r="M28" i="271"/>
  <c r="F26" i="271"/>
  <c r="L22" i="271"/>
  <c r="M19" i="271"/>
  <c r="F17" i="271"/>
  <c r="M14" i="271"/>
  <c r="G11" i="271"/>
  <c r="C73" i="271"/>
  <c r="G57" i="271"/>
  <c r="K39" i="271"/>
  <c r="M24" i="271"/>
  <c r="F11" i="271"/>
  <c r="G82" i="271"/>
  <c r="I71" i="271"/>
  <c r="H65" i="271"/>
  <c r="H52" i="271"/>
  <c r="F47" i="271"/>
  <c r="H43" i="271"/>
  <c r="L38" i="271"/>
  <c r="H36" i="271"/>
  <c r="F32" i="271"/>
  <c r="F28" i="271"/>
  <c r="L24" i="271"/>
  <c r="M21" i="271"/>
  <c r="F19" i="271"/>
  <c r="L16" i="271"/>
  <c r="F14" i="271"/>
  <c r="F48" i="271"/>
  <c r="K83" i="268"/>
  <c r="J53" i="17"/>
  <c r="K72" i="268"/>
  <c r="D53" i="268"/>
  <c r="D91" i="268" s="1"/>
  <c r="J78" i="116"/>
  <c r="M16" i="101"/>
  <c r="L19" i="101"/>
  <c r="E26" i="101"/>
  <c r="R63" i="101"/>
  <c r="G66" i="101"/>
  <c r="B53" i="268"/>
  <c r="B91" i="268" s="1"/>
  <c r="C53" i="268"/>
  <c r="C91" i="268" s="1"/>
  <c r="E53" i="268"/>
  <c r="E91" i="268" s="1"/>
  <c r="R55" i="101"/>
  <c r="X64" i="101"/>
  <c r="U71" i="101"/>
  <c r="C16" i="101"/>
  <c r="N15" i="116" s="1"/>
  <c r="Q71" i="101"/>
  <c r="W54" i="101"/>
  <c r="W72" i="101"/>
  <c r="W66" i="101"/>
  <c r="K61" i="116"/>
  <c r="L61" i="116" s="1"/>
  <c r="O86" i="101"/>
  <c r="I86" i="128" s="1"/>
  <c r="T12" i="101"/>
  <c r="J91" i="101"/>
  <c r="O76" i="101"/>
  <c r="H78" i="127" s="1"/>
  <c r="L55" i="101"/>
  <c r="U89" i="101"/>
  <c r="W80" i="101"/>
  <c r="E32" i="101"/>
  <c r="J53" i="261"/>
  <c r="J53" i="268"/>
  <c r="Z88" i="261"/>
  <c r="S19" i="101"/>
  <c r="E22" i="101"/>
  <c r="L32" i="101"/>
  <c r="X86" i="101"/>
  <c r="J62" i="101"/>
  <c r="V49" i="101"/>
  <c r="X59" i="101"/>
  <c r="V60" i="101"/>
  <c r="R28" i="101"/>
  <c r="X27" i="101"/>
  <c r="L82" i="101"/>
  <c r="V44" i="101"/>
  <c r="J22" i="101"/>
  <c r="H22" i="101"/>
  <c r="W82" i="101"/>
  <c r="S83" i="101"/>
  <c r="T76" i="101"/>
  <c r="X79" i="101"/>
  <c r="S72" i="101"/>
  <c r="S36" i="101"/>
  <c r="I91" i="101"/>
  <c r="U18" i="101"/>
  <c r="J43" i="101"/>
  <c r="R22" i="101"/>
  <c r="D27" i="101"/>
  <c r="F27" i="128" s="1"/>
  <c r="M29" i="101"/>
  <c r="H15" i="101"/>
  <c r="O59" i="101"/>
  <c r="I59" i="128" s="1"/>
  <c r="F91" i="261"/>
  <c r="W91" i="261"/>
  <c r="S61" i="101"/>
  <c r="U93" i="101"/>
  <c r="P82" i="101"/>
  <c r="U56" i="101"/>
  <c r="W29" i="101"/>
  <c r="E39" i="101"/>
  <c r="J80" i="101"/>
  <c r="P88" i="101"/>
  <c r="N76" i="101"/>
  <c r="H76" i="128" s="1"/>
  <c r="I93" i="101"/>
  <c r="K85" i="101"/>
  <c r="T67" i="101"/>
  <c r="M79" i="101"/>
  <c r="D88" i="101"/>
  <c r="E90" i="127" s="1"/>
  <c r="F62" i="101"/>
  <c r="F38" i="101"/>
  <c r="K29" i="101"/>
  <c r="F58" i="101"/>
  <c r="W88" i="101"/>
  <c r="J36" i="101"/>
  <c r="F88" i="101"/>
  <c r="C93" i="101"/>
  <c r="D95" i="127" s="1"/>
  <c r="L70" i="101"/>
  <c r="K79" i="101"/>
  <c r="U48" i="101"/>
  <c r="V36" i="101"/>
  <c r="V91" i="101"/>
  <c r="P12" i="101"/>
  <c r="U77" i="101"/>
  <c r="W65" i="101"/>
  <c r="Q58" i="101"/>
  <c r="F47" i="101"/>
  <c r="E73" i="101"/>
  <c r="H63" i="101"/>
  <c r="X37" i="101"/>
  <c r="T28" i="101"/>
  <c r="T87" i="101"/>
  <c r="B94" i="261"/>
  <c r="C76" i="101"/>
  <c r="D78" i="127" s="1"/>
  <c r="V58" i="101"/>
  <c r="H58" i="101"/>
  <c r="J63" i="101"/>
  <c r="L73" i="101"/>
  <c r="P21" i="101"/>
  <c r="K48" i="101"/>
  <c r="E14" i="101"/>
  <c r="E66" i="101"/>
  <c r="D59" i="101"/>
  <c r="F59" i="128" s="1"/>
  <c r="C47" i="101"/>
  <c r="E47" i="128" s="1"/>
  <c r="M28" i="101"/>
  <c r="J35" i="101"/>
  <c r="O87" i="101"/>
  <c r="I87" i="128" s="1"/>
  <c r="X82" i="101"/>
  <c r="Q39" i="101"/>
  <c r="X43" i="101"/>
  <c r="F28" i="101"/>
  <c r="O80" i="101"/>
  <c r="I80" i="128" s="1"/>
  <c r="K77" i="101"/>
  <c r="Q66" i="101"/>
  <c r="Q84" i="101"/>
  <c r="G81" i="101"/>
  <c r="Q15" i="101"/>
  <c r="D54" i="101"/>
  <c r="F54" i="128" s="1"/>
  <c r="L12" i="101"/>
  <c r="G74" i="101"/>
  <c r="P61" i="101"/>
  <c r="G39" i="101"/>
  <c r="O56" i="101"/>
  <c r="I56" i="128" s="1"/>
  <c r="T80" i="101"/>
  <c r="L24" i="101"/>
  <c r="Q37" i="101"/>
  <c r="V67" i="101"/>
  <c r="L52" i="101"/>
  <c r="G22" i="154"/>
  <c r="E22" i="154" s="1"/>
  <c r="J22" i="154" s="1"/>
  <c r="M46" i="101"/>
  <c r="C78" i="101"/>
  <c r="E78" i="128" s="1"/>
  <c r="V20" i="101"/>
  <c r="P43" i="101"/>
  <c r="M43" i="101"/>
  <c r="M66" i="101"/>
  <c r="L66" i="101"/>
  <c r="O88" i="101"/>
  <c r="I88" i="128" s="1"/>
  <c r="G40" i="154"/>
  <c r="L40" i="154" s="1"/>
  <c r="L15" i="101"/>
  <c r="F46" i="101"/>
  <c r="E62" i="101"/>
  <c r="P89" i="101"/>
  <c r="K72" i="101"/>
  <c r="U69" i="101"/>
  <c r="H18" i="101"/>
  <c r="X39" i="101"/>
  <c r="R24" i="101"/>
  <c r="V92" i="101"/>
  <c r="E72" i="101"/>
  <c r="K78" i="116"/>
  <c r="M78" i="116" s="1"/>
  <c r="J78" i="257"/>
  <c r="K78" i="257" s="1"/>
  <c r="K84" i="116"/>
  <c r="L84" i="116" s="1"/>
  <c r="J76" i="116"/>
  <c r="M91" i="17"/>
  <c r="F90" i="101"/>
  <c r="L91" i="261"/>
  <c r="AH91" i="261" s="1"/>
  <c r="Y91" i="261"/>
  <c r="AI91" i="261"/>
  <c r="M91" i="261"/>
  <c r="N82" i="101"/>
  <c r="G84" i="127" s="1"/>
  <c r="U59" i="101"/>
  <c r="P50" i="101"/>
  <c r="I92" i="101"/>
  <c r="X14" i="101"/>
  <c r="H92" i="101"/>
  <c r="L28" i="101"/>
  <c r="P65" i="101"/>
  <c r="N18" i="101"/>
  <c r="H18" i="128" s="1"/>
  <c r="N29" i="101"/>
  <c r="G31" i="127" s="1"/>
  <c r="N79" i="101"/>
  <c r="G81" i="127" s="1"/>
  <c r="X26" i="101"/>
  <c r="V41" i="101"/>
  <c r="F26" i="101"/>
  <c r="O19" i="101"/>
  <c r="I19" i="128" s="1"/>
  <c r="O19" i="128" s="1"/>
  <c r="O70" i="101"/>
  <c r="H72" i="127" s="1"/>
  <c r="W11" i="101"/>
  <c r="D24" i="101"/>
  <c r="F24" i="128" s="1"/>
  <c r="L24" i="128" s="1"/>
  <c r="G37" i="154"/>
  <c r="E37" i="154" s="1"/>
  <c r="J37" i="154" s="1"/>
  <c r="C49" i="101"/>
  <c r="I24" i="101"/>
  <c r="G23" i="101"/>
  <c r="N17" i="101"/>
  <c r="I18" i="154" s="1"/>
  <c r="N18" i="154" s="1"/>
  <c r="U52" i="101"/>
  <c r="W62" i="101"/>
  <c r="L17" i="101"/>
  <c r="R18" i="101"/>
  <c r="S39" i="101"/>
  <c r="Q80" i="101"/>
  <c r="O77" i="101"/>
  <c r="I77" i="128" s="1"/>
  <c r="G60" i="101"/>
  <c r="S28" i="101"/>
  <c r="K53" i="101"/>
  <c r="P83" i="101"/>
  <c r="V79" i="101"/>
  <c r="F19" i="101"/>
  <c r="Q45" i="101"/>
  <c r="U28" i="101"/>
  <c r="P77" i="101"/>
  <c r="X21" i="101"/>
  <c r="L77" i="101"/>
  <c r="D68" i="101"/>
  <c r="F68" i="128" s="1"/>
  <c r="L49" i="101"/>
  <c r="S34" i="101"/>
  <c r="S65" i="101"/>
  <c r="K71" i="101"/>
  <c r="E17" i="101"/>
  <c r="G65" i="101"/>
  <c r="X87" i="101"/>
  <c r="P69" i="101"/>
  <c r="J39" i="101"/>
  <c r="T86" i="101"/>
  <c r="I89" i="101"/>
  <c r="Q53" i="101"/>
  <c r="O81" i="101"/>
  <c r="I81" i="128" s="1"/>
  <c r="C60" i="101"/>
  <c r="E60" i="128" s="1"/>
  <c r="G35" i="101"/>
  <c r="C29" i="101"/>
  <c r="H30" i="154" s="1"/>
  <c r="M30" i="154" s="1"/>
  <c r="D16" i="101"/>
  <c r="E18" i="127" s="1"/>
  <c r="C44" i="101"/>
  <c r="D46" i="127" s="1"/>
  <c r="O29" i="101"/>
  <c r="I29" i="128" s="1"/>
  <c r="O29" i="128" s="1"/>
  <c r="N53" i="101"/>
  <c r="G55" i="127" s="1"/>
  <c r="S15" i="101"/>
  <c r="W28" i="101"/>
  <c r="E50" i="101"/>
  <c r="E38" i="101"/>
  <c r="V59" i="101"/>
  <c r="T50" i="101"/>
  <c r="L48" i="101"/>
  <c r="J54" i="101"/>
  <c r="T57" i="101"/>
  <c r="L80" i="101"/>
  <c r="P67" i="101"/>
  <c r="U27" i="101"/>
  <c r="P27" i="101"/>
  <c r="U43" i="101"/>
  <c r="G33" i="154"/>
  <c r="E33" i="154" s="1"/>
  <c r="J33" i="154" s="1"/>
  <c r="W51" i="101"/>
  <c r="M68" i="101"/>
  <c r="G54" i="101"/>
  <c r="T77" i="101"/>
  <c r="W34" i="101"/>
  <c r="F74" i="101"/>
  <c r="V26" i="101"/>
  <c r="X85" i="101"/>
  <c r="E45" i="101"/>
  <c r="M64" i="101"/>
  <c r="M35" i="101"/>
  <c r="P54" i="101"/>
  <c r="D73" i="101"/>
  <c r="F73" i="128" s="1"/>
  <c r="G30" i="154"/>
  <c r="L30" i="154" s="1"/>
  <c r="W21" i="101"/>
  <c r="Q22" i="101"/>
  <c r="K64" i="101"/>
  <c r="P85" i="101"/>
  <c r="V63" i="101"/>
  <c r="R68" i="101"/>
  <c r="G16" i="154"/>
  <c r="E16" i="154" s="1"/>
  <c r="J16" i="154" s="1"/>
  <c r="I39" i="101"/>
  <c r="S47" i="101"/>
  <c r="M30" i="101"/>
  <c r="N24" i="101"/>
  <c r="H24" i="128" s="1"/>
  <c r="C84" i="101"/>
  <c r="E84" i="128" s="1"/>
  <c r="X24" i="101"/>
  <c r="U78" i="101"/>
  <c r="G35" i="154"/>
  <c r="E35" i="154" s="1"/>
  <c r="J35" i="154" s="1"/>
  <c r="J69" i="101"/>
  <c r="J64" i="101"/>
  <c r="T62" i="101"/>
  <c r="P92" i="101"/>
  <c r="V71" i="101"/>
  <c r="L58" i="101"/>
  <c r="X56" i="101"/>
  <c r="S51" i="101"/>
  <c r="I74" i="101"/>
  <c r="M40" i="101"/>
  <c r="Q90" i="101"/>
  <c r="G39" i="154"/>
  <c r="L39" i="154" s="1"/>
  <c r="G68" i="101"/>
  <c r="U68" i="101"/>
  <c r="H16" i="101"/>
  <c r="V50" i="101"/>
  <c r="J47" i="101"/>
  <c r="V89" i="101"/>
  <c r="G46" i="154"/>
  <c r="E46" i="154" s="1"/>
  <c r="J46" i="154" s="1"/>
  <c r="I78" i="101"/>
  <c r="M18" i="101"/>
  <c r="L62" i="101"/>
  <c r="U79" i="101"/>
  <c r="R60" i="101"/>
  <c r="M19" i="101"/>
  <c r="G25" i="154"/>
  <c r="E25" i="154" s="1"/>
  <c r="J25" i="154" s="1"/>
  <c r="G80" i="101"/>
  <c r="R49" i="101"/>
  <c r="Q44" i="101"/>
  <c r="K69" i="101"/>
  <c r="G48" i="154"/>
  <c r="E48" i="154" s="1"/>
  <c r="J48" i="154" s="1"/>
  <c r="F82" i="101"/>
  <c r="F86" i="101"/>
  <c r="G49" i="154"/>
  <c r="E49" i="154" s="1"/>
  <c r="J49" i="154" s="1"/>
  <c r="V68" i="101"/>
  <c r="D74" i="101"/>
  <c r="E76" i="127" s="1"/>
  <c r="X16" i="101"/>
  <c r="U53" i="101"/>
  <c r="T56" i="101"/>
  <c r="X23" i="101"/>
  <c r="O71" i="101"/>
  <c r="I71" i="128" s="1"/>
  <c r="C50" i="101"/>
  <c r="N52" i="101"/>
  <c r="G54" i="127" s="1"/>
  <c r="J77" i="101"/>
  <c r="H35" i="101"/>
  <c r="R32" i="101"/>
  <c r="X17" i="101"/>
  <c r="L54" i="101"/>
  <c r="V74" i="101"/>
  <c r="U39" i="101"/>
  <c r="V86" i="101"/>
  <c r="M76" i="101"/>
  <c r="H46" i="101"/>
  <c r="U35" i="101"/>
  <c r="R61" i="101"/>
  <c r="T14" i="101"/>
  <c r="V75" i="101"/>
  <c r="L16" i="101"/>
  <c r="S14" i="101"/>
  <c r="R40" i="101"/>
  <c r="H49" i="101"/>
  <c r="X84" i="101"/>
  <c r="F18" i="101"/>
  <c r="N90" i="101"/>
  <c r="H90" i="128" s="1"/>
  <c r="G18" i="154"/>
  <c r="E18" i="154" s="1"/>
  <c r="J18" i="154" s="1"/>
  <c r="Q88" i="101"/>
  <c r="M41" i="101"/>
  <c r="L63" i="101"/>
  <c r="U66" i="101"/>
  <c r="D39" i="101"/>
  <c r="F39" i="128" s="1"/>
  <c r="S64" i="101"/>
  <c r="H11" i="101"/>
  <c r="N68" i="101"/>
  <c r="G70" i="127" s="1"/>
  <c r="N62" i="101"/>
  <c r="H62" i="128" s="1"/>
  <c r="T20" i="101"/>
  <c r="P28" i="101"/>
  <c r="T90" i="101"/>
  <c r="D20" i="101"/>
  <c r="E22" i="127" s="1"/>
  <c r="N38" i="101"/>
  <c r="G40" i="127" s="1"/>
  <c r="G86" i="101"/>
  <c r="Q47" i="101"/>
  <c r="C68" i="101"/>
  <c r="D70" i="127" s="1"/>
  <c r="Q52" i="101"/>
  <c r="D17" i="101"/>
  <c r="E19" i="127" s="1"/>
  <c r="K93" i="101"/>
  <c r="C87" i="101"/>
  <c r="D89" i="127" s="1"/>
  <c r="I67" i="101"/>
  <c r="K84" i="101"/>
  <c r="P87" i="101"/>
  <c r="H78" i="101"/>
  <c r="J85" i="101"/>
  <c r="G51" i="154"/>
  <c r="L51" i="154" s="1"/>
  <c r="F77" i="101"/>
  <c r="F30" i="101"/>
  <c r="W30" i="101"/>
  <c r="K22" i="101"/>
  <c r="G32" i="101"/>
  <c r="U57" i="101"/>
  <c r="T23" i="101"/>
  <c r="P76" i="101"/>
  <c r="I23" i="101"/>
  <c r="T81" i="101"/>
  <c r="V85" i="101"/>
  <c r="L39" i="101"/>
  <c r="T68" i="101"/>
  <c r="G20" i="101"/>
  <c r="O57" i="101"/>
  <c r="H59" i="127" s="1"/>
  <c r="G15" i="154"/>
  <c r="L15" i="154" s="1"/>
  <c r="F52" i="101"/>
  <c r="K20" i="101"/>
  <c r="C27" i="101"/>
  <c r="H28" i="154" s="1"/>
  <c r="M28" i="154" s="1"/>
  <c r="C36" i="101"/>
  <c r="N35" i="116" s="1"/>
  <c r="O35" i="101"/>
  <c r="H37" i="127" s="1"/>
  <c r="N23" i="101"/>
  <c r="I24" i="154" s="1"/>
  <c r="N24" i="154" s="1"/>
  <c r="S54" i="101"/>
  <c r="U80" i="101"/>
  <c r="Q82" i="101"/>
  <c r="F39" i="101"/>
  <c r="L53" i="101"/>
  <c r="W70" i="101"/>
  <c r="N60" i="101"/>
  <c r="H60" i="128" s="1"/>
  <c r="F75" i="101"/>
  <c r="Q40" i="101"/>
  <c r="E64" i="101"/>
  <c r="H53" i="101"/>
  <c r="E71" i="101"/>
  <c r="M59" i="101"/>
  <c r="D79" i="101"/>
  <c r="E81" i="127" s="1"/>
  <c r="H57" i="101"/>
  <c r="D78" i="101"/>
  <c r="E80" i="127" s="1"/>
  <c r="E48" i="101"/>
  <c r="H89" i="101"/>
  <c r="I34" i="101"/>
  <c r="X49" i="101"/>
  <c r="S57" i="101"/>
  <c r="O61" i="101"/>
  <c r="I61" i="128" s="1"/>
  <c r="T24" i="101"/>
  <c r="K92" i="101"/>
  <c r="D75" i="101"/>
  <c r="F75" i="128" s="1"/>
  <c r="X89" i="101"/>
  <c r="Q46" i="101"/>
  <c r="U60" i="101"/>
  <c r="C35" i="101"/>
  <c r="N34" i="116" s="1"/>
  <c r="O39" i="101"/>
  <c r="H41" i="127" s="1"/>
  <c r="S32" i="101"/>
  <c r="S22" i="101"/>
  <c r="V17" i="101"/>
  <c r="S18" i="101"/>
  <c r="X51" i="101"/>
  <c r="V35" i="101"/>
  <c r="X74" i="101"/>
  <c r="L21" i="101"/>
  <c r="P51" i="101"/>
  <c r="U75" i="101"/>
  <c r="U64" i="101"/>
  <c r="T41" i="101"/>
  <c r="I47" i="101"/>
  <c r="L20" i="101"/>
  <c r="X62" i="101"/>
  <c r="C69" i="101"/>
  <c r="D71" i="127" s="1"/>
  <c r="M62" i="101"/>
  <c r="R39" i="101"/>
  <c r="W67" i="101"/>
  <c r="Q62" i="101"/>
  <c r="J75" i="101"/>
  <c r="Q68" i="101"/>
  <c r="S58" i="101"/>
  <c r="H38" i="101"/>
  <c r="X20" i="101"/>
  <c r="O68" i="101"/>
  <c r="H70" i="127" s="1"/>
  <c r="S50" i="101"/>
  <c r="I37" i="101"/>
  <c r="P19" i="101"/>
  <c r="U90" i="101"/>
  <c r="G63" i="101"/>
  <c r="H73" i="101"/>
  <c r="S92" i="101"/>
  <c r="S23" i="101"/>
  <c r="H72" i="101"/>
  <c r="E69" i="101"/>
  <c r="J56" i="101"/>
  <c r="W17" i="101"/>
  <c r="R65" i="101"/>
  <c r="S63" i="101"/>
  <c r="W59" i="101"/>
  <c r="I18" i="101"/>
  <c r="U23" i="101"/>
  <c r="M24" i="101"/>
  <c r="T48" i="101"/>
  <c r="X77" i="101"/>
  <c r="U92" i="101"/>
  <c r="R84" i="101"/>
  <c r="K11" i="101"/>
  <c r="N57" i="101"/>
  <c r="H57" i="128" s="1"/>
  <c r="X38" i="101"/>
  <c r="G71" i="101"/>
  <c r="U47" i="101"/>
  <c r="V64" i="101"/>
  <c r="K14" i="101"/>
  <c r="H37" i="101"/>
  <c r="H43" i="101"/>
  <c r="N71" i="101"/>
  <c r="H71" i="128" s="1"/>
  <c r="G37" i="101"/>
  <c r="J74" i="101"/>
  <c r="D26" i="101"/>
  <c r="E28" i="127" s="1"/>
  <c r="N91" i="101"/>
  <c r="G93" i="127" s="1"/>
  <c r="Q78" i="101"/>
  <c r="L60" i="101"/>
  <c r="E21" i="101"/>
  <c r="J82" i="101"/>
  <c r="H55" i="101"/>
  <c r="D84" i="101"/>
  <c r="E86" i="127" s="1"/>
  <c r="C88" i="101"/>
  <c r="E88" i="128" s="1"/>
  <c r="K32" i="101"/>
  <c r="Q26" i="101"/>
  <c r="R27" i="101"/>
  <c r="E23" i="101"/>
  <c r="F65" i="101"/>
  <c r="W86" i="101"/>
  <c r="X29" i="101"/>
  <c r="G89" i="101"/>
  <c r="H61" i="101"/>
  <c r="R17" i="101"/>
  <c r="S74" i="101"/>
  <c r="Q56" i="101"/>
  <c r="J30" i="101"/>
  <c r="I59" i="101"/>
  <c r="N64" i="101"/>
  <c r="G66" i="127" s="1"/>
  <c r="E54" i="101"/>
  <c r="S43" i="101"/>
  <c r="T29" i="101"/>
  <c r="W19" i="101"/>
  <c r="Q85" i="101"/>
  <c r="Q14" i="101"/>
  <c r="L56" i="101"/>
  <c r="J84" i="101"/>
  <c r="L78" i="101"/>
  <c r="G29" i="101"/>
  <c r="N35" i="101"/>
  <c r="I36" i="154" s="1"/>
  <c r="N36" i="154" s="1"/>
  <c r="I87" i="101"/>
  <c r="P39" i="101"/>
  <c r="E46" i="101"/>
  <c r="V84" i="101"/>
  <c r="H77" i="101"/>
  <c r="I85" i="101"/>
  <c r="J24" i="101"/>
  <c r="I61" i="101"/>
  <c r="F76" i="101"/>
  <c r="F67" i="101"/>
  <c r="V66" i="101"/>
  <c r="G46" i="101"/>
  <c r="D57" i="101"/>
  <c r="E59" i="127" s="1"/>
  <c r="W38" i="101"/>
  <c r="T30" i="101"/>
  <c r="O52" i="101"/>
  <c r="I52" i="128" s="1"/>
  <c r="O52" i="128" s="1"/>
  <c r="D86" i="101"/>
  <c r="E88" i="127" s="1"/>
  <c r="Q93" i="101"/>
  <c r="L93" i="101"/>
  <c r="J89" i="101"/>
  <c r="M70" i="101"/>
  <c r="K90" i="101"/>
  <c r="F60" i="101"/>
  <c r="P84" i="101"/>
  <c r="M39" i="101"/>
  <c r="S11" i="101"/>
  <c r="E70" i="101"/>
  <c r="C55" i="101"/>
  <c r="E55" i="128" s="1"/>
  <c r="I12" i="101"/>
  <c r="S40" i="101"/>
  <c r="S70" i="101"/>
  <c r="T47" i="101"/>
  <c r="P68" i="101"/>
  <c r="G36" i="154"/>
  <c r="L36" i="154" s="1"/>
  <c r="J17" i="101"/>
  <c r="N74" i="101"/>
  <c r="I54" i="101"/>
  <c r="W50" i="101"/>
  <c r="T35" i="101"/>
  <c r="J78" i="101"/>
  <c r="G93" i="101"/>
  <c r="D28" i="101"/>
  <c r="E30" i="127" s="1"/>
  <c r="C38" i="101"/>
  <c r="E38" i="128" s="1"/>
  <c r="O23" i="101"/>
  <c r="O27" i="101"/>
  <c r="I27" i="128" s="1"/>
  <c r="O27" i="128" s="1"/>
  <c r="J34" i="101"/>
  <c r="T93" i="101"/>
  <c r="F41" i="101"/>
  <c r="Q36" i="101"/>
  <c r="H76" i="101"/>
  <c r="G52" i="101"/>
  <c r="T82" i="101"/>
  <c r="R90" i="101"/>
  <c r="S24" i="101"/>
  <c r="K23" i="101"/>
  <c r="G31" i="154"/>
  <c r="H47" i="101"/>
  <c r="H67" i="101"/>
  <c r="G78" i="101"/>
  <c r="M21" i="101"/>
  <c r="L72" i="101"/>
  <c r="I22" i="101"/>
  <c r="H23" i="101"/>
  <c r="P18" i="101"/>
  <c r="T74" i="101"/>
  <c r="F64" i="101"/>
  <c r="L81" i="101"/>
  <c r="E82" i="101"/>
  <c r="J81" i="101"/>
  <c r="X50" i="101"/>
  <c r="H74" i="101"/>
  <c r="X55" i="101"/>
  <c r="J41" i="101"/>
  <c r="R83" i="101"/>
  <c r="C23" i="101"/>
  <c r="N22" i="116" s="1"/>
  <c r="H27" i="101"/>
  <c r="G76" i="101"/>
  <c r="O79" i="101"/>
  <c r="H81" i="127" s="1"/>
  <c r="O92" i="101"/>
  <c r="H94" i="127" s="1"/>
  <c r="S84" i="101"/>
  <c r="U72" i="101"/>
  <c r="N84" i="101"/>
  <c r="G86" i="127" s="1"/>
  <c r="O62" i="101"/>
  <c r="H64" i="127" s="1"/>
  <c r="H21" i="101"/>
  <c r="E67" i="101"/>
  <c r="M74" i="101"/>
  <c r="V53" i="101"/>
  <c r="I50" i="101"/>
  <c r="V24" i="101"/>
  <c r="L51" i="101"/>
  <c r="K91" i="101"/>
  <c r="T53" i="101"/>
  <c r="P58" i="101"/>
  <c r="G30" i="101"/>
  <c r="Q51" i="101"/>
  <c r="W44" i="101"/>
  <c r="G50" i="101"/>
  <c r="X83" i="101"/>
  <c r="K51" i="101"/>
  <c r="X65" i="101"/>
  <c r="C83" i="101"/>
  <c r="D85" i="127" s="1"/>
  <c r="L76" i="101"/>
  <c r="J45" i="101"/>
  <c r="J90" i="101"/>
  <c r="I62" i="101"/>
  <c r="E77" i="101"/>
  <c r="G91" i="101"/>
  <c r="E65" i="101"/>
  <c r="J50" i="101"/>
  <c r="N27" i="101"/>
  <c r="I28" i="154" s="1"/>
  <c r="N28" i="154" s="1"/>
  <c r="M87" i="101"/>
  <c r="I49" i="101"/>
  <c r="M12" i="101"/>
  <c r="W49" i="101"/>
  <c r="D64" i="101"/>
  <c r="F64" i="128" s="1"/>
  <c r="I28" i="101"/>
  <c r="K18" i="101"/>
  <c r="O75" i="101"/>
  <c r="H77" i="127" s="1"/>
  <c r="H24" i="101"/>
  <c r="K78" i="101"/>
  <c r="V43" i="101"/>
  <c r="M90" i="101"/>
  <c r="P63" i="101"/>
  <c r="Q43" i="101"/>
  <c r="S16" i="101"/>
  <c r="K27" i="101"/>
  <c r="U55" i="101"/>
  <c r="N80" i="101"/>
  <c r="H80" i="128" s="1"/>
  <c r="K62" i="101"/>
  <c r="M44" i="101"/>
  <c r="W69" i="101"/>
  <c r="J14" i="101"/>
  <c r="L69" i="101"/>
  <c r="P80" i="101"/>
  <c r="M50" i="101"/>
  <c r="L83" i="101"/>
  <c r="N39" i="101"/>
  <c r="G41" i="127" s="1"/>
  <c r="S17" i="101"/>
  <c r="N75" i="101"/>
  <c r="H75" i="128" s="1"/>
  <c r="M49" i="101"/>
  <c r="K56" i="101"/>
  <c r="W20" i="101"/>
  <c r="V14" i="101"/>
  <c r="S44" i="101"/>
  <c r="U91" i="101"/>
  <c r="G28" i="154"/>
  <c r="E28" i="154" s="1"/>
  <c r="J28" i="154" s="1"/>
  <c r="L85" i="101"/>
  <c r="I19" i="101"/>
  <c r="D80" i="101"/>
  <c r="E82" i="127" s="1"/>
  <c r="R11" i="101"/>
  <c r="U51" i="101"/>
  <c r="G77" i="101"/>
  <c r="L84" i="101"/>
  <c r="G40" i="101"/>
  <c r="R72" i="101"/>
  <c r="J37" i="101"/>
  <c r="G44" i="154"/>
  <c r="E44" i="154" s="1"/>
  <c r="J44" i="154" s="1"/>
  <c r="W16" i="101"/>
  <c r="E44" i="101"/>
  <c r="V46" i="101"/>
  <c r="X69" i="101"/>
  <c r="K59" i="101"/>
  <c r="D60" i="101"/>
  <c r="F60" i="128" s="1"/>
  <c r="M85" i="101"/>
  <c r="K66" i="116"/>
  <c r="M66" i="116" s="1"/>
  <c r="C61" i="116"/>
  <c r="B61" i="257" s="1"/>
  <c r="U45" i="101"/>
  <c r="S35" i="101"/>
  <c r="S71" i="101"/>
  <c r="O89" i="101"/>
  <c r="I89" i="128" s="1"/>
  <c r="X68" i="101"/>
  <c r="D58" i="101"/>
  <c r="F58" i="128" s="1"/>
  <c r="M72" i="101"/>
  <c r="G34" i="101"/>
  <c r="G54" i="154"/>
  <c r="E54" i="154" s="1"/>
  <c r="J54" i="154" s="1"/>
  <c r="E30" i="101"/>
  <c r="V77" i="101"/>
  <c r="J48" i="101"/>
  <c r="E55" i="101"/>
  <c r="I20" i="101"/>
  <c r="I27" i="101"/>
  <c r="R59" i="101"/>
  <c r="J59" i="101"/>
  <c r="V83" i="101"/>
  <c r="N16" i="101"/>
  <c r="H16" i="128" s="1"/>
  <c r="H45" i="101"/>
  <c r="W76" i="101"/>
  <c r="G27" i="154"/>
  <c r="E27" i="154" s="1"/>
  <c r="J27" i="154" s="1"/>
  <c r="X66" i="101"/>
  <c r="G57" i="101"/>
  <c r="F17" i="101"/>
  <c r="F49" i="101"/>
  <c r="S86" i="101"/>
  <c r="W81" i="101"/>
  <c r="I17" i="101"/>
  <c r="S77" i="101"/>
  <c r="Q16" i="101"/>
  <c r="G58" i="101"/>
  <c r="H82" i="101"/>
  <c r="U19" i="101"/>
  <c r="C70" i="101"/>
  <c r="D72" i="127" s="1"/>
  <c r="L40" i="101"/>
  <c r="N43" i="101"/>
  <c r="I44" i="154" s="1"/>
  <c r="N44" i="154" s="1"/>
  <c r="X44" i="101"/>
  <c r="Q23" i="101"/>
  <c r="W53" i="101"/>
  <c r="I75" i="101"/>
  <c r="E81" i="101"/>
  <c r="C61" i="101"/>
  <c r="D63" i="127" s="1"/>
  <c r="X47" i="101"/>
  <c r="T89" i="101"/>
  <c r="V78" i="101"/>
  <c r="C90" i="101"/>
  <c r="D92" i="127" s="1"/>
  <c r="K36" i="101"/>
  <c r="G13" i="154"/>
  <c r="L13" i="154" s="1"/>
  <c r="W73" i="101"/>
  <c r="D66" i="101"/>
  <c r="F66" i="128" s="1"/>
  <c r="K65" i="101"/>
  <c r="I88" i="101"/>
  <c r="T27" i="101"/>
  <c r="I44" i="101"/>
  <c r="G64" i="101"/>
  <c r="H28" i="101"/>
  <c r="G21" i="101"/>
  <c r="F81" i="101"/>
  <c r="W71" i="101"/>
  <c r="M47" i="101"/>
  <c r="F34" i="101"/>
  <c r="U88" i="101"/>
  <c r="G14" i="101"/>
  <c r="F83" i="101"/>
  <c r="V32" i="101"/>
  <c r="D62" i="101"/>
  <c r="F62" i="128" s="1"/>
  <c r="N32" i="101"/>
  <c r="H32" i="128" s="1"/>
  <c r="C63" i="101"/>
  <c r="D65" i="127" s="1"/>
  <c r="S26" i="101"/>
  <c r="E59" i="101"/>
  <c r="K19" i="101"/>
  <c r="R47" i="101"/>
  <c r="Q28" i="101"/>
  <c r="O67" i="101"/>
  <c r="H69" i="127" s="1"/>
  <c r="M52" i="101"/>
  <c r="X11" i="101"/>
  <c r="J57" i="101"/>
  <c r="Q35" i="101"/>
  <c r="T44" i="101"/>
  <c r="E90" i="101"/>
  <c r="K58" i="101"/>
  <c r="O34" i="101"/>
  <c r="H36" i="127" s="1"/>
  <c r="D18" i="101"/>
  <c r="F18" i="128" s="1"/>
  <c r="G47" i="101"/>
  <c r="L11" i="101"/>
  <c r="F37" i="101"/>
  <c r="M11" i="101"/>
  <c r="I58" i="101"/>
  <c r="Q12" i="101"/>
  <c r="I77" i="101"/>
  <c r="N93" i="101"/>
  <c r="G95" i="127" s="1"/>
  <c r="H26" i="101"/>
  <c r="G62" i="101"/>
  <c r="S21" i="101"/>
  <c r="N87" i="101"/>
  <c r="H87" i="128" s="1"/>
  <c r="L36" i="101"/>
  <c r="C85" i="101"/>
  <c r="E85" i="128" s="1"/>
  <c r="O64" i="101"/>
  <c r="I64" i="128" s="1"/>
  <c r="G17" i="154"/>
  <c r="L17" i="154" s="1"/>
  <c r="J44" i="101"/>
  <c r="E35" i="101"/>
  <c r="C32" i="101"/>
  <c r="D34" i="127" s="1"/>
  <c r="M88" i="101"/>
  <c r="J76" i="101"/>
  <c r="K47" i="101"/>
  <c r="G24" i="154"/>
  <c r="E24" i="154" s="1"/>
  <c r="J24" i="154" s="1"/>
  <c r="K61" i="101"/>
  <c r="V22" i="101"/>
  <c r="W43" i="101"/>
  <c r="H85" i="101"/>
  <c r="K44" i="101"/>
  <c r="I64" i="101"/>
  <c r="W23" i="101"/>
  <c r="K26" i="101"/>
  <c r="L35" i="101"/>
  <c r="W68" i="101"/>
  <c r="N51" i="101"/>
  <c r="H51" i="128" s="1"/>
  <c r="D52" i="101"/>
  <c r="F52" i="128" s="1"/>
  <c r="L52" i="128" s="1"/>
  <c r="V18" i="101"/>
  <c r="H62" i="101"/>
  <c r="F24" i="101"/>
  <c r="W83" i="101"/>
  <c r="W74" i="101"/>
  <c r="F85" i="101"/>
  <c r="D55" i="101"/>
  <c r="F55" i="128" s="1"/>
  <c r="P40" i="101"/>
  <c r="V37" i="101"/>
  <c r="N89" i="101"/>
  <c r="H89" i="128" s="1"/>
  <c r="I57" i="101"/>
  <c r="K38" i="101"/>
  <c r="R80" i="101"/>
  <c r="K76" i="116"/>
  <c r="M76" i="116" s="1"/>
  <c r="K24" i="101"/>
  <c r="Q63" i="101"/>
  <c r="H39" i="101"/>
  <c r="C58" i="101"/>
  <c r="E58" i="128" s="1"/>
  <c r="R70" i="101"/>
  <c r="C74" i="101"/>
  <c r="D76" i="127" s="1"/>
  <c r="F40" i="101"/>
  <c r="T75" i="101"/>
  <c r="M26" i="101"/>
  <c r="N46" i="101"/>
  <c r="G48" i="127" s="1"/>
  <c r="P60" i="101"/>
  <c r="T34" i="101"/>
  <c r="V54" i="101"/>
  <c r="F66" i="101"/>
  <c r="G22" i="101"/>
  <c r="T55" i="101"/>
  <c r="U24" i="101"/>
  <c r="G88" i="101"/>
  <c r="I72" i="101"/>
  <c r="F61" i="101"/>
  <c r="S81" i="101"/>
  <c r="F87" i="101"/>
  <c r="H32" i="101"/>
  <c r="V38" i="101"/>
  <c r="P26" i="101"/>
  <c r="X75" i="101"/>
  <c r="S38" i="101"/>
  <c r="M51" i="101"/>
  <c r="D56" i="101"/>
  <c r="F56" i="128" s="1"/>
  <c r="M71" i="101"/>
  <c r="X18" i="101"/>
  <c r="U84" i="101"/>
  <c r="M15" i="101"/>
  <c r="T71" i="101"/>
  <c r="D82" i="101"/>
  <c r="E84" i="127" s="1"/>
  <c r="Q70" i="101"/>
  <c r="M78" i="101"/>
  <c r="E85" i="101"/>
  <c r="T37" i="101"/>
  <c r="K55" i="101"/>
  <c r="M32" i="101"/>
  <c r="T63" i="101"/>
  <c r="H83" i="101"/>
  <c r="N59" i="101"/>
  <c r="H59" i="128" s="1"/>
  <c r="S27" i="101"/>
  <c r="J51" i="101"/>
  <c r="I40" i="101"/>
  <c r="Q29" i="101"/>
  <c r="X15" i="101"/>
  <c r="E34" i="101"/>
  <c r="N30" i="101"/>
  <c r="I31" i="154" s="1"/>
  <c r="N31" i="154" s="1"/>
  <c r="V28" i="101"/>
  <c r="I15" i="101"/>
  <c r="E40" i="101"/>
  <c r="U54" i="101"/>
  <c r="C66" i="101"/>
  <c r="D68" i="127" s="1"/>
  <c r="V57" i="101"/>
  <c r="F51" i="101"/>
  <c r="H90" i="101"/>
  <c r="C54" i="101"/>
  <c r="E54" i="128" s="1"/>
  <c r="G70" i="101"/>
  <c r="L44" i="101"/>
  <c r="R44" i="101"/>
  <c r="Q59" i="101"/>
  <c r="O66" i="101"/>
  <c r="H68" i="127" s="1"/>
  <c r="S82" i="101"/>
  <c r="D63" i="101"/>
  <c r="E65" i="127" s="1"/>
  <c r="H14" i="101"/>
  <c r="V12" i="101"/>
  <c r="F22" i="101"/>
  <c r="U15" i="101"/>
  <c r="E87" i="101"/>
  <c r="T11" i="101"/>
  <c r="X67" i="101"/>
  <c r="L65" i="101"/>
  <c r="K54" i="101"/>
  <c r="Q30" i="101"/>
  <c r="G53" i="154"/>
  <c r="E53" i="154" s="1"/>
  <c r="J53" i="154" s="1"/>
  <c r="S60" i="101"/>
  <c r="F44" i="101"/>
  <c r="U26" i="101"/>
  <c r="R89" i="101"/>
  <c r="K21" i="101"/>
  <c r="O15" i="101"/>
  <c r="H17" i="127" s="1"/>
  <c r="D53" i="101"/>
  <c r="F53" i="128" s="1"/>
  <c r="L53" i="128" s="1"/>
  <c r="X34" i="101"/>
  <c r="P37" i="101"/>
  <c r="S41" i="101"/>
  <c r="X57" i="101"/>
  <c r="L90" i="101"/>
  <c r="J55" i="101"/>
  <c r="L26" i="101"/>
  <c r="H79" i="101"/>
  <c r="Q86" i="101"/>
  <c r="G92" i="101"/>
  <c r="Q87" i="101"/>
  <c r="T92" i="101"/>
  <c r="Q65" i="101"/>
  <c r="C76" i="116"/>
  <c r="B76" i="257" s="1"/>
  <c r="U17" i="101"/>
  <c r="P47" i="101"/>
  <c r="P74" i="101"/>
  <c r="E18" i="101"/>
  <c r="M89" i="101"/>
  <c r="N49" i="101"/>
  <c r="I50" i="154" s="1"/>
  <c r="N50" i="154" s="1"/>
  <c r="N15" i="101"/>
  <c r="H15" i="128" s="1"/>
  <c r="N14" i="101"/>
  <c r="I15" i="154" s="1"/>
  <c r="N15" i="154" s="1"/>
  <c r="D43" i="101"/>
  <c r="E45" i="127" s="1"/>
  <c r="D11" i="101"/>
  <c r="E13" i="127" s="1"/>
  <c r="D44" i="101"/>
  <c r="E46" i="127" s="1"/>
  <c r="K82" i="101"/>
  <c r="Q38" i="101"/>
  <c r="R62" i="101"/>
  <c r="U70" i="101"/>
  <c r="J38" i="101"/>
  <c r="F80" i="101"/>
  <c r="V82" i="101"/>
  <c r="D77" i="101"/>
  <c r="F77" i="128" s="1"/>
  <c r="P64" i="101"/>
  <c r="O20" i="101"/>
  <c r="I20" i="128" s="1"/>
  <c r="O20" i="128" s="1"/>
  <c r="N19" i="101"/>
  <c r="G21" i="127" s="1"/>
  <c r="N36" i="101"/>
  <c r="G38" i="127" s="1"/>
  <c r="C17" i="101"/>
  <c r="H18" i="154" s="1"/>
  <c r="M18" i="154" s="1"/>
  <c r="C22" i="101"/>
  <c r="N21" i="116" s="1"/>
  <c r="X76" i="101"/>
  <c r="H88" i="101"/>
  <c r="G29" i="154"/>
  <c r="E29" i="154" s="1"/>
  <c r="J29" i="154" s="1"/>
  <c r="K49" i="101"/>
  <c r="K75" i="101"/>
  <c r="K45" i="101"/>
  <c r="T17" i="101"/>
  <c r="N88" i="101"/>
  <c r="H88" i="128" s="1"/>
  <c r="S88" i="101"/>
  <c r="E51" i="101"/>
  <c r="H86" i="101"/>
  <c r="O51" i="101"/>
  <c r="I51" i="128" s="1"/>
  <c r="O51" i="128" s="1"/>
  <c r="N34" i="101"/>
  <c r="H34" i="128" s="1"/>
  <c r="C26" i="101"/>
  <c r="E26" i="128" s="1"/>
  <c r="D29" i="101"/>
  <c r="E31" i="127" s="1"/>
  <c r="C24" i="101"/>
  <c r="N23" i="116" s="1"/>
  <c r="H12" i="101"/>
  <c r="G51" i="101"/>
  <c r="W91" i="101"/>
  <c r="F57" i="101"/>
  <c r="R34" i="101"/>
  <c r="C86" i="101"/>
  <c r="E86" i="128" s="1"/>
  <c r="Q92" i="101"/>
  <c r="Q34" i="101"/>
  <c r="M60" i="101"/>
  <c r="D90" i="101"/>
  <c r="E92" i="127" s="1"/>
  <c r="P56" i="101"/>
  <c r="S68" i="101"/>
  <c r="S67" i="101"/>
  <c r="H41" i="101"/>
  <c r="G90" i="101"/>
  <c r="V15" i="101"/>
  <c r="P11" i="101"/>
  <c r="V16" i="101"/>
  <c r="V29" i="101"/>
  <c r="R20" i="101"/>
  <c r="G11" i="101"/>
  <c r="Q48" i="101"/>
  <c r="S69" i="101"/>
  <c r="M38" i="101"/>
  <c r="L75" i="101"/>
  <c r="G75" i="101"/>
  <c r="Q79" i="101"/>
  <c r="S46" i="101"/>
  <c r="W78" i="101"/>
  <c r="X53" i="101"/>
  <c r="U36" i="101"/>
  <c r="P49" i="101"/>
  <c r="M67" i="101"/>
  <c r="R57" i="101"/>
  <c r="J72" i="101"/>
  <c r="U91" i="17"/>
  <c r="L91" i="17"/>
  <c r="T91" i="17" s="1"/>
  <c r="K68" i="116"/>
  <c r="M68" i="116" s="1"/>
  <c r="B80" i="257"/>
  <c r="B57" i="257"/>
  <c r="J65" i="257"/>
  <c r="K65" i="257" s="1"/>
  <c r="J87" i="257"/>
  <c r="K87" i="257" s="1"/>
  <c r="I69" i="101"/>
  <c r="P78" i="101"/>
  <c r="G83" i="101"/>
  <c r="G44" i="101"/>
  <c r="W63" i="101"/>
  <c r="R41" i="101"/>
  <c r="L61" i="101"/>
  <c r="U76" i="101"/>
  <c r="J65" i="116"/>
  <c r="J84" i="257"/>
  <c r="K84" i="257" s="1"/>
  <c r="J84" i="116"/>
  <c r="L68" i="101"/>
  <c r="H84" i="101"/>
  <c r="J46" i="101"/>
  <c r="P81" i="101"/>
  <c r="E57" i="101"/>
  <c r="R58" i="101"/>
  <c r="H17" i="101"/>
  <c r="E75" i="101"/>
  <c r="L86" i="101"/>
  <c r="G92" i="154"/>
  <c r="E92" i="154" s="1"/>
  <c r="D65" i="101"/>
  <c r="F65" i="128" s="1"/>
  <c r="O40" i="101"/>
  <c r="H42" i="127" s="1"/>
  <c r="V72" i="101"/>
  <c r="C89" i="101"/>
  <c r="D91" i="127" s="1"/>
  <c r="C81" i="101"/>
  <c r="E81" i="128" s="1"/>
  <c r="W58" i="101"/>
  <c r="X61" i="101"/>
  <c r="W40" i="101"/>
  <c r="O65" i="101"/>
  <c r="H67" i="127" s="1"/>
  <c r="I73" i="101"/>
  <c r="V40" i="101"/>
  <c r="Q41" i="101"/>
  <c r="H40" i="101"/>
  <c r="H75" i="101"/>
  <c r="L79" i="101"/>
  <c r="U85" i="101"/>
  <c r="S78" i="101"/>
  <c r="H87" i="101"/>
  <c r="G59" i="101"/>
  <c r="M57" i="101"/>
  <c r="P55" i="101"/>
  <c r="T70" i="101"/>
  <c r="H70" i="101"/>
  <c r="G42" i="154"/>
  <c r="L42" i="154" s="1"/>
  <c r="U11" i="101"/>
  <c r="J87" i="101"/>
  <c r="W85" i="101"/>
  <c r="F27" i="101"/>
  <c r="R77" i="101"/>
  <c r="Q77" i="101"/>
  <c r="X36" i="101"/>
  <c r="D37" i="101"/>
  <c r="E39" i="127" s="1"/>
  <c r="R27" i="261"/>
  <c r="U27" i="261" s="1"/>
  <c r="Y27" i="261" s="1"/>
  <c r="AB27" i="261" s="1"/>
  <c r="R89" i="261"/>
  <c r="S89" i="261" s="1"/>
  <c r="W89" i="261" s="1"/>
  <c r="F89" i="268" s="1"/>
  <c r="R83" i="261"/>
  <c r="T83" i="261" s="1"/>
  <c r="X83" i="261" s="1"/>
  <c r="AA83" i="261" s="1"/>
  <c r="R44" i="261"/>
  <c r="U44" i="261" s="1"/>
  <c r="Y44" i="261" s="1"/>
  <c r="AB44" i="261" s="1"/>
  <c r="R41" i="261"/>
  <c r="T41" i="261" s="1"/>
  <c r="X41" i="261" s="1"/>
  <c r="AA41" i="261" s="1"/>
  <c r="AA9" i="261" s="1"/>
  <c r="Q10" i="261"/>
  <c r="S64" i="261"/>
  <c r="W64" i="261" s="1"/>
  <c r="Z64" i="261" s="1"/>
  <c r="S57" i="261"/>
  <c r="W57" i="261" s="1"/>
  <c r="Z57" i="261" s="1"/>
  <c r="U75" i="261"/>
  <c r="Y75" i="261" s="1"/>
  <c r="AB75" i="261" s="1"/>
  <c r="S56" i="261"/>
  <c r="W56" i="261" s="1"/>
  <c r="Z56" i="261" s="1"/>
  <c r="U52" i="261"/>
  <c r="Y52" i="261" s="1"/>
  <c r="AB52" i="261" s="1"/>
  <c r="T76" i="261"/>
  <c r="X76" i="261" s="1"/>
  <c r="AA76" i="261" s="1"/>
  <c r="U54" i="261"/>
  <c r="Y54" i="261" s="1"/>
  <c r="AB54" i="261" s="1"/>
  <c r="S80" i="261"/>
  <c r="W80" i="261" s="1"/>
  <c r="Z80" i="261" s="1"/>
  <c r="U13" i="261"/>
  <c r="Y13" i="261" s="1"/>
  <c r="AB13" i="261" s="1"/>
  <c r="S82" i="261"/>
  <c r="W82" i="261" s="1"/>
  <c r="Z82" i="261" s="1"/>
  <c r="U31" i="261"/>
  <c r="Y31" i="261" s="1"/>
  <c r="AB31" i="261" s="1"/>
  <c r="T79" i="261"/>
  <c r="X79" i="261" s="1"/>
  <c r="AA79" i="261" s="1"/>
  <c r="T73" i="261"/>
  <c r="X73" i="261" s="1"/>
  <c r="AA73" i="261" s="1"/>
  <c r="U50" i="261"/>
  <c r="Y50" i="261" s="1"/>
  <c r="AB50" i="261" s="1"/>
  <c r="U65" i="261"/>
  <c r="Y65" i="261" s="1"/>
  <c r="AB65" i="261" s="1"/>
  <c r="S69" i="261"/>
  <c r="W69" i="261" s="1"/>
  <c r="Z69" i="261" s="1"/>
  <c r="U84" i="261"/>
  <c r="Y84" i="261" s="1"/>
  <c r="AB84" i="261" s="1"/>
  <c r="J57" i="116"/>
  <c r="V23" i="101"/>
  <c r="E61" i="101"/>
  <c r="J15" i="101"/>
  <c r="J11" i="101"/>
  <c r="F15" i="101"/>
  <c r="W90" i="101"/>
  <c r="S48" i="101"/>
  <c r="D85" i="101"/>
  <c r="E87" i="127" s="1"/>
  <c r="P44" i="101"/>
  <c r="V30" i="101"/>
  <c r="Q50" i="101"/>
  <c r="J52" i="101"/>
  <c r="O45" i="101"/>
  <c r="I45" i="128" s="1"/>
  <c r="S13" i="261"/>
  <c r="W13" i="261" s="1"/>
  <c r="Z13" i="261" s="1"/>
  <c r="S50" i="261"/>
  <c r="W50" i="261" s="1"/>
  <c r="Z50" i="261" s="1"/>
  <c r="U63" i="261"/>
  <c r="Y63" i="261" s="1"/>
  <c r="AB63" i="261" s="1"/>
  <c r="T64" i="261"/>
  <c r="X64" i="261" s="1"/>
  <c r="AA64" i="261" s="1"/>
  <c r="T80" i="261"/>
  <c r="X80" i="261" s="1"/>
  <c r="AA80" i="261" s="1"/>
  <c r="S70" i="261"/>
  <c r="W70" i="261" s="1"/>
  <c r="Z70" i="261" s="1"/>
  <c r="S14" i="261"/>
  <c r="W14" i="261" s="1"/>
  <c r="Z14" i="261" s="1"/>
  <c r="T51" i="261"/>
  <c r="X51" i="261" s="1"/>
  <c r="AA51" i="261" s="1"/>
  <c r="U57" i="261"/>
  <c r="Y57" i="261" s="1"/>
  <c r="AB57" i="261" s="1"/>
  <c r="S75" i="261"/>
  <c r="W75" i="261" s="1"/>
  <c r="Z75" i="261" s="1"/>
  <c r="U33" i="261"/>
  <c r="Y33" i="261" s="1"/>
  <c r="AB33" i="261" s="1"/>
  <c r="T55" i="261"/>
  <c r="X55" i="261" s="1"/>
  <c r="AA55" i="261" s="1"/>
  <c r="S65" i="261"/>
  <c r="W65" i="261" s="1"/>
  <c r="Z65" i="261" s="1"/>
  <c r="S76" i="261"/>
  <c r="W76" i="261" s="1"/>
  <c r="Z76" i="261" s="1"/>
  <c r="U66" i="261"/>
  <c r="Y66" i="261" s="1"/>
  <c r="AB66" i="261" s="1"/>
  <c r="S74" i="261"/>
  <c r="W74" i="261" s="1"/>
  <c r="Z74" i="261" s="1"/>
  <c r="U56" i="261"/>
  <c r="Y56" i="261" s="1"/>
  <c r="AB56" i="261" s="1"/>
  <c r="T52" i="261"/>
  <c r="X52" i="261" s="1"/>
  <c r="AA52" i="261" s="1"/>
  <c r="S68" i="261"/>
  <c r="W68" i="261" s="1"/>
  <c r="Z68" i="261" s="1"/>
  <c r="T69" i="261"/>
  <c r="X69" i="261" s="1"/>
  <c r="AA69" i="261" s="1"/>
  <c r="S78" i="261"/>
  <c r="W78" i="261" s="1"/>
  <c r="Z78" i="261" s="1"/>
  <c r="U88" i="261"/>
  <c r="Y88" i="261" s="1"/>
  <c r="G88" i="268" s="1"/>
  <c r="U73" i="261"/>
  <c r="Y73" i="261" s="1"/>
  <c r="AB73" i="261" s="1"/>
  <c r="T86" i="261"/>
  <c r="X86" i="261" s="1"/>
  <c r="AA86" i="261" s="1"/>
  <c r="J66" i="257"/>
  <c r="K66" i="257" s="1"/>
  <c r="T63" i="261"/>
  <c r="X63" i="261" s="1"/>
  <c r="AA63" i="261" s="1"/>
  <c r="T71" i="261"/>
  <c r="X71" i="261" s="1"/>
  <c r="AA71" i="261" s="1"/>
  <c r="U70" i="261"/>
  <c r="Y70" i="261" s="1"/>
  <c r="AB70" i="261" s="1"/>
  <c r="T82" i="261"/>
  <c r="X82" i="261" s="1"/>
  <c r="AA82" i="261" s="1"/>
  <c r="S51" i="261"/>
  <c r="W51" i="261" s="1"/>
  <c r="Z51" i="261" s="1"/>
  <c r="S25" i="261"/>
  <c r="W25" i="261" s="1"/>
  <c r="Z25" i="261" s="1"/>
  <c r="T87" i="261"/>
  <c r="X87" i="261" s="1"/>
  <c r="AA87" i="261" s="1"/>
  <c r="T33" i="261"/>
  <c r="X33" i="261" s="1"/>
  <c r="AA33" i="261" s="1"/>
  <c r="T31" i="261"/>
  <c r="X31" i="261" s="1"/>
  <c r="AA31" i="261" s="1"/>
  <c r="S66" i="261"/>
  <c r="W66" i="261" s="1"/>
  <c r="Z66" i="261" s="1"/>
  <c r="T85" i="261"/>
  <c r="X85" i="261" s="1"/>
  <c r="AA85" i="261" s="1"/>
  <c r="U74" i="261"/>
  <c r="Y74" i="261" s="1"/>
  <c r="AB74" i="261" s="1"/>
  <c r="S48" i="261"/>
  <c r="W48" i="261" s="1"/>
  <c r="Z48" i="261" s="1"/>
  <c r="U68" i="261"/>
  <c r="Y68" i="261" s="1"/>
  <c r="AB68" i="261" s="1"/>
  <c r="U79" i="261"/>
  <c r="Y79" i="261" s="1"/>
  <c r="AB79" i="261" s="1"/>
  <c r="T88" i="261"/>
  <c r="X88" i="261" s="1"/>
  <c r="AA88" i="261" s="1"/>
  <c r="S54" i="261"/>
  <c r="W54" i="261" s="1"/>
  <c r="Z54" i="261" s="1"/>
  <c r="U86" i="261"/>
  <c r="Y86" i="261" s="1"/>
  <c r="AB86" i="261" s="1"/>
  <c r="S84" i="261"/>
  <c r="W84" i="261" s="1"/>
  <c r="Z84" i="261" s="1"/>
  <c r="U71" i="261"/>
  <c r="Y71" i="261" s="1"/>
  <c r="AB71" i="261" s="1"/>
  <c r="T14" i="261"/>
  <c r="X14" i="261" s="1"/>
  <c r="AA14" i="261" s="1"/>
  <c r="U25" i="261"/>
  <c r="Y25" i="261" s="1"/>
  <c r="AB25" i="261" s="1"/>
  <c r="U87" i="261"/>
  <c r="Y87" i="261" s="1"/>
  <c r="AB87" i="261" s="1"/>
  <c r="S55" i="261"/>
  <c r="W55" i="261" s="1"/>
  <c r="Z55" i="261" s="1"/>
  <c r="U85" i="261"/>
  <c r="Y85" i="261" s="1"/>
  <c r="AB85" i="261" s="1"/>
  <c r="U48" i="261"/>
  <c r="Y48" i="261" s="1"/>
  <c r="AB48" i="261" s="1"/>
  <c r="T78" i="261"/>
  <c r="X78" i="261" s="1"/>
  <c r="AA78" i="261" s="1"/>
  <c r="B66" i="257"/>
  <c r="B78" i="257"/>
  <c r="K80" i="116"/>
  <c r="M80" i="116" s="1"/>
  <c r="K57" i="116"/>
  <c r="L57" i="116" s="1"/>
  <c r="J80" i="257"/>
  <c r="K80" i="257" s="1"/>
  <c r="B84" i="257"/>
  <c r="B65" i="257"/>
  <c r="H64" i="101"/>
  <c r="T79" i="101"/>
  <c r="W18" i="101"/>
  <c r="I83" i="101"/>
  <c r="Q81" i="101"/>
  <c r="F63" i="101"/>
  <c r="P52" i="101"/>
  <c r="Q74" i="101"/>
  <c r="F56" i="101"/>
  <c r="Q64" i="101"/>
  <c r="W52" i="101"/>
  <c r="X80" i="101"/>
  <c r="R19" i="101"/>
  <c r="J68" i="257"/>
  <c r="K68" i="257" s="1"/>
  <c r="I91" i="19"/>
  <c r="K72" i="17"/>
  <c r="K72" i="261"/>
  <c r="J68" i="116"/>
  <c r="K65" i="116"/>
  <c r="M65" i="116" s="1"/>
  <c r="D38" i="101"/>
  <c r="F38" i="128" s="1"/>
  <c r="C43" i="101"/>
  <c r="H44" i="154" s="1"/>
  <c r="M44" i="154" s="1"/>
  <c r="N48" i="101"/>
  <c r="I49" i="154" s="1"/>
  <c r="N49" i="154" s="1"/>
  <c r="C57" i="101"/>
  <c r="E57" i="128" s="1"/>
  <c r="G41" i="101"/>
  <c r="U62" i="101"/>
  <c r="U20" i="101"/>
  <c r="V27" i="101"/>
  <c r="T45" i="101"/>
  <c r="T43" i="101"/>
  <c r="W64" i="101"/>
  <c r="Q75" i="101"/>
  <c r="M69" i="101"/>
  <c r="R54" i="101"/>
  <c r="X88" i="101"/>
  <c r="J86" i="101"/>
  <c r="G17" i="101"/>
  <c r="V70" i="101"/>
  <c r="N77" i="101"/>
  <c r="R93" i="101"/>
  <c r="F70" i="101"/>
  <c r="R21" i="101"/>
  <c r="I21" i="101"/>
  <c r="R71" i="101"/>
  <c r="W92" i="101"/>
  <c r="V19" i="101"/>
  <c r="I30" i="101"/>
  <c r="F72" i="101"/>
  <c r="R45" i="101"/>
  <c r="H68" i="101"/>
  <c r="U81" i="101"/>
  <c r="W37" i="101"/>
  <c r="S56" i="101"/>
  <c r="L18" i="101"/>
  <c r="C82" i="101"/>
  <c r="D84" i="127" s="1"/>
  <c r="U32" i="101"/>
  <c r="R56" i="101"/>
  <c r="F84" i="101"/>
  <c r="V73" i="101"/>
  <c r="M86" i="101"/>
  <c r="T52" i="101"/>
  <c r="L59" i="101"/>
  <c r="U46" i="101"/>
  <c r="S93" i="101"/>
  <c r="X81" i="101"/>
  <c r="X72" i="101"/>
  <c r="H30" i="101"/>
  <c r="O74" i="101"/>
  <c r="H76" i="127" s="1"/>
  <c r="G16" i="101"/>
  <c r="P36" i="101"/>
  <c r="W48" i="101"/>
  <c r="K81" i="101"/>
  <c r="O84" i="101"/>
  <c r="I84" i="128" s="1"/>
  <c r="M54" i="101"/>
  <c r="I36" i="101"/>
  <c r="J28" i="101"/>
  <c r="C48" i="101"/>
  <c r="H49" i="154" s="1"/>
  <c r="M49" i="154" s="1"/>
  <c r="D49" i="101"/>
  <c r="F49" i="128" s="1"/>
  <c r="L49" i="128" s="1"/>
  <c r="D48" i="101"/>
  <c r="E50" i="127" s="1"/>
  <c r="C34" i="101"/>
  <c r="E34" i="128" s="1"/>
  <c r="D22" i="101"/>
  <c r="E24" i="127" s="1"/>
  <c r="N22" i="101"/>
  <c r="H22" i="128" s="1"/>
  <c r="N28" i="101"/>
  <c r="I29" i="154" s="1"/>
  <c r="N29" i="154" s="1"/>
  <c r="O49" i="101"/>
  <c r="I49" i="128" s="1"/>
  <c r="O49" i="128" s="1"/>
  <c r="N21" i="101"/>
  <c r="G23" i="127" s="1"/>
  <c r="O24" i="101"/>
  <c r="H26" i="127" s="1"/>
  <c r="R76" i="101"/>
  <c r="X12" i="101"/>
  <c r="X71" i="101"/>
  <c r="S89" i="101"/>
  <c r="K87" i="101"/>
  <c r="T78" i="101"/>
  <c r="Q73" i="101"/>
  <c r="O90" i="101"/>
  <c r="I90" i="128" s="1"/>
  <c r="S90" i="101"/>
  <c r="F32" i="101"/>
  <c r="I14" i="101"/>
  <c r="N56" i="101"/>
  <c r="G58" i="127" s="1"/>
  <c r="T32" i="101"/>
  <c r="O69" i="101"/>
  <c r="I69" i="128" s="1"/>
  <c r="N85" i="101"/>
  <c r="H85" i="128" s="1"/>
  <c r="R26" i="101"/>
  <c r="R75" i="101"/>
  <c r="E88" i="101"/>
  <c r="T60" i="101"/>
  <c r="S45" i="101"/>
  <c r="F20" i="101"/>
  <c r="P53" i="101"/>
  <c r="E11" i="101"/>
  <c r="K88" i="101"/>
  <c r="G45" i="154"/>
  <c r="L45" i="154" s="1"/>
  <c r="V11" i="101"/>
  <c r="V34" i="101"/>
  <c r="K16" i="101"/>
  <c r="E28" i="101"/>
  <c r="C79" i="101"/>
  <c r="D81" i="127" s="1"/>
  <c r="E16" i="101"/>
  <c r="G72" i="101"/>
  <c r="U12" i="101"/>
  <c r="Q76" i="101"/>
  <c r="X92" i="101"/>
  <c r="H36" i="101"/>
  <c r="Q19" i="101"/>
  <c r="T58" i="101"/>
  <c r="R43" i="101"/>
  <c r="S52" i="101"/>
  <c r="T69" i="101"/>
  <c r="F68" i="101"/>
  <c r="E41" i="101"/>
  <c r="U21" i="101"/>
  <c r="J21" i="101"/>
  <c r="I81" i="101"/>
  <c r="X63" i="101"/>
  <c r="K12" i="101"/>
  <c r="V90" i="101"/>
  <c r="G12" i="154"/>
  <c r="E12" i="154" s="1"/>
  <c r="J12" i="154" s="1"/>
  <c r="U73" i="101"/>
  <c r="D61" i="101"/>
  <c r="F61" i="128" s="1"/>
  <c r="T83" i="101"/>
  <c r="S87" i="101"/>
  <c r="G12" i="101"/>
  <c r="Q61" i="101"/>
  <c r="T61" i="101"/>
  <c r="F23" i="101"/>
  <c r="L88" i="101"/>
  <c r="R74" i="101"/>
  <c r="V56" i="101"/>
  <c r="I43" i="101"/>
  <c r="O54" i="101"/>
  <c r="I54" i="128" s="1"/>
  <c r="Q69" i="101"/>
  <c r="P38" i="101"/>
  <c r="S30" i="101"/>
  <c r="H19" i="101"/>
  <c r="V55" i="101"/>
  <c r="C11" i="101"/>
  <c r="N10" i="116" s="1"/>
  <c r="D40" i="101"/>
  <c r="E42" i="127" s="1"/>
  <c r="D35" i="101"/>
  <c r="F35" i="128" s="1"/>
  <c r="L35" i="128" s="1"/>
  <c r="C30" i="101"/>
  <c r="E30" i="128" s="1"/>
  <c r="O12" i="101"/>
  <c r="I12" i="128" s="1"/>
  <c r="O44" i="101"/>
  <c r="H46" i="127" s="1"/>
  <c r="O22" i="101"/>
  <c r="H24" i="127" s="1"/>
  <c r="O30" i="101"/>
  <c r="H32" i="127" s="1"/>
  <c r="O53" i="101"/>
  <c r="H55" i="127" s="1"/>
  <c r="R79" i="101"/>
  <c r="E20" i="101"/>
  <c r="D70" i="101"/>
  <c r="E72" i="127" s="1"/>
  <c r="R29" i="101"/>
  <c r="K52" i="101"/>
  <c r="J32" i="101"/>
  <c r="M45" i="101"/>
  <c r="W14" i="101"/>
  <c r="M34" i="101"/>
  <c r="I82" i="101"/>
  <c r="R91" i="101"/>
  <c r="J49" i="101"/>
  <c r="J18" i="101"/>
  <c r="Q17" i="101"/>
  <c r="J12" i="101"/>
  <c r="J92" i="101"/>
  <c r="J61" i="101"/>
  <c r="I38" i="101"/>
  <c r="R37" i="101"/>
  <c r="I45" i="101"/>
  <c r="R66" i="101"/>
  <c r="P16" i="101"/>
  <c r="M83" i="101"/>
  <c r="V45" i="101"/>
  <c r="J60" i="101"/>
  <c r="P93" i="101"/>
  <c r="E43" i="101"/>
  <c r="U37" i="101"/>
  <c r="X46" i="101"/>
  <c r="J71" i="101"/>
  <c r="J53" i="101"/>
  <c r="I32" i="101"/>
  <c r="I53" i="101"/>
  <c r="W87" i="101"/>
  <c r="I63" i="101"/>
  <c r="L22" i="101"/>
  <c r="I68" i="101"/>
  <c r="O83" i="101"/>
  <c r="I83" i="128" s="1"/>
  <c r="N73" i="101"/>
  <c r="G75" i="127" s="1"/>
  <c r="I55" i="101"/>
  <c r="W79" i="101"/>
  <c r="Q60" i="101"/>
  <c r="M20" i="101"/>
  <c r="L38" i="101"/>
  <c r="W15" i="101"/>
  <c r="X58" i="101"/>
  <c r="G24" i="101"/>
  <c r="P86" i="101"/>
  <c r="M27" i="101"/>
  <c r="L46" i="101"/>
  <c r="F35" i="101"/>
  <c r="V81" i="101"/>
  <c r="N83" i="101"/>
  <c r="G85" i="127" s="1"/>
  <c r="C65" i="101"/>
  <c r="D67" i="127" s="1"/>
  <c r="L47" i="101"/>
  <c r="K15" i="101"/>
  <c r="H59" i="101"/>
  <c r="I35" i="101"/>
  <c r="U29" i="101"/>
  <c r="S80" i="101"/>
  <c r="W55" i="101"/>
  <c r="T46" i="101"/>
  <c r="G48" i="101"/>
  <c r="R92" i="101"/>
  <c r="Q21" i="101"/>
  <c r="F21" i="101"/>
  <c r="I86" i="101"/>
  <c r="D92" i="101"/>
  <c r="F92" i="128" s="1"/>
  <c r="G92" i="128" s="1"/>
  <c r="D47" i="101"/>
  <c r="E49" i="127" s="1"/>
  <c r="C91" i="101"/>
  <c r="E91" i="128" s="1"/>
  <c r="O91" i="101"/>
  <c r="K39" i="101"/>
  <c r="P71" i="101"/>
  <c r="N69" i="101"/>
  <c r="G71" i="127" s="1"/>
  <c r="K34" i="101"/>
  <c r="G26" i="101"/>
  <c r="F89" i="101"/>
  <c r="G85" i="101"/>
  <c r="E92" i="101"/>
  <c r="F93" i="101"/>
  <c r="S55" i="101"/>
  <c r="C80" i="101"/>
  <c r="E80" i="128" s="1"/>
  <c r="K28" i="101"/>
  <c r="U74" i="101"/>
  <c r="O73" i="101"/>
  <c r="I73" i="128" s="1"/>
  <c r="S73" i="101"/>
  <c r="U38" i="101"/>
  <c r="L29" i="101"/>
  <c r="E58" i="101"/>
  <c r="G49" i="101"/>
  <c r="T49" i="101"/>
  <c r="E78" i="101"/>
  <c r="U34" i="101"/>
  <c r="M75" i="101"/>
  <c r="F12" i="101"/>
  <c r="V48" i="101"/>
  <c r="U87" i="101"/>
  <c r="E19" i="101"/>
  <c r="T22" i="101"/>
  <c r="V80" i="101"/>
  <c r="V87" i="101"/>
  <c r="J40" i="101"/>
  <c r="E52" i="101"/>
  <c r="C71" i="101"/>
  <c r="D73" i="127" s="1"/>
  <c r="G53" i="101"/>
  <c r="N55" i="101"/>
  <c r="G57" i="127" s="1"/>
  <c r="T38" i="101"/>
  <c r="Q27" i="101"/>
  <c r="E15" i="101"/>
  <c r="L41" i="101"/>
  <c r="D87" i="101"/>
  <c r="F87" i="128" s="1"/>
  <c r="I52" i="101"/>
  <c r="D83" i="101"/>
  <c r="E85" i="127" s="1"/>
  <c r="E63" i="101"/>
  <c r="C62" i="101"/>
  <c r="D64" i="127" s="1"/>
  <c r="V65" i="101"/>
  <c r="W39" i="101"/>
  <c r="I60" i="101"/>
  <c r="J65" i="101"/>
  <c r="M22" i="101"/>
  <c r="E80" i="101"/>
  <c r="I70" i="101"/>
  <c r="W45" i="101"/>
  <c r="Q54" i="101"/>
  <c r="G79" i="101"/>
  <c r="X78" i="101"/>
  <c r="K83" i="101"/>
  <c r="T18" i="101"/>
  <c r="V88" i="101"/>
  <c r="T51" i="101"/>
  <c r="S20" i="101"/>
  <c r="G28" i="101"/>
  <c r="F54" i="101"/>
  <c r="G19" i="101"/>
  <c r="Q24" i="101"/>
  <c r="I16" i="101"/>
  <c r="C59" i="101"/>
  <c r="D61" i="127" s="1"/>
  <c r="C14" i="101"/>
  <c r="N13" i="116" s="1"/>
  <c r="W93" i="101"/>
  <c r="T19" i="101"/>
  <c r="N67" i="101"/>
  <c r="G69" i="127" s="1"/>
  <c r="E37" i="101"/>
  <c r="K70" i="101"/>
  <c r="R12" i="101"/>
  <c r="L50" i="101"/>
  <c r="M65" i="101"/>
  <c r="U61" i="101"/>
  <c r="I79" i="101"/>
  <c r="P45" i="101"/>
  <c r="C73" i="101"/>
  <c r="E73" i="128" s="1"/>
  <c r="K63" i="101"/>
  <c r="D15" i="101"/>
  <c r="F15" i="128" s="1"/>
  <c r="L15" i="128" s="1"/>
  <c r="D41" i="101"/>
  <c r="F41" i="128" s="1"/>
  <c r="N40" i="101"/>
  <c r="H40" i="128" s="1"/>
  <c r="O85" i="101"/>
  <c r="H87" i="127" s="1"/>
  <c r="P66" i="101"/>
  <c r="J93" i="101"/>
  <c r="E86" i="101"/>
  <c r="W26" i="101"/>
  <c r="J20" i="101"/>
  <c r="J29" i="101"/>
  <c r="D72" i="101"/>
  <c r="E74" i="127" s="1"/>
  <c r="E91" i="101"/>
  <c r="M77" i="101"/>
  <c r="D67" i="101"/>
  <c r="F67" i="128" s="1"/>
  <c r="K74" i="101"/>
  <c r="V76" i="101"/>
  <c r="D69" i="101"/>
  <c r="F69" i="128" s="1"/>
  <c r="U14" i="101"/>
  <c r="I46" i="101"/>
  <c r="N70" i="101"/>
  <c r="H70" i="128" s="1"/>
  <c r="G41" i="154"/>
  <c r="L41" i="154" s="1"/>
  <c r="P35" i="101"/>
  <c r="P62" i="101"/>
  <c r="Q83" i="101"/>
  <c r="S79" i="101"/>
  <c r="E89" i="101"/>
  <c r="D71" i="101"/>
  <c r="E73" i="127" s="1"/>
  <c r="H71" i="101"/>
  <c r="W35" i="101"/>
  <c r="P32" i="101"/>
  <c r="P46" i="101"/>
  <c r="X19" i="101"/>
  <c r="H66" i="101"/>
  <c r="E27" i="101"/>
  <c r="T40" i="101"/>
  <c r="T16" i="101"/>
  <c r="D76" i="101"/>
  <c r="E78" i="127" s="1"/>
  <c r="H50" i="101"/>
  <c r="U41" i="101"/>
  <c r="J23" i="101"/>
  <c r="M53" i="101"/>
  <c r="H93" i="101"/>
  <c r="P91" i="101"/>
  <c r="F78" i="101"/>
  <c r="S12" i="101"/>
  <c r="K35" i="101"/>
  <c r="L64" i="101"/>
  <c r="J87" i="116"/>
  <c r="J80" i="116"/>
  <c r="K87" i="116"/>
  <c r="L87" i="116" s="1"/>
  <c r="J66" i="116"/>
  <c r="K83" i="17"/>
  <c r="K83" i="261"/>
  <c r="R35" i="101"/>
  <c r="T88" i="101"/>
  <c r="K17" i="101"/>
  <c r="U44" i="101"/>
  <c r="K50" i="101"/>
  <c r="F48" i="101"/>
  <c r="D46" i="101"/>
  <c r="E48" i="127" s="1"/>
  <c r="G23" i="154"/>
  <c r="L23" i="154" s="1"/>
  <c r="H65" i="101"/>
  <c r="T64" i="101"/>
  <c r="E12" i="101"/>
  <c r="M93" i="101"/>
  <c r="G56" i="101"/>
  <c r="X70" i="101"/>
  <c r="V21" i="101"/>
  <c r="N63" i="101"/>
  <c r="G65" i="127" s="1"/>
  <c r="L71" i="101"/>
  <c r="K57" i="101"/>
  <c r="P73" i="101"/>
  <c r="G20" i="154"/>
  <c r="L20" i="154" s="1"/>
  <c r="P30" i="101"/>
  <c r="E76" i="101"/>
  <c r="S91" i="101"/>
  <c r="N72" i="101"/>
  <c r="G74" i="127" s="1"/>
  <c r="M48" i="101"/>
  <c r="Q89" i="101"/>
  <c r="U22" i="101"/>
  <c r="G43" i="101"/>
  <c r="M92" i="101"/>
  <c r="N61" i="101"/>
  <c r="H61" i="128" s="1"/>
  <c r="C41" i="101"/>
  <c r="E41" i="128" s="1"/>
  <c r="H81" i="101"/>
  <c r="K41" i="101"/>
  <c r="X48" i="101"/>
  <c r="H69" i="101"/>
  <c r="V39" i="101"/>
  <c r="Q57" i="101"/>
  <c r="E53" i="101"/>
  <c r="U63" i="101"/>
  <c r="G38" i="101"/>
  <c r="P20" i="101"/>
  <c r="N65" i="101"/>
  <c r="H65" i="128" s="1"/>
  <c r="M23" i="101"/>
  <c r="L14" i="101"/>
  <c r="C56" i="101"/>
  <c r="E56" i="128" s="1"/>
  <c r="P22" i="101"/>
  <c r="F59" i="101"/>
  <c r="F45" i="101"/>
  <c r="H52" i="101"/>
  <c r="O46" i="101"/>
  <c r="H48" i="127" s="1"/>
  <c r="E74" i="101"/>
  <c r="X52" i="101"/>
  <c r="E29" i="101"/>
  <c r="F50" i="101"/>
  <c r="G82" i="101"/>
  <c r="G84" i="101"/>
  <c r="M37" i="101"/>
  <c r="G21" i="154"/>
  <c r="E21" i="154" s="1"/>
  <c r="J21" i="154" s="1"/>
  <c r="R15" i="101"/>
  <c r="I51" i="101"/>
  <c r="F71" i="101"/>
  <c r="O72" i="101"/>
  <c r="I72" i="128" s="1"/>
  <c r="O82" i="101"/>
  <c r="H84" i="127" s="1"/>
  <c r="D81" i="101"/>
  <c r="F81" i="128" s="1"/>
  <c r="G69" i="101"/>
  <c r="U58" i="101"/>
  <c r="P17" i="101"/>
  <c r="K76" i="101"/>
  <c r="X54" i="101"/>
  <c r="L37" i="101"/>
  <c r="E47" i="101"/>
  <c r="H80" i="101"/>
  <c r="K86" i="101"/>
  <c r="W56" i="101"/>
  <c r="K43" i="101"/>
  <c r="N47" i="101"/>
  <c r="G49" i="127" s="1"/>
  <c r="C12" i="101"/>
  <c r="E12" i="128" s="1"/>
  <c r="D34" i="101"/>
  <c r="F34" i="128" s="1"/>
  <c r="L34" i="128" s="1"/>
  <c r="C77" i="101"/>
  <c r="D79" i="127" s="1"/>
  <c r="P72" i="101"/>
  <c r="U49" i="101"/>
  <c r="F16" i="101"/>
  <c r="I90" i="101"/>
  <c r="R64" i="101"/>
  <c r="U67" i="101"/>
  <c r="E79" i="101"/>
  <c r="W24" i="101"/>
  <c r="N45" i="101"/>
  <c r="H45" i="128" s="1"/>
  <c r="G52" i="154"/>
  <c r="L52" i="154" s="1"/>
  <c r="W36" i="101"/>
  <c r="G19" i="154"/>
  <c r="E19" i="154" s="1"/>
  <c r="J19" i="154" s="1"/>
  <c r="L27" i="101"/>
  <c r="L43" i="101"/>
  <c r="X45" i="101"/>
  <c r="L45" i="101"/>
  <c r="G87" i="101"/>
  <c r="O60" i="101"/>
  <c r="H62" i="127" s="1"/>
  <c r="S29" i="101"/>
  <c r="C46" i="101"/>
  <c r="D48" i="127" s="1"/>
  <c r="W57" i="101"/>
  <c r="F36" i="101"/>
  <c r="X60" i="101"/>
  <c r="P24" i="101"/>
  <c r="U40" i="101"/>
  <c r="S59" i="101"/>
  <c r="W46" i="101"/>
  <c r="K60" i="101"/>
  <c r="S53" i="101"/>
  <c r="M61" i="101"/>
  <c r="W27" i="101"/>
  <c r="N66" i="101"/>
  <c r="H66" i="128" s="1"/>
  <c r="H56" i="101"/>
  <c r="E56" i="101"/>
  <c r="W84" i="101"/>
  <c r="Q18" i="101"/>
  <c r="O55" i="101"/>
  <c r="H57" i="127" s="1"/>
  <c r="F11" i="101"/>
  <c r="U16" i="101"/>
  <c r="H91" i="101"/>
  <c r="J70" i="101"/>
  <c r="R85" i="101"/>
  <c r="X28" i="101"/>
  <c r="W47" i="101"/>
  <c r="O43" i="101"/>
  <c r="I43" i="128" s="1"/>
  <c r="O43" i="128" s="1"/>
  <c r="C45" i="101"/>
  <c r="H46" i="154" s="1"/>
  <c r="M46" i="154" s="1"/>
  <c r="G67" i="101"/>
  <c r="R46" i="101"/>
  <c r="I56" i="101"/>
  <c r="L30" i="101"/>
  <c r="G38" i="154"/>
  <c r="E38" i="154" s="1"/>
  <c r="J38" i="154" s="1"/>
  <c r="F69" i="101"/>
  <c r="P79" i="101"/>
  <c r="D89" i="101"/>
  <c r="F89" i="128" s="1"/>
  <c r="M80" i="101"/>
  <c r="P90" i="101"/>
  <c r="N37" i="101"/>
  <c r="I38" i="154" s="1"/>
  <c r="N38" i="154" s="1"/>
  <c r="F29" i="101"/>
  <c r="S62" i="101"/>
  <c r="R30" i="101"/>
  <c r="R53" i="101"/>
  <c r="K68" i="101"/>
  <c r="R14" i="101"/>
  <c r="M81" i="101"/>
  <c r="X41" i="101"/>
  <c r="R73" i="101"/>
  <c r="G50" i="154"/>
  <c r="E50" i="154" s="1"/>
  <c r="J50" i="154" s="1"/>
  <c r="L87" i="101"/>
  <c r="P34" i="101"/>
  <c r="U65" i="101"/>
  <c r="X22" i="101"/>
  <c r="F92" i="101"/>
  <c r="Q32" i="101"/>
  <c r="R52" i="101"/>
  <c r="E68" i="101"/>
  <c r="M82" i="101"/>
  <c r="M17" i="101"/>
  <c r="E60" i="101"/>
  <c r="W60" i="101"/>
  <c r="X30" i="101"/>
  <c r="N78" i="101"/>
  <c r="H78" i="128" s="1"/>
  <c r="H60" i="101"/>
  <c r="G45" i="101"/>
  <c r="J73" i="101"/>
  <c r="L57" i="101"/>
  <c r="G36" i="101"/>
  <c r="C75" i="101"/>
  <c r="E75" i="128" s="1"/>
  <c r="G18" i="101"/>
  <c r="I76" i="101"/>
  <c r="C72" i="101"/>
  <c r="D74" i="127" s="1"/>
  <c r="W75" i="101"/>
  <c r="N92" i="101"/>
  <c r="H92" i="128" s="1"/>
  <c r="T73" i="101"/>
  <c r="J88" i="101"/>
  <c r="T85" i="101"/>
  <c r="R78" i="101"/>
  <c r="Q49" i="101"/>
  <c r="H20" i="101"/>
  <c r="P75" i="101"/>
  <c r="W32" i="101"/>
  <c r="M36" i="101"/>
  <c r="K66" i="101"/>
  <c r="X35" i="101"/>
  <c r="F79" i="101"/>
  <c r="L91" i="101"/>
  <c r="G73" i="101"/>
  <c r="R48" i="101"/>
  <c r="N20" i="101"/>
  <c r="H20" i="128" s="1"/>
  <c r="J83" i="101"/>
  <c r="S49" i="101"/>
  <c r="J26" i="101"/>
  <c r="I29" i="101"/>
  <c r="Q72" i="101"/>
  <c r="T26" i="101"/>
  <c r="S76" i="101"/>
  <c r="F43" i="101"/>
  <c r="G27" i="101"/>
  <c r="I66" i="101"/>
  <c r="M91" i="101"/>
  <c r="E84" i="101"/>
  <c r="N86" i="101"/>
  <c r="G88" i="127" s="1"/>
  <c r="I71" i="101"/>
  <c r="K67" i="101"/>
  <c r="G15" i="101"/>
  <c r="E49" i="101"/>
  <c r="M84" i="101"/>
  <c r="C64" i="101"/>
  <c r="D66" i="127" s="1"/>
  <c r="X91" i="101"/>
  <c r="R81" i="101"/>
  <c r="I41" i="101"/>
  <c r="J16" i="101"/>
  <c r="T39" i="101"/>
  <c r="L67" i="101"/>
  <c r="F53" i="101"/>
  <c r="M63" i="101"/>
  <c r="D93" i="101"/>
  <c r="E95" i="127" s="1"/>
  <c r="J58" i="101"/>
  <c r="Q11" i="101"/>
  <c r="I26" i="101"/>
  <c r="X73" i="101"/>
  <c r="U30" i="101"/>
  <c r="M55" i="101"/>
  <c r="P15" i="101"/>
  <c r="Q20" i="101"/>
  <c r="U50" i="101"/>
  <c r="X40" i="101"/>
  <c r="J68" i="101"/>
  <c r="V47" i="101"/>
  <c r="W89" i="101"/>
  <c r="V52" i="101"/>
  <c r="L74" i="101"/>
  <c r="F55" i="101"/>
  <c r="K73" i="101"/>
  <c r="V62" i="101"/>
  <c r="T84" i="101"/>
  <c r="H34" i="101"/>
  <c r="H48" i="101"/>
  <c r="H44" i="101"/>
  <c r="L23" i="101"/>
  <c r="N50" i="101"/>
  <c r="H50" i="128" s="1"/>
  <c r="O36" i="101"/>
  <c r="H38" i="127" s="1"/>
  <c r="O28" i="101"/>
  <c r="H30" i="127" s="1"/>
  <c r="O38" i="101"/>
  <c r="H40" i="127" s="1"/>
  <c r="D32" i="101"/>
  <c r="E34" i="127" s="1"/>
  <c r="C19" i="101"/>
  <c r="D21" i="127" s="1"/>
  <c r="D21" i="101"/>
  <c r="F21" i="128" s="1"/>
  <c r="C52" i="101"/>
  <c r="R23" i="101"/>
  <c r="T15" i="101"/>
  <c r="I65" i="101"/>
  <c r="W12" i="101"/>
  <c r="T54" i="101"/>
  <c r="U82" i="101"/>
  <c r="K89" i="101"/>
  <c r="C67" i="101"/>
  <c r="D69" i="127" s="1"/>
  <c r="R87" i="101"/>
  <c r="U83" i="101"/>
  <c r="K30" i="101"/>
  <c r="J19" i="101"/>
  <c r="W22" i="101"/>
  <c r="E83" i="101"/>
  <c r="M73" i="101"/>
  <c r="X93" i="101"/>
  <c r="J67" i="101"/>
  <c r="R67" i="101"/>
  <c r="J66" i="101"/>
  <c r="R82" i="101"/>
  <c r="P57" i="101"/>
  <c r="V69" i="101"/>
  <c r="F91" i="101"/>
  <c r="J27" i="101"/>
  <c r="M14" i="101"/>
  <c r="X90" i="101"/>
  <c r="I48" i="101"/>
  <c r="N81" i="101"/>
  <c r="H81" i="128" s="1"/>
  <c r="S66" i="101"/>
  <c r="P14" i="101"/>
  <c r="O58" i="101"/>
  <c r="H60" i="127" s="1"/>
  <c r="O78" i="101"/>
  <c r="H80" i="127" s="1"/>
  <c r="M56" i="101"/>
  <c r="K80" i="101"/>
  <c r="U86" i="101"/>
  <c r="H51" i="101"/>
  <c r="H54" i="101"/>
  <c r="H29" i="101"/>
  <c r="S85" i="101"/>
  <c r="J79" i="101"/>
  <c r="E24" i="101"/>
  <c r="I11" i="101"/>
  <c r="R88" i="101"/>
  <c r="L34" i="101"/>
  <c r="V61" i="101"/>
  <c r="R16" i="101"/>
  <c r="S75" i="101"/>
  <c r="T91" i="101"/>
  <c r="T65" i="101"/>
  <c r="Q67" i="101"/>
  <c r="R51" i="101"/>
  <c r="N26" i="101"/>
  <c r="G28" i="127" s="1"/>
  <c r="N11" i="101"/>
  <c r="G13" i="127" s="1"/>
  <c r="N41" i="101"/>
  <c r="G43" i="127" s="1"/>
  <c r="C40" i="101"/>
  <c r="E40" i="128" s="1"/>
  <c r="C15" i="101"/>
  <c r="D17" i="127" s="1"/>
  <c r="D36" i="101"/>
  <c r="F36" i="128" s="1"/>
  <c r="D23" i="101"/>
  <c r="F23" i="128" s="1"/>
  <c r="K37" i="101"/>
  <c r="O63" i="101"/>
  <c r="H65" i="127" s="1"/>
  <c r="F73" i="101"/>
  <c r="W61" i="101"/>
  <c r="S37" i="101"/>
  <c r="P48" i="101"/>
  <c r="O93" i="101"/>
  <c r="H95" i="127" s="1"/>
  <c r="R38" i="101"/>
  <c r="T66" i="101"/>
  <c r="M58" i="101"/>
  <c r="K40" i="101"/>
  <c r="I80" i="101"/>
  <c r="E36" i="101"/>
  <c r="R69" i="101"/>
  <c r="Q55" i="101"/>
  <c r="G61" i="101"/>
  <c r="G55" i="101"/>
  <c r="T59" i="101"/>
  <c r="T72" i="101"/>
  <c r="V51" i="101"/>
  <c r="T21" i="101"/>
  <c r="T36" i="101"/>
  <c r="X32" i="101"/>
  <c r="L89" i="101"/>
  <c r="P41" i="101"/>
  <c r="R36" i="101"/>
  <c r="V93" i="101"/>
  <c r="I84" i="101"/>
  <c r="W77" i="101"/>
  <c r="E93" i="101"/>
  <c r="W41" i="101"/>
  <c r="F14" i="101"/>
  <c r="P59" i="101"/>
  <c r="R86" i="101"/>
  <c r="K46" i="101"/>
  <c r="P70" i="101"/>
  <c r="P23" i="101"/>
  <c r="R50" i="101"/>
  <c r="L92" i="101"/>
  <c r="N58" i="101"/>
  <c r="H58" i="128" s="1"/>
  <c r="D91" i="101"/>
  <c r="E93" i="127" s="1"/>
  <c r="D30" i="101"/>
  <c r="F30" i="128" s="1"/>
  <c r="N54" i="101"/>
  <c r="H54" i="128" s="1"/>
  <c r="O47" i="101"/>
  <c r="H49" i="127" s="1"/>
  <c r="O14" i="101"/>
  <c r="H16" i="127" s="1"/>
  <c r="O16" i="101"/>
  <c r="I16" i="128" s="1"/>
  <c r="O16" i="128" s="1"/>
  <c r="O32" i="101"/>
  <c r="H34" i="127" s="1"/>
  <c r="O37" i="101"/>
  <c r="I37" i="128" s="1"/>
  <c r="O37" i="128" s="1"/>
  <c r="C21" i="101"/>
  <c r="N20" i="116" s="1"/>
  <c r="D50" i="101"/>
  <c r="E52" i="127" s="1"/>
  <c r="C51" i="101"/>
  <c r="D12" i="101"/>
  <c r="E14" i="127" s="1"/>
  <c r="D19" i="101"/>
  <c r="F19" i="128" s="1"/>
  <c r="P29" i="101"/>
  <c r="N44" i="101"/>
  <c r="G46" i="127" s="1"/>
  <c r="O18" i="101"/>
  <c r="I18" i="128" s="1"/>
  <c r="O18" i="128" s="1"/>
  <c r="O48" i="101"/>
  <c r="I48" i="128" s="1"/>
  <c r="O48" i="128" s="1"/>
  <c r="O26" i="101"/>
  <c r="H28" i="127" s="1"/>
  <c r="O21" i="101"/>
  <c r="I21" i="128" s="1"/>
  <c r="O21" i="128" s="1"/>
  <c r="D14" i="101"/>
  <c r="E16" i="127" s="1"/>
  <c r="C28" i="101"/>
  <c r="N27" i="116" s="1"/>
  <c r="C37" i="101"/>
  <c r="N36" i="116" s="1"/>
  <c r="C39" i="101"/>
  <c r="N38" i="116" s="1"/>
  <c r="D51" i="101"/>
  <c r="F51" i="128" s="1"/>
  <c r="L51" i="128" s="1"/>
  <c r="N12" i="101"/>
  <c r="I13" i="154" s="1"/>
  <c r="N13" i="154" s="1"/>
  <c r="O50" i="101"/>
  <c r="I50" i="128" s="1"/>
  <c r="O50" i="128" s="1"/>
  <c r="O41" i="101"/>
  <c r="I41" i="128" s="1"/>
  <c r="O41" i="128" s="1"/>
  <c r="O11" i="101"/>
  <c r="I11" i="128" s="1"/>
  <c r="O17" i="101"/>
  <c r="H19" i="127" s="1"/>
  <c r="C53" i="101"/>
  <c r="D45" i="101"/>
  <c r="F45" i="128" s="1"/>
  <c r="C18" i="101"/>
  <c r="E18" i="128" s="1"/>
  <c r="C20" i="101"/>
  <c r="E20" i="128" s="1"/>
  <c r="C54" i="257"/>
  <c r="D64" i="116"/>
  <c r="J64" i="116" s="1"/>
  <c r="H23" i="162"/>
  <c r="H20" i="162"/>
  <c r="H47" i="162"/>
  <c r="H15" i="162"/>
  <c r="H41" i="162"/>
  <c r="H21" i="162"/>
  <c r="H28" i="162"/>
  <c r="H42" i="162"/>
  <c r="H35" i="162"/>
  <c r="H12" i="162"/>
  <c r="H26" i="162"/>
  <c r="H36" i="162"/>
  <c r="H27" i="162"/>
  <c r="H19" i="162"/>
  <c r="H44" i="162"/>
  <c r="H22" i="162"/>
  <c r="H32" i="162"/>
  <c r="H45" i="162"/>
  <c r="H39" i="162"/>
  <c r="H9" i="162"/>
  <c r="H30" i="162"/>
  <c r="H40" i="162"/>
  <c r="H31" i="162"/>
  <c r="H33" i="162"/>
  <c r="H17" i="162"/>
  <c r="H46" i="162"/>
  <c r="H34" i="162"/>
  <c r="H25" i="162"/>
  <c r="H13" i="162"/>
  <c r="H8" i="162"/>
  <c r="H16" i="162"/>
  <c r="H43" i="162"/>
  <c r="H14" i="162"/>
  <c r="H37" i="162"/>
  <c r="H18" i="162"/>
  <c r="H24" i="162"/>
  <c r="H38" i="162"/>
  <c r="H29" i="162"/>
  <c r="H10" i="162"/>
  <c r="H11" i="162"/>
  <c r="D73" i="116"/>
  <c r="K73" i="116" s="1"/>
  <c r="D75" i="116"/>
  <c r="J75" i="116" s="1"/>
  <c r="B87" i="257"/>
  <c r="O89" i="116"/>
  <c r="P89" i="116" s="1"/>
  <c r="C89" i="257" s="1"/>
  <c r="H89" i="116"/>
  <c r="F89" i="257"/>
  <c r="D71" i="116"/>
  <c r="B71" i="116" s="1"/>
  <c r="D88" i="116"/>
  <c r="B88" i="116" s="1"/>
  <c r="G55" i="116"/>
  <c r="F55" i="116" s="1"/>
  <c r="G55" i="257"/>
  <c r="E55" i="257" s="1"/>
  <c r="D55" i="257" s="1"/>
  <c r="H91" i="127"/>
  <c r="H48" i="154"/>
  <c r="M48" i="154" s="1"/>
  <c r="H73" i="127"/>
  <c r="H31" i="127"/>
  <c r="I23" i="128"/>
  <c r="O23" i="128" s="1"/>
  <c r="H25" i="127"/>
  <c r="E55" i="127"/>
  <c r="D62" i="127"/>
  <c r="G76" i="127"/>
  <c r="H74" i="128"/>
  <c r="E57" i="127"/>
  <c r="L29" i="154"/>
  <c r="D63" i="116"/>
  <c r="H72" i="116"/>
  <c r="O72" i="116"/>
  <c r="P72" i="116" s="1"/>
  <c r="C72" i="257" s="1"/>
  <c r="F72" i="257"/>
  <c r="G58" i="257"/>
  <c r="E58" i="257" s="1"/>
  <c r="D58" i="257" s="1"/>
  <c r="G58" i="116"/>
  <c r="F58" i="116" s="1"/>
  <c r="D86" i="116"/>
  <c r="J53" i="19"/>
  <c r="P62" i="116"/>
  <c r="C62" i="257" s="1"/>
  <c r="G62" i="116"/>
  <c r="F62" i="116" s="1"/>
  <c r="G62" i="257"/>
  <c r="E62" i="257" s="1"/>
  <c r="D62" i="257" s="1"/>
  <c r="D70" i="116"/>
  <c r="B70" i="116" s="1"/>
  <c r="D69" i="116"/>
  <c r="D74" i="116"/>
  <c r="J74" i="116" s="1"/>
  <c r="L19" i="154"/>
  <c r="L31" i="154"/>
  <c r="E31" i="154"/>
  <c r="J31" i="154" s="1"/>
  <c r="H19" i="128"/>
  <c r="G36" i="127"/>
  <c r="I35" i="154"/>
  <c r="N35" i="154" s="1"/>
  <c r="P58" i="116"/>
  <c r="C58" i="257" s="1"/>
  <c r="D82" i="116"/>
  <c r="B82" i="116" s="1"/>
  <c r="D79" i="116"/>
  <c r="B79" i="116" s="1"/>
  <c r="C79" i="116" s="1"/>
  <c r="B79" i="257" s="1"/>
  <c r="D59" i="116"/>
  <c r="J59" i="116" s="1"/>
  <c r="D81" i="116"/>
  <c r="B81" i="116" s="1"/>
  <c r="P55" i="116"/>
  <c r="C55" i="257" s="1"/>
  <c r="D85" i="116"/>
  <c r="B85" i="116" s="1"/>
  <c r="H38" i="128"/>
  <c r="I39" i="154"/>
  <c r="N39" i="154" s="1"/>
  <c r="G73" i="127"/>
  <c r="E41" i="127"/>
  <c r="I91" i="128"/>
  <c r="H93" i="127"/>
  <c r="H56" i="128"/>
  <c r="G24" i="127"/>
  <c r="I23" i="154"/>
  <c r="N23" i="154" s="1"/>
  <c r="G79" i="127"/>
  <c r="H77" i="128"/>
  <c r="D56" i="116"/>
  <c r="J56" i="116" s="1"/>
  <c r="N53" i="116"/>
  <c r="G54" i="257"/>
  <c r="G54" i="116"/>
  <c r="F83" i="257"/>
  <c r="H83" i="116"/>
  <c r="O83" i="116"/>
  <c r="P77" i="116"/>
  <c r="C77" i="257" s="1"/>
  <c r="G77" i="116"/>
  <c r="F77" i="116" s="1"/>
  <c r="G77" i="257"/>
  <c r="E77" i="257" s="1"/>
  <c r="D77" i="257" s="1"/>
  <c r="B68" i="257"/>
  <c r="G67" i="257"/>
  <c r="E67" i="257" s="1"/>
  <c r="D67" i="257" s="1"/>
  <c r="G67" i="116"/>
  <c r="F67" i="116" s="1"/>
  <c r="D60" i="116"/>
  <c r="K60" i="116" s="1"/>
  <c r="E60" i="127"/>
  <c r="H88" i="127"/>
  <c r="I76" i="128"/>
  <c r="G82" i="127"/>
  <c r="H52" i="128"/>
  <c r="I53" i="154"/>
  <c r="N53" i="154" s="1"/>
  <c r="D56" i="127"/>
  <c r="E39" i="154"/>
  <c r="J39" i="154" s="1"/>
  <c r="H84" i="128"/>
  <c r="I35" i="128"/>
  <c r="O35" i="128" s="1"/>
  <c r="F28" i="128"/>
  <c r="L28" i="128" s="1"/>
  <c r="D57" i="127"/>
  <c r="E87" i="128"/>
  <c r="I19" i="154"/>
  <c r="N19" i="154" s="1"/>
  <c r="G20" i="127"/>
  <c r="N10" i="260"/>
  <c r="N46" i="260"/>
  <c r="R46" i="261" s="1"/>
  <c r="S46" i="261" s="1"/>
  <c r="W46" i="261" s="1"/>
  <c r="Z46" i="261" s="1"/>
  <c r="F16" i="128" l="1"/>
  <c r="H68" i="128"/>
  <c r="J68" i="128" s="1"/>
  <c r="L28" i="154"/>
  <c r="L37" i="154"/>
  <c r="L18" i="154"/>
  <c r="H30" i="128"/>
  <c r="J30" i="128" s="1"/>
  <c r="P30" i="128" s="1"/>
  <c r="E20" i="127"/>
  <c r="I95" i="127"/>
  <c r="E40" i="154"/>
  <c r="J40" i="154" s="1"/>
  <c r="E29" i="127"/>
  <c r="G62" i="127"/>
  <c r="I62" i="127" s="1"/>
  <c r="H79" i="128"/>
  <c r="I33" i="154"/>
  <c r="N33" i="154" s="1"/>
  <c r="E36" i="154"/>
  <c r="J36" i="154" s="1"/>
  <c r="G34" i="127"/>
  <c r="I34" i="127" s="1"/>
  <c r="L80" i="116"/>
  <c r="E38" i="271"/>
  <c r="D49" i="127"/>
  <c r="I40" i="128"/>
  <c r="O40" i="128" s="1"/>
  <c r="G37" i="127"/>
  <c r="H82" i="127"/>
  <c r="H54" i="127"/>
  <c r="F32" i="128"/>
  <c r="L32" i="128" s="1"/>
  <c r="H82" i="128"/>
  <c r="H35" i="128"/>
  <c r="J35" i="128" s="1"/>
  <c r="P35" i="128" s="1"/>
  <c r="E11" i="128"/>
  <c r="G78" i="127"/>
  <c r="E24" i="128"/>
  <c r="I30" i="128"/>
  <c r="O30" i="128" s="1"/>
  <c r="I65" i="128"/>
  <c r="I70" i="128"/>
  <c r="J70" i="128" s="1"/>
  <c r="H36" i="154"/>
  <c r="M36" i="154" s="1"/>
  <c r="L48" i="154"/>
  <c r="L54" i="154"/>
  <c r="L53" i="154"/>
  <c r="D24" i="127"/>
  <c r="I74" i="128"/>
  <c r="I53" i="128"/>
  <c r="O53" i="128" s="1"/>
  <c r="E27" i="128"/>
  <c r="G22" i="127"/>
  <c r="L35" i="154"/>
  <c r="D87" i="127"/>
  <c r="D37" i="127"/>
  <c r="F43" i="128"/>
  <c r="L43" i="128" s="1"/>
  <c r="H73" i="128"/>
  <c r="J73" i="128" s="1"/>
  <c r="I15" i="128"/>
  <c r="O15" i="128" s="1"/>
  <c r="E64" i="127"/>
  <c r="E39" i="271"/>
  <c r="E45" i="271"/>
  <c r="E49" i="128"/>
  <c r="I39" i="128"/>
  <c r="O39" i="128" s="1"/>
  <c r="I82" i="128"/>
  <c r="I67" i="128"/>
  <c r="I34" i="128"/>
  <c r="O34" i="128" s="1"/>
  <c r="E45" i="128"/>
  <c r="G45" i="127"/>
  <c r="H63" i="127"/>
  <c r="D52" i="127"/>
  <c r="F52" i="127" s="1"/>
  <c r="N46" i="116"/>
  <c r="H46" i="116" s="1"/>
  <c r="H51" i="127"/>
  <c r="E61" i="128"/>
  <c r="E63" i="128"/>
  <c r="I24" i="128"/>
  <c r="O24" i="128" s="1"/>
  <c r="E29" i="128"/>
  <c r="K29" i="128" s="1"/>
  <c r="G92" i="127"/>
  <c r="I40" i="154"/>
  <c r="N40" i="154" s="1"/>
  <c r="M87" i="116"/>
  <c r="I85" i="128"/>
  <c r="D42" i="127"/>
  <c r="F42" i="127" s="1"/>
  <c r="G18" i="127"/>
  <c r="E48" i="271"/>
  <c r="E43" i="128"/>
  <c r="K43" i="128" s="1"/>
  <c r="D80" i="127"/>
  <c r="H37" i="154"/>
  <c r="M37" i="154" s="1"/>
  <c r="M57" i="116"/>
  <c r="E47" i="127"/>
  <c r="E68" i="128"/>
  <c r="D30" i="127"/>
  <c r="F30" i="127" s="1"/>
  <c r="N39" i="116"/>
  <c r="E75" i="127"/>
  <c r="H90" i="127"/>
  <c r="E15" i="271"/>
  <c r="H92" i="127"/>
  <c r="F79" i="128"/>
  <c r="G79" i="128" s="1"/>
  <c r="H66" i="127"/>
  <c r="I66" i="127" s="1"/>
  <c r="E50" i="271"/>
  <c r="E23" i="127"/>
  <c r="E23" i="128"/>
  <c r="L22" i="154"/>
  <c r="H75" i="127"/>
  <c r="F17" i="128"/>
  <c r="L16" i="154"/>
  <c r="E16" i="128"/>
  <c r="F86" i="128"/>
  <c r="I68" i="128"/>
  <c r="I30" i="154"/>
  <c r="N30" i="154" s="1"/>
  <c r="L24" i="154"/>
  <c r="H39" i="128"/>
  <c r="E79" i="128"/>
  <c r="F83" i="128"/>
  <c r="D18" i="127"/>
  <c r="F18" i="127" s="1"/>
  <c r="I58" i="128"/>
  <c r="H23" i="128"/>
  <c r="E91" i="127"/>
  <c r="F91" i="127" s="1"/>
  <c r="H29" i="128"/>
  <c r="N29" i="128" s="1"/>
  <c r="E40" i="271"/>
  <c r="E36" i="271"/>
  <c r="H47" i="127"/>
  <c r="E59" i="128"/>
  <c r="G59" i="128" s="1"/>
  <c r="H17" i="154"/>
  <c r="M17" i="154" s="1"/>
  <c r="H41" i="154"/>
  <c r="M41" i="154" s="1"/>
  <c r="E68" i="127"/>
  <c r="F68" i="127" s="1"/>
  <c r="I17" i="154"/>
  <c r="N17" i="154" s="1"/>
  <c r="I20" i="154"/>
  <c r="N20" i="154" s="1"/>
  <c r="E76" i="128"/>
  <c r="I52" i="154"/>
  <c r="N52" i="154" s="1"/>
  <c r="I57" i="128"/>
  <c r="J57" i="128" s="1"/>
  <c r="E51" i="127"/>
  <c r="G72" i="127"/>
  <c r="I72" i="127" s="1"/>
  <c r="I22" i="128"/>
  <c r="O22" i="128" s="1"/>
  <c r="I28" i="128"/>
  <c r="O28" i="128" s="1"/>
  <c r="F29" i="128"/>
  <c r="L29" i="128" s="1"/>
  <c r="E90" i="128"/>
  <c r="L33" i="154"/>
  <c r="I98" i="19"/>
  <c r="L49" i="154"/>
  <c r="E62" i="127"/>
  <c r="F62" i="127" s="1"/>
  <c r="I66" i="128"/>
  <c r="J66" i="128" s="1"/>
  <c r="E89" i="128"/>
  <c r="G89" i="128" s="1"/>
  <c r="E17" i="154"/>
  <c r="J17" i="154" s="1"/>
  <c r="H49" i="128"/>
  <c r="N49" i="128" s="1"/>
  <c r="H83" i="127"/>
  <c r="E30" i="154"/>
  <c r="J30" i="154" s="1"/>
  <c r="N44" i="116"/>
  <c r="I37" i="154"/>
  <c r="N37" i="154" s="1"/>
  <c r="G51" i="127"/>
  <c r="L46" i="154"/>
  <c r="D14" i="127"/>
  <c r="F14" i="127" s="1"/>
  <c r="H39" i="154"/>
  <c r="M39" i="154" s="1"/>
  <c r="I79" i="128"/>
  <c r="J79" i="128" s="1"/>
  <c r="H17" i="128"/>
  <c r="N17" i="128" s="1"/>
  <c r="L76" i="116"/>
  <c r="G59" i="127"/>
  <c r="I59" i="127" s="1"/>
  <c r="E66" i="127"/>
  <c r="F66" i="127" s="1"/>
  <c r="I16" i="154"/>
  <c r="N16" i="154" s="1"/>
  <c r="G16" i="127"/>
  <c r="F78" i="128"/>
  <c r="L27" i="154"/>
  <c r="I75" i="128"/>
  <c r="J75" i="128" s="1"/>
  <c r="G53" i="127"/>
  <c r="H53" i="127"/>
  <c r="H45" i="154"/>
  <c r="M45" i="154" s="1"/>
  <c r="H71" i="127"/>
  <c r="F88" i="128"/>
  <c r="G88" i="128" s="1"/>
  <c r="E40" i="127"/>
  <c r="E45" i="154"/>
  <c r="J45" i="154" s="1"/>
  <c r="D29" i="127"/>
  <c r="F29" i="127" s="1"/>
  <c r="I48" i="154"/>
  <c r="N48" i="154" s="1"/>
  <c r="H61" i="127"/>
  <c r="M61" i="116"/>
  <c r="D22" i="127"/>
  <c r="E51" i="154"/>
  <c r="J51" i="154" s="1"/>
  <c r="H53" i="128"/>
  <c r="J53" i="128" s="1"/>
  <c r="P53" i="128" s="1"/>
  <c r="D86" i="127"/>
  <c r="F86" i="127" s="1"/>
  <c r="E72" i="128"/>
  <c r="G29" i="127"/>
  <c r="N16" i="116"/>
  <c r="E32" i="128"/>
  <c r="F26" i="128"/>
  <c r="L26" i="128" s="1"/>
  <c r="H29" i="127"/>
  <c r="H85" i="127"/>
  <c r="I85" i="127" s="1"/>
  <c r="L78" i="116"/>
  <c r="L50" i="154"/>
  <c r="E69" i="127"/>
  <c r="F69" i="127" s="1"/>
  <c r="H27" i="154"/>
  <c r="M27" i="154" s="1"/>
  <c r="I25" i="154"/>
  <c r="N25" i="154" s="1"/>
  <c r="E56" i="127"/>
  <c r="F84" i="128"/>
  <c r="G84" i="128" s="1"/>
  <c r="F22" i="128"/>
  <c r="F91" i="128"/>
  <c r="L91" i="128" s="1"/>
  <c r="D90" i="127"/>
  <c r="F90" i="127" s="1"/>
  <c r="E15" i="154"/>
  <c r="J15" i="154" s="1"/>
  <c r="D93" i="127"/>
  <c r="F93" i="127" s="1"/>
  <c r="H27" i="128"/>
  <c r="J27" i="128" s="1"/>
  <c r="P27" i="128" s="1"/>
  <c r="L21" i="154"/>
  <c r="E42" i="154"/>
  <c r="J42" i="154" s="1"/>
  <c r="G89" i="127"/>
  <c r="L44" i="154"/>
  <c r="L92" i="154"/>
  <c r="H36" i="128"/>
  <c r="N36" i="128" s="1"/>
  <c r="G83" i="127"/>
  <c r="H21" i="127"/>
  <c r="I21" i="127" s="1"/>
  <c r="G19" i="127"/>
  <c r="I19" i="127" s="1"/>
  <c r="H79" i="127"/>
  <c r="G26" i="127"/>
  <c r="I26" i="127" s="1"/>
  <c r="G94" i="127"/>
  <c r="I94" i="127" s="1"/>
  <c r="I47" i="154"/>
  <c r="H14" i="128"/>
  <c r="F63" i="128"/>
  <c r="G32" i="127"/>
  <c r="I32" i="127" s="1"/>
  <c r="H11" i="128"/>
  <c r="J11" i="128" s="1"/>
  <c r="F82" i="128"/>
  <c r="H64" i="128"/>
  <c r="J64" i="128" s="1"/>
  <c r="I54" i="154"/>
  <c r="N54" i="154" s="1"/>
  <c r="N11" i="116"/>
  <c r="E17" i="128"/>
  <c r="G17" i="127"/>
  <c r="I17" i="127" s="1"/>
  <c r="C10" i="160"/>
  <c r="D19" i="127"/>
  <c r="F19" i="127" s="1"/>
  <c r="S83" i="261"/>
  <c r="W83" i="261" s="1"/>
  <c r="F83" i="268" s="1"/>
  <c r="E30" i="271"/>
  <c r="I27" i="154"/>
  <c r="N27" i="154" s="1"/>
  <c r="H51" i="154"/>
  <c r="M51" i="154" s="1"/>
  <c r="N48" i="116"/>
  <c r="O48" i="116" s="1"/>
  <c r="E16" i="271"/>
  <c r="N47" i="116"/>
  <c r="F47" i="257" s="1"/>
  <c r="F48" i="127"/>
  <c r="E32" i="127"/>
  <c r="H25" i="154"/>
  <c r="M25" i="154" s="1"/>
  <c r="N43" i="116"/>
  <c r="H58" i="127"/>
  <c r="N90" i="116"/>
  <c r="H90" i="116" s="1"/>
  <c r="H55" i="128"/>
  <c r="G90" i="127"/>
  <c r="H89" i="127"/>
  <c r="N49" i="116"/>
  <c r="O49" i="116" s="1"/>
  <c r="P49" i="116" s="1"/>
  <c r="C49" i="257" s="1"/>
  <c r="D40" i="127"/>
  <c r="I92" i="154"/>
  <c r="N92" i="154" s="1"/>
  <c r="E34" i="271"/>
  <c r="F37" i="128"/>
  <c r="F20" i="128"/>
  <c r="G20" i="128" s="1"/>
  <c r="M20" i="128" s="1"/>
  <c r="F72" i="128"/>
  <c r="G77" i="127"/>
  <c r="I77" i="127" s="1"/>
  <c r="G25" i="127"/>
  <c r="H74" i="127"/>
  <c r="I74" i="127" s="1"/>
  <c r="G64" i="127"/>
  <c r="I64" i="127" s="1"/>
  <c r="E22" i="128"/>
  <c r="H22" i="127"/>
  <c r="I22" i="127" s="1"/>
  <c r="E44" i="128"/>
  <c r="L25" i="154"/>
  <c r="G61" i="127"/>
  <c r="H86" i="127"/>
  <c r="I86" i="127" s="1"/>
  <c r="H56" i="127"/>
  <c r="D60" i="127"/>
  <c r="F60" i="127" s="1"/>
  <c r="I62" i="128"/>
  <c r="E50" i="128"/>
  <c r="C48" i="155" s="1"/>
  <c r="N37" i="116"/>
  <c r="H91" i="128"/>
  <c r="N91" i="128" s="1"/>
  <c r="H23" i="154"/>
  <c r="M23" i="154" s="1"/>
  <c r="I54" i="127"/>
  <c r="G30" i="127"/>
  <c r="I30" i="127" s="1"/>
  <c r="E53" i="127"/>
  <c r="H69" i="128"/>
  <c r="J69" i="128" s="1"/>
  <c r="E36" i="127"/>
  <c r="D25" i="127"/>
  <c r="D75" i="127"/>
  <c r="G67" i="127"/>
  <c r="I67" i="127" s="1"/>
  <c r="I38" i="128"/>
  <c r="O38" i="128" s="1"/>
  <c r="E66" i="128"/>
  <c r="G66" i="128" s="1"/>
  <c r="H43" i="128"/>
  <c r="N43" i="128" s="1"/>
  <c r="H21" i="128"/>
  <c r="E37" i="127"/>
  <c r="F37" i="127" s="1"/>
  <c r="G91" i="127"/>
  <c r="I91" i="127" s="1"/>
  <c r="E13" i="154"/>
  <c r="J13" i="154" s="1"/>
  <c r="I92" i="128"/>
  <c r="J92" i="128" s="1"/>
  <c r="E61" i="127"/>
  <c r="F61" i="127" s="1"/>
  <c r="H13" i="127"/>
  <c r="I13" i="127" s="1"/>
  <c r="G87" i="127"/>
  <c r="I87" i="127" s="1"/>
  <c r="E65" i="128"/>
  <c r="L38" i="154"/>
  <c r="I60" i="128"/>
  <c r="J60" i="128" s="1"/>
  <c r="G63" i="127"/>
  <c r="I63" i="127" s="1"/>
  <c r="F85" i="128"/>
  <c r="G85" i="128" s="1"/>
  <c r="E49" i="271"/>
  <c r="P46" i="271"/>
  <c r="D51" i="127"/>
  <c r="H26" i="128"/>
  <c r="D26" i="127"/>
  <c r="H16" i="154"/>
  <c r="M16" i="154" s="1"/>
  <c r="H24" i="154"/>
  <c r="M24" i="154" s="1"/>
  <c r="I22" i="154"/>
  <c r="N22" i="154" s="1"/>
  <c r="I44" i="128"/>
  <c r="O44" i="128" s="1"/>
  <c r="D82" i="127"/>
  <c r="F82" i="127" s="1"/>
  <c r="H50" i="154"/>
  <c r="M50" i="154" s="1"/>
  <c r="D77" i="127"/>
  <c r="D36" i="127"/>
  <c r="F36" i="127" s="1"/>
  <c r="F47" i="128"/>
  <c r="G47" i="128" s="1"/>
  <c r="G42" i="127"/>
  <c r="H13" i="154"/>
  <c r="M13" i="154" s="1"/>
  <c r="E26" i="271"/>
  <c r="E17" i="271"/>
  <c r="AA14" i="101"/>
  <c r="AC14" i="101" s="1"/>
  <c r="H12" i="128"/>
  <c r="E43" i="127"/>
  <c r="E52" i="154"/>
  <c r="J52" i="154" s="1"/>
  <c r="E52" i="271"/>
  <c r="I51" i="154"/>
  <c r="N51" i="154" s="1"/>
  <c r="D47" i="127"/>
  <c r="F47" i="127" s="1"/>
  <c r="E71" i="128"/>
  <c r="D16" i="127"/>
  <c r="F16" i="127" s="1"/>
  <c r="I41" i="154"/>
  <c r="N41" i="154" s="1"/>
  <c r="F71" i="128"/>
  <c r="D58" i="127"/>
  <c r="H72" i="128"/>
  <c r="J72" i="128" s="1"/>
  <c r="E22" i="271"/>
  <c r="I12" i="154"/>
  <c r="N12" i="154" s="1"/>
  <c r="H15" i="154"/>
  <c r="M15" i="154" s="1"/>
  <c r="E28" i="128"/>
  <c r="C26" i="155" s="1"/>
  <c r="E29" i="271"/>
  <c r="E23" i="271"/>
  <c r="H10" i="271"/>
  <c r="D26" i="271"/>
  <c r="D18" i="271"/>
  <c r="D12" i="271"/>
  <c r="D24" i="271"/>
  <c r="D35" i="271"/>
  <c r="D37" i="271"/>
  <c r="C37" i="271" s="1"/>
  <c r="D53" i="271"/>
  <c r="C53" i="271" s="1"/>
  <c r="D19" i="271"/>
  <c r="D47" i="271"/>
  <c r="D45" i="271"/>
  <c r="I78" i="128"/>
  <c r="J78" i="128" s="1"/>
  <c r="D34" i="271"/>
  <c r="D20" i="271"/>
  <c r="E28" i="271"/>
  <c r="D36" i="271"/>
  <c r="C36" i="271" s="1"/>
  <c r="E24" i="271"/>
  <c r="G10" i="271"/>
  <c r="D27" i="271"/>
  <c r="D29" i="271"/>
  <c r="E18" i="271"/>
  <c r="D93" i="271"/>
  <c r="D39" i="271"/>
  <c r="C39" i="271" s="1"/>
  <c r="K10" i="271"/>
  <c r="D91" i="271"/>
  <c r="D28" i="271"/>
  <c r="D40" i="271"/>
  <c r="C40" i="271" s="1"/>
  <c r="D21" i="271"/>
  <c r="D51" i="271"/>
  <c r="I10" i="271"/>
  <c r="O46" i="271"/>
  <c r="E47" i="271"/>
  <c r="O91" i="271"/>
  <c r="E64" i="128"/>
  <c r="G64" i="128" s="1"/>
  <c r="D32" i="271"/>
  <c r="C32" i="271" s="1"/>
  <c r="D17" i="271"/>
  <c r="D15" i="271"/>
  <c r="D16" i="271"/>
  <c r="D43" i="271"/>
  <c r="C43" i="271" s="1"/>
  <c r="M10" i="271"/>
  <c r="D38" i="271"/>
  <c r="C38" i="271" s="1"/>
  <c r="D49" i="271"/>
  <c r="E46" i="271"/>
  <c r="D48" i="271"/>
  <c r="C48" i="271" s="1"/>
  <c r="D11" i="271"/>
  <c r="F10" i="271"/>
  <c r="E20" i="271"/>
  <c r="E19" i="271"/>
  <c r="D22" i="271"/>
  <c r="E27" i="271"/>
  <c r="E44" i="271"/>
  <c r="E11" i="271"/>
  <c r="L10" i="271"/>
  <c r="E91" i="271"/>
  <c r="E93" i="271"/>
  <c r="D14" i="271"/>
  <c r="D23" i="271"/>
  <c r="D41" i="271"/>
  <c r="C41" i="271" s="1"/>
  <c r="D30" i="271"/>
  <c r="E21" i="271"/>
  <c r="D52" i="271"/>
  <c r="E14" i="271"/>
  <c r="D44" i="271"/>
  <c r="J10" i="271"/>
  <c r="D50" i="271"/>
  <c r="C50" i="271" s="1"/>
  <c r="E35" i="271"/>
  <c r="D46" i="271"/>
  <c r="E12" i="271"/>
  <c r="C12" i="271" s="1"/>
  <c r="E51" i="271"/>
  <c r="P91" i="271"/>
  <c r="I26" i="128"/>
  <c r="O26" i="128" s="1"/>
  <c r="I32" i="128"/>
  <c r="O32" i="128" s="1"/>
  <c r="H18" i="127"/>
  <c r="I18" i="127" s="1"/>
  <c r="G47" i="154"/>
  <c r="E47" i="154" s="1"/>
  <c r="D55" i="127"/>
  <c r="F55" i="127" s="1"/>
  <c r="N51" i="116"/>
  <c r="E48" i="128"/>
  <c r="C46" i="155" s="1"/>
  <c r="J91" i="261"/>
  <c r="J91" i="268"/>
  <c r="K53" i="261"/>
  <c r="K53" i="268"/>
  <c r="H52" i="154"/>
  <c r="M52" i="154" s="1"/>
  <c r="AB88" i="261"/>
  <c r="Z89" i="261"/>
  <c r="M84" i="116"/>
  <c r="E70" i="127"/>
  <c r="F70" i="127" s="1"/>
  <c r="F70" i="128"/>
  <c r="H33" i="154"/>
  <c r="M33" i="154" s="1"/>
  <c r="L68" i="116"/>
  <c r="E26" i="127"/>
  <c r="N42" i="116"/>
  <c r="E15" i="128"/>
  <c r="C13" i="155" s="1"/>
  <c r="E67" i="128"/>
  <c r="G67" i="128" s="1"/>
  <c r="G54" i="128"/>
  <c r="E70" i="128"/>
  <c r="D50" i="127"/>
  <c r="F50" i="127" s="1"/>
  <c r="E63" i="127"/>
  <c r="F63" i="127" s="1"/>
  <c r="H31" i="154"/>
  <c r="M31" i="154" s="1"/>
  <c r="H92" i="154"/>
  <c r="M92" i="154" s="1"/>
  <c r="E89" i="127"/>
  <c r="F89" i="127" s="1"/>
  <c r="E14" i="128"/>
  <c r="C12" i="155" s="1"/>
  <c r="F80" i="128"/>
  <c r="E58" i="127"/>
  <c r="F57" i="128"/>
  <c r="G57" i="128" s="1"/>
  <c r="E37" i="128"/>
  <c r="D83" i="127"/>
  <c r="F11" i="128"/>
  <c r="G11" i="128" s="1"/>
  <c r="N28" i="116"/>
  <c r="N26" i="116"/>
  <c r="E36" i="128"/>
  <c r="E77" i="127"/>
  <c r="F77" i="127" s="1"/>
  <c r="E35" i="128"/>
  <c r="G35" i="128" s="1"/>
  <c r="M35" i="128" s="1"/>
  <c r="E69" i="128"/>
  <c r="G69" i="128" s="1"/>
  <c r="H42" i="154"/>
  <c r="M42" i="154" s="1"/>
  <c r="E67" i="127"/>
  <c r="F67" i="127" s="1"/>
  <c r="F90" i="128"/>
  <c r="G90" i="128" s="1"/>
  <c r="F44" i="128"/>
  <c r="D28" i="127"/>
  <c r="F28" i="127" s="1"/>
  <c r="E79" i="127"/>
  <c r="F79" i="127" s="1"/>
  <c r="D54" i="127"/>
  <c r="E54" i="127"/>
  <c r="N31" i="116"/>
  <c r="F74" i="128"/>
  <c r="E74" i="128"/>
  <c r="L66" i="116"/>
  <c r="D88" i="127"/>
  <c r="E83" i="128"/>
  <c r="D32" i="127"/>
  <c r="E62" i="128"/>
  <c r="G62" i="128" s="1"/>
  <c r="G73" i="128"/>
  <c r="D31" i="127"/>
  <c r="F31" i="127" s="1"/>
  <c r="D38" i="127"/>
  <c r="N25" i="116"/>
  <c r="H47" i="154"/>
  <c r="D45" i="127"/>
  <c r="F45" i="127" s="1"/>
  <c r="N14" i="116"/>
  <c r="N29" i="116"/>
  <c r="H29" i="116" s="1"/>
  <c r="E39" i="128"/>
  <c r="D43" i="127"/>
  <c r="E52" i="128"/>
  <c r="C50" i="155" s="1"/>
  <c r="D23" i="127"/>
  <c r="H22" i="154"/>
  <c r="M22" i="154" s="1"/>
  <c r="I10" i="101"/>
  <c r="H10" i="101"/>
  <c r="G10" i="101"/>
  <c r="J77" i="128"/>
  <c r="J87" i="128"/>
  <c r="J84" i="128"/>
  <c r="T44" i="261"/>
  <c r="X44" i="261" s="1"/>
  <c r="AA44" i="261" s="1"/>
  <c r="S44" i="261"/>
  <c r="W44" i="261" s="1"/>
  <c r="Z44" i="261" s="1"/>
  <c r="J58" i="128"/>
  <c r="T10" i="101"/>
  <c r="L10" i="101"/>
  <c r="S10" i="101"/>
  <c r="I24" i="127"/>
  <c r="S41" i="261"/>
  <c r="W41" i="261" s="1"/>
  <c r="F41" i="268" s="1"/>
  <c r="U83" i="261"/>
  <c r="Y83" i="261" s="1"/>
  <c r="G83" i="268" s="1"/>
  <c r="X9" i="261"/>
  <c r="U89" i="261"/>
  <c r="Y89" i="261" s="1"/>
  <c r="G89" i="268" s="1"/>
  <c r="T27" i="261"/>
  <c r="X27" i="261" s="1"/>
  <c r="AA27" i="261" s="1"/>
  <c r="U41" i="261"/>
  <c r="Y41" i="261" s="1"/>
  <c r="G41" i="268" s="1"/>
  <c r="S27" i="261"/>
  <c r="W27" i="261" s="1"/>
  <c r="Z27" i="261" s="1"/>
  <c r="R10" i="261"/>
  <c r="S10" i="261" s="1"/>
  <c r="W10" i="261" s="1"/>
  <c r="Z10" i="261" s="1"/>
  <c r="T89" i="261"/>
  <c r="X89" i="261" s="1"/>
  <c r="AA89" i="261" s="1"/>
  <c r="H14" i="127"/>
  <c r="E94" i="127"/>
  <c r="F94" i="127" s="1"/>
  <c r="E17" i="127"/>
  <c r="F17" i="127" s="1"/>
  <c r="E25" i="127"/>
  <c r="D10" i="101"/>
  <c r="E12" i="127" s="1"/>
  <c r="G39" i="127"/>
  <c r="I36" i="128"/>
  <c r="O36" i="128" s="1"/>
  <c r="W10" i="101"/>
  <c r="F81" i="127"/>
  <c r="V10" i="101"/>
  <c r="X10" i="101"/>
  <c r="T46" i="261"/>
  <c r="X46" i="261" s="1"/>
  <c r="AA46" i="261" s="1"/>
  <c r="R10" i="101"/>
  <c r="K10" i="101"/>
  <c r="C10" i="101"/>
  <c r="D12" i="127" s="1"/>
  <c r="U10" i="101"/>
  <c r="U46" i="261"/>
  <c r="Y46" i="261" s="1"/>
  <c r="AB46" i="261" s="1"/>
  <c r="G50" i="127"/>
  <c r="G86" i="128"/>
  <c r="H86" i="128"/>
  <c r="J86" i="128" s="1"/>
  <c r="H21" i="154"/>
  <c r="M21" i="154" s="1"/>
  <c r="G14" i="127"/>
  <c r="D13" i="127"/>
  <c r="F13" i="127" s="1"/>
  <c r="J71" i="128"/>
  <c r="H29" i="154"/>
  <c r="M29" i="154" s="1"/>
  <c r="H50" i="127"/>
  <c r="H20" i="154"/>
  <c r="M20" i="154" s="1"/>
  <c r="I46" i="154"/>
  <c r="N46" i="154" s="1"/>
  <c r="H63" i="128"/>
  <c r="E21" i="127"/>
  <c r="F21" i="127" s="1"/>
  <c r="E21" i="128"/>
  <c r="I14" i="128"/>
  <c r="O14" i="128" s="1"/>
  <c r="I63" i="128"/>
  <c r="H53" i="154"/>
  <c r="M53" i="154" s="1"/>
  <c r="I48" i="127"/>
  <c r="M10" i="101"/>
  <c r="Q10" i="101"/>
  <c r="E10" i="101"/>
  <c r="F10" i="101"/>
  <c r="J10" i="101"/>
  <c r="J80" i="128"/>
  <c r="N17" i="116"/>
  <c r="F14" i="128"/>
  <c r="L14" i="128" s="1"/>
  <c r="H20" i="127"/>
  <c r="I20" i="127" s="1"/>
  <c r="G80" i="127"/>
  <c r="I80" i="127" s="1"/>
  <c r="F12" i="128"/>
  <c r="H39" i="127"/>
  <c r="I47" i="128"/>
  <c r="H41" i="128"/>
  <c r="J41" i="128" s="1"/>
  <c r="P41" i="128" s="1"/>
  <c r="I49" i="127"/>
  <c r="I65" i="127"/>
  <c r="G60" i="127"/>
  <c r="I60" i="127" s="1"/>
  <c r="F24" i="127"/>
  <c r="I55" i="128"/>
  <c r="I79" i="127"/>
  <c r="H35" i="154"/>
  <c r="M35" i="154" s="1"/>
  <c r="L12" i="154"/>
  <c r="F40" i="128"/>
  <c r="H83" i="128"/>
  <c r="J83" i="128" s="1"/>
  <c r="H67" i="128"/>
  <c r="G81" i="128"/>
  <c r="N18" i="116"/>
  <c r="G47" i="127"/>
  <c r="I47" i="127" s="1"/>
  <c r="E83" i="127"/>
  <c r="E20" i="154"/>
  <c r="J20" i="154" s="1"/>
  <c r="E23" i="154"/>
  <c r="J23" i="154" s="1"/>
  <c r="L65" i="116"/>
  <c r="H48" i="128"/>
  <c r="J48" i="128" s="1"/>
  <c r="P48" i="128" s="1"/>
  <c r="F87" i="127"/>
  <c r="G52" i="127"/>
  <c r="I82" i="127"/>
  <c r="D20" i="127"/>
  <c r="F20" i="127" s="1"/>
  <c r="H43" i="127"/>
  <c r="I43" i="127" s="1"/>
  <c r="D59" i="127"/>
  <c r="F59" i="127" s="1"/>
  <c r="E82" i="128"/>
  <c r="F48" i="128"/>
  <c r="L48" i="128" s="1"/>
  <c r="N33" i="116"/>
  <c r="H28" i="128"/>
  <c r="G11" i="154"/>
  <c r="E11" i="154" s="1"/>
  <c r="H12" i="154"/>
  <c r="M12" i="154" s="1"/>
  <c r="E71" i="127"/>
  <c r="F71" i="127" s="1"/>
  <c r="E41" i="154"/>
  <c r="J41" i="154" s="1"/>
  <c r="F76" i="128"/>
  <c r="G76" i="128" s="1"/>
  <c r="H44" i="128"/>
  <c r="N44" i="128" s="1"/>
  <c r="J88" i="128"/>
  <c r="E19" i="128"/>
  <c r="I21" i="154"/>
  <c r="N21" i="154" s="1"/>
  <c r="H37" i="128"/>
  <c r="J37" i="128" s="1"/>
  <c r="P37" i="128" s="1"/>
  <c r="H45" i="127"/>
  <c r="E77" i="128"/>
  <c r="G77" i="128" s="1"/>
  <c r="H47" i="128"/>
  <c r="N47" i="128" s="1"/>
  <c r="N40" i="116"/>
  <c r="J91" i="17"/>
  <c r="D53" i="127"/>
  <c r="G56" i="127"/>
  <c r="E38" i="127"/>
  <c r="I42" i="154"/>
  <c r="N42" i="154" s="1"/>
  <c r="G68" i="127"/>
  <c r="I68" i="127" s="1"/>
  <c r="P10" i="101"/>
  <c r="G87" i="128"/>
  <c r="F57" i="127"/>
  <c r="F46" i="127"/>
  <c r="F56" i="127"/>
  <c r="F72" i="127"/>
  <c r="H19" i="154"/>
  <c r="M19" i="154" s="1"/>
  <c r="H54" i="154"/>
  <c r="M54" i="154" s="1"/>
  <c r="G65" i="128"/>
  <c r="I70" i="127"/>
  <c r="D39" i="127"/>
  <c r="F39" i="127" s="1"/>
  <c r="F50" i="128"/>
  <c r="L50" i="128" s="1"/>
  <c r="F95" i="127"/>
  <c r="I16" i="127"/>
  <c r="N10" i="101"/>
  <c r="I11" i="154" s="1"/>
  <c r="F85" i="127"/>
  <c r="N52" i="116"/>
  <c r="F52" i="257" s="1"/>
  <c r="H52" i="127"/>
  <c r="K85" i="116"/>
  <c r="M85" i="116" s="1"/>
  <c r="D41" i="127"/>
  <c r="F41" i="127" s="1"/>
  <c r="AA13" i="101"/>
  <c r="AC13" i="101" s="1"/>
  <c r="K70" i="116"/>
  <c r="L70" i="116" s="1"/>
  <c r="N50" i="116"/>
  <c r="O50" i="116" s="1"/>
  <c r="J89" i="128"/>
  <c r="I88" i="127"/>
  <c r="N19" i="116"/>
  <c r="E53" i="128"/>
  <c r="G53" i="128" s="1"/>
  <c r="M53" i="128" s="1"/>
  <c r="I17" i="128"/>
  <c r="O17" i="128" s="1"/>
  <c r="O10" i="101"/>
  <c r="H12" i="127" s="1"/>
  <c r="I73" i="127"/>
  <c r="J85" i="116"/>
  <c r="H40" i="154"/>
  <c r="M40" i="154" s="1"/>
  <c r="H38" i="154"/>
  <c r="M38" i="154" s="1"/>
  <c r="H23" i="127"/>
  <c r="I23" i="127" s="1"/>
  <c r="I45" i="154"/>
  <c r="N45" i="154" s="1"/>
  <c r="I38" i="127"/>
  <c r="E51" i="128"/>
  <c r="K51" i="128" s="1"/>
  <c r="F88" i="127"/>
  <c r="G55" i="128"/>
  <c r="I81" i="127"/>
  <c r="J79" i="257"/>
  <c r="K79" i="257" s="1"/>
  <c r="F84" i="127"/>
  <c r="J85" i="128"/>
  <c r="G80" i="128"/>
  <c r="F73" i="127"/>
  <c r="F64" i="127"/>
  <c r="I69" i="127"/>
  <c r="I25" i="127"/>
  <c r="J81" i="116"/>
  <c r="J79" i="116"/>
  <c r="F53" i="257"/>
  <c r="F76" i="127"/>
  <c r="K88" i="116"/>
  <c r="M88" i="116" s="1"/>
  <c r="I28" i="127"/>
  <c r="H53" i="116"/>
  <c r="F78" i="127"/>
  <c r="J88" i="116"/>
  <c r="L60" i="116"/>
  <c r="M60" i="116"/>
  <c r="M73" i="116"/>
  <c r="L73" i="116"/>
  <c r="L38" i="128"/>
  <c r="C20" i="155"/>
  <c r="J18" i="128"/>
  <c r="P18" i="128" s="1"/>
  <c r="N18" i="128"/>
  <c r="L16" i="128"/>
  <c r="F65" i="127"/>
  <c r="H22" i="116"/>
  <c r="F22" i="257"/>
  <c r="O22" i="116"/>
  <c r="N32" i="128"/>
  <c r="J52" i="128"/>
  <c r="P52" i="128" s="1"/>
  <c r="N52" i="128"/>
  <c r="J59" i="128"/>
  <c r="I37" i="127"/>
  <c r="F22" i="127"/>
  <c r="L45" i="128"/>
  <c r="K34" i="128"/>
  <c r="G34" i="128"/>
  <c r="M34" i="128" s="1"/>
  <c r="C32" i="155"/>
  <c r="N22" i="128"/>
  <c r="C28" i="155"/>
  <c r="G30" i="128"/>
  <c r="M30" i="128" s="1"/>
  <c r="K30" i="128"/>
  <c r="I75" i="127"/>
  <c r="C89" i="155"/>
  <c r="K91" i="128"/>
  <c r="G91" i="128"/>
  <c r="M91" i="128" s="1"/>
  <c r="H13" i="116"/>
  <c r="O13" i="116"/>
  <c r="F13" i="257"/>
  <c r="L41" i="128"/>
  <c r="I42" i="127"/>
  <c r="L27" i="128"/>
  <c r="C85" i="116"/>
  <c r="B85" i="257" s="1"/>
  <c r="J85" i="257"/>
  <c r="K85" i="257" s="1"/>
  <c r="K81" i="116"/>
  <c r="B59" i="116"/>
  <c r="K59" i="116"/>
  <c r="L17" i="128"/>
  <c r="J19" i="128"/>
  <c r="P19" i="128" s="1"/>
  <c r="N19" i="128"/>
  <c r="G36" i="128"/>
  <c r="M36" i="128" s="1"/>
  <c r="F74" i="127"/>
  <c r="J90" i="128"/>
  <c r="J45" i="128"/>
  <c r="N45" i="128"/>
  <c r="K12" i="128"/>
  <c r="C10" i="155"/>
  <c r="G56" i="128"/>
  <c r="J61" i="128"/>
  <c r="J70" i="116"/>
  <c r="L36" i="128"/>
  <c r="I76" i="127"/>
  <c r="I31" i="127"/>
  <c r="O31" i="116"/>
  <c r="P31" i="116" s="1"/>
  <c r="C31" i="257" s="1"/>
  <c r="H31" i="116"/>
  <c r="J24" i="128"/>
  <c r="P24" i="128" s="1"/>
  <c r="N24" i="128"/>
  <c r="I84" i="127"/>
  <c r="J62" i="128"/>
  <c r="J39" i="128"/>
  <c r="P39" i="128" s="1"/>
  <c r="N39" i="128"/>
  <c r="I93" i="127"/>
  <c r="J16" i="128"/>
  <c r="P16" i="128" s="1"/>
  <c r="N16" i="128"/>
  <c r="J71" i="116"/>
  <c r="G89" i="257"/>
  <c r="E89" i="257" s="1"/>
  <c r="D89" i="257" s="1"/>
  <c r="G89" i="116"/>
  <c r="F89" i="116" s="1"/>
  <c r="B75" i="116"/>
  <c r="K75" i="116"/>
  <c r="B64" i="116"/>
  <c r="K64" i="116"/>
  <c r="O45" i="128"/>
  <c r="O23" i="116"/>
  <c r="F23" i="257"/>
  <c r="H23" i="116"/>
  <c r="L21" i="128"/>
  <c r="J50" i="128"/>
  <c r="P50" i="128" s="1"/>
  <c r="N50" i="128"/>
  <c r="G45" i="128"/>
  <c r="C43" i="155"/>
  <c r="K45" i="128"/>
  <c r="P83" i="116"/>
  <c r="C83" i="257" s="1"/>
  <c r="G83" i="257"/>
  <c r="E83" i="257" s="1"/>
  <c r="D83" i="257" s="1"/>
  <c r="G83" i="116"/>
  <c r="F83" i="116" s="1"/>
  <c r="O53" i="116"/>
  <c r="O11" i="128"/>
  <c r="N12" i="128"/>
  <c r="O10" i="116"/>
  <c r="F10" i="257"/>
  <c r="H10" i="116"/>
  <c r="I71" i="127"/>
  <c r="I57" i="127"/>
  <c r="L39" i="128"/>
  <c r="J82" i="116"/>
  <c r="J92" i="154"/>
  <c r="G49" i="128"/>
  <c r="M49" i="128" s="1"/>
  <c r="K49" i="128"/>
  <c r="C47" i="155"/>
  <c r="F39" i="257"/>
  <c r="H39" i="116"/>
  <c r="O39" i="116"/>
  <c r="P39" i="116" s="1"/>
  <c r="C39" i="257" s="1"/>
  <c r="N34" i="128"/>
  <c r="N26" i="128"/>
  <c r="J81" i="128"/>
  <c r="C27" i="155"/>
  <c r="C25" i="155"/>
  <c r="F34" i="257"/>
  <c r="O34" i="116"/>
  <c r="H34" i="116"/>
  <c r="G61" i="128"/>
  <c r="I92" i="127"/>
  <c r="J65" i="128"/>
  <c r="C39" i="155"/>
  <c r="G41" i="128"/>
  <c r="M41" i="128" s="1"/>
  <c r="K41" i="128"/>
  <c r="B69" i="116"/>
  <c r="K69" i="116"/>
  <c r="J91" i="19"/>
  <c r="K53" i="17"/>
  <c r="G72" i="116"/>
  <c r="F72" i="116" s="1"/>
  <c r="G72" i="257"/>
  <c r="B63" i="116"/>
  <c r="J63" i="116"/>
  <c r="N41" i="128"/>
  <c r="G38" i="128"/>
  <c r="M38" i="128" s="1"/>
  <c r="C36" i="155"/>
  <c r="K38" i="128"/>
  <c r="J51" i="128"/>
  <c r="P51" i="128" s="1"/>
  <c r="N51" i="128"/>
  <c r="F49" i="127"/>
  <c r="I41" i="127"/>
  <c r="C41" i="155"/>
  <c r="C22" i="155"/>
  <c r="K24" i="128"/>
  <c r="G24" i="128"/>
  <c r="M24" i="128" s="1"/>
  <c r="L18" i="128"/>
  <c r="B60" i="116"/>
  <c r="J60" i="116"/>
  <c r="B56" i="116"/>
  <c r="K56" i="116"/>
  <c r="J56" i="128"/>
  <c r="K11" i="128"/>
  <c r="C9" i="155"/>
  <c r="N38" i="128"/>
  <c r="G68" i="128"/>
  <c r="F80" i="127"/>
  <c r="F15" i="257"/>
  <c r="O15" i="116"/>
  <c r="H15" i="116"/>
  <c r="I78" i="127"/>
  <c r="C81" i="116"/>
  <c r="B81" i="257" s="1"/>
  <c r="J81" i="257"/>
  <c r="K81" i="257" s="1"/>
  <c r="C82" i="116"/>
  <c r="B82" i="257" s="1"/>
  <c r="J82" i="257"/>
  <c r="K82" i="257" s="1"/>
  <c r="L23" i="128"/>
  <c r="K40" i="128"/>
  <c r="C38" i="155"/>
  <c r="I55" i="127"/>
  <c r="J23" i="128"/>
  <c r="P23" i="128" s="1"/>
  <c r="N23" i="128"/>
  <c r="B74" i="116"/>
  <c r="K74" i="116"/>
  <c r="J69" i="116"/>
  <c r="B86" i="116"/>
  <c r="K86" i="116"/>
  <c r="K63" i="116"/>
  <c r="L19" i="128"/>
  <c r="F20" i="257"/>
  <c r="H20" i="116"/>
  <c r="O20" i="116"/>
  <c r="P20" i="116" s="1"/>
  <c r="C20" i="257" s="1"/>
  <c r="J54" i="128"/>
  <c r="G60" i="128"/>
  <c r="D55" i="116"/>
  <c r="B55" i="116" s="1"/>
  <c r="C55" i="116" s="1"/>
  <c r="B55" i="257" s="1"/>
  <c r="J71" i="257"/>
  <c r="K71" i="257" s="1"/>
  <c r="C71" i="116"/>
  <c r="B71" i="257" s="1"/>
  <c r="E54" i="257"/>
  <c r="D54" i="257" s="1"/>
  <c r="L30" i="128"/>
  <c r="O21" i="116"/>
  <c r="P21" i="116" s="1"/>
  <c r="C21" i="257" s="1"/>
  <c r="H21" i="116"/>
  <c r="F21" i="257"/>
  <c r="N35" i="128"/>
  <c r="D67" i="116"/>
  <c r="B67" i="116" s="1"/>
  <c r="D77" i="116"/>
  <c r="B77" i="116" s="1"/>
  <c r="C77" i="116" s="1"/>
  <c r="B77" i="257" s="1"/>
  <c r="F54" i="116"/>
  <c r="K20" i="128"/>
  <c r="C18" i="155"/>
  <c r="C16" i="155"/>
  <c r="G18" i="128"/>
  <c r="M18" i="128" s="1"/>
  <c r="K18" i="128"/>
  <c r="J21" i="128"/>
  <c r="P21" i="128" s="1"/>
  <c r="N21" i="128"/>
  <c r="I58" i="127"/>
  <c r="O12" i="128"/>
  <c r="O91" i="128"/>
  <c r="N40" i="128"/>
  <c r="I40" i="127"/>
  <c r="G78" i="128"/>
  <c r="K16" i="128"/>
  <c r="J76" i="128"/>
  <c r="G58" i="128"/>
  <c r="K79" i="116"/>
  <c r="K82" i="116"/>
  <c r="O38" i="116"/>
  <c r="H38" i="116"/>
  <c r="F38" i="257"/>
  <c r="O36" i="116"/>
  <c r="H36" i="116"/>
  <c r="F36" i="257"/>
  <c r="H27" i="116"/>
  <c r="F27" i="257"/>
  <c r="O27" i="116"/>
  <c r="I46" i="127"/>
  <c r="I36" i="127"/>
  <c r="F35" i="257"/>
  <c r="H35" i="116"/>
  <c r="O35" i="116"/>
  <c r="N20" i="128"/>
  <c r="J20" i="128"/>
  <c r="P20" i="128" s="1"/>
  <c r="G75" i="128"/>
  <c r="C70" i="116"/>
  <c r="B70" i="257" s="1"/>
  <c r="J70" i="257"/>
  <c r="K70" i="257" s="1"/>
  <c r="D62" i="116"/>
  <c r="B62" i="116" s="1"/>
  <c r="C62" i="116" s="1"/>
  <c r="B62" i="257" s="1"/>
  <c r="J86" i="116"/>
  <c r="D58" i="116"/>
  <c r="B58" i="116" s="1"/>
  <c r="C58" i="116" s="1"/>
  <c r="B58" i="257" s="1"/>
  <c r="G17" i="128"/>
  <c r="M17" i="128" s="1"/>
  <c r="K17" i="128"/>
  <c r="C15" i="155"/>
  <c r="C24" i="155"/>
  <c r="K26" i="128"/>
  <c r="N15" i="128"/>
  <c r="J74" i="128"/>
  <c r="F34" i="127"/>
  <c r="J82" i="128"/>
  <c r="C45" i="155"/>
  <c r="K47" i="128"/>
  <c r="N30" i="128"/>
  <c r="F92" i="127"/>
  <c r="J88" i="257"/>
  <c r="K88" i="257" s="1"/>
  <c r="C88" i="116"/>
  <c r="B88" i="257" s="1"/>
  <c r="K71" i="116"/>
  <c r="B73" i="116"/>
  <c r="J73" i="116"/>
  <c r="L47" i="154" l="1"/>
  <c r="J34" i="128"/>
  <c r="P34" i="128" s="1"/>
  <c r="J38" i="128"/>
  <c r="P38" i="128" s="1"/>
  <c r="G27" i="128"/>
  <c r="M27" i="128" s="1"/>
  <c r="J47" i="154"/>
  <c r="G32" i="128"/>
  <c r="M32" i="128" s="1"/>
  <c r="I51" i="127"/>
  <c r="K27" i="128"/>
  <c r="H49" i="116"/>
  <c r="G63" i="128"/>
  <c r="J40" i="128"/>
  <c r="P40" i="128" s="1"/>
  <c r="G43" i="128"/>
  <c r="M43" i="128" s="1"/>
  <c r="C45" i="271"/>
  <c r="AA14" i="271" s="1"/>
  <c r="AC14" i="271" s="1"/>
  <c r="F46" i="257"/>
  <c r="K50" i="128"/>
  <c r="O46" i="116"/>
  <c r="P46" i="116" s="1"/>
  <c r="J15" i="128"/>
  <c r="P15" i="128" s="1"/>
  <c r="J29" i="128"/>
  <c r="P29" i="128" s="1"/>
  <c r="K32" i="128"/>
  <c r="I90" i="127"/>
  <c r="F25" i="127"/>
  <c r="F26" i="127"/>
  <c r="L47" i="128"/>
  <c r="I45" i="127"/>
  <c r="C14" i="155"/>
  <c r="C30" i="155"/>
  <c r="N27" i="128"/>
  <c r="J55" i="128"/>
  <c r="G16" i="128"/>
  <c r="M16" i="128" s="1"/>
  <c r="C42" i="155"/>
  <c r="F26" i="257"/>
  <c r="K44" i="128"/>
  <c r="J67" i="128"/>
  <c r="F89" i="155"/>
  <c r="H14" i="116"/>
  <c r="H16" i="116"/>
  <c r="J12" i="128"/>
  <c r="P12" i="128" s="1"/>
  <c r="F19" i="257"/>
  <c r="O25" i="116"/>
  <c r="P25" i="116" s="1"/>
  <c r="C25" i="257" s="1"/>
  <c r="O42" i="116"/>
  <c r="F31" i="257"/>
  <c r="O29" i="116"/>
  <c r="H37" i="116"/>
  <c r="O90" i="116"/>
  <c r="L12" i="128"/>
  <c r="K21" i="128"/>
  <c r="G83" i="128"/>
  <c r="K22" i="128"/>
  <c r="F20" i="155" s="1"/>
  <c r="I29" i="127"/>
  <c r="F16" i="257"/>
  <c r="G29" i="128"/>
  <c r="M29" i="128" s="1"/>
  <c r="G23" i="128"/>
  <c r="M23" i="128" s="1"/>
  <c r="F49" i="257"/>
  <c r="F23" i="127"/>
  <c r="L44" i="128"/>
  <c r="C15" i="271"/>
  <c r="C34" i="271"/>
  <c r="F40" i="127"/>
  <c r="J49" i="128"/>
  <c r="P49" i="128" s="1"/>
  <c r="L37" i="128"/>
  <c r="F48" i="257"/>
  <c r="I61" i="127"/>
  <c r="L11" i="154"/>
  <c r="L93" i="154" s="1"/>
  <c r="G39" i="128"/>
  <c r="M39" i="128" s="1"/>
  <c r="F75" i="127"/>
  <c r="O16" i="116"/>
  <c r="K23" i="128"/>
  <c r="F21" i="155" s="1"/>
  <c r="C21" i="155"/>
  <c r="L40" i="128"/>
  <c r="F43" i="127"/>
  <c r="C30" i="271"/>
  <c r="K36" i="128"/>
  <c r="H48" i="116"/>
  <c r="C34" i="155"/>
  <c r="G37" i="128"/>
  <c r="M37" i="128" s="1"/>
  <c r="C23" i="271"/>
  <c r="L20" i="128"/>
  <c r="C37" i="155"/>
  <c r="K39" i="128"/>
  <c r="F37" i="155" s="1"/>
  <c r="N47" i="154"/>
  <c r="N11" i="128"/>
  <c r="N37" i="128"/>
  <c r="E10" i="271"/>
  <c r="G74" i="128"/>
  <c r="F58" i="127"/>
  <c r="I53" i="127"/>
  <c r="G71" i="128"/>
  <c r="I83" i="127"/>
  <c r="C22" i="271"/>
  <c r="G22" i="128"/>
  <c r="M22" i="128" s="1"/>
  <c r="J14" i="128"/>
  <c r="P14" i="128" s="1"/>
  <c r="N14" i="128"/>
  <c r="F44" i="257"/>
  <c r="O44" i="116"/>
  <c r="P44" i="116" s="1"/>
  <c r="C44" i="257" s="1"/>
  <c r="H44" i="116"/>
  <c r="F11" i="257"/>
  <c r="O11" i="116"/>
  <c r="P11" i="116" s="1"/>
  <c r="C11" i="257" s="1"/>
  <c r="H11" i="116"/>
  <c r="O51" i="116"/>
  <c r="P51" i="116" s="1"/>
  <c r="C51" i="257" s="1"/>
  <c r="H51" i="116"/>
  <c r="F51" i="257"/>
  <c r="O17" i="116"/>
  <c r="P17" i="116" s="1"/>
  <c r="C17" i="257" s="1"/>
  <c r="F17" i="257"/>
  <c r="O47" i="128"/>
  <c r="I46" i="128"/>
  <c r="N28" i="128"/>
  <c r="J28" i="128"/>
  <c r="P28" i="128" s="1"/>
  <c r="H18" i="116"/>
  <c r="F18" i="257"/>
  <c r="C49" i="271"/>
  <c r="C26" i="271"/>
  <c r="G72" i="128"/>
  <c r="G21" i="128"/>
  <c r="M21" i="128" s="1"/>
  <c r="N48" i="128"/>
  <c r="H42" i="116"/>
  <c r="F32" i="127"/>
  <c r="C19" i="155"/>
  <c r="O37" i="116"/>
  <c r="P37" i="116" s="1"/>
  <c r="C37" i="257" s="1"/>
  <c r="L11" i="128"/>
  <c r="F90" i="257"/>
  <c r="O47" i="116"/>
  <c r="P47" i="116" s="1"/>
  <c r="C47" i="257" s="1"/>
  <c r="F37" i="257"/>
  <c r="I56" i="127"/>
  <c r="F83" i="127"/>
  <c r="G26" i="128"/>
  <c r="M26" i="128" s="1"/>
  <c r="J22" i="128"/>
  <c r="P22" i="128" s="1"/>
  <c r="E93" i="154"/>
  <c r="C51" i="271"/>
  <c r="C16" i="271"/>
  <c r="F51" i="127"/>
  <c r="L22" i="128"/>
  <c r="C35" i="155"/>
  <c r="G82" i="128"/>
  <c r="K37" i="128"/>
  <c r="J91" i="128"/>
  <c r="P91" i="128" s="1"/>
  <c r="N53" i="128"/>
  <c r="C17" i="271"/>
  <c r="F29" i="257"/>
  <c r="I89" i="127"/>
  <c r="H47" i="116"/>
  <c r="C19" i="271"/>
  <c r="O26" i="116"/>
  <c r="G26" i="257" s="1"/>
  <c r="H26" i="116"/>
  <c r="H17" i="116"/>
  <c r="C20" i="271"/>
  <c r="J43" i="128"/>
  <c r="P43" i="128" s="1"/>
  <c r="K28" i="128"/>
  <c r="G12" i="128"/>
  <c r="O28" i="116"/>
  <c r="P28" i="116" s="1"/>
  <c r="C28" i="257" s="1"/>
  <c r="K14" i="128"/>
  <c r="G28" i="128"/>
  <c r="M28" i="128" s="1"/>
  <c r="G44" i="128"/>
  <c r="M44" i="128" s="1"/>
  <c r="F53" i="127"/>
  <c r="C35" i="271"/>
  <c r="F43" i="257"/>
  <c r="H25" i="116"/>
  <c r="H43" i="116"/>
  <c r="O18" i="116"/>
  <c r="G18" i="257" s="1"/>
  <c r="C27" i="271"/>
  <c r="H40" i="116"/>
  <c r="H33" i="116"/>
  <c r="O43" i="116"/>
  <c r="P43" i="116" s="1"/>
  <c r="C43" i="257" s="1"/>
  <c r="F25" i="257"/>
  <c r="C11" i="126"/>
  <c r="I93" i="154"/>
  <c r="C47" i="271"/>
  <c r="J32" i="128"/>
  <c r="P32" i="128" s="1"/>
  <c r="U10" i="261"/>
  <c r="Y10" i="261" s="1"/>
  <c r="AB10" i="261" s="1"/>
  <c r="J36" i="128"/>
  <c r="P36" i="128" s="1"/>
  <c r="M70" i="116"/>
  <c r="N91" i="271"/>
  <c r="C52" i="271"/>
  <c r="C91" i="271"/>
  <c r="C29" i="271"/>
  <c r="C18" i="271"/>
  <c r="H11" i="154"/>
  <c r="H93" i="154" s="1"/>
  <c r="C14" i="271"/>
  <c r="K48" i="128"/>
  <c r="F12" i="127"/>
  <c r="K52" i="128"/>
  <c r="J63" i="128"/>
  <c r="C44" i="271"/>
  <c r="D10" i="271"/>
  <c r="C21" i="271"/>
  <c r="C28" i="271"/>
  <c r="J26" i="128"/>
  <c r="P26" i="128" s="1"/>
  <c r="C11" i="271"/>
  <c r="C24" i="271"/>
  <c r="G70" i="128"/>
  <c r="P53" i="116"/>
  <c r="C53" i="257" s="1"/>
  <c r="F28" i="257"/>
  <c r="G9" i="268"/>
  <c r="K15" i="128"/>
  <c r="F13" i="155" s="1"/>
  <c r="K35" i="128"/>
  <c r="O14" i="116"/>
  <c r="P14" i="116" s="1"/>
  <c r="C14" i="257" s="1"/>
  <c r="G14" i="128"/>
  <c r="M14" i="128" s="1"/>
  <c r="H28" i="116"/>
  <c r="F9" i="268"/>
  <c r="G15" i="128"/>
  <c r="M15" i="128" s="1"/>
  <c r="C33" i="155"/>
  <c r="L88" i="116"/>
  <c r="G52" i="128"/>
  <c r="M52" i="128" s="1"/>
  <c r="F14" i="257"/>
  <c r="F42" i="257"/>
  <c r="J44" i="128"/>
  <c r="P44" i="128" s="1"/>
  <c r="F40" i="257"/>
  <c r="O33" i="116"/>
  <c r="G33" i="257" s="1"/>
  <c r="H19" i="116"/>
  <c r="K91" i="261"/>
  <c r="K91" i="268"/>
  <c r="Y9" i="261"/>
  <c r="Z41" i="261"/>
  <c r="Z9" i="261" s="1"/>
  <c r="AB89" i="261"/>
  <c r="AB83" i="261"/>
  <c r="Z83" i="261"/>
  <c r="F38" i="127"/>
  <c r="O19" i="116"/>
  <c r="P19" i="116" s="1"/>
  <c r="C19" i="257" s="1"/>
  <c r="G53" i="257"/>
  <c r="E53" i="257" s="1"/>
  <c r="D53" i="257" s="1"/>
  <c r="I53" i="257" s="1"/>
  <c r="I50" i="127"/>
  <c r="F54" i="127"/>
  <c r="F10" i="128"/>
  <c r="J47" i="128"/>
  <c r="J46" i="128" s="1"/>
  <c r="I14" i="127"/>
  <c r="I39" i="127"/>
  <c r="C17" i="155"/>
  <c r="G40" i="128"/>
  <c r="M40" i="128" s="1"/>
  <c r="J17" i="128"/>
  <c r="P17" i="128" s="1"/>
  <c r="O40" i="116"/>
  <c r="P40" i="116" s="1"/>
  <c r="C40" i="257" s="1"/>
  <c r="N11" i="154"/>
  <c r="I52" i="127"/>
  <c r="J11" i="154"/>
  <c r="J93" i="154" s="1"/>
  <c r="W9" i="261"/>
  <c r="AB41" i="261"/>
  <c r="AB9" i="261" s="1"/>
  <c r="T10" i="261"/>
  <c r="X10" i="261" s="1"/>
  <c r="AA10" i="261" s="1"/>
  <c r="M11" i="154"/>
  <c r="L85" i="116"/>
  <c r="G53" i="116"/>
  <c r="C51" i="155"/>
  <c r="G12" i="127"/>
  <c r="I12" i="127" s="1"/>
  <c r="F50" i="257"/>
  <c r="M47" i="154"/>
  <c r="F33" i="257"/>
  <c r="G19" i="128"/>
  <c r="M19" i="128" s="1"/>
  <c r="F46" i="128"/>
  <c r="N9" i="116"/>
  <c r="H52" i="116"/>
  <c r="K19" i="128"/>
  <c r="G50" i="128"/>
  <c r="M50" i="128" s="1"/>
  <c r="O52" i="116"/>
  <c r="G52" i="116" s="1"/>
  <c r="J62" i="116"/>
  <c r="G93" i="154"/>
  <c r="G48" i="128"/>
  <c r="M48" i="128" s="1"/>
  <c r="K53" i="128"/>
  <c r="C49" i="155"/>
  <c r="H50" i="116"/>
  <c r="J55" i="257"/>
  <c r="K55" i="257" s="1"/>
  <c r="N45" i="116"/>
  <c r="G51" i="128"/>
  <c r="M51" i="128" s="1"/>
  <c r="I10" i="128"/>
  <c r="E72" i="257"/>
  <c r="D72" i="257" s="1"/>
  <c r="K58" i="116"/>
  <c r="M58" i="116" s="1"/>
  <c r="G36" i="257"/>
  <c r="E36" i="257" s="1"/>
  <c r="D36" i="257" s="1"/>
  <c r="G36" i="116"/>
  <c r="F36" i="116" s="1"/>
  <c r="G38" i="257"/>
  <c r="E38" i="257" s="1"/>
  <c r="D38" i="257" s="1"/>
  <c r="G38" i="116"/>
  <c r="F38" i="116" s="1"/>
  <c r="P38" i="116"/>
  <c r="C38" i="257" s="1"/>
  <c r="F14" i="155"/>
  <c r="P90" i="116"/>
  <c r="C90" i="257" s="1"/>
  <c r="G90" i="257"/>
  <c r="G90" i="116"/>
  <c r="K77" i="116"/>
  <c r="K67" i="116"/>
  <c r="K55" i="116"/>
  <c r="G46" i="116"/>
  <c r="G25" i="257"/>
  <c r="L56" i="116"/>
  <c r="M56" i="116"/>
  <c r="C63" i="116"/>
  <c r="B63" i="257" s="1"/>
  <c r="J63" i="257"/>
  <c r="K63" i="257" s="1"/>
  <c r="L69" i="116"/>
  <c r="M69" i="116"/>
  <c r="F47" i="155"/>
  <c r="G47" i="116"/>
  <c r="F47" i="116" s="1"/>
  <c r="D47" i="116" s="1"/>
  <c r="B47" i="116" s="1"/>
  <c r="C47" i="116" s="1"/>
  <c r="M45" i="128"/>
  <c r="C75" i="116"/>
  <c r="B75" i="257" s="1"/>
  <c r="J75" i="257"/>
  <c r="K75" i="257" s="1"/>
  <c r="G37" i="116"/>
  <c r="J62" i="257"/>
  <c r="K62" i="257" s="1"/>
  <c r="J59" i="257"/>
  <c r="K59" i="257" s="1"/>
  <c r="C59" i="116"/>
  <c r="B59" i="257" s="1"/>
  <c r="G22" i="257"/>
  <c r="E22" i="257" s="1"/>
  <c r="D22" i="257" s="1"/>
  <c r="P22" i="116"/>
  <c r="C22" i="257" s="1"/>
  <c r="G22" i="116"/>
  <c r="F22" i="116" s="1"/>
  <c r="C73" i="116"/>
  <c r="B73" i="257" s="1"/>
  <c r="J73" i="257"/>
  <c r="K73" i="257" s="1"/>
  <c r="M47" i="128"/>
  <c r="F24" i="155"/>
  <c r="F15" i="155"/>
  <c r="F19" i="155"/>
  <c r="P27" i="116"/>
  <c r="C27" i="257" s="1"/>
  <c r="G27" i="257"/>
  <c r="E27" i="257" s="1"/>
  <c r="D27" i="257" s="1"/>
  <c r="G27" i="116"/>
  <c r="F27" i="116" s="1"/>
  <c r="J77" i="116"/>
  <c r="C67" i="116"/>
  <c r="B67" i="257" s="1"/>
  <c r="J67" i="257"/>
  <c r="K67" i="257" s="1"/>
  <c r="G43" i="116"/>
  <c r="G43" i="257"/>
  <c r="E43" i="257" s="1"/>
  <c r="D43" i="257" s="1"/>
  <c r="P11" i="128"/>
  <c r="G21" i="257"/>
  <c r="E21" i="257" s="1"/>
  <c r="D21" i="257" s="1"/>
  <c r="G21" i="116"/>
  <c r="F21" i="116" s="1"/>
  <c r="D21" i="116" s="1"/>
  <c r="B21" i="116" s="1"/>
  <c r="C21" i="116" s="1"/>
  <c r="J55" i="116"/>
  <c r="L63" i="116"/>
  <c r="M63" i="116"/>
  <c r="M74" i="116"/>
  <c r="L74" i="116"/>
  <c r="J58" i="257"/>
  <c r="K58" i="257" s="1"/>
  <c r="G15" i="257"/>
  <c r="E15" i="257" s="1"/>
  <c r="D15" i="257" s="1"/>
  <c r="G15" i="116"/>
  <c r="F15" i="116" s="1"/>
  <c r="D15" i="116" s="1"/>
  <c r="B15" i="116" s="1"/>
  <c r="C15" i="116" s="1"/>
  <c r="P15" i="116"/>
  <c r="C15" i="257" s="1"/>
  <c r="G17" i="257"/>
  <c r="G19" i="257"/>
  <c r="E19" i="257" s="1"/>
  <c r="D19" i="257" s="1"/>
  <c r="C56" i="116"/>
  <c r="B56" i="257" s="1"/>
  <c r="J56" i="257"/>
  <c r="K56" i="257" s="1"/>
  <c r="F41" i="155"/>
  <c r="K91" i="17"/>
  <c r="J98" i="19"/>
  <c r="C69" i="116"/>
  <c r="B69" i="257" s="1"/>
  <c r="J69" i="257"/>
  <c r="K69" i="257" s="1"/>
  <c r="F12" i="155"/>
  <c r="P10" i="116"/>
  <c r="G10" i="257"/>
  <c r="G10" i="116"/>
  <c r="P23" i="116"/>
  <c r="C23" i="257" s="1"/>
  <c r="G23" i="257"/>
  <c r="E23" i="257" s="1"/>
  <c r="D23" i="257" s="1"/>
  <c r="G23" i="116"/>
  <c r="F23" i="116" s="1"/>
  <c r="D23" i="116" s="1"/>
  <c r="B23" i="116" s="1"/>
  <c r="C23" i="116" s="1"/>
  <c r="M64" i="116"/>
  <c r="L64" i="116"/>
  <c r="D89" i="116"/>
  <c r="B89" i="116" s="1"/>
  <c r="F10" i="155"/>
  <c r="P45" i="128"/>
  <c r="G49" i="257"/>
  <c r="G49" i="116"/>
  <c r="F49" i="116" s="1"/>
  <c r="D49" i="116" s="1"/>
  <c r="B49" i="116" s="1"/>
  <c r="C49" i="116" s="1"/>
  <c r="P48" i="116"/>
  <c r="C48" i="257" s="1"/>
  <c r="G48" i="257"/>
  <c r="E48" i="257" s="1"/>
  <c r="D48" i="257" s="1"/>
  <c r="G48" i="116"/>
  <c r="F48" i="116" s="1"/>
  <c r="D48" i="116" s="1"/>
  <c r="B48" i="116" s="1"/>
  <c r="C48" i="116" s="1"/>
  <c r="L81" i="116"/>
  <c r="M81" i="116"/>
  <c r="F28" i="155"/>
  <c r="F32" i="155"/>
  <c r="M71" i="116"/>
  <c r="L71" i="116"/>
  <c r="P35" i="116"/>
  <c r="C35" i="257" s="1"/>
  <c r="G35" i="257"/>
  <c r="E35" i="257" s="1"/>
  <c r="D35" i="257" s="1"/>
  <c r="G35" i="116"/>
  <c r="F35" i="116" s="1"/>
  <c r="M82" i="116"/>
  <c r="L82" i="116"/>
  <c r="G29" i="257"/>
  <c r="E29" i="257" s="1"/>
  <c r="D29" i="257" s="1"/>
  <c r="G29" i="116"/>
  <c r="F29" i="116" s="1"/>
  <c r="D29" i="116" s="1"/>
  <c r="B29" i="116" s="1"/>
  <c r="C29" i="116" s="1"/>
  <c r="P29" i="116"/>
  <c r="C29" i="257" s="1"/>
  <c r="F16" i="155"/>
  <c r="G20" i="257"/>
  <c r="E20" i="257" s="1"/>
  <c r="D20" i="257" s="1"/>
  <c r="G20" i="116"/>
  <c r="F20" i="116" s="1"/>
  <c r="D20" i="116" s="1"/>
  <c r="B20" i="116" s="1"/>
  <c r="J20" i="257" s="1"/>
  <c r="M86" i="116"/>
  <c r="L86" i="116"/>
  <c r="C74" i="116"/>
  <c r="B74" i="257" s="1"/>
  <c r="J74" i="257"/>
  <c r="K74" i="257" s="1"/>
  <c r="M11" i="128"/>
  <c r="F30" i="155"/>
  <c r="F36" i="155"/>
  <c r="F49" i="155"/>
  <c r="D72" i="116"/>
  <c r="B72" i="116" s="1"/>
  <c r="F39" i="155"/>
  <c r="G34" i="257"/>
  <c r="E34" i="257" s="1"/>
  <c r="D34" i="257" s="1"/>
  <c r="G34" i="116"/>
  <c r="F34" i="116" s="1"/>
  <c r="G39" i="116"/>
  <c r="F39" i="116" s="1"/>
  <c r="G39" i="257"/>
  <c r="E39" i="257" s="1"/>
  <c r="D39" i="257" s="1"/>
  <c r="D83" i="116"/>
  <c r="B83" i="116" s="1"/>
  <c r="C83" i="116" s="1"/>
  <c r="B83" i="257" s="1"/>
  <c r="F43" i="155"/>
  <c r="C64" i="116"/>
  <c r="B64" i="257" s="1"/>
  <c r="J64" i="257"/>
  <c r="K64" i="257" s="1"/>
  <c r="J77" i="257"/>
  <c r="K77" i="257" s="1"/>
  <c r="F42" i="155"/>
  <c r="F45" i="155"/>
  <c r="J58" i="116"/>
  <c r="K62" i="116"/>
  <c r="P36" i="116"/>
  <c r="C36" i="257" s="1"/>
  <c r="M79" i="116"/>
  <c r="L79" i="116"/>
  <c r="F18" i="155"/>
  <c r="D54" i="116"/>
  <c r="J54" i="116" s="1"/>
  <c r="F53" i="116"/>
  <c r="D53" i="116" s="1"/>
  <c r="J67" i="116"/>
  <c r="P16" i="116"/>
  <c r="C16" i="257" s="1"/>
  <c r="G16" i="257"/>
  <c r="E16" i="257" s="1"/>
  <c r="D16" i="257" s="1"/>
  <c r="G16" i="116"/>
  <c r="F16" i="116" s="1"/>
  <c r="C86" i="116"/>
  <c r="B86" i="257" s="1"/>
  <c r="J86" i="257"/>
  <c r="K86" i="257" s="1"/>
  <c r="F38" i="155"/>
  <c r="F9" i="155"/>
  <c r="J60" i="257"/>
  <c r="K60" i="257" s="1"/>
  <c r="C60" i="116"/>
  <c r="B60" i="257" s="1"/>
  <c r="F22" i="155"/>
  <c r="F48" i="155"/>
  <c r="P34" i="116"/>
  <c r="C34" i="257" s="1"/>
  <c r="F27" i="155"/>
  <c r="P42" i="116"/>
  <c r="C42" i="257" s="1"/>
  <c r="G42" i="257"/>
  <c r="G42" i="116"/>
  <c r="M75" i="116"/>
  <c r="L75" i="116"/>
  <c r="G31" i="257"/>
  <c r="G31" i="116"/>
  <c r="F31" i="116" s="1"/>
  <c r="P50" i="116"/>
  <c r="C50" i="257" s="1"/>
  <c r="G50" i="257"/>
  <c r="G50" i="116"/>
  <c r="F34" i="155"/>
  <c r="L59" i="116"/>
  <c r="M59" i="116"/>
  <c r="P13" i="116"/>
  <c r="C13" i="257" s="1"/>
  <c r="G13" i="116"/>
  <c r="F13" i="116" s="1"/>
  <c r="G13" i="257"/>
  <c r="E13" i="257" s="1"/>
  <c r="D13" i="257" s="1"/>
  <c r="F43" i="116" l="1"/>
  <c r="G47" i="257"/>
  <c r="E47" i="257" s="1"/>
  <c r="D47" i="257" s="1"/>
  <c r="O46" i="128"/>
  <c r="G46" i="257"/>
  <c r="F25" i="155"/>
  <c r="G28" i="116"/>
  <c r="F37" i="116"/>
  <c r="G11" i="116"/>
  <c r="E26" i="257"/>
  <c r="D26" i="257" s="1"/>
  <c r="E49" i="257"/>
  <c r="D49" i="257" s="1"/>
  <c r="M49" i="257" s="1"/>
  <c r="G11" i="257"/>
  <c r="E11" i="257" s="1"/>
  <c r="D11" i="257" s="1"/>
  <c r="F42" i="116"/>
  <c r="D42" i="116" s="1"/>
  <c r="B42" i="116" s="1"/>
  <c r="C42" i="116" s="1"/>
  <c r="G25" i="116"/>
  <c r="E90" i="257"/>
  <c r="D90" i="257" s="1"/>
  <c r="N93" i="154"/>
  <c r="E31" i="257"/>
  <c r="D31" i="257" s="1"/>
  <c r="F11" i="116"/>
  <c r="D11" i="116" s="1"/>
  <c r="E18" i="257"/>
  <c r="D18" i="257" s="1"/>
  <c r="L10" i="128"/>
  <c r="F50" i="155"/>
  <c r="O10" i="128"/>
  <c r="F26" i="155"/>
  <c r="F33" i="155"/>
  <c r="F46" i="155"/>
  <c r="F45" i="257"/>
  <c r="G33" i="116"/>
  <c r="F33" i="116" s="1"/>
  <c r="D33" i="116" s="1"/>
  <c r="B33" i="116" s="1"/>
  <c r="F35" i="155"/>
  <c r="C8" i="155"/>
  <c r="J20" i="116"/>
  <c r="E17" i="257"/>
  <c r="D17" i="257" s="1"/>
  <c r="M17" i="257" s="1"/>
  <c r="G17" i="116"/>
  <c r="F17" i="116" s="1"/>
  <c r="D17" i="116" s="1"/>
  <c r="B17" i="116" s="1"/>
  <c r="C17" i="116" s="1"/>
  <c r="G37" i="257"/>
  <c r="E37" i="257" s="1"/>
  <c r="D37" i="257" s="1"/>
  <c r="G18" i="116"/>
  <c r="F18" i="116" s="1"/>
  <c r="D18" i="116" s="1"/>
  <c r="B18" i="116" s="1"/>
  <c r="C18" i="116" s="1"/>
  <c r="G44" i="257"/>
  <c r="E44" i="257" s="1"/>
  <c r="D44" i="257" s="1"/>
  <c r="G44" i="116"/>
  <c r="F44" i="116" s="1"/>
  <c r="D44" i="116" s="1"/>
  <c r="P26" i="116"/>
  <c r="C26" i="257" s="1"/>
  <c r="G51" i="116"/>
  <c r="F51" i="116" s="1"/>
  <c r="D51" i="116" s="1"/>
  <c r="B51" i="116" s="1"/>
  <c r="G26" i="116"/>
  <c r="F26" i="116" s="1"/>
  <c r="D26" i="116" s="1"/>
  <c r="B26" i="116" s="1"/>
  <c r="F25" i="116"/>
  <c r="D25" i="116" s="1"/>
  <c r="J25" i="116" s="1"/>
  <c r="K20" i="116"/>
  <c r="G28" i="257"/>
  <c r="G51" i="257"/>
  <c r="E51" i="257" s="1"/>
  <c r="D51" i="257" s="1"/>
  <c r="C20" i="116"/>
  <c r="B20" i="257" s="1"/>
  <c r="H97" i="116"/>
  <c r="L46" i="128"/>
  <c r="P18" i="116"/>
  <c r="C18" i="257" s="1"/>
  <c r="E25" i="257"/>
  <c r="D25" i="257" s="1"/>
  <c r="M12" i="128"/>
  <c r="AA13" i="271"/>
  <c r="AC13" i="271" s="1"/>
  <c r="F28" i="116"/>
  <c r="D28" i="116" s="1"/>
  <c r="B28" i="116" s="1"/>
  <c r="C28" i="116" s="1"/>
  <c r="H9" i="116"/>
  <c r="G40" i="257"/>
  <c r="E40" i="257" s="1"/>
  <c r="D40" i="257" s="1"/>
  <c r="E42" i="257"/>
  <c r="D42" i="257" s="1"/>
  <c r="M42" i="257" s="1"/>
  <c r="P47" i="128"/>
  <c r="C10" i="271"/>
  <c r="J29" i="116"/>
  <c r="E28" i="257"/>
  <c r="D28" i="257" s="1"/>
  <c r="G19" i="116"/>
  <c r="F19" i="116" s="1"/>
  <c r="C44" i="155"/>
  <c r="F9" i="257"/>
  <c r="G14" i="116"/>
  <c r="F14" i="116" s="1"/>
  <c r="D14" i="116" s="1"/>
  <c r="J14" i="116" s="1"/>
  <c r="O9" i="116"/>
  <c r="J10" i="128"/>
  <c r="P33" i="116"/>
  <c r="C33" i="257" s="1"/>
  <c r="G14" i="257"/>
  <c r="E14" i="257" s="1"/>
  <c r="D14" i="257" s="1"/>
  <c r="J48" i="257"/>
  <c r="H46" i="128"/>
  <c r="J49" i="257"/>
  <c r="F51" i="155"/>
  <c r="I93" i="128"/>
  <c r="O93" i="128" s="1"/>
  <c r="J47" i="257"/>
  <c r="H45" i="116"/>
  <c r="K49" i="116"/>
  <c r="F52" i="116"/>
  <c r="D52" i="116" s="1"/>
  <c r="J52" i="116" s="1"/>
  <c r="M93" i="154"/>
  <c r="F93" i="128"/>
  <c r="L93" i="128" s="1"/>
  <c r="K23" i="116"/>
  <c r="P52" i="116"/>
  <c r="C52" i="257" s="1"/>
  <c r="G40" i="116"/>
  <c r="F40" i="116" s="1"/>
  <c r="D40" i="116" s="1"/>
  <c r="B40" i="116" s="1"/>
  <c r="F17" i="155"/>
  <c r="J29" i="257"/>
  <c r="O45" i="116"/>
  <c r="B49" i="257"/>
  <c r="K15" i="116"/>
  <c r="K29" i="116"/>
  <c r="K21" i="116"/>
  <c r="E50" i="257"/>
  <c r="D50" i="257" s="1"/>
  <c r="G10" i="128"/>
  <c r="M29" i="257"/>
  <c r="L58" i="116"/>
  <c r="B48" i="257"/>
  <c r="G52" i="257"/>
  <c r="E52" i="257" s="1"/>
  <c r="D52" i="257" s="1"/>
  <c r="J42" i="257"/>
  <c r="B21" i="257"/>
  <c r="M47" i="257"/>
  <c r="E33" i="257"/>
  <c r="D33" i="257" s="1"/>
  <c r="K47" i="116"/>
  <c r="J15" i="116"/>
  <c r="F50" i="116"/>
  <c r="D50" i="116" s="1"/>
  <c r="B50" i="116" s="1"/>
  <c r="C50" i="116" s="1"/>
  <c r="M48" i="257"/>
  <c r="M15" i="257"/>
  <c r="N91" i="116"/>
  <c r="F91" i="257" s="1"/>
  <c r="J47" i="116"/>
  <c r="G46" i="128"/>
  <c r="J48" i="116"/>
  <c r="J49" i="116"/>
  <c r="K48" i="116"/>
  <c r="M21" i="257"/>
  <c r="J23" i="116"/>
  <c r="J21" i="116"/>
  <c r="J21" i="257"/>
  <c r="J53" i="116"/>
  <c r="K53" i="116"/>
  <c r="M53" i="116" s="1"/>
  <c r="J89" i="116"/>
  <c r="J72" i="116"/>
  <c r="M23" i="257"/>
  <c r="K72" i="116"/>
  <c r="M72" i="116" s="1"/>
  <c r="M20" i="257"/>
  <c r="D13" i="116"/>
  <c r="B13" i="116" s="1"/>
  <c r="B54" i="116"/>
  <c r="K54" i="116"/>
  <c r="M62" i="116"/>
  <c r="L62" i="116"/>
  <c r="P46" i="128"/>
  <c r="K83" i="116"/>
  <c r="B29" i="257"/>
  <c r="C89" i="116"/>
  <c r="B89" i="257" s="1"/>
  <c r="J89" i="257"/>
  <c r="K89" i="257" s="1"/>
  <c r="C10" i="257"/>
  <c r="J15" i="257"/>
  <c r="D22" i="116"/>
  <c r="B22" i="116" s="1"/>
  <c r="C22" i="116" s="1"/>
  <c r="B22" i="257" s="1"/>
  <c r="J83" i="257"/>
  <c r="K83" i="257" s="1"/>
  <c r="F46" i="116"/>
  <c r="L55" i="116"/>
  <c r="M55" i="116"/>
  <c r="D36" i="116"/>
  <c r="J36" i="116" s="1"/>
  <c r="D31" i="116"/>
  <c r="J31" i="116" s="1"/>
  <c r="C72" i="116"/>
  <c r="B72" i="257" s="1"/>
  <c r="J72" i="257"/>
  <c r="K72" i="257" s="1"/>
  <c r="J23" i="257"/>
  <c r="F10" i="116"/>
  <c r="B15" i="257"/>
  <c r="M67" i="116"/>
  <c r="L67" i="116"/>
  <c r="D16" i="116"/>
  <c r="B16" i="116" s="1"/>
  <c r="B53" i="116"/>
  <c r="J83" i="116"/>
  <c r="D35" i="116"/>
  <c r="B35" i="116" s="1"/>
  <c r="K89" i="116"/>
  <c r="D43" i="116"/>
  <c r="B43" i="116" s="1"/>
  <c r="B47" i="257"/>
  <c r="E46" i="257"/>
  <c r="D46" i="257" s="1"/>
  <c r="L77" i="116"/>
  <c r="M77" i="116"/>
  <c r="D38" i="116"/>
  <c r="B38" i="116" s="1"/>
  <c r="C38" i="116" s="1"/>
  <c r="B38" i="257" s="1"/>
  <c r="D39" i="116"/>
  <c r="B39" i="116" s="1"/>
  <c r="D34" i="116"/>
  <c r="B34" i="116" s="1"/>
  <c r="M34" i="257" s="1"/>
  <c r="B23" i="257"/>
  <c r="E10" i="257"/>
  <c r="D10" i="257" s="1"/>
  <c r="D27" i="116"/>
  <c r="K27" i="116" s="1"/>
  <c r="D37" i="116"/>
  <c r="K37" i="116" s="1"/>
  <c r="B11" i="116"/>
  <c r="C46" i="257"/>
  <c r="F90" i="116"/>
  <c r="D90" i="116" s="1"/>
  <c r="B90" i="116" s="1"/>
  <c r="C90" i="116" s="1"/>
  <c r="K20" i="257"/>
  <c r="B18" i="257" l="1"/>
  <c r="J42" i="116"/>
  <c r="K42" i="116"/>
  <c r="B90" i="257"/>
  <c r="G45" i="116"/>
  <c r="J11" i="116"/>
  <c r="K18" i="116"/>
  <c r="K11" i="116"/>
  <c r="M20" i="116"/>
  <c r="P45" i="116"/>
  <c r="P10" i="128"/>
  <c r="B17" i="257"/>
  <c r="N46" i="128"/>
  <c r="C91" i="155"/>
  <c r="C9" i="160" s="1"/>
  <c r="K48" i="257"/>
  <c r="M18" i="257"/>
  <c r="K17" i="116"/>
  <c r="L20" i="116"/>
  <c r="J17" i="116"/>
  <c r="J18" i="257"/>
  <c r="J17" i="257"/>
  <c r="J18" i="116"/>
  <c r="J28" i="116"/>
  <c r="M28" i="257"/>
  <c r="J28" i="257"/>
  <c r="K28" i="116"/>
  <c r="B42" i="257"/>
  <c r="J33" i="257"/>
  <c r="K49" i="257"/>
  <c r="P9" i="116"/>
  <c r="C9" i="257" s="1"/>
  <c r="H10" i="128"/>
  <c r="B28" i="257"/>
  <c r="G9" i="257"/>
  <c r="E9" i="257" s="1"/>
  <c r="D9" i="257" s="1"/>
  <c r="D19" i="116"/>
  <c r="B19" i="116" s="1"/>
  <c r="O91" i="116"/>
  <c r="M48" i="116"/>
  <c r="M15" i="116"/>
  <c r="H91" i="116"/>
  <c r="M47" i="116"/>
  <c r="G97" i="116"/>
  <c r="E46" i="128"/>
  <c r="M18" i="116"/>
  <c r="L21" i="116"/>
  <c r="K47" i="257"/>
  <c r="J44" i="116"/>
  <c r="G9" i="116"/>
  <c r="M29" i="116"/>
  <c r="L23" i="116"/>
  <c r="L49" i="116"/>
  <c r="M23" i="116"/>
  <c r="M49" i="116"/>
  <c r="K29" i="257"/>
  <c r="P42" i="257"/>
  <c r="Q42" i="257" s="1"/>
  <c r="N48" i="257"/>
  <c r="N29" i="257"/>
  <c r="P49" i="257"/>
  <c r="Q49" i="257" s="1"/>
  <c r="M21" i="116"/>
  <c r="P29" i="257"/>
  <c r="Q29" i="257" s="1"/>
  <c r="L72" i="116"/>
  <c r="L53" i="116"/>
  <c r="N23" i="257"/>
  <c r="N15" i="257"/>
  <c r="P47" i="257"/>
  <c r="Q47" i="257" s="1"/>
  <c r="P20" i="257"/>
  <c r="Q20" i="257" s="1"/>
  <c r="N49" i="257"/>
  <c r="N42" i="257"/>
  <c r="N21" i="257"/>
  <c r="P48" i="257"/>
  <c r="Q48" i="257" s="1"/>
  <c r="K42" i="257"/>
  <c r="P21" i="257"/>
  <c r="Q21" i="257" s="1"/>
  <c r="J90" i="257"/>
  <c r="K90" i="257" s="1"/>
  <c r="L47" i="116"/>
  <c r="J40" i="116"/>
  <c r="K21" i="257"/>
  <c r="L29" i="116"/>
  <c r="L18" i="116"/>
  <c r="G45" i="257"/>
  <c r="E45" i="257" s="1"/>
  <c r="D45" i="257" s="1"/>
  <c r="L48" i="116"/>
  <c r="N47" i="257"/>
  <c r="M10" i="128"/>
  <c r="E10" i="128"/>
  <c r="L15" i="116"/>
  <c r="N20" i="257"/>
  <c r="B50" i="257"/>
  <c r="K51" i="116"/>
  <c r="L11" i="116"/>
  <c r="J22" i="257"/>
  <c r="M46" i="128"/>
  <c r="J43" i="116"/>
  <c r="J39" i="116"/>
  <c r="K43" i="116"/>
  <c r="K40" i="116"/>
  <c r="J16" i="116"/>
  <c r="J13" i="116"/>
  <c r="K38" i="116"/>
  <c r="M22" i="257"/>
  <c r="K16" i="116"/>
  <c r="K26" i="116"/>
  <c r="J35" i="116"/>
  <c r="J33" i="116"/>
  <c r="J26" i="116"/>
  <c r="N34" i="257"/>
  <c r="J90" i="116"/>
  <c r="K90" i="116"/>
  <c r="M90" i="116" s="1"/>
  <c r="C45" i="257"/>
  <c r="B37" i="116"/>
  <c r="J37" i="116"/>
  <c r="B27" i="116"/>
  <c r="J27" i="116"/>
  <c r="B44" i="116"/>
  <c r="K44" i="116"/>
  <c r="J34" i="116"/>
  <c r="K39" i="116"/>
  <c r="J51" i="116"/>
  <c r="N17" i="257"/>
  <c r="J40" i="257"/>
  <c r="C40" i="116"/>
  <c r="B40" i="257" s="1"/>
  <c r="M16" i="257"/>
  <c r="J16" i="257"/>
  <c r="C16" i="116"/>
  <c r="B16" i="257" s="1"/>
  <c r="K50" i="116"/>
  <c r="K33" i="116"/>
  <c r="D46" i="116"/>
  <c r="F45" i="116"/>
  <c r="L83" i="116"/>
  <c r="M83" i="116"/>
  <c r="M54" i="116"/>
  <c r="L54" i="116"/>
  <c r="M13" i="257"/>
  <c r="C13" i="116"/>
  <c r="B13" i="257" s="1"/>
  <c r="L37" i="116"/>
  <c r="M37" i="116"/>
  <c r="M27" i="116"/>
  <c r="L27" i="116"/>
  <c r="K34" i="116"/>
  <c r="M51" i="257"/>
  <c r="C51" i="116"/>
  <c r="B51" i="257" s="1"/>
  <c r="J51" i="257"/>
  <c r="J38" i="116"/>
  <c r="B25" i="116"/>
  <c r="K25" i="116"/>
  <c r="J43" i="257"/>
  <c r="C43" i="116"/>
  <c r="B43" i="257" s="1"/>
  <c r="L89" i="116"/>
  <c r="M89" i="116"/>
  <c r="K35" i="116"/>
  <c r="F9" i="116"/>
  <c r="D9" i="116" s="1"/>
  <c r="B9" i="116" s="1"/>
  <c r="C9" i="116" s="1"/>
  <c r="F97" i="116"/>
  <c r="D10" i="116"/>
  <c r="B14" i="116"/>
  <c r="K14" i="116"/>
  <c r="J50" i="116"/>
  <c r="B36" i="116"/>
  <c r="K36" i="116"/>
  <c r="K15" i="257"/>
  <c r="P15" i="257"/>
  <c r="Q15" i="257" s="1"/>
  <c r="B52" i="116"/>
  <c r="K52" i="116"/>
  <c r="J54" i="257"/>
  <c r="K54" i="257" s="1"/>
  <c r="C54" i="116"/>
  <c r="B54" i="257" s="1"/>
  <c r="C39" i="116"/>
  <c r="B39" i="257" s="1"/>
  <c r="J39" i="257"/>
  <c r="C53" i="116"/>
  <c r="J53" i="257"/>
  <c r="K53" i="257" s="1"/>
  <c r="J38" i="257"/>
  <c r="K23" i="257"/>
  <c r="P23" i="257"/>
  <c r="Q23" i="257" s="1"/>
  <c r="C33" i="116"/>
  <c r="B33" i="257" s="1"/>
  <c r="M33" i="257"/>
  <c r="C26" i="116"/>
  <c r="B26" i="257" s="1"/>
  <c r="J26" i="257"/>
  <c r="M26" i="257"/>
  <c r="K22" i="116"/>
  <c r="M43" i="257"/>
  <c r="K13" i="116"/>
  <c r="J13" i="257"/>
  <c r="C11" i="116"/>
  <c r="J11" i="257"/>
  <c r="M11" i="257"/>
  <c r="C34" i="116"/>
  <c r="B34" i="257" s="1"/>
  <c r="J34" i="257"/>
  <c r="J35" i="257"/>
  <c r="M35" i="257"/>
  <c r="C35" i="116"/>
  <c r="B35" i="257" s="1"/>
  <c r="M38" i="257"/>
  <c r="B31" i="116"/>
  <c r="K31" i="116"/>
  <c r="J22" i="116"/>
  <c r="M40" i="257"/>
  <c r="J50" i="257"/>
  <c r="M39" i="257"/>
  <c r="M50" i="257"/>
  <c r="M42" i="116" l="1"/>
  <c r="L42" i="116"/>
  <c r="M11" i="116"/>
  <c r="N18" i="257"/>
  <c r="G91" i="116"/>
  <c r="L51" i="116"/>
  <c r="M28" i="116"/>
  <c r="M17" i="116"/>
  <c r="H93" i="128"/>
  <c r="J93" i="128" s="1"/>
  <c r="P93" i="128" s="1"/>
  <c r="L17" i="116"/>
  <c r="K17" i="257"/>
  <c r="P28" i="257"/>
  <c r="Q28" i="257" s="1"/>
  <c r="N28" i="257"/>
  <c r="P17" i="257"/>
  <c r="Q17" i="257" s="1"/>
  <c r="P18" i="257"/>
  <c r="Q18" i="257" s="1"/>
  <c r="N10" i="128"/>
  <c r="K28" i="257"/>
  <c r="K18" i="257"/>
  <c r="P91" i="116"/>
  <c r="C91" i="257" s="1"/>
  <c r="L28" i="116"/>
  <c r="K33" i="257"/>
  <c r="M26" i="116"/>
  <c r="K19" i="116"/>
  <c r="J19" i="116"/>
  <c r="J19" i="257"/>
  <c r="C19" i="116"/>
  <c r="B19" i="257" s="1"/>
  <c r="M19" i="257"/>
  <c r="M38" i="116"/>
  <c r="K46" i="128"/>
  <c r="F44" i="155" s="1"/>
  <c r="M40" i="116"/>
  <c r="K10" i="128"/>
  <c r="F8" i="155" s="1"/>
  <c r="L26" i="116"/>
  <c r="L43" i="116"/>
  <c r="M51" i="116"/>
  <c r="G48" i="162"/>
  <c r="M48" i="162" s="1"/>
  <c r="E93" i="128"/>
  <c r="K22" i="257"/>
  <c r="G91" i="257"/>
  <c r="E91" i="257" s="1"/>
  <c r="D91" i="257" s="1"/>
  <c r="I91" i="257" s="1"/>
  <c r="M9" i="257"/>
  <c r="M43" i="116"/>
  <c r="L90" i="116"/>
  <c r="L40" i="116"/>
  <c r="L38" i="116"/>
  <c r="B9" i="257"/>
  <c r="J9" i="257"/>
  <c r="K9" i="257" s="1"/>
  <c r="M16" i="116"/>
  <c r="N22" i="257"/>
  <c r="L16" i="116"/>
  <c r="P22" i="257"/>
  <c r="Q22" i="257" s="1"/>
  <c r="K9" i="116"/>
  <c r="L9" i="116" s="1"/>
  <c r="J9" i="116"/>
  <c r="P39" i="257"/>
  <c r="Q39" i="257" s="1"/>
  <c r="K39" i="257"/>
  <c r="C25" i="116"/>
  <c r="B25" i="257" s="1"/>
  <c r="J25" i="257"/>
  <c r="M25" i="257"/>
  <c r="N51" i="257"/>
  <c r="L33" i="116"/>
  <c r="M33" i="116"/>
  <c r="N16" i="257"/>
  <c r="M44" i="116"/>
  <c r="L44" i="116"/>
  <c r="C37" i="116"/>
  <c r="B37" i="257" s="1"/>
  <c r="J37" i="257"/>
  <c r="M37" i="257"/>
  <c r="N38" i="257"/>
  <c r="N40" i="257"/>
  <c r="P35" i="257"/>
  <c r="Q35" i="257" s="1"/>
  <c r="K35" i="257"/>
  <c r="K11" i="257"/>
  <c r="P11" i="257"/>
  <c r="Q11" i="257" s="1"/>
  <c r="P13" i="257"/>
  <c r="Q13" i="257" s="1"/>
  <c r="K13" i="257"/>
  <c r="L22" i="116"/>
  <c r="M22" i="116"/>
  <c r="N33" i="257"/>
  <c r="B53" i="257"/>
  <c r="L14" i="116"/>
  <c r="M14" i="116"/>
  <c r="M34" i="116"/>
  <c r="L34" i="116"/>
  <c r="N13" i="257"/>
  <c r="M50" i="116"/>
  <c r="L50" i="116"/>
  <c r="K50" i="257"/>
  <c r="P50" i="257"/>
  <c r="Q50" i="257" s="1"/>
  <c r="N35" i="257"/>
  <c r="N11" i="257"/>
  <c r="N50" i="257"/>
  <c r="M31" i="116"/>
  <c r="L31" i="116"/>
  <c r="P34" i="257"/>
  <c r="Q34" i="257" s="1"/>
  <c r="K34" i="257"/>
  <c r="B11" i="257"/>
  <c r="M13" i="116"/>
  <c r="L13" i="116"/>
  <c r="N26" i="257"/>
  <c r="M52" i="116"/>
  <c r="L52" i="116"/>
  <c r="M36" i="116"/>
  <c r="L36" i="116"/>
  <c r="C14" i="116"/>
  <c r="B14" i="257" s="1"/>
  <c r="J14" i="257"/>
  <c r="M14" i="257"/>
  <c r="M35" i="116"/>
  <c r="L35" i="116"/>
  <c r="K43" i="257"/>
  <c r="P43" i="257"/>
  <c r="Q43" i="257" s="1"/>
  <c r="K51" i="257"/>
  <c r="P51" i="257"/>
  <c r="Q51" i="257" s="1"/>
  <c r="D45" i="116"/>
  <c r="P40" i="257"/>
  <c r="Q40" i="257" s="1"/>
  <c r="K40" i="257"/>
  <c r="M39" i="116"/>
  <c r="L39" i="116"/>
  <c r="M44" i="257"/>
  <c r="J44" i="257"/>
  <c r="C44" i="116"/>
  <c r="C27" i="116"/>
  <c r="B27" i="257" s="1"/>
  <c r="J27" i="257"/>
  <c r="M27" i="257"/>
  <c r="N39" i="257"/>
  <c r="C31" i="116"/>
  <c r="B31" i="257" s="1"/>
  <c r="J31" i="257"/>
  <c r="M31" i="257"/>
  <c r="P33" i="257"/>
  <c r="Q33" i="257" s="1"/>
  <c r="N43" i="257"/>
  <c r="K26" i="257"/>
  <c r="P26" i="257"/>
  <c r="Q26" i="257" s="1"/>
  <c r="K38" i="257"/>
  <c r="P38" i="257"/>
  <c r="Q38" i="257" s="1"/>
  <c r="C52" i="116"/>
  <c r="B52" i="257" s="1"/>
  <c r="M52" i="257"/>
  <c r="J52" i="257"/>
  <c r="J36" i="257"/>
  <c r="C36" i="116"/>
  <c r="B36" i="257" s="1"/>
  <c r="M36" i="257"/>
  <c r="J10" i="116"/>
  <c r="B10" i="116"/>
  <c r="D97" i="116"/>
  <c r="J97" i="116" s="1"/>
  <c r="K10" i="116"/>
  <c r="M25" i="116"/>
  <c r="L25" i="116"/>
  <c r="B46" i="116"/>
  <c r="K46" i="116"/>
  <c r="J46" i="116"/>
  <c r="P16" i="257"/>
  <c r="Q16" i="257" s="1"/>
  <c r="K16" i="257"/>
  <c r="F91" i="116"/>
  <c r="D91" i="116" s="1"/>
  <c r="N93" i="128" l="1"/>
  <c r="N19" i="257"/>
  <c r="M9" i="116"/>
  <c r="M19" i="116"/>
  <c r="L19" i="116"/>
  <c r="K19" i="257"/>
  <c r="P19" i="257"/>
  <c r="Q19" i="257" s="1"/>
  <c r="B91" i="116"/>
  <c r="G93" i="128"/>
  <c r="M93" i="128" s="1"/>
  <c r="K93" i="128"/>
  <c r="F48" i="162"/>
  <c r="K48" i="162" s="1"/>
  <c r="K47" i="162" s="1"/>
  <c r="K91" i="116"/>
  <c r="M91" i="116" s="1"/>
  <c r="M46" i="257"/>
  <c r="C46" i="116"/>
  <c r="B46" i="257" s="1"/>
  <c r="J46" i="257"/>
  <c r="M10" i="116"/>
  <c r="L10" i="116"/>
  <c r="P52" i="257"/>
  <c r="Q52" i="257" s="1"/>
  <c r="K52" i="257"/>
  <c r="N31" i="257"/>
  <c r="B44" i="257"/>
  <c r="K37" i="257"/>
  <c r="P37" i="257"/>
  <c r="Q37" i="257" s="1"/>
  <c r="J91" i="116"/>
  <c r="N36" i="257"/>
  <c r="N52" i="257"/>
  <c r="P31" i="257"/>
  <c r="Q31" i="257" s="1"/>
  <c r="K31" i="257"/>
  <c r="N27" i="257"/>
  <c r="K44" i="257"/>
  <c r="P44" i="257"/>
  <c r="Q44" i="257" s="1"/>
  <c r="N14" i="257"/>
  <c r="K97" i="116"/>
  <c r="M10" i="257"/>
  <c r="J10" i="257"/>
  <c r="C10" i="116"/>
  <c r="B97" i="116"/>
  <c r="K27" i="257"/>
  <c r="P27" i="257"/>
  <c r="Q27" i="257" s="1"/>
  <c r="N44" i="257"/>
  <c r="B45" i="116"/>
  <c r="C45" i="116" s="1"/>
  <c r="J45" i="116"/>
  <c r="K14" i="257"/>
  <c r="P14" i="257"/>
  <c r="Q14" i="257" s="1"/>
  <c r="N25" i="257"/>
  <c r="M46" i="116"/>
  <c r="L46" i="116"/>
  <c r="P36" i="257"/>
  <c r="Q36" i="257" s="1"/>
  <c r="K36" i="257"/>
  <c r="K45" i="116"/>
  <c r="N37" i="257"/>
  <c r="K25" i="257"/>
  <c r="P25" i="257"/>
  <c r="Q25" i="257" s="1"/>
  <c r="C91" i="116" l="1"/>
  <c r="C48" i="162"/>
  <c r="E48" i="162" s="1"/>
  <c r="J48" i="162" s="1"/>
  <c r="J9" i="162" s="1"/>
  <c r="J91" i="257"/>
  <c r="K91" i="257" s="1"/>
  <c r="F91" i="155"/>
  <c r="L91" i="116"/>
  <c r="M45" i="116"/>
  <c r="L45" i="116"/>
  <c r="B45" i="257"/>
  <c r="B10" i="257"/>
  <c r="C97" i="116"/>
  <c r="P10" i="257"/>
  <c r="Q10" i="257" s="1"/>
  <c r="K10" i="257"/>
  <c r="K46" i="257"/>
  <c r="P46" i="257"/>
  <c r="Q46" i="257" s="1"/>
  <c r="N10" i="257"/>
  <c r="M97" i="116"/>
  <c r="L97" i="116"/>
  <c r="N46" i="257"/>
  <c r="K46" i="162"/>
  <c r="I48" i="162" l="1"/>
  <c r="I9" i="162" s="1"/>
  <c r="I10" i="162" s="1"/>
  <c r="B91" i="257"/>
  <c r="K45" i="162"/>
  <c r="J10" i="162"/>
  <c r="D9" i="162" l="1"/>
  <c r="E9" i="162" s="1"/>
  <c r="F9" i="162" s="1"/>
  <c r="I11" i="162"/>
  <c r="D10" i="162"/>
  <c r="E10" i="162" s="1"/>
  <c r="F10" i="162" s="1"/>
  <c r="J11" i="162"/>
  <c r="K44" i="162"/>
  <c r="J12" i="162" l="1"/>
  <c r="K43" i="162"/>
  <c r="I12" i="162"/>
  <c r="D11" i="162"/>
  <c r="E11" i="162" s="1"/>
  <c r="F11" i="162" s="1"/>
  <c r="K42" i="162" l="1"/>
  <c r="I13" i="162"/>
  <c r="D12" i="162"/>
  <c r="E12" i="162" s="1"/>
  <c r="F12" i="162" s="1"/>
  <c r="J13" i="162"/>
  <c r="I14" i="162" l="1"/>
  <c r="D13" i="162"/>
  <c r="E13" i="162" s="1"/>
  <c r="F13" i="162" s="1"/>
  <c r="K41" i="162"/>
  <c r="J14" i="162"/>
  <c r="K40" i="162" l="1"/>
  <c r="J15" i="162"/>
  <c r="D14" i="162"/>
  <c r="E14" i="162" s="1"/>
  <c r="F14" i="162" s="1"/>
  <c r="I15" i="162"/>
  <c r="J16" i="162" l="1"/>
  <c r="I16" i="162"/>
  <c r="D15" i="162"/>
  <c r="E15" i="162" s="1"/>
  <c r="F15" i="162" s="1"/>
  <c r="K39" i="162"/>
  <c r="P77" i="260"/>
  <c r="P37" i="260"/>
  <c r="P67" i="260"/>
  <c r="P39" i="260"/>
  <c r="D42" i="260" l="1"/>
  <c r="P42" i="261" s="1"/>
  <c r="C42" i="260"/>
  <c r="Q42" i="260"/>
  <c r="D72" i="260"/>
  <c r="P72" i="261" s="1"/>
  <c r="Q72" i="260"/>
  <c r="C72" i="260"/>
  <c r="Q58" i="260"/>
  <c r="C58" i="260"/>
  <c r="D58" i="260"/>
  <c r="C67" i="260"/>
  <c r="D67" i="260"/>
  <c r="P67" i="261" s="1"/>
  <c r="C81" i="260"/>
  <c r="D81" i="260"/>
  <c r="C39" i="260"/>
  <c r="D39" i="260"/>
  <c r="P39" i="261" s="1"/>
  <c r="D49" i="260"/>
  <c r="P49" i="261" s="1"/>
  <c r="Q49" i="260"/>
  <c r="C49" i="260"/>
  <c r="C77" i="260"/>
  <c r="D77" i="260"/>
  <c r="P77" i="261" s="1"/>
  <c r="Q77" i="260"/>
  <c r="C47" i="260"/>
  <c r="D47" i="260"/>
  <c r="P47" i="261" s="1"/>
  <c r="G45" i="260"/>
  <c r="C37" i="260"/>
  <c r="D37" i="260"/>
  <c r="P37" i="261" s="1"/>
  <c r="G9" i="260"/>
  <c r="I17" i="162"/>
  <c r="D16" i="162"/>
  <c r="E16" i="162" s="1"/>
  <c r="F16" i="162" s="1"/>
  <c r="K38" i="162"/>
  <c r="J17" i="162"/>
  <c r="M49" i="260" l="1"/>
  <c r="M58" i="260"/>
  <c r="C9" i="260"/>
  <c r="D9" i="260"/>
  <c r="P9" i="261" s="1"/>
  <c r="I37" i="260"/>
  <c r="Q37" i="261" s="1"/>
  <c r="H37" i="260"/>
  <c r="L9" i="260"/>
  <c r="M77" i="260"/>
  <c r="N77" i="260"/>
  <c r="R77" i="261" s="1"/>
  <c r="Q37" i="260"/>
  <c r="D45" i="260"/>
  <c r="P45" i="261" s="1"/>
  <c r="C45" i="260"/>
  <c r="H47" i="260"/>
  <c r="L45" i="260"/>
  <c r="I47" i="260"/>
  <c r="Q47" i="261" s="1"/>
  <c r="H81" i="260"/>
  <c r="P81" i="260"/>
  <c r="H67" i="260"/>
  <c r="I67" i="260"/>
  <c r="Q67" i="261" s="1"/>
  <c r="D8" i="259"/>
  <c r="B8" i="259" s="1"/>
  <c r="H77" i="260"/>
  <c r="I77" i="260"/>
  <c r="Q77" i="261" s="1"/>
  <c r="H39" i="260"/>
  <c r="I39" i="260"/>
  <c r="M72" i="260"/>
  <c r="M42" i="260"/>
  <c r="Q47" i="260"/>
  <c r="Q81" i="260"/>
  <c r="Q67" i="260"/>
  <c r="H42" i="260"/>
  <c r="H49" i="260"/>
  <c r="P49" i="260"/>
  <c r="N49" i="260" s="1"/>
  <c r="R49" i="261" s="1"/>
  <c r="Q39" i="260"/>
  <c r="H72" i="260"/>
  <c r="P72" i="260"/>
  <c r="N72" i="260" s="1"/>
  <c r="H58" i="260"/>
  <c r="P58" i="260"/>
  <c r="N58" i="260" s="1"/>
  <c r="K37" i="162"/>
  <c r="J18" i="162"/>
  <c r="D17" i="162"/>
  <c r="E17" i="162" s="1"/>
  <c r="F17" i="162" s="1"/>
  <c r="I18" i="162"/>
  <c r="Q39" i="261" l="1"/>
  <c r="R72" i="261"/>
  <c r="T77" i="261"/>
  <c r="X77" i="261" s="1"/>
  <c r="AA77" i="261" s="1"/>
  <c r="S77" i="261"/>
  <c r="W77" i="261" s="1"/>
  <c r="F77" i="268" s="1"/>
  <c r="U77" i="261"/>
  <c r="Y77" i="261" s="1"/>
  <c r="G77" i="268" s="1"/>
  <c r="I42" i="260"/>
  <c r="Q42" i="261" s="1"/>
  <c r="K9" i="260"/>
  <c r="I9" i="260" s="1"/>
  <c r="Q9" i="261" s="1"/>
  <c r="M39" i="260"/>
  <c r="N39" i="260"/>
  <c r="M47" i="260"/>
  <c r="Q45" i="260"/>
  <c r="I81" i="260"/>
  <c r="Q81" i="261" s="1"/>
  <c r="M37" i="260"/>
  <c r="N37" i="260"/>
  <c r="R37" i="261" s="1"/>
  <c r="S37" i="261" s="1"/>
  <c r="W37" i="261" s="1"/>
  <c r="Z37" i="261" s="1"/>
  <c r="Q9" i="260"/>
  <c r="H45" i="260"/>
  <c r="H9" i="260"/>
  <c r="D7" i="259"/>
  <c r="I58" i="260"/>
  <c r="I72" i="260"/>
  <c r="I49" i="260"/>
  <c r="Q49" i="261" s="1"/>
  <c r="M67" i="260"/>
  <c r="N67" i="260"/>
  <c r="R67" i="261" s="1"/>
  <c r="U67" i="261" s="1"/>
  <c r="Y67" i="261" s="1"/>
  <c r="G67" i="268" s="1"/>
  <c r="G8" i="259"/>
  <c r="E8" i="259" s="1"/>
  <c r="H8" i="259" s="1"/>
  <c r="P42" i="260"/>
  <c r="P9" i="260" s="1"/>
  <c r="M81" i="260"/>
  <c r="N81" i="260"/>
  <c r="R81" i="261" s="1"/>
  <c r="K45" i="260"/>
  <c r="I45" i="260" s="1"/>
  <c r="Q45" i="261" s="1"/>
  <c r="P47" i="260"/>
  <c r="P45" i="260" s="1"/>
  <c r="J19" i="162"/>
  <c r="D18" i="162"/>
  <c r="E18" i="162" s="1"/>
  <c r="F18" i="162" s="1"/>
  <c r="I19" i="162"/>
  <c r="K36" i="162"/>
  <c r="Z77" i="261" l="1"/>
  <c r="AB67" i="261"/>
  <c r="AB77" i="261"/>
  <c r="R39" i="261"/>
  <c r="T39" i="261" s="1"/>
  <c r="X39" i="261" s="1"/>
  <c r="AA39" i="261" s="1"/>
  <c r="Q72" i="261"/>
  <c r="U37" i="261"/>
  <c r="Y37" i="261" s="1"/>
  <c r="AB37" i="261" s="1"/>
  <c r="S67" i="261"/>
  <c r="W67" i="261" s="1"/>
  <c r="T67" i="261"/>
  <c r="X67" i="261" s="1"/>
  <c r="AA67" i="261" s="1"/>
  <c r="T49" i="261"/>
  <c r="X49" i="261" s="1"/>
  <c r="AA49" i="261" s="1"/>
  <c r="S49" i="261"/>
  <c r="W49" i="261" s="1"/>
  <c r="Z49" i="261" s="1"/>
  <c r="U49" i="261"/>
  <c r="Y49" i="261" s="1"/>
  <c r="AB49" i="261" s="1"/>
  <c r="T37" i="261"/>
  <c r="X37" i="261" s="1"/>
  <c r="AA37" i="261" s="1"/>
  <c r="T81" i="261"/>
  <c r="X81" i="261" s="1"/>
  <c r="AA81" i="261" s="1"/>
  <c r="S81" i="261"/>
  <c r="W81" i="261" s="1"/>
  <c r="Z81" i="261" s="1"/>
  <c r="U81" i="261"/>
  <c r="Y81" i="261" s="1"/>
  <c r="AB81" i="261" s="1"/>
  <c r="B7" i="259"/>
  <c r="D9" i="259"/>
  <c r="B9" i="259" s="1"/>
  <c r="N45" i="260"/>
  <c r="R45" i="261" s="1"/>
  <c r="S45" i="261" s="1"/>
  <c r="M45" i="260"/>
  <c r="N9" i="260"/>
  <c r="R9" i="261" s="1"/>
  <c r="N42" i="260"/>
  <c r="R42" i="261" s="1"/>
  <c r="T42" i="261" s="1"/>
  <c r="X42" i="261" s="1"/>
  <c r="AA42" i="261" s="1"/>
  <c r="M9" i="260"/>
  <c r="G7" i="259"/>
  <c r="N47" i="260"/>
  <c r="R47" i="261" s="1"/>
  <c r="I20" i="162"/>
  <c r="D19" i="162"/>
  <c r="E19" i="162" s="1"/>
  <c r="F19" i="162" s="1"/>
  <c r="J20" i="162"/>
  <c r="K35" i="162"/>
  <c r="T72" i="261" l="1"/>
  <c r="X72" i="261" s="1"/>
  <c r="AA72" i="261" s="1"/>
  <c r="AA53" i="261" s="1"/>
  <c r="AA91" i="261" s="1"/>
  <c r="S72" i="261"/>
  <c r="W72" i="261" s="1"/>
  <c r="Z67" i="261"/>
  <c r="U39" i="261"/>
  <c r="Y39" i="261" s="1"/>
  <c r="AB39" i="261" s="1"/>
  <c r="S39" i="261"/>
  <c r="W39" i="261" s="1"/>
  <c r="Z39" i="261" s="1"/>
  <c r="U72" i="261"/>
  <c r="Y72" i="261" s="1"/>
  <c r="U42" i="261"/>
  <c r="Y42" i="261" s="1"/>
  <c r="AB42" i="261" s="1"/>
  <c r="U45" i="261"/>
  <c r="S42" i="261"/>
  <c r="W42" i="261" s="1"/>
  <c r="Z42" i="261" s="1"/>
  <c r="T45" i="261"/>
  <c r="S47" i="261"/>
  <c r="W47" i="261" s="1"/>
  <c r="Z47" i="261" s="1"/>
  <c r="T47" i="261"/>
  <c r="X47" i="261" s="1"/>
  <c r="AA47" i="261" s="1"/>
  <c r="U47" i="261"/>
  <c r="Y47" i="261" s="1"/>
  <c r="AB47" i="261" s="1"/>
  <c r="E7" i="259"/>
  <c r="H7" i="259" s="1"/>
  <c r="G9" i="259"/>
  <c r="E9" i="259" s="1"/>
  <c r="H9" i="259" s="1"/>
  <c r="J21" i="162"/>
  <c r="K34" i="162"/>
  <c r="I21" i="162"/>
  <c r="D20" i="162"/>
  <c r="E20" i="162" s="1"/>
  <c r="F20" i="162" s="1"/>
  <c r="Z72" i="261" l="1"/>
  <c r="Z53" i="261" s="1"/>
  <c r="F72" i="268" s="1"/>
  <c r="AB72" i="261"/>
  <c r="AB53" i="261" s="1"/>
  <c r="G72" i="268" s="1"/>
  <c r="D21" i="162"/>
  <c r="E21" i="162" s="1"/>
  <c r="F21" i="162" s="1"/>
  <c r="I22" i="162"/>
  <c r="K33" i="162"/>
  <c r="J22" i="162"/>
  <c r="G55" i="268" l="1"/>
  <c r="G82" i="268"/>
  <c r="G78" i="268"/>
  <c r="G57" i="268"/>
  <c r="G85" i="268"/>
  <c r="G64" i="268"/>
  <c r="G66" i="268"/>
  <c r="G71" i="268"/>
  <c r="G63" i="268"/>
  <c r="G62" i="268"/>
  <c r="G56" i="268"/>
  <c r="G70" i="268"/>
  <c r="G69" i="268"/>
  <c r="G68" i="268"/>
  <c r="G87" i="268"/>
  <c r="G86" i="268"/>
  <c r="G73" i="268"/>
  <c r="G74" i="268"/>
  <c r="G59" i="268"/>
  <c r="G79" i="268"/>
  <c r="G75" i="268"/>
  <c r="G58" i="268"/>
  <c r="G65" i="268"/>
  <c r="G61" i="268"/>
  <c r="G76" i="268"/>
  <c r="G81" i="268"/>
  <c r="G84" i="268"/>
  <c r="G60" i="268"/>
  <c r="G80" i="268"/>
  <c r="G54" i="268"/>
  <c r="F67" i="268"/>
  <c r="F61" i="268"/>
  <c r="F76" i="268"/>
  <c r="F81" i="268"/>
  <c r="F84" i="268"/>
  <c r="F60" i="268"/>
  <c r="F80" i="268"/>
  <c r="F54" i="268"/>
  <c r="F55" i="268"/>
  <c r="F82" i="268"/>
  <c r="F78" i="268"/>
  <c r="F57" i="268"/>
  <c r="F85" i="268"/>
  <c r="F64" i="268"/>
  <c r="F66" i="268"/>
  <c r="F71" i="268"/>
  <c r="F63" i="268"/>
  <c r="F62" i="268"/>
  <c r="F56" i="268"/>
  <c r="F70" i="268"/>
  <c r="F69" i="268"/>
  <c r="F68" i="268"/>
  <c r="F87" i="268"/>
  <c r="F86" i="268"/>
  <c r="F73" i="268"/>
  <c r="F74" i="268"/>
  <c r="F59" i="268"/>
  <c r="F79" i="268"/>
  <c r="F75" i="268"/>
  <c r="F58" i="268"/>
  <c r="F65" i="268"/>
  <c r="AB91" i="261"/>
  <c r="Z91" i="261"/>
  <c r="D22" i="162"/>
  <c r="E22" i="162" s="1"/>
  <c r="F22" i="162" s="1"/>
  <c r="I23" i="162"/>
  <c r="K32" i="162"/>
  <c r="J23" i="162"/>
  <c r="F53" i="268" l="1"/>
  <c r="F91" i="268" s="1"/>
  <c r="G53" i="268"/>
  <c r="G91" i="268" s="1"/>
  <c r="J24" i="162"/>
  <c r="K31" i="162"/>
  <c r="I24" i="162"/>
  <c r="D23" i="162"/>
  <c r="E23" i="162" s="1"/>
  <c r="F23" i="162" s="1"/>
  <c r="K30" i="162" l="1"/>
  <c r="J25" i="162"/>
  <c r="I25" i="162"/>
  <c r="D24" i="162"/>
  <c r="E24" i="162" s="1"/>
  <c r="F24" i="162" s="1"/>
  <c r="J26" i="162" l="1"/>
  <c r="K29" i="162"/>
  <c r="I26" i="162"/>
  <c r="D25" i="162"/>
  <c r="E25" i="162" s="1"/>
  <c r="F25" i="162" s="1"/>
  <c r="K28" i="162" l="1"/>
  <c r="J27" i="162"/>
  <c r="D26" i="162"/>
  <c r="E26" i="162" s="1"/>
  <c r="F26" i="162" s="1"/>
  <c r="I27" i="162"/>
  <c r="J28" i="162" l="1"/>
  <c r="I28" i="162"/>
  <c r="D27" i="162"/>
  <c r="E27" i="162" s="1"/>
  <c r="F27" i="162" s="1"/>
  <c r="K27" i="162"/>
  <c r="G27" i="162" l="1"/>
  <c r="M27" i="162" s="1"/>
  <c r="K26" i="162"/>
  <c r="I29" i="162"/>
  <c r="D28" i="162"/>
  <c r="E28" i="162" s="1"/>
  <c r="F28" i="162" s="1"/>
  <c r="G28" i="162" s="1"/>
  <c r="M28" i="162" s="1"/>
  <c r="J29" i="162"/>
  <c r="I30" i="162" l="1"/>
  <c r="D29" i="162"/>
  <c r="E29" i="162" s="1"/>
  <c r="F29" i="162" s="1"/>
  <c r="G29" i="162" s="1"/>
  <c r="M29" i="162" s="1"/>
  <c r="J30" i="162"/>
  <c r="K25" i="162"/>
  <c r="G26" i="162"/>
  <c r="M26" i="162" s="1"/>
  <c r="J31" i="162" l="1"/>
  <c r="K24" i="162"/>
  <c r="G25" i="162"/>
  <c r="M25" i="162" s="1"/>
  <c r="D30" i="162"/>
  <c r="E30" i="162" s="1"/>
  <c r="F30" i="162" s="1"/>
  <c r="G30" i="162" s="1"/>
  <c r="M30" i="162" s="1"/>
  <c r="I31" i="162"/>
  <c r="K23" i="162" l="1"/>
  <c r="G24" i="162"/>
  <c r="M24" i="162" s="1"/>
  <c r="I32" i="162"/>
  <c r="D31" i="162"/>
  <c r="E31" i="162" s="1"/>
  <c r="F31" i="162" s="1"/>
  <c r="G31" i="162" s="1"/>
  <c r="M31" i="162" s="1"/>
  <c r="J32" i="162"/>
  <c r="D32" i="162" l="1"/>
  <c r="E32" i="162" s="1"/>
  <c r="F32" i="162" s="1"/>
  <c r="G32" i="162" s="1"/>
  <c r="M32" i="162" s="1"/>
  <c r="I33" i="162"/>
  <c r="J33" i="162"/>
  <c r="G23" i="162"/>
  <c r="M23" i="162" s="1"/>
  <c r="K22" i="162"/>
  <c r="J34" i="162" l="1"/>
  <c r="K21" i="162"/>
  <c r="G22" i="162"/>
  <c r="M22" i="162" s="1"/>
  <c r="I34" i="162"/>
  <c r="D33" i="162"/>
  <c r="E33" i="162" s="1"/>
  <c r="F33" i="162" s="1"/>
  <c r="G33" i="162" s="1"/>
  <c r="M33" i="162" s="1"/>
  <c r="B12" i="179"/>
  <c r="C5" i="174"/>
  <c r="D12" i="179" l="1"/>
  <c r="K20" i="162"/>
  <c r="G21" i="162"/>
  <c r="M21" i="162" s="1"/>
  <c r="I35" i="162"/>
  <c r="D34" i="162"/>
  <c r="E34" i="162" s="1"/>
  <c r="F34" i="162" s="1"/>
  <c r="G34" i="162" s="1"/>
  <c r="M34" i="162" s="1"/>
  <c r="J35" i="162"/>
  <c r="K19" i="162" l="1"/>
  <c r="G20" i="162"/>
  <c r="M20" i="162" s="1"/>
  <c r="J36" i="162"/>
  <c r="I36" i="162"/>
  <c r="D35" i="162"/>
  <c r="E35" i="162" s="1"/>
  <c r="F35" i="162" s="1"/>
  <c r="G35" i="162" s="1"/>
  <c r="M35" i="162" s="1"/>
  <c r="D36" i="162" l="1"/>
  <c r="E36" i="162" s="1"/>
  <c r="F36" i="162" s="1"/>
  <c r="G36" i="162" s="1"/>
  <c r="M36" i="162" s="1"/>
  <c r="I37" i="162"/>
  <c r="K18" i="162"/>
  <c r="G19" i="162"/>
  <c r="M19" i="162" s="1"/>
  <c r="J37" i="162"/>
  <c r="K17" i="162" l="1"/>
  <c r="G18" i="162"/>
  <c r="M18" i="162" s="1"/>
  <c r="J38" i="162"/>
  <c r="I38" i="162"/>
  <c r="D37" i="162"/>
  <c r="E37" i="162" s="1"/>
  <c r="F37" i="162" s="1"/>
  <c r="G37" i="162" s="1"/>
  <c r="M37" i="162" s="1"/>
  <c r="J39" i="162" l="1"/>
  <c r="I39" i="162"/>
  <c r="D38" i="162"/>
  <c r="E38" i="162" s="1"/>
  <c r="F38" i="162" s="1"/>
  <c r="G38" i="162" s="1"/>
  <c r="M38" i="162" s="1"/>
  <c r="K16" i="162"/>
  <c r="G17" i="162"/>
  <c r="M17" i="162" s="1"/>
  <c r="I40" i="162" l="1"/>
  <c r="D39" i="162"/>
  <c r="E39" i="162" s="1"/>
  <c r="F39" i="162" s="1"/>
  <c r="G39" i="162" s="1"/>
  <c r="M39" i="162" s="1"/>
  <c r="J40" i="162"/>
  <c r="K15" i="162"/>
  <c r="G16" i="162"/>
  <c r="M16" i="162" s="1"/>
  <c r="J41" i="162" l="1"/>
  <c r="K14" i="162"/>
  <c r="G15" i="162"/>
  <c r="M15" i="162" s="1"/>
  <c r="D40" i="162"/>
  <c r="E40" i="162" s="1"/>
  <c r="F40" i="162" s="1"/>
  <c r="G40" i="162" s="1"/>
  <c r="M40" i="162" s="1"/>
  <c r="I41" i="162"/>
  <c r="K13" i="162" l="1"/>
  <c r="G14" i="162"/>
  <c r="M14" i="162" s="1"/>
  <c r="I42" i="162"/>
  <c r="D41" i="162"/>
  <c r="E41" i="162" s="1"/>
  <c r="F41" i="162" s="1"/>
  <c r="G41" i="162" s="1"/>
  <c r="M41" i="162" s="1"/>
  <c r="J42" i="162"/>
  <c r="B5" i="174" l="1"/>
  <c r="D42" i="162"/>
  <c r="E42" i="162" s="1"/>
  <c r="F42" i="162" s="1"/>
  <c r="G42" i="162" s="1"/>
  <c r="M42" i="162" s="1"/>
  <c r="I43" i="162"/>
  <c r="J43" i="162"/>
  <c r="G13" i="162"/>
  <c r="M13" i="162" s="1"/>
  <c r="B11" i="179" s="1"/>
  <c r="K12" i="162"/>
  <c r="D5" i="174" l="1"/>
  <c r="B13" i="179"/>
  <c r="G12" i="162"/>
  <c r="M12" i="162" s="1"/>
  <c r="K11" i="162"/>
  <c r="D11" i="179"/>
  <c r="D10" i="179"/>
  <c r="J44" i="162"/>
  <c r="D43" i="162"/>
  <c r="E43" i="162" s="1"/>
  <c r="F43" i="162" s="1"/>
  <c r="G43" i="162" s="1"/>
  <c r="M43" i="162" s="1"/>
  <c r="I44" i="162"/>
  <c r="D9" i="179" l="1"/>
  <c r="D13" i="179"/>
  <c r="J45" i="162"/>
  <c r="G11" i="162"/>
  <c r="M11" i="162" s="1"/>
  <c r="K10" i="162"/>
  <c r="I45" i="162"/>
  <c r="D44" i="162"/>
  <c r="E44" i="162" s="1"/>
  <c r="F44" i="162" s="1"/>
  <c r="G44" i="162" s="1"/>
  <c r="M44" i="162" s="1"/>
  <c r="D8" i="179" l="1"/>
  <c r="J46" i="162"/>
  <c r="I46" i="162"/>
  <c r="D45" i="162"/>
  <c r="E45" i="162" s="1"/>
  <c r="F45" i="162" s="1"/>
  <c r="G45" i="162" s="1"/>
  <c r="M45" i="162" s="1"/>
  <c r="K9" i="162"/>
  <c r="G10" i="162"/>
  <c r="M10" i="162" s="1"/>
  <c r="D7" i="179" l="1"/>
  <c r="J47" i="162"/>
  <c r="G9" i="162"/>
  <c r="M9" i="162" s="1"/>
  <c r="K8" i="162"/>
  <c r="G8" i="162" s="1"/>
  <c r="M8" i="162" s="1"/>
  <c r="I47" i="162"/>
  <c r="D47" i="162" s="1"/>
  <c r="E47" i="162" s="1"/>
  <c r="D46" i="162"/>
  <c r="E46" i="162" s="1"/>
  <c r="F46" i="162" s="1"/>
  <c r="G46" i="162" s="1"/>
  <c r="M46" i="162" s="1"/>
  <c r="F47" i="162" l="1"/>
  <c r="G47" i="162" s="1"/>
  <c r="M47" i="162" s="1"/>
  <c r="D6" i="179"/>
  <c r="E5" i="174" l="1"/>
  <c r="B14" i="179"/>
  <c r="D14" i="179" l="1"/>
  <c r="F16" i="263" l="1"/>
  <c r="F17" i="263" s="1"/>
  <c r="G16" i="263"/>
  <c r="G17" i="263" s="1"/>
  <c r="C16" i="263"/>
  <c r="C17" i="263" s="1"/>
  <c r="V70" i="271" l="1"/>
  <c r="Q14" i="271"/>
  <c r="Q20" i="271"/>
  <c r="W45" i="271"/>
  <c r="Q16" i="271"/>
  <c r="W38" i="271"/>
  <c r="V58" i="271"/>
  <c r="V18" i="271"/>
  <c r="V83" i="271"/>
  <c r="V16" i="271"/>
  <c r="V14" i="271"/>
  <c r="V47" i="271"/>
  <c r="V35" i="271"/>
  <c r="V59" i="271"/>
  <c r="V23" i="271"/>
  <c r="V28" i="271"/>
  <c r="V44" i="271"/>
  <c r="V17" i="271"/>
  <c r="V65" i="271"/>
  <c r="V61" i="271"/>
  <c r="V48" i="271"/>
  <c r="V37" i="271"/>
  <c r="V22" i="271"/>
  <c r="V89" i="271"/>
  <c r="V72" i="271"/>
  <c r="V62" i="271"/>
  <c r="V30" i="271"/>
  <c r="V86" i="271"/>
  <c r="V55" i="271"/>
  <c r="V60" i="271"/>
  <c r="V24" i="271"/>
  <c r="V34" i="271"/>
  <c r="V45" i="271"/>
  <c r="V76" i="271"/>
  <c r="V79" i="271"/>
  <c r="V39" i="271"/>
  <c r="V36" i="271"/>
  <c r="V68" i="271"/>
  <c r="V27" i="271"/>
  <c r="V50" i="271"/>
  <c r="V77" i="271"/>
  <c r="V78" i="271"/>
  <c r="V49" i="271"/>
  <c r="V38" i="271"/>
  <c r="V32" i="271"/>
  <c r="V19" i="271"/>
  <c r="V64" i="271"/>
  <c r="V93" i="271"/>
  <c r="V82" i="271"/>
  <c r="V85" i="271"/>
  <c r="V69" i="271"/>
  <c r="V80" i="271"/>
  <c r="V84" i="271"/>
  <c r="V75" i="271"/>
  <c r="V88" i="271"/>
  <c r="V73" i="271"/>
  <c r="V71" i="271"/>
  <c r="V56" i="271"/>
  <c r="V63" i="271"/>
  <c r="V51" i="271"/>
  <c r="V66" i="271"/>
  <c r="V52" i="271"/>
  <c r="V53" i="271"/>
  <c r="V29" i="271"/>
  <c r="V15" i="271"/>
  <c r="V81" i="271"/>
  <c r="V87" i="271"/>
  <c r="V12" i="271"/>
  <c r="V21" i="271"/>
  <c r="V67" i="271"/>
  <c r="V20" i="271"/>
  <c r="V40" i="271"/>
  <c r="V57" i="271"/>
  <c r="V90" i="271"/>
  <c r="V74" i="271"/>
  <c r="V92" i="271"/>
  <c r="T52" i="271"/>
  <c r="T45" i="271"/>
  <c r="T28" i="271"/>
  <c r="T14" i="271"/>
  <c r="T84" i="271"/>
  <c r="T77" i="271"/>
  <c r="T57" i="271"/>
  <c r="T19" i="271"/>
  <c r="T51" i="271"/>
  <c r="T81" i="271"/>
  <c r="T82" i="271"/>
  <c r="T16" i="271"/>
  <c r="T38" i="271"/>
  <c r="T90" i="271"/>
  <c r="T40" i="271"/>
  <c r="T36" i="271"/>
  <c r="T66" i="271"/>
  <c r="T61" i="271"/>
  <c r="T44" i="271"/>
  <c r="T71" i="271"/>
  <c r="T89" i="271"/>
  <c r="T22" i="271"/>
  <c r="T63" i="271"/>
  <c r="T50" i="271"/>
  <c r="T15" i="271"/>
  <c r="T93" i="271"/>
  <c r="T75" i="271"/>
  <c r="T24" i="271"/>
  <c r="T35" i="271"/>
  <c r="T18" i="271"/>
  <c r="T88" i="271"/>
  <c r="T41" i="271"/>
  <c r="T73" i="271"/>
  <c r="T21" i="271"/>
  <c r="T79" i="271"/>
  <c r="T34" i="271"/>
  <c r="T68" i="271"/>
  <c r="T72" i="271"/>
  <c r="T86" i="271"/>
  <c r="T32" i="271"/>
  <c r="T55" i="271"/>
  <c r="T69" i="271"/>
  <c r="T17" i="271"/>
  <c r="T47" i="271"/>
  <c r="T26" i="271"/>
  <c r="T65" i="271"/>
  <c r="T58" i="271"/>
  <c r="T87" i="271"/>
  <c r="T92" i="271"/>
  <c r="T59" i="271"/>
  <c r="T20" i="271"/>
  <c r="T74" i="271"/>
  <c r="T62" i="271"/>
  <c r="T37" i="271"/>
  <c r="T53" i="271"/>
  <c r="T67" i="271"/>
  <c r="T49" i="271"/>
  <c r="T60" i="271"/>
  <c r="T29" i="271"/>
  <c r="T27" i="271"/>
  <c r="T48" i="271"/>
  <c r="T78" i="271"/>
  <c r="T43" i="271"/>
  <c r="T30" i="271"/>
  <c r="T70" i="271"/>
  <c r="T23" i="271"/>
  <c r="T80" i="271"/>
  <c r="T39" i="271"/>
  <c r="T76" i="271"/>
  <c r="T85" i="271"/>
  <c r="T64" i="271"/>
  <c r="T83" i="271"/>
  <c r="T56" i="271"/>
  <c r="T12" i="271"/>
  <c r="X82" i="271"/>
  <c r="X47" i="271"/>
  <c r="X30" i="271"/>
  <c r="X53" i="271"/>
  <c r="X12" i="271"/>
  <c r="X69" i="271"/>
  <c r="X20" i="271"/>
  <c r="X62" i="271"/>
  <c r="X45" i="271"/>
  <c r="X57" i="271"/>
  <c r="X22" i="271"/>
  <c r="X49" i="271"/>
  <c r="X75" i="271"/>
  <c r="X55" i="271"/>
  <c r="X66" i="271"/>
  <c r="X56" i="271"/>
  <c r="X58" i="271"/>
  <c r="X38" i="271"/>
  <c r="X41" i="271"/>
  <c r="X15" i="271"/>
  <c r="X48" i="271"/>
  <c r="X76" i="271"/>
  <c r="X16" i="271"/>
  <c r="X79" i="271"/>
  <c r="X83" i="271"/>
  <c r="X87" i="271"/>
  <c r="X90" i="271"/>
  <c r="X64" i="271"/>
  <c r="X78" i="271"/>
  <c r="X23" i="271"/>
  <c r="X36" i="271"/>
  <c r="X34" i="271"/>
  <c r="X85" i="271"/>
  <c r="X88" i="271"/>
  <c r="X32" i="271"/>
  <c r="X71" i="271"/>
  <c r="X28" i="271"/>
  <c r="X68" i="271"/>
  <c r="X29" i="271"/>
  <c r="X61" i="271"/>
  <c r="X50" i="271"/>
  <c r="X17" i="271"/>
  <c r="X35" i="271"/>
  <c r="X39" i="271"/>
  <c r="X52" i="271"/>
  <c r="X72" i="271"/>
  <c r="X74" i="271"/>
  <c r="X65" i="271"/>
  <c r="X89" i="271"/>
  <c r="X51" i="271"/>
  <c r="X18" i="271"/>
  <c r="X81" i="271"/>
  <c r="X43" i="271"/>
  <c r="X14" i="271"/>
  <c r="X44" i="271"/>
  <c r="X63" i="271"/>
  <c r="X70" i="271"/>
  <c r="X67" i="271"/>
  <c r="X59" i="271"/>
  <c r="X27" i="271"/>
  <c r="X80" i="271"/>
  <c r="X26" i="271"/>
  <c r="X93" i="271"/>
  <c r="X86" i="271"/>
  <c r="X60" i="271"/>
  <c r="X92" i="271"/>
  <c r="X19" i="271"/>
  <c r="X84" i="271"/>
  <c r="X40" i="271"/>
  <c r="X73" i="271"/>
  <c r="X21" i="271"/>
  <c r="X37" i="271"/>
  <c r="X77" i="271"/>
  <c r="X24" i="271"/>
  <c r="R47" i="271"/>
  <c r="R82" i="271"/>
  <c r="R41" i="271"/>
  <c r="R70" i="271"/>
  <c r="R37" i="271"/>
  <c r="R49" i="271"/>
  <c r="R57" i="271"/>
  <c r="R21" i="271"/>
  <c r="R61" i="271"/>
  <c r="R29" i="271"/>
  <c r="R17" i="271"/>
  <c r="R16" i="271"/>
  <c r="R44" i="271"/>
  <c r="R81" i="271"/>
  <c r="R32" i="271"/>
  <c r="R12" i="271"/>
  <c r="R50" i="271"/>
  <c r="R28" i="271"/>
  <c r="R30" i="271"/>
  <c r="R56" i="271"/>
  <c r="R39" i="271"/>
  <c r="R23" i="271"/>
  <c r="R67" i="271"/>
  <c r="R93" i="271"/>
  <c r="R26" i="271"/>
  <c r="R85" i="271"/>
  <c r="R48" i="271"/>
  <c r="R24" i="271"/>
  <c r="R35" i="271"/>
  <c r="R71" i="271"/>
  <c r="R75" i="271"/>
  <c r="R79" i="271"/>
  <c r="R15" i="271"/>
  <c r="R86" i="271"/>
  <c r="R36" i="271"/>
  <c r="R20" i="271"/>
  <c r="R92" i="271"/>
  <c r="R77" i="271"/>
  <c r="R65" i="271"/>
  <c r="R83" i="271"/>
  <c r="R80" i="271"/>
  <c r="R63" i="271"/>
  <c r="R40" i="271"/>
  <c r="R64" i="271"/>
  <c r="R66" i="271"/>
  <c r="R18" i="271"/>
  <c r="R87" i="271"/>
  <c r="R60" i="271"/>
  <c r="R34" i="271"/>
  <c r="R19" i="271"/>
  <c r="R38" i="271"/>
  <c r="R88" i="271"/>
  <c r="R45" i="271"/>
  <c r="R73" i="271"/>
  <c r="R22" i="271"/>
  <c r="R76" i="271"/>
  <c r="R89" i="271"/>
  <c r="R84" i="271"/>
  <c r="R52" i="271"/>
  <c r="R43" i="271"/>
  <c r="R72" i="271"/>
  <c r="R53" i="271"/>
  <c r="R14" i="271"/>
  <c r="R69" i="271"/>
  <c r="R62" i="271"/>
  <c r="R78" i="271"/>
  <c r="R90" i="271"/>
  <c r="R68" i="271"/>
  <c r="R74" i="271"/>
  <c r="R59" i="271"/>
  <c r="R58" i="271"/>
  <c r="R27" i="271"/>
  <c r="R51" i="271"/>
  <c r="R55" i="271"/>
  <c r="Q48" i="271"/>
  <c r="Q52" i="271"/>
  <c r="Q32" i="271"/>
  <c r="Q36" i="271"/>
  <c r="Q73" i="271"/>
  <c r="Q72" i="271"/>
  <c r="Q75" i="271"/>
  <c r="Q63" i="271"/>
  <c r="Q88" i="271"/>
  <c r="Q58" i="271"/>
  <c r="Q83" i="271"/>
  <c r="Q81" i="271"/>
  <c r="Q78" i="271"/>
  <c r="Q65" i="271"/>
  <c r="Q56" i="271"/>
  <c r="Q57" i="271"/>
  <c r="Q59" i="271"/>
  <c r="Q61" i="271"/>
  <c r="Q80" i="271"/>
  <c r="Q74" i="271"/>
  <c r="Q70" i="271"/>
  <c r="Q89" i="271"/>
  <c r="Q64" i="271"/>
  <c r="Q86" i="271"/>
  <c r="Q60" i="271"/>
  <c r="Q87" i="271"/>
  <c r="Q85" i="271"/>
  <c r="Q77" i="271"/>
  <c r="Q68" i="271"/>
  <c r="Q69" i="271"/>
  <c r="Q71" i="271"/>
  <c r="Q82" i="271"/>
  <c r="Q62" i="271"/>
  <c r="Q66" i="271"/>
  <c r="Q90" i="271"/>
  <c r="Q67" i="271"/>
  <c r="Q84" i="271"/>
  <c r="Q79" i="271"/>
  <c r="Q76" i="271"/>
  <c r="Q92" i="271"/>
  <c r="Q55" i="271"/>
  <c r="Q38" i="271"/>
  <c r="S26" i="271"/>
  <c r="S72" i="271"/>
  <c r="S14" i="271"/>
  <c r="S65" i="271"/>
  <c r="S67" i="271"/>
  <c r="S85" i="271"/>
  <c r="S15" i="271"/>
  <c r="S21" i="271"/>
  <c r="S89" i="271"/>
  <c r="S79" i="271"/>
  <c r="S48" i="271"/>
  <c r="S20" i="271"/>
  <c r="S66" i="271"/>
  <c r="S71" i="271"/>
  <c r="S18" i="271"/>
  <c r="S17" i="271"/>
  <c r="S90" i="271"/>
  <c r="S77" i="271"/>
  <c r="S41" i="271"/>
  <c r="S52" i="271"/>
  <c r="S63" i="271"/>
  <c r="S39" i="271"/>
  <c r="S45" i="271"/>
  <c r="S35" i="271"/>
  <c r="S69" i="271"/>
  <c r="S93" i="271"/>
  <c r="S82" i="271"/>
  <c r="S70" i="271"/>
  <c r="S86" i="271"/>
  <c r="S61" i="271"/>
  <c r="S12" i="271"/>
  <c r="S80" i="271"/>
  <c r="S22" i="271"/>
  <c r="S83" i="271"/>
  <c r="S44" i="271"/>
  <c r="S29" i="271"/>
  <c r="S76" i="271"/>
  <c r="S27" i="271"/>
  <c r="S55" i="271"/>
  <c r="S73" i="271"/>
  <c r="S47" i="271"/>
  <c r="S43" i="271"/>
  <c r="S68" i="271"/>
  <c r="S62" i="271"/>
  <c r="S36" i="271"/>
  <c r="S50" i="271"/>
  <c r="S84" i="271"/>
  <c r="S57" i="271"/>
  <c r="S30" i="271"/>
  <c r="S34" i="271"/>
  <c r="S38" i="271"/>
  <c r="S51" i="271"/>
  <c r="S56" i="271"/>
  <c r="S88" i="271"/>
  <c r="S78" i="271"/>
  <c r="S58" i="271"/>
  <c r="S19" i="271"/>
  <c r="S74" i="271"/>
  <c r="S87" i="271"/>
  <c r="S60" i="271"/>
  <c r="S59" i="271"/>
  <c r="S81" i="271"/>
  <c r="S23" i="271"/>
  <c r="S24" i="271"/>
  <c r="S53" i="271"/>
  <c r="S75" i="271"/>
  <c r="S32" i="271"/>
  <c r="S28" i="271"/>
  <c r="S49" i="271"/>
  <c r="S16" i="271"/>
  <c r="S92" i="271"/>
  <c r="S37" i="271"/>
  <c r="S40" i="271"/>
  <c r="S64" i="271"/>
  <c r="W17" i="271"/>
  <c r="W35" i="271"/>
  <c r="Q11" i="271"/>
  <c r="W39" i="271"/>
  <c r="P39" i="271" s="1"/>
  <c r="W74" i="271"/>
  <c r="W56" i="271"/>
  <c r="W84" i="271"/>
  <c r="W65" i="271"/>
  <c r="W79" i="271"/>
  <c r="W57" i="271"/>
  <c r="W70" i="271"/>
  <c r="W86" i="271"/>
  <c r="W60" i="271"/>
  <c r="W82" i="271"/>
  <c r="W92" i="271"/>
  <c r="W87" i="271"/>
  <c r="W55" i="271"/>
  <c r="W68" i="271"/>
  <c r="W67" i="271"/>
  <c r="W73" i="271"/>
  <c r="W72" i="271"/>
  <c r="W64" i="271"/>
  <c r="W88" i="271"/>
  <c r="W59" i="271"/>
  <c r="W61" i="271"/>
  <c r="W78" i="271"/>
  <c r="W77" i="271"/>
  <c r="W69" i="271"/>
  <c r="W75" i="271"/>
  <c r="W62" i="271"/>
  <c r="W83" i="271"/>
  <c r="W89" i="271"/>
  <c r="W76" i="271"/>
  <c r="W63" i="271"/>
  <c r="W66" i="271"/>
  <c r="W58" i="271"/>
  <c r="W71" i="271"/>
  <c r="W90" i="271"/>
  <c r="W80" i="271"/>
  <c r="W81" i="271"/>
  <c r="W85" i="271"/>
  <c r="P38" i="271" l="1"/>
  <c r="P35" i="271"/>
  <c r="P17" i="271"/>
  <c r="Q43" i="271"/>
  <c r="X11" i="271"/>
  <c r="X10" i="271" s="1"/>
  <c r="Q41" i="271"/>
  <c r="W49" i="271"/>
  <c r="P49" i="271" s="1"/>
  <c r="W43" i="271"/>
  <c r="P43" i="271" s="1"/>
  <c r="Q22" i="271"/>
  <c r="T11" i="271"/>
  <c r="T10" i="271" s="1"/>
  <c r="V41" i="271"/>
  <c r="W14" i="271"/>
  <c r="P14" i="271" s="1"/>
  <c r="V43" i="271"/>
  <c r="W27" i="271"/>
  <c r="P27" i="271" s="1"/>
  <c r="P45" i="271"/>
  <c r="W26" i="271"/>
  <c r="P26" i="271" s="1"/>
  <c r="V11" i="271"/>
  <c r="S11" i="271"/>
  <c r="S10" i="271" s="1"/>
  <c r="Q19" i="271"/>
  <c r="U84" i="271"/>
  <c r="V26" i="271"/>
  <c r="Q49" i="271"/>
  <c r="R11" i="271"/>
  <c r="R10" i="271" s="1"/>
  <c r="Q50" i="271"/>
  <c r="Q24" i="271"/>
  <c r="U27" i="271"/>
  <c r="U90" i="271"/>
  <c r="U71" i="271"/>
  <c r="U59" i="271"/>
  <c r="U65" i="271"/>
  <c r="U67" i="271"/>
  <c r="U76" i="271"/>
  <c r="U78" i="271"/>
  <c r="U77" i="271"/>
  <c r="U83" i="271"/>
  <c r="W28" i="271"/>
  <c r="P28" i="271" s="1"/>
  <c r="W19" i="271"/>
  <c r="P19" i="271" s="1"/>
  <c r="Q51" i="271"/>
  <c r="W15" i="271"/>
  <c r="P15" i="271" s="1"/>
  <c r="W36" i="271"/>
  <c r="P36" i="271" s="1"/>
  <c r="Q21" i="271"/>
  <c r="Q93" i="271"/>
  <c r="W50" i="271"/>
  <c r="P50" i="271" s="1"/>
  <c r="Q29" i="271"/>
  <c r="U79" i="271"/>
  <c r="U93" i="271"/>
  <c r="U52" i="271"/>
  <c r="O52" i="271" s="1"/>
  <c r="U72" i="271"/>
  <c r="U75" i="271"/>
  <c r="U74" i="271"/>
  <c r="U23" i="271"/>
  <c r="U51" i="271"/>
  <c r="U39" i="271"/>
  <c r="Q45" i="271"/>
  <c r="Q44" i="271"/>
  <c r="W48" i="271"/>
  <c r="P48" i="271" s="1"/>
  <c r="W30" i="271"/>
  <c r="P30" i="271" s="1"/>
  <c r="W16" i="271"/>
  <c r="P16" i="271" s="1"/>
  <c r="Q34" i="271"/>
  <c r="W20" i="271"/>
  <c r="P20" i="271" s="1"/>
  <c r="U24" i="271"/>
  <c r="U22" i="271"/>
  <c r="U34" i="271"/>
  <c r="U15" i="271"/>
  <c r="U48" i="271"/>
  <c r="O48" i="271" s="1"/>
  <c r="U28" i="271"/>
  <c r="U86" i="271"/>
  <c r="U17" i="271"/>
  <c r="U50" i="271"/>
  <c r="W47" i="271"/>
  <c r="P47" i="271" s="1"/>
  <c r="U11" i="271"/>
  <c r="W12" i="271"/>
  <c r="P12" i="271" s="1"/>
  <c r="W11" i="271"/>
  <c r="Q28" i="271"/>
  <c r="Q17" i="271"/>
  <c r="Q23" i="271"/>
  <c r="Q18" i="271"/>
  <c r="U19" i="271"/>
  <c r="U35" i="271"/>
  <c r="U89" i="271"/>
  <c r="U56" i="271"/>
  <c r="U30" i="271"/>
  <c r="U92" i="271"/>
  <c r="U82" i="271"/>
  <c r="U61" i="271"/>
  <c r="U87" i="271"/>
  <c r="Q30" i="271"/>
  <c r="Q15" i="271"/>
  <c r="O15" i="271" s="1"/>
  <c r="W93" i="271"/>
  <c r="P93" i="271" s="1"/>
  <c r="Q35" i="271"/>
  <c r="W41" i="271"/>
  <c r="P41" i="271" s="1"/>
  <c r="W24" i="271"/>
  <c r="P24" i="271" s="1"/>
  <c r="U49" i="271"/>
  <c r="U43" i="271"/>
  <c r="U64" i="271"/>
  <c r="U26" i="271"/>
  <c r="U44" i="271"/>
  <c r="U21" i="271"/>
  <c r="U41" i="271"/>
  <c r="U53" i="271"/>
  <c r="U38" i="271"/>
  <c r="O38" i="271" s="1"/>
  <c r="Q39" i="271"/>
  <c r="W40" i="271"/>
  <c r="P40" i="271" s="1"/>
  <c r="Q53" i="271"/>
  <c r="W23" i="271"/>
  <c r="P23" i="271" s="1"/>
  <c r="Q27" i="271"/>
  <c r="O27" i="271" s="1"/>
  <c r="Q47" i="271"/>
  <c r="Q37" i="271"/>
  <c r="U12" i="271"/>
  <c r="U66" i="271"/>
  <c r="U57" i="271"/>
  <c r="U20" i="271"/>
  <c r="O20" i="271" s="1"/>
  <c r="U81" i="271"/>
  <c r="U68" i="271"/>
  <c r="U70" i="271"/>
  <c r="U63" i="271"/>
  <c r="U40" i="271"/>
  <c r="Q40" i="271"/>
  <c r="Q12" i="271"/>
  <c r="W18" i="271"/>
  <c r="P18" i="271" s="1"/>
  <c r="W51" i="271"/>
  <c r="P51" i="271" s="1"/>
  <c r="W29" i="271"/>
  <c r="P29" i="271" s="1"/>
  <c r="W44" i="271"/>
  <c r="P44" i="271" s="1"/>
  <c r="W32" i="271"/>
  <c r="P32" i="271" s="1"/>
  <c r="W52" i="271"/>
  <c r="P52" i="271" s="1"/>
  <c r="U14" i="271"/>
  <c r="O14" i="271" s="1"/>
  <c r="U62" i="271"/>
  <c r="U60" i="271"/>
  <c r="U88" i="271"/>
  <c r="U32" i="271"/>
  <c r="O32" i="271" s="1"/>
  <c r="U29" i="271"/>
  <c r="U69" i="271"/>
  <c r="U45" i="271"/>
  <c r="U58" i="271"/>
  <c r="W34" i="271"/>
  <c r="P34" i="271" s="1"/>
  <c r="W37" i="271"/>
  <c r="P37" i="271" s="1"/>
  <c r="W22" i="271"/>
  <c r="P22" i="271" s="1"/>
  <c r="Q26" i="271"/>
  <c r="W21" i="271"/>
  <c r="P21" i="271" s="1"/>
  <c r="U85" i="271"/>
  <c r="U73" i="271"/>
  <c r="U80" i="271"/>
  <c r="U37" i="271"/>
  <c r="U16" i="271"/>
  <c r="O16" i="271" s="1"/>
  <c r="U18" i="271"/>
  <c r="U47" i="271"/>
  <c r="U36" i="271"/>
  <c r="O36" i="271" s="1"/>
  <c r="U55" i="271"/>
  <c r="W53" i="271"/>
  <c r="P53" i="271" s="1"/>
  <c r="N38" i="271" l="1"/>
  <c r="O28" i="271"/>
  <c r="N28" i="271" s="1"/>
  <c r="O23" i="271"/>
  <c r="N23" i="271" s="1"/>
  <c r="O19" i="271"/>
  <c r="N19" i="271" s="1"/>
  <c r="N14" i="271"/>
  <c r="O49" i="271"/>
  <c r="N49" i="271" s="1"/>
  <c r="O22" i="271"/>
  <c r="N22" i="271" s="1"/>
  <c r="O26" i="271"/>
  <c r="N26" i="271" s="1"/>
  <c r="O35" i="271"/>
  <c r="N35" i="271" s="1"/>
  <c r="O41" i="271"/>
  <c r="N41" i="271" s="1"/>
  <c r="O39" i="271"/>
  <c r="N39" i="271" s="1"/>
  <c r="O43" i="271"/>
  <c r="N43" i="271" s="1"/>
  <c r="O34" i="271"/>
  <c r="N34" i="271" s="1"/>
  <c r="N27" i="271"/>
  <c r="O93" i="271"/>
  <c r="O12" i="271"/>
  <c r="N12" i="271" s="1"/>
  <c r="V10" i="271"/>
  <c r="N52" i="271"/>
  <c r="O18" i="271"/>
  <c r="N18" i="271" s="1"/>
  <c r="N32" i="271"/>
  <c r="O37" i="271"/>
  <c r="N37" i="271" s="1"/>
  <c r="N20" i="271"/>
  <c r="O29" i="271"/>
  <c r="N29" i="271" s="1"/>
  <c r="O47" i="271"/>
  <c r="N47" i="271" s="1"/>
  <c r="O17" i="271"/>
  <c r="N17" i="271" s="1"/>
  <c r="N16" i="271"/>
  <c r="W10" i="271"/>
  <c r="P10" i="271" s="1"/>
  <c r="P11" i="271"/>
  <c r="O21" i="271"/>
  <c r="N21" i="271" s="1"/>
  <c r="O24" i="271"/>
  <c r="N24" i="271" s="1"/>
  <c r="Q10" i="271"/>
  <c r="O53" i="271"/>
  <c r="N53" i="271" s="1"/>
  <c r="N48" i="271"/>
  <c r="N36" i="271"/>
  <c r="O50" i="271"/>
  <c r="N50" i="271" s="1"/>
  <c r="O30" i="271"/>
  <c r="N30" i="271" s="1"/>
  <c r="U10" i="271"/>
  <c r="O44" i="271"/>
  <c r="N44" i="271" s="1"/>
  <c r="N15" i="271"/>
  <c r="O11" i="271"/>
  <c r="O40" i="271"/>
  <c r="N40" i="271" s="1"/>
  <c r="O45" i="271"/>
  <c r="N45" i="271" s="1"/>
  <c r="O51" i="271"/>
  <c r="N51" i="271" s="1"/>
  <c r="N11" i="271" l="1"/>
  <c r="N10" i="271" s="1"/>
  <c r="O10" i="2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A62" authorId="0" shapeId="0" xr:uid="{00000000-0006-0000-0B00-000001000000}">
      <text>
        <r>
          <rPr>
            <b/>
            <sz val="9"/>
            <color indexed="81"/>
            <rFont val="Garamond"/>
            <family val="2"/>
          </rPr>
          <t>Gabriel Zucman:</t>
        </r>
        <r>
          <rPr>
            <sz val="9"/>
            <color indexed="81"/>
            <rFont val="Garamond"/>
            <family val="2"/>
          </rPr>
          <t xml:space="preserve">
British Virgin Islands, Cayman Islands, Montserrat, and Turks and Caicos Islands. </t>
        </r>
      </text>
    </comment>
    <comment ref="A63" authorId="0" shapeId="0" xr:uid="{00000000-0006-0000-0B00-000002000000}">
      <text>
        <r>
          <rPr>
            <b/>
            <sz val="9"/>
            <color indexed="81"/>
            <rFont val="Garamond"/>
            <family val="2"/>
          </rPr>
          <t>Gabriel Zucman:</t>
        </r>
        <r>
          <rPr>
            <sz val="9"/>
            <color indexed="81"/>
            <rFont val="Garamond"/>
            <family val="2"/>
          </rPr>
          <t xml:space="preserve">
Includes Bahamas, Aruba, Anguilla, Dominica,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A62" authorId="0" shapeId="0" xr:uid="{00000000-0006-0000-0C00-000001000000}">
      <text>
        <r>
          <rPr>
            <b/>
            <sz val="9"/>
            <color indexed="81"/>
            <rFont val="Garamond"/>
            <family val="2"/>
          </rPr>
          <t>Gabriel Zucman:</t>
        </r>
        <r>
          <rPr>
            <sz val="9"/>
            <color indexed="81"/>
            <rFont val="Garamond"/>
            <family val="2"/>
          </rPr>
          <t xml:space="preserve">
British Virgin Islands, Cayman Islands, Montserrat, and Turks and Caicos Islands. </t>
        </r>
      </text>
    </comment>
    <comment ref="A63" authorId="0" shapeId="0" xr:uid="{00000000-0006-0000-0C00-000002000000}">
      <text>
        <r>
          <rPr>
            <b/>
            <sz val="9"/>
            <color indexed="81"/>
            <rFont val="Garamond"/>
            <family val="2"/>
          </rPr>
          <t>Gabriel Zucman:</t>
        </r>
        <r>
          <rPr>
            <sz val="9"/>
            <color indexed="81"/>
            <rFont val="Garamond"/>
            <family val="2"/>
          </rPr>
          <t xml:space="preserve">
Includes Bahamas, Aruba, Anguilla, Dominica,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Gabriel Zucman</author>
  </authors>
  <commentList>
    <comment ref="B27" authorId="0" shapeId="0" xr:uid="{00000000-0006-0000-1100-000001000000}">
      <text>
        <r>
          <rPr>
            <b/>
            <sz val="9"/>
            <color indexed="81"/>
            <rFont val="Garamond"/>
            <family val="2"/>
          </rPr>
          <t>Gabriel Zucman:</t>
        </r>
        <r>
          <rPr>
            <sz val="9"/>
            <color indexed="81"/>
            <rFont val="Garamond"/>
            <family val="2"/>
          </rPr>
          <t xml:space="preserve">
Uses asset/liability data rather than directional</t>
        </r>
      </text>
    </comment>
  </commentList>
</comments>
</file>

<file path=xl/sharedStrings.xml><?xml version="1.0" encoding="utf-8"?>
<sst xmlns="http://schemas.openxmlformats.org/spreadsheetml/2006/main" count="11012" uniqueCount="2002">
  <si>
    <t>Table A.1: Value-added by sector (2015)</t>
  </si>
  <si>
    <t>[1]</t>
  </si>
  <si>
    <t>[2]</t>
  </si>
  <si>
    <t>[3]</t>
  </si>
  <si>
    <t>[4]</t>
  </si>
  <si>
    <t>[5]</t>
  </si>
  <si>
    <t>[6]</t>
  </si>
  <si>
    <t>[7]</t>
  </si>
  <si>
    <t>[8]</t>
  </si>
  <si>
    <t>[9]</t>
  </si>
  <si>
    <t>[10]</t>
  </si>
  <si>
    <t>[11]</t>
  </si>
  <si>
    <t>[12]</t>
  </si>
  <si>
    <t>[13]</t>
  </si>
  <si>
    <r>
      <rPr>
        <sz val="12"/>
        <color theme="1"/>
        <rFont val="Arial"/>
        <family val="2"/>
      </rPr>
      <t>Billion c</t>
    </r>
    <r>
      <rPr>
        <sz val="12"/>
        <color theme="1"/>
        <rFont val="Arial"/>
        <family val="2"/>
      </rPr>
      <t>urrent US$</t>
    </r>
  </si>
  <si>
    <t>% of total value-added at factor cost</t>
  </si>
  <si>
    <t>Memo: depreciation (billion US$)</t>
  </si>
  <si>
    <t>Memo: depreciation (% GDP)</t>
  </si>
  <si>
    <t>GDP</t>
  </si>
  <si>
    <t>Taxes on production net of subsidies</t>
  </si>
  <si>
    <t>Value-added at factor cost</t>
  </si>
  <si>
    <t>Corporate sector</t>
  </si>
  <si>
    <t>Non-financial corporations</t>
  </si>
  <si>
    <t>Financial corporations</t>
  </si>
  <si>
    <t>Government sector</t>
  </si>
  <si>
    <t>Non-corporate businesses, households &amp; NPISH</t>
  </si>
  <si>
    <t>Check</t>
  </si>
  <si>
    <t>KD corp / KD all</t>
  </si>
  <si>
    <t>OECD countries</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</si>
  <si>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</si>
  <si>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</si>
  <si>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</si>
  <si>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</si>
  <si>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</si>
  <si>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</si>
  <si>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</si>
  <si>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</si>
  <si>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</si>
  <si>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</si>
  <si>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</si>
  <si>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</si>
  <si>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</si>
  <si>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</si>
  <si>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</si>
  <si>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</si>
  <si>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</si>
  <si>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</si>
  <si>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</si>
  <si>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</si>
  <si>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</si>
  <si>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</si>
  <si>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</si>
  <si>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</si>
  <si>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</si>
  <si>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</si>
  <si>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</si>
  <si>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Slovakia</t>
  </si>
  <si>
    <t>Slovenia</t>
  </si>
  <si>
    <t>Spain</t>
  </si>
  <si>
    <t>Sweden</t>
  </si>
  <si>
    <t>Switzerland</t>
  </si>
  <si>
    <t>Turkey</t>
  </si>
  <si>
    <t>United Kingdom</t>
  </si>
  <si>
    <t>United States</t>
  </si>
  <si>
    <t>Main developing countries</t>
  </si>
  <si>
    <t>Brazil</t>
  </si>
  <si>
    <t>China</t>
  </si>
  <si>
    <t>Colombia</t>
  </si>
  <si>
    <t>Costa Rica</t>
  </si>
  <si>
    <t>India</t>
  </si>
  <si>
    <t>Russia</t>
  </si>
  <si>
    <t>South Africa</t>
  </si>
  <si>
    <t>Non-OECD tax havens</t>
  </si>
  <si>
    <t>Andorra</t>
  </si>
  <si>
    <t>Anguilla</t>
  </si>
  <si>
    <t>Antigua and Barbuda</t>
  </si>
  <si>
    <t>Aruba</t>
  </si>
  <si>
    <t>Bahamas, The</t>
  </si>
  <si>
    <t>Bahrain</t>
  </si>
  <si>
    <t>Barbados</t>
  </si>
  <si>
    <t>Belize</t>
  </si>
  <si>
    <t>Bermuda</t>
  </si>
  <si>
    <t>Bonaire</t>
  </si>
  <si>
    <t>British Virgin Islands</t>
  </si>
  <si>
    <t>Cayman Islands</t>
  </si>
  <si>
    <t>Curacao</t>
  </si>
  <si>
    <t>Cyprus</t>
  </si>
  <si>
    <t>Jersey</t>
  </si>
  <si>
    <t>Grenada</t>
  </si>
  <si>
    <t>Guernsey</t>
  </si>
  <si>
    <t>Gibraltar</t>
  </si>
  <si>
    <t>Hong Kong</t>
  </si>
  <si>
    <t>Isle of man</t>
  </si>
  <si>
    <t>Lebanon</t>
  </si>
  <si>
    <t>Liechtenstein</t>
  </si>
  <si>
    <t>Macau</t>
  </si>
  <si>
    <t>Malta</t>
  </si>
  <si>
    <t>Marshall Islands</t>
  </si>
  <si>
    <t>Monaco</t>
  </si>
  <si>
    <t>Sint Maarten</t>
  </si>
  <si>
    <t>Mauritius</t>
  </si>
  <si>
    <t>Seychelles</t>
  </si>
  <si>
    <t>Singapore</t>
  </si>
  <si>
    <t>St. Kitts and Nevis</t>
  </si>
  <si>
    <t>St. Lucia</t>
  </si>
  <si>
    <t>St. Vincent and the Grenadines</t>
  </si>
  <si>
    <t>Turks and Caicos</t>
  </si>
  <si>
    <t>Panama</t>
  </si>
  <si>
    <t>Puerto Rico</t>
  </si>
  <si>
    <t>Rest of world</t>
  </si>
  <si>
    <t>World total</t>
  </si>
  <si>
    <r>
      <rPr>
        <u/>
        <sz val="12"/>
        <color theme="1"/>
        <rFont val="Arial"/>
        <family val="2"/>
      </rPr>
      <t>Notes</t>
    </r>
    <r>
      <rPr>
        <sz val="12"/>
        <color theme="1"/>
        <rFont val="Arial"/>
        <family val="2"/>
      </rPr>
      <t>:  The share of the corporate sector in total value-added at factor cost is imputed when no data is available, see formulas and Online Appendix Section A.2. In this and subsequent tables, data for Brazil and South Africa are for 2014</t>
    </r>
  </si>
  <si>
    <t>Average shares</t>
  </si>
  <si>
    <t>Taxes on production net of subsidies/GDP</t>
  </si>
  <si>
    <t>Corporate sector/Value-added at factor cost</t>
  </si>
  <si>
    <t>OECD</t>
  </si>
  <si>
    <t>Havens</t>
  </si>
  <si>
    <t>Developing</t>
  </si>
  <si>
    <t>Table A.2: Value-added in the corporate sector: decomposition by cost component (2015)</t>
  </si>
  <si>
    <t>Capital share (gross)</t>
  </si>
  <si>
    <t>Capital share         (net)</t>
  </si>
  <si>
    <t>Labor share          (net)</t>
  </si>
  <si>
    <t>Net interest paid / net operating surplus</t>
  </si>
  <si>
    <t>Profits / compensation</t>
  </si>
  <si>
    <t>Value-added of the corporate sector</t>
  </si>
  <si>
    <t>Compensation of employees</t>
  </si>
  <si>
    <t>Net operating surplus</t>
  </si>
  <si>
    <t>Net interest paid</t>
  </si>
  <si>
    <t>Corporate profits</t>
  </si>
  <si>
    <t>Deprecia-tion</t>
  </si>
  <si>
    <t>Depreciation % VA</t>
  </si>
  <si>
    <t>Depreciation % GOS</t>
  </si>
  <si>
    <r>
      <rPr>
        <u/>
        <sz val="12"/>
        <color theme="1"/>
        <rFont val="Arial"/>
        <family val="2"/>
      </rPr>
      <t>Notes</t>
    </r>
    <r>
      <rPr>
        <sz val="12"/>
        <color theme="1"/>
        <rFont val="Arial"/>
        <family val="2"/>
      </rPr>
      <t xml:space="preserve">: Values are imputed when no data is available, see Online Appendix Section A.2. </t>
    </r>
  </si>
  <si>
    <t>OECD excl havens</t>
  </si>
  <si>
    <t>Depreciation</t>
  </si>
  <si>
    <t>Table A.2b: Value-added in the non-financial corporate sector: decomposition by cost component (2015)</t>
  </si>
  <si>
    <t>Billion current US$</t>
  </si>
  <si>
    <t>Value-added of the non-financial corporate sector</t>
  </si>
  <si>
    <r>
      <rPr>
        <u/>
        <sz val="12"/>
        <color theme="1"/>
        <rFont val="Arial"/>
        <family val="2"/>
      </rPr>
      <t>Notes</t>
    </r>
    <r>
      <rPr>
        <sz val="12"/>
        <color theme="1"/>
        <rFont val="Arial"/>
        <family val="2"/>
      </rPr>
      <t>: Depreciation and net interest are imputed when no data is available, see Online Appendix Section A.2.</t>
    </r>
  </si>
  <si>
    <t>Percent of value added</t>
  </si>
  <si>
    <t>Percent of corporate depreciation</t>
  </si>
  <si>
    <t>Depreciation all sectors</t>
  </si>
  <si>
    <t>Table A.3: Distribution of corporate profits (2015)</t>
  </si>
  <si>
    <t>Corporate income tax rate</t>
  </si>
  <si>
    <t>Retained earnings / net-of-tax profits</t>
  </si>
  <si>
    <t>Net dividends paid</t>
  </si>
  <si>
    <t>Dividends paid</t>
  </si>
  <si>
    <t>Dividends received</t>
  </si>
  <si>
    <t>Retained earnings</t>
  </si>
  <si>
    <t>Corporate income tax</t>
  </si>
  <si>
    <t>Memo: corporate tax revenue</t>
  </si>
  <si>
    <t>Memo: central bank profits</t>
  </si>
  <si>
    <t>Bahamas</t>
  </si>
  <si>
    <t>BVI</t>
  </si>
  <si>
    <t>Gribraltar</t>
  </si>
  <si>
    <t>Rest of World</t>
  </si>
  <si>
    <r>
      <rPr>
        <u/>
        <sz val="12"/>
        <color theme="1"/>
        <rFont val="Arial"/>
        <family val="2"/>
      </rPr>
      <t>Notes</t>
    </r>
    <r>
      <rPr>
        <sz val="12"/>
        <color theme="1"/>
        <rFont val="Arial"/>
        <family val="2"/>
      </rPr>
      <t>: Dividends include "distributed income of corporations" (code D42) plus "investment income disbursement" (code D44), which includes investment income attributable to insurance policy holders, payable on pension entitlements, and attributable to collective investment funds  Retained earnings are computed as a residual, hence includes net rents (code D45) and net business transfers in addition to pure retained earnings. See Appendix A.2</t>
    </r>
  </si>
  <si>
    <t>net divs</t>
  </si>
  <si>
    <t>Table A.4: Corporate value-added: local firms vs. foreign-controlled firms (excl. SPEs) (2015)</t>
  </si>
  <si>
    <t>% of domestic economy total                     (local + foreign-controlled)</t>
  </si>
  <si>
    <t>Foreign-controlled firms</t>
  </si>
  <si>
    <t>Gross operating surplus</t>
  </si>
  <si>
    <t>Local firms</t>
  </si>
  <si>
    <t>V.A. foreign-controlled firms</t>
  </si>
  <si>
    <t>Comp. foreign-controlled firms</t>
  </si>
  <si>
    <t>Op. surplus foreign-controlled firms</t>
  </si>
  <si>
    <t>Checks</t>
  </si>
  <si>
    <t>Memo: Inward DI stock/GDP</t>
  </si>
  <si>
    <t>VA foreign controlled % total VA</t>
  </si>
  <si>
    <t>EU</t>
  </si>
  <si>
    <t>Other OECD</t>
  </si>
  <si>
    <r>
      <rPr>
        <u/>
        <sz val="12"/>
        <color theme="1"/>
        <rFont val="Arial"/>
        <family val="2"/>
      </rPr>
      <t>Notes</t>
    </r>
    <r>
      <rPr>
        <sz val="12"/>
        <color theme="1"/>
        <rFont val="Arial"/>
        <family val="2"/>
      </rPr>
      <t>: For both foreign-controlled and local firms, corporate value-added is at factor costs (i.e., net of indirect taxes). For Luxembourg, we assume that 100% of value-added in the financial sector (which is not reported in the FATS) is in foreign-controlled firms.</t>
    </r>
  </si>
  <si>
    <t>Euro/dollar 2015</t>
  </si>
  <si>
    <t>Non-OECD haven average share of compensation in foreign sector</t>
  </si>
  <si>
    <t>Average OECD share</t>
  </si>
  <si>
    <t>Avere developing</t>
  </si>
  <si>
    <t>Table A.5: Decomposition of operating surplus of foreign-controlled corporations (2015), excluding SPEs</t>
  </si>
  <si>
    <t>[14]</t>
  </si>
  <si>
    <t>[15]</t>
  </si>
  <si>
    <t>[16]</t>
  </si>
  <si>
    <t>Depreciation / gross operating surplus</t>
  </si>
  <si>
    <r>
      <t xml:space="preserve">Net </t>
    </r>
    <r>
      <rPr>
        <sz val="12"/>
        <color theme="1"/>
        <rFont val="Arial"/>
        <family val="2"/>
      </rPr>
      <t>interest</t>
    </r>
    <r>
      <rPr>
        <sz val="12"/>
        <color theme="1"/>
        <rFont val="Arial"/>
        <family val="2"/>
      </rPr>
      <t xml:space="preserve"> paid</t>
    </r>
  </si>
  <si>
    <t>Interest paid</t>
  </si>
  <si>
    <r>
      <rPr>
        <sz val="12"/>
        <color theme="1"/>
        <rFont val="Arial"/>
        <family val="2"/>
      </rPr>
      <t>Interest</t>
    </r>
    <r>
      <rPr>
        <sz val="12"/>
        <color theme="1"/>
        <rFont val="Arial"/>
        <family val="2"/>
      </rPr>
      <t xml:space="preserve"> received</t>
    </r>
  </si>
  <si>
    <t>Foreign-controlled corporations</t>
  </si>
  <si>
    <t>All domestic corporations</t>
  </si>
  <si>
    <t>Affiliates of US multinationals</t>
  </si>
  <si>
    <r>
      <rPr>
        <b/>
        <u/>
        <sz val="12"/>
        <color theme="1"/>
        <rFont val="Arial"/>
        <family val="2"/>
      </rPr>
      <t>Notes</t>
    </r>
    <r>
      <rPr>
        <b/>
        <sz val="12"/>
        <color theme="1"/>
        <rFont val="Arial"/>
        <family val="2"/>
      </rPr>
      <t xml:space="preserve">: For the US </t>
    </r>
    <r>
      <rPr>
        <sz val="12"/>
        <color theme="1"/>
        <rFont val="Arial"/>
        <family val="2"/>
      </rPr>
      <t xml:space="preserve">we use the exact figures for majority-owned affiliates of foreign multinationals, from the BEA Survey Table II.F1. (They are broadly consistent with the method used here which infers profits of foreign-controlled corporations from balance of payments data; the main difference is that net interest paid is about $12bn lower in the BEA data, probably due to differences between DI (&gt;10% owned, apportioned) and FATS stats (&gt;50% owned, not apportioned). </t>
    </r>
  </si>
  <si>
    <r>
      <rPr>
        <b/>
        <sz val="12"/>
        <color theme="1"/>
        <rFont val="Arial"/>
        <family val="2"/>
      </rPr>
      <t>For Luxembourg</t>
    </r>
    <r>
      <rPr>
        <sz val="12"/>
        <color theme="1"/>
        <rFont val="Arial"/>
        <family val="2"/>
      </rPr>
      <t>, we set depreciation at 24% (= economy average) (and corp tax rate out of operating surplus = 5%) and compute net interest as a residual. Otherwise the Luxembourg FATS and balance of payments data are not consistent (due to different scope: DI: &gt;10% owned vs. FATS: &gt;50% owned).</t>
    </r>
  </si>
  <si>
    <r>
      <rPr>
        <b/>
        <sz val="12"/>
        <color theme="1"/>
        <rFont val="Arial"/>
        <family val="2"/>
      </rPr>
      <t>For Malta</t>
    </r>
    <r>
      <rPr>
        <sz val="12"/>
        <color theme="1"/>
        <rFont val="Arial"/>
        <family val="2"/>
      </rPr>
      <t>, the implied operating surplus of foreign-controlled corporations is way larger than the recorded operating surplus of domestic corporations; we set the gross operating surplus of foreign-controlled corporations to zero and correct in Table A6.</t>
    </r>
  </si>
  <si>
    <t>Table A.6: Corrected corporate profits (2015)</t>
  </si>
  <si>
    <t>Corrrected corporate income tax rate</t>
  </si>
  <si>
    <t>Total corporate profits (corrected)</t>
  </si>
  <si>
    <t>Reported profits</t>
  </si>
  <si>
    <r>
      <rPr>
        <sz val="12"/>
        <color theme="1"/>
        <rFont val="Arial"/>
        <family val="2"/>
      </rPr>
      <t>Unrecorded</t>
    </r>
    <r>
      <rPr>
        <sz val="12"/>
        <color theme="1"/>
        <rFont val="Arial"/>
        <family val="2"/>
      </rPr>
      <t xml:space="preserve"> profits</t>
    </r>
  </si>
  <si>
    <t>Total profits of foreign corp. (corrected)</t>
  </si>
  <si>
    <t>Profits of operating units</t>
  </si>
  <si>
    <r>
      <rPr>
        <sz val="12"/>
        <color theme="1"/>
        <rFont val="Arial"/>
        <family val="2"/>
      </rPr>
      <t>Recorded p</t>
    </r>
    <r>
      <rPr>
        <sz val="12"/>
        <color theme="1"/>
        <rFont val="Arial"/>
        <family val="2"/>
      </rPr>
      <t>rofits of SPEs (net)</t>
    </r>
  </si>
  <si>
    <t>Missing profit outflows</t>
  </si>
  <si>
    <t>To the U.S.</t>
  </si>
  <si>
    <t>To the rest of the world</t>
  </si>
  <si>
    <t>Total local profits (corrected)</t>
  </si>
  <si>
    <r>
      <rPr>
        <u/>
        <sz val="12"/>
        <color theme="1"/>
        <rFont val="Arial"/>
        <family val="2"/>
      </rPr>
      <t>Notes</t>
    </r>
    <r>
      <rPr>
        <sz val="12"/>
        <color theme="1"/>
        <rFont val="Arial"/>
        <family val="2"/>
      </rPr>
      <t>: For Luxembourg, we assume that 1/3 of dividend payments by SPEs on inward DI are disguised as interest payments (through hybrid securities); see Appendix A.3 for a full discussion.</t>
    </r>
  </si>
  <si>
    <t>Table A.7: Artificially shifted profits (2015)</t>
  </si>
  <si>
    <t>Foreign-controlled       (% total)</t>
  </si>
  <si>
    <t>Reported profits / compensation</t>
  </si>
  <si>
    <r>
      <rPr>
        <sz val="12"/>
        <color theme="1"/>
        <rFont val="Arial"/>
        <family val="2"/>
      </rPr>
      <t>Offshore m</t>
    </r>
    <r>
      <rPr>
        <sz val="12"/>
        <color theme="1"/>
        <rFont val="Arial"/>
        <family val="2"/>
      </rPr>
      <t>utual fund profits</t>
    </r>
  </si>
  <si>
    <t>Missing profits</t>
  </si>
  <si>
    <t>Of U.S. multinationals</t>
  </si>
  <si>
    <t>Of E.U. multinationals</t>
  </si>
  <si>
    <t>Taxable profits / compens.           (π)</t>
  </si>
  <si>
    <r>
      <t>Foreign controlled firms       (π</t>
    </r>
    <r>
      <rPr>
        <vertAlign val="subscript"/>
        <sz val="12"/>
        <color theme="1"/>
        <rFont val="Arial"/>
        <family val="2"/>
      </rPr>
      <t>f</t>
    </r>
    <r>
      <rPr>
        <sz val="12"/>
        <color theme="1"/>
        <rFont val="Arial"/>
        <family val="2"/>
      </rPr>
      <t>)</t>
    </r>
  </si>
  <si>
    <t>Of which: US affiliates</t>
  </si>
  <si>
    <r>
      <t>Local firms (π</t>
    </r>
    <r>
      <rPr>
        <vertAlign val="subscript"/>
        <sz val="12"/>
        <color theme="1"/>
        <rFont val="Arial"/>
        <family val="2"/>
      </rPr>
      <t>l</t>
    </r>
    <r>
      <rPr>
        <sz val="12"/>
        <color theme="1"/>
        <rFont val="Arial"/>
        <family val="2"/>
      </rPr>
      <t>)</t>
    </r>
  </si>
  <si>
    <t>Corporate profits, total</t>
  </si>
  <si>
    <t>Foreign controlled firms</t>
  </si>
  <si>
    <r>
      <rPr>
        <sz val="12"/>
        <color theme="1"/>
        <rFont val="Arial"/>
        <family val="2"/>
      </rPr>
      <t>Offshore mutual funds</t>
    </r>
  </si>
  <si>
    <r>
      <t>Artificially shifted profits   (π</t>
    </r>
    <r>
      <rPr>
        <b/>
        <vertAlign val="subscript"/>
        <sz val="12"/>
        <color theme="1"/>
        <rFont val="Arial"/>
        <family val="2"/>
      </rPr>
      <t>f</t>
    </r>
    <r>
      <rPr>
        <b/>
        <sz val="12"/>
        <color theme="1"/>
        <rFont val="Arial"/>
        <family val="2"/>
      </rPr>
      <t xml:space="preserve"> = π</t>
    </r>
    <r>
      <rPr>
        <b/>
        <vertAlign val="subscript"/>
        <sz val="12"/>
        <color theme="1"/>
        <rFont val="Arial"/>
        <family val="2"/>
      </rPr>
      <t>l</t>
    </r>
    <r>
      <rPr>
        <b/>
        <sz val="12"/>
        <color theme="1"/>
        <rFont val="Arial"/>
        <family val="2"/>
      </rPr>
      <t>)</t>
    </r>
  </si>
  <si>
    <r>
      <rPr>
        <sz val="12"/>
        <color theme="1"/>
        <rFont val="Arial"/>
        <family val="2"/>
      </rPr>
      <t>Alt.</t>
    </r>
    <r>
      <rPr>
        <sz val="12"/>
        <color theme="1"/>
        <rFont val="Arial"/>
        <family val="2"/>
      </rPr>
      <t xml:space="preserve"> estimate (based on FDI stock)</t>
    </r>
  </si>
  <si>
    <t>In euros, from Eursotat</t>
  </si>
  <si>
    <t>Table A.8: Discrepancies in foreign affiliates statistics: Inward FATS of E.U. tax havens vs. Outward FATS of partners (2015)</t>
  </si>
  <si>
    <t>Table A.7: Discrepancies in FATS statistics: E.U. tax havens (2015)</t>
  </si>
  <si>
    <t>Gap</t>
  </si>
  <si>
    <t>Reported by Belgium</t>
  </si>
  <si>
    <t>Reported by partner countries</t>
  </si>
  <si>
    <t>Reported by Ireland</t>
  </si>
  <si>
    <t>Reported by Cyprus</t>
  </si>
  <si>
    <t>Reported by Luxembourg</t>
  </si>
  <si>
    <t>Reported by Netherlands</t>
  </si>
  <si>
    <t>Turnover (billion current US$)</t>
  </si>
  <si>
    <t>Turnover</t>
  </si>
  <si>
    <t>Total</t>
  </si>
  <si>
    <t>EU28</t>
  </si>
  <si>
    <t xml:space="preserve">  Belgium</t>
  </si>
  <si>
    <t xml:space="preserve">  Ireland</t>
  </si>
  <si>
    <t xml:space="preserve">  Luxembourg</t>
  </si>
  <si>
    <t xml:space="preserve">  Netherlands</t>
  </si>
  <si>
    <t xml:space="preserve">  France</t>
  </si>
  <si>
    <t xml:space="preserve">  Germany</t>
  </si>
  <si>
    <t xml:space="preserve">  Sweden</t>
  </si>
  <si>
    <t xml:space="preserve">  United Kingdom</t>
  </si>
  <si>
    <t xml:space="preserve">  Other</t>
  </si>
  <si>
    <t>USA</t>
  </si>
  <si>
    <t>Number of employees (thousands)</t>
  </si>
  <si>
    <t>Number of employees</t>
  </si>
  <si>
    <t>Gross operating surplus (billion current US$)</t>
  </si>
  <si>
    <t>Compensation of employees (billion current US$)</t>
  </si>
  <si>
    <t>EUR/dollar exchange rate</t>
  </si>
  <si>
    <t>(EU+US)/total</t>
  </si>
  <si>
    <t>Table A.9: Operating surplus: FATS vs. National accounts</t>
  </si>
  <si>
    <t>V.A. non financial corp:                 FATS / National accounts</t>
  </si>
  <si>
    <t>Local + foreign-controlled firms</t>
  </si>
  <si>
    <t>Foreign controlled firms (FATS)</t>
  </si>
  <si>
    <t>Compensation of employees, national accounts</t>
  </si>
  <si>
    <t>Of which: non-financial corp.</t>
  </si>
  <si>
    <t>Of which: financial corp.</t>
  </si>
  <si>
    <t>Compensation of employees (FATS)</t>
  </si>
  <si>
    <t>Missing from FATS</t>
  </si>
  <si>
    <t>Gross operating surplus, national accounts</t>
  </si>
  <si>
    <r>
      <t>Gross operating surplus</t>
    </r>
    <r>
      <rPr>
        <sz val="12"/>
        <color theme="1"/>
        <rFont val="Arial"/>
        <family val="2"/>
      </rPr>
      <t xml:space="preserve"> (</t>
    </r>
    <r>
      <rPr>
        <sz val="12"/>
        <color theme="1"/>
        <rFont val="Arial"/>
        <family val="2"/>
      </rPr>
      <t>FATS</t>
    </r>
    <r>
      <rPr>
        <sz val="12"/>
        <color theme="1"/>
        <rFont val="Arial"/>
        <family val="2"/>
      </rPr>
      <t>)</t>
    </r>
  </si>
  <si>
    <t>Gross value added</t>
  </si>
  <si>
    <t>Table A.10: Value-added of majority-owned foreign affiliates of U.S. multinationals (2015)</t>
  </si>
  <si>
    <t/>
  </si>
  <si>
    <t>Million current US$</t>
  </si>
  <si>
    <t>Gross value-added</t>
  </si>
  <si>
    <t>Profit-type return</t>
  </si>
  <si>
    <t xml:space="preserve">Net interest paid </t>
  </si>
  <si>
    <t xml:space="preserve">Taxes on production and imports </t>
  </si>
  <si>
    <t>Capital consumption allowances</t>
  </si>
  <si>
    <r>
      <rPr>
        <b/>
        <sz val="12"/>
        <rFont val="Arial"/>
        <family val="2"/>
      </rPr>
      <t>All countries</t>
    </r>
  </si>
  <si>
    <r>
      <rPr>
        <b/>
        <sz val="12"/>
        <rFont val="Arial"/>
        <family val="2"/>
      </rPr>
      <t>Canada</t>
    </r>
  </si>
  <si>
    <r>
      <rPr>
        <b/>
        <sz val="12"/>
        <rFont val="Arial"/>
        <family val="2"/>
      </rPr>
      <t>Europe</t>
    </r>
  </si>
  <si>
    <t>Other</t>
  </si>
  <si>
    <r>
      <rPr>
        <b/>
        <sz val="12"/>
        <rFont val="Arial"/>
        <family val="2"/>
      </rPr>
      <t>Latin America &amp; Other Western Hemisphere</t>
    </r>
  </si>
  <si>
    <t>South America</t>
  </si>
  <si>
    <t>Argentina</t>
  </si>
  <si>
    <t>Ecuador</t>
  </si>
  <si>
    <t>Peru</t>
  </si>
  <si>
    <t>Venezuela</t>
  </si>
  <si>
    <t>Central America</t>
  </si>
  <si>
    <t>Honduras</t>
  </si>
  <si>
    <t>Other Western Hemisphere</t>
  </si>
  <si>
    <t>Dominican Republic</t>
  </si>
  <si>
    <t>(D)</t>
  </si>
  <si>
    <t>United Kingdom Islands, Caribbean</t>
  </si>
  <si>
    <r>
      <rPr>
        <b/>
        <sz val="12"/>
        <rFont val="Arial"/>
        <family val="2"/>
      </rPr>
      <t>Africa</t>
    </r>
  </si>
  <si>
    <t>Egypt</t>
  </si>
  <si>
    <t>Nigeria</t>
  </si>
  <si>
    <r>
      <rPr>
        <b/>
        <sz val="12"/>
        <rFont val="Arial"/>
        <family val="2"/>
      </rPr>
      <t>Middle East</t>
    </r>
  </si>
  <si>
    <t>Saudi Arabia</t>
  </si>
  <si>
    <t>United Arab Emirates</t>
  </si>
  <si>
    <r>
      <rPr>
        <b/>
        <sz val="12"/>
        <rFont val="Arial"/>
        <family val="2"/>
      </rPr>
      <t>Asia and Pacific</t>
    </r>
  </si>
  <si>
    <t>Indonesia</t>
  </si>
  <si>
    <t>Malaysia</t>
  </si>
  <si>
    <t>Philippines</t>
  </si>
  <si>
    <t>Taiwan</t>
  </si>
  <si>
    <t>Thailand</t>
  </si>
  <si>
    <r>
      <rPr>
        <b/>
        <sz val="12"/>
        <rFont val="Arial"/>
        <family val="2"/>
      </rPr>
      <t>Addenda:</t>
    </r>
  </si>
  <si>
    <t>European Union (28)</t>
  </si>
  <si>
    <t>OPEC</t>
  </si>
  <si>
    <t>Notes: copied from U.S. MNE Activities: Preliminary 2015 Statistics, Majority-Owned Foreign Affiliates, Table II.F.1</t>
  </si>
  <si>
    <t>Table A.10: Value-added of majority-owned foreign affiliates of U.S. multinationals (2014)</t>
  </si>
  <si>
    <t>All countries</t>
  </si>
  <si>
    <t>Europe</t>
  </si>
  <si>
    <t>Latin America and Other Western Hemisphere</t>
  </si>
  <si>
    <t>Africa</t>
  </si>
  <si>
    <t>Middle East</t>
  </si>
  <si>
    <t>Asia and Pacific</t>
  </si>
  <si>
    <t>Korea, Republic of</t>
  </si>
  <si>
    <t>Addenda:</t>
  </si>
  <si>
    <t>Table A.11 Income Statement of of majority-owned foreign affiliates of U.S. multinationals (2015)</t>
  </si>
  <si>
    <t>Tax rate</t>
  </si>
  <si>
    <t>Income</t>
  </si>
  <si>
    <t>Costs and expenses</t>
  </si>
  <si>
    <t>Net income</t>
  </si>
  <si>
    <t>Sales</t>
  </si>
  <si>
    <t>Income from equity investments</t>
  </si>
  <si>
    <t>Capital gains (losses)</t>
  </si>
  <si>
    <t>Cost of goods sold and selling, general, and administrative expenses</t>
  </si>
  <si>
    <t>Foreign income taxes</t>
  </si>
  <si>
    <r>
      <rPr>
        <b/>
        <sz val="12"/>
        <rFont val="Arial"/>
        <family val="2"/>
      </rPr>
      <t>Latin America and Other Western Hemisphere</t>
    </r>
  </si>
  <si>
    <t>(*)</t>
  </si>
  <si>
    <t>Top 6 havens</t>
  </si>
  <si>
    <t>Main OECD non havens</t>
  </si>
  <si>
    <t>Main non-OECD Non havens</t>
  </si>
  <si>
    <t>Table A.11 Income Statement of of majority-owned foreign affiliates of U.S. multinationals (2014)</t>
  </si>
  <si>
    <t>Euro/USD</t>
  </si>
  <si>
    <t>Table B.1: Current account balances (2015)</t>
  </si>
  <si>
    <t>Current account</t>
  </si>
  <si>
    <t>Trade</t>
  </si>
  <si>
    <t>Primary income</t>
  </si>
  <si>
    <t>Secondary income</t>
  </si>
  <si>
    <t>FDI income</t>
  </si>
  <si>
    <t>Portfolio &amp; other primary income</t>
  </si>
  <si>
    <t>FDI equity income</t>
  </si>
  <si>
    <t>FDI debt income</t>
  </si>
  <si>
    <t>Slovak Republic</t>
  </si>
  <si>
    <t>China, P.R.: Mainland</t>
  </si>
  <si>
    <t>Russian Federation</t>
  </si>
  <si>
    <t>Bahamas, the</t>
  </si>
  <si>
    <t>Bahrain, Kingdom of</t>
  </si>
  <si>
    <t>China, P.R.: Hong Kong</t>
  </si>
  <si>
    <t>China, P.R.: Macao</t>
  </si>
  <si>
    <t>Unallocated &amp; rest of the world</t>
  </si>
  <si>
    <t>World</t>
  </si>
  <si>
    <r>
      <rPr>
        <u/>
        <sz val="10"/>
        <rFont val="Arial"/>
        <family val="2"/>
      </rPr>
      <t>Notes</t>
    </r>
    <r>
      <rPr>
        <sz val="10"/>
        <rFont val="Arial"/>
        <family val="2"/>
      </rPr>
      <t>: for Singapore, data on income are from http://www.mas.gov.sg/~/media/resource/publications/macro_review/2017/April%202017/MRapr17_AP.pdf Table 9 p. 103</t>
    </r>
  </si>
  <si>
    <t>Table B.1b: Current account balances, details for net income (2015)</t>
  </si>
  <si>
    <t>% of national income</t>
  </si>
  <si>
    <t>Total primary income</t>
  </si>
  <si>
    <t>Total primary investment income</t>
  </si>
  <si>
    <t>Other primary income</t>
  </si>
  <si>
    <t>National income</t>
  </si>
  <si>
    <t>Net DI interest received</t>
  </si>
  <si>
    <t>Net DI equity income received</t>
  </si>
  <si>
    <t>Net trade surplus</t>
  </si>
  <si>
    <t>Net primary income</t>
  </si>
  <si>
    <t>Direct investment income</t>
  </si>
  <si>
    <t>Portfolio investment income</t>
  </si>
  <si>
    <t>Other net investment income</t>
  </si>
  <si>
    <t>PI equity income</t>
  </si>
  <si>
    <t>PI debt income</t>
  </si>
  <si>
    <t>Table B.2: Direct investment income and positions (2015)</t>
  </si>
  <si>
    <r>
      <t xml:space="preserve">Billion current </t>
    </r>
    <r>
      <rPr>
        <sz val="12"/>
        <color theme="1"/>
        <rFont val="Arial"/>
        <family val="2"/>
      </rPr>
      <t>US$</t>
    </r>
  </si>
  <si>
    <t>Positions</t>
  </si>
  <si>
    <t>Inward direct investment</t>
  </si>
  <si>
    <t>Net dividends</t>
  </si>
  <si>
    <t>Net interest</t>
  </si>
  <si>
    <t>Reinvested earnings</t>
  </si>
  <si>
    <t>Outward direct investment</t>
  </si>
  <si>
    <t>Equity</t>
  </si>
  <si>
    <t>Debt</t>
  </si>
  <si>
    <t xml:space="preserve">  Brazil</t>
  </si>
  <si>
    <t>Virgin Islands, British</t>
  </si>
  <si>
    <t>Marshall Islands, Republic of</t>
  </si>
  <si>
    <t>Turks and Caicos Islands</t>
  </si>
  <si>
    <t>Table B.3: Direct investment income received (2015)</t>
  </si>
  <si>
    <t>Direct investment income received</t>
  </si>
  <si>
    <t>From foreign affiliates</t>
  </si>
  <si>
    <t>From foreign parents</t>
  </si>
  <si>
    <t>From fellow enterprises with domestic UCP</t>
  </si>
  <si>
    <t>From fellow enterprises with foreign UCP</t>
  </si>
  <si>
    <t>Interest received</t>
  </si>
  <si>
    <t>From foreign parent</t>
  </si>
  <si>
    <t>Table B.4: Direct investment income paid (2015)</t>
  </si>
  <si>
    <t>Direct investment income paid</t>
  </si>
  <si>
    <t>To foreign parent</t>
  </si>
  <si>
    <t>To foreign affiliates</t>
  </si>
  <si>
    <t>To fellow enterprises with domestic UCP</t>
  </si>
  <si>
    <t>To fellow enterprises with foreign UCP</t>
  </si>
  <si>
    <t>Notes:</t>
  </si>
  <si>
    <t>Table B.5: Direct investment income and positions of Special Purposes Entities (SPEs)</t>
  </si>
  <si>
    <t>Table B.6: Returns on direct investment (2015)</t>
  </si>
  <si>
    <t xml:space="preserve">Equity </t>
  </si>
  <si>
    <t>Outward - inward differential</t>
  </si>
  <si>
    <t>Table B.7: The World Current Account: Credits</t>
  </si>
  <si>
    <t xml:space="preserve"> Billions of current USD</t>
  </si>
  <si>
    <t>Memo: number of countries used for estimation of FDI income</t>
  </si>
  <si>
    <t>Goods trade (total trade before 2009)</t>
  </si>
  <si>
    <t>Service trade</t>
  </si>
  <si>
    <t>Portfolio &amp; other income</t>
  </si>
  <si>
    <t>Table B.8: The World Current Account: Debits</t>
  </si>
  <si>
    <t>Table B.9: The World Current Account: Discrepancies</t>
  </si>
  <si>
    <t>Table B.10: Corrections for direct investment income</t>
  </si>
  <si>
    <t xml:space="preserve"> Millions of current USD</t>
  </si>
  <si>
    <t>EU countries reported in Eurostat</t>
  </si>
  <si>
    <t>Reported income paid on inward direct investment</t>
  </si>
  <si>
    <t>Corrections for income paid</t>
  </si>
  <si>
    <t>Reported income received on outward direct investment</t>
  </si>
  <si>
    <t>Correction</t>
  </si>
  <si>
    <t>As reported by country (OECD numbers otherwise IMF)</t>
  </si>
  <si>
    <t>As reported by country (IMF numbers)</t>
  </si>
  <si>
    <t>As reported by OECD and EU partners</t>
  </si>
  <si>
    <t>Gap (reported by country) – (reported by partners)</t>
  </si>
  <si>
    <t>#1: Adding missing income reported by partners</t>
  </si>
  <si>
    <t>Of which: paid to United States</t>
  </si>
  <si>
    <t>Of which: paid to other countries</t>
  </si>
  <si>
    <t>#2: Using stock data when no partner data</t>
  </si>
  <si>
    <t>#3: Allocating remaining global income gap</t>
  </si>
  <si>
    <t>Difference</t>
  </si>
  <si>
    <t xml:space="preserve"> #1: Adding missing income reported by partners</t>
  </si>
  <si>
    <t>Bonaire, S</t>
  </si>
  <si>
    <t>Virgin Islands, Brit</t>
  </si>
  <si>
    <t>Curaçao</t>
  </si>
  <si>
    <t>Hong Kong,</t>
  </si>
  <si>
    <t>Macao</t>
  </si>
  <si>
    <t>Saint Kitts and Nevis</t>
  </si>
  <si>
    <t>Saint Lucia</t>
  </si>
  <si>
    <t>Saint Vincent and the Grenadines</t>
  </si>
  <si>
    <t>Afghanistan</t>
  </si>
  <si>
    <t>AFG: Afghanistan</t>
  </si>
  <si>
    <t>Afghanistan, Islamic Republic of</t>
  </si>
  <si>
    <t>Albania</t>
  </si>
  <si>
    <t>Algeria</t>
  </si>
  <si>
    <t>Angola</t>
  </si>
  <si>
    <t>Armenia</t>
  </si>
  <si>
    <t xml:space="preserve">    ARM: Armenia</t>
  </si>
  <si>
    <t>Armenia, Republic of</t>
  </si>
  <si>
    <t>Azerbaijan</t>
  </si>
  <si>
    <t xml:space="preserve">    AZE: Azerbaijan</t>
  </si>
  <si>
    <t>Azerbaijan, Republic of</t>
  </si>
  <si>
    <t>Bangladesh</t>
  </si>
  <si>
    <t>Belarus</t>
  </si>
  <si>
    <t>Benin</t>
  </si>
  <si>
    <t>Bhutan</t>
  </si>
  <si>
    <t>Bolivia</t>
  </si>
  <si>
    <t xml:space="preserve">  BOL: Bolivia</t>
  </si>
  <si>
    <t>Bosnia and Herzegovina</t>
  </si>
  <si>
    <t>BIH: Bosnia and Herzegovina</t>
  </si>
  <si>
    <t>Botswana</t>
  </si>
  <si>
    <t>BRN: Brunei Darussalam</t>
  </si>
  <si>
    <t>Brunei Darussalam</t>
  </si>
  <si>
    <t>Bulgaria</t>
  </si>
  <si>
    <t>Burkina Faso</t>
  </si>
  <si>
    <t>BFA: Burkina Faso</t>
  </si>
  <si>
    <t>Burundi</t>
  </si>
  <si>
    <t>Cambodia</t>
  </si>
  <si>
    <t>KHM: Cambodia (Kampuchea)</t>
  </si>
  <si>
    <t>Cameroon</t>
  </si>
  <si>
    <t>Cape Verde</t>
  </si>
  <si>
    <t>Central African Republic</t>
  </si>
  <si>
    <t>CAF: Central African Republic</t>
  </si>
  <si>
    <t>Chad</t>
  </si>
  <si>
    <t>Comoros</t>
  </si>
  <si>
    <t>Democratic Republic of the Congo</t>
  </si>
  <si>
    <t xml:space="preserve">COD: Congo, the Democratic Republic of the </t>
  </si>
  <si>
    <t>Congo, Democratic Republic of</t>
  </si>
  <si>
    <t>Congo</t>
  </si>
  <si>
    <t>COG: Congo</t>
  </si>
  <si>
    <t>Congo, Republic of</t>
  </si>
  <si>
    <t>Côte d'Ivoire</t>
  </si>
  <si>
    <t>CIV: Côte d'Ivoire</t>
  </si>
  <si>
    <t>Cote d'Ivoire</t>
  </si>
  <si>
    <t>Croatia</t>
  </si>
  <si>
    <t>Djibouti</t>
  </si>
  <si>
    <t>Dominica</t>
  </si>
  <si>
    <t xml:space="preserve">  DOM: Dominican Republic</t>
  </si>
  <si>
    <t>El Salvador</t>
  </si>
  <si>
    <t xml:space="preserve">  SLV: El Salvador</t>
  </si>
  <si>
    <t>Equatorial Guinea</t>
  </si>
  <si>
    <t>GNQ: Equatorial Guinea</t>
  </si>
  <si>
    <t>Eritrea</t>
  </si>
  <si>
    <t>Ethiopia</t>
  </si>
  <si>
    <t>Faroes (DK)</t>
  </si>
  <si>
    <t>FRO: Faroe Islands</t>
  </si>
  <si>
    <t>Faroe Islands</t>
  </si>
  <si>
    <t>Fiji</t>
  </si>
  <si>
    <t>Gabon</t>
  </si>
  <si>
    <t>Gambia, The</t>
  </si>
  <si>
    <t>GMB: Gambia</t>
  </si>
  <si>
    <t>Georgia</t>
  </si>
  <si>
    <t>Ghana</t>
  </si>
  <si>
    <t>Guatemala</t>
  </si>
  <si>
    <t>Guinea</t>
  </si>
  <si>
    <t>Guinea-Bissau</t>
  </si>
  <si>
    <t>GNB: Guinea-Bissau</t>
  </si>
  <si>
    <t>Guyana</t>
  </si>
  <si>
    <t>Haiti</t>
  </si>
  <si>
    <t>Iran, Islamic Republic of</t>
  </si>
  <si>
    <t>Iran</t>
  </si>
  <si>
    <t>Iraq</t>
  </si>
  <si>
    <t>Jamaica</t>
  </si>
  <si>
    <t>Jordan</t>
  </si>
  <si>
    <t>Kazakhstan</t>
  </si>
  <si>
    <t>Kenya</t>
  </si>
  <si>
    <t>Kiribati</t>
  </si>
  <si>
    <t>Kosovo, Republic of</t>
  </si>
  <si>
    <t>Kuwait</t>
  </si>
  <si>
    <t>Kyrgyz Republic</t>
  </si>
  <si>
    <t>Kyrgyzstan</t>
  </si>
  <si>
    <t>Lao People's Democratic Republic</t>
  </si>
  <si>
    <t>Laos</t>
  </si>
  <si>
    <t>Lesotho</t>
  </si>
  <si>
    <t>Liberia</t>
  </si>
  <si>
    <t>Libya</t>
  </si>
  <si>
    <t>Lithuania</t>
  </si>
  <si>
    <t>Macedonia,</t>
  </si>
  <si>
    <t>Former Yugoslav Republic of Macedonia, the</t>
  </si>
  <si>
    <t>Macedonia, FYR</t>
  </si>
  <si>
    <t>Madagascar</t>
  </si>
  <si>
    <t>Malawi</t>
  </si>
  <si>
    <t>Maldives</t>
  </si>
  <si>
    <t>Mali</t>
  </si>
  <si>
    <t>Mauritania</t>
  </si>
  <si>
    <t>Micronesia, Federated States of</t>
  </si>
  <si>
    <t>Federated States of Micronesia</t>
  </si>
  <si>
    <t>Micronesia</t>
  </si>
  <si>
    <t>Moldova</t>
  </si>
  <si>
    <t>Mongolia</t>
  </si>
  <si>
    <t>Montenegro</t>
  </si>
  <si>
    <t>Montserrat</t>
  </si>
  <si>
    <t>Morocco</t>
  </si>
  <si>
    <t>Mozambique</t>
  </si>
  <si>
    <t>Myanmar</t>
  </si>
  <si>
    <t>Namibia</t>
  </si>
  <si>
    <t>Nepal</t>
  </si>
  <si>
    <t>Nicaragua</t>
  </si>
  <si>
    <t>Niger</t>
  </si>
  <si>
    <t>Oman</t>
  </si>
  <si>
    <t>Pakistan</t>
  </si>
  <si>
    <t>Palau</t>
  </si>
  <si>
    <t>Papua New Guinea</t>
  </si>
  <si>
    <t>Paraguay</t>
  </si>
  <si>
    <t>Qatar</t>
  </si>
  <si>
    <t>Romania</t>
  </si>
  <si>
    <t>Rwanda</t>
  </si>
  <si>
    <t>Samoa</t>
  </si>
  <si>
    <t>Sao Tome and Principe</t>
  </si>
  <si>
    <t>Senegal</t>
  </si>
  <si>
    <t>Serbia, Republic of</t>
  </si>
  <si>
    <t>Serbia</t>
  </si>
  <si>
    <t>Sierra Leone</t>
  </si>
  <si>
    <t>Solomon Islands</t>
  </si>
  <si>
    <t>South Sudan</t>
  </si>
  <si>
    <t>Sudan</t>
  </si>
  <si>
    <t>Suriname</t>
  </si>
  <si>
    <t>Swaziland</t>
  </si>
  <si>
    <t>Syria</t>
  </si>
  <si>
    <t>Syrian Arab Republic</t>
  </si>
  <si>
    <t>Tajikistan</t>
  </si>
  <si>
    <t>Tanzania</t>
  </si>
  <si>
    <t>Timor-Leste, Dem. Rep. of</t>
  </si>
  <si>
    <t>Timor-Leste</t>
  </si>
  <si>
    <t>Togo</t>
  </si>
  <si>
    <t>Tonga</t>
  </si>
  <si>
    <t>Trinidad and Tobago</t>
  </si>
  <si>
    <t>Tunisia</t>
  </si>
  <si>
    <t>Tuvalu</t>
  </si>
  <si>
    <t>Uganda</t>
  </si>
  <si>
    <t>Ukraine</t>
  </si>
  <si>
    <t>Uruguay</t>
  </si>
  <si>
    <t>Vanuatu</t>
  </si>
  <si>
    <t>Venezuela, Republica Bolivariana de</t>
  </si>
  <si>
    <t>Vietnam</t>
  </si>
  <si>
    <t>West Bank and Gaza</t>
  </si>
  <si>
    <t>Yemen, Republic of</t>
  </si>
  <si>
    <t>Yemen</t>
  </si>
  <si>
    <t>Zambia</t>
  </si>
  <si>
    <t>Zimbabwe</t>
  </si>
  <si>
    <t>Classified or undeclared</t>
  </si>
  <si>
    <t>Notes: Puerto Rico is treated as part of the United States for U.S. direct investment statistics, hence is included under "United States" in this table.</t>
  </si>
  <si>
    <t>DI income gap</t>
  </si>
  <si>
    <t>Table B.11: Bilateral DI income discrepancies (both investor &amp; host bilateral report exists)</t>
  </si>
  <si>
    <t>Outward DI by investor less Inward DI by host</t>
  </si>
  <si>
    <t>Outward DI by investor less inward DI by host</t>
  </si>
  <si>
    <t>Billions of current US$</t>
  </si>
  <si>
    <t>Host (line) /          Investor (col.)</t>
  </si>
  <si>
    <t>European Union (Non-SPEs)</t>
  </si>
  <si>
    <t>Rest of world (imputed)</t>
  </si>
  <si>
    <t>Total (excl. ROW)</t>
  </si>
  <si>
    <t>Investor (line) /         Host (col.)</t>
  </si>
  <si>
    <t>EU non SPEs</t>
  </si>
  <si>
    <t xml:space="preserve">Rest of world </t>
  </si>
  <si>
    <t>Table B12a: EU service trade discrepancies</t>
  </si>
  <si>
    <t>Million euros</t>
  </si>
  <si>
    <t>% of service exports</t>
  </si>
  <si>
    <t>EU Total</t>
  </si>
  <si>
    <t>A. Lost exports of the EU: EU to EU exports less EU to EU imports</t>
  </si>
  <si>
    <r>
      <t>B. The EU's lost exports</t>
    </r>
    <r>
      <rPr>
        <sz val="12"/>
        <color theme="1"/>
        <rFont val="Arial"/>
        <family val="2"/>
      </rPr>
      <t xml:space="preserve"> </t>
    </r>
    <r>
      <rPr>
        <sz val="12"/>
        <color theme="1"/>
        <rFont val="Arial"/>
        <family val="2"/>
      </rPr>
      <t>(excluding havens)</t>
    </r>
  </si>
  <si>
    <t>The case of Luxembourg</t>
  </si>
  <si>
    <t>Luxembourg's service exports to rest of EU</t>
  </si>
  <si>
    <t>Rest of EU's service imports from Luxembourg</t>
  </si>
  <si>
    <t>Service export gap</t>
  </si>
  <si>
    <t>Gap when excluding haven partners</t>
  </si>
  <si>
    <t>Service export gaps in the 6 EU havens vs. rest of non-haven EU</t>
  </si>
  <si>
    <t>C. Sum</t>
  </si>
  <si>
    <t>Service export gaps in the 6 EU havens among themselves</t>
  </si>
  <si>
    <t>D. Sum</t>
  </si>
  <si>
    <t>E. Service exports gap of EU non-havens vs. EU havens</t>
  </si>
  <si>
    <t>Total discrepancies (B+C+D+E)=(A)=</t>
  </si>
  <si>
    <t>Table B12b: Service import and export discrepancies</t>
  </si>
  <si>
    <t>Exports to non-haven EU countries, Million Euros</t>
  </si>
  <si>
    <t>Shares</t>
  </si>
  <si>
    <t>Reported by exporter</t>
  </si>
  <si>
    <t>Reported by importer</t>
  </si>
  <si>
    <t>Difference [2]-[1]</t>
  </si>
  <si>
    <t>EU22</t>
  </si>
  <si>
    <t>EU6</t>
  </si>
  <si>
    <r>
      <rPr>
        <u/>
        <sz val="12"/>
        <color theme="1"/>
        <rFont val="Arial"/>
        <family val="2"/>
      </rPr>
      <t>Notes</t>
    </r>
    <r>
      <rPr>
        <sz val="12"/>
        <color theme="1"/>
        <rFont val="Arial"/>
        <family val="2"/>
      </rPr>
      <t>: EU22 is the EU28 less Belgium, Cyprus, Ireland; Luxembourg; Netherlands and Malta</t>
    </r>
  </si>
  <si>
    <t>Table C.1: High-risk payments to tax havens</t>
  </si>
  <si>
    <t>[17]</t>
  </si>
  <si>
    <t>[18]</t>
  </si>
  <si>
    <t>[19]</t>
  </si>
  <si>
    <t>[20]</t>
  </si>
  <si>
    <t>[21]</t>
  </si>
  <si>
    <t>[22]</t>
  </si>
  <si>
    <t>FDI interest payments (million USD)</t>
  </si>
  <si>
    <t>Royalty, insurance, ICT, financial and "other" service payments (million USD)</t>
  </si>
  <si>
    <t>All havens</t>
  </si>
  <si>
    <t>EU havens</t>
  </si>
  <si>
    <t>Non-EU tax havens</t>
  </si>
  <si>
    <t>Rest</t>
  </si>
  <si>
    <t>Aux computations</t>
  </si>
  <si>
    <t>Share of FDI interest non EU</t>
  </si>
  <si>
    <t>Share of rest of high risk payments non EU</t>
  </si>
  <si>
    <t>Share of EU rest FDI interest</t>
  </si>
  <si>
    <t>Share of EU rest service</t>
  </si>
  <si>
    <t>Germany (until 1990 former territory of the FRG)</t>
  </si>
  <si>
    <t>South Korea</t>
  </si>
  <si>
    <t>China (except Hong Kong)</t>
  </si>
  <si>
    <t>Non-haven total</t>
  </si>
  <si>
    <t>Table C2: Excessive high risk payments to tax havens</t>
  </si>
  <si>
    <t>Excessive royalty, insurance, ICT, financial and "other" service payments (million USD)</t>
  </si>
  <si>
    <t>Share interest</t>
  </si>
  <si>
    <t>Table C3: Who are the ultimate owners of the FDI stocks in tax havens?</t>
  </si>
  <si>
    <t xml:space="preserve"> FDI stocks in havens (million USD)</t>
  </si>
  <si>
    <t>Bonaire, Sint Eustatius and Saba</t>
  </si>
  <si>
    <t>Table C4: Allocating the profits shifted to tax havens</t>
  </si>
  <si>
    <t>Excessive high risk payments (million USD)</t>
  </si>
  <si>
    <t>Benchmark allocation: Excessive high risk payments</t>
  </si>
  <si>
    <t>Ultimate ownership (million USD)</t>
  </si>
  <si>
    <t>Shifted profits (Mn.)</t>
  </si>
  <si>
    <t>Corporate tax base (Bn.)</t>
  </si>
  <si>
    <t>US</t>
  </si>
  <si>
    <t>Table C4b: Allocating the profits shifted to tax havens</t>
  </si>
  <si>
    <t>Share of shifted profits</t>
  </si>
  <si>
    <t>Excessive high risk payments</t>
  </si>
  <si>
    <t>Ultimate ownership</t>
  </si>
  <si>
    <t>Table C4c: Profits shifted to tax havens – share of tax base</t>
  </si>
  <si>
    <t>Corporate profits (Bn. USD)</t>
  </si>
  <si>
    <t>Share of tax base</t>
  </si>
  <si>
    <t>Table C4d: Lost tax revenue due to profit shifting</t>
  </si>
  <si>
    <t>Corporate tax revenue (Bn. USD)</t>
  </si>
  <si>
    <t xml:space="preserve">Corporate tax rate </t>
  </si>
  <si>
    <t>Tax losses (billion $US)</t>
  </si>
  <si>
    <t>Tax losses (% of corp. tax revenue)</t>
  </si>
  <si>
    <t>Table C4e: Allocating the shifted profits: alternative estimate based on the reported profitability of foreign firm in non-haven countries</t>
  </si>
  <si>
    <t>Corporate tax revenue ($Bn.)</t>
  </si>
  <si>
    <t>Profits shifted to tax havens ($Bn.)</t>
  </si>
  <si>
    <t>Revenue lost, % of corporate tax rev.</t>
  </si>
  <si>
    <t>Alternative allocation: profitability gap</t>
  </si>
  <si>
    <t>Memo: allocation based on excessive high risk payments</t>
  </si>
  <si>
    <t>Memo: allocation based on ultimate ownership</t>
  </si>
  <si>
    <t>Total loss</t>
  </si>
  <si>
    <t>Setting local profitability = foreign</t>
  </si>
  <si>
    <t>Distributing remaining haven profits to parents</t>
  </si>
  <si>
    <t>Table C4x: Construction of sankey diagrams ($, millions)</t>
  </si>
  <si>
    <t>Table C2</t>
  </si>
  <si>
    <t>Table C4</t>
  </si>
  <si>
    <t>Table A7</t>
  </si>
  <si>
    <t>High-risk exports (to non-havens)</t>
  </si>
  <si>
    <t>Scaled high-risk exports</t>
  </si>
  <si>
    <r>
      <t>Artificially shifted profits   (π</t>
    </r>
    <r>
      <rPr>
        <b/>
        <vertAlign val="subscript"/>
        <sz val="12"/>
        <color rgb="FF000000"/>
        <rFont val="Arial"/>
        <family val="2"/>
      </rPr>
      <t>f</t>
    </r>
    <r>
      <rPr>
        <b/>
        <sz val="12"/>
        <color rgb="FF000000"/>
        <rFont val="Arial"/>
        <family val="2"/>
      </rPr>
      <t xml:space="preserve"> = π</t>
    </r>
    <r>
      <rPr>
        <b/>
        <vertAlign val="subscript"/>
        <sz val="12"/>
        <color rgb="FF000000"/>
        <rFont val="Arial"/>
        <family val="2"/>
      </rPr>
      <t>l</t>
    </r>
    <r>
      <rPr>
        <b/>
        <sz val="12"/>
        <color rgb="FF000000"/>
        <rFont val="Arial"/>
        <family val="2"/>
      </rPr>
      <t>)</t>
    </r>
  </si>
  <si>
    <t>Difference between High-risk exports and excess profits</t>
  </si>
  <si>
    <t>Raw exporter data (high-risk imports, $ millions)</t>
  </si>
  <si>
    <t>Importer/Exporter</t>
  </si>
  <si>
    <t>Offshore tax havens</t>
  </si>
  <si>
    <t>Rest of havens</t>
  </si>
  <si>
    <t>Non-EU Non-Haven</t>
  </si>
  <si>
    <t>Additional manual corrections to ensure sums match</t>
  </si>
  <si>
    <t>Reallocation matrix</t>
  </si>
  <si>
    <t>Reallocation matrix^2</t>
  </si>
  <si>
    <t xml:space="preserve">Point of entry/Ultimate location </t>
  </si>
  <si>
    <t>OFFSHO</t>
  </si>
  <si>
    <t>Final distribution ($, billions)</t>
  </si>
  <si>
    <t>EU high-tax countries</t>
  </si>
  <si>
    <t>Non-EU high-tax countries</t>
  </si>
  <si>
    <t>EU22 to ultimate destination</t>
  </si>
  <si>
    <t>Input to online sankey diagram</t>
  </si>
  <si>
    <t>Origin</t>
  </si>
  <si>
    <t>Destination</t>
  </si>
  <si>
    <t>Billion (Imports)</t>
  </si>
  <si>
    <t>Node (origin)</t>
  </si>
  <si>
    <t>Node (destination)</t>
  </si>
  <si>
    <t>Immediate</t>
  </si>
  <si>
    <t>Ultimate</t>
  </si>
  <si>
    <t>EU22 to EU havens</t>
  </si>
  <si>
    <t>EU22 to non-EU havens</t>
  </si>
  <si>
    <t>Table C5: National account statistics corrected for profit shifting</t>
  </si>
  <si>
    <t>Difference in net capital share</t>
  </si>
  <si>
    <t>Shifted operating surplus</t>
  </si>
  <si>
    <t>Net domestic product</t>
  </si>
  <si>
    <t>Shifted corporate profits</t>
  </si>
  <si>
    <t>Shifted interest</t>
  </si>
  <si>
    <t>Table C5b: Balance of payment statistics corrected for profit shifting</t>
  </si>
  <si>
    <t>Trade balance / GDP (raw)</t>
  </si>
  <si>
    <t>Trade balance / GDP (corrected)</t>
  </si>
  <si>
    <r>
      <t xml:space="preserve">Difference in </t>
    </r>
    <r>
      <rPr>
        <sz val="12"/>
        <color theme="1"/>
        <rFont val="Arial"/>
        <family val="2"/>
      </rPr>
      <t>trade balance</t>
    </r>
  </si>
  <si>
    <t>Cross-border primary income / GDP (raw)</t>
  </si>
  <si>
    <t>Cross-border primary income / GDP (corrected)</t>
  </si>
  <si>
    <t>Difference in primary income balance</t>
  </si>
  <si>
    <t>Current account balance / GDP (raw)</t>
  </si>
  <si>
    <t>Current account balance / GDP (corrected)</t>
  </si>
  <si>
    <t>Difference in current account balance</t>
  </si>
  <si>
    <t>Trade balance</t>
  </si>
  <si>
    <t>Cross-border primary income</t>
  </si>
  <si>
    <t>Equity income</t>
  </si>
  <si>
    <t>Debt income</t>
  </si>
  <si>
    <t>Debt shifting: does not affect trade balance nor income balance (but only the breakdown of DI income into debt and equity income); hence relatively little impact on Dutch BoP (lot of interest)</t>
  </si>
  <si>
    <t>Real shifting: affects trande balance and income balance in opposite direction</t>
  </si>
  <si>
    <t>CA balance of havens falls because we add the missing US profits as DI income paid (and assume that any service exports were appropriately recorded: consistent with fact that at global level, DI balance &lt; 0 but trade balance &gt; 0: if anything there are too much exports, not too little)</t>
  </si>
  <si>
    <t>This might be excessive in the case of Ireland (probably missing some exports)</t>
  </si>
  <si>
    <t>Luxembourg is a foreign-owned country (real mobility of finance + cross-border workers)</t>
  </si>
  <si>
    <t>Table C.6: World corporate profits 1975-2012</t>
  </si>
  <si>
    <t>Aux: UN data on value-added</t>
  </si>
  <si>
    <t>Depreciation (% GDP)</t>
  </si>
  <si>
    <t>Corporate sector share of net output</t>
  </si>
  <si>
    <t>Labor share in net corporate value-added</t>
  </si>
  <si>
    <t>Memo: Labor share in gross corporate value-added</t>
  </si>
  <si>
    <t>Share of foreign corporations in profits</t>
  </si>
  <si>
    <t>Net value-added</t>
  </si>
  <si>
    <t>Net corporate value-added</t>
  </si>
  <si>
    <t>Net corporate profits</t>
  </si>
  <si>
    <t>Of which: of foreign-controlled corporations</t>
  </si>
  <si>
    <t>Corporate sector share of GDP</t>
  </si>
  <si>
    <t>Number of countries in sample</t>
  </si>
  <si>
    <t>Labour share in corporate sector</t>
  </si>
  <si>
    <r>
      <rPr>
        <b/>
        <sz val="11"/>
        <color theme="1"/>
        <rFont val="Arial"/>
        <family val="2"/>
      </rPr>
      <t>Notes:</t>
    </r>
    <r>
      <rPr>
        <sz val="11"/>
        <color theme="1"/>
        <rFont val="Arial"/>
        <family val="2"/>
      </rPr>
      <t xml:space="preserve"> "Corporate profits" are after net interest payments.</t>
    </r>
  </si>
  <si>
    <t>Note:</t>
  </si>
  <si>
    <t>Table C7: Tracing immediate high-risk payments to their ultimate destination</t>
  </si>
  <si>
    <t>Excessive high risk payments - immediate destination (million USD)</t>
  </si>
  <si>
    <t>Excessive high risk payments - ultimate destination (million USD)</t>
  </si>
  <si>
    <t>Non-EU havens</t>
  </si>
  <si>
    <t>Corrections such that sums match</t>
  </si>
  <si>
    <t>Table D1a: Comparison with other estimates</t>
  </si>
  <si>
    <t>$Bn.</t>
  </si>
  <si>
    <t>Our benchmark</t>
  </si>
  <si>
    <t>Clausing</t>
  </si>
  <si>
    <t>OECD 2015</t>
  </si>
  <si>
    <t>UNCTAD 2015</t>
  </si>
  <si>
    <t>Crivelli et al 2016 (long-run estimate)</t>
  </si>
  <si>
    <t>Crivelli et al 2016 (short-run estimate)</t>
  </si>
  <si>
    <t>Crivelli 2016 / Cobham &amp; Jansky 2017 (long run)</t>
  </si>
  <si>
    <t>Year of estimate</t>
  </si>
  <si>
    <t>Global tax revenue loss</t>
  </si>
  <si>
    <t>100-240</t>
  </si>
  <si>
    <t>Global base shifted</t>
  </si>
  <si>
    <t>Table D.1b: Comparison with other estimates (country details)</t>
  </si>
  <si>
    <t>Tax revenue loss ($Bn.)</t>
  </si>
  <si>
    <t>Tax revenue loss (% of corp. Tax revenue)</t>
  </si>
  <si>
    <t>Our benchmark estimate</t>
  </si>
  <si>
    <t>Crivelli 2016 / Cobham &amp; Jansky 2017</t>
  </si>
  <si>
    <t>Clausing 2016</t>
  </si>
  <si>
    <t>World Total</t>
  </si>
  <si>
    <t>Table D2: Studies of transfer mispricing of goods</t>
  </si>
  <si>
    <t>Cristeau &amp; Nguyen 2014</t>
  </si>
  <si>
    <t>Liu et al 2017</t>
  </si>
  <si>
    <t>Davies et al 2016</t>
  </si>
  <si>
    <t>Bernard et al 2006</t>
  </si>
  <si>
    <t>Country</t>
  </si>
  <si>
    <t>DK</t>
  </si>
  <si>
    <t>UK</t>
  </si>
  <si>
    <t>FR</t>
  </si>
  <si>
    <t>Tax loss in million Euro</t>
  </si>
  <si>
    <t>Corporate income tax revenue in mill. Euro</t>
  </si>
  <si>
    <t>Tax loss in percent of CIT</t>
  </si>
  <si>
    <t>Of tax loss: internal loss to EU countries</t>
  </si>
  <si>
    <t>N/A</t>
  </si>
  <si>
    <t>Of internal EU loss: Loss going to EU havens</t>
  </si>
  <si>
    <t>Transfer mispricing of goods estimates</t>
  </si>
  <si>
    <t>Huizinga &amp; Laeven 2008 corporate tax losses relative to total corporate tax incomes 1999</t>
  </si>
  <si>
    <t>Taxes on the income or profits of corporations including holding gains</t>
  </si>
  <si>
    <t>Gained revenue in million USD</t>
  </si>
  <si>
    <t>Gained revenue in million Euro</t>
  </si>
  <si>
    <t>Percent of CIT gained</t>
  </si>
  <si>
    <t>Income year of estimate</t>
  </si>
  <si>
    <t>Place</t>
  </si>
  <si>
    <t>Tax loss in mill. Euro</t>
  </si>
  <si>
    <t>CIT in mill. Euro</t>
  </si>
  <si>
    <t>source: Main national accounts tax aggregates [gov_10a_taxag]</t>
  </si>
  <si>
    <t>1999 Exchange rate USD/EUR</t>
  </si>
  <si>
    <t>Table E1: Capital intensity: Local vs. foreign-controlled firms (2015)</t>
  </si>
  <si>
    <t>Full economy</t>
  </si>
  <si>
    <t>Foreign firms</t>
  </si>
  <si>
    <t>K/wL</t>
  </si>
  <si>
    <t>K/L</t>
  </si>
  <si>
    <t>Compensation of employees (wL)</t>
  </si>
  <si>
    <t>Number of employees in FATS    (L)</t>
  </si>
  <si>
    <t>Tangible fixed assets (K)</t>
  </si>
  <si>
    <t>Thousands</t>
  </si>
  <si>
    <t>AUS</t>
  </si>
  <si>
    <t>AUT</t>
  </si>
  <si>
    <t>BEL</t>
  </si>
  <si>
    <t>CAN</t>
  </si>
  <si>
    <t>CHL</t>
  </si>
  <si>
    <t>CZE</t>
  </si>
  <si>
    <t>DNK</t>
  </si>
  <si>
    <t>EST</t>
  </si>
  <si>
    <t>FIN</t>
  </si>
  <si>
    <t>FRA</t>
  </si>
  <si>
    <t>DEU</t>
  </si>
  <si>
    <t>GRC</t>
  </si>
  <si>
    <t>HUN</t>
  </si>
  <si>
    <t>ISL</t>
  </si>
  <si>
    <t>IRL</t>
  </si>
  <si>
    <t>ISR</t>
  </si>
  <si>
    <t>ITA</t>
  </si>
  <si>
    <t>JPN</t>
  </si>
  <si>
    <t>KOR</t>
  </si>
  <si>
    <t>LVA</t>
  </si>
  <si>
    <t>LUX</t>
  </si>
  <si>
    <t>MEX</t>
  </si>
  <si>
    <t>NLD</t>
  </si>
  <si>
    <t>NZL</t>
  </si>
  <si>
    <t>NOR</t>
  </si>
  <si>
    <t>POL</t>
  </si>
  <si>
    <t>PRT</t>
  </si>
  <si>
    <t>SVK</t>
  </si>
  <si>
    <t>SVN</t>
  </si>
  <si>
    <t>ESP</t>
  </si>
  <si>
    <t>SWE</t>
  </si>
  <si>
    <t>CHE</t>
  </si>
  <si>
    <t>TUR</t>
  </si>
  <si>
    <t>GBR</t>
  </si>
  <si>
    <t>BRA</t>
  </si>
  <si>
    <t>CHN</t>
  </si>
  <si>
    <t>COL</t>
  </si>
  <si>
    <t>CRI</t>
  </si>
  <si>
    <t>IND</t>
  </si>
  <si>
    <t>RUS</t>
  </si>
  <si>
    <t>ZAF</t>
  </si>
  <si>
    <t>AND</t>
  </si>
  <si>
    <t>AIA</t>
  </si>
  <si>
    <t>ATG</t>
  </si>
  <si>
    <t>ABW</t>
  </si>
  <si>
    <t>BHS</t>
  </si>
  <si>
    <t>BRB</t>
  </si>
  <si>
    <t>BLZ</t>
  </si>
  <si>
    <t>BMU</t>
  </si>
  <si>
    <t>BES</t>
  </si>
  <si>
    <t>CYM</t>
  </si>
  <si>
    <t>CUW</t>
  </si>
  <si>
    <t>CYP</t>
  </si>
  <si>
    <t>JEY</t>
  </si>
  <si>
    <t>GRD</t>
  </si>
  <si>
    <t>GGY</t>
  </si>
  <si>
    <t>GIB</t>
  </si>
  <si>
    <t>HKG</t>
  </si>
  <si>
    <t>IMN</t>
  </si>
  <si>
    <t>LBN</t>
  </si>
  <si>
    <t>LIE</t>
  </si>
  <si>
    <t>MLT</t>
  </si>
  <si>
    <t>MCO</t>
  </si>
  <si>
    <t>SXM</t>
  </si>
  <si>
    <t>MUS</t>
  </si>
  <si>
    <t>SYC</t>
  </si>
  <si>
    <t>SGP</t>
  </si>
  <si>
    <t>KNA</t>
  </si>
  <si>
    <t>LCA</t>
  </si>
  <si>
    <t>VCT</t>
  </si>
  <si>
    <t>TCA</t>
  </si>
  <si>
    <t>PAN</t>
  </si>
  <si>
    <t>PRI</t>
  </si>
  <si>
    <r>
      <rPr>
        <u/>
        <sz val="12"/>
        <color theme="1"/>
        <rFont val="Arial"/>
        <family val="2"/>
      </rPr>
      <t>Notes</t>
    </r>
    <r>
      <rPr>
        <sz val="12"/>
        <color theme="1"/>
        <rFont val="Arial"/>
        <family val="2"/>
      </rPr>
      <t xml:space="preserve">: The foreign share of tangible fixed assets is computed as the share of gross investments in tangible assets in the preceding 9 years using FATS data. When local FATS data are unavailable, we use the ratio of tangible assets to compensation in US-owned firms. Data on tangible assets of foreign affiliates for Puerto Rico is taken from US Country-by-Country reports from 2016. For India, South Africa and Puerto Rico the local sector ratio of tangible assets to employee compensation is imputed as the developing country average. </t>
    </r>
  </si>
  <si>
    <t>Table E2: Capital intensity: havens vs. Non-havens (billions of US$)</t>
  </si>
  <si>
    <t>Foreign</t>
  </si>
  <si>
    <t>Local</t>
  </si>
  <si>
    <t>Foreign /Local</t>
  </si>
  <si>
    <t>wL/K</t>
  </si>
  <si>
    <t>wL</t>
  </si>
  <si>
    <t>K</t>
  </si>
  <si>
    <t>All</t>
  </si>
  <si>
    <t>Non-havens</t>
  </si>
  <si>
    <t>Table E3: Artificially shifted profits (2015) - Robustness of estimates to differing assumptions on capital intensity</t>
  </si>
  <si>
    <t>Tangible capital  / compens.           (K/L)</t>
  </si>
  <si>
    <r>
      <t>Foreign controlled firms       (K/L</t>
    </r>
    <r>
      <rPr>
        <sz val="12"/>
        <color theme="1"/>
        <rFont val="Arial"/>
        <family val="2"/>
      </rPr>
      <t>)</t>
    </r>
  </si>
  <si>
    <r>
      <t>Local firms (K/L</t>
    </r>
    <r>
      <rPr>
        <sz val="12"/>
        <color theme="1"/>
        <rFont val="Arial"/>
        <family val="2"/>
      </rPr>
      <t>)</t>
    </r>
  </si>
  <si>
    <t>Local firm profitability (π) corrected by setting local=foreign K/L ratio</t>
  </si>
  <si>
    <r>
      <t>Artificially shifted profits (π</t>
    </r>
    <r>
      <rPr>
        <b/>
        <vertAlign val="subscript"/>
        <sz val="12"/>
        <color theme="1"/>
        <rFont val="Arial"/>
        <family val="2"/>
      </rPr>
      <t>f</t>
    </r>
    <r>
      <rPr>
        <b/>
        <sz val="12"/>
        <color theme="1"/>
        <rFont val="Arial"/>
        <family val="2"/>
      </rPr>
      <t xml:space="preserve"> = π</t>
    </r>
    <r>
      <rPr>
        <b/>
        <vertAlign val="subscript"/>
        <sz val="12"/>
        <color theme="1"/>
        <rFont val="Arial"/>
        <family val="2"/>
      </rPr>
      <t>l</t>
    </r>
    <r>
      <rPr>
        <b/>
        <sz val="12"/>
        <color theme="1"/>
        <rFont val="Arial"/>
        <family val="2"/>
      </rPr>
      <t>) with adjusted local firm profitability</t>
    </r>
  </si>
  <si>
    <t>Change relative to benchmark</t>
  </si>
  <si>
    <t>σ=0.7</t>
  </si>
  <si>
    <t>σ=1</t>
  </si>
  <si>
    <t>σ=1.3</t>
  </si>
  <si>
    <t>Benchmark</t>
  </si>
  <si>
    <t>Table E4: Artificially shifted profits (2015) - Robustness of estimates</t>
  </si>
  <si>
    <t>Preferred estimate</t>
  </si>
  <si>
    <t>Robustness checks</t>
  </si>
  <si>
    <t>Removing bilateral disc. ("missing profits"</t>
  </si>
  <si>
    <t>Adjustment for capital intensity with σ=0.7</t>
  </si>
  <si>
    <t>Adjustment for capital intensity with σ=1.3</t>
  </si>
  <si>
    <t>Table F1a: Top statutory corporate income tax rates by country</t>
  </si>
  <si>
    <t>Hong Kong SAR</t>
  </si>
  <si>
    <t>Sint Maarten (Dutch part)</t>
  </si>
  <si>
    <t>European average</t>
  </si>
  <si>
    <t>Asian average</t>
  </si>
  <si>
    <t>African Average</t>
  </si>
  <si>
    <t>Latin american average</t>
  </si>
  <si>
    <t>World average</t>
  </si>
  <si>
    <t>Table F1b: Top statutory corporate income tax rates of OECD countries</t>
  </si>
  <si>
    <t>2000-2016</t>
  </si>
  <si>
    <t>[23]</t>
  </si>
  <si>
    <t>[24]</t>
  </si>
  <si>
    <t>[25]</t>
  </si>
  <si>
    <t>[26]</t>
  </si>
  <si>
    <t>[27]</t>
  </si>
  <si>
    <t>[28]</t>
  </si>
  <si>
    <t>[29]</t>
  </si>
  <si>
    <t>[30]</t>
  </si>
  <si>
    <t>[31]</t>
  </si>
  <si>
    <t>[32]</t>
  </si>
  <si>
    <t>[33]</t>
  </si>
  <si>
    <t>[34]</t>
  </si>
  <si>
    <t>[35]</t>
  </si>
  <si>
    <t>[36]</t>
  </si>
  <si>
    <t>[37]</t>
  </si>
  <si>
    <t>[38]</t>
  </si>
  <si>
    <t>OECD average</t>
  </si>
  <si>
    <t>Avg top 8 partners us (by comp)</t>
  </si>
  <si>
    <t>Avg top 10 partners us (by comp)</t>
  </si>
  <si>
    <t>Table F1c: Top statutory corporate income tax rates of OECD countries, decennial averages</t>
  </si>
  <si>
    <t>1981-1989</t>
  </si>
  <si>
    <t>1990-1999</t>
  </si>
  <si>
    <t>2000-2009</t>
  </si>
  <si>
    <t>2010-2018</t>
  </si>
  <si>
    <t>Multinational profits (% of all profits)</t>
  </si>
  <si>
    <t>World average tax rate</t>
  </si>
  <si>
    <t>Table F2: Corporate tax revenue as a share of GNI</t>
  </si>
  <si>
    <t>France, Germany, Italy, United Kingdom</t>
  </si>
  <si>
    <t>% of NNI</t>
  </si>
  <si>
    <t>Note: The calculations are made assuming that Assuming KD = 15% of GDP and NNI = 0.85 * GNI. Source: OECD accessed 1-10-2017</t>
  </si>
  <si>
    <t>Table F3: Multinational profits as share of global profits (decennial averages)</t>
  </si>
  <si>
    <t>MNE profits/Global profits</t>
  </si>
  <si>
    <t>US FDI/US profits</t>
  </si>
  <si>
    <t>MNE profits/Global profits - Including imputations</t>
  </si>
  <si>
    <t>1930-39</t>
  </si>
  <si>
    <t>1940-49</t>
  </si>
  <si>
    <t>1950-59</t>
  </si>
  <si>
    <t>1960-69</t>
  </si>
  <si>
    <t>1970-79</t>
  </si>
  <si>
    <t>1980-89</t>
  </si>
  <si>
    <t>1990-99</t>
  </si>
  <si>
    <t>2000-09</t>
  </si>
  <si>
    <t>2010-15</t>
  </si>
  <si>
    <t>Table G1: Profits of US-owned firms across data sources ($, Millions)</t>
  </si>
  <si>
    <t>Country-by-country reports</t>
  </si>
  <si>
    <t xml:space="preserve">FATS profit-type-return (incl. Puerto Rico) </t>
  </si>
  <si>
    <t xml:space="preserve">DIA equity income before taxes (incl. Puerto Rico) </t>
  </si>
  <si>
    <t>National Accounts (Table 14a, Corporate sector)</t>
  </si>
  <si>
    <t>2017/2016</t>
  </si>
  <si>
    <t>Stateless</t>
  </si>
  <si>
    <t>Foreign (non-stateless)</t>
  </si>
  <si>
    <r>
      <rPr>
        <u/>
        <sz val="12"/>
        <rFont val="Arial"/>
        <family val="2"/>
      </rPr>
      <t>Notes</t>
    </r>
    <r>
      <rPr>
        <sz val="12"/>
        <rFont val="Arial"/>
        <family val="2"/>
      </rPr>
      <t>: Income data on Puerto Rico is added to FATS/DIA data from CBCR. Taxes are added to DIA equity income using the eff. tax rate on foreign profits from FATS</t>
    </r>
  </si>
  <si>
    <t>Table G2: US-owned firms profits in tax havens across different sources ($, millions)</t>
  </si>
  <si>
    <t>CBcR</t>
  </si>
  <si>
    <t>FATS (incl. Puerto Rico)</t>
  </si>
  <si>
    <t>OECD tax havens</t>
  </si>
  <si>
    <t xml:space="preserve">Non-OECD havens </t>
  </si>
  <si>
    <t>Total tax havens</t>
  </si>
  <si>
    <t>% of foreign (excl. stateless profits in CBCR)</t>
  </si>
  <si>
    <t>Memo: Ireland + Bermuda</t>
  </si>
  <si>
    <t>Table G3: US firms profits in tax havens across different sources ($, millions)</t>
  </si>
  <si>
    <t>FATS</t>
  </si>
  <si>
    <t>Profits ($, millions)</t>
  </si>
  <si>
    <t>Profit-type-return ($, millions)</t>
  </si>
  <si>
    <t>BHR</t>
  </si>
  <si>
    <t>VGB</t>
  </si>
  <si>
    <t>MAC</t>
  </si>
  <si>
    <t>MHL</t>
  </si>
  <si>
    <t>Table G4: Global foreign profits in 2016 CbCR vs TWZ  ($, billions)</t>
  </si>
  <si>
    <t>TWZ foreign profits (before tax and excl. passthrough)</t>
  </si>
  <si>
    <t>Ratio (1)/(2)</t>
  </si>
  <si>
    <t xml:space="preserve">All countries </t>
  </si>
  <si>
    <t>Foreign profits (incl. stateless)</t>
  </si>
  <si>
    <t>Country allocated foreign profits</t>
  </si>
  <si>
    <t>Stateless profits</t>
  </si>
  <si>
    <t>-</t>
  </si>
  <si>
    <t>Unallocated (non-stateless)</t>
  </si>
  <si>
    <t>Tax havens</t>
  </si>
  <si>
    <t>% of foreign allocated profits</t>
  </si>
  <si>
    <t>Table G5: Global 2016 CBcR vs. TWZ</t>
  </si>
  <si>
    <t>$, Billion</t>
  </si>
  <si>
    <t>Total profits of foreign corp.  in TWZ</t>
  </si>
  <si>
    <t>Foreign profits CBcR</t>
  </si>
  <si>
    <t>Difference (1) - (2)</t>
  </si>
  <si>
    <t>Profit CBCR</t>
  </si>
  <si>
    <t>Difference Our 2016 less CBCR</t>
  </si>
  <si>
    <t>CBCR</t>
  </si>
  <si>
    <t>Our method</t>
  </si>
  <si>
    <t>Europa</t>
  </si>
  <si>
    <t>Southern Europe</t>
  </si>
  <si>
    <t>Americas</t>
  </si>
  <si>
    <t>Latin America and the Caribbean</t>
  </si>
  <si>
    <t>SA</t>
  </si>
  <si>
    <t>Car</t>
  </si>
  <si>
    <t>Middle east</t>
  </si>
  <si>
    <t>Northern America</t>
  </si>
  <si>
    <t>Asia</t>
  </si>
  <si>
    <t>Western Asia</t>
  </si>
  <si>
    <t>Northern Europe</t>
  </si>
  <si>
    <t>Western Europe</t>
  </si>
  <si>
    <t>Sub-Saharan Africa</t>
  </si>
  <si>
    <t>South-eastern Asia</t>
  </si>
  <si>
    <t>VARIABLES</t>
  </si>
  <si>
    <t>1983b.Year#c.haven</t>
  </si>
  <si>
    <t>0.216</t>
  </si>
  <si>
    <t>(0.473)</t>
  </si>
  <si>
    <t>1984.Year#c.haven</t>
  </si>
  <si>
    <t>0.347</t>
  </si>
  <si>
    <t>(0.520)</t>
  </si>
  <si>
    <t>1985.Year#c.haven</t>
  </si>
  <si>
    <t>0.407</t>
  </si>
  <si>
    <t>(0.452)</t>
  </si>
  <si>
    <t>1986.Year#c.haven</t>
  </si>
  <si>
    <t>0.509**</t>
  </si>
  <si>
    <t>(0.226)</t>
  </si>
  <si>
    <t>1987.Year#c.haven</t>
  </si>
  <si>
    <t>0.946***</t>
  </si>
  <si>
    <t>(0.340)</t>
  </si>
  <si>
    <t>1988.Year#c.haven</t>
  </si>
  <si>
    <t>0.776***</t>
  </si>
  <si>
    <t>(0.236)</t>
  </si>
  <si>
    <t>1989.Year#c.haven</t>
  </si>
  <si>
    <t>1.314***</t>
  </si>
  <si>
    <t>(0.387)</t>
  </si>
  <si>
    <t>1990.Year#c.haven</t>
  </si>
  <si>
    <t>0.691**</t>
  </si>
  <si>
    <t>(0.272)</t>
  </si>
  <si>
    <t>1991.Year#c.haven</t>
  </si>
  <si>
    <t>0.651**</t>
  </si>
  <si>
    <t>(0.254)</t>
  </si>
  <si>
    <t>1992.Year#c.haven</t>
  </si>
  <si>
    <t>0.507**</t>
  </si>
  <si>
    <t>(0.243)</t>
  </si>
  <si>
    <t>1993.Year#c.haven</t>
  </si>
  <si>
    <t>0.595**</t>
  </si>
  <si>
    <t>(0.270)</t>
  </si>
  <si>
    <t>1994.Year#c.haven</t>
  </si>
  <si>
    <t>0.617**</t>
  </si>
  <si>
    <t>0.652**</t>
  </si>
  <si>
    <t>(0.253)</t>
  </si>
  <si>
    <t>(0.268)</t>
  </si>
  <si>
    <t>1996.Year#c.haven</t>
  </si>
  <si>
    <t>0.866**</t>
  </si>
  <si>
    <t>0.860**</t>
  </si>
  <si>
    <t>(0.383)</t>
  </si>
  <si>
    <t>(0.360)</t>
  </si>
  <si>
    <t>1997.Year#c.haven</t>
  </si>
  <si>
    <t>1.206**</t>
  </si>
  <si>
    <t>0.984**</t>
  </si>
  <si>
    <t>(0.590)</t>
  </si>
  <si>
    <t>(0.433)</t>
  </si>
  <si>
    <t>1998.Year#c.haven</t>
  </si>
  <si>
    <t>1.295*</t>
  </si>
  <si>
    <t>0.989*</t>
  </si>
  <si>
    <t>(0.694)</t>
  </si>
  <si>
    <t>(0.533)</t>
  </si>
  <si>
    <t>1999.Year#c.haven</t>
  </si>
  <si>
    <t>1.126*</t>
  </si>
  <si>
    <t>1.084*</t>
  </si>
  <si>
    <t>1.298***</t>
  </si>
  <si>
    <t>(0.574)</t>
  </si>
  <si>
    <t>(0.573)</t>
  </si>
  <si>
    <t>2000.Year#c.haven</t>
  </si>
  <si>
    <t>0.970</t>
  </si>
  <si>
    <t>1.069</t>
  </si>
  <si>
    <t>(0.722)</t>
  </si>
  <si>
    <t>2001.Year#c.haven</t>
  </si>
  <si>
    <t>0.902</t>
  </si>
  <si>
    <t>0.871</t>
  </si>
  <si>
    <t>(0.730)</t>
  </si>
  <si>
    <t>(0.719)</t>
  </si>
  <si>
    <t>2002.Year#c.haven</t>
  </si>
  <si>
    <t>1.270</t>
  </si>
  <si>
    <t>1.365</t>
  </si>
  <si>
    <t>(0.850)</t>
  </si>
  <si>
    <t>(1.091)</t>
  </si>
  <si>
    <t>2003.Year#c.haven</t>
  </si>
  <si>
    <t>1.564</t>
  </si>
  <si>
    <t>1.490</t>
  </si>
  <si>
    <t>(0.990)</t>
  </si>
  <si>
    <t>(1.104)</t>
  </si>
  <si>
    <t>2004.Year#c.haven</t>
  </si>
  <si>
    <t>1.852*</t>
  </si>
  <si>
    <t>1.576</t>
  </si>
  <si>
    <t>1.790***</t>
  </si>
  <si>
    <t>(1.059)</t>
  </si>
  <si>
    <t>(0.993)</t>
  </si>
  <si>
    <t>(0.204)</t>
  </si>
  <si>
    <t>2005.Year#c.haven</t>
  </si>
  <si>
    <t>1.750*</t>
  </si>
  <si>
    <t>1.554*</t>
  </si>
  <si>
    <t>(1.029)</t>
  </si>
  <si>
    <t>(0.915)</t>
  </si>
  <si>
    <t>(0.423)</t>
  </si>
  <si>
    <t>2006.Year#c.haven</t>
  </si>
  <si>
    <t>1.861</t>
  </si>
  <si>
    <t>1.560</t>
  </si>
  <si>
    <t>(1.266)</t>
  </si>
  <si>
    <t>2007.Year#c.haven</t>
  </si>
  <si>
    <t>1.928</t>
  </si>
  <si>
    <t>1.663*</t>
  </si>
  <si>
    <t>(1.368)</t>
  </si>
  <si>
    <t>(0.945)</t>
  </si>
  <si>
    <t>2008.Year#c.haven</t>
  </si>
  <si>
    <t>1.357</t>
  </si>
  <si>
    <t>1.193</t>
  </si>
  <si>
    <t>(1.136)</t>
  </si>
  <si>
    <t>(0.835)</t>
  </si>
  <si>
    <t>2009.Year#c.haven</t>
  </si>
  <si>
    <t>1.862*</t>
  </si>
  <si>
    <t>1.606*</t>
  </si>
  <si>
    <t>1.802***</t>
  </si>
  <si>
    <t>(1.093)</t>
  </si>
  <si>
    <t>(0.952)</t>
  </si>
  <si>
    <t>(0.165)</t>
  </si>
  <si>
    <t>2010.Year#c.haven</t>
  </si>
  <si>
    <t>1.692</t>
  </si>
  <si>
    <t>1.333</t>
  </si>
  <si>
    <t>(1.148)</t>
  </si>
  <si>
    <t>(1.033)</t>
  </si>
  <si>
    <t>2011.Year#c.haven</t>
  </si>
  <si>
    <t>2.055*</t>
  </si>
  <si>
    <t>1.867</t>
  </si>
  <si>
    <t>(1.167)</t>
  </si>
  <si>
    <t>(1.152)</t>
  </si>
  <si>
    <t>2012.Year#c.haven</t>
  </si>
  <si>
    <t>2.176*</t>
  </si>
  <si>
    <t>1.904*</t>
  </si>
  <si>
    <t>(1.141)</t>
  </si>
  <si>
    <t>(1.073)</t>
  </si>
  <si>
    <t>2013.Year#c.haven</t>
  </si>
  <si>
    <t>1.566</t>
  </si>
  <si>
    <t>(1.232)</t>
  </si>
  <si>
    <t>(1.150)</t>
  </si>
  <si>
    <t>2014.Year#c.haven</t>
  </si>
  <si>
    <t>2.165**</t>
  </si>
  <si>
    <t>1.807*</t>
  </si>
  <si>
    <t>2.108***</t>
  </si>
  <si>
    <t>(0.974)</t>
  </si>
  <si>
    <t>(0.913)</t>
  </si>
  <si>
    <t>(0.143)</t>
  </si>
  <si>
    <t>2015.Year#c.haven</t>
  </si>
  <si>
    <t>2.824**</t>
  </si>
  <si>
    <t>2.296**</t>
  </si>
  <si>
    <t>(1.060)</t>
  </si>
  <si>
    <t>(0.969)</t>
  </si>
  <si>
    <t>2016.Year#c.haven</t>
  </si>
  <si>
    <t>3.051***</t>
  </si>
  <si>
    <t>2.651***</t>
  </si>
  <si>
    <t>(0.879)</t>
  </si>
  <si>
    <t>(0.833)</t>
  </si>
  <si>
    <t>2017.Year#c.haven</t>
  </si>
  <si>
    <t>3.275***</t>
  </si>
  <si>
    <t>2.879***</t>
  </si>
  <si>
    <t>(0.907)</t>
  </si>
  <si>
    <t>(0.900)</t>
  </si>
  <si>
    <t>(0.417)</t>
  </si>
  <si>
    <t>2018.Year#c.haven</t>
  </si>
  <si>
    <t>3.335***</t>
  </si>
  <si>
    <t>2.846**</t>
  </si>
  <si>
    <t>(1.250)</t>
  </si>
  <si>
    <t>(1.231)</t>
  </si>
  <si>
    <t>1983b.Year#c.logK</t>
  </si>
  <si>
    <t>0.135</t>
  </si>
  <si>
    <t>(0.107)</t>
  </si>
  <si>
    <t>1984.Year#c.logK</t>
  </si>
  <si>
    <t>0.191</t>
  </si>
  <si>
    <t>(0.120)</t>
  </si>
  <si>
    <t>1985.Year#c.logK</t>
  </si>
  <si>
    <t>0.183</t>
  </si>
  <si>
    <t>(0.118)</t>
  </si>
  <si>
    <t>1986.Year#c.logK</t>
  </si>
  <si>
    <t>0.0120</t>
  </si>
  <si>
    <t>(0.0668)</t>
  </si>
  <si>
    <t>1987.Year#c.logK</t>
  </si>
  <si>
    <t>0.0409</t>
  </si>
  <si>
    <t>(0.0753)</t>
  </si>
  <si>
    <t>1988.Year#c.logK</t>
  </si>
  <si>
    <t>0.0333</t>
  </si>
  <si>
    <t>(0.0707)</t>
  </si>
  <si>
    <t>1989.Year#c.logK</t>
  </si>
  <si>
    <t>0.0339</t>
  </si>
  <si>
    <t>(0.0780)</t>
  </si>
  <si>
    <t>1990.Year#c.logK</t>
  </si>
  <si>
    <t>-0.0643</t>
  </si>
  <si>
    <t>(0.0480)</t>
  </si>
  <si>
    <t>1991.Year#c.logK</t>
  </si>
  <si>
    <t>-0.0861*</t>
  </si>
  <si>
    <t>(0.0447)</t>
  </si>
  <si>
    <t>1992.Year#c.logK</t>
  </si>
  <si>
    <t>-0.0747</t>
  </si>
  <si>
    <t>(0.0479)</t>
  </si>
  <si>
    <t>1993.Year#c.logK</t>
  </si>
  <si>
    <t>0.00162</t>
  </si>
  <si>
    <t>(0.0559)</t>
  </si>
  <si>
    <t>1994.Year#c.logK</t>
  </si>
  <si>
    <t>-0.0301</t>
  </si>
  <si>
    <t>0.0142</t>
  </si>
  <si>
    <t>(0.0570)</t>
  </si>
  <si>
    <t>(0.0453)</t>
  </si>
  <si>
    <t>1996.Year#c.logK</t>
  </si>
  <si>
    <t>0.0272</t>
  </si>
  <si>
    <t>0.0903</t>
  </si>
  <si>
    <t>(0.0834)</t>
  </si>
  <si>
    <t>(0.0700)</t>
  </si>
  <si>
    <t>1997.Year#c.logK</t>
  </si>
  <si>
    <t>0.0876</t>
  </si>
  <si>
    <t>0.128*</t>
  </si>
  <si>
    <t>(0.0928)</t>
  </si>
  <si>
    <t>(0.0692)</t>
  </si>
  <si>
    <t>1998.Year#c.logK</t>
  </si>
  <si>
    <t>0.0499</t>
  </si>
  <si>
    <t>0.0929</t>
  </si>
  <si>
    <t>(0.0683)</t>
  </si>
  <si>
    <t>(0.0638)</t>
  </si>
  <si>
    <t>1999.Year#c.logK</t>
  </si>
  <si>
    <t>0.0751</t>
  </si>
  <si>
    <t>0.136**</t>
  </si>
  <si>
    <t>0.202***</t>
  </si>
  <si>
    <t>0.133</t>
  </si>
  <si>
    <t>(0.0824)</t>
  </si>
  <si>
    <t>(0.0637)</t>
  </si>
  <si>
    <t>(0.0904)</t>
  </si>
  <si>
    <t>2000.Year#c.logK</t>
  </si>
  <si>
    <t>0.164</t>
  </si>
  <si>
    <t>0.176**</t>
  </si>
  <si>
    <t>(0.131)</t>
  </si>
  <si>
    <t>(0.0872)</t>
  </si>
  <si>
    <t>2001.Year#c.logK</t>
  </si>
  <si>
    <t>0.0614</t>
  </si>
  <si>
    <t>0.0622</t>
  </si>
  <si>
    <t>(0.124)</t>
  </si>
  <si>
    <t>(0.0828)</t>
  </si>
  <si>
    <t>(0.0862)</t>
  </si>
  <si>
    <t>2002.Year#c.logK</t>
  </si>
  <si>
    <t>0.0230</t>
  </si>
  <si>
    <t>0.126</t>
  </si>
  <si>
    <t>(0.103)</t>
  </si>
  <si>
    <t>(0.112)</t>
  </si>
  <si>
    <t>2003.Year#c.logK</t>
  </si>
  <si>
    <t>0.0931</t>
  </si>
  <si>
    <t>0.121</t>
  </si>
  <si>
    <t>(0.125)</t>
  </si>
  <si>
    <t>(0.105)</t>
  </si>
  <si>
    <t>2004.Year#c.logK</t>
  </si>
  <si>
    <t>0.221</t>
  </si>
  <si>
    <t>0.169*</t>
  </si>
  <si>
    <t>0.107</t>
  </si>
  <si>
    <t>(0.161)</t>
  </si>
  <si>
    <t>(0.0936)</t>
  </si>
  <si>
    <t>(0.0788)</t>
  </si>
  <si>
    <t>2005.Year#c.logK</t>
  </si>
  <si>
    <t>0.286</t>
  </si>
  <si>
    <t>0.142</t>
  </si>
  <si>
    <t>(0.176)</t>
  </si>
  <si>
    <t>(0.0995)</t>
  </si>
  <si>
    <t>2006.Year#c.logK</t>
  </si>
  <si>
    <t>0.378</t>
  </si>
  <si>
    <t>0.138</t>
  </si>
  <si>
    <t>(0.229)</t>
  </si>
  <si>
    <t>(0.102)</t>
  </si>
  <si>
    <t>2007.Year#c.logK</t>
  </si>
  <si>
    <t>0.364</t>
  </si>
  <si>
    <t>0.178*</t>
  </si>
  <si>
    <t>(0.240)</t>
  </si>
  <si>
    <t>(0.101)</t>
  </si>
  <si>
    <t>2008.Year#c.logK</t>
  </si>
  <si>
    <t>0.498*</t>
  </si>
  <si>
    <t>0.273**</t>
  </si>
  <si>
    <t>(0.290)</t>
  </si>
  <si>
    <t>(0.128)</t>
  </si>
  <si>
    <t>2009.Year#c.logK</t>
  </si>
  <si>
    <t>0.324</t>
  </si>
  <si>
    <t>0.178</t>
  </si>
  <si>
    <t>0.262***</t>
  </si>
  <si>
    <t>(0.211)</t>
  </si>
  <si>
    <t>(0.0611)</t>
  </si>
  <si>
    <t>2010.Year#c.logK</t>
  </si>
  <si>
    <t>0.497**</t>
  </si>
  <si>
    <t>0.260*</t>
  </si>
  <si>
    <t>(0.225)</t>
  </si>
  <si>
    <t>(0.132)</t>
  </si>
  <si>
    <t>(0.104)</t>
  </si>
  <si>
    <t>2011.Year#c.logK</t>
  </si>
  <si>
    <t>0.432*</t>
  </si>
  <si>
    <t>0.247*</t>
  </si>
  <si>
    <t>(0.228)</t>
  </si>
  <si>
    <t>(0.139)</t>
  </si>
  <si>
    <t>2012.Year#c.logK</t>
  </si>
  <si>
    <t>0.383</t>
  </si>
  <si>
    <t>0.244</t>
  </si>
  <si>
    <t>(0.234)</t>
  </si>
  <si>
    <t>(0.146)</t>
  </si>
  <si>
    <t>2013.Year#c.logK</t>
  </si>
  <si>
    <t>0.323</t>
  </si>
  <si>
    <t>0.301*</t>
  </si>
  <si>
    <t>(0.194)</t>
  </si>
  <si>
    <t>(0.179)</t>
  </si>
  <si>
    <t>2014.Year#c.logK</t>
  </si>
  <si>
    <t>0.225</t>
  </si>
  <si>
    <t>0.206</t>
  </si>
  <si>
    <t>0.181***</t>
  </si>
  <si>
    <t>(0.106)</t>
  </si>
  <si>
    <t>2015.Year#c.logK</t>
  </si>
  <si>
    <t>0.234</t>
  </si>
  <si>
    <t>0.161</t>
  </si>
  <si>
    <t>(0.158)</t>
  </si>
  <si>
    <t>(0.138)</t>
  </si>
  <si>
    <t>2016.Year#c.logK</t>
  </si>
  <si>
    <t>0.114</t>
  </si>
  <si>
    <t>0.157</t>
  </si>
  <si>
    <t>(0.126)</t>
  </si>
  <si>
    <t>2017.Year#c.logK</t>
  </si>
  <si>
    <t>0.212</t>
  </si>
  <si>
    <t>0.202</t>
  </si>
  <si>
    <t>(0.150)</t>
  </si>
  <si>
    <t>(0.133)</t>
  </si>
  <si>
    <t>2018.Year#c.logK</t>
  </si>
  <si>
    <t>0.258</t>
  </si>
  <si>
    <t>0.288*</t>
  </si>
  <si>
    <t>(0.182)</t>
  </si>
  <si>
    <t>(0.166)</t>
  </si>
  <si>
    <t>1983b.Year#c.logGDP</t>
  </si>
  <si>
    <t>-0.762*</t>
  </si>
  <si>
    <t>(0.428)</t>
  </si>
  <si>
    <t>1984.Year#c.logGDP</t>
  </si>
  <si>
    <t>-0.870*</t>
  </si>
  <si>
    <t>(0.504)</t>
  </si>
  <si>
    <t>1985.Year#c.logGDP</t>
  </si>
  <si>
    <t>-0.882*</t>
  </si>
  <si>
    <t>(0.444)</t>
  </si>
  <si>
    <t>1986.Year#c.logGDP</t>
  </si>
  <si>
    <t>-0.412*</t>
  </si>
  <si>
    <t>(0.207)</t>
  </si>
  <si>
    <t>1987.Year#c.logGDP</t>
  </si>
  <si>
    <t>-0.526**</t>
  </si>
  <si>
    <t>(0.230)</t>
  </si>
  <si>
    <t>1988.Year#c.logGDP</t>
  </si>
  <si>
    <t>-0.395**</t>
  </si>
  <si>
    <t>(0.188)</t>
  </si>
  <si>
    <t>1989.Year#c.logGDP</t>
  </si>
  <si>
    <t>-0.484**</t>
  </si>
  <si>
    <t>(0.220)</t>
  </si>
  <si>
    <t>1990.Year#c.logGDP</t>
  </si>
  <si>
    <t>-0.421*</t>
  </si>
  <si>
    <t>(0.244)</t>
  </si>
  <si>
    <t>1991.Year#c.logGDP</t>
  </si>
  <si>
    <t>-0.409</t>
  </si>
  <si>
    <t>(0.259)</t>
  </si>
  <si>
    <t>1992.Year#c.logGDP</t>
  </si>
  <si>
    <t>-0.460**</t>
  </si>
  <si>
    <t>(0.197)</t>
  </si>
  <si>
    <t>1993.Year#c.logGDP</t>
  </si>
  <si>
    <t>-0.513***</t>
  </si>
  <si>
    <t>(0.175)</t>
  </si>
  <si>
    <t>1994.Year#c.logGDP</t>
  </si>
  <si>
    <t>-0.415***</t>
  </si>
  <si>
    <t>-0.343***</t>
  </si>
  <si>
    <t>1996.Year#c.logGDP</t>
  </si>
  <si>
    <t>-0.525***</t>
  </si>
  <si>
    <t>-0.398***</t>
  </si>
  <si>
    <t>(0.142)</t>
  </si>
  <si>
    <t>1997.Year#c.logGDP</t>
  </si>
  <si>
    <t>-0.610**</t>
  </si>
  <si>
    <t>-0.408***</t>
  </si>
  <si>
    <t>(0.246)</t>
  </si>
  <si>
    <t>(0.144)</t>
  </si>
  <si>
    <t>1998.Year#c.logGDP</t>
  </si>
  <si>
    <t>-0.405**</t>
  </si>
  <si>
    <t>-0.275**</t>
  </si>
  <si>
    <t>-0.104</t>
  </si>
  <si>
    <t>(0.196)</t>
  </si>
  <si>
    <t>(0.116)</t>
  </si>
  <si>
    <t>1999.Year#c.logGDP</t>
  </si>
  <si>
    <t>-0.358*</t>
  </si>
  <si>
    <t>-0.231*</t>
  </si>
  <si>
    <t>(0.192)</t>
  </si>
  <si>
    <t>(0.121)</t>
  </si>
  <si>
    <t>2000.Year#c.logGDP</t>
  </si>
  <si>
    <t>-0.568*</t>
  </si>
  <si>
    <t>-0.308*</t>
  </si>
  <si>
    <t>(0.291)</t>
  </si>
  <si>
    <t>2001.Year#c.logGDP</t>
  </si>
  <si>
    <t>-0.420</t>
  </si>
  <si>
    <t>-0.185</t>
  </si>
  <si>
    <t>(0.271)</t>
  </si>
  <si>
    <t>(0.153)</t>
  </si>
  <si>
    <t>2002.Year#c.logGDP</t>
  </si>
  <si>
    <t>-0.327</t>
  </si>
  <si>
    <t>-0.290</t>
  </si>
  <si>
    <t>(0.235)</t>
  </si>
  <si>
    <t>(0.145)</t>
  </si>
  <si>
    <t>2003.Year#c.logGDP</t>
  </si>
  <si>
    <t>-0.553**</t>
  </si>
  <si>
    <t>-0.347**</t>
  </si>
  <si>
    <t>(0.269)</t>
  </si>
  <si>
    <t>2004.Year#c.logGDP</t>
  </si>
  <si>
    <t>-0.839**</t>
  </si>
  <si>
    <t>(0.328)</t>
  </si>
  <si>
    <t>(0.157)</t>
  </si>
  <si>
    <t>2005.Year#c.logGDP</t>
  </si>
  <si>
    <t>-0.952**</t>
  </si>
  <si>
    <t>-0.399**</t>
  </si>
  <si>
    <t>(0.359)</t>
  </si>
  <si>
    <t>2006.Year#c.logGDP</t>
  </si>
  <si>
    <t>-1.299**</t>
  </si>
  <si>
    <t>-0.514***</t>
  </si>
  <si>
    <t>(0.488)</t>
  </si>
  <si>
    <t>2007.Year#c.logGDP</t>
  </si>
  <si>
    <t>-1.148**</t>
  </si>
  <si>
    <t>-0.635***</t>
  </si>
  <si>
    <t>(0.482)</t>
  </si>
  <si>
    <t>(0.148)</t>
  </si>
  <si>
    <t>2008.Year#c.logGDP</t>
  </si>
  <si>
    <t>-1.592**</t>
  </si>
  <si>
    <t>-0.722***</t>
  </si>
  <si>
    <t>(0.608)</t>
  </si>
  <si>
    <t>(0.206)</t>
  </si>
  <si>
    <t>(0.178)</t>
  </si>
  <si>
    <t>2009.Year#c.logGDP</t>
  </si>
  <si>
    <t>-1.094***</t>
  </si>
  <si>
    <t>-0.546***</t>
  </si>
  <si>
    <t>(0.408)</t>
  </si>
  <si>
    <t>2010.Year#c.logGDP</t>
  </si>
  <si>
    <t>-1.376***</t>
  </si>
  <si>
    <t>-0.612***</t>
  </si>
  <si>
    <t>(0.490)</t>
  </si>
  <si>
    <t>(0.221)</t>
  </si>
  <si>
    <t>2011.Year#c.logGDP</t>
  </si>
  <si>
    <t>-1.318***</t>
  </si>
  <si>
    <t>-0.585**</t>
  </si>
  <si>
    <t>(0.485)</t>
  </si>
  <si>
    <t>(0.141)</t>
  </si>
  <si>
    <t>2012.Year#c.logGDP</t>
  </si>
  <si>
    <t>-1.143**</t>
  </si>
  <si>
    <t>-0.540**</t>
  </si>
  <si>
    <t>(0.252)</t>
  </si>
  <si>
    <t>2013.Year#c.logGDP</t>
  </si>
  <si>
    <t>-1.010**</t>
  </si>
  <si>
    <t>-0.589**</t>
  </si>
  <si>
    <t>(0.275)</t>
  </si>
  <si>
    <t>2014.Year#c.logGDP</t>
  </si>
  <si>
    <t>-0.699**</t>
  </si>
  <si>
    <t>-0.449**</t>
  </si>
  <si>
    <t>-0.150</t>
  </si>
  <si>
    <t>(0.301)</t>
  </si>
  <si>
    <t>2015.Year#c.logGDP</t>
  </si>
  <si>
    <t>-0.523*</t>
  </si>
  <si>
    <t>-0.272</t>
  </si>
  <si>
    <t>(0.136)</t>
  </si>
  <si>
    <t>2016.Year#c.logGDP</t>
  </si>
  <si>
    <t>-0.294</t>
  </si>
  <si>
    <t>-0.285</t>
  </si>
  <si>
    <t>(0.191)</t>
  </si>
  <si>
    <t>2017.Year#c.logGDP</t>
  </si>
  <si>
    <t>-0.593**</t>
  </si>
  <si>
    <t>-0.350*</t>
  </si>
  <si>
    <t>(0.295)</t>
  </si>
  <si>
    <t>(0.177)</t>
  </si>
  <si>
    <t>2018.Year#c.logGDP</t>
  </si>
  <si>
    <t>-0.708*</t>
  </si>
  <si>
    <t>-0.464**</t>
  </si>
  <si>
    <t>(0.208)</t>
  </si>
  <si>
    <t>1983b.Year#c.logPop</t>
  </si>
  <si>
    <t>-0.461**</t>
  </si>
  <si>
    <t>(0.199)</t>
  </si>
  <si>
    <t>1984.Year#c.logPop</t>
  </si>
  <si>
    <t>-0.424*</t>
  </si>
  <si>
    <t>(0.213)</t>
  </si>
  <si>
    <t>1985.Year#c.logPop</t>
  </si>
  <si>
    <t>-0.377**</t>
  </si>
  <si>
    <t>(0.187)</t>
  </si>
  <si>
    <t>1986.Year#c.logPop</t>
  </si>
  <si>
    <t>-0.103</t>
  </si>
  <si>
    <t>(0.0984)</t>
  </si>
  <si>
    <t>1987.Year#c.logPop</t>
  </si>
  <si>
    <t>-0.0812</t>
  </si>
  <si>
    <t>1988.Year#c.logPop</t>
  </si>
  <si>
    <t>-0.0505</t>
  </si>
  <si>
    <t>1989.Year#c.logPop</t>
  </si>
  <si>
    <t>-0.0823</t>
  </si>
  <si>
    <t>1990.Year#c.logPop</t>
  </si>
  <si>
    <t>-0.0597</t>
  </si>
  <si>
    <t>(0.0845)</t>
  </si>
  <si>
    <t>1991.Year#c.logPop</t>
  </si>
  <si>
    <t>-0.0102</t>
  </si>
  <si>
    <t>1992.Year#c.logPop</t>
  </si>
  <si>
    <t>-0.0407</t>
  </si>
  <si>
    <t>(0.0855)</t>
  </si>
  <si>
    <t>1993.Year#c.logPop</t>
  </si>
  <si>
    <t>-0.0467</t>
  </si>
  <si>
    <t>(0.0922)</t>
  </si>
  <si>
    <t>1994.Year#c.logPop</t>
  </si>
  <si>
    <t>-0.0666</t>
  </si>
  <si>
    <t>-0.0779</t>
  </si>
  <si>
    <t>(0.0905)</t>
  </si>
  <si>
    <t>(0.0785)</t>
  </si>
  <si>
    <t>1996.Year#c.logPop</t>
  </si>
  <si>
    <t>-0.146</t>
  </si>
  <si>
    <t>-0.148</t>
  </si>
  <si>
    <t>(0.123)</t>
  </si>
  <si>
    <t>(0.110)</t>
  </si>
  <si>
    <t>1997.Year#c.logPop</t>
  </si>
  <si>
    <t>-0.214</t>
  </si>
  <si>
    <t>-0.201*</t>
  </si>
  <si>
    <t>(0.114)</t>
  </si>
  <si>
    <t>1998.Year#c.logPop</t>
  </si>
  <si>
    <t>-0.175*</t>
  </si>
  <si>
    <t>-0.188*</t>
  </si>
  <si>
    <t>1999.Year#c.logPop</t>
  </si>
  <si>
    <t>-0.184</t>
  </si>
  <si>
    <t>-0.224**</t>
  </si>
  <si>
    <t>(0.119)</t>
  </si>
  <si>
    <t>(0.108)</t>
  </si>
  <si>
    <t>2000.Year#c.logPop</t>
  </si>
  <si>
    <t>-0.288</t>
  </si>
  <si>
    <t>-0.281*</t>
  </si>
  <si>
    <t>(0.184)</t>
  </si>
  <si>
    <t>2001.Year#c.logPop</t>
  </si>
  <si>
    <t>-0.217</t>
  </si>
  <si>
    <t>-0.193</t>
  </si>
  <si>
    <t>2002.Year#c.logPop</t>
  </si>
  <si>
    <t>-0.225</t>
  </si>
  <si>
    <t>-0.293</t>
  </si>
  <si>
    <t>2003.Year#c.logPop</t>
  </si>
  <si>
    <t>-0.291</t>
  </si>
  <si>
    <t>-0.287</t>
  </si>
  <si>
    <t>2004.Year#c.logPop</t>
  </si>
  <si>
    <t>-0.451*</t>
  </si>
  <si>
    <t>-0.385**</t>
  </si>
  <si>
    <t>-0.0862</t>
  </si>
  <si>
    <t>2005.Year#c.logPop</t>
  </si>
  <si>
    <t>-0.483*</t>
  </si>
  <si>
    <t>-0.300*</t>
  </si>
  <si>
    <t>(0.242)</t>
  </si>
  <si>
    <t>2006.Year#c.logPop</t>
  </si>
  <si>
    <t>-0.681**</t>
  </si>
  <si>
    <t>-0.351*</t>
  </si>
  <si>
    <t>(0.315)</t>
  </si>
  <si>
    <t>(0.181)</t>
  </si>
  <si>
    <t>2007.Year#c.logPop</t>
  </si>
  <si>
    <t>-0.738**</t>
  </si>
  <si>
    <t>-0.378**</t>
  </si>
  <si>
    <t>(0.325)</t>
  </si>
  <si>
    <t>(0.169)</t>
  </si>
  <si>
    <t>2008.Year#c.logPop</t>
  </si>
  <si>
    <t>-0.938**</t>
  </si>
  <si>
    <t>-0.426**</t>
  </si>
  <si>
    <t>(0.201)</t>
  </si>
  <si>
    <t>2009.Year#c.logPop</t>
  </si>
  <si>
    <t>-0.657**</t>
  </si>
  <si>
    <t>-0.384**</t>
  </si>
  <si>
    <t>2010.Year#c.logPop</t>
  </si>
  <si>
    <t>-0.807**</t>
  </si>
  <si>
    <t>-0.439**</t>
  </si>
  <si>
    <t>(0.304)</t>
  </si>
  <si>
    <t>2011.Year#c.logPop</t>
  </si>
  <si>
    <t>-0.783**</t>
  </si>
  <si>
    <t>-0.432*</t>
  </si>
  <si>
    <t>(0.303)</t>
  </si>
  <si>
    <t>2012.Year#c.logPop</t>
  </si>
  <si>
    <t>-0.675**</t>
  </si>
  <si>
    <t>-0.404*</t>
  </si>
  <si>
    <t>(0.306)</t>
  </si>
  <si>
    <t>2013.Year#c.logPop</t>
  </si>
  <si>
    <t>-0.625**</t>
  </si>
  <si>
    <t>-0.439*</t>
  </si>
  <si>
    <t>-0.136</t>
  </si>
  <si>
    <t>(0.264)</t>
  </si>
  <si>
    <t>2014.Year#c.logPop</t>
  </si>
  <si>
    <t>-0.431**</t>
  </si>
  <si>
    <t>-0.317</t>
  </si>
  <si>
    <t>(0.212)</t>
  </si>
  <si>
    <t>2015.Year#c.logPop</t>
  </si>
  <si>
    <t>-0.318</t>
  </si>
  <si>
    <t>-0.211</t>
  </si>
  <si>
    <t>(0.209)</t>
  </si>
  <si>
    <t>(0.193)</t>
  </si>
  <si>
    <t>2016.Year#c.logPop</t>
  </si>
  <si>
    <t>-0.137</t>
  </si>
  <si>
    <t>-0.196</t>
  </si>
  <si>
    <t>(0.152)</t>
  </si>
  <si>
    <t>2017.Year#c.logPop</t>
  </si>
  <si>
    <t>-0.324</t>
  </si>
  <si>
    <t>-0.256</t>
  </si>
  <si>
    <t>(0.200)</t>
  </si>
  <si>
    <t>2018.Year#c.logPop</t>
  </si>
  <si>
    <t>-0.391</t>
  </si>
  <si>
    <t>-0.345</t>
  </si>
  <si>
    <t>(0.249)</t>
  </si>
  <si>
    <t>(0.227)</t>
  </si>
  <si>
    <t>1994b.Year#c.haven</t>
  </si>
  <si>
    <t>0.613**</t>
  </si>
  <si>
    <t>1994b.Year#c.logK</t>
  </si>
  <si>
    <t>0.0757</t>
  </si>
  <si>
    <t>(0.0543)</t>
  </si>
  <si>
    <t>-0.261*</t>
  </si>
  <si>
    <t>1994b.Year#c.logRanD_total</t>
  </si>
  <si>
    <t>-0.160**</t>
  </si>
  <si>
    <t>(0.0779)</t>
  </si>
  <si>
    <t>1999.Year#c.logRanD_total</t>
  </si>
  <si>
    <t>-0.113*</t>
  </si>
  <si>
    <t>(0.0653)</t>
  </si>
  <si>
    <t>2004.Year#c.logRanD_total</t>
  </si>
  <si>
    <t>-0.177***</t>
  </si>
  <si>
    <t>(0.0640)</t>
  </si>
  <si>
    <t>2009.Year#c.logRanD_total</t>
  </si>
  <si>
    <t>-0.295***</t>
  </si>
  <si>
    <t>(0.0499)</t>
  </si>
  <si>
    <t>2014.Year#c.logRanD_total</t>
  </si>
  <si>
    <t>-0.152***</t>
  </si>
  <si>
    <t>(0.0434)</t>
  </si>
  <si>
    <t>Constant</t>
  </si>
  <si>
    <t>0.442**</t>
  </si>
  <si>
    <t>Observations</t>
  </si>
  <si>
    <t>2,556</t>
  </si>
  <si>
    <t>R-squared</t>
  </si>
  <si>
    <t>0.405</t>
  </si>
  <si>
    <t>0.268</t>
  </si>
  <si>
    <t>0.318</t>
  </si>
  <si>
    <t>Robust standard errors in parentheses</t>
  </si>
  <si>
    <t>*** p&lt;0.01, ** p&lt;0.05, * p&lt;0.1</t>
  </si>
  <si>
    <t>jur</t>
  </si>
  <si>
    <t>Sum</t>
  </si>
  <si>
    <t>PROFIT</t>
  </si>
  <si>
    <t>AGO</t>
  </si>
  <si>
    <t>ALB</t>
  </si>
  <si>
    <t>ARE</t>
  </si>
  <si>
    <t>ARG</t>
  </si>
  <si>
    <t>ARM</t>
  </si>
  <si>
    <t>AZE</t>
  </si>
  <si>
    <t>BGD</t>
  </si>
  <si>
    <t>BGR</t>
  </si>
  <si>
    <t>BIH</t>
  </si>
  <si>
    <t>BLR</t>
  </si>
  <si>
    <t>BOL</t>
  </si>
  <si>
    <t>BRN</t>
  </si>
  <si>
    <t>BWA</t>
  </si>
  <si>
    <t>CIV</t>
  </si>
  <si>
    <t>CMR</t>
  </si>
  <si>
    <t>COG</t>
  </si>
  <si>
    <t>DOM</t>
  </si>
  <si>
    <t>DZA</t>
  </si>
  <si>
    <t>ECU</t>
  </si>
  <si>
    <t>EGY</t>
  </si>
  <si>
    <t>FJI</t>
  </si>
  <si>
    <t>FJT</t>
  </si>
  <si>
    <t>GAB</t>
  </si>
  <si>
    <t>GEO</t>
  </si>
  <si>
    <t>GHA</t>
  </si>
  <si>
    <t>GNQ</t>
  </si>
  <si>
    <t>GTM</t>
  </si>
  <si>
    <t>GUM</t>
  </si>
  <si>
    <t>HND</t>
  </si>
  <si>
    <t>HRV</t>
  </si>
  <si>
    <t>IDN</t>
  </si>
  <si>
    <t>IRQ</t>
  </si>
  <si>
    <t>JAM</t>
  </si>
  <si>
    <t>JOR</t>
  </si>
  <si>
    <t>KAZ</t>
  </si>
  <si>
    <t>KEN</t>
  </si>
  <si>
    <t>KHM</t>
  </si>
  <si>
    <t>KWT</t>
  </si>
  <si>
    <t>LBY</t>
  </si>
  <si>
    <t>LKA</t>
  </si>
  <si>
    <t>LTU</t>
  </si>
  <si>
    <t>MAR</t>
  </si>
  <si>
    <t>MKD</t>
  </si>
  <si>
    <t>MMR</t>
  </si>
  <si>
    <t>MOZ</t>
  </si>
  <si>
    <t>MYS</t>
  </si>
  <si>
    <t>NAM</t>
  </si>
  <si>
    <t>NGA</t>
  </si>
  <si>
    <t>NIC</t>
  </si>
  <si>
    <t>OAF</t>
  </si>
  <si>
    <t>OAM</t>
  </si>
  <si>
    <t>OAS</t>
  </si>
  <si>
    <t>OMN</t>
  </si>
  <si>
    <t>OTE</t>
  </si>
  <si>
    <t>PAK</t>
  </si>
  <si>
    <t>PER</t>
  </si>
  <si>
    <t>PHL</t>
  </si>
  <si>
    <t>PNG</t>
  </si>
  <si>
    <t>PRY</t>
  </si>
  <si>
    <t>QAT</t>
  </si>
  <si>
    <t>ROU</t>
  </si>
  <si>
    <t>SAU</t>
  </si>
  <si>
    <t>SEN</t>
  </si>
  <si>
    <t>SLV</t>
  </si>
  <si>
    <t>SRB</t>
  </si>
  <si>
    <t>STA</t>
  </si>
  <si>
    <t>THA</t>
  </si>
  <si>
    <t>TTO</t>
  </si>
  <si>
    <t>TUN</t>
  </si>
  <si>
    <t>TWN</t>
  </si>
  <si>
    <t>TZA</t>
  </si>
  <si>
    <t>UGA</t>
  </si>
  <si>
    <t>UKR</t>
  </si>
  <si>
    <t>URY</t>
  </si>
  <si>
    <t>VEN</t>
  </si>
  <si>
    <t>VIR</t>
  </si>
  <si>
    <t>VNM</t>
  </si>
  <si>
    <t>ZMB</t>
  </si>
  <si>
    <t>ZWE</t>
  </si>
  <si>
    <t>ASSETS</t>
  </si>
  <si>
    <t>TAX ACCRUED</t>
  </si>
  <si>
    <t>EMPLOYEES</t>
  </si>
  <si>
    <t>Discrepancies in the EU service trade</t>
  </si>
  <si>
    <t>Million Euros exported</t>
  </si>
  <si>
    <t>Sum of EU28</t>
  </si>
  <si>
    <t>Total services reported by importer subtracted total serviced reported by exporter</t>
  </si>
  <si>
    <t>Sum of non-havens</t>
  </si>
  <si>
    <t>Sum of havens</t>
  </si>
  <si>
    <t>Total services reported by importer</t>
  </si>
  <si>
    <t>Total services reported by exporter</t>
  </si>
  <si>
    <r>
      <rPr>
        <u/>
        <sz val="11"/>
        <color theme="1"/>
        <rFont val="Arial"/>
        <family val="2"/>
      </rPr>
      <t>Notes:</t>
    </r>
    <r>
      <rPr>
        <sz val="11"/>
        <color theme="1"/>
        <rFont val="Arial"/>
        <family val="2"/>
      </rPr>
      <t xml:space="preserve"> A zero implies that data is missing and the sum of EU28 (a partner category in Eurostat)hence does not add up to the sum of bilateral accounts. Discrepancies are only calculated when both partner accounts exists.</t>
    </r>
  </si>
  <si>
    <t>Table F4c: Overview of EU service trade discrepancies</t>
  </si>
  <si>
    <t>Million Euros</t>
  </si>
  <si>
    <t>Exporter (importer)</t>
  </si>
  <si>
    <t>As reported by importers</t>
  </si>
  <si>
    <t>As reported by exporters</t>
  </si>
  <si>
    <t>Discrepancy</t>
  </si>
  <si>
    <t>EU6 (EU22)</t>
  </si>
  <si>
    <t>EU6 (EU6)</t>
  </si>
  <si>
    <t>EU22 (EU22)</t>
  </si>
  <si>
    <t>EU22 (EU6)</t>
  </si>
  <si>
    <t xml:space="preserve">Source: Eurostat bop_its6_det </t>
  </si>
  <si>
    <t>Accessed: 1/10/2017</t>
  </si>
  <si>
    <t>Other non-EU havens</t>
  </si>
  <si>
    <t xml:space="preserve"> 45%-pt. increase in local firm profitability </t>
  </si>
  <si>
    <t xml:space="preserve"> 45%-pt. decrease in local firm profitability </t>
  </si>
  <si>
    <t>Net flows (high-risk payments, $ millions)</t>
  </si>
  <si>
    <t>Total negative</t>
  </si>
  <si>
    <t>Total positive</t>
  </si>
  <si>
    <t xml:space="preserve"> </t>
  </si>
  <si>
    <t>Net inflows from other havens</t>
  </si>
  <si>
    <t>Discrepancy with non-havens</t>
  </si>
  <si>
    <t>Total discrepancy to be corrected</t>
  </si>
  <si>
    <t>Link to sankey diagram: https://public.flourish.studio/story/954031/</t>
  </si>
  <si>
    <t>Dependent variable: profits-to-wage ratio</t>
  </si>
  <si>
    <t>Table H1: Profitability of U.S. affiliates</t>
  </si>
  <si>
    <t>Baseline controls</t>
  </si>
  <si>
    <t>Baseline controls + year x industry FE</t>
  </si>
  <si>
    <t>Baseline controls + year x industry FE + country FE</t>
  </si>
  <si>
    <t>(0.318)</t>
  </si>
  <si>
    <t>13.76***</t>
  </si>
  <si>
    <t>(4.887)</t>
  </si>
  <si>
    <t>0.779**</t>
  </si>
  <si>
    <t>-0.00150</t>
  </si>
  <si>
    <t>(0.0710)</t>
  </si>
  <si>
    <t>-0.455***</t>
  </si>
  <si>
    <t>(0.163)</t>
  </si>
  <si>
    <t>-0.0871</t>
  </si>
  <si>
    <t>1,884</t>
  </si>
  <si>
    <t>0.774**</t>
  </si>
  <si>
    <t>(0.742)</t>
  </si>
  <si>
    <t>0.0392</t>
  </si>
  <si>
    <t>(0.0522)</t>
  </si>
  <si>
    <t>-0.342***</t>
  </si>
  <si>
    <t>-0.0872</t>
  </si>
  <si>
    <t>(0.0849)</t>
  </si>
  <si>
    <t>9.026**</t>
  </si>
  <si>
    <t>(3.740)</t>
  </si>
  <si>
    <t>13,661</t>
  </si>
  <si>
    <t>Baseline controls + year x industry FE + R&amp;D controls</t>
  </si>
  <si>
    <t>0.00455</t>
  </si>
  <si>
    <t>0.148</t>
  </si>
  <si>
    <t>(0.495)</t>
  </si>
  <si>
    <t>0.249</t>
  </si>
  <si>
    <t>(0.492)</t>
  </si>
  <si>
    <t>0.172</t>
  </si>
  <si>
    <t>(0.491)</t>
  </si>
  <si>
    <t>0.215</t>
  </si>
  <si>
    <t>(0.493)</t>
  </si>
  <si>
    <t>0.127</t>
  </si>
  <si>
    <t>-0.0793</t>
  </si>
  <si>
    <t>(0.489)</t>
  </si>
  <si>
    <t>0.474</t>
  </si>
  <si>
    <t>(0.483)</t>
  </si>
  <si>
    <t>0.572</t>
  </si>
  <si>
    <t>(0.475)</t>
  </si>
  <si>
    <t>0.589</t>
  </si>
  <si>
    <t>(0.459)</t>
  </si>
  <si>
    <t>0.643</t>
  </si>
  <si>
    <t>(0.453)</t>
  </si>
  <si>
    <t>0.595</t>
  </si>
  <si>
    <t>(0.451)</t>
  </si>
  <si>
    <t>0.633</t>
  </si>
  <si>
    <t>(0.445)</t>
  </si>
  <si>
    <t>0.232</t>
  </si>
  <si>
    <t>(0.438)</t>
  </si>
  <si>
    <t>0.635</t>
  </si>
  <si>
    <t>(0.430)</t>
  </si>
  <si>
    <t>0.435</t>
  </si>
  <si>
    <t>(0.429)</t>
  </si>
  <si>
    <t>0.955**</t>
  </si>
  <si>
    <t>(0.424)</t>
  </si>
  <si>
    <t>0.965**</t>
  </si>
  <si>
    <t>0.672</t>
  </si>
  <si>
    <t>(0.420)</t>
  </si>
  <si>
    <t>0.841**</t>
  </si>
  <si>
    <t>1.275***</t>
  </si>
  <si>
    <t>1.595***</t>
  </si>
  <si>
    <t>(0.418)</t>
  </si>
  <si>
    <t>1.797***</t>
  </si>
  <si>
    <t>1.727***</t>
  </si>
  <si>
    <t>0.113</t>
  </si>
  <si>
    <t>(0.0967)</t>
  </si>
  <si>
    <t>0.150</t>
  </si>
  <si>
    <t>(0.0938)</t>
  </si>
  <si>
    <t>0.208**</t>
  </si>
  <si>
    <t>(0.0907)</t>
  </si>
  <si>
    <t>0.222**</t>
  </si>
  <si>
    <t>(0.0896)</t>
  </si>
  <si>
    <t>0.162*</t>
  </si>
  <si>
    <t>(0.0878)</t>
  </si>
  <si>
    <t>0.200**</t>
  </si>
  <si>
    <t>(0.0874)</t>
  </si>
  <si>
    <t>0.256***</t>
  </si>
  <si>
    <t>(0.0854)</t>
  </si>
  <si>
    <t>0.123</t>
  </si>
  <si>
    <t>(0.0838)</t>
  </si>
  <si>
    <t>0.195**</t>
  </si>
  <si>
    <t>0.172**</t>
  </si>
  <si>
    <t>(0.0819)</t>
  </si>
  <si>
    <t>(0.0777)</t>
  </si>
  <si>
    <t>0.159**</t>
  </si>
  <si>
    <t>(0.0744)</t>
  </si>
  <si>
    <t>0.164**</t>
  </si>
  <si>
    <t>(0.0718)</t>
  </si>
  <si>
    <t>0.184***</t>
  </si>
  <si>
    <t>(0.0687)</t>
  </si>
  <si>
    <t>0.237***</t>
  </si>
  <si>
    <t>(0.0711)</t>
  </si>
  <si>
    <t>0.185***</t>
  </si>
  <si>
    <t>(0.0630)</t>
  </si>
  <si>
    <t>0.261***</t>
  </si>
  <si>
    <t>(0.0620)</t>
  </si>
  <si>
    <t>0.251***</t>
  </si>
  <si>
    <t>(0.0592)</t>
  </si>
  <si>
    <t>0.240***</t>
  </si>
  <si>
    <t>(0.0575)</t>
  </si>
  <si>
    <t>0.295***</t>
  </si>
  <si>
    <t>0.220***</t>
  </si>
  <si>
    <t>(0.0530)</t>
  </si>
  <si>
    <t>0.198***</t>
  </si>
  <si>
    <t>0.206***</t>
  </si>
  <si>
    <t>(0.0548)</t>
  </si>
  <si>
    <t>0.242***</t>
  </si>
  <si>
    <t>(0.0549)</t>
  </si>
  <si>
    <t>(0.0550)</t>
  </si>
  <si>
    <t>-0.242</t>
  </si>
  <si>
    <t>(0.174)</t>
  </si>
  <si>
    <t>-0.232</t>
  </si>
  <si>
    <t>-0.282*</t>
  </si>
  <si>
    <t>-0.247</t>
  </si>
  <si>
    <t>(0.168)</t>
  </si>
  <si>
    <t>-0.0875</t>
  </si>
  <si>
    <t>-0.0787</t>
  </si>
  <si>
    <t>-0.168</t>
  </si>
  <si>
    <t>(0.156)</t>
  </si>
  <si>
    <t>-0.0281</t>
  </si>
  <si>
    <t>-0.189</t>
  </si>
  <si>
    <t>(0.147)</t>
  </si>
  <si>
    <t>-0.317**</t>
  </si>
  <si>
    <t>-0.161</t>
  </si>
  <si>
    <t>-0.263*</t>
  </si>
  <si>
    <t>(0.151)</t>
  </si>
  <si>
    <t>-0.352**</t>
  </si>
  <si>
    <t>-0.375**</t>
  </si>
  <si>
    <t>-0.230</t>
  </si>
  <si>
    <t>-0.272*</t>
  </si>
  <si>
    <t>-0.253*</t>
  </si>
  <si>
    <t>-0.141</t>
  </si>
  <si>
    <t>-0.0429</t>
  </si>
  <si>
    <t>-0.0795</t>
  </si>
  <si>
    <t>-0.145</t>
  </si>
  <si>
    <t>0.103</t>
  </si>
  <si>
    <t>(0.441)</t>
  </si>
  <si>
    <t>0.0839</t>
  </si>
  <si>
    <t>0.0240</t>
  </si>
  <si>
    <t>(0.440)</t>
  </si>
  <si>
    <t>0.00219</t>
  </si>
  <si>
    <t>(0.439)</t>
  </si>
  <si>
    <t>0.0381</t>
  </si>
  <si>
    <t>-0.0324</t>
  </si>
  <si>
    <t>(0.443)</t>
  </si>
  <si>
    <t>-0.00416</t>
  </si>
  <si>
    <t>(0.446)</t>
  </si>
  <si>
    <t>-0.113</t>
  </si>
  <si>
    <t>(0.447)</t>
  </si>
  <si>
    <t>-0.171</t>
  </si>
  <si>
    <t>(0.448)</t>
  </si>
  <si>
    <t>-0.0726</t>
  </si>
  <si>
    <t>(0.449)</t>
  </si>
  <si>
    <t>-0.142</t>
  </si>
  <si>
    <t>(0.455)</t>
  </si>
  <si>
    <t>-0.204</t>
  </si>
  <si>
    <t>(0.457)</t>
  </si>
  <si>
    <t>-0.210</t>
  </si>
  <si>
    <t>-0.192</t>
  </si>
  <si>
    <t>(0.460)</t>
  </si>
  <si>
    <t>(0.462)</t>
  </si>
  <si>
    <t>-0.139</t>
  </si>
  <si>
    <t>(0.463)</t>
  </si>
  <si>
    <t>-0.0880</t>
  </si>
  <si>
    <t>(0.464)</t>
  </si>
  <si>
    <t>(0.465)</t>
  </si>
  <si>
    <t>-0.147</t>
  </si>
  <si>
    <t>(0.467)</t>
  </si>
  <si>
    <t>-0.222</t>
  </si>
  <si>
    <t>(0.468)</t>
  </si>
  <si>
    <t>0.419</t>
  </si>
  <si>
    <t>1995.Year#c.haven</t>
  </si>
  <si>
    <t>1995.Year#c.logK</t>
  </si>
  <si>
    <t>1995.Year#c.logGDP</t>
  </si>
  <si>
    <t>1995.Year#c.logPop</t>
  </si>
  <si>
    <t>1983b.Year#co.haven</t>
  </si>
  <si>
    <t>1984o.Year#co.haven</t>
  </si>
  <si>
    <t>1985o.Year#co.haven</t>
  </si>
  <si>
    <t>1986o.Year#co.haven</t>
  </si>
  <si>
    <t>1987o.Year#co.haven</t>
  </si>
  <si>
    <t>1988o.Year#co.haven</t>
  </si>
  <si>
    <t>1989o.Year#co.haven</t>
  </si>
  <si>
    <t>1990o.Year#co.haven</t>
  </si>
  <si>
    <t>1991o.Year#co.haven</t>
  </si>
  <si>
    <t>1992o.Year#co.haven</t>
  </si>
  <si>
    <t>1993o.Year#co.haven</t>
  </si>
  <si>
    <t>1983b.Year#co.logK</t>
  </si>
  <si>
    <t>1984o.Year#co.logK</t>
  </si>
  <si>
    <t>1985o.Year#co.logK</t>
  </si>
  <si>
    <t>1986o.Year#co.logK</t>
  </si>
  <si>
    <t>1987o.Year#co.logK</t>
  </si>
  <si>
    <t>1988o.Year#co.logK</t>
  </si>
  <si>
    <t>1989o.Year#co.logK</t>
  </si>
  <si>
    <t>1990o.Year#co.logK</t>
  </si>
  <si>
    <t>1991o.Year#co.logK</t>
  </si>
  <si>
    <t>1992o.Year#co.logK</t>
  </si>
  <si>
    <t>1993o.Year#co.logK</t>
  </si>
  <si>
    <t>1983b.Year#co.logGDP</t>
  </si>
  <si>
    <t>1984o.Year#co.logGDP</t>
  </si>
  <si>
    <t>1985o.Year#co.logGDP</t>
  </si>
  <si>
    <t>1986o.Year#co.logGDP</t>
  </si>
  <si>
    <t>1987o.Year#co.logGDP</t>
  </si>
  <si>
    <t>1988o.Year#co.logGDP</t>
  </si>
  <si>
    <t>1989o.Year#co.logGDP</t>
  </si>
  <si>
    <t>1990o.Year#co.logGDP</t>
  </si>
  <si>
    <t>1991o.Year#co.logGDP</t>
  </si>
  <si>
    <t>1992o.Year#co.logGDP</t>
  </si>
  <si>
    <t>1993o.Year#co.logGDP</t>
  </si>
  <si>
    <t>1983b.Year#co.logPop</t>
  </si>
  <si>
    <t>1984o.Year#co.logPop</t>
  </si>
  <si>
    <t>1985o.Year#co.logPop</t>
  </si>
  <si>
    <t>1986o.Year#co.logPop</t>
  </si>
  <si>
    <t>1987o.Year#co.logPop</t>
  </si>
  <si>
    <t>1988o.Year#co.logPop</t>
  </si>
  <si>
    <t>1989o.Year#co.logPop</t>
  </si>
  <si>
    <t>1990o.Year#co.logPop</t>
  </si>
  <si>
    <t>1991o.Year#co.logPop</t>
  </si>
  <si>
    <t>1992o.Year#co.logPop</t>
  </si>
  <si>
    <t>1993o.Year#co.logPop</t>
  </si>
  <si>
    <t>1994o.Year#co.haven</t>
  </si>
  <si>
    <r>
      <rPr>
        <u/>
        <sz val="12"/>
        <color theme="1"/>
        <rFont val="Arial"/>
        <family val="2"/>
      </rPr>
      <t>Notes</t>
    </r>
    <r>
      <rPr>
        <sz val="12"/>
        <color theme="1"/>
        <rFont val="Arial"/>
        <family val="2"/>
      </rPr>
      <t xml:space="preserve">: Consistent with the estimates reported in Table C2, we assume that interest account for 16% of shifted profits (and other transactions that reduce operating surplus for 84%). For tax havens, we assume the interest/other split that's specific to each haven, see formulas. For Luxembourg, we assume that two thirds of shifted profits are from interest (and 1/3 operating surplus). </t>
    </r>
    <r>
      <rPr>
        <sz val="12"/>
        <color theme="1"/>
        <rFont val="Arial"/>
        <family val="2"/>
        <charset val="204"/>
      </rPr>
      <t>We do not correct depreciation (i.e., simply add reported shifted profits to GDP, although shifted profits are on a net-of-depreciation basis—meaning that our GDP adjustment is too conservative).</t>
    </r>
  </si>
  <si>
    <t>Total havens</t>
  </si>
  <si>
    <t>Caribbean</t>
  </si>
  <si>
    <t>Decline in profit if no shifting</t>
  </si>
  <si>
    <t>Corp. tax revenue loss (% collected)</t>
  </si>
  <si>
    <t>Effective corporate tax rate</t>
  </si>
  <si>
    <t>Shifted profits</t>
  </si>
  <si>
    <t>Of which: Foreign firms</t>
  </si>
  <si>
    <t>Of which: Local firms</t>
  </si>
  <si>
    <t>Reported pre-tax profits</t>
  </si>
  <si>
    <t>Table A.12: Profit loss for tax havens if there was no profit shfiting</t>
  </si>
  <si>
    <t>:</t>
  </si>
  <si>
    <t>Cayman Isl</t>
  </si>
  <si>
    <t>China except Hong Kong</t>
  </si>
  <si>
    <t>Anguilla (UK)</t>
  </si>
  <si>
    <t>Aruba (NL)</t>
  </si>
  <si>
    <t>Bermuda (UK)</t>
  </si>
  <si>
    <t>Bonaire, Saint Eustatius and Saba</t>
  </si>
  <si>
    <t>British Virgin Islands (UK)</t>
  </si>
  <si>
    <t>Cayman Islands (UK)</t>
  </si>
  <si>
    <t>Gibraltar (UK)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</si>
</sst>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_-* #,##0.00_-;\-* #,##0.00_-;_-* &quot;-&quot;??_-;_-@_-"/>
    <numFmt numFmtId="165" formatCode="_ * #,##0.00_ ;_ * \-#,##0.00_ ;_ * &quot;-&quot;??_ ;_ @_ "/>
    <numFmt numFmtId="166" formatCode="_-* #,##0.00\ _k_r_._-;\-* #,##0.00\ _k_r_._-;_-* &quot;-&quot;??\ _k_r_._-;_-@_-"/>
    <numFmt numFmtId="167" formatCode="0.0"/>
    <numFmt numFmtId="168" formatCode="_ * #,##0_ ;_ * \-#,##0_ ;_ * &quot;-&quot;??_ ;_ @_ "/>
    <numFmt numFmtId="169" formatCode="#,##0.0"/>
    <numFmt numFmtId="170" formatCode="_ * #,##0.0_ ;_ * \-#,##0.0_ ;_ * &quot;-&quot;??_ ;_ @_ "/>
    <numFmt numFmtId="171" formatCode="0.0%"/>
    <numFmt numFmtId="172" formatCode="#,##0.00000"/>
    <numFmt numFmtId="173" formatCode="\$#,##0\ ;\(\$#,##0\)"/>
    <numFmt numFmtId="174" formatCode="_-* #,##0.00\ _z_ł_-;\-* #,##0.00\ _z_ł_-;_-* &quot;-&quot;??\ _z_ł_-;_-@_-"/>
    <numFmt numFmtId="175" formatCode="#,##0;[Red]#,##0"/>
    <numFmt numFmtId="176" formatCode="0.00000000000"/>
    <numFmt numFmtId="177" formatCode="0.000"/>
    <numFmt numFmtId="178" formatCode="_-* #,##0.0\ _z_ł_-;\-* #,##0.0\ _z_ł_-;_-* &quot;-&quot;??\ _z_ł_-;_-@_-"/>
    <numFmt numFmtId="179" formatCode="_-* #,##0\ _z_ł_-;\-* #,##0\ _z_ł_-;_-* &quot;-&quot;??\ _z_ł_-;_-@_-"/>
    <numFmt numFmtId="180" formatCode="_-* #,##0_-;\-* #,##0_-;_-* &quot;-&quot;??_-;_-@_-"/>
    <numFmt numFmtId="181" formatCode="#,###\ ;[Black]General"/>
  </numFmts>
  <fonts count="140" x14ac:knownFonts="1">
    <font>
      <sz val="12"/>
      <color theme="1"/>
      <name val="Garamond"/>
      <family val="2"/>
    </font>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Arial"/>
      <family val="2"/>
    </font>
    <font>
      <sz val="12"/>
      <color theme="1"/>
      <name val="Arial"/>
      <family val="2"/>
      <charset val="204"/>
    </font>
    <font>
      <sz val="12"/>
      <color theme="1"/>
      <name val="Arial"/>
      <family val="2"/>
      <charset val="204"/>
    </font>
    <font>
      <sz val="12"/>
      <color theme="1"/>
      <name val="Arial"/>
      <family val="2"/>
      <charset val="204"/>
    </font>
    <font>
      <sz val="12"/>
      <name val="Arial"/>
      <family val="2"/>
    </font>
    <font>
      <sz val="12"/>
      <color theme="1"/>
      <name val="Arial"/>
      <family val="2"/>
      <charset val="204"/>
    </font>
    <font>
      <sz val="11"/>
      <color theme="1"/>
      <name val="Calibri"/>
      <family val="2"/>
      <scheme val="minor"/>
    </font>
    <font>
      <sz val="11"/>
      <color theme="1"/>
      <name val="Calibri"/>
      <family val="2"/>
      <scheme val="minor"/>
    </font>
    <font>
      <sz val="12"/>
      <color theme="1"/>
      <name val="Arial"/>
      <family val="2"/>
      <charset val="204"/>
    </font>
    <font>
      <sz val="11"/>
      <color theme="1"/>
      <name val="Calibri"/>
      <family val="2"/>
      <scheme val="minor"/>
    </font>
    <font>
      <sz val="11"/>
      <color theme="1"/>
      <name val="Calibri"/>
      <family val="2"/>
      <scheme val="minor"/>
    </font>
    <font>
      <sz val="12"/>
      <color theme="1"/>
      <name val="Arial"/>
      <family val="2"/>
      <charset val="204"/>
    </font>
    <font>
      <sz val="12"/>
      <color theme="1"/>
      <name val="Arial"/>
      <family val="2"/>
      <charset val="204"/>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2"/>
      <color theme="1"/>
      <name val="Garamond"/>
      <family val="2"/>
    </font>
    <font>
      <sz val="12"/>
      <color theme="1"/>
      <name val="Arial"/>
      <family val="2"/>
    </font>
    <font>
      <sz val="10"/>
      <name val="Arial"/>
      <family val="2"/>
    </font>
    <font>
      <u/>
      <sz val="12"/>
      <color theme="10"/>
      <name val="Garamond"/>
      <family val="2"/>
    </font>
    <font>
      <u/>
      <sz val="12"/>
      <color theme="11"/>
      <name val="Garamond"/>
      <family val="2"/>
    </font>
    <font>
      <b/>
      <sz val="12"/>
      <color theme="1"/>
      <name val="Arial"/>
      <family val="2"/>
    </font>
    <font>
      <b/>
      <sz val="16"/>
      <color theme="1"/>
      <name val="Arial"/>
      <family val="2"/>
    </font>
    <font>
      <i/>
      <sz val="12"/>
      <color theme="1"/>
      <name val="Arial"/>
      <family val="2"/>
    </font>
    <font>
      <sz val="12"/>
      <color theme="1"/>
      <name val="Arial Narrow"/>
      <family val="2"/>
    </font>
    <font>
      <sz val="10"/>
      <color theme="1"/>
      <name val="Arial"/>
      <family val="2"/>
    </font>
    <font>
      <u/>
      <sz val="12"/>
      <color theme="1"/>
      <name val="Arial"/>
      <family val="2"/>
    </font>
    <font>
      <sz val="8"/>
      <name val="Garamond"/>
      <family val="2"/>
    </font>
    <font>
      <sz val="12"/>
      <color rgb="FFFF0000"/>
      <name val="Arial"/>
      <family val="2"/>
    </font>
    <font>
      <b/>
      <sz val="12"/>
      <color rgb="FF000000"/>
      <name val="Arial"/>
      <family val="2"/>
    </font>
    <font>
      <sz val="12"/>
      <name val="Arial"/>
      <family val="2"/>
    </font>
    <font>
      <b/>
      <sz val="12"/>
      <color theme="1"/>
      <name val="Arial Narrow"/>
      <family val="2"/>
    </font>
    <font>
      <vertAlign val="subscript"/>
      <sz val="12"/>
      <color theme="1"/>
      <name val="Arial"/>
      <family val="2"/>
    </font>
    <font>
      <b/>
      <vertAlign val="subscript"/>
      <sz val="12"/>
      <color theme="1"/>
      <name val="Arial"/>
      <family val="2"/>
    </font>
    <font>
      <b/>
      <sz val="12"/>
      <name val="Arial"/>
      <family val="2"/>
    </font>
    <font>
      <b/>
      <u/>
      <sz val="12"/>
      <color theme="1"/>
      <name val="Arial"/>
      <family val="2"/>
    </font>
    <font>
      <i/>
      <sz val="11"/>
      <name val="Arial"/>
      <family val="2"/>
    </font>
    <font>
      <sz val="11"/>
      <name val="Arial"/>
      <family val="2"/>
    </font>
    <font>
      <b/>
      <i/>
      <sz val="11"/>
      <name val="Arial"/>
      <family val="2"/>
    </font>
    <font>
      <b/>
      <sz val="11"/>
      <name val="Arial"/>
      <family val="2"/>
    </font>
    <font>
      <b/>
      <sz val="10"/>
      <name val="Arial"/>
      <family val="2"/>
    </font>
    <font>
      <i/>
      <sz val="10"/>
      <name val="Arial"/>
      <family val="2"/>
    </font>
    <font>
      <sz val="10"/>
      <name val="Verdana"/>
      <family val="2"/>
    </font>
    <font>
      <sz val="8"/>
      <name val="Arial"/>
      <family val="2"/>
    </font>
    <font>
      <sz val="12"/>
      <color indexed="24"/>
      <name val="Arial"/>
      <family val="2"/>
    </font>
    <font>
      <b/>
      <sz val="8"/>
      <color indexed="24"/>
      <name val="Times New Roman"/>
      <family val="1"/>
    </font>
    <font>
      <sz val="8"/>
      <color indexed="24"/>
      <name val="Times New Roman"/>
      <family val="1"/>
    </font>
    <font>
      <sz val="12"/>
      <color theme="1"/>
      <name val="Calibri"/>
      <family val="2"/>
      <scheme val="minor"/>
    </font>
    <font>
      <sz val="7"/>
      <name val="Helvetica"/>
      <family val="2"/>
    </font>
    <font>
      <sz val="9"/>
      <color indexed="81"/>
      <name val="Garamond"/>
      <family val="2"/>
    </font>
    <font>
      <b/>
      <sz val="9"/>
      <color indexed="81"/>
      <name val="Garamond"/>
      <family val="2"/>
    </font>
    <font>
      <b/>
      <sz val="14"/>
      <name val="Arial"/>
      <family val="2"/>
    </font>
    <font>
      <sz val="14"/>
      <name val="Arial"/>
      <family val="2"/>
    </font>
    <font>
      <sz val="12"/>
      <name val="Arial Narrow"/>
      <family val="2"/>
    </font>
    <font>
      <b/>
      <sz val="16"/>
      <name val="Arial"/>
      <family val="2"/>
    </font>
    <font>
      <sz val="16"/>
      <name val="Arial"/>
      <family val="2"/>
    </font>
    <font>
      <sz val="10"/>
      <name val="Verdana"/>
      <family val="2"/>
    </font>
    <font>
      <u/>
      <sz val="10"/>
      <color indexed="12"/>
      <name val="Verdana"/>
      <family val="2"/>
    </font>
    <font>
      <sz val="12"/>
      <color indexed="24"/>
      <name val="Arial"/>
      <family val="2"/>
    </font>
    <font>
      <b/>
      <sz val="8"/>
      <color indexed="24"/>
      <name val="Times New Roman"/>
      <family val="1"/>
    </font>
    <font>
      <sz val="8"/>
      <color indexed="24"/>
      <name val="Times New Roman"/>
      <family val="1"/>
    </font>
    <font>
      <sz val="12"/>
      <color rgb="FF000000"/>
      <name val="Arial"/>
      <family val="2"/>
    </font>
    <font>
      <b/>
      <sz val="15"/>
      <color theme="3"/>
      <name val="Arial"/>
      <family val="2"/>
    </font>
    <font>
      <b/>
      <sz val="13"/>
      <color theme="3"/>
      <name val="Arial"/>
      <family val="2"/>
    </font>
    <font>
      <b/>
      <sz val="11"/>
      <color theme="3"/>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sz val="10"/>
      <color rgb="FF3F3F76"/>
      <name val="Arial"/>
      <family val="2"/>
    </font>
    <font>
      <u/>
      <sz val="12"/>
      <color theme="10"/>
      <name val="Calibri"/>
      <family val="2"/>
      <scheme val="minor"/>
    </font>
    <font>
      <sz val="10"/>
      <color rgb="FFFA7D00"/>
      <name val="Arial"/>
      <family val="2"/>
    </font>
    <font>
      <sz val="10"/>
      <color rgb="FF9C6500"/>
      <name val="Arial"/>
      <family val="2"/>
    </font>
    <font>
      <sz val="11"/>
      <color indexed="8"/>
      <name val="Calibri"/>
      <family val="2"/>
      <scheme val="minor"/>
    </font>
    <font>
      <sz val="11"/>
      <color rgb="FF000000"/>
      <name val="Calibri"/>
      <family val="2"/>
    </font>
    <font>
      <b/>
      <sz val="10"/>
      <color rgb="FF3F3F3F"/>
      <name val="Arial"/>
      <family val="2"/>
    </font>
    <font>
      <sz val="11"/>
      <color indexed="17"/>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Arial"/>
      <family val="2"/>
    </font>
    <font>
      <b/>
      <sz val="11"/>
      <color indexed="9"/>
      <name val="Calibri"/>
      <family val="2"/>
    </font>
    <font>
      <sz val="10"/>
      <color rgb="FFFF0000"/>
      <name val="Arial"/>
      <family val="2"/>
    </font>
    <font>
      <b/>
      <sz val="12"/>
      <color rgb="FFFF0000"/>
      <name val="Arial"/>
      <family val="2"/>
    </font>
    <font>
      <sz val="12"/>
      <color theme="1"/>
      <name val="Garamond"/>
      <family val="1"/>
    </font>
    <font>
      <b/>
      <sz val="12"/>
      <color theme="1"/>
      <name val="Garamond"/>
      <family val="1"/>
    </font>
    <font>
      <b/>
      <sz val="12"/>
      <name val="Arial Narrow"/>
      <family val="2"/>
    </font>
    <font>
      <i/>
      <sz val="12"/>
      <name val="Arial"/>
      <family val="2"/>
    </font>
    <font>
      <b/>
      <i/>
      <sz val="12"/>
      <color theme="1"/>
      <name val="Arial"/>
      <family val="2"/>
    </font>
    <font>
      <sz val="10"/>
      <color theme="1"/>
      <name val="Garamond"/>
      <family val="2"/>
    </font>
    <font>
      <sz val="9"/>
      <name val="Times New Roman"/>
      <family val="1"/>
    </font>
    <font>
      <sz val="12"/>
      <color theme="0"/>
      <name val="Arial"/>
      <family val="2"/>
      <charset val="204"/>
    </font>
    <font>
      <i/>
      <sz val="12"/>
      <name val="Arial Narrow"/>
      <family val="2"/>
    </font>
    <font>
      <b/>
      <sz val="12"/>
      <color theme="0"/>
      <name val="Arial"/>
      <family val="2"/>
      <charset val="204"/>
    </font>
    <font>
      <sz val="16"/>
      <color theme="1"/>
      <name val="Arial"/>
      <family val="2"/>
    </font>
    <font>
      <sz val="11"/>
      <color theme="1"/>
      <name val="Garamond"/>
      <family val="1"/>
    </font>
    <font>
      <b/>
      <sz val="11"/>
      <color theme="1"/>
      <name val="Garamond"/>
      <family val="1"/>
    </font>
    <font>
      <sz val="14"/>
      <color theme="1"/>
      <name val="Arial"/>
      <family val="2"/>
    </font>
    <font>
      <sz val="11"/>
      <color theme="1"/>
      <name val="Arial"/>
      <family val="2"/>
    </font>
    <font>
      <b/>
      <sz val="16"/>
      <color theme="1"/>
      <name val="Calibri"/>
      <family val="2"/>
      <scheme val="minor"/>
    </font>
    <font>
      <i/>
      <sz val="11"/>
      <color theme="1"/>
      <name val="Arial"/>
      <family val="2"/>
    </font>
    <font>
      <b/>
      <sz val="11"/>
      <color theme="1"/>
      <name val="Arial"/>
      <family val="2"/>
    </font>
    <font>
      <sz val="14"/>
      <color rgb="FFFF0000"/>
      <name val="Arial"/>
      <family val="2"/>
    </font>
    <font>
      <u/>
      <sz val="10"/>
      <name val="Arial"/>
      <family val="2"/>
    </font>
    <font>
      <u/>
      <sz val="11"/>
      <color theme="1"/>
      <name val="Arial"/>
      <family val="2"/>
    </font>
    <font>
      <sz val="11"/>
      <name val="Garamond"/>
      <family val="1"/>
    </font>
    <font>
      <b/>
      <sz val="11"/>
      <name val="Garamond"/>
      <family val="1"/>
    </font>
    <font>
      <b/>
      <i/>
      <sz val="12"/>
      <name val="Arial"/>
      <family val="2"/>
    </font>
    <font>
      <sz val="12"/>
      <name val="Arial"/>
      <family val="2"/>
      <charset val="204"/>
    </font>
    <font>
      <u/>
      <sz val="12"/>
      <name val="Arial"/>
      <family val="2"/>
    </font>
    <font>
      <b/>
      <sz val="14"/>
      <color theme="1"/>
      <name val="Arial"/>
      <family val="2"/>
    </font>
    <font>
      <b/>
      <sz val="10"/>
      <name val="Arial Narrow"/>
      <family val="2"/>
    </font>
    <font>
      <sz val="12"/>
      <name val="Garamond"/>
      <family val="2"/>
    </font>
    <font>
      <b/>
      <sz val="10"/>
      <name val="Garamond"/>
      <family val="1"/>
    </font>
    <font>
      <b/>
      <sz val="12"/>
      <color theme="1"/>
      <name val="Calibri"/>
      <family val="2"/>
      <scheme val="minor"/>
    </font>
    <font>
      <b/>
      <i/>
      <sz val="12"/>
      <color theme="1"/>
      <name val="Calibri"/>
      <family val="2"/>
      <scheme val="minor"/>
    </font>
    <font>
      <b/>
      <sz val="20"/>
      <color theme="1"/>
      <name val="Calibri"/>
      <family val="2"/>
      <scheme val="minor"/>
    </font>
    <font>
      <b/>
      <vertAlign val="subscript"/>
      <sz val="12"/>
      <color rgb="FF000000"/>
      <name val="Arial"/>
      <family val="2"/>
    </font>
    <font>
      <b/>
      <sz val="11"/>
      <color theme="1"/>
      <name val="Calibri"/>
      <family val="2"/>
      <scheme val="minor"/>
    </font>
    <font>
      <b/>
      <sz val="16"/>
      <color theme="1"/>
      <name val="Garamond"/>
      <family val="1"/>
    </font>
    <font>
      <sz val="10"/>
      <color theme="1"/>
      <name val="Garamond"/>
      <family val="1"/>
    </font>
    <font>
      <sz val="26"/>
      <color theme="1"/>
      <name val="Arial"/>
      <family val="2"/>
    </font>
    <font>
      <b/>
      <sz val="26"/>
      <color theme="1"/>
      <name val="Arial"/>
      <family val="2"/>
    </font>
    <font>
      <b/>
      <sz val="24"/>
      <color theme="1"/>
      <name val="Arial"/>
      <family val="2"/>
    </font>
    <font>
      <b/>
      <sz val="30"/>
      <color theme="1"/>
      <name val="Arial"/>
      <family val="2"/>
    </font>
    <font>
      <sz val="24"/>
      <color theme="1"/>
      <name val="Arial"/>
      <family val="2"/>
    </font>
    <font>
      <i/>
      <sz val="24"/>
      <color theme="1"/>
      <name val="Arial"/>
      <family val="2"/>
    </font>
  </fonts>
  <fills count="40">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42"/>
      </patternFill>
    </fill>
    <fill>
      <patternFill patternType="solid">
        <fgColor indexed="55"/>
      </patternFill>
    </fill>
    <fill>
      <patternFill patternType="solid">
        <fgColor rgb="FFC4D8ED"/>
        <bgColor indexed="64"/>
      </patternFill>
    </fill>
    <fill>
      <patternFill patternType="solid">
        <fgColor indexed="44"/>
        <bgColor indexed="64"/>
      </patternFill>
    </fill>
    <fill>
      <patternFill patternType="solid">
        <fgColor rgb="FFEEEEEE"/>
      </patternFill>
    </fill>
  </fills>
  <borders count="208">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style="thick">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thick">
        <color auto="1"/>
      </bottom>
      <diagonal/>
    </border>
    <border>
      <left/>
      <right style="medium">
        <color auto="1"/>
      </right>
      <top/>
      <bottom style="thick">
        <color auto="1"/>
      </bottom>
      <diagonal/>
    </border>
    <border>
      <left/>
      <right style="thick">
        <color auto="1"/>
      </right>
      <top style="medium">
        <color auto="1"/>
      </top>
      <bottom/>
      <diagonal/>
    </border>
    <border>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bottom style="thick">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ck">
        <color auto="1"/>
      </right>
      <top style="medium">
        <color auto="1"/>
      </top>
      <bottom style="thin">
        <color auto="1"/>
      </bottom>
      <diagonal/>
    </border>
    <border>
      <left style="medium">
        <color auto="1"/>
      </left>
      <right/>
      <top style="thin">
        <color auto="1"/>
      </top>
      <bottom style="thin">
        <color auto="1"/>
      </bottom>
      <diagonal/>
    </border>
    <border>
      <left/>
      <right style="thick">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right style="thick">
        <color auto="1"/>
      </right>
      <top style="thin">
        <color auto="1"/>
      </top>
      <bottom/>
      <diagonal/>
    </border>
    <border>
      <left style="thick">
        <color auto="1"/>
      </left>
      <right/>
      <top style="thin">
        <color auto="1"/>
      </top>
      <bottom/>
      <diagonal/>
    </border>
    <border>
      <left/>
      <right style="thin">
        <color auto="1"/>
      </right>
      <top style="thin">
        <color auto="1"/>
      </top>
      <bottom/>
      <diagonal/>
    </border>
    <border>
      <left style="thin">
        <color auto="1"/>
      </left>
      <right/>
      <top style="medium">
        <color auto="1"/>
      </top>
      <bottom/>
      <diagonal/>
    </border>
    <border>
      <left style="thick">
        <color auto="1"/>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style="thin">
        <color auto="1"/>
      </right>
      <top/>
      <bottom style="medium">
        <color auto="1"/>
      </bottom>
      <diagonal/>
    </border>
    <border>
      <left/>
      <right style="thick">
        <color auto="1"/>
      </right>
      <top/>
      <bottom style="medium">
        <color auto="1"/>
      </bottom>
      <diagonal/>
    </border>
    <border>
      <left style="medium">
        <color auto="1"/>
      </left>
      <right style="thick">
        <color auto="1"/>
      </right>
      <top/>
      <bottom style="thick">
        <color auto="1"/>
      </bottom>
      <diagonal/>
    </border>
    <border>
      <left style="medium">
        <color auto="1"/>
      </left>
      <right style="thick">
        <color auto="1"/>
      </right>
      <top style="thin">
        <color auto="1"/>
      </top>
      <bottom/>
      <diagonal/>
    </border>
    <border>
      <left/>
      <right style="medium">
        <color auto="1"/>
      </right>
      <top style="thin">
        <color auto="1"/>
      </top>
      <bottom style="thin">
        <color auto="1"/>
      </bottom>
      <diagonal/>
    </border>
    <border>
      <left style="thin">
        <color indexed="8"/>
      </left>
      <right/>
      <top/>
      <bottom/>
      <diagonal/>
    </border>
    <border>
      <left style="mediumDashed">
        <color auto="1"/>
      </left>
      <right/>
      <top/>
      <bottom/>
      <diagonal/>
    </border>
    <border>
      <left/>
      <right/>
      <top style="dashed">
        <color auto="1"/>
      </top>
      <bottom/>
      <diagonal/>
    </border>
    <border>
      <left style="thick">
        <color auto="1"/>
      </left>
      <right/>
      <top style="dashed">
        <color auto="1"/>
      </top>
      <bottom/>
      <diagonal/>
    </border>
    <border>
      <left/>
      <right style="thick">
        <color auto="1"/>
      </right>
      <top/>
      <bottom style="dashed">
        <color auto="1"/>
      </bottom>
      <diagonal/>
    </border>
    <border>
      <left/>
      <right/>
      <top/>
      <bottom style="dashed">
        <color auto="1"/>
      </bottom>
      <diagonal/>
    </border>
    <border>
      <left/>
      <right style="thin">
        <color auto="1"/>
      </right>
      <top/>
      <bottom style="dashed">
        <color auto="1"/>
      </bottom>
      <diagonal/>
    </border>
    <border>
      <left style="thick">
        <color auto="1"/>
      </left>
      <right/>
      <top/>
      <bottom style="dashed">
        <color auto="1"/>
      </bottom>
      <diagonal/>
    </border>
    <border>
      <left/>
      <right style="mediumDashed">
        <color auto="1"/>
      </right>
      <top/>
      <bottom/>
      <diagonal/>
    </border>
    <border>
      <left style="thick">
        <color auto="1"/>
      </left>
      <right/>
      <top/>
      <bottom style="medium">
        <color auto="1"/>
      </bottom>
      <diagonal/>
    </border>
    <border>
      <left/>
      <right/>
      <top style="thin">
        <color auto="1"/>
      </top>
      <bottom style="mediumDashed">
        <color auto="1"/>
      </bottom>
      <diagonal/>
    </border>
    <border>
      <left/>
      <right/>
      <top style="medium">
        <color auto="1"/>
      </top>
      <bottom style="thick">
        <color auto="1"/>
      </bottom>
      <diagonal/>
    </border>
    <border>
      <left style="medium">
        <color auto="1"/>
      </left>
      <right/>
      <top style="medium">
        <color auto="1"/>
      </top>
      <bottom style="thick">
        <color auto="1"/>
      </bottom>
      <diagonal/>
    </border>
    <border>
      <left/>
      <right style="mediumDashed">
        <color auto="1"/>
      </right>
      <top/>
      <bottom style="dashed">
        <color auto="1"/>
      </bottom>
      <diagonal/>
    </border>
    <border>
      <left style="medium">
        <color auto="1"/>
      </left>
      <right/>
      <top style="dashed">
        <color auto="1"/>
      </top>
      <bottom/>
      <diagonal/>
    </border>
    <border>
      <left/>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mediumDashed">
        <color auto="1"/>
      </left>
      <right/>
      <top style="mediumDashed">
        <color auto="1"/>
      </top>
      <bottom style="medium">
        <color auto="1"/>
      </bottom>
      <diagonal/>
    </border>
    <border>
      <left/>
      <right style="mediumDashed">
        <color auto="1"/>
      </right>
      <top style="mediumDashed">
        <color auto="1"/>
      </top>
      <bottom style="medium">
        <color auto="1"/>
      </bottom>
      <diagonal/>
    </border>
    <border>
      <left style="mediumDashed">
        <color auto="1"/>
      </left>
      <right/>
      <top/>
      <bottom style="thick">
        <color auto="1"/>
      </bottom>
      <diagonal/>
    </border>
    <border>
      <left/>
      <right style="mediumDashed">
        <color auto="1"/>
      </right>
      <top/>
      <bottom style="thick">
        <color auto="1"/>
      </bottom>
      <diagonal/>
    </border>
    <border>
      <left style="mediumDashed">
        <color auto="1"/>
      </left>
      <right/>
      <top/>
      <bottom style="dashed">
        <color auto="1"/>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bottom style="thick">
        <color indexed="8"/>
      </bottom>
      <diagonal/>
    </border>
    <border>
      <left style="thin">
        <color indexed="8"/>
      </left>
      <right/>
      <top style="thin">
        <color indexed="8"/>
      </top>
      <bottom style="thin">
        <color indexed="8"/>
      </bottom>
      <diagonal/>
    </border>
    <border>
      <left style="medium">
        <color indexed="8"/>
      </left>
      <right style="medium">
        <color indexed="8"/>
      </right>
      <top/>
      <bottom/>
      <diagonal/>
    </border>
    <border>
      <left style="medium">
        <color indexed="8"/>
      </left>
      <right style="medium">
        <color indexed="8"/>
      </right>
      <top/>
      <bottom style="thick">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bottom style="thick">
        <color indexed="8"/>
      </bottom>
      <diagonal/>
    </border>
    <border>
      <left/>
      <right/>
      <top style="thin">
        <color indexed="8"/>
      </top>
      <bottom/>
      <diagonal/>
    </border>
    <border>
      <left/>
      <right/>
      <top/>
      <bottom style="thick">
        <color indexed="8"/>
      </bottom>
      <diagonal/>
    </border>
    <border>
      <left style="medium">
        <color indexed="8"/>
      </left>
      <right style="medium">
        <color indexed="8"/>
      </right>
      <top style="thin">
        <color indexed="8"/>
      </top>
      <bottom/>
      <diagonal/>
    </border>
    <border>
      <left/>
      <right style="thick">
        <color indexed="8"/>
      </right>
      <top/>
      <bottom style="thick">
        <color indexed="8"/>
      </bottom>
      <diagonal/>
    </border>
    <border>
      <left style="medium">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diagonal/>
    </border>
    <border>
      <left style="medium">
        <color indexed="8"/>
      </left>
      <right/>
      <top/>
      <bottom style="thick">
        <color indexed="8"/>
      </bottom>
      <diagonal/>
    </border>
    <border>
      <left/>
      <right style="medium">
        <color indexed="8"/>
      </right>
      <top/>
      <bottom/>
      <diagonal/>
    </border>
    <border>
      <left/>
      <right style="medium">
        <color indexed="8"/>
      </right>
      <top/>
      <bottom style="thick">
        <color indexed="8"/>
      </bottom>
      <diagonal/>
    </border>
    <border>
      <left style="thick">
        <color indexed="8"/>
      </left>
      <right style="medium">
        <color indexed="8"/>
      </right>
      <top/>
      <bottom/>
      <diagonal/>
    </border>
    <border>
      <left style="thin">
        <color auto="1"/>
      </left>
      <right/>
      <top/>
      <bottom style="dashed">
        <color auto="1"/>
      </bottom>
      <diagonal/>
    </border>
    <border>
      <left style="medium">
        <color auto="1"/>
      </left>
      <right/>
      <top/>
      <bottom style="dashed">
        <color auto="1"/>
      </bottom>
      <diagonal/>
    </border>
    <border>
      <left style="thin">
        <color indexed="22"/>
      </left>
      <right style="thin">
        <color indexed="22"/>
      </right>
      <top style="thin">
        <color indexed="22"/>
      </top>
      <bottom style="thin">
        <color indexed="22"/>
      </bottom>
      <diagonal/>
    </border>
    <border>
      <left style="medium">
        <color auto="1"/>
      </left>
      <right/>
      <top/>
      <bottom/>
      <diagonal/>
    </border>
    <border>
      <left style="medium">
        <color auto="1"/>
      </left>
      <right style="thick">
        <color auto="1"/>
      </right>
      <top/>
      <bottom/>
      <diagonal/>
    </border>
    <border>
      <left style="medium">
        <color auto="1"/>
      </left>
      <right style="medium">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style="medium">
        <color auto="1"/>
      </top>
      <bottom/>
      <diagonal/>
    </border>
    <border>
      <left/>
      <right style="thin">
        <color auto="1"/>
      </right>
      <top/>
      <bottom style="medium">
        <color auto="1"/>
      </bottom>
      <diagonal/>
    </border>
    <border>
      <left style="thin">
        <color rgb="FFC0C0C0"/>
      </left>
      <right style="thin">
        <color rgb="FFC0C0C0"/>
      </right>
      <top style="thin">
        <color rgb="FFC0C0C0"/>
      </top>
      <bottom style="thin">
        <color rgb="FFC0C0C0"/>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thin">
        <color auto="1"/>
      </left>
      <right/>
      <top style="thin">
        <color auto="1"/>
      </top>
      <bottom style="thick">
        <color auto="1"/>
      </bottom>
      <diagonal/>
    </border>
    <border>
      <left style="thick">
        <color auto="1"/>
      </left>
      <right/>
      <top style="thin">
        <color auto="1"/>
      </top>
      <bottom style="thick">
        <color auto="1"/>
      </bottom>
      <diagonal/>
    </border>
    <border>
      <left style="medium">
        <color auto="1"/>
      </left>
      <right/>
      <top style="thin">
        <color auto="1"/>
      </top>
      <bottom style="thick">
        <color auto="1"/>
      </bottom>
      <diagonal/>
    </border>
    <border>
      <left/>
      <right/>
      <top style="thin">
        <color auto="1"/>
      </top>
      <bottom style="thick">
        <color auto="1"/>
      </bottom>
      <diagonal/>
    </border>
    <border>
      <left/>
      <right style="medium">
        <color auto="1"/>
      </right>
      <top style="thin">
        <color auto="1"/>
      </top>
      <bottom style="thick">
        <color auto="1"/>
      </bottom>
      <diagonal/>
    </border>
    <border>
      <left/>
      <right style="thick">
        <color auto="1"/>
      </right>
      <top style="thin">
        <color auto="1"/>
      </top>
      <bottom style="thick">
        <color auto="1"/>
      </bottom>
      <diagonal/>
    </border>
    <border>
      <left style="thin">
        <color auto="1"/>
      </left>
      <right style="medium">
        <color auto="1"/>
      </right>
      <top/>
      <bottom style="thick">
        <color auto="1"/>
      </bottom>
      <diagonal/>
    </border>
    <border>
      <left style="medium">
        <color auto="1"/>
      </left>
      <right style="thin">
        <color auto="1"/>
      </right>
      <top style="thin">
        <color auto="1"/>
      </top>
      <bottom style="thick">
        <color auto="1"/>
      </bottom>
      <diagonal/>
    </border>
    <border>
      <left/>
      <right/>
      <top style="thin">
        <color rgb="FFFFFFFF"/>
      </top>
      <bottom style="thin">
        <color rgb="FFFFFFFF"/>
      </bottom>
      <diagonal/>
    </border>
    <border>
      <left style="medium">
        <color auto="1"/>
      </left>
      <right/>
      <top/>
      <bottom style="medium">
        <color auto="1"/>
      </bottom>
      <diagonal/>
    </border>
    <border>
      <left/>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style="thick">
        <color auto="1"/>
      </right>
      <top/>
      <bottom style="thick">
        <color auto="1"/>
      </bottom>
      <diagonal/>
    </border>
    <border>
      <left style="thick">
        <color auto="1"/>
      </left>
      <right style="medium">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style="dashed">
        <color auto="1"/>
      </bottom>
      <diagonal/>
    </border>
    <border>
      <left style="mediumDashed">
        <color auto="1"/>
      </left>
      <right/>
      <top style="thin">
        <color auto="1"/>
      </top>
      <bottom/>
      <diagonal/>
    </border>
    <border>
      <left/>
      <right style="mediumDashed">
        <color auto="1"/>
      </right>
      <top style="thin">
        <color auto="1"/>
      </top>
      <bottom/>
      <diagonal/>
    </border>
    <border>
      <left style="thin">
        <color auto="1"/>
      </left>
      <right style="thick">
        <color auto="1"/>
      </right>
      <top style="medium">
        <color auto="1"/>
      </top>
      <bottom style="thin">
        <color auto="1"/>
      </bottom>
      <diagonal/>
    </border>
    <border>
      <left style="thick">
        <color auto="1"/>
      </left>
      <right/>
      <top style="medium">
        <color auto="1"/>
      </top>
      <bottom/>
      <diagonal/>
    </border>
    <border>
      <left style="thin">
        <color auto="1"/>
      </left>
      <right style="medium">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right/>
      <top/>
      <bottom style="double">
        <color auto="1"/>
      </bottom>
      <diagonal/>
    </border>
    <border>
      <left/>
      <right/>
      <top style="double">
        <color auto="1"/>
      </top>
      <bottom style="thin">
        <color auto="1"/>
      </bottom>
      <diagonal/>
    </border>
    <border>
      <left/>
      <right/>
      <top style="thin">
        <color auto="1"/>
      </top>
      <bottom style="double">
        <color auto="1"/>
      </bottom>
      <diagonal/>
    </border>
    <border>
      <left/>
      <right/>
      <top style="mediumDashed">
        <color auto="1"/>
      </top>
      <bottom/>
      <diagonal/>
    </border>
    <border>
      <left style="medium">
        <color auto="1"/>
      </left>
      <right style="medium">
        <color auto="1"/>
      </right>
      <top/>
      <bottom style="thick">
        <color auto="1"/>
      </bottom>
      <diagonal/>
    </border>
    <border>
      <left style="mediumDashed">
        <color auto="1"/>
      </left>
      <right/>
      <top style="mediumDashed">
        <color auto="1"/>
      </top>
      <bottom/>
      <diagonal/>
    </border>
    <border>
      <left/>
      <right style="thin">
        <color auto="1"/>
      </right>
      <top style="mediumDashed">
        <color auto="1"/>
      </top>
      <bottom/>
      <diagonal/>
    </border>
    <border>
      <left style="thin">
        <color auto="1"/>
      </left>
      <right style="thin">
        <color auto="1"/>
      </right>
      <top/>
      <bottom style="thick">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ck">
        <color auto="1"/>
      </right>
      <top style="thin">
        <color auto="1"/>
      </top>
      <bottom style="thin">
        <color auto="1"/>
      </bottom>
      <diagonal/>
    </border>
    <border>
      <left style="medium">
        <color auto="1"/>
      </left>
      <right style="medium">
        <color auto="1"/>
      </right>
      <top style="thin">
        <color auto="1"/>
      </top>
      <bottom style="thick">
        <color auto="1"/>
      </bottom>
      <diagonal/>
    </border>
    <border>
      <left style="thick">
        <color auto="1"/>
      </left>
      <right style="medium">
        <color auto="1"/>
      </right>
      <top/>
      <bottom style="thick">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medium">
        <color indexed="8"/>
      </left>
      <right style="thick">
        <color indexed="8"/>
      </right>
      <top style="thin">
        <color indexed="8"/>
      </top>
      <bottom/>
      <diagonal/>
    </border>
    <border>
      <left style="medium">
        <color indexed="8"/>
      </left>
      <right style="thick">
        <color indexed="8"/>
      </right>
      <top/>
      <bottom/>
      <diagonal/>
    </border>
    <border>
      <left style="medium">
        <color indexed="8"/>
      </left>
      <right/>
      <top style="thin">
        <color indexed="8"/>
      </top>
      <bottom style="thin">
        <color auto="1"/>
      </bottom>
      <diagonal/>
    </border>
    <border>
      <left/>
      <right/>
      <top style="thin">
        <color indexed="8"/>
      </top>
      <bottom style="thin">
        <color auto="1"/>
      </bottom>
      <diagonal/>
    </border>
    <border>
      <left/>
      <right style="medium">
        <color indexed="8"/>
      </right>
      <top style="thin">
        <color indexed="8"/>
      </top>
      <bottom style="thin">
        <color auto="1"/>
      </bottom>
      <diagonal/>
    </border>
    <border>
      <left style="thin">
        <color auto="1"/>
      </left>
      <right style="medium">
        <color auto="1"/>
      </right>
      <top/>
      <bottom style="medium">
        <color indexed="64"/>
      </bottom>
      <diagonal/>
    </border>
    <border>
      <left style="thin">
        <color indexed="8"/>
      </left>
      <right style="thin">
        <color indexed="8"/>
      </right>
      <top/>
      <bottom/>
      <diagonal/>
    </border>
    <border>
      <left style="thin">
        <color indexed="64"/>
      </left>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auto="1"/>
      </left>
      <right style="thin">
        <color auto="1"/>
      </right>
      <top/>
      <bottom/>
      <diagonal/>
    </border>
    <border>
      <left style="thin">
        <color indexed="64"/>
      </left>
      <right style="thin">
        <color indexed="64"/>
      </right>
      <top/>
      <bottom/>
      <diagonal/>
    </border>
    <border>
      <left style="thin">
        <color auto="1"/>
      </left>
      <right style="medium">
        <color auto="1"/>
      </right>
      <top/>
      <bottom/>
      <diagonal/>
    </border>
    <border>
      <left style="medium">
        <color indexed="8"/>
      </left>
      <right style="thick">
        <color indexed="8"/>
      </right>
      <top/>
      <bottom style="thin">
        <color auto="1"/>
      </bottom>
      <diagonal/>
    </border>
    <border>
      <left/>
      <right/>
      <top/>
      <bottom style="thin">
        <color auto="1"/>
      </bottom>
      <diagonal/>
    </border>
    <border>
      <left style="thick">
        <color auto="1"/>
      </left>
      <right/>
      <top/>
      <bottom style="thin">
        <color auto="1"/>
      </bottom>
      <diagonal/>
    </border>
    <border>
      <left style="medium">
        <color auto="1"/>
      </left>
      <right/>
      <top/>
      <bottom style="thin">
        <color auto="1"/>
      </bottom>
      <diagonal/>
    </border>
    <border>
      <left style="thin">
        <color auto="1"/>
      </left>
      <right/>
      <top/>
      <bottom style="thin">
        <color auto="1"/>
      </bottom>
      <diagonal/>
    </border>
    <border>
      <left/>
      <right style="mediumDashed">
        <color auto="1"/>
      </right>
      <top/>
      <bottom style="thin">
        <color auto="1"/>
      </bottom>
      <diagonal/>
    </border>
    <border>
      <left/>
      <right style="thin">
        <color auto="1"/>
      </right>
      <top/>
      <bottom style="thin">
        <color auto="1"/>
      </bottom>
      <diagonal/>
    </border>
    <border>
      <left/>
      <right style="thick">
        <color auto="1"/>
      </right>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thin">
        <color auto="1"/>
      </left>
      <right style="thick">
        <color auto="1"/>
      </right>
      <top/>
      <bottom style="thin">
        <color auto="1"/>
      </bottom>
      <diagonal/>
    </border>
    <border>
      <left style="medium">
        <color auto="1"/>
      </left>
      <right style="medium">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ck">
        <color auto="1"/>
      </right>
      <top/>
      <bottom style="thin">
        <color auto="1"/>
      </bottom>
      <diagonal/>
    </border>
    <border>
      <left style="thick">
        <color indexed="8"/>
      </left>
      <right style="medium">
        <color indexed="8"/>
      </right>
      <top/>
      <bottom style="thin">
        <color indexed="8"/>
      </bottom>
      <diagonal/>
    </border>
    <border>
      <left/>
      <right style="thick">
        <color indexed="8"/>
      </right>
      <top/>
      <bottom style="thin">
        <color indexed="8"/>
      </bottom>
      <diagonal/>
    </border>
    <border>
      <left style="thick">
        <color indexed="8"/>
      </left>
      <right/>
      <top/>
      <bottom style="thin">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Dashed">
        <color auto="1"/>
      </left>
      <right/>
      <top/>
      <bottom style="thin">
        <color auto="1"/>
      </bottom>
      <diagonal/>
    </border>
    <border>
      <left style="thick">
        <color auto="1"/>
      </left>
      <right style="medium">
        <color auto="1"/>
      </right>
      <top/>
      <bottom style="thin">
        <color auto="1"/>
      </bottom>
      <diagonal/>
    </border>
    <border>
      <left/>
      <right/>
      <top/>
      <bottom style="thin">
        <color auto="1"/>
      </bottom>
      <diagonal/>
    </border>
    <border>
      <left/>
      <right/>
      <top style="double">
        <color auto="1"/>
      </top>
      <bottom/>
      <diagonal/>
    </border>
  </borders>
  <cellStyleXfs count="1232">
    <xf numFmtId="0" fontId="0" fillId="0" borderId="0"/>
    <xf numFmtId="9" fontId="25" fillId="0" borderId="0" applyFont="0" applyFill="0" applyBorder="0" applyAlignment="0" applyProtection="0"/>
    <xf numFmtId="0" fontId="26" fillId="0" borderId="0"/>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4"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165" fontId="25"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9" fontId="27"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7" fillId="0" borderId="0"/>
    <xf numFmtId="0" fontId="51" fillId="0" borderId="0"/>
    <xf numFmtId="0" fontId="53" fillId="0" borderId="0" applyFon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3" fontId="53" fillId="0" borderId="0" applyFont="0" applyFill="0" applyBorder="0" applyAlignment="0" applyProtection="0"/>
    <xf numFmtId="173" fontId="53" fillId="0" borderId="0" applyFont="0" applyFill="0" applyBorder="0" applyAlignment="0" applyProtection="0"/>
    <xf numFmtId="0" fontId="51" fillId="0" borderId="0"/>
    <xf numFmtId="0" fontId="56" fillId="0" borderId="0"/>
    <xf numFmtId="0" fontId="56" fillId="0" borderId="0"/>
    <xf numFmtId="0" fontId="56" fillId="0" borderId="0"/>
    <xf numFmtId="0" fontId="56" fillId="0" borderId="0"/>
    <xf numFmtId="0" fontId="56" fillId="0" borderId="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27" fillId="0" borderId="0"/>
    <xf numFmtId="0" fontId="57" fillId="0" borderId="1">
      <alignment horizontal="center"/>
    </xf>
    <xf numFmtId="2" fontId="53"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5" fillId="0" borderId="0"/>
    <xf numFmtId="0" fontId="67" fillId="0" borderId="0" applyFon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3" fontId="67" fillId="0" borderId="0" applyFont="0" applyFill="0" applyBorder="0" applyAlignment="0" applyProtection="0"/>
    <xf numFmtId="0" fontId="66" fillId="0" borderId="0" applyNumberFormat="0" applyFill="0" applyBorder="0" applyAlignment="0" applyProtection="0">
      <alignment vertical="top"/>
      <protection locked="0"/>
    </xf>
    <xf numFmtId="173" fontId="67" fillId="0" borderId="0" applyFont="0" applyFill="0" applyBorder="0" applyAlignment="0" applyProtection="0"/>
    <xf numFmtId="0" fontId="56" fillId="0" borderId="0"/>
    <xf numFmtId="9" fontId="65" fillId="0" borderId="0" applyFont="0" applyFill="0" applyBorder="0" applyAlignment="0" applyProtection="0"/>
    <xf numFmtId="2" fontId="67" fillId="0" borderId="0" applyFont="0" applyFill="0" applyBorder="0" applyAlignment="0" applyProtection="0"/>
    <xf numFmtId="0" fontId="56" fillId="0" borderId="0"/>
    <xf numFmtId="0" fontId="65" fillId="0" borderId="0"/>
    <xf numFmtId="0" fontId="23"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4" fillId="11"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12" borderId="0" applyNumberFormat="0" applyBorder="0" applyAlignment="0" applyProtection="0"/>
    <xf numFmtId="0" fontId="34" fillId="16" borderId="0" applyNumberFormat="0" applyBorder="0" applyAlignment="0" applyProtection="0"/>
    <xf numFmtId="0" fontId="34" fillId="20" borderId="0" applyNumberFormat="0" applyBorder="0" applyAlignment="0" applyProtection="0"/>
    <xf numFmtId="0" fontId="34" fillId="24" borderId="0" applyNumberFormat="0" applyBorder="0" applyAlignment="0" applyProtection="0"/>
    <xf numFmtId="0" fontId="34" fillId="28" borderId="0" applyNumberFormat="0" applyBorder="0" applyAlignment="0" applyProtection="0"/>
    <xf numFmtId="0" fontId="34" fillId="32" borderId="0" applyNumberFormat="0" applyBorder="0" applyAlignment="0" applyProtection="0"/>
    <xf numFmtId="0" fontId="74" fillId="13" borderId="0" applyNumberFormat="0" applyBorder="0" applyAlignment="0" applyProtection="0"/>
    <xf numFmtId="0" fontId="74" fillId="17" borderId="0" applyNumberFormat="0" applyBorder="0" applyAlignment="0" applyProtection="0"/>
    <xf numFmtId="0" fontId="74" fillId="21" borderId="0" applyNumberFormat="0" applyBorder="0" applyAlignment="0" applyProtection="0"/>
    <xf numFmtId="0" fontId="74" fillId="25" borderId="0" applyNumberFormat="0" applyBorder="0" applyAlignment="0" applyProtection="0"/>
    <xf numFmtId="0" fontId="74" fillId="29" borderId="0" applyNumberFormat="0" applyBorder="0" applyAlignment="0" applyProtection="0"/>
    <xf numFmtId="0" fontId="74" fillId="33" borderId="0" applyNumberFormat="0" applyBorder="0" applyAlignment="0" applyProtection="0"/>
    <xf numFmtId="0" fontId="74" fillId="10" borderId="0" applyNumberFormat="0" applyBorder="0" applyAlignment="0" applyProtection="0"/>
    <xf numFmtId="0" fontId="74" fillId="14" borderId="0" applyNumberFormat="0" applyBorder="0" applyAlignment="0" applyProtection="0"/>
    <xf numFmtId="0" fontId="74" fillId="18" borderId="0" applyNumberFormat="0" applyBorder="0" applyAlignment="0" applyProtection="0"/>
    <xf numFmtId="0" fontId="74" fillId="22" borderId="0" applyNumberFormat="0" applyBorder="0" applyAlignment="0" applyProtection="0"/>
    <xf numFmtId="0" fontId="74" fillId="26" borderId="0" applyNumberFormat="0" applyBorder="0" applyAlignment="0" applyProtection="0"/>
    <xf numFmtId="0" fontId="74" fillId="30" borderId="0" applyNumberFormat="0" applyBorder="0" applyAlignment="0" applyProtection="0"/>
    <xf numFmtId="0" fontId="75" fillId="4" borderId="0" applyNumberFormat="0" applyBorder="0" applyAlignment="0" applyProtection="0"/>
    <xf numFmtId="0" fontId="76" fillId="7" borderId="104" applyNumberFormat="0" applyAlignment="0" applyProtection="0"/>
    <xf numFmtId="0" fontId="77" fillId="8" borderId="107" applyNumberFormat="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174" fontId="4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4" fontId="46" fillId="0" borderId="0" applyFont="0" applyFill="0" applyBorder="0" applyAlignment="0" applyProtection="0"/>
    <xf numFmtId="165" fontId="23" fillId="0" borderId="0" applyFont="0" applyFill="0" applyBorder="0" applyAlignment="0" applyProtection="0"/>
    <xf numFmtId="3" fontId="39" fillId="0" borderId="0" applyFont="0" applyFill="0" applyBorder="0" applyAlignment="0" applyProtection="0"/>
    <xf numFmtId="0" fontId="78" fillId="34" borderId="97" applyNumberFormat="0" applyFont="0" applyAlignment="0" applyProtection="0"/>
    <xf numFmtId="0" fontId="79" fillId="0" borderId="0" applyNumberFormat="0" applyFill="0" applyBorder="0" applyAlignment="0" applyProtection="0"/>
    <xf numFmtId="0" fontId="80" fillId="3" borderId="0" applyNumberFormat="0" applyBorder="0" applyAlignment="0" applyProtection="0"/>
    <xf numFmtId="0" fontId="71" fillId="0" borderId="101" applyNumberFormat="0" applyFill="0" applyAlignment="0" applyProtection="0"/>
    <xf numFmtId="0" fontId="72" fillId="0" borderId="102" applyNumberFormat="0" applyFill="0" applyAlignment="0" applyProtection="0"/>
    <xf numFmtId="0" fontId="73" fillId="0" borderId="103" applyNumberFormat="0" applyFill="0" applyAlignment="0" applyProtection="0"/>
    <xf numFmtId="0" fontId="73" fillId="0" borderId="0" applyNumberFormat="0" applyFill="0" applyBorder="0" applyAlignment="0" applyProtection="0"/>
    <xf numFmtId="0" fontId="81" fillId="6" borderId="104" applyNumberFormat="0" applyAlignment="0" applyProtection="0"/>
    <xf numFmtId="0" fontId="82" fillId="0" borderId="0" applyNumberFormat="0" applyFill="0" applyBorder="0" applyAlignment="0" applyProtection="0"/>
    <xf numFmtId="0" fontId="83" fillId="0" borderId="106" applyNumberFormat="0" applyFill="0" applyAlignment="0" applyProtection="0"/>
    <xf numFmtId="0" fontId="84" fillId="5" borderId="0" applyNumberFormat="0" applyBorder="0" applyAlignment="0" applyProtection="0"/>
    <xf numFmtId="0" fontId="23" fillId="0" borderId="0"/>
    <xf numFmtId="0" fontId="27" fillId="0" borderId="0"/>
    <xf numFmtId="0" fontId="23" fillId="0" borderId="0"/>
    <xf numFmtId="0" fontId="23" fillId="0" borderId="0"/>
    <xf numFmtId="0" fontId="51" fillId="0" borderId="0"/>
    <xf numFmtId="0" fontId="23" fillId="0" borderId="0"/>
    <xf numFmtId="0" fontId="46" fillId="0" borderId="0"/>
    <xf numFmtId="0" fontId="27" fillId="0" borderId="0"/>
    <xf numFmtId="0" fontId="23" fillId="0" borderId="0"/>
    <xf numFmtId="0" fontId="23" fillId="0" borderId="0"/>
    <xf numFmtId="0" fontId="46" fillId="0" borderId="0"/>
    <xf numFmtId="0" fontId="85" fillId="0" borderId="0"/>
    <xf numFmtId="0" fontId="23" fillId="0" borderId="0"/>
    <xf numFmtId="0" fontId="23" fillId="0" borderId="0"/>
    <xf numFmtId="0" fontId="23" fillId="0" borderId="0"/>
    <xf numFmtId="0" fontId="23" fillId="0" borderId="0"/>
    <xf numFmtId="0" fontId="23" fillId="0" borderId="0"/>
    <xf numFmtId="0" fontId="23" fillId="0" borderId="0"/>
    <xf numFmtId="0" fontId="78" fillId="0" borderId="0" applyFill="0" applyProtection="0"/>
    <xf numFmtId="0" fontId="23" fillId="0" borderId="0"/>
    <xf numFmtId="0" fontId="23" fillId="0" borderId="0"/>
    <xf numFmtId="0" fontId="23" fillId="0" borderId="0"/>
    <xf numFmtId="0" fontId="23" fillId="0" borderId="0"/>
    <xf numFmtId="0" fontId="23" fillId="0" borderId="0"/>
    <xf numFmtId="0" fontId="27" fillId="0" borderId="0"/>
    <xf numFmtId="0" fontId="23" fillId="0" borderId="0"/>
    <xf numFmtId="0" fontId="23" fillId="0" borderId="0"/>
    <xf numFmtId="0" fontId="23" fillId="0" borderId="0"/>
    <xf numFmtId="0" fontId="46" fillId="0" borderId="0"/>
    <xf numFmtId="0" fontId="23" fillId="0" borderId="0"/>
    <xf numFmtId="0" fontId="23" fillId="0" borderId="0"/>
    <xf numFmtId="0" fontId="56" fillId="0" borderId="0"/>
    <xf numFmtId="0" fontId="27" fillId="0" borderId="0"/>
    <xf numFmtId="0" fontId="23" fillId="0" borderId="0"/>
    <xf numFmtId="0" fontId="23" fillId="0" borderId="0"/>
    <xf numFmtId="0" fontId="23" fillId="0" borderId="0"/>
    <xf numFmtId="0" fontId="23" fillId="0" borderId="0"/>
    <xf numFmtId="0" fontId="27" fillId="0" borderId="0"/>
    <xf numFmtId="0" fontId="23" fillId="0" borderId="0"/>
    <xf numFmtId="0" fontId="56" fillId="0" borderId="0"/>
    <xf numFmtId="0" fontId="86" fillId="0" borderId="0" applyNumberFormat="0" applyBorder="0" applyAlignment="0"/>
    <xf numFmtId="0" fontId="56" fillId="0" borderId="0"/>
    <xf numFmtId="0" fontId="56" fillId="0" borderId="0"/>
    <xf numFmtId="0" fontId="56" fillId="0" borderId="0"/>
    <xf numFmtId="0" fontId="56" fillId="0" borderId="0"/>
    <xf numFmtId="0" fontId="34" fillId="9" borderId="108" applyNumberFormat="0" applyFont="0" applyAlignment="0" applyProtection="0"/>
    <xf numFmtId="0" fontId="23" fillId="9" borderId="108" applyNumberFormat="0" applyFont="0" applyAlignment="0" applyProtection="0"/>
    <xf numFmtId="0" fontId="87" fillId="7" borderId="105" applyNumberFormat="0" applyAlignment="0" applyProtection="0"/>
    <xf numFmtId="9" fontId="23" fillId="0" borderId="0" applyFont="0" applyFill="0" applyBorder="0" applyAlignment="0" applyProtection="0"/>
    <xf numFmtId="9" fontId="5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6" fillId="0" borderId="0" applyFont="0" applyFill="0" applyBorder="0" applyAlignment="0" applyProtection="0"/>
    <xf numFmtId="9" fontId="22" fillId="0" borderId="0" applyFont="0" applyFill="0" applyBorder="0" applyAlignment="0" applyProtection="0"/>
    <xf numFmtId="9" fontId="4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0" fontId="88" fillId="35" borderId="0" applyNumberFormat="0" applyBorder="0" applyAlignment="0" applyProtection="0"/>
    <xf numFmtId="0" fontId="89" fillId="0" borderId="0" applyNumberFormat="0" applyFill="0" applyBorder="0" applyAlignment="0" applyProtection="0"/>
    <xf numFmtId="0" fontId="90" fillId="0" borderId="110" applyNumberFormat="0" applyFill="0" applyAlignment="0" applyProtection="0"/>
    <xf numFmtId="0" fontId="91" fillId="0" borderId="111" applyNumberFormat="0" applyFill="0" applyAlignment="0" applyProtection="0"/>
    <xf numFmtId="0" fontId="92" fillId="0" borderId="112" applyNumberFormat="0" applyFill="0" applyAlignment="0" applyProtection="0"/>
    <xf numFmtId="0" fontId="92" fillId="0" borderId="0" applyNumberFormat="0" applyFill="0" applyBorder="0" applyAlignment="0" applyProtection="0"/>
    <xf numFmtId="0" fontId="93" fillId="0" borderId="109" applyNumberFormat="0" applyFill="0" applyAlignment="0" applyProtection="0"/>
    <xf numFmtId="0" fontId="94" fillId="36" borderId="113" applyNumberFormat="0" applyAlignment="0" applyProtection="0"/>
    <xf numFmtId="0" fontId="95" fillId="0" borderId="0" applyNumberFormat="0" applyFill="0" applyBorder="0" applyAlignment="0" applyProtection="0"/>
    <xf numFmtId="0" fontId="29" fillId="0" borderId="0" applyNumberFormat="0" applyFill="0" applyBorder="0" applyAlignment="0" applyProtection="0"/>
    <xf numFmtId="0" fontId="21" fillId="0" borderId="0"/>
    <xf numFmtId="9" fontId="2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5" fontId="19" fillId="0" borderId="0" applyFont="0" applyFill="0" applyBorder="0" applyAlignment="0" applyProtection="0"/>
    <xf numFmtId="0" fontId="19"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5" fontId="27" fillId="0" borderId="0" applyNumberFormat="0" applyFont="0" applyFill="0" applyBorder="0" applyAlignment="0" applyProtection="0"/>
    <xf numFmtId="0" fontId="2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5" fontId="27" fillId="0" borderId="0" applyNumberFormat="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7" fillId="0" borderId="0"/>
    <xf numFmtId="9" fontId="17"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25" fillId="0" borderId="0"/>
    <xf numFmtId="9" fontId="25"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6"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5" fillId="0" borderId="0"/>
    <xf numFmtId="165" fontId="56"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4" fillId="0" borderId="0"/>
    <xf numFmtId="0" fontId="13" fillId="0" borderId="0"/>
    <xf numFmtId="9" fontId="13"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2" fillId="0" borderId="0"/>
    <xf numFmtId="0" fontId="11" fillId="0" borderId="0"/>
    <xf numFmtId="9" fontId="11" fillId="0" borderId="0" applyFont="0" applyFill="0" applyBorder="0" applyAlignment="0" applyProtection="0"/>
    <xf numFmtId="165" fontId="11"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5" fontId="11" fillId="0" borderId="0" applyFont="0" applyFill="0" applyBorder="0" applyAlignment="0" applyProtection="0"/>
    <xf numFmtId="0" fontId="10" fillId="0" borderId="0"/>
    <xf numFmtId="9" fontId="10"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5" fontId="11" fillId="0" borderId="0" applyFont="0" applyFill="0" applyBorder="0" applyAlignment="0" applyProtection="0"/>
    <xf numFmtId="0" fontId="11" fillId="0" borderId="0"/>
    <xf numFmtId="9" fontId="11" fillId="0" borderId="0" applyFont="0" applyFill="0" applyBorder="0" applyAlignment="0" applyProtection="0"/>
    <xf numFmtId="165"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5" fontId="27" fillId="0" borderId="0" applyFont="0" applyFill="0" applyBorder="0" applyAlignment="0" applyProtection="0"/>
    <xf numFmtId="166" fontId="27"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8" fillId="0" borderId="0"/>
    <xf numFmtId="0" fontId="7"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 fillId="0" borderId="0"/>
    <xf numFmtId="9" fontId="4" fillId="0" borderId="0" applyFont="0" applyFill="0" applyBorder="0" applyAlignment="0" applyProtection="0"/>
    <xf numFmtId="0" fontId="25" fillId="0" borderId="0"/>
    <xf numFmtId="165" fontId="25" fillId="0" borderId="0" applyFont="0" applyFill="0" applyBorder="0" applyAlignment="0" applyProtection="0"/>
    <xf numFmtId="9" fontId="25" fillId="0" borderId="0" applyFont="0" applyFill="0" applyBorder="0" applyAlignment="0" applyProtection="0"/>
    <xf numFmtId="164" fontId="25" fillId="0" borderId="0" applyFont="0" applyFill="0" applyBorder="0" applyAlignment="0" applyProtection="0"/>
    <xf numFmtId="0" fontId="27" fillId="0" borderId="0"/>
    <xf numFmtId="0" fontId="11" fillId="0" borderId="0"/>
    <xf numFmtId="0" fontId="1" fillId="0" borderId="0"/>
    <xf numFmtId="9" fontId="1" fillId="0" borderId="0" applyFont="0" applyFill="0" applyBorder="0" applyAlignment="0" applyProtection="0"/>
  </cellStyleXfs>
  <cellXfs count="2451">
    <xf numFmtId="0" fontId="0" fillId="0" borderId="0" xfId="0"/>
    <xf numFmtId="0" fontId="26" fillId="0" borderId="0" xfId="0" applyFont="1"/>
    <xf numFmtId="0" fontId="30" fillId="0" borderId="0" xfId="0" applyFont="1"/>
    <xf numFmtId="0" fontId="34" fillId="0" borderId="0" xfId="0" applyFont="1" applyBorder="1" applyAlignment="1">
      <alignment horizont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4" fillId="0" borderId="8" xfId="0" applyFont="1" applyBorder="1" applyAlignment="1">
      <alignment horizontal="center"/>
    </xf>
    <xf numFmtId="0" fontId="30" fillId="0" borderId="7" xfId="0" applyFont="1" applyBorder="1" applyAlignment="1">
      <alignment horizontal="center" vertical="center" wrapText="1"/>
    </xf>
    <xf numFmtId="0" fontId="30" fillId="0" borderId="33" xfId="0" applyFont="1" applyBorder="1" applyAlignment="1">
      <alignment horizontal="center" vertical="center"/>
    </xf>
    <xf numFmtId="9" fontId="30" fillId="0" borderId="0" xfId="1" applyFont="1" applyBorder="1" applyAlignment="1">
      <alignment horizontal="center"/>
    </xf>
    <xf numFmtId="0" fontId="34" fillId="0" borderId="0" xfId="0" applyFont="1" applyAlignment="1">
      <alignment horizontal="center"/>
    </xf>
    <xf numFmtId="165" fontId="0" fillId="0" borderId="0" xfId="0" applyNumberFormat="1"/>
    <xf numFmtId="167" fontId="30" fillId="0" borderId="1" xfId="0" applyNumberFormat="1" applyFont="1" applyBorder="1" applyAlignment="1">
      <alignment horizontal="center" vertical="center" wrapText="1"/>
    </xf>
    <xf numFmtId="3" fontId="30" fillId="0" borderId="0" xfId="0" applyNumberFormat="1" applyFont="1" applyBorder="1" applyAlignment="1">
      <alignment horizontal="center" vertical="center" wrapText="1"/>
    </xf>
    <xf numFmtId="3" fontId="30" fillId="0" borderId="8" xfId="0" applyNumberFormat="1" applyFont="1" applyBorder="1" applyAlignment="1">
      <alignment horizontal="center" vertical="center" wrapText="1"/>
    </xf>
    <xf numFmtId="167" fontId="30" fillId="0" borderId="22" xfId="0" applyNumberFormat="1" applyFont="1" applyBorder="1" applyAlignment="1">
      <alignment horizontal="center" vertical="center" wrapText="1"/>
    </xf>
    <xf numFmtId="167" fontId="30" fillId="0" borderId="30" xfId="0" applyNumberFormat="1" applyFont="1" applyBorder="1" applyAlignment="1">
      <alignment horizontal="center" vertical="center" wrapText="1"/>
    </xf>
    <xf numFmtId="167" fontId="30" fillId="0" borderId="18" xfId="0" applyNumberFormat="1" applyFont="1" applyBorder="1" applyAlignment="1">
      <alignment horizontal="center"/>
    </xf>
    <xf numFmtId="167" fontId="30" fillId="0" borderId="23" xfId="0" applyNumberFormat="1" applyFont="1" applyBorder="1" applyAlignment="1">
      <alignment horizontal="center" vertical="center" wrapText="1"/>
    </xf>
    <xf numFmtId="0" fontId="30" fillId="0" borderId="1" xfId="0" applyFont="1" applyBorder="1" applyAlignment="1">
      <alignment vertical="center" wrapText="1"/>
    </xf>
    <xf numFmtId="167" fontId="30" fillId="0" borderId="11" xfId="0" applyNumberFormat="1" applyFont="1" applyBorder="1" applyAlignment="1">
      <alignment horizontal="center" vertical="center" wrapText="1"/>
    </xf>
    <xf numFmtId="9" fontId="30" fillId="0" borderId="30" xfId="1" applyFont="1" applyBorder="1" applyAlignment="1">
      <alignment horizontal="center" vertical="center" wrapText="1"/>
    </xf>
    <xf numFmtId="9" fontId="30" fillId="0" borderId="1" xfId="1" applyFont="1" applyBorder="1" applyAlignment="1">
      <alignment horizontal="center" vertical="center" wrapText="1"/>
    </xf>
    <xf numFmtId="0" fontId="37" fillId="0" borderId="0" xfId="0" applyFont="1"/>
    <xf numFmtId="9" fontId="30" fillId="0" borderId="0" xfId="1" applyFont="1" applyFill="1" applyBorder="1" applyAlignment="1">
      <alignment horizontal="center"/>
    </xf>
    <xf numFmtId="0" fontId="26" fillId="0" borderId="0" xfId="0" applyFont="1" applyFill="1"/>
    <xf numFmtId="167" fontId="30" fillId="0" borderId="0" xfId="0" applyNumberFormat="1" applyFont="1" applyBorder="1" applyAlignment="1">
      <alignment horizontal="center" vertical="center" wrapText="1"/>
    </xf>
    <xf numFmtId="167" fontId="37" fillId="0" borderId="0" xfId="0" applyNumberFormat="1" applyFont="1" applyBorder="1" applyAlignment="1">
      <alignment horizontal="center" vertical="center" wrapText="1"/>
    </xf>
    <xf numFmtId="9" fontId="43" fillId="0" borderId="0" xfId="1" applyFont="1" applyBorder="1" applyAlignment="1">
      <alignment horizontal="center"/>
    </xf>
    <xf numFmtId="0" fontId="27" fillId="0" borderId="0" xfId="341"/>
    <xf numFmtId="3" fontId="27" fillId="0" borderId="0" xfId="341" applyNumberFormat="1"/>
    <xf numFmtId="172" fontId="27" fillId="0" borderId="0" xfId="341" applyNumberFormat="1"/>
    <xf numFmtId="10" fontId="27" fillId="0" borderId="0" xfId="341" applyNumberFormat="1"/>
    <xf numFmtId="0" fontId="46" fillId="0" borderId="9" xfId="341" applyFont="1" applyBorder="1" applyAlignment="1">
      <alignment horizontal="center" vertical="center"/>
    </xf>
    <xf numFmtId="0" fontId="27" fillId="0" borderId="8" xfId="341" applyBorder="1"/>
    <xf numFmtId="3" fontId="47" fillId="0" borderId="2" xfId="341" applyNumberFormat="1" applyFont="1" applyBorder="1" applyAlignment="1">
      <alignment horizontal="center" vertical="center"/>
    </xf>
    <xf numFmtId="3" fontId="46" fillId="0" borderId="0" xfId="341" applyNumberFormat="1" applyFont="1" applyBorder="1" applyAlignment="1">
      <alignment horizontal="center" vertical="center"/>
    </xf>
    <xf numFmtId="3" fontId="46" fillId="0" borderId="1" xfId="341" applyNumberFormat="1" applyFont="1" applyBorder="1" applyAlignment="1">
      <alignment horizontal="center" vertical="center"/>
    </xf>
    <xf numFmtId="0" fontId="46" fillId="0" borderId="7" xfId="341" applyFont="1" applyBorder="1" applyAlignment="1">
      <alignment horizontal="center" vertical="center"/>
    </xf>
    <xf numFmtId="10" fontId="27" fillId="0" borderId="0" xfId="341" applyNumberFormat="1" applyFill="1"/>
    <xf numFmtId="3" fontId="27" fillId="0" borderId="0" xfId="341" applyNumberFormat="1" applyFill="1"/>
    <xf numFmtId="0" fontId="27" fillId="0" borderId="0" xfId="341" applyFill="1"/>
    <xf numFmtId="0" fontId="46" fillId="0" borderId="47" xfId="341" applyFont="1" applyBorder="1" applyAlignment="1">
      <alignment horizontal="center" vertical="center"/>
    </xf>
    <xf numFmtId="0" fontId="46" fillId="0" borderId="51" xfId="341" applyFont="1" applyBorder="1" applyAlignment="1">
      <alignment horizontal="center" vertical="center"/>
    </xf>
    <xf numFmtId="3" fontId="46" fillId="0" borderId="0" xfId="341" applyNumberFormat="1" applyFont="1" applyFill="1" applyBorder="1" applyAlignment="1">
      <alignment horizontal="center" vertical="center"/>
    </xf>
    <xf numFmtId="3" fontId="46" fillId="0" borderId="1" xfId="341" applyNumberFormat="1" applyFont="1" applyFill="1" applyBorder="1" applyAlignment="1">
      <alignment horizontal="center" vertical="center"/>
    </xf>
    <xf numFmtId="0" fontId="46" fillId="0" borderId="7" xfId="341" applyFont="1" applyFill="1" applyBorder="1" applyAlignment="1">
      <alignment horizontal="center" vertical="center"/>
    </xf>
    <xf numFmtId="0" fontId="27" fillId="0" borderId="8" xfId="341" applyFill="1" applyBorder="1"/>
    <xf numFmtId="0" fontId="52" fillId="0" borderId="8" xfId="341" applyFont="1" applyBorder="1" applyAlignment="1">
      <alignment horizontal="center" vertical="center" wrapText="1"/>
    </xf>
    <xf numFmtId="0" fontId="27" fillId="0" borderId="0" xfId="341" applyBorder="1"/>
    <xf numFmtId="0" fontId="51" fillId="0" borderId="0" xfId="342"/>
    <xf numFmtId="0" fontId="43" fillId="0" borderId="0" xfId="342" applyFont="1" applyBorder="1" applyAlignment="1">
      <alignment horizontal="center" vertical="center" wrapText="1"/>
    </xf>
    <xf numFmtId="0" fontId="49" fillId="0" borderId="55" xfId="341" applyFont="1" applyBorder="1"/>
    <xf numFmtId="0" fontId="27" fillId="0" borderId="55" xfId="341" applyBorder="1"/>
    <xf numFmtId="0" fontId="27" fillId="0" borderId="56" xfId="341" applyBorder="1"/>
    <xf numFmtId="4" fontId="27" fillId="0" borderId="0" xfId="341" applyNumberFormat="1"/>
    <xf numFmtId="3" fontId="46" fillId="0" borderId="8" xfId="341" applyNumberFormat="1" applyFont="1" applyBorder="1" applyAlignment="1">
      <alignment horizontal="center" vertical="center"/>
    </xf>
    <xf numFmtId="0" fontId="51" fillId="0" borderId="0" xfId="348"/>
    <xf numFmtId="0" fontId="43" fillId="0" borderId="0" xfId="348" applyFont="1" applyBorder="1" applyAlignment="1">
      <alignment horizontal="center" vertical="center" wrapText="1"/>
    </xf>
    <xf numFmtId="3" fontId="48" fillId="0" borderId="58" xfId="341" applyNumberFormat="1" applyFont="1" applyBorder="1" applyAlignment="1">
      <alignment horizontal="center" vertical="center"/>
    </xf>
    <xf numFmtId="3" fontId="46" fillId="0" borderId="8" xfId="341" applyNumberFormat="1" applyFont="1" applyFill="1" applyBorder="1" applyAlignment="1">
      <alignment horizontal="center" vertical="center"/>
    </xf>
    <xf numFmtId="3" fontId="45" fillId="2" borderId="45" xfId="341" applyNumberFormat="1" applyFont="1" applyFill="1" applyBorder="1" applyAlignment="1">
      <alignment horizontal="center" vertical="center"/>
    </xf>
    <xf numFmtId="0" fontId="27" fillId="0" borderId="0" xfId="3" applyFont="1"/>
    <xf numFmtId="0" fontId="30" fillId="0" borderId="24" xfId="0" applyFont="1" applyBorder="1" applyAlignment="1">
      <alignment horizontal="center" vertical="center"/>
    </xf>
    <xf numFmtId="3" fontId="45" fillId="0" borderId="45" xfId="341" applyNumberFormat="1" applyFont="1" applyBorder="1" applyAlignment="1">
      <alignment horizontal="center" vertical="center"/>
    </xf>
    <xf numFmtId="3" fontId="45" fillId="0" borderId="52" xfId="341" applyNumberFormat="1" applyFont="1" applyBorder="1" applyAlignment="1">
      <alignment horizontal="center" vertical="center"/>
    </xf>
    <xf numFmtId="3" fontId="45" fillId="0" borderId="52" xfId="341" applyNumberFormat="1" applyFont="1" applyFill="1" applyBorder="1" applyAlignment="1">
      <alignment horizontal="center" vertical="center"/>
    </xf>
    <xf numFmtId="0" fontId="27" fillId="0" borderId="0" xfId="341" applyAlignment="1">
      <alignment horizontal="center"/>
    </xf>
    <xf numFmtId="0" fontId="60" fillId="0" borderId="70" xfId="3" applyFont="1" applyBorder="1" applyAlignment="1">
      <alignment horizontal="center" vertical="center"/>
    </xf>
    <xf numFmtId="0" fontId="61" fillId="0" borderId="0" xfId="3" applyFont="1" applyBorder="1" applyAlignment="1">
      <alignment vertical="center"/>
    </xf>
    <xf numFmtId="0" fontId="61" fillId="0" borderId="71" xfId="3" applyFont="1" applyBorder="1" applyAlignment="1">
      <alignment vertical="center"/>
    </xf>
    <xf numFmtId="0" fontId="27" fillId="0" borderId="70" xfId="3" applyFont="1" applyBorder="1" applyAlignment="1">
      <alignment wrapText="1"/>
    </xf>
    <xf numFmtId="3" fontId="43" fillId="0" borderId="90" xfId="3" applyNumberFormat="1" applyFont="1" applyBorder="1" applyAlignment="1">
      <alignment horizontal="center"/>
    </xf>
    <xf numFmtId="3" fontId="43" fillId="0" borderId="44" xfId="3" applyNumberFormat="1" applyFont="1" applyBorder="1" applyAlignment="1">
      <alignment horizontal="center"/>
    </xf>
    <xf numFmtId="3" fontId="43" fillId="0" borderId="0" xfId="3" applyNumberFormat="1" applyFont="1" applyBorder="1" applyAlignment="1">
      <alignment horizontal="center"/>
    </xf>
    <xf numFmtId="3" fontId="43" fillId="0" borderId="92" xfId="3" applyNumberFormat="1" applyFont="1" applyBorder="1" applyAlignment="1">
      <alignment horizontal="center"/>
    </xf>
    <xf numFmtId="3" fontId="43" fillId="0" borderId="76" xfId="3" applyNumberFormat="1" applyFont="1" applyBorder="1" applyAlignment="1">
      <alignment horizontal="center"/>
    </xf>
    <xf numFmtId="0" fontId="62" fillId="0" borderId="73" xfId="3" applyFont="1" applyBorder="1" applyAlignment="1">
      <alignment horizontal="center" vertical="center" wrapText="1"/>
    </xf>
    <xf numFmtId="3" fontId="43" fillId="0" borderId="71" xfId="3" applyNumberFormat="1" applyFont="1" applyBorder="1" applyAlignment="1">
      <alignment horizontal="center"/>
    </xf>
    <xf numFmtId="0" fontId="27" fillId="0" borderId="94" xfId="3" applyFont="1" applyBorder="1"/>
    <xf numFmtId="0" fontId="39" fillId="0" borderId="0" xfId="3" applyFont="1"/>
    <xf numFmtId="0" fontId="43" fillId="0" borderId="70" xfId="3" applyFont="1" applyBorder="1" applyAlignment="1">
      <alignment horizontal="center" vertical="center"/>
    </xf>
    <xf numFmtId="0" fontId="43" fillId="0" borderId="0" xfId="3" applyFont="1" applyBorder="1" applyAlignment="1">
      <alignment horizontal="center" vertical="center"/>
    </xf>
    <xf numFmtId="3" fontId="43" fillId="0" borderId="82" xfId="3" applyNumberFormat="1" applyFont="1" applyBorder="1" applyAlignment="1">
      <alignment horizontal="center"/>
    </xf>
    <xf numFmtId="0" fontId="34" fillId="0" borderId="0" xfId="0" applyFont="1" applyBorder="1" applyAlignment="1">
      <alignment horizontal="center" vertical="center"/>
    </xf>
    <xf numFmtId="43" fontId="0" fillId="0" borderId="0" xfId="0" applyNumberFormat="1"/>
    <xf numFmtId="3" fontId="46" fillId="0" borderId="13" xfId="341" applyNumberFormat="1" applyFont="1" applyFill="1" applyBorder="1" applyAlignment="1">
      <alignment horizontal="center" vertical="center"/>
    </xf>
    <xf numFmtId="3" fontId="47" fillId="0" borderId="12" xfId="341" applyNumberFormat="1" applyFont="1" applyFill="1" applyBorder="1" applyAlignment="1">
      <alignment horizontal="center" vertical="center"/>
    </xf>
    <xf numFmtId="3" fontId="45" fillId="0" borderId="65" xfId="341" applyNumberFormat="1" applyFont="1" applyFill="1" applyBorder="1" applyAlignment="1">
      <alignment horizontal="center" vertical="center"/>
    </xf>
    <xf numFmtId="3" fontId="45" fillId="0" borderId="64" xfId="341" applyNumberFormat="1" applyFont="1" applyFill="1" applyBorder="1" applyAlignment="1">
      <alignment horizontal="center" vertical="center"/>
    </xf>
    <xf numFmtId="3" fontId="46" fillId="0" borderId="11" xfId="341" applyNumberFormat="1" applyFont="1" applyFill="1" applyBorder="1" applyAlignment="1">
      <alignment horizontal="center" vertical="center"/>
    </xf>
    <xf numFmtId="3" fontId="48" fillId="0" borderId="18" xfId="341" applyNumberFormat="1" applyFont="1" applyBorder="1" applyAlignment="1">
      <alignment horizontal="center" vertical="center"/>
    </xf>
    <xf numFmtId="3" fontId="46" fillId="0" borderId="48" xfId="341" applyNumberFormat="1" applyFont="1" applyFill="1" applyBorder="1" applyAlignment="1">
      <alignment horizontal="center" vertical="center"/>
    </xf>
    <xf numFmtId="3" fontId="45" fillId="0" borderId="48" xfId="341" applyNumberFormat="1" applyFont="1" applyFill="1" applyBorder="1" applyAlignment="1">
      <alignment horizontal="center" vertical="center"/>
    </xf>
    <xf numFmtId="3" fontId="47" fillId="0" borderId="50" xfId="341" applyNumberFormat="1" applyFont="1" applyFill="1" applyBorder="1" applyAlignment="1">
      <alignment horizontal="center" vertical="center"/>
    </xf>
    <xf numFmtId="3" fontId="45" fillId="0" borderId="57" xfId="341" applyNumberFormat="1" applyFont="1" applyFill="1" applyBorder="1" applyAlignment="1">
      <alignment horizontal="center" vertical="center"/>
    </xf>
    <xf numFmtId="3" fontId="45" fillId="0" borderId="66" xfId="341" applyNumberFormat="1" applyFont="1" applyFill="1" applyBorder="1" applyAlignment="1">
      <alignment horizontal="center" vertical="center"/>
    </xf>
    <xf numFmtId="3" fontId="46" fillId="0" borderId="95" xfId="341" applyNumberFormat="1" applyFont="1" applyFill="1" applyBorder="1" applyAlignment="1">
      <alignment horizontal="center" vertical="center"/>
    </xf>
    <xf numFmtId="3" fontId="45" fillId="0" borderId="8" xfId="341" applyNumberFormat="1" applyFont="1" applyFill="1" applyBorder="1" applyAlignment="1">
      <alignment horizontal="center" vertical="center"/>
    </xf>
    <xf numFmtId="3" fontId="47" fillId="0" borderId="2" xfId="341" applyNumberFormat="1" applyFont="1" applyFill="1" applyBorder="1" applyAlignment="1">
      <alignment horizontal="center" vertical="center"/>
    </xf>
    <xf numFmtId="3" fontId="45" fillId="0" borderId="45" xfId="341" applyNumberFormat="1" applyFont="1" applyFill="1" applyBorder="1" applyAlignment="1">
      <alignment horizontal="center" vertical="center"/>
    </xf>
    <xf numFmtId="3" fontId="48" fillId="0" borderId="96" xfId="341" applyNumberFormat="1" applyFont="1" applyBorder="1" applyAlignment="1">
      <alignment horizontal="center" vertical="center"/>
    </xf>
    <xf numFmtId="0" fontId="27" fillId="0" borderId="7" xfId="341" applyFont="1" applyBorder="1"/>
    <xf numFmtId="0" fontId="27" fillId="0" borderId="53" xfId="341" applyFont="1" applyBorder="1"/>
    <xf numFmtId="0" fontId="27" fillId="0" borderId="8" xfId="341" applyBorder="1" applyAlignment="1">
      <alignment horizontal="center"/>
    </xf>
    <xf numFmtId="3" fontId="0" fillId="0" borderId="0" xfId="0" applyNumberFormat="1"/>
    <xf numFmtId="9" fontId="0" fillId="0" borderId="0" xfId="1" applyFont="1"/>
    <xf numFmtId="0" fontId="30" fillId="0" borderId="30" xfId="0" applyFont="1" applyBorder="1" applyAlignment="1">
      <alignment horizontal="center" vertical="center"/>
    </xf>
    <xf numFmtId="9" fontId="0" fillId="0" borderId="0" xfId="1" applyNumberFormat="1" applyFont="1"/>
    <xf numFmtId="1" fontId="0" fillId="0" borderId="0" xfId="0" applyNumberFormat="1"/>
    <xf numFmtId="3" fontId="30" fillId="0" borderId="18" xfId="0" applyNumberFormat="1" applyFont="1" applyBorder="1" applyAlignment="1">
      <alignment horizontal="center"/>
    </xf>
    <xf numFmtId="170" fontId="30" fillId="0" borderId="0" xfId="139" applyNumberFormat="1" applyFont="1" applyBorder="1" applyAlignment="1">
      <alignment horizontal="center" vertical="center" wrapText="1"/>
    </xf>
    <xf numFmtId="0" fontId="38" fillId="0" borderId="7" xfId="0" applyFont="1" applyBorder="1" applyAlignment="1">
      <alignment horizontal="center" vertical="center" wrapText="1"/>
    </xf>
    <xf numFmtId="0" fontId="70" fillId="0" borderId="7" xfId="0" applyFont="1" applyBorder="1"/>
    <xf numFmtId="0" fontId="70" fillId="0" borderId="9" xfId="0" applyFont="1" applyBorder="1"/>
    <xf numFmtId="9" fontId="37" fillId="0" borderId="0" xfId="1" applyFont="1" applyBorder="1" applyAlignment="1">
      <alignment horizontal="center"/>
    </xf>
    <xf numFmtId="3" fontId="37" fillId="0" borderId="0" xfId="3" applyNumberFormat="1" applyFont="1" applyBorder="1" applyAlignment="1">
      <alignment horizontal="center"/>
    </xf>
    <xf numFmtId="9" fontId="27" fillId="0" borderId="0" xfId="1" applyFont="1"/>
    <xf numFmtId="0" fontId="31" fillId="0" borderId="98" xfId="0" applyFont="1" applyBorder="1" applyAlignment="1">
      <alignment horizontal="center" vertical="center"/>
    </xf>
    <xf numFmtId="9" fontId="30" fillId="0" borderId="98" xfId="1" applyFont="1" applyBorder="1" applyAlignment="1">
      <alignment horizontal="center"/>
    </xf>
    <xf numFmtId="167" fontId="30" fillId="0" borderId="98" xfId="0" applyNumberFormat="1" applyFont="1" applyBorder="1" applyAlignment="1">
      <alignment horizontal="center" vertical="center" wrapText="1"/>
    </xf>
    <xf numFmtId="167" fontId="30" fillId="0" borderId="98" xfId="0" applyNumberFormat="1" applyFont="1" applyBorder="1" applyAlignment="1">
      <alignment horizontal="center"/>
    </xf>
    <xf numFmtId="167" fontId="30" fillId="0" borderId="98" xfId="0" applyNumberFormat="1" applyFont="1" applyFill="1" applyBorder="1" applyAlignment="1">
      <alignment horizontal="center"/>
    </xf>
    <xf numFmtId="0" fontId="70" fillId="0" borderId="98" xfId="0" applyFont="1" applyBorder="1"/>
    <xf numFmtId="9" fontId="30" fillId="0" borderId="71" xfId="263" applyFont="1" applyBorder="1" applyAlignment="1">
      <alignment horizontal="center"/>
    </xf>
    <xf numFmtId="169" fontId="43" fillId="0" borderId="98" xfId="0" applyNumberFormat="1" applyFont="1" applyFill="1" applyBorder="1" applyAlignment="1">
      <alignment horizontal="center" vertical="center" wrapText="1"/>
    </xf>
    <xf numFmtId="0" fontId="34" fillId="0" borderId="0" xfId="0" applyFont="1" applyFill="1" applyBorder="1" applyAlignment="1">
      <alignment horizontal="center"/>
    </xf>
    <xf numFmtId="0" fontId="32" fillId="0" borderId="0" xfId="0" applyFont="1" applyFill="1" applyBorder="1" applyAlignment="1">
      <alignment horizontal="center" vertical="center" wrapText="1"/>
    </xf>
    <xf numFmtId="0" fontId="97" fillId="0" borderId="0" xfId="0" applyFont="1"/>
    <xf numFmtId="0" fontId="98" fillId="0" borderId="0" xfId="0" applyFont="1"/>
    <xf numFmtId="9" fontId="97" fillId="0" borderId="0" xfId="1" applyNumberFormat="1" applyFont="1"/>
    <xf numFmtId="171" fontId="97" fillId="0" borderId="0" xfId="1" applyNumberFormat="1" applyFont="1"/>
    <xf numFmtId="9" fontId="97" fillId="0" borderId="0" xfId="1" applyFont="1"/>
    <xf numFmtId="3" fontId="97" fillId="0" borderId="0" xfId="0" applyNumberFormat="1" applyFont="1"/>
    <xf numFmtId="0" fontId="27" fillId="0" borderId="0" xfId="0" applyFont="1" applyFill="1" applyBorder="1" applyAlignment="1">
      <alignment horizontal="center"/>
    </xf>
    <xf numFmtId="0" fontId="27" fillId="0" borderId="8" xfId="0" applyFont="1" applyFill="1" applyBorder="1" applyAlignment="1">
      <alignment horizontal="center"/>
    </xf>
    <xf numFmtId="0" fontId="100" fillId="0" borderId="0" xfId="0" applyFont="1" applyFill="1" applyBorder="1" applyAlignment="1">
      <alignment horizontal="center" vertical="center" wrapText="1"/>
    </xf>
    <xf numFmtId="0" fontId="43" fillId="0" borderId="33" xfId="0" applyFont="1" applyFill="1" applyBorder="1" applyAlignment="1">
      <alignment horizontal="center" vertical="center"/>
    </xf>
    <xf numFmtId="9" fontId="43" fillId="0" borderId="0" xfId="1" applyFont="1" applyFill="1" applyBorder="1" applyAlignment="1">
      <alignment horizontal="center"/>
    </xf>
    <xf numFmtId="9" fontId="43" fillId="0" borderId="8" xfId="1" applyFont="1" applyFill="1" applyBorder="1" applyAlignment="1">
      <alignment horizontal="center"/>
    </xf>
    <xf numFmtId="0" fontId="43" fillId="0" borderId="7" xfId="0" applyFont="1" applyFill="1" applyBorder="1" applyAlignment="1">
      <alignment horizontal="center" vertical="center" wrapText="1"/>
    </xf>
    <xf numFmtId="9" fontId="43" fillId="0" borderId="10" xfId="1" applyFont="1" applyFill="1" applyBorder="1" applyAlignment="1">
      <alignment horizontal="center"/>
    </xf>
    <xf numFmtId="9" fontId="43" fillId="0" borderId="13" xfId="1" applyFont="1" applyFill="1" applyBorder="1" applyAlignment="1">
      <alignment horizontal="center"/>
    </xf>
    <xf numFmtId="0" fontId="20" fillId="0" borderId="0" xfId="0" applyFont="1"/>
    <xf numFmtId="167" fontId="43" fillId="0" borderId="98" xfId="0" applyNumberFormat="1" applyFont="1" applyFill="1" applyBorder="1" applyAlignment="1">
      <alignment horizontal="center"/>
    </xf>
    <xf numFmtId="0" fontId="27" fillId="0" borderId="0" xfId="592"/>
    <xf numFmtId="0" fontId="27" fillId="0" borderId="0" xfId="592" applyFont="1"/>
    <xf numFmtId="0" fontId="27" fillId="38" borderId="117" xfId="592" applyNumberFormat="1" applyFont="1" applyFill="1" applyBorder="1" applyAlignment="1"/>
    <xf numFmtId="0" fontId="27" fillId="0" borderId="0" xfId="592" applyAlignment="1">
      <alignment horizontal="center" vertical="center" wrapText="1"/>
    </xf>
    <xf numFmtId="0" fontId="27" fillId="0" borderId="0" xfId="592" applyFont="1" applyAlignment="1">
      <alignment horizontal="center" vertical="center" wrapText="1"/>
    </xf>
    <xf numFmtId="1" fontId="43" fillId="0" borderId="98" xfId="0" applyNumberFormat="1" applyFont="1" applyFill="1" applyBorder="1" applyAlignment="1">
      <alignment horizontal="center"/>
    </xf>
    <xf numFmtId="3" fontId="43" fillId="0" borderId="98" xfId="0" applyNumberFormat="1" applyFont="1" applyFill="1" applyBorder="1" applyAlignment="1">
      <alignment horizontal="center"/>
    </xf>
    <xf numFmtId="168" fontId="32" fillId="0" borderId="0" xfId="139" applyNumberFormat="1" applyFont="1" applyFill="1" applyBorder="1" applyAlignment="1">
      <alignment horizontal="center"/>
    </xf>
    <xf numFmtId="168" fontId="100" fillId="0" borderId="0" xfId="139" applyNumberFormat="1" applyFont="1" applyFill="1" applyBorder="1" applyAlignment="1">
      <alignment horizontal="center"/>
    </xf>
    <xf numFmtId="9" fontId="101" fillId="0" borderId="0" xfId="1" applyFont="1" applyFill="1" applyBorder="1" applyAlignment="1">
      <alignment horizontal="center"/>
    </xf>
    <xf numFmtId="9" fontId="32" fillId="0" borderId="0" xfId="1" applyFont="1" applyFill="1" applyBorder="1" applyAlignment="1">
      <alignment horizontal="center"/>
    </xf>
    <xf numFmtId="3" fontId="30" fillId="0" borderId="98" xfId="0" applyNumberFormat="1" applyFont="1" applyBorder="1" applyAlignment="1">
      <alignment horizontal="center"/>
    </xf>
    <xf numFmtId="9" fontId="30" fillId="0" borderId="98" xfId="1" applyFont="1" applyBorder="1" applyAlignment="1">
      <alignment horizontal="center" vertical="center" wrapText="1"/>
    </xf>
    <xf numFmtId="0" fontId="60" fillId="0" borderId="0" xfId="592" applyFont="1" applyBorder="1" applyAlignment="1">
      <alignment horizontal="center"/>
    </xf>
    <xf numFmtId="0" fontId="27" fillId="0" borderId="0" xfId="592" applyFont="1" applyBorder="1"/>
    <xf numFmtId="0" fontId="27" fillId="0" borderId="0" xfId="341" applyFont="1" applyBorder="1" applyAlignment="1">
      <alignment horizontal="center"/>
    </xf>
    <xf numFmtId="0" fontId="61" fillId="0" borderId="0" xfId="592" applyFont="1" applyBorder="1"/>
    <xf numFmtId="0" fontId="52" fillId="37" borderId="116" xfId="592" applyFont="1" applyFill="1" applyBorder="1" applyAlignment="1">
      <alignment vertical="top" wrapText="1"/>
    </xf>
    <xf numFmtId="168" fontId="27" fillId="0" borderId="0" xfId="592" applyNumberFormat="1" applyFont="1" applyBorder="1"/>
    <xf numFmtId="168" fontId="27" fillId="0" borderId="0" xfId="592" applyNumberFormat="1" applyFont="1"/>
    <xf numFmtId="3" fontId="43" fillId="0" borderId="18" xfId="0" applyNumberFormat="1" applyFont="1" applyFill="1" applyBorder="1" applyAlignment="1">
      <alignment horizontal="center" vertical="center" wrapText="1"/>
    </xf>
    <xf numFmtId="3" fontId="30" fillId="0" borderId="19" xfId="0" applyNumberFormat="1" applyFont="1" applyFill="1" applyBorder="1" applyAlignment="1">
      <alignment horizontal="center" vertical="center"/>
    </xf>
    <xf numFmtId="9" fontId="30" fillId="0" borderId="10" xfId="1" applyFont="1" applyFill="1" applyBorder="1" applyAlignment="1">
      <alignment horizontal="center" vertical="center"/>
    </xf>
    <xf numFmtId="3" fontId="43" fillId="0" borderId="98" xfId="0" applyNumberFormat="1" applyFont="1" applyFill="1" applyBorder="1" applyAlignment="1">
      <alignment horizontal="center" vertical="center" wrapText="1"/>
    </xf>
    <xf numFmtId="0" fontId="0" fillId="0" borderId="0" xfId="0" applyAlignment="1">
      <alignment horizontal="center"/>
    </xf>
    <xf numFmtId="3" fontId="30" fillId="0" borderId="10" xfId="0" applyNumberFormat="1" applyFont="1" applyFill="1" applyBorder="1" applyAlignment="1">
      <alignment horizontal="center" vertical="center"/>
    </xf>
    <xf numFmtId="169" fontId="34" fillId="0" borderId="0" xfId="1" applyNumberFormat="1" applyFont="1" applyAlignment="1">
      <alignment horizontal="center" vertical="center"/>
    </xf>
    <xf numFmtId="0" fontId="34" fillId="0" borderId="0" xfId="0" applyFont="1"/>
    <xf numFmtId="0" fontId="34" fillId="0" borderId="0" xfId="0" applyFont="1" applyAlignment="1">
      <alignment horizontal="center" vertical="center"/>
    </xf>
    <xf numFmtId="3" fontId="30" fillId="0" borderId="30" xfId="0" applyNumberFormat="1" applyFont="1" applyFill="1" applyBorder="1" applyAlignment="1">
      <alignment horizontal="center" vertical="center" wrapText="1"/>
    </xf>
    <xf numFmtId="3" fontId="30" fillId="0" borderId="0" xfId="0" applyNumberFormat="1" applyFont="1" applyFill="1" applyBorder="1" applyAlignment="1">
      <alignment horizontal="center" vertical="center"/>
    </xf>
    <xf numFmtId="9" fontId="30" fillId="0" borderId="0" xfId="1" applyFont="1" applyFill="1" applyBorder="1" applyAlignment="1">
      <alignment horizontal="center" vertical="center"/>
    </xf>
    <xf numFmtId="3" fontId="30" fillId="0" borderId="31" xfId="0" applyNumberFormat="1" applyFont="1" applyFill="1" applyBorder="1" applyAlignment="1">
      <alignment horizontal="center" vertical="center"/>
    </xf>
    <xf numFmtId="3" fontId="30" fillId="0" borderId="30" xfId="0" applyNumberFormat="1" applyFont="1" applyFill="1" applyBorder="1" applyAlignment="1">
      <alignment horizontal="center" vertical="center"/>
    </xf>
    <xf numFmtId="3" fontId="43" fillId="0" borderId="3" xfId="0" applyNumberFormat="1" applyFont="1" applyFill="1" applyBorder="1" applyAlignment="1">
      <alignment horizontal="center" vertical="center"/>
    </xf>
    <xf numFmtId="3" fontId="30" fillId="0" borderId="24" xfId="0" applyNumberFormat="1" applyFont="1" applyFill="1" applyBorder="1" applyAlignment="1">
      <alignment horizontal="center" vertical="center"/>
    </xf>
    <xf numFmtId="9" fontId="30" fillId="0" borderId="30" xfId="1" applyNumberFormat="1" applyFont="1" applyFill="1" applyBorder="1" applyAlignment="1">
      <alignment horizontal="center" vertical="center"/>
    </xf>
    <xf numFmtId="3" fontId="34" fillId="0" borderId="0" xfId="0" applyNumberFormat="1" applyFont="1"/>
    <xf numFmtId="3" fontId="30" fillId="0" borderId="18" xfId="0" applyNumberFormat="1" applyFont="1" applyFill="1" applyBorder="1" applyAlignment="1">
      <alignment horizontal="center" vertical="center"/>
    </xf>
    <xf numFmtId="3" fontId="30" fillId="0" borderId="121" xfId="0" applyNumberFormat="1" applyFont="1" applyFill="1" applyBorder="1" applyAlignment="1">
      <alignment horizontal="center" vertical="center"/>
    </xf>
    <xf numFmtId="0" fontId="34" fillId="0" borderId="8" xfId="0" applyFont="1" applyFill="1" applyBorder="1" applyAlignment="1">
      <alignment horizontal="center"/>
    </xf>
    <xf numFmtId="9" fontId="30" fillId="0" borderId="8" xfId="1" applyFont="1" applyFill="1" applyBorder="1" applyAlignment="1">
      <alignment horizontal="center" vertical="center"/>
    </xf>
    <xf numFmtId="0" fontId="30" fillId="0" borderId="7" xfId="0" applyFont="1" applyFill="1" applyBorder="1" applyAlignment="1">
      <alignment horizontal="center" vertical="center" wrapText="1"/>
    </xf>
    <xf numFmtId="9" fontId="30" fillId="0" borderId="24" xfId="1" applyNumberFormat="1" applyFont="1" applyFill="1" applyBorder="1" applyAlignment="1">
      <alignment horizontal="center" vertical="center"/>
    </xf>
    <xf numFmtId="9" fontId="30" fillId="0" borderId="0" xfId="1" applyNumberFormat="1" applyFont="1" applyFill="1" applyBorder="1" applyAlignment="1">
      <alignment horizontal="center" vertical="center"/>
    </xf>
    <xf numFmtId="0" fontId="30" fillId="0" borderId="33" xfId="0" applyFont="1" applyFill="1" applyBorder="1" applyAlignment="1">
      <alignment horizontal="center" vertical="center"/>
    </xf>
    <xf numFmtId="9" fontId="30" fillId="0" borderId="8" xfId="1" applyFont="1" applyFill="1" applyBorder="1" applyAlignment="1">
      <alignment horizontal="center"/>
    </xf>
    <xf numFmtId="0" fontId="32" fillId="0" borderId="0" xfId="0" applyFont="1" applyFill="1" applyBorder="1"/>
    <xf numFmtId="168" fontId="101" fillId="0" borderId="0" xfId="139" applyNumberFormat="1" applyFont="1" applyFill="1" applyBorder="1" applyAlignment="1">
      <alignment horizontal="center"/>
    </xf>
    <xf numFmtId="1" fontId="100" fillId="0" borderId="0" xfId="0" applyNumberFormat="1" applyFont="1" applyFill="1" applyBorder="1" applyAlignment="1">
      <alignment horizontal="center"/>
    </xf>
    <xf numFmtId="9" fontId="30" fillId="0" borderId="98" xfId="1" applyFont="1" applyFill="1" applyBorder="1" applyAlignment="1">
      <alignment horizontal="center" vertical="center"/>
    </xf>
    <xf numFmtId="9" fontId="30" fillId="0" borderId="2" xfId="1" applyFont="1" applyFill="1" applyBorder="1" applyAlignment="1">
      <alignment horizontal="center" vertical="center"/>
    </xf>
    <xf numFmtId="9" fontId="30" fillId="0" borderId="18" xfId="1" applyFont="1" applyFill="1" applyBorder="1" applyAlignment="1">
      <alignment horizontal="center" vertical="center"/>
    </xf>
    <xf numFmtId="9" fontId="30" fillId="0" borderId="12" xfId="1" applyFont="1" applyFill="1" applyBorder="1" applyAlignment="1">
      <alignment horizontal="center" vertical="center"/>
    </xf>
    <xf numFmtId="9" fontId="30" fillId="0" borderId="13" xfId="1" applyFont="1" applyFill="1" applyBorder="1" applyAlignment="1">
      <alignment horizontal="center" vertical="center"/>
    </xf>
    <xf numFmtId="0" fontId="30" fillId="0" borderId="9" xfId="0" applyFont="1" applyFill="1" applyBorder="1" applyAlignment="1">
      <alignment horizontal="center" vertical="center"/>
    </xf>
    <xf numFmtId="3" fontId="30" fillId="0" borderId="3" xfId="0" applyNumberFormat="1" applyFont="1" applyFill="1" applyBorder="1" applyAlignment="1">
      <alignment horizontal="center" vertical="center" wrapText="1"/>
    </xf>
    <xf numFmtId="3" fontId="30" fillId="0" borderId="24" xfId="0" applyNumberFormat="1" applyFont="1" applyFill="1" applyBorder="1" applyAlignment="1">
      <alignment horizontal="center" vertical="center" wrapText="1"/>
    </xf>
    <xf numFmtId="3" fontId="30" fillId="0" borderId="31" xfId="0" applyNumberFormat="1" applyFont="1" applyFill="1" applyBorder="1" applyAlignment="1">
      <alignment horizontal="center" vertical="center" wrapText="1"/>
    </xf>
    <xf numFmtId="9" fontId="30" fillId="0" borderId="24" xfId="1" applyFont="1" applyFill="1" applyBorder="1" applyAlignment="1">
      <alignment horizontal="center" vertical="center"/>
    </xf>
    <xf numFmtId="9" fontId="30" fillId="0" borderId="34" xfId="1" applyFont="1" applyFill="1" applyBorder="1" applyAlignment="1">
      <alignment horizontal="center" vertical="center"/>
    </xf>
    <xf numFmtId="9" fontId="30" fillId="0" borderId="32" xfId="1" applyFont="1" applyFill="1" applyBorder="1" applyAlignment="1">
      <alignment horizontal="center" vertical="center"/>
    </xf>
    <xf numFmtId="3" fontId="43" fillId="0" borderId="1" xfId="0" applyNumberFormat="1" applyFont="1" applyFill="1" applyBorder="1" applyAlignment="1">
      <alignment horizontal="center" vertical="center" wrapText="1"/>
    </xf>
    <xf numFmtId="3" fontId="43" fillId="0" borderId="0" xfId="139" applyNumberFormat="1" applyFont="1" applyFill="1" applyBorder="1" applyAlignment="1">
      <alignment horizontal="center" vertical="center"/>
    </xf>
    <xf numFmtId="3" fontId="30" fillId="0" borderId="0" xfId="0" applyNumberFormat="1" applyFont="1" applyFill="1" applyBorder="1" applyAlignment="1">
      <alignment horizontal="center" vertical="center" wrapText="1"/>
    </xf>
    <xf numFmtId="0" fontId="30" fillId="0" borderId="9" xfId="0" applyFont="1" applyFill="1" applyBorder="1" applyAlignment="1">
      <alignment horizontal="center" vertical="center" wrapText="1"/>
    </xf>
    <xf numFmtId="3" fontId="43" fillId="0" borderId="11" xfId="0" applyNumberFormat="1" applyFont="1" applyFill="1" applyBorder="1" applyAlignment="1">
      <alignment horizontal="center" vertical="center" wrapText="1"/>
    </xf>
    <xf numFmtId="3" fontId="43" fillId="0" borderId="10" xfId="139" applyNumberFormat="1" applyFont="1" applyFill="1" applyBorder="1" applyAlignment="1">
      <alignment horizontal="center" vertical="center"/>
    </xf>
    <xf numFmtId="3" fontId="30" fillId="0" borderId="10" xfId="0" applyNumberFormat="1" applyFont="1" applyFill="1" applyBorder="1" applyAlignment="1">
      <alignment horizontal="center" vertical="center" wrapText="1"/>
    </xf>
    <xf numFmtId="3" fontId="43" fillId="0" borderId="30" xfId="0" applyNumberFormat="1" applyFont="1" applyFill="1" applyBorder="1" applyAlignment="1">
      <alignment horizontal="center" vertical="center" wrapText="1"/>
    </xf>
    <xf numFmtId="9" fontId="43" fillId="0" borderId="0" xfId="1" applyFont="1" applyFill="1" applyBorder="1" applyAlignment="1">
      <alignment horizontal="center" vertical="center"/>
    </xf>
    <xf numFmtId="9" fontId="43" fillId="0" borderId="8" xfId="1" applyFont="1" applyFill="1" applyBorder="1" applyAlignment="1">
      <alignment horizontal="center" vertical="center"/>
    </xf>
    <xf numFmtId="9" fontId="43" fillId="0" borderId="24" xfId="1" applyFont="1" applyFill="1" applyBorder="1" applyAlignment="1">
      <alignment horizontal="center" vertical="center"/>
    </xf>
    <xf numFmtId="9" fontId="43" fillId="0" borderId="32" xfId="1" applyFont="1" applyFill="1" applyBorder="1" applyAlignment="1">
      <alignment horizontal="center" vertical="center"/>
    </xf>
    <xf numFmtId="3" fontId="43" fillId="0" borderId="3" xfId="0" applyNumberFormat="1" applyFont="1" applyFill="1" applyBorder="1" applyAlignment="1">
      <alignment horizontal="center" vertical="center" wrapText="1"/>
    </xf>
    <xf numFmtId="3" fontId="43" fillId="0" borderId="31" xfId="0" applyNumberFormat="1" applyFont="1" applyFill="1" applyBorder="1" applyAlignment="1">
      <alignment horizontal="center" vertical="center"/>
    </xf>
    <xf numFmtId="9" fontId="43" fillId="0" borderId="30" xfId="1" applyFont="1" applyFill="1" applyBorder="1" applyAlignment="1">
      <alignment horizontal="center" vertical="center"/>
    </xf>
    <xf numFmtId="9" fontId="43" fillId="0" borderId="34" xfId="1" applyFont="1" applyFill="1" applyBorder="1" applyAlignment="1">
      <alignment horizontal="center" vertical="center"/>
    </xf>
    <xf numFmtId="3" fontId="43" fillId="0" borderId="0" xfId="0" applyNumberFormat="1" applyFont="1" applyFill="1" applyBorder="1" applyAlignment="1">
      <alignment horizontal="center" vertical="center"/>
    </xf>
    <xf numFmtId="9" fontId="43" fillId="0" borderId="2" xfId="1" applyFont="1" applyFill="1" applyBorder="1" applyAlignment="1">
      <alignment horizontal="center" vertical="center"/>
    </xf>
    <xf numFmtId="3" fontId="0" fillId="0" borderId="0" xfId="0" applyNumberFormat="1" applyAlignment="1">
      <alignment horizontal="center"/>
    </xf>
    <xf numFmtId="3" fontId="43" fillId="0" borderId="24" xfId="0" applyNumberFormat="1" applyFont="1" applyFill="1" applyBorder="1" applyAlignment="1">
      <alignment horizontal="center" vertical="center"/>
    </xf>
    <xf numFmtId="3" fontId="43" fillId="0" borderId="24" xfId="0" applyNumberFormat="1" applyFont="1" applyFill="1" applyBorder="1" applyAlignment="1">
      <alignment horizontal="center" vertical="center" wrapText="1"/>
    </xf>
    <xf numFmtId="169" fontId="34" fillId="0" borderId="0" xfId="1" applyNumberFormat="1" applyFont="1" applyAlignment="1">
      <alignment horizontal="center"/>
    </xf>
    <xf numFmtId="9" fontId="43" fillId="0" borderId="24" xfId="1" applyFont="1" applyFill="1" applyBorder="1" applyAlignment="1">
      <alignment horizontal="center" vertical="center" wrapText="1"/>
    </xf>
    <xf numFmtId="3" fontId="43" fillId="0" borderId="25" xfId="0" applyNumberFormat="1" applyFont="1" applyFill="1" applyBorder="1" applyAlignment="1">
      <alignment horizontal="center" vertical="center" wrapText="1"/>
    </xf>
    <xf numFmtId="9" fontId="43" fillId="0" borderId="32" xfId="1" applyFont="1" applyFill="1" applyBorder="1" applyAlignment="1">
      <alignment horizontal="center" vertical="center" wrapText="1"/>
    </xf>
    <xf numFmtId="3" fontId="43" fillId="0" borderId="98" xfId="0" applyNumberFormat="1" applyFont="1" applyFill="1" applyBorder="1" applyAlignment="1">
      <alignment horizontal="center" vertical="center"/>
    </xf>
    <xf numFmtId="3" fontId="43" fillId="0" borderId="0" xfId="0" applyNumberFormat="1" applyFont="1" applyFill="1" applyBorder="1" applyAlignment="1">
      <alignment horizontal="center" vertical="center" wrapText="1"/>
    </xf>
    <xf numFmtId="0" fontId="43" fillId="0" borderId="122" xfId="0" applyFont="1" applyFill="1" applyBorder="1" applyAlignment="1">
      <alignment horizontal="center" vertical="center" wrapText="1"/>
    </xf>
    <xf numFmtId="3" fontId="43" fillId="0" borderId="123" xfId="0" applyNumberFormat="1" applyFont="1" applyFill="1" applyBorder="1" applyAlignment="1">
      <alignment horizontal="center" vertical="center"/>
    </xf>
    <xf numFmtId="3" fontId="43" fillId="0" borderId="121" xfId="0" applyNumberFormat="1" applyFont="1" applyFill="1" applyBorder="1" applyAlignment="1">
      <alignment horizontal="center" vertical="center"/>
    </xf>
    <xf numFmtId="3" fontId="43" fillId="0" borderId="124" xfId="0" applyNumberFormat="1" applyFont="1" applyFill="1" applyBorder="1" applyAlignment="1">
      <alignment horizontal="center" vertical="center"/>
    </xf>
    <xf numFmtId="3" fontId="43" fillId="0" borderId="125" xfId="0" applyNumberFormat="1" applyFont="1" applyFill="1" applyBorder="1" applyAlignment="1">
      <alignment horizontal="center" vertical="center"/>
    </xf>
    <xf numFmtId="9" fontId="43" fillId="0" borderId="126" xfId="1" applyFont="1" applyFill="1" applyBorder="1" applyAlignment="1">
      <alignment horizontal="center" vertical="center"/>
    </xf>
    <xf numFmtId="3" fontId="43" fillId="0" borderId="0" xfId="0" applyNumberFormat="1" applyFont="1" applyFill="1" applyBorder="1" applyAlignment="1">
      <alignment horizontal="center"/>
    </xf>
    <xf numFmtId="9" fontId="43" fillId="0" borderId="124" xfId="1" applyNumberFormat="1" applyFont="1" applyFill="1" applyBorder="1" applyAlignment="1">
      <alignment horizontal="center" vertical="center"/>
    </xf>
    <xf numFmtId="9" fontId="43" fillId="0" borderId="0" xfId="1" applyNumberFormat="1" applyFont="1" applyFill="1" applyBorder="1" applyAlignment="1">
      <alignment horizontal="center" vertical="center"/>
    </xf>
    <xf numFmtId="169" fontId="43" fillId="0" borderId="31" xfId="0" applyNumberFormat="1" applyFont="1" applyFill="1" applyBorder="1" applyAlignment="1">
      <alignment horizontal="center" vertical="center" wrapText="1"/>
    </xf>
    <xf numFmtId="3" fontId="30" fillId="0" borderId="1" xfId="0" applyNumberFormat="1" applyFont="1" applyBorder="1" applyAlignment="1">
      <alignment horizontal="center" vertical="center"/>
    </xf>
    <xf numFmtId="3" fontId="30" fillId="0" borderId="0" xfId="0" applyNumberFormat="1" applyFont="1" applyBorder="1" applyAlignment="1">
      <alignment horizontal="center" vertical="center"/>
    </xf>
    <xf numFmtId="9" fontId="30" fillId="0" borderId="0" xfId="1" applyFont="1" applyBorder="1" applyAlignment="1">
      <alignment horizontal="center" vertical="center" wrapText="1"/>
    </xf>
    <xf numFmtId="0" fontId="30" fillId="0" borderId="122" xfId="0" applyFont="1" applyBorder="1" applyAlignment="1">
      <alignment horizontal="center" vertical="center" wrapText="1"/>
    </xf>
    <xf numFmtId="3" fontId="30" fillId="0" borderId="123" xfId="0" applyNumberFormat="1" applyFont="1" applyBorder="1" applyAlignment="1">
      <alignment horizontal="center" vertical="center"/>
    </xf>
    <xf numFmtId="3" fontId="30" fillId="0" borderId="121" xfId="0" applyNumberFormat="1" applyFont="1" applyBorder="1" applyAlignment="1">
      <alignment horizontal="center" vertical="center"/>
    </xf>
    <xf numFmtId="3" fontId="30" fillId="0" borderId="124" xfId="0" applyNumberFormat="1" applyFont="1" applyFill="1" applyBorder="1" applyAlignment="1">
      <alignment horizontal="center" vertical="center"/>
    </xf>
    <xf numFmtId="3" fontId="30" fillId="0" borderId="124" xfId="0" applyNumberFormat="1" applyFont="1" applyBorder="1" applyAlignment="1">
      <alignment horizontal="center" vertical="center"/>
    </xf>
    <xf numFmtId="3" fontId="30" fillId="0" borderId="125" xfId="0" applyNumberFormat="1" applyFont="1" applyBorder="1" applyAlignment="1">
      <alignment horizontal="center" vertical="center"/>
    </xf>
    <xf numFmtId="9" fontId="30" fillId="0" borderId="124" xfId="1" applyFont="1" applyFill="1" applyBorder="1" applyAlignment="1">
      <alignment horizontal="center" vertical="center"/>
    </xf>
    <xf numFmtId="9" fontId="30" fillId="0" borderId="124" xfId="1" applyFont="1" applyBorder="1" applyAlignment="1">
      <alignment horizontal="center" vertical="center" wrapText="1"/>
    </xf>
    <xf numFmtId="9" fontId="30" fillId="0" borderId="126" xfId="1" applyFont="1" applyFill="1" applyBorder="1" applyAlignment="1">
      <alignment horizontal="center" vertical="center"/>
    </xf>
    <xf numFmtId="3" fontId="30" fillId="0" borderId="30" xfId="0" applyNumberFormat="1" applyFont="1" applyBorder="1" applyAlignment="1">
      <alignment horizontal="center" vertical="center" wrapText="1"/>
    </xf>
    <xf numFmtId="3" fontId="30" fillId="0" borderId="3" xfId="0" applyNumberFormat="1" applyFont="1" applyBorder="1" applyAlignment="1">
      <alignment horizontal="center" vertical="center" wrapText="1"/>
    </xf>
    <xf numFmtId="3" fontId="30" fillId="0" borderId="24" xfId="0" applyNumberFormat="1" applyFont="1" applyBorder="1" applyAlignment="1">
      <alignment horizontal="center" vertical="center" wrapText="1"/>
    </xf>
    <xf numFmtId="3" fontId="30" fillId="0" borderId="31" xfId="0" applyNumberFormat="1" applyFont="1" applyBorder="1" applyAlignment="1">
      <alignment horizontal="center" vertical="center" wrapText="1"/>
    </xf>
    <xf numFmtId="9" fontId="30" fillId="0" borderId="24" xfId="1" applyFont="1" applyBorder="1" applyAlignment="1">
      <alignment horizontal="center" vertical="center" wrapText="1"/>
    </xf>
    <xf numFmtId="9" fontId="30" fillId="0" borderId="32" xfId="1" applyFont="1" applyBorder="1" applyAlignment="1">
      <alignment horizontal="center" vertical="center"/>
    </xf>
    <xf numFmtId="9" fontId="37" fillId="0" borderId="0" xfId="1" applyFont="1" applyBorder="1" applyAlignment="1">
      <alignment horizontal="center" vertical="center" wrapText="1"/>
    </xf>
    <xf numFmtId="0" fontId="30" fillId="0" borderId="9" xfId="0" applyFont="1" applyBorder="1" applyAlignment="1">
      <alignment horizontal="center" vertical="center"/>
    </xf>
    <xf numFmtId="3" fontId="30" fillId="0" borderId="22" xfId="0" applyNumberFormat="1" applyFont="1" applyBorder="1" applyAlignment="1">
      <alignment horizontal="center" vertical="center" wrapText="1"/>
    </xf>
    <xf numFmtId="9" fontId="30" fillId="0" borderId="98" xfId="1" applyFont="1" applyBorder="1" applyAlignment="1">
      <alignment horizontal="center" vertical="center"/>
    </xf>
    <xf numFmtId="9" fontId="30" fillId="0" borderId="0" xfId="1" applyFont="1" applyBorder="1" applyAlignment="1">
      <alignment horizontal="center" vertical="center"/>
    </xf>
    <xf numFmtId="0" fontId="38" fillId="0" borderId="33" xfId="0" applyFont="1" applyBorder="1" applyAlignment="1">
      <alignment horizontal="center" vertical="center"/>
    </xf>
    <xf numFmtId="3" fontId="34" fillId="0" borderId="0" xfId="0" applyNumberFormat="1" applyFont="1" applyAlignment="1">
      <alignment horizontal="center"/>
    </xf>
    <xf numFmtId="9" fontId="30" fillId="0" borderId="8" xfId="1" applyFont="1" applyBorder="1" applyAlignment="1">
      <alignment horizontal="center" vertical="center" wrapText="1"/>
    </xf>
    <xf numFmtId="167" fontId="34" fillId="0" borderId="0" xfId="0" applyNumberFormat="1" applyFont="1" applyAlignment="1">
      <alignment horizontal="center" vertical="center"/>
    </xf>
    <xf numFmtId="0" fontId="34" fillId="0" borderId="0" xfId="0" applyFont="1" applyFill="1" applyAlignment="1">
      <alignment horizontal="center" vertical="center"/>
    </xf>
    <xf numFmtId="0" fontId="102" fillId="0" borderId="0" xfId="0" applyFont="1" applyAlignment="1">
      <alignment horizontal="center" vertical="center"/>
    </xf>
    <xf numFmtId="3" fontId="34" fillId="0" borderId="0" xfId="0" applyNumberFormat="1" applyFont="1" applyAlignment="1">
      <alignment horizontal="center" vertical="center"/>
    </xf>
    <xf numFmtId="169" fontId="34" fillId="0" borderId="0" xfId="0" applyNumberFormat="1" applyFont="1" applyAlignment="1">
      <alignment horizontal="center" vertical="center"/>
    </xf>
    <xf numFmtId="1" fontId="30" fillId="0" borderId="0" xfId="0" applyNumberFormat="1" applyFont="1" applyBorder="1" applyAlignment="1">
      <alignment horizontal="center" vertical="center"/>
    </xf>
    <xf numFmtId="1" fontId="30" fillId="0" borderId="98" xfId="0" applyNumberFormat="1" applyFont="1" applyBorder="1" applyAlignment="1">
      <alignment horizontal="center" vertical="center"/>
    </xf>
    <xf numFmtId="167" fontId="30" fillId="0" borderId="0" xfId="0" applyNumberFormat="1" applyFont="1" applyBorder="1" applyAlignment="1">
      <alignment horizontal="center" vertical="center"/>
    </xf>
    <xf numFmtId="167" fontId="30" fillId="0" borderId="98" xfId="0" applyNumberFormat="1" applyFont="1" applyFill="1" applyBorder="1" applyAlignment="1">
      <alignment horizontal="center" vertical="center" wrapText="1"/>
    </xf>
    <xf numFmtId="1" fontId="30" fillId="0" borderId="123" xfId="0" applyNumberFormat="1" applyFont="1" applyBorder="1" applyAlignment="1">
      <alignment horizontal="center" vertical="center"/>
    </xf>
    <xf numFmtId="3" fontId="30" fillId="0" borderId="23" xfId="0" applyNumberFormat="1" applyFont="1" applyBorder="1" applyAlignment="1">
      <alignment horizontal="center" vertical="center" wrapText="1"/>
    </xf>
    <xf numFmtId="1" fontId="30" fillId="0" borderId="10" xfId="0" applyNumberFormat="1" applyFont="1" applyBorder="1" applyAlignment="1">
      <alignment horizontal="center" vertical="center" wrapText="1"/>
    </xf>
    <xf numFmtId="9" fontId="30" fillId="0" borderId="18" xfId="1" applyFont="1" applyBorder="1" applyAlignment="1">
      <alignment horizontal="center" vertical="center"/>
    </xf>
    <xf numFmtId="9" fontId="30" fillId="0" borderId="10" xfId="1" applyFont="1" applyBorder="1" applyAlignment="1">
      <alignment horizontal="center" vertical="center"/>
    </xf>
    <xf numFmtId="9" fontId="43" fillId="0" borderId="10" xfId="1" applyFont="1" applyBorder="1" applyAlignment="1">
      <alignment horizontal="center" vertical="center"/>
    </xf>
    <xf numFmtId="9" fontId="30" fillId="0" borderId="30" xfId="1" applyFont="1" applyBorder="1" applyAlignment="1">
      <alignment horizontal="center" vertical="center"/>
    </xf>
    <xf numFmtId="9" fontId="30" fillId="0" borderId="24" xfId="1" applyFont="1" applyBorder="1" applyAlignment="1">
      <alignment horizontal="center" vertical="center"/>
    </xf>
    <xf numFmtId="9" fontId="30" fillId="0" borderId="32" xfId="1" applyFont="1" applyBorder="1" applyAlignment="1">
      <alignment horizontal="center" vertical="center" wrapText="1"/>
    </xf>
    <xf numFmtId="9" fontId="30" fillId="0" borderId="13" xfId="1" applyFont="1" applyBorder="1" applyAlignment="1">
      <alignment horizontal="center" vertical="center"/>
    </xf>
    <xf numFmtId="9" fontId="30" fillId="0" borderId="10" xfId="1" applyFont="1" applyBorder="1" applyAlignment="1">
      <alignment horizontal="center" vertical="center" wrapText="1"/>
    </xf>
    <xf numFmtId="9" fontId="43" fillId="0" borderId="18" xfId="1" applyFont="1" applyBorder="1" applyAlignment="1">
      <alignment horizontal="center" vertical="center" wrapText="1"/>
    </xf>
    <xf numFmtId="0" fontId="30" fillId="0" borderId="9" xfId="0" applyFont="1" applyBorder="1" applyAlignment="1">
      <alignment horizontal="center" vertical="center" wrapText="1"/>
    </xf>
    <xf numFmtId="3" fontId="30" fillId="0" borderId="18" xfId="0" applyNumberFormat="1" applyFont="1" applyBorder="1" applyAlignment="1">
      <alignment horizontal="center" vertical="center"/>
    </xf>
    <xf numFmtId="3" fontId="30" fillId="0" borderId="10" xfId="0" applyNumberFormat="1" applyFont="1" applyBorder="1" applyAlignment="1">
      <alignment horizontal="center" vertical="center"/>
    </xf>
    <xf numFmtId="1" fontId="30" fillId="0" borderId="11" xfId="0" applyNumberFormat="1" applyFont="1" applyBorder="1" applyAlignment="1">
      <alignment horizontal="center" vertical="center"/>
    </xf>
    <xf numFmtId="1" fontId="30" fillId="0" borderId="24" xfId="0" applyNumberFormat="1" applyFont="1" applyBorder="1" applyAlignment="1">
      <alignment horizontal="center" vertical="center" wrapText="1"/>
    </xf>
    <xf numFmtId="1" fontId="30" fillId="0" borderId="22" xfId="0" applyNumberFormat="1" applyFont="1" applyBorder="1" applyAlignment="1">
      <alignment horizontal="center" vertical="center" wrapText="1"/>
    </xf>
    <xf numFmtId="1" fontId="30" fillId="0" borderId="0" xfId="0" applyNumberFormat="1" applyFont="1" applyBorder="1" applyAlignment="1">
      <alignment horizontal="center" vertical="center" wrapText="1"/>
    </xf>
    <xf numFmtId="3" fontId="30" fillId="0" borderId="24" xfId="0" applyNumberFormat="1" applyFont="1" applyBorder="1" applyAlignment="1">
      <alignment horizontal="center" vertical="center"/>
    </xf>
    <xf numFmtId="3" fontId="30" fillId="0" borderId="98" xfId="0" applyNumberFormat="1" applyFont="1" applyBorder="1" applyAlignment="1">
      <alignment horizontal="center" vertical="center" wrapText="1"/>
    </xf>
    <xf numFmtId="3" fontId="30" fillId="0" borderId="124" xfId="0" applyNumberFormat="1" applyFont="1" applyBorder="1" applyAlignment="1">
      <alignment horizontal="center" vertical="center" wrapText="1"/>
    </xf>
    <xf numFmtId="3" fontId="43" fillId="0" borderId="128" xfId="0" applyNumberFormat="1" applyFont="1" applyBorder="1" applyAlignment="1">
      <alignment horizontal="center" vertical="center"/>
    </xf>
    <xf numFmtId="3" fontId="34" fillId="0" borderId="0" xfId="0" applyNumberFormat="1" applyFont="1" applyFill="1" applyAlignment="1">
      <alignment horizontal="center"/>
    </xf>
    <xf numFmtId="171" fontId="30" fillId="0" borderId="10" xfId="1" applyNumberFormat="1" applyFont="1" applyFill="1" applyBorder="1" applyAlignment="1">
      <alignment horizontal="center" vertical="center"/>
    </xf>
    <xf numFmtId="3" fontId="30" fillId="0" borderId="98" xfId="0" applyNumberFormat="1" applyFont="1" applyBorder="1" applyAlignment="1">
      <alignment horizontal="center" vertical="center"/>
    </xf>
    <xf numFmtId="167" fontId="30" fillId="0" borderId="98" xfId="0" applyNumberFormat="1" applyFont="1" applyBorder="1" applyAlignment="1">
      <alignment horizontal="center" vertical="center"/>
    </xf>
    <xf numFmtId="3" fontId="30" fillId="0" borderId="22" xfId="0" applyNumberFormat="1" applyFont="1" applyBorder="1" applyAlignment="1">
      <alignment horizontal="center" vertical="center"/>
    </xf>
    <xf numFmtId="3" fontId="30" fillId="0" borderId="128" xfId="0" applyNumberFormat="1" applyFont="1" applyBorder="1" applyAlignment="1">
      <alignment horizontal="center" vertical="center" wrapText="1"/>
    </xf>
    <xf numFmtId="9" fontId="30" fillId="0" borderId="38" xfId="1" applyFont="1" applyBorder="1" applyAlignment="1">
      <alignment horizontal="center" vertical="center"/>
    </xf>
    <xf numFmtId="9" fontId="30" fillId="0" borderId="0" xfId="1" applyNumberFormat="1" applyFont="1" applyBorder="1" applyAlignment="1">
      <alignment horizontal="center" vertical="center"/>
    </xf>
    <xf numFmtId="0" fontId="30" fillId="0" borderId="98" xfId="0" applyFont="1" applyBorder="1" applyAlignment="1">
      <alignment horizontal="center" vertical="center"/>
    </xf>
    <xf numFmtId="9" fontId="30" fillId="0" borderId="38" xfId="1" applyFont="1" applyBorder="1" applyAlignment="1">
      <alignment horizontal="center"/>
    </xf>
    <xf numFmtId="9" fontId="30" fillId="0" borderId="38" xfId="1" applyFont="1" applyFill="1" applyBorder="1" applyAlignment="1">
      <alignment horizontal="center"/>
    </xf>
    <xf numFmtId="1" fontId="34" fillId="0" borderId="0" xfId="0" applyNumberFormat="1" applyFont="1"/>
    <xf numFmtId="0" fontId="93" fillId="0" borderId="0" xfId="0" applyFont="1"/>
    <xf numFmtId="3" fontId="30" fillId="0" borderId="13" xfId="0" applyNumberFormat="1" applyFont="1" applyBorder="1" applyAlignment="1">
      <alignment vertical="center"/>
    </xf>
    <xf numFmtId="9" fontId="30" fillId="0" borderId="127" xfId="1" applyFont="1" applyBorder="1" applyAlignment="1">
      <alignment horizontal="center" vertical="center"/>
    </xf>
    <xf numFmtId="0" fontId="34" fillId="0" borderId="0" xfId="0" applyFont="1" applyAlignment="1">
      <alignment horizontal="center" vertical="center" wrapText="1"/>
    </xf>
    <xf numFmtId="9" fontId="34" fillId="0" borderId="0" xfId="1" applyFont="1" applyAlignment="1">
      <alignment horizontal="center"/>
    </xf>
    <xf numFmtId="9" fontId="34" fillId="0" borderId="0" xfId="0" applyNumberFormat="1" applyFont="1" applyAlignment="1">
      <alignment horizontal="center"/>
    </xf>
    <xf numFmtId="171" fontId="34" fillId="0" borderId="0" xfId="0" applyNumberFormat="1" applyFont="1" applyAlignment="1">
      <alignment horizontal="center"/>
    </xf>
    <xf numFmtId="0" fontId="30" fillId="0" borderId="98" xfId="0" applyFont="1" applyBorder="1" applyAlignment="1">
      <alignment horizontal="center"/>
    </xf>
    <xf numFmtId="0" fontId="30" fillId="0" borderId="2" xfId="0" applyFont="1" applyBorder="1" applyAlignment="1">
      <alignment horizontal="center" vertical="center" wrapText="1"/>
    </xf>
    <xf numFmtId="0" fontId="30" fillId="0" borderId="99" xfId="0" applyFont="1" applyBorder="1" applyAlignment="1">
      <alignment horizontal="center" vertical="center" wrapText="1"/>
    </xf>
    <xf numFmtId="3" fontId="43" fillId="0" borderId="98" xfId="0" applyNumberFormat="1" applyFont="1" applyBorder="1" applyAlignment="1">
      <alignment horizontal="center"/>
    </xf>
    <xf numFmtId="3" fontId="43" fillId="0" borderId="18" xfId="0" applyNumberFormat="1" applyFont="1" applyBorder="1" applyAlignment="1">
      <alignment horizontal="center"/>
    </xf>
    <xf numFmtId="3" fontId="30" fillId="0" borderId="18" xfId="0" applyNumberFormat="1" applyFont="1" applyBorder="1" applyAlignment="1">
      <alignment horizontal="center" vertical="center" wrapText="1"/>
    </xf>
    <xf numFmtId="0" fontId="23" fillId="0" borderId="0" xfId="605"/>
    <xf numFmtId="1" fontId="26" fillId="0" borderId="0" xfId="0" applyNumberFormat="1" applyFont="1"/>
    <xf numFmtId="0" fontId="103" fillId="39" borderId="129" xfId="0" applyFont="1" applyFill="1" applyBorder="1" applyAlignment="1" applyProtection="1">
      <alignment horizontal="left" vertical="center" wrapText="1"/>
      <protection locked="0"/>
    </xf>
    <xf numFmtId="0" fontId="30" fillId="0" borderId="130" xfId="0" applyFont="1" applyBorder="1" applyAlignment="1">
      <alignment horizontal="center" vertical="center"/>
    </xf>
    <xf numFmtId="0" fontId="23" fillId="0" borderId="0" xfId="612"/>
    <xf numFmtId="3" fontId="30" fillId="0" borderId="3" xfId="0" applyNumberFormat="1" applyFont="1" applyBorder="1" applyAlignment="1">
      <alignment horizontal="center" vertical="center"/>
    </xf>
    <xf numFmtId="0" fontId="60" fillId="0" borderId="7" xfId="592" applyFont="1" applyBorder="1" applyAlignment="1">
      <alignment horizontal="center"/>
    </xf>
    <xf numFmtId="0" fontId="60" fillId="0" borderId="8" xfId="592" applyFont="1" applyBorder="1" applyAlignment="1">
      <alignment horizontal="center"/>
    </xf>
    <xf numFmtId="0" fontId="61" fillId="0" borderId="7" xfId="592" applyFont="1" applyBorder="1"/>
    <xf numFmtId="0" fontId="61" fillId="0" borderId="7" xfId="592" applyFont="1" applyBorder="1" applyAlignment="1">
      <alignment horizontal="center" vertical="center" wrapText="1"/>
    </xf>
    <xf numFmtId="0" fontId="100" fillId="0" borderId="24" xfId="592" applyFont="1" applyBorder="1" applyAlignment="1">
      <alignment horizontal="center" vertical="center" wrapText="1"/>
    </xf>
    <xf numFmtId="0" fontId="27" fillId="0" borderId="5" xfId="592" applyFont="1" applyBorder="1"/>
    <xf numFmtId="0" fontId="43" fillId="0" borderId="137" xfId="592" applyFont="1" applyBorder="1" applyAlignment="1">
      <alignment horizontal="center" vertical="center" wrapText="1"/>
    </xf>
    <xf numFmtId="0" fontId="43" fillId="0" borderId="7" xfId="592" applyFont="1" applyBorder="1" applyAlignment="1">
      <alignment vertical="center" wrapText="1"/>
    </xf>
    <xf numFmtId="0" fontId="43" fillId="0" borderId="9" xfId="592" applyFont="1" applyBorder="1" applyAlignment="1">
      <alignment horizontal="center" vertical="center"/>
    </xf>
    <xf numFmtId="3" fontId="43" fillId="0" borderId="18" xfId="592" applyNumberFormat="1" applyFont="1" applyBorder="1" applyAlignment="1">
      <alignment horizontal="center" vertical="center"/>
    </xf>
    <xf numFmtId="3" fontId="43" fillId="0" borderId="10" xfId="592" applyNumberFormat="1" applyFont="1" applyBorder="1" applyAlignment="1">
      <alignment horizontal="center" vertical="center"/>
    </xf>
    <xf numFmtId="3" fontId="43" fillId="0" borderId="11" xfId="592" applyNumberFormat="1" applyFont="1" applyBorder="1" applyAlignment="1">
      <alignment horizontal="center" vertical="center"/>
    </xf>
    <xf numFmtId="3" fontId="43" fillId="0" borderId="98" xfId="592" applyNumberFormat="1" applyFont="1" applyBorder="1" applyAlignment="1">
      <alignment horizontal="center" vertical="center"/>
    </xf>
    <xf numFmtId="3" fontId="43" fillId="0" borderId="0" xfId="592" applyNumberFormat="1" applyFont="1" applyBorder="1" applyAlignment="1">
      <alignment horizontal="center" vertical="center"/>
    </xf>
    <xf numFmtId="3" fontId="43" fillId="0" borderId="1" xfId="592" applyNumberFormat="1" applyFont="1" applyBorder="1" applyAlignment="1">
      <alignment horizontal="center" vertical="center"/>
    </xf>
    <xf numFmtId="0" fontId="63" fillId="0" borderId="7" xfId="348" applyFont="1" applyBorder="1" applyAlignment="1">
      <alignment horizontal="center" vertical="center"/>
    </xf>
    <xf numFmtId="0" fontId="63" fillId="0" borderId="0" xfId="348" applyFont="1" applyBorder="1" applyAlignment="1">
      <alignment horizontal="center" vertical="center"/>
    </xf>
    <xf numFmtId="0" fontId="63" fillId="0" borderId="8" xfId="348" applyFont="1" applyBorder="1" applyAlignment="1">
      <alignment horizontal="center" vertical="center"/>
    </xf>
    <xf numFmtId="0" fontId="27" fillId="0" borderId="30" xfId="341" applyFont="1" applyBorder="1"/>
    <xf numFmtId="0" fontId="50" fillId="0" borderId="98" xfId="341" applyFont="1" applyBorder="1" applyAlignment="1">
      <alignment horizontal="center" vertical="center"/>
    </xf>
    <xf numFmtId="0" fontId="45" fillId="0" borderId="98" xfId="341" applyFont="1" applyBorder="1" applyAlignment="1">
      <alignment horizontal="center" vertical="center"/>
    </xf>
    <xf numFmtId="0" fontId="45" fillId="0" borderId="58" xfId="341" applyFont="1" applyBorder="1" applyAlignment="1">
      <alignment horizontal="center" vertical="center"/>
    </xf>
    <xf numFmtId="0" fontId="45" fillId="0" borderId="98" xfId="341" applyFont="1" applyFill="1" applyBorder="1" applyAlignment="1">
      <alignment horizontal="center" vertical="center"/>
    </xf>
    <xf numFmtId="0" fontId="45" fillId="0" borderId="139" xfId="341" applyFont="1" applyBorder="1" applyAlignment="1">
      <alignment horizontal="center" vertical="center"/>
    </xf>
    <xf numFmtId="0" fontId="46" fillId="0" borderId="33" xfId="341" applyFont="1" applyBorder="1" applyAlignment="1">
      <alignment horizontal="center" vertical="center"/>
    </xf>
    <xf numFmtId="0" fontId="45" fillId="0" borderId="30" xfId="341" applyFont="1" applyBorder="1" applyAlignment="1">
      <alignment horizontal="center" vertical="center"/>
    </xf>
    <xf numFmtId="3" fontId="48" fillId="0" borderId="30" xfId="341" applyNumberFormat="1" applyFont="1" applyBorder="1" applyAlignment="1">
      <alignment horizontal="center" vertical="center"/>
    </xf>
    <xf numFmtId="3" fontId="46" fillId="0" borderId="3" xfId="341" applyNumberFormat="1" applyFont="1" applyFill="1" applyBorder="1" applyAlignment="1">
      <alignment horizontal="center" vertical="center"/>
    </xf>
    <xf numFmtId="3" fontId="45" fillId="0" borderId="140" xfId="341" applyNumberFormat="1" applyFont="1" applyFill="1" applyBorder="1" applyAlignment="1">
      <alignment horizontal="center" vertical="center"/>
    </xf>
    <xf numFmtId="3" fontId="45" fillId="0" borderId="141" xfId="341" applyNumberFormat="1" applyFont="1" applyFill="1" applyBorder="1" applyAlignment="1">
      <alignment horizontal="center" vertical="center"/>
    </xf>
    <xf numFmtId="3" fontId="47" fillId="0" borderId="34" xfId="341" applyNumberFormat="1" applyFont="1" applyFill="1" applyBorder="1" applyAlignment="1">
      <alignment horizontal="center" vertical="center"/>
    </xf>
    <xf numFmtId="3" fontId="45" fillId="0" borderId="32" xfId="341" applyNumberFormat="1" applyFont="1" applyFill="1" applyBorder="1" applyAlignment="1">
      <alignment horizontal="center" vertical="center"/>
    </xf>
    <xf numFmtId="3" fontId="43" fillId="0" borderId="135" xfId="592" applyNumberFormat="1" applyFont="1" applyBorder="1" applyAlignment="1">
      <alignment horizontal="center" vertical="center"/>
    </xf>
    <xf numFmtId="3" fontId="43" fillId="0" borderId="136" xfId="592" applyNumberFormat="1" applyFont="1" applyBorder="1" applyAlignment="1">
      <alignment horizontal="center" vertical="center"/>
    </xf>
    <xf numFmtId="3" fontId="43" fillId="0" borderId="30" xfId="592" applyNumberFormat="1" applyFont="1" applyBorder="1" applyAlignment="1">
      <alignment horizontal="center" vertical="center" wrapText="1"/>
    </xf>
    <xf numFmtId="3" fontId="43" fillId="0" borderId="24" xfId="592" applyNumberFormat="1" applyFont="1" applyBorder="1" applyAlignment="1">
      <alignment horizontal="center" vertical="center" wrapText="1"/>
    </xf>
    <xf numFmtId="3" fontId="43" fillId="0" borderId="3" xfId="592" applyNumberFormat="1" applyFont="1" applyBorder="1" applyAlignment="1">
      <alignment horizontal="center" vertical="center" wrapText="1"/>
    </xf>
    <xf numFmtId="3" fontId="43" fillId="0" borderId="134" xfId="592" applyNumberFormat="1" applyFont="1" applyBorder="1" applyAlignment="1">
      <alignment horizontal="center" vertical="center" wrapText="1"/>
    </xf>
    <xf numFmtId="0" fontId="99" fillId="0" borderId="142" xfId="592" applyFont="1" applyBorder="1" applyAlignment="1">
      <alignment horizontal="center" vertical="center" wrapText="1"/>
    </xf>
    <xf numFmtId="0" fontId="43" fillId="0" borderId="7" xfId="592" applyFont="1" applyBorder="1" applyAlignment="1">
      <alignment horizontal="center" vertical="center"/>
    </xf>
    <xf numFmtId="0" fontId="27" fillId="0" borderId="0" xfId="592" applyAlignment="1">
      <alignment vertical="center"/>
    </xf>
    <xf numFmtId="0" fontId="63" fillId="0" borderId="0" xfId="592" applyFont="1" applyBorder="1" applyAlignment="1">
      <alignment horizontal="center"/>
    </xf>
    <xf numFmtId="0" fontId="27" fillId="0" borderId="7" xfId="592" applyBorder="1" applyAlignment="1">
      <alignment vertical="center"/>
    </xf>
    <xf numFmtId="0" fontId="27" fillId="0" borderId="0" xfId="592" applyBorder="1"/>
    <xf numFmtId="0" fontId="27" fillId="0" borderId="8" xfId="341" applyFont="1" applyBorder="1" applyAlignment="1">
      <alignment horizontal="center"/>
    </xf>
    <xf numFmtId="0" fontId="43" fillId="0" borderId="38" xfId="592" applyFont="1" applyBorder="1" applyAlignment="1">
      <alignment horizontal="center" vertical="center" wrapText="1"/>
    </xf>
    <xf numFmtId="169" fontId="43" fillId="0" borderId="37" xfId="592" applyNumberFormat="1" applyFont="1" applyBorder="1" applyAlignment="1">
      <alignment horizontal="center" vertical="center"/>
    </xf>
    <xf numFmtId="169" fontId="43" fillId="0" borderId="38" xfId="592" applyNumberFormat="1" applyFont="1" applyBorder="1" applyAlignment="1">
      <alignment horizontal="center" vertical="center"/>
    </xf>
    <xf numFmtId="4" fontId="43" fillId="0" borderId="38" xfId="592" applyNumberFormat="1" applyFont="1" applyBorder="1" applyAlignment="1">
      <alignment horizontal="center" vertical="center"/>
    </xf>
    <xf numFmtId="0" fontId="43" fillId="0" borderId="135" xfId="592" applyFont="1" applyBorder="1" applyAlignment="1">
      <alignment horizontal="center" vertical="center" wrapText="1"/>
    </xf>
    <xf numFmtId="169" fontId="43" fillId="0" borderId="134" xfId="592" applyNumberFormat="1" applyFont="1" applyBorder="1" applyAlignment="1">
      <alignment horizontal="center" vertical="center"/>
    </xf>
    <xf numFmtId="169" fontId="43" fillId="0" borderId="135" xfId="592" applyNumberFormat="1" applyFont="1" applyBorder="1" applyAlignment="1">
      <alignment horizontal="center" vertical="center"/>
    </xf>
    <xf numFmtId="0" fontId="43" fillId="0" borderId="38" xfId="592" applyFont="1" applyBorder="1" applyAlignment="1">
      <alignment horizontal="center" vertical="center"/>
    </xf>
    <xf numFmtId="169" fontId="43" fillId="0" borderId="144" xfId="592" applyNumberFormat="1" applyFont="1" applyBorder="1" applyAlignment="1">
      <alignment horizontal="center" vertical="center"/>
    </xf>
    <xf numFmtId="169" fontId="43" fillId="0" borderId="145" xfId="592" applyNumberFormat="1" applyFont="1" applyBorder="1" applyAlignment="1">
      <alignment horizontal="center" vertical="center"/>
    </xf>
    <xf numFmtId="169" fontId="43" fillId="0" borderId="122" xfId="592" applyNumberFormat="1" applyFont="1" applyBorder="1" applyAlignment="1">
      <alignment vertical="center"/>
    </xf>
    <xf numFmtId="169" fontId="43" fillId="0" borderId="121" xfId="592" applyNumberFormat="1" applyFont="1" applyBorder="1" applyAlignment="1">
      <alignment horizontal="center" vertical="center"/>
    </xf>
    <xf numFmtId="169" fontId="43" fillId="0" borderId="124" xfId="592" applyNumberFormat="1" applyFont="1" applyBorder="1" applyAlignment="1">
      <alignment horizontal="center" vertical="center"/>
    </xf>
    <xf numFmtId="169" fontId="43" fillId="0" borderId="123" xfId="592" applyNumberFormat="1" applyFont="1" applyBorder="1" applyAlignment="1">
      <alignment horizontal="left" vertical="center"/>
    </xf>
    <xf numFmtId="169" fontId="27" fillId="0" borderId="0" xfId="592" applyNumberFormat="1"/>
    <xf numFmtId="1" fontId="30" fillId="0" borderId="124" xfId="0" applyNumberFormat="1" applyFont="1" applyBorder="1" applyAlignment="1">
      <alignment horizontal="center" vertical="center" wrapText="1"/>
    </xf>
    <xf numFmtId="3" fontId="30" fillId="0" borderId="0" xfId="0" applyNumberFormat="1" applyFont="1"/>
    <xf numFmtId="0" fontId="27" fillId="0" borderId="7" xfId="592" applyFont="1" applyBorder="1"/>
    <xf numFmtId="0" fontId="27" fillId="0" borderId="7" xfId="592" applyFont="1" applyBorder="1" applyAlignment="1">
      <alignment horizontal="center" vertical="center" wrapText="1"/>
    </xf>
    <xf numFmtId="0" fontId="100" fillId="0" borderId="62" xfId="341" applyFont="1" applyBorder="1" applyAlignment="1">
      <alignment horizontal="center" vertical="center" wrapText="1"/>
    </xf>
    <xf numFmtId="0" fontId="100" fillId="0" borderId="63" xfId="341" applyFont="1" applyBorder="1" applyAlignment="1">
      <alignment horizontal="center" vertical="center" wrapText="1"/>
    </xf>
    <xf numFmtId="169" fontId="104" fillId="0" borderId="0" xfId="592" applyNumberFormat="1" applyFont="1" applyBorder="1" applyAlignment="1">
      <alignment horizontal="center"/>
    </xf>
    <xf numFmtId="169" fontId="104" fillId="0" borderId="1" xfId="139" applyNumberFormat="1" applyFont="1" applyBorder="1" applyAlignment="1">
      <alignment horizontal="center"/>
    </xf>
    <xf numFmtId="169" fontId="104" fillId="0" borderId="45" xfId="139" applyNumberFormat="1" applyFont="1" applyBorder="1" applyAlignment="1">
      <alignment horizontal="center"/>
    </xf>
    <xf numFmtId="169" fontId="104" fillId="0" borderId="52" xfId="592" applyNumberFormat="1" applyFont="1" applyBorder="1" applyAlignment="1">
      <alignment horizontal="center"/>
    </xf>
    <xf numFmtId="169" fontId="104" fillId="0" borderId="2" xfId="592" applyNumberFormat="1" applyFont="1" applyBorder="1" applyAlignment="1">
      <alignment horizontal="center"/>
    </xf>
    <xf numFmtId="169" fontId="104" fillId="0" borderId="8" xfId="139" applyNumberFormat="1" applyFont="1" applyBorder="1" applyAlignment="1">
      <alignment horizontal="center"/>
    </xf>
    <xf numFmtId="169" fontId="104" fillId="0" borderId="8" xfId="592" applyNumberFormat="1" applyFont="1" applyBorder="1" applyAlignment="1">
      <alignment horizontal="center"/>
    </xf>
    <xf numFmtId="169" fontId="106" fillId="0" borderId="98" xfId="139" applyNumberFormat="1" applyFont="1" applyBorder="1" applyAlignment="1">
      <alignment horizontal="center"/>
    </xf>
    <xf numFmtId="169" fontId="106" fillId="0" borderId="0" xfId="592" applyNumberFormat="1" applyFont="1" applyBorder="1" applyAlignment="1">
      <alignment horizontal="center"/>
    </xf>
    <xf numFmtId="169" fontId="30" fillId="0" borderId="98" xfId="0" applyNumberFormat="1" applyFont="1" applyBorder="1" applyAlignment="1">
      <alignment horizontal="center" vertical="center" wrapText="1"/>
    </xf>
    <xf numFmtId="169" fontId="30" fillId="0" borderId="98" xfId="0" applyNumberFormat="1" applyFont="1" applyBorder="1" applyAlignment="1">
      <alignment horizontal="center"/>
    </xf>
    <xf numFmtId="169" fontId="30" fillId="0" borderId="1" xfId="0" applyNumberFormat="1" applyFont="1" applyBorder="1" applyAlignment="1">
      <alignment horizontal="center" vertical="center" wrapText="1"/>
    </xf>
    <xf numFmtId="169" fontId="43" fillId="0" borderId="98" xfId="0" applyNumberFormat="1" applyFont="1" applyBorder="1" applyAlignment="1">
      <alignment horizontal="center" vertical="center" wrapText="1"/>
    </xf>
    <xf numFmtId="169" fontId="43" fillId="0" borderId="98" xfId="0" applyNumberFormat="1" applyFont="1" applyBorder="1" applyAlignment="1">
      <alignment horizontal="center"/>
    </xf>
    <xf numFmtId="0" fontId="30" fillId="0" borderId="0" xfId="0" applyFont="1" applyBorder="1" applyAlignment="1">
      <alignment horizontal="center" vertical="center"/>
    </xf>
    <xf numFmtId="169" fontId="30" fillId="0" borderId="0" xfId="0" applyNumberFormat="1" applyFont="1" applyBorder="1" applyAlignment="1">
      <alignment horizontal="center" vertical="center"/>
    </xf>
    <xf numFmtId="169" fontId="43" fillId="0" borderId="0" xfId="0" applyNumberFormat="1" applyFont="1" applyFill="1" applyBorder="1" applyAlignment="1">
      <alignment horizontal="center" vertical="center" wrapText="1"/>
    </xf>
    <xf numFmtId="0" fontId="62" fillId="0" borderId="72" xfId="3" applyFont="1" applyBorder="1" applyAlignment="1">
      <alignment horizontal="center" vertical="center" wrapText="1"/>
    </xf>
    <xf numFmtId="167" fontId="30" fillId="0" borderId="18" xfId="0" applyNumberFormat="1" applyFont="1" applyBorder="1" applyAlignment="1">
      <alignment horizontal="center" vertical="center" wrapText="1"/>
    </xf>
    <xf numFmtId="0" fontId="34" fillId="0" borderId="40" xfId="0" applyFont="1" applyBorder="1" applyAlignment="1">
      <alignment horizontal="center"/>
    </xf>
    <xf numFmtId="3" fontId="48" fillId="0" borderId="98" xfId="341" applyNumberFormat="1" applyFont="1" applyBorder="1" applyAlignment="1">
      <alignment horizontal="center" vertical="center"/>
    </xf>
    <xf numFmtId="3" fontId="48" fillId="0" borderId="98" xfId="341" applyNumberFormat="1" applyFont="1" applyFill="1" applyBorder="1" applyAlignment="1">
      <alignment horizontal="center" vertical="center"/>
    </xf>
    <xf numFmtId="0" fontId="27" fillId="0" borderId="146" xfId="341" applyFont="1" applyBorder="1"/>
    <xf numFmtId="171" fontId="30" fillId="0" borderId="0" xfId="1" applyNumberFormat="1" applyFont="1" applyFill="1" applyBorder="1" applyAlignment="1">
      <alignment horizontal="center"/>
    </xf>
    <xf numFmtId="171" fontId="30" fillId="0" borderId="24" xfId="1" applyNumberFormat="1" applyFont="1" applyFill="1" applyBorder="1" applyAlignment="1">
      <alignment horizontal="center" vertical="center"/>
    </xf>
    <xf numFmtId="9" fontId="30" fillId="0" borderId="131" xfId="1" applyFont="1" applyBorder="1" applyAlignment="1">
      <alignment horizontal="center" vertical="center" wrapText="1"/>
    </xf>
    <xf numFmtId="1" fontId="30" fillId="0" borderId="22" xfId="1" applyNumberFormat="1" applyFont="1" applyBorder="1" applyAlignment="1">
      <alignment horizontal="center" vertical="center" wrapText="1"/>
    </xf>
    <xf numFmtId="9" fontId="30" fillId="0" borderId="34" xfId="1" applyFont="1" applyBorder="1" applyAlignment="1">
      <alignment horizontal="center" vertical="center" wrapText="1"/>
    </xf>
    <xf numFmtId="9" fontId="30" fillId="0" borderId="2" xfId="1" applyFont="1" applyBorder="1" applyAlignment="1">
      <alignment horizontal="center" vertical="center"/>
    </xf>
    <xf numFmtId="9" fontId="30" fillId="0" borderId="133" xfId="1" applyFont="1" applyBorder="1" applyAlignment="1">
      <alignment horizontal="center" vertical="center" wrapText="1"/>
    </xf>
    <xf numFmtId="167" fontId="30" fillId="0" borderId="34" xfId="1" applyNumberFormat="1" applyFont="1" applyBorder="1" applyAlignment="1">
      <alignment horizontal="center" vertical="center" wrapText="1"/>
    </xf>
    <xf numFmtId="1" fontId="30" fillId="0" borderId="34" xfId="1" applyNumberFormat="1" applyFont="1" applyBorder="1" applyAlignment="1">
      <alignment horizontal="center" vertical="center" wrapText="1"/>
    </xf>
    <xf numFmtId="167" fontId="30" fillId="0" borderId="31" xfId="1" applyNumberFormat="1" applyFont="1" applyBorder="1" applyAlignment="1">
      <alignment horizontal="center" vertical="center" wrapText="1"/>
    </xf>
    <xf numFmtId="1" fontId="30" fillId="0" borderId="2" xfId="1" applyNumberFormat="1" applyFont="1" applyBorder="1" applyAlignment="1">
      <alignment horizontal="center" vertical="center"/>
    </xf>
    <xf numFmtId="0" fontId="70" fillId="0" borderId="0" xfId="0" applyFont="1" applyBorder="1"/>
    <xf numFmtId="0" fontId="108" fillId="0" borderId="0" xfId="930" applyFont="1"/>
    <xf numFmtId="9" fontId="30" fillId="0" borderId="31" xfId="1" applyFont="1" applyFill="1" applyBorder="1" applyAlignment="1">
      <alignment horizontal="center" vertical="center"/>
    </xf>
    <xf numFmtId="9" fontId="30" fillId="0" borderId="19" xfId="1" applyFont="1" applyFill="1" applyBorder="1" applyAlignment="1">
      <alignment horizontal="center" vertical="center"/>
    </xf>
    <xf numFmtId="0" fontId="34" fillId="0" borderId="131" xfId="0" applyFont="1" applyBorder="1" applyAlignment="1">
      <alignment horizontal="center" vertical="center"/>
    </xf>
    <xf numFmtId="0" fontId="34" fillId="0" borderId="8" xfId="0" applyFont="1" applyBorder="1" applyAlignment="1">
      <alignment horizontal="center" vertical="center"/>
    </xf>
    <xf numFmtId="3" fontId="43" fillId="0" borderId="123" xfId="0" applyNumberFormat="1" applyFont="1" applyFill="1" applyBorder="1" applyAlignment="1">
      <alignment horizontal="center" vertical="center" wrapText="1"/>
    </xf>
    <xf numFmtId="9" fontId="34" fillId="0" borderId="0" xfId="0" applyNumberFormat="1" applyFont="1" applyAlignment="1">
      <alignment horizontal="center" vertical="center" wrapText="1"/>
    </xf>
    <xf numFmtId="9" fontId="34" fillId="0" borderId="0" xfId="1" applyNumberFormat="1" applyFont="1" applyAlignment="1">
      <alignment horizontal="center" vertical="center" wrapText="1"/>
    </xf>
    <xf numFmtId="3" fontId="30" fillId="0" borderId="24" xfId="1" applyNumberFormat="1" applyFont="1" applyFill="1" applyBorder="1" applyAlignment="1">
      <alignment horizontal="center" vertical="center"/>
    </xf>
    <xf numFmtId="3" fontId="30" fillId="0" borderId="32" xfId="1" applyNumberFormat="1" applyFont="1" applyFill="1" applyBorder="1" applyAlignment="1">
      <alignment horizontal="center" vertical="center"/>
    </xf>
    <xf numFmtId="3" fontId="30" fillId="0" borderId="8" xfId="1" applyNumberFormat="1" applyFont="1" applyFill="1" applyBorder="1" applyAlignment="1">
      <alignment horizontal="center"/>
    </xf>
    <xf numFmtId="3" fontId="30" fillId="0" borderId="0" xfId="1" applyNumberFormat="1" applyFont="1" applyFill="1" applyBorder="1" applyAlignment="1">
      <alignment horizontal="center" vertical="center"/>
    </xf>
    <xf numFmtId="3" fontId="30" fillId="0" borderId="8" xfId="1" applyNumberFormat="1" applyFont="1" applyFill="1" applyBorder="1" applyAlignment="1">
      <alignment horizontal="center" vertical="center"/>
    </xf>
    <xf numFmtId="3" fontId="30" fillId="0" borderId="10" xfId="1" applyNumberFormat="1" applyFont="1" applyFill="1" applyBorder="1" applyAlignment="1">
      <alignment horizontal="center" vertical="center"/>
    </xf>
    <xf numFmtId="3" fontId="30" fillId="0" borderId="13" xfId="1" applyNumberFormat="1" applyFont="1" applyFill="1" applyBorder="1" applyAlignment="1">
      <alignment horizontal="center" vertical="center"/>
    </xf>
    <xf numFmtId="3" fontId="43" fillId="0" borderId="128" xfId="0" applyNumberFormat="1" applyFont="1" applyFill="1" applyBorder="1" applyAlignment="1">
      <alignment horizontal="center" vertical="center" wrapText="1"/>
    </xf>
    <xf numFmtId="0" fontId="108" fillId="0" borderId="0" xfId="930" applyFont="1" applyBorder="1"/>
    <xf numFmtId="169" fontId="104" fillId="0" borderId="0" xfId="139" applyNumberFormat="1" applyFont="1" applyBorder="1" applyAlignment="1">
      <alignment horizontal="center"/>
    </xf>
    <xf numFmtId="3" fontId="106" fillId="0" borderId="0" xfId="592" applyNumberFormat="1" applyFont="1" applyBorder="1" applyAlignment="1">
      <alignment horizontal="center"/>
    </xf>
    <xf numFmtId="9" fontId="104" fillId="0" borderId="0" xfId="1" applyFont="1" applyBorder="1" applyAlignment="1">
      <alignment horizontal="center"/>
    </xf>
    <xf numFmtId="0" fontId="108" fillId="0" borderId="8" xfId="930" applyFont="1" applyBorder="1"/>
    <xf numFmtId="9" fontId="106" fillId="0" borderId="98" xfId="1" applyFont="1" applyBorder="1" applyAlignment="1">
      <alignment horizontal="center"/>
    </xf>
    <xf numFmtId="169" fontId="106" fillId="0" borderId="98" xfId="592" applyNumberFormat="1" applyFont="1" applyBorder="1" applyAlignment="1">
      <alignment horizontal="center"/>
    </xf>
    <xf numFmtId="169" fontId="104" fillId="0" borderId="11" xfId="139" applyNumberFormat="1" applyFont="1" applyBorder="1" applyAlignment="1">
      <alignment horizontal="center"/>
    </xf>
    <xf numFmtId="169" fontId="106" fillId="0" borderId="120" xfId="139" applyNumberFormat="1" applyFont="1" applyBorder="1" applyAlignment="1">
      <alignment horizontal="center"/>
    </xf>
    <xf numFmtId="0" fontId="108" fillId="0" borderId="120" xfId="930" applyFont="1" applyBorder="1"/>
    <xf numFmtId="0" fontId="108" fillId="0" borderId="45" xfId="930" applyFont="1" applyBorder="1"/>
    <xf numFmtId="169" fontId="104" fillId="0" borderId="2" xfId="139" applyNumberFormat="1" applyFont="1" applyBorder="1" applyAlignment="1">
      <alignment horizontal="center"/>
    </xf>
    <xf numFmtId="0" fontId="108" fillId="0" borderId="24" xfId="930" applyFont="1" applyBorder="1"/>
    <xf numFmtId="169" fontId="104" fillId="0" borderId="26" xfId="592" applyNumberFormat="1" applyFont="1" applyBorder="1" applyAlignment="1">
      <alignment horizontal="center"/>
    </xf>
    <xf numFmtId="169" fontId="104" fillId="0" borderId="38" xfId="592" applyNumberFormat="1" applyFont="1" applyBorder="1" applyAlignment="1">
      <alignment horizontal="center"/>
    </xf>
    <xf numFmtId="3" fontId="43" fillId="0" borderId="10" xfId="0" applyNumberFormat="1" applyFont="1" applyFill="1" applyBorder="1" applyAlignment="1">
      <alignment horizontal="center" vertical="center" wrapText="1"/>
    </xf>
    <xf numFmtId="3" fontId="30" fillId="0" borderId="13" xfId="0" applyNumberFormat="1" applyFont="1" applyBorder="1" applyAlignment="1">
      <alignment horizontal="center" vertical="center"/>
    </xf>
    <xf numFmtId="169" fontId="106" fillId="0" borderId="100" xfId="139" applyNumberFormat="1" applyFont="1" applyBorder="1" applyAlignment="1">
      <alignment horizontal="center"/>
    </xf>
    <xf numFmtId="169" fontId="106" fillId="0" borderId="22" xfId="139" applyNumberFormat="1" applyFont="1" applyBorder="1" applyAlignment="1">
      <alignment horizontal="center"/>
    </xf>
    <xf numFmtId="169" fontId="104" fillId="0" borderId="24" xfId="139" applyNumberFormat="1" applyFont="1" applyBorder="1" applyAlignment="1">
      <alignment horizontal="center"/>
    </xf>
    <xf numFmtId="169" fontId="104" fillId="0" borderId="140" xfId="139" applyNumberFormat="1" applyFont="1" applyBorder="1" applyAlignment="1">
      <alignment horizontal="center"/>
    </xf>
    <xf numFmtId="169" fontId="104" fillId="0" borderId="34" xfId="139" applyNumberFormat="1" applyFont="1" applyBorder="1" applyAlignment="1">
      <alignment horizontal="center"/>
    </xf>
    <xf numFmtId="169" fontId="104" fillId="0" borderId="24" xfId="592" applyNumberFormat="1" applyFont="1" applyBorder="1" applyAlignment="1">
      <alignment horizontal="center"/>
    </xf>
    <xf numFmtId="169" fontId="104" fillId="0" borderId="25" xfId="592" applyNumberFormat="1" applyFont="1" applyBorder="1" applyAlignment="1">
      <alignment horizontal="center"/>
    </xf>
    <xf numFmtId="169" fontId="104" fillId="0" borderId="37" xfId="592" applyNumberFormat="1" applyFont="1" applyBorder="1" applyAlignment="1">
      <alignment horizontal="center"/>
    </xf>
    <xf numFmtId="3" fontId="106" fillId="0" borderId="24" xfId="592" applyNumberFormat="1" applyFont="1" applyBorder="1" applyAlignment="1">
      <alignment horizontal="center"/>
    </xf>
    <xf numFmtId="9" fontId="106" fillId="0" borderId="30" xfId="1" applyFont="1" applyBorder="1" applyAlignment="1">
      <alignment horizontal="center"/>
    </xf>
    <xf numFmtId="9" fontId="104" fillId="0" borderId="24" xfId="1" applyFont="1" applyBorder="1" applyAlignment="1">
      <alignment horizontal="center"/>
    </xf>
    <xf numFmtId="0" fontId="34" fillId="0" borderId="0" xfId="0" applyFont="1" applyFill="1" applyAlignment="1">
      <alignment horizontal="center"/>
    </xf>
    <xf numFmtId="167" fontId="34" fillId="0" borderId="0" xfId="0" applyNumberFormat="1" applyFont="1" applyAlignment="1">
      <alignment horizontal="center"/>
    </xf>
    <xf numFmtId="167" fontId="34" fillId="0" borderId="0" xfId="0" applyNumberFormat="1" applyFont="1" applyFill="1" applyAlignment="1">
      <alignment horizontal="center"/>
    </xf>
    <xf numFmtId="0" fontId="93" fillId="0" borderId="0" xfId="0" applyFont="1" applyAlignment="1">
      <alignment horizontal="center"/>
    </xf>
    <xf numFmtId="0" fontId="93" fillId="0" borderId="0" xfId="0" applyFont="1" applyFill="1" applyAlignment="1">
      <alignment horizontal="center"/>
    </xf>
    <xf numFmtId="169" fontId="106" fillId="0" borderId="152" xfId="139" applyNumberFormat="1" applyFont="1" applyFill="1" applyBorder="1" applyAlignment="1">
      <alignment horizontal="center"/>
    </xf>
    <xf numFmtId="169" fontId="106" fillId="0" borderId="23" xfId="139" applyNumberFormat="1" applyFont="1" applyFill="1" applyBorder="1" applyAlignment="1">
      <alignment horizontal="center"/>
    </xf>
    <xf numFmtId="169" fontId="104" fillId="0" borderId="10" xfId="139" applyNumberFormat="1" applyFont="1" applyFill="1" applyBorder="1" applyAlignment="1">
      <alignment horizontal="center"/>
    </xf>
    <xf numFmtId="169" fontId="104" fillId="0" borderId="64" xfId="139" applyNumberFormat="1" applyFont="1" applyFill="1" applyBorder="1" applyAlignment="1">
      <alignment horizontal="center"/>
    </xf>
    <xf numFmtId="169" fontId="104" fillId="0" borderId="12" xfId="139" applyNumberFormat="1" applyFont="1" applyFill="1" applyBorder="1" applyAlignment="1">
      <alignment horizontal="center"/>
    </xf>
    <xf numFmtId="169" fontId="104" fillId="0" borderId="10" xfId="592" applyNumberFormat="1" applyFont="1" applyBorder="1" applyAlignment="1">
      <alignment horizontal="center"/>
    </xf>
    <xf numFmtId="169" fontId="104" fillId="0" borderId="155" xfId="592" applyNumberFormat="1" applyFont="1" applyFill="1" applyBorder="1" applyAlignment="1">
      <alignment horizontal="center"/>
    </xf>
    <xf numFmtId="169" fontId="104" fillId="0" borderId="127" xfId="592" applyNumberFormat="1" applyFont="1" applyBorder="1" applyAlignment="1">
      <alignment horizontal="center"/>
    </xf>
    <xf numFmtId="3" fontId="106" fillId="0" borderId="10" xfId="592" applyNumberFormat="1" applyFont="1" applyFill="1" applyBorder="1" applyAlignment="1">
      <alignment horizontal="center"/>
    </xf>
    <xf numFmtId="9" fontId="106" fillId="0" borderId="18" xfId="1" applyFont="1" applyBorder="1" applyAlignment="1">
      <alignment horizontal="center"/>
    </xf>
    <xf numFmtId="9" fontId="104" fillId="0" borderId="10" xfId="1" applyFont="1" applyBorder="1" applyAlignment="1">
      <alignment horizontal="center"/>
    </xf>
    <xf numFmtId="0" fontId="109" fillId="0" borderId="0" xfId="930" applyFont="1"/>
    <xf numFmtId="3" fontId="30" fillId="0" borderId="123" xfId="0" applyNumberFormat="1" applyFont="1" applyBorder="1" applyAlignment="1">
      <alignment horizontal="center" vertical="center" wrapText="1"/>
    </xf>
    <xf numFmtId="9" fontId="30" fillId="0" borderId="99" xfId="1" applyNumberFormat="1" applyFont="1" applyBorder="1" applyAlignment="1">
      <alignment horizontal="center" vertical="center"/>
    </xf>
    <xf numFmtId="9" fontId="30" fillId="0" borderId="41" xfId="1" applyNumberFormat="1" applyFont="1" applyBorder="1" applyAlignment="1">
      <alignment horizontal="center" vertical="center"/>
    </xf>
    <xf numFmtId="0" fontId="108" fillId="0" borderId="6" xfId="930" applyFont="1" applyBorder="1"/>
    <xf numFmtId="0" fontId="34" fillId="0" borderId="8" xfId="930" applyFont="1" applyBorder="1" applyAlignment="1">
      <alignment horizontal="center"/>
    </xf>
    <xf numFmtId="169" fontId="104" fillId="0" borderId="3" xfId="139" applyNumberFormat="1" applyFont="1" applyBorder="1" applyAlignment="1">
      <alignment horizontal="center"/>
    </xf>
    <xf numFmtId="169" fontId="106" fillId="0" borderId="120" xfId="139" applyNumberFormat="1" applyFont="1" applyFill="1" applyBorder="1" applyAlignment="1">
      <alignment horizontal="center"/>
    </xf>
    <xf numFmtId="169" fontId="104" fillId="0" borderId="0" xfId="139" applyNumberFormat="1" applyFont="1" applyFill="1" applyBorder="1" applyAlignment="1">
      <alignment horizontal="center"/>
    </xf>
    <xf numFmtId="169" fontId="104" fillId="0" borderId="45" xfId="139" applyNumberFormat="1" applyFont="1" applyFill="1" applyBorder="1" applyAlignment="1">
      <alignment horizontal="center"/>
    </xf>
    <xf numFmtId="169" fontId="104" fillId="0" borderId="1" xfId="139" applyNumberFormat="1" applyFont="1" applyFill="1" applyBorder="1" applyAlignment="1">
      <alignment horizontal="center"/>
    </xf>
    <xf numFmtId="169" fontId="104" fillId="0" borderId="2" xfId="139" applyNumberFormat="1" applyFont="1" applyFill="1" applyBorder="1" applyAlignment="1">
      <alignment horizontal="center"/>
    </xf>
    <xf numFmtId="169" fontId="104" fillId="0" borderId="0" xfId="592" applyNumberFormat="1" applyFont="1" applyFill="1" applyBorder="1" applyAlignment="1">
      <alignment horizontal="center"/>
    </xf>
    <xf numFmtId="169" fontId="104" fillId="0" borderId="26" xfId="592" applyNumberFormat="1" applyFont="1" applyFill="1" applyBorder="1" applyAlignment="1">
      <alignment horizontal="center"/>
    </xf>
    <xf numFmtId="169" fontId="104" fillId="0" borderId="38" xfId="592" applyNumberFormat="1" applyFont="1" applyFill="1" applyBorder="1" applyAlignment="1">
      <alignment horizontal="center"/>
    </xf>
    <xf numFmtId="3" fontId="106" fillId="0" borderId="0" xfId="592" applyNumberFormat="1" applyFont="1" applyFill="1" applyBorder="1" applyAlignment="1">
      <alignment horizontal="center"/>
    </xf>
    <xf numFmtId="9" fontId="106" fillId="0" borderId="98" xfId="1" applyFont="1" applyFill="1" applyBorder="1" applyAlignment="1">
      <alignment horizontal="center"/>
    </xf>
    <xf numFmtId="9" fontId="104" fillId="0" borderId="0" xfId="1" applyFont="1" applyFill="1" applyBorder="1" applyAlignment="1">
      <alignment horizontal="center"/>
    </xf>
    <xf numFmtId="0" fontId="108" fillId="0" borderId="0" xfId="930" applyFont="1" applyFill="1"/>
    <xf numFmtId="0" fontId="70" fillId="0" borderId="7" xfId="0" applyFont="1" applyFill="1" applyBorder="1"/>
    <xf numFmtId="9" fontId="43" fillId="0" borderId="0" xfId="1" applyFont="1" applyBorder="1" applyAlignment="1">
      <alignment horizontal="center" vertical="center"/>
    </xf>
    <xf numFmtId="3" fontId="37" fillId="0" borderId="0" xfId="0" applyNumberFormat="1" applyFont="1" applyBorder="1" applyAlignment="1">
      <alignment horizontal="center"/>
    </xf>
    <xf numFmtId="1" fontId="30" fillId="0" borderId="0" xfId="1" applyNumberFormat="1" applyFont="1" applyBorder="1" applyAlignment="1">
      <alignment horizontal="center" vertical="center" wrapText="1"/>
    </xf>
    <xf numFmtId="167" fontId="30" fillId="0" borderId="0" xfId="1" applyNumberFormat="1" applyFont="1" applyBorder="1" applyAlignment="1">
      <alignment horizontal="center" vertical="center" wrapText="1"/>
    </xf>
    <xf numFmtId="2" fontId="30" fillId="0" borderId="0" xfId="1" applyNumberFormat="1" applyFont="1" applyBorder="1" applyAlignment="1">
      <alignment horizontal="center"/>
    </xf>
    <xf numFmtId="167" fontId="30" fillId="0" borderId="0" xfId="1" applyNumberFormat="1" applyFont="1" applyBorder="1" applyAlignment="1">
      <alignment horizontal="center"/>
    </xf>
    <xf numFmtId="9" fontId="70" fillId="0" borderId="0" xfId="1" applyFont="1" applyBorder="1"/>
    <xf numFmtId="1" fontId="30" fillId="0" borderId="98" xfId="1" applyNumberFormat="1" applyFont="1" applyBorder="1" applyAlignment="1">
      <alignment horizontal="center" vertical="center" wrapText="1"/>
    </xf>
    <xf numFmtId="167" fontId="30" fillId="0" borderId="98" xfId="1" applyNumberFormat="1" applyFont="1" applyBorder="1" applyAlignment="1">
      <alignment horizontal="center" vertical="center"/>
    </xf>
    <xf numFmtId="1" fontId="70" fillId="0" borderId="98" xfId="1" applyNumberFormat="1" applyFont="1" applyBorder="1"/>
    <xf numFmtId="9" fontId="30" fillId="0" borderId="130" xfId="1" applyFont="1" applyBorder="1" applyAlignment="1">
      <alignment horizontal="center" vertical="center"/>
    </xf>
    <xf numFmtId="0" fontId="15" fillId="0" borderId="0" xfId="1079"/>
    <xf numFmtId="0" fontId="111" fillId="0" borderId="0" xfId="1079" applyFont="1"/>
    <xf numFmtId="0" fontId="0" fillId="0" borderId="98" xfId="0" applyBorder="1"/>
    <xf numFmtId="0" fontId="0" fillId="0" borderId="0" xfId="0" applyBorder="1"/>
    <xf numFmtId="0" fontId="15" fillId="0" borderId="98" xfId="1079" applyBorder="1"/>
    <xf numFmtId="0" fontId="15" fillId="0" borderId="0" xfId="1079" applyBorder="1"/>
    <xf numFmtId="0" fontId="111" fillId="0" borderId="98" xfId="1079" applyFont="1" applyBorder="1" applyAlignment="1">
      <alignment horizontal="center"/>
    </xf>
    <xf numFmtId="0" fontId="111" fillId="0" borderId="130" xfId="1079" applyFont="1" applyBorder="1" applyAlignment="1">
      <alignment horizontal="center"/>
    </xf>
    <xf numFmtId="0" fontId="111" fillId="0" borderId="118" xfId="1079" applyFont="1" applyBorder="1" applyAlignment="1">
      <alignment horizontal="center" wrapText="1"/>
    </xf>
    <xf numFmtId="0" fontId="111" fillId="0" borderId="119" xfId="1079" applyFont="1" applyBorder="1" applyAlignment="1">
      <alignment horizontal="center" wrapText="1"/>
    </xf>
    <xf numFmtId="0" fontId="111" fillId="0" borderId="43" xfId="1079" applyFont="1" applyBorder="1" applyAlignment="1">
      <alignment horizontal="center" wrapText="1"/>
    </xf>
    <xf numFmtId="1" fontId="32" fillId="0" borderId="133" xfId="139" applyNumberFormat="1" applyFont="1" applyBorder="1" applyAlignment="1">
      <alignment horizontal="center"/>
    </xf>
    <xf numFmtId="0" fontId="111" fillId="0" borderId="28" xfId="1079" applyFont="1" applyBorder="1" applyAlignment="1">
      <alignment horizontal="center" wrapText="1"/>
    </xf>
    <xf numFmtId="1" fontId="32" fillId="0" borderId="2" xfId="1082" applyNumberFormat="1" applyFont="1" applyBorder="1" applyAlignment="1">
      <alignment horizontal="center"/>
    </xf>
    <xf numFmtId="1" fontId="32" fillId="0" borderId="115" xfId="1082" applyNumberFormat="1" applyFont="1" applyBorder="1" applyAlignment="1">
      <alignment horizontal="center"/>
    </xf>
    <xf numFmtId="0" fontId="108" fillId="0" borderId="0" xfId="1083" applyFont="1"/>
    <xf numFmtId="0" fontId="112" fillId="0" borderId="0" xfId="1079" applyFont="1" applyBorder="1" applyAlignment="1">
      <alignment horizontal="center"/>
    </xf>
    <xf numFmtId="0" fontId="111" fillId="0" borderId="0" xfId="1079" applyFont="1" applyBorder="1" applyAlignment="1">
      <alignment horizontal="center" vertical="center" wrapText="1"/>
    </xf>
    <xf numFmtId="171" fontId="111" fillId="0" borderId="0" xfId="1" applyNumberFormat="1" applyFont="1" applyFill="1" applyBorder="1" applyAlignment="1">
      <alignment horizontal="center"/>
    </xf>
    <xf numFmtId="171" fontId="111" fillId="0" borderId="0" xfId="1079" applyNumberFormat="1" applyFont="1" applyFill="1" applyBorder="1" applyAlignment="1">
      <alignment horizontal="center"/>
    </xf>
    <xf numFmtId="0" fontId="34" fillId="0" borderId="0" xfId="0" applyFont="1" applyAlignment="1">
      <alignment vertical="center" wrapText="1"/>
    </xf>
    <xf numFmtId="9" fontId="34" fillId="0" borderId="0" xfId="1" applyFont="1" applyAlignment="1">
      <alignment vertical="center" wrapText="1"/>
    </xf>
    <xf numFmtId="9" fontId="34" fillId="0" borderId="0" xfId="1" applyFont="1"/>
    <xf numFmtId="0" fontId="27" fillId="0" borderId="158" xfId="341" applyFont="1" applyBorder="1" applyAlignment="1">
      <alignment horizontal="center"/>
    </xf>
    <xf numFmtId="0" fontId="108" fillId="0" borderId="0" xfId="591" applyFont="1"/>
    <xf numFmtId="9" fontId="111" fillId="0" borderId="0" xfId="591" applyNumberFormat="1" applyFont="1" applyBorder="1"/>
    <xf numFmtId="0" fontId="111" fillId="0" borderId="0" xfId="591" applyFont="1" applyBorder="1"/>
    <xf numFmtId="0" fontId="111" fillId="0" borderId="0" xfId="591" applyFont="1"/>
    <xf numFmtId="14" fontId="111" fillId="0" borderId="0" xfId="591" applyNumberFormat="1" applyFont="1"/>
    <xf numFmtId="167" fontId="30" fillId="0" borderId="98" xfId="1" applyNumberFormat="1" applyFont="1" applyBorder="1" applyAlignment="1">
      <alignment horizontal="center" vertical="center" wrapText="1"/>
    </xf>
    <xf numFmtId="0" fontId="95" fillId="0" borderId="0" xfId="592" applyFont="1"/>
    <xf numFmtId="3" fontId="95" fillId="0" borderId="0" xfId="592" applyNumberFormat="1" applyFont="1"/>
    <xf numFmtId="168" fontId="115" fillId="0" borderId="0" xfId="735" applyNumberFormat="1" applyFont="1" applyFill="1" applyBorder="1"/>
    <xf numFmtId="3" fontId="95" fillId="0" borderId="0" xfId="592" applyNumberFormat="1" applyFont="1" applyAlignment="1">
      <alignment horizontal="center"/>
    </xf>
    <xf numFmtId="169" fontId="95" fillId="0" borderId="0" xfId="592" applyNumberFormat="1" applyFont="1" applyAlignment="1">
      <alignment horizontal="center"/>
    </xf>
    <xf numFmtId="168" fontId="95" fillId="0" borderId="0" xfId="592" applyNumberFormat="1" applyFont="1" applyBorder="1"/>
    <xf numFmtId="0" fontId="95" fillId="0" borderId="0" xfId="592" applyFont="1" applyBorder="1"/>
    <xf numFmtId="0" fontId="15" fillId="0" borderId="7" xfId="1079" applyBorder="1"/>
    <xf numFmtId="0" fontId="15" fillId="0" borderId="8" xfId="1079" applyBorder="1"/>
    <xf numFmtId="0" fontId="111" fillId="0" borderId="7" xfId="1079" applyFont="1" applyBorder="1" applyAlignment="1">
      <alignment horizontal="center"/>
    </xf>
    <xf numFmtId="10" fontId="111" fillId="0" borderId="0" xfId="591" applyNumberFormat="1" applyFont="1" applyBorder="1" applyAlignment="1">
      <alignment horizontal="center" wrapText="1"/>
    </xf>
    <xf numFmtId="10" fontId="111" fillId="0" borderId="0" xfId="591" applyNumberFormat="1" applyFont="1" applyBorder="1" applyAlignment="1">
      <alignment horizontal="center"/>
    </xf>
    <xf numFmtId="0" fontId="111" fillId="0" borderId="98" xfId="591" applyFont="1" applyBorder="1" applyAlignment="1">
      <alignment wrapText="1"/>
    </xf>
    <xf numFmtId="171" fontId="111" fillId="0" borderId="98" xfId="653" applyNumberFormat="1" applyFont="1" applyBorder="1" applyAlignment="1">
      <alignment horizontal="center"/>
    </xf>
    <xf numFmtId="0" fontId="111" fillId="0" borderId="0" xfId="591" applyFont="1" applyBorder="1" applyAlignment="1"/>
    <xf numFmtId="0" fontId="111" fillId="0" borderId="159" xfId="591" applyFont="1" applyBorder="1" applyAlignment="1">
      <alignment horizontal="center" wrapText="1"/>
    </xf>
    <xf numFmtId="0" fontId="111" fillId="0" borderId="160" xfId="591" applyFont="1" applyBorder="1" applyAlignment="1">
      <alignment horizontal="center" wrapText="1"/>
    </xf>
    <xf numFmtId="0" fontId="111" fillId="0" borderId="0" xfId="1105" applyFont="1"/>
    <xf numFmtId="0" fontId="111" fillId="0" borderId="0" xfId="1105" applyFont="1" applyBorder="1"/>
    <xf numFmtId="4" fontId="111" fillId="0" borderId="0" xfId="1105" applyNumberFormat="1" applyFont="1"/>
    <xf numFmtId="0" fontId="111" fillId="0" borderId="0" xfId="1105" applyFont="1" applyBorder="1" applyAlignment="1"/>
    <xf numFmtId="3" fontId="111" fillId="0" borderId="0" xfId="1105" applyNumberFormat="1" applyFont="1"/>
    <xf numFmtId="9" fontId="111" fillId="0" borderId="0" xfId="1106" applyFont="1"/>
    <xf numFmtId="169" fontId="111" fillId="0" borderId="0" xfId="1105" applyNumberFormat="1" applyFont="1"/>
    <xf numFmtId="168" fontId="111" fillId="0" borderId="0" xfId="1107" applyNumberFormat="1" applyFont="1"/>
    <xf numFmtId="168" fontId="111" fillId="0" borderId="0" xfId="1105" applyNumberFormat="1" applyFont="1"/>
    <xf numFmtId="0" fontId="111" fillId="0" borderId="0" xfId="1105" applyFont="1" applyBorder="1" applyAlignment="1">
      <alignment horizontal="center" vertical="center"/>
    </xf>
    <xf numFmtId="0" fontId="111" fillId="0" borderId="98" xfId="1105" applyFont="1" applyBorder="1"/>
    <xf numFmtId="9" fontId="111" fillId="0" borderId="0" xfId="1106" applyFont="1" applyBorder="1"/>
    <xf numFmtId="0" fontId="111" fillId="0" borderId="130" xfId="1105" applyFont="1" applyBorder="1"/>
    <xf numFmtId="0" fontId="107" fillId="0" borderId="98" xfId="1105" applyFont="1" applyBorder="1" applyAlignment="1">
      <alignment horizontal="center"/>
    </xf>
    <xf numFmtId="0" fontId="114" fillId="0" borderId="98" xfId="1105" applyFont="1" applyBorder="1" applyAlignment="1">
      <alignment horizontal="center" vertical="center"/>
    </xf>
    <xf numFmtId="0" fontId="113" fillId="0" borderId="98" xfId="1105" applyFont="1" applyBorder="1"/>
    <xf numFmtId="0" fontId="111" fillId="0" borderId="98" xfId="1105" applyFont="1" applyBorder="1" applyAlignment="1">
      <alignment horizontal="center" vertical="center"/>
    </xf>
    <xf numFmtId="0" fontId="111" fillId="0" borderId="158" xfId="1105" applyFont="1" applyBorder="1" applyAlignment="1">
      <alignment horizontal="center" vertical="center"/>
    </xf>
    <xf numFmtId="0" fontId="114" fillId="0" borderId="98" xfId="1105" applyFont="1" applyBorder="1" applyAlignment="1">
      <alignment horizontal="center" vertical="center" wrapText="1"/>
    </xf>
    <xf numFmtId="168" fontId="113" fillId="0" borderId="98" xfId="1107" applyNumberFormat="1" applyFont="1" applyBorder="1"/>
    <xf numFmtId="168" fontId="113" fillId="0" borderId="130" xfId="1107" applyNumberFormat="1" applyFont="1" applyBorder="1"/>
    <xf numFmtId="3" fontId="111" fillId="0" borderId="0" xfId="1105" applyNumberFormat="1" applyFont="1" applyBorder="1" applyAlignment="1">
      <alignment horizontal="center"/>
    </xf>
    <xf numFmtId="3" fontId="111" fillId="0" borderId="131" xfId="1105" applyNumberFormat="1" applyFont="1" applyBorder="1" applyAlignment="1">
      <alignment horizontal="center"/>
    </xf>
    <xf numFmtId="3" fontId="111" fillId="0" borderId="0" xfId="571" applyNumberFormat="1" applyFont="1" applyBorder="1" applyAlignment="1">
      <alignment horizontal="center"/>
    </xf>
    <xf numFmtId="0" fontId="114" fillId="0" borderId="0" xfId="1105" applyFont="1" applyBorder="1" applyAlignment="1"/>
    <xf numFmtId="3" fontId="111" fillId="0" borderId="98" xfId="1105" applyNumberFormat="1" applyFont="1" applyBorder="1" applyAlignment="1">
      <alignment horizontal="center"/>
    </xf>
    <xf numFmtId="3" fontId="111" fillId="0" borderId="158" xfId="1105" applyNumberFormat="1" applyFont="1" applyBorder="1" applyAlignment="1">
      <alignment horizontal="center"/>
    </xf>
    <xf numFmtId="3" fontId="111" fillId="0" borderId="130" xfId="1105" applyNumberFormat="1" applyFont="1" applyBorder="1" applyAlignment="1">
      <alignment horizontal="center"/>
    </xf>
    <xf numFmtId="3" fontId="111" fillId="0" borderId="133" xfId="1105" applyNumberFormat="1" applyFont="1" applyBorder="1" applyAlignment="1">
      <alignment horizontal="center"/>
    </xf>
    <xf numFmtId="3" fontId="111" fillId="0" borderId="0" xfId="1105" applyNumberFormat="1" applyFont="1" applyBorder="1"/>
    <xf numFmtId="3" fontId="114" fillId="0" borderId="0" xfId="1105" applyNumberFormat="1" applyFont="1" applyBorder="1"/>
    <xf numFmtId="0" fontId="31" fillId="0" borderId="0" xfId="1105" applyFont="1" applyBorder="1" applyAlignment="1">
      <alignment horizontal="center"/>
    </xf>
    <xf numFmtId="0" fontId="31" fillId="0" borderId="0" xfId="1105" applyFont="1" applyBorder="1" applyAlignment="1"/>
    <xf numFmtId="3" fontId="113" fillId="0" borderId="158" xfId="1105" applyNumberFormat="1" applyFont="1" applyBorder="1" applyAlignment="1">
      <alignment horizontal="center"/>
    </xf>
    <xf numFmtId="3" fontId="113" fillId="0" borderId="158" xfId="1107" applyNumberFormat="1" applyFont="1" applyBorder="1" applyAlignment="1">
      <alignment horizontal="center"/>
    </xf>
    <xf numFmtId="3" fontId="113" fillId="0" borderId="0" xfId="1107" applyNumberFormat="1" applyFont="1" applyBorder="1" applyAlignment="1">
      <alignment horizontal="center"/>
    </xf>
    <xf numFmtId="3" fontId="113" fillId="0" borderId="98" xfId="1105" applyNumberFormat="1" applyFont="1" applyBorder="1" applyAlignment="1">
      <alignment horizontal="center"/>
    </xf>
    <xf numFmtId="3" fontId="113" fillId="0" borderId="0" xfId="1105" applyNumberFormat="1" applyFont="1" applyBorder="1" applyAlignment="1">
      <alignment horizontal="center"/>
    </xf>
    <xf numFmtId="3" fontId="113" fillId="0" borderId="98" xfId="1107" applyNumberFormat="1" applyFont="1" applyBorder="1" applyAlignment="1">
      <alignment horizontal="center"/>
    </xf>
    <xf numFmtId="1" fontId="111" fillId="0" borderId="0" xfId="1105" applyNumberFormat="1" applyFont="1"/>
    <xf numFmtId="167" fontId="111" fillId="0" borderId="0" xfId="1105" applyNumberFormat="1" applyFont="1"/>
    <xf numFmtId="3" fontId="111" fillId="0" borderId="0" xfId="1105" applyNumberFormat="1" applyFont="1" applyBorder="1" applyAlignment="1">
      <alignment horizontal="center" vertical="center"/>
    </xf>
    <xf numFmtId="3" fontId="113" fillId="0" borderId="130" xfId="1107" applyNumberFormat="1" applyFont="1" applyBorder="1" applyAlignment="1">
      <alignment horizontal="center"/>
    </xf>
    <xf numFmtId="3" fontId="113" fillId="0" borderId="131" xfId="1107" applyNumberFormat="1" applyFont="1" applyBorder="1" applyAlignment="1">
      <alignment horizontal="center"/>
    </xf>
    <xf numFmtId="3" fontId="113" fillId="0" borderId="133" xfId="1107" applyNumberFormat="1" applyFont="1" applyBorder="1" applyAlignment="1">
      <alignment horizontal="center"/>
    </xf>
    <xf numFmtId="0" fontId="20" fillId="0" borderId="0" xfId="0" applyFont="1" applyAlignment="1">
      <alignment horizontal="center" vertical="center"/>
    </xf>
    <xf numFmtId="3" fontId="114" fillId="0" borderId="0" xfId="1105" applyNumberFormat="1" applyFont="1" applyBorder="1" applyAlignment="1">
      <alignment horizontal="center" vertical="center"/>
    </xf>
    <xf numFmtId="3" fontId="30" fillId="0" borderId="130" xfId="0" applyNumberFormat="1" applyFont="1" applyBorder="1" applyAlignment="1">
      <alignment horizontal="center" vertical="center"/>
    </xf>
    <xf numFmtId="0" fontId="31" fillId="0" borderId="0" xfId="0" applyFont="1" applyBorder="1" applyAlignment="1">
      <alignment horizontal="center" vertical="center"/>
    </xf>
    <xf numFmtId="3" fontId="30" fillId="0" borderId="32" xfId="0" applyNumberFormat="1" applyFont="1" applyBorder="1" applyAlignment="1">
      <alignment horizontal="center" vertical="center" wrapText="1"/>
    </xf>
    <xf numFmtId="0" fontId="30" fillId="0" borderId="7" xfId="0" applyFont="1" applyBorder="1" applyAlignment="1">
      <alignment horizontal="center" vertical="center"/>
    </xf>
    <xf numFmtId="3" fontId="30" fillId="0" borderId="158" xfId="0" applyNumberFormat="1" applyFont="1" applyBorder="1" applyAlignment="1">
      <alignment horizontal="center" vertical="center"/>
    </xf>
    <xf numFmtId="3" fontId="30" fillId="0" borderId="8" xfId="0" applyNumberFormat="1" applyFont="1" applyBorder="1" applyAlignment="1">
      <alignment horizontal="center" vertical="center"/>
    </xf>
    <xf numFmtId="0" fontId="30" fillId="0" borderId="9" xfId="0" applyFont="1" applyBorder="1" applyAlignment="1">
      <alignment vertical="center"/>
    </xf>
    <xf numFmtId="3" fontId="30" fillId="0" borderId="23" xfId="139" applyNumberFormat="1" applyFont="1" applyBorder="1" applyAlignment="1">
      <alignment horizontal="center" vertical="center"/>
    </xf>
    <xf numFmtId="3" fontId="30" fillId="0" borderId="11" xfId="0" applyNumberFormat="1" applyFont="1" applyBorder="1" applyAlignment="1">
      <alignment horizontal="center" vertical="center" wrapText="1"/>
    </xf>
    <xf numFmtId="3" fontId="30" fillId="0" borderId="10" xfId="0" applyNumberFormat="1" applyFont="1" applyBorder="1" applyAlignment="1">
      <alignment horizontal="center" vertical="center" wrapText="1"/>
    </xf>
    <xf numFmtId="3" fontId="30" fillId="0" borderId="19" xfId="0" applyNumberFormat="1" applyFont="1" applyBorder="1" applyAlignment="1">
      <alignment horizontal="center" vertical="center" wrapText="1"/>
    </xf>
    <xf numFmtId="3" fontId="30" fillId="0" borderId="13" xfId="0" applyNumberFormat="1" applyFont="1" applyBorder="1" applyAlignment="1">
      <alignment horizontal="center" vertical="center" wrapText="1"/>
    </xf>
    <xf numFmtId="3" fontId="30" fillId="0" borderId="31" xfId="0" applyNumberFormat="1" applyFont="1" applyBorder="1" applyAlignment="1">
      <alignment horizontal="center" vertical="center"/>
    </xf>
    <xf numFmtId="3" fontId="30" fillId="0" borderId="158" xfId="0" applyNumberFormat="1" applyFont="1" applyBorder="1" applyAlignment="1">
      <alignment horizontal="center" vertical="center" wrapText="1"/>
    </xf>
    <xf numFmtId="3" fontId="70" fillId="0" borderId="98" xfId="0" applyNumberFormat="1" applyFont="1" applyBorder="1"/>
    <xf numFmtId="3" fontId="37" fillId="0" borderId="158" xfId="0" applyNumberFormat="1" applyFont="1" applyBorder="1" applyAlignment="1">
      <alignment horizontal="center" vertical="center" wrapText="1"/>
    </xf>
    <xf numFmtId="3" fontId="37" fillId="0" borderId="8" xfId="0" applyNumberFormat="1" applyFont="1" applyBorder="1" applyAlignment="1">
      <alignment horizontal="center" vertical="center" wrapText="1"/>
    </xf>
    <xf numFmtId="3" fontId="30" fillId="0" borderId="7" xfId="0" applyNumberFormat="1" applyFont="1" applyBorder="1" applyAlignment="1">
      <alignment horizontal="center" vertical="center"/>
    </xf>
    <xf numFmtId="3" fontId="30" fillId="0" borderId="9" xfId="0" applyNumberFormat="1" applyFont="1" applyBorder="1" applyAlignment="1">
      <alignment vertical="center"/>
    </xf>
    <xf numFmtId="9" fontId="70" fillId="0" borderId="98" xfId="1" applyFont="1" applyBorder="1"/>
    <xf numFmtId="0" fontId="70" fillId="0" borderId="0" xfId="0" applyFont="1" applyBorder="1" applyAlignment="1">
      <alignment horizontal="center"/>
    </xf>
    <xf numFmtId="3" fontId="30" fillId="0" borderId="22" xfId="1" applyNumberFormat="1" applyFont="1" applyBorder="1" applyAlignment="1">
      <alignment horizontal="center" vertical="center" wrapText="1"/>
    </xf>
    <xf numFmtId="9" fontId="30" fillId="0" borderId="158" xfId="1" applyFont="1" applyBorder="1" applyAlignment="1">
      <alignment horizontal="center" vertical="center"/>
    </xf>
    <xf numFmtId="1" fontId="30" fillId="0" borderId="10" xfId="0" applyNumberFormat="1" applyFont="1" applyBorder="1" applyAlignment="1">
      <alignment horizontal="center" vertical="center"/>
    </xf>
    <xf numFmtId="3" fontId="70" fillId="0" borderId="98" xfId="0" applyNumberFormat="1" applyFont="1" applyBorder="1" applyAlignment="1">
      <alignment horizontal="center"/>
    </xf>
    <xf numFmtId="167" fontId="30" fillId="0" borderId="30" xfId="1" applyNumberFormat="1" applyFont="1" applyBorder="1" applyAlignment="1">
      <alignment horizontal="center" vertical="center" wrapText="1"/>
    </xf>
    <xf numFmtId="167" fontId="30" fillId="0" borderId="18" xfId="1" applyNumberFormat="1" applyFont="1" applyBorder="1" applyAlignment="1">
      <alignment horizontal="center" vertical="center"/>
    </xf>
    <xf numFmtId="167" fontId="30" fillId="0" borderId="24" xfId="1" applyNumberFormat="1" applyFont="1" applyBorder="1" applyAlignment="1">
      <alignment horizontal="center" vertical="center" wrapText="1"/>
    </xf>
    <xf numFmtId="3" fontId="30" fillId="0" borderId="30" xfId="1" applyNumberFormat="1" applyFont="1" applyBorder="1" applyAlignment="1">
      <alignment horizontal="center" vertical="center" wrapText="1"/>
    </xf>
    <xf numFmtId="3" fontId="30" fillId="0" borderId="98" xfId="1" applyNumberFormat="1" applyFont="1" applyBorder="1" applyAlignment="1">
      <alignment horizontal="center" vertical="center"/>
    </xf>
    <xf numFmtId="1" fontId="30" fillId="0" borderId="31" xfId="1" applyNumberFormat="1" applyFont="1" applyBorder="1" applyAlignment="1">
      <alignment horizontal="center" vertical="center" wrapText="1"/>
    </xf>
    <xf numFmtId="1" fontId="30" fillId="0" borderId="158" xfId="1" applyNumberFormat="1" applyFont="1" applyBorder="1" applyAlignment="1">
      <alignment horizontal="center" vertical="center"/>
    </xf>
    <xf numFmtId="0" fontId="70" fillId="0" borderId="158" xfId="0" applyFont="1" applyBorder="1" applyAlignment="1">
      <alignment horizontal="center"/>
    </xf>
    <xf numFmtId="0" fontId="30" fillId="0" borderId="158" xfId="0" applyFont="1" applyBorder="1" applyAlignment="1">
      <alignment horizontal="center" vertical="center"/>
    </xf>
    <xf numFmtId="1" fontId="30" fillId="0" borderId="19" xfId="0" applyNumberFormat="1" applyFont="1" applyBorder="1" applyAlignment="1">
      <alignment horizontal="center" vertical="center"/>
    </xf>
    <xf numFmtId="1" fontId="30" fillId="0" borderId="25" xfId="1" applyNumberFormat="1" applyFont="1" applyBorder="1" applyAlignment="1">
      <alignment horizontal="center" vertical="center" wrapText="1"/>
    </xf>
    <xf numFmtId="1" fontId="30" fillId="0" borderId="26" xfId="1" applyNumberFormat="1" applyFont="1" applyBorder="1" applyAlignment="1">
      <alignment horizontal="center" vertical="center"/>
    </xf>
    <xf numFmtId="9" fontId="30" fillId="0" borderId="22" xfId="1" applyNumberFormat="1" applyFont="1" applyBorder="1" applyAlignment="1">
      <alignment horizontal="center" vertical="center" wrapText="1"/>
    </xf>
    <xf numFmtId="9" fontId="30" fillId="0" borderId="25" xfId="1" applyNumberFormat="1" applyFont="1" applyBorder="1" applyAlignment="1">
      <alignment horizontal="center" vertical="center" wrapText="1"/>
    </xf>
    <xf numFmtId="9" fontId="30" fillId="0" borderId="34" xfId="1" applyNumberFormat="1" applyFont="1" applyBorder="1" applyAlignment="1">
      <alignment horizontal="center" vertical="center" wrapText="1"/>
    </xf>
    <xf numFmtId="9" fontId="30" fillId="0" borderId="26" xfId="1" applyNumberFormat="1" applyFont="1" applyBorder="1" applyAlignment="1">
      <alignment horizontal="center" vertical="center"/>
    </xf>
    <xf numFmtId="9" fontId="30" fillId="0" borderId="2" xfId="1" applyNumberFormat="1" applyFont="1" applyBorder="1" applyAlignment="1">
      <alignment horizontal="center" vertical="center"/>
    </xf>
    <xf numFmtId="9" fontId="30" fillId="0" borderId="32" xfId="1" applyNumberFormat="1" applyFont="1" applyBorder="1" applyAlignment="1">
      <alignment horizontal="center" vertical="center" wrapText="1"/>
    </xf>
    <xf numFmtId="9" fontId="30" fillId="0" borderId="8" xfId="1" applyNumberFormat="1" applyFont="1" applyBorder="1" applyAlignment="1">
      <alignment horizontal="center" vertical="center"/>
    </xf>
    <xf numFmtId="9" fontId="30" fillId="0" borderId="8" xfId="0" applyNumberFormat="1" applyFont="1" applyBorder="1" applyAlignment="1">
      <alignment horizontal="center" vertical="center" wrapText="1"/>
    </xf>
    <xf numFmtId="9" fontId="70" fillId="0" borderId="8" xfId="0" applyNumberFormat="1" applyFont="1" applyBorder="1" applyAlignment="1">
      <alignment horizontal="center"/>
    </xf>
    <xf numFmtId="1" fontId="30" fillId="0" borderId="23" xfId="0" applyNumberFormat="1" applyFont="1" applyBorder="1" applyAlignment="1">
      <alignment horizontal="center" vertical="center"/>
    </xf>
    <xf numFmtId="1" fontId="30" fillId="0" borderId="23" xfId="1" applyNumberFormat="1" applyFont="1" applyBorder="1" applyAlignment="1">
      <alignment horizontal="center" vertical="center"/>
    </xf>
    <xf numFmtId="9" fontId="30" fillId="0" borderId="23" xfId="1" applyNumberFormat="1" applyFont="1" applyBorder="1" applyAlignment="1">
      <alignment horizontal="center" vertical="center"/>
    </xf>
    <xf numFmtId="9" fontId="30" fillId="0" borderId="13" xfId="1" applyNumberFormat="1" applyFont="1" applyBorder="1" applyAlignment="1">
      <alignment horizontal="center" vertical="center"/>
    </xf>
    <xf numFmtId="0" fontId="31" fillId="0" borderId="7" xfId="1105" applyFont="1" applyBorder="1" applyAlignment="1">
      <alignment horizontal="center"/>
    </xf>
    <xf numFmtId="0" fontId="31" fillId="0" borderId="8" xfId="1105" applyFont="1" applyBorder="1" applyAlignment="1">
      <alignment horizontal="center"/>
    </xf>
    <xf numFmtId="0" fontId="30" fillId="0" borderId="7" xfId="1105" applyFont="1" applyBorder="1" applyAlignment="1">
      <alignment horizontal="left" vertical="center" wrapText="1"/>
    </xf>
    <xf numFmtId="0" fontId="32" fillId="0" borderId="7" xfId="1105" applyFont="1" applyBorder="1" applyAlignment="1">
      <alignment wrapText="1"/>
    </xf>
    <xf numFmtId="9" fontId="32" fillId="0" borderId="8" xfId="1106" applyFont="1" applyBorder="1" applyAlignment="1">
      <alignment horizontal="center" vertical="center"/>
    </xf>
    <xf numFmtId="0" fontId="32" fillId="0" borderId="7" xfId="0" applyFont="1" applyBorder="1" applyAlignment="1">
      <alignment wrapText="1"/>
    </xf>
    <xf numFmtId="9" fontId="32" fillId="0" borderId="8" xfId="1" applyFont="1" applyBorder="1" applyAlignment="1">
      <alignment horizontal="center" vertical="center"/>
    </xf>
    <xf numFmtId="0" fontId="30" fillId="0" borderId="9" xfId="0" applyFont="1" applyBorder="1" applyAlignment="1">
      <alignment wrapText="1"/>
    </xf>
    <xf numFmtId="9" fontId="30" fillId="0" borderId="13" xfId="1106" applyFont="1" applyBorder="1" applyAlignment="1">
      <alignment horizontal="center" vertical="center"/>
    </xf>
    <xf numFmtId="0" fontId="34" fillId="0" borderId="0" xfId="1105" applyFont="1" applyBorder="1" applyAlignment="1">
      <alignment horizontal="center"/>
    </xf>
    <xf numFmtId="0" fontId="34" fillId="0" borderId="8" xfId="1105" applyFont="1" applyBorder="1" applyAlignment="1">
      <alignment horizontal="center"/>
    </xf>
    <xf numFmtId="3" fontId="32" fillId="0" borderId="0" xfId="1105" applyNumberFormat="1" applyFont="1" applyBorder="1" applyAlignment="1">
      <alignment horizontal="center" vertical="center"/>
    </xf>
    <xf numFmtId="3" fontId="32" fillId="0" borderId="0" xfId="0" applyNumberFormat="1" applyFont="1" applyBorder="1" applyAlignment="1">
      <alignment horizontal="center" vertical="center"/>
    </xf>
    <xf numFmtId="9" fontId="111" fillId="0" borderId="0" xfId="1106" applyFont="1" applyBorder="1" applyAlignment="1">
      <alignment horizontal="center"/>
    </xf>
    <xf numFmtId="0" fontId="111" fillId="0" borderId="7" xfId="1105" applyFont="1" applyBorder="1"/>
    <xf numFmtId="9" fontId="30" fillId="0" borderId="8" xfId="1" applyFont="1" applyBorder="1" applyAlignment="1">
      <alignment horizontal="center" vertical="center"/>
    </xf>
    <xf numFmtId="9" fontId="30" fillId="0" borderId="13" xfId="1" applyFont="1" applyBorder="1" applyAlignment="1">
      <alignment horizontal="center" vertical="center" wrapText="1"/>
    </xf>
    <xf numFmtId="0" fontId="31" fillId="0" borderId="158" xfId="0" applyFont="1" applyBorder="1" applyAlignment="1">
      <alignment horizontal="center" vertical="center"/>
    </xf>
    <xf numFmtId="0" fontId="34" fillId="0" borderId="131" xfId="0" applyFont="1" applyBorder="1" applyAlignment="1">
      <alignment horizontal="center"/>
    </xf>
    <xf numFmtId="171" fontId="30" fillId="0" borderId="0" xfId="1" applyNumberFormat="1" applyFont="1" applyFill="1" applyBorder="1" applyAlignment="1">
      <alignment horizontal="center" vertical="center"/>
    </xf>
    <xf numFmtId="9" fontId="30" fillId="0" borderId="0" xfId="1" applyNumberFormat="1" applyFont="1" applyFill="1" applyBorder="1" applyAlignment="1">
      <alignment horizontal="center"/>
    </xf>
    <xf numFmtId="0" fontId="0" fillId="0" borderId="0" xfId="0" applyAlignment="1">
      <alignment wrapText="1"/>
    </xf>
    <xf numFmtId="167" fontId="30" fillId="0" borderId="0" xfId="1" applyNumberFormat="1" applyFont="1" applyBorder="1" applyAlignment="1">
      <alignment horizontal="center" vertical="center"/>
    </xf>
    <xf numFmtId="0" fontId="111" fillId="0" borderId="7" xfId="1083" applyFont="1" applyBorder="1"/>
    <xf numFmtId="0" fontId="111" fillId="0" borderId="9" xfId="1083" applyFont="1" applyBorder="1"/>
    <xf numFmtId="0" fontId="31" fillId="0" borderId="7" xfId="0" applyFont="1" applyBorder="1" applyAlignment="1">
      <alignment horizontal="center" vertical="center" wrapText="1"/>
    </xf>
    <xf numFmtId="9" fontId="30" fillId="0" borderId="8" xfId="1" applyFont="1" applyBorder="1" applyAlignment="1">
      <alignment horizontal="center"/>
    </xf>
    <xf numFmtId="1" fontId="30" fillId="0" borderId="18" xfId="1" applyNumberFormat="1" applyFont="1" applyBorder="1" applyAlignment="1">
      <alignment horizontal="center" vertical="center"/>
    </xf>
    <xf numFmtId="1" fontId="30" fillId="0" borderId="10" xfId="1" applyNumberFormat="1" applyFont="1" applyBorder="1" applyAlignment="1">
      <alignment horizontal="center" vertical="center"/>
    </xf>
    <xf numFmtId="1" fontId="30" fillId="0" borderId="10" xfId="1" applyNumberFormat="1" applyFont="1" applyBorder="1" applyAlignment="1">
      <alignment horizontal="center" vertical="center" wrapText="1"/>
    </xf>
    <xf numFmtId="9" fontId="30" fillId="0" borderId="1" xfId="1" applyFont="1" applyBorder="1" applyAlignment="1">
      <alignment horizontal="center" vertical="center"/>
    </xf>
    <xf numFmtId="1" fontId="30" fillId="0" borderId="1" xfId="1" applyNumberFormat="1" applyFont="1" applyBorder="1" applyAlignment="1">
      <alignment horizontal="center"/>
    </xf>
    <xf numFmtId="0" fontId="0" fillId="0" borderId="8" xfId="0" applyBorder="1"/>
    <xf numFmtId="167" fontId="30" fillId="0" borderId="8" xfId="1" applyNumberFormat="1" applyFont="1" applyBorder="1" applyAlignment="1">
      <alignment horizontal="center" vertical="center" wrapText="1"/>
    </xf>
    <xf numFmtId="0" fontId="30" fillId="0" borderId="9" xfId="0" applyFont="1" applyBorder="1" applyAlignment="1">
      <alignment horizontal="left" vertical="center"/>
    </xf>
    <xf numFmtId="9" fontId="30" fillId="0" borderId="13" xfId="1" applyFont="1" applyBorder="1" applyAlignment="1">
      <alignment horizontal="center"/>
    </xf>
    <xf numFmtId="0" fontId="27" fillId="0" borderId="0" xfId="341" applyFont="1" applyBorder="1" applyAlignment="1">
      <alignment horizontal="center" vertical="center"/>
    </xf>
    <xf numFmtId="0" fontId="27" fillId="0" borderId="8" xfId="341" applyFont="1" applyBorder="1" applyAlignment="1">
      <alignment horizontal="center" vertical="center"/>
    </xf>
    <xf numFmtId="171" fontId="111" fillId="0" borderId="0" xfId="656" applyNumberFormat="1" applyFont="1" applyBorder="1" applyAlignment="1">
      <alignment horizontal="center"/>
    </xf>
    <xf numFmtId="0" fontId="111" fillId="0" borderId="159" xfId="591" applyFont="1" applyBorder="1" applyAlignment="1">
      <alignment horizontal="center" vertical="center" wrapText="1"/>
    </xf>
    <xf numFmtId="0" fontId="111" fillId="0" borderId="160" xfId="591" applyFont="1" applyBorder="1" applyAlignment="1">
      <alignment horizontal="center" vertical="center" wrapText="1"/>
    </xf>
    <xf numFmtId="0" fontId="0" fillId="0" borderId="0" xfId="0" applyAlignment="1">
      <alignment horizontal="center" vertical="center" wrapText="1"/>
    </xf>
    <xf numFmtId="0" fontId="114" fillId="0" borderId="7" xfId="591" applyFont="1" applyBorder="1" applyAlignment="1"/>
    <xf numFmtId="0" fontId="111" fillId="0" borderId="27" xfId="591" applyFont="1" applyBorder="1" applyAlignment="1">
      <alignment horizontal="center" vertical="center" wrapText="1"/>
    </xf>
    <xf numFmtId="0" fontId="111" fillId="0" borderId="7" xfId="591" applyFont="1" applyBorder="1" applyAlignment="1">
      <alignment horizontal="center"/>
    </xf>
    <xf numFmtId="171" fontId="111" fillId="0" borderId="8" xfId="654" applyNumberFormat="1" applyFont="1" applyBorder="1" applyAlignment="1">
      <alignment horizontal="center"/>
    </xf>
    <xf numFmtId="0" fontId="111" fillId="0" borderId="9" xfId="591" applyFont="1" applyBorder="1" applyAlignment="1">
      <alignment horizontal="center"/>
    </xf>
    <xf numFmtId="171" fontId="111" fillId="0" borderId="10" xfId="656" applyNumberFormat="1" applyFont="1" applyBorder="1" applyAlignment="1">
      <alignment horizontal="center"/>
    </xf>
    <xf numFmtId="171" fontId="111" fillId="0" borderId="13" xfId="654" applyNumberFormat="1" applyFont="1" applyBorder="1" applyAlignment="1">
      <alignment horizontal="center"/>
    </xf>
    <xf numFmtId="0" fontId="111" fillId="0" borderId="7" xfId="591" applyFont="1" applyBorder="1" applyAlignment="1">
      <alignment wrapText="1"/>
    </xf>
    <xf numFmtId="0" fontId="111" fillId="0" borderId="27" xfId="591" applyFont="1" applyBorder="1" applyAlignment="1">
      <alignment horizontal="center" wrapText="1"/>
    </xf>
    <xf numFmtId="0" fontId="111" fillId="0" borderId="7" xfId="591" applyFont="1" applyBorder="1" applyAlignment="1">
      <alignment horizontal="center" wrapText="1"/>
    </xf>
    <xf numFmtId="171" fontId="46" fillId="0" borderId="8" xfId="1" applyNumberFormat="1" applyFont="1" applyBorder="1" applyAlignment="1">
      <alignment horizontal="center" wrapText="1"/>
    </xf>
    <xf numFmtId="171" fontId="46" fillId="0" borderId="8" xfId="653" applyNumberFormat="1" applyFont="1" applyBorder="1" applyAlignment="1">
      <alignment horizontal="center" wrapText="1"/>
    </xf>
    <xf numFmtId="171" fontId="111" fillId="0" borderId="18" xfId="653" applyNumberFormat="1" applyFont="1" applyBorder="1" applyAlignment="1">
      <alignment horizontal="center"/>
    </xf>
    <xf numFmtId="10" fontId="111" fillId="0" borderId="10" xfId="591" applyNumberFormat="1" applyFont="1" applyBorder="1" applyAlignment="1">
      <alignment horizontal="center"/>
    </xf>
    <xf numFmtId="0" fontId="108" fillId="0" borderId="0" xfId="1130" applyFont="1"/>
    <xf numFmtId="0" fontId="108" fillId="0" borderId="0" xfId="1130" applyFont="1" applyBorder="1"/>
    <xf numFmtId="177" fontId="108" fillId="0" borderId="0" xfId="1130" applyNumberFormat="1" applyFont="1" applyBorder="1"/>
    <xf numFmtId="0" fontId="118" fillId="0" borderId="0" xfId="1130" applyFont="1" applyBorder="1"/>
    <xf numFmtId="0" fontId="118" fillId="0" borderId="0" xfId="1130" applyFont="1"/>
    <xf numFmtId="171" fontId="108" fillId="0" borderId="150" xfId="1131" applyNumberFormat="1" applyFont="1" applyBorder="1"/>
    <xf numFmtId="178" fontId="108" fillId="0" borderId="150" xfId="1132" applyNumberFormat="1" applyFont="1" applyBorder="1"/>
    <xf numFmtId="179" fontId="108" fillId="0" borderId="150" xfId="1132" applyNumberFormat="1" applyFont="1" applyBorder="1"/>
    <xf numFmtId="0" fontId="108" fillId="0" borderId="150" xfId="1130" applyFont="1" applyBorder="1"/>
    <xf numFmtId="171" fontId="108" fillId="0" borderId="0" xfId="1131" applyNumberFormat="1" applyFont="1"/>
    <xf numFmtId="178" fontId="108" fillId="0" borderId="0" xfId="1132" applyNumberFormat="1" applyFont="1"/>
    <xf numFmtId="179" fontId="108" fillId="0" borderId="0" xfId="1132" applyNumberFormat="1" applyFont="1"/>
    <xf numFmtId="0" fontId="108" fillId="0" borderId="0" xfId="1130" applyFont="1" applyAlignment="1">
      <alignment horizontal="right"/>
    </xf>
    <xf numFmtId="9" fontId="108" fillId="0" borderId="148" xfId="1131" applyNumberFormat="1" applyFont="1" applyBorder="1"/>
    <xf numFmtId="171" fontId="108" fillId="0" borderId="148" xfId="1131" applyNumberFormat="1" applyFont="1" applyBorder="1" applyAlignment="1">
      <alignment horizontal="right"/>
    </xf>
    <xf numFmtId="0" fontId="108" fillId="0" borderId="148" xfId="1130" applyFont="1" applyBorder="1"/>
    <xf numFmtId="9" fontId="108" fillId="0" borderId="0" xfId="1131" applyNumberFormat="1" applyFont="1"/>
    <xf numFmtId="171" fontId="108" fillId="0" borderId="0" xfId="1131" applyNumberFormat="1" applyFont="1" applyAlignment="1">
      <alignment horizontal="right"/>
    </xf>
    <xf numFmtId="1" fontId="108" fillId="0" borderId="0" xfId="1130" applyNumberFormat="1" applyFont="1"/>
    <xf numFmtId="0" fontId="108" fillId="0" borderId="0" xfId="1130" applyFont="1" applyBorder="1" applyAlignment="1">
      <alignment horizontal="right"/>
    </xf>
    <xf numFmtId="0" fontId="108" fillId="0" borderId="0" xfId="1130" applyFont="1" applyAlignment="1">
      <alignment wrapText="1"/>
    </xf>
    <xf numFmtId="0" fontId="108" fillId="0" borderId="149" xfId="1130" applyFont="1" applyBorder="1" applyAlignment="1">
      <alignment wrapText="1"/>
    </xf>
    <xf numFmtId="3" fontId="30" fillId="0" borderId="23" xfId="0" applyNumberFormat="1" applyFont="1" applyBorder="1" applyAlignment="1">
      <alignment horizontal="center" vertical="center"/>
    </xf>
    <xf numFmtId="0" fontId="32" fillId="0" borderId="158" xfId="0" applyFont="1" applyBorder="1" applyAlignment="1">
      <alignment horizontal="center" vertical="center" wrapText="1"/>
    </xf>
    <xf numFmtId="3" fontId="9" fillId="0" borderId="98" xfId="592" applyNumberFormat="1" applyFont="1" applyBorder="1" applyAlignment="1">
      <alignment horizontal="center"/>
    </xf>
    <xf numFmtId="3" fontId="30" fillId="0" borderId="163" xfId="139" applyNumberFormat="1" applyFont="1" applyBorder="1" applyAlignment="1">
      <alignment horizontal="center" vertical="center"/>
    </xf>
    <xf numFmtId="167" fontId="30" fillId="0" borderId="2" xfId="1" applyNumberFormat="1" applyFont="1" applyBorder="1" applyAlignment="1">
      <alignment horizontal="center" vertical="center"/>
    </xf>
    <xf numFmtId="1" fontId="43" fillId="0" borderId="0" xfId="1" applyNumberFormat="1" applyFont="1" applyBorder="1" applyAlignment="1">
      <alignment horizontal="center" vertical="center"/>
    </xf>
    <xf numFmtId="171" fontId="30" fillId="0" borderId="24" xfId="1" applyNumberFormat="1" applyFont="1" applyFill="1" applyBorder="1" applyAlignment="1">
      <alignment horizontal="center" vertical="center" wrapText="1"/>
    </xf>
    <xf numFmtId="0" fontId="43" fillId="0" borderId="36" xfId="592" applyFont="1" applyBorder="1" applyAlignment="1">
      <alignment horizontal="center" vertical="center"/>
    </xf>
    <xf numFmtId="3" fontId="43" fillId="0" borderId="98" xfId="348" applyNumberFormat="1" applyFont="1" applyBorder="1" applyAlignment="1">
      <alignment horizontal="center" vertical="center" wrapText="1"/>
    </xf>
    <xf numFmtId="3" fontId="43" fillId="0" borderId="0" xfId="341" applyNumberFormat="1" applyFont="1" applyBorder="1" applyAlignment="1">
      <alignment horizontal="center" vertical="center" wrapText="1"/>
    </xf>
    <xf numFmtId="3" fontId="9" fillId="0" borderId="135" xfId="592" applyNumberFormat="1" applyFont="1" applyFill="1" applyBorder="1" applyAlignment="1">
      <alignment horizontal="center"/>
    </xf>
    <xf numFmtId="169" fontId="27" fillId="0" borderId="0" xfId="592" applyNumberFormat="1" applyFill="1"/>
    <xf numFmtId="0" fontId="27" fillId="0" borderId="0" xfId="592" applyFill="1"/>
    <xf numFmtId="0" fontId="27" fillId="0" borderId="0" xfId="592" applyFill="1" applyAlignment="1">
      <alignment horizontal="center" vertical="center" wrapText="1"/>
    </xf>
    <xf numFmtId="3" fontId="43" fillId="0" borderId="1" xfId="341" applyNumberFormat="1" applyFont="1" applyBorder="1" applyAlignment="1">
      <alignment horizontal="center" vertical="center" wrapText="1"/>
    </xf>
    <xf numFmtId="3" fontId="120" fillId="0" borderId="45" xfId="341" applyNumberFormat="1" applyFont="1" applyBorder="1" applyAlignment="1">
      <alignment horizontal="center" vertical="center" wrapText="1"/>
    </xf>
    <xf numFmtId="3" fontId="120" fillId="0" borderId="52" xfId="341" applyNumberFormat="1" applyFont="1" applyBorder="1" applyAlignment="1">
      <alignment horizontal="center" vertical="center" wrapText="1"/>
    </xf>
    <xf numFmtId="3" fontId="120" fillId="0" borderId="2" xfId="341" applyNumberFormat="1" applyFont="1" applyBorder="1" applyAlignment="1">
      <alignment horizontal="center" vertical="center" wrapText="1"/>
    </xf>
    <xf numFmtId="3" fontId="43" fillId="0" borderId="8" xfId="341" applyNumberFormat="1" applyFont="1" applyBorder="1" applyAlignment="1">
      <alignment horizontal="center" vertical="center" wrapText="1"/>
    </xf>
    <xf numFmtId="169" fontId="106" fillId="0" borderId="98" xfId="139" applyNumberFormat="1" applyFont="1" applyBorder="1" applyAlignment="1">
      <alignment horizontal="center" vertical="center"/>
    </xf>
    <xf numFmtId="169" fontId="106" fillId="0" borderId="0" xfId="592" applyNumberFormat="1" applyFont="1" applyBorder="1" applyAlignment="1">
      <alignment horizontal="center" vertical="center"/>
    </xf>
    <xf numFmtId="169" fontId="106" fillId="0" borderId="1" xfId="139" applyNumberFormat="1" applyFont="1" applyBorder="1" applyAlignment="1">
      <alignment horizontal="center" vertical="center"/>
    </xf>
    <xf numFmtId="169" fontId="106" fillId="0" borderId="45" xfId="139" applyNumberFormat="1" applyFont="1" applyBorder="1" applyAlignment="1">
      <alignment horizontal="center" vertical="center"/>
    </xf>
    <xf numFmtId="169" fontId="106" fillId="0" borderId="52" xfId="592" applyNumberFormat="1" applyFont="1" applyBorder="1" applyAlignment="1">
      <alignment horizontal="center" vertical="center"/>
    </xf>
    <xf numFmtId="169" fontId="106" fillId="0" borderId="2" xfId="592" applyNumberFormat="1" applyFont="1" applyBorder="1" applyAlignment="1">
      <alignment horizontal="center" vertical="center"/>
    </xf>
    <xf numFmtId="169" fontId="106" fillId="0" borderId="8" xfId="592" applyNumberFormat="1" applyFont="1" applyBorder="1" applyAlignment="1">
      <alignment horizontal="center" vertical="center"/>
    </xf>
    <xf numFmtId="3" fontId="106" fillId="0" borderId="18" xfId="139" applyNumberFormat="1" applyFont="1" applyBorder="1" applyAlignment="1">
      <alignment horizontal="center" vertical="center"/>
    </xf>
    <xf numFmtId="3" fontId="106" fillId="0" borderId="10" xfId="592" applyNumberFormat="1" applyFont="1" applyBorder="1" applyAlignment="1">
      <alignment horizontal="center" vertical="center"/>
    </xf>
    <xf numFmtId="3" fontId="106" fillId="0" borderId="11" xfId="139" applyNumberFormat="1" applyFont="1" applyBorder="1" applyAlignment="1">
      <alignment horizontal="center" vertical="center"/>
    </xf>
    <xf numFmtId="3" fontId="106" fillId="0" borderId="64" xfId="139" applyNumberFormat="1" applyFont="1" applyBorder="1" applyAlignment="1">
      <alignment horizontal="center" vertical="center"/>
    </xf>
    <xf numFmtId="3" fontId="106" fillId="0" borderId="65" xfId="592" applyNumberFormat="1" applyFont="1" applyBorder="1" applyAlignment="1">
      <alignment horizontal="center" vertical="center"/>
    </xf>
    <xf numFmtId="3" fontId="106" fillId="0" borderId="12" xfId="592" applyNumberFormat="1" applyFont="1" applyBorder="1" applyAlignment="1">
      <alignment horizontal="center" vertical="center"/>
    </xf>
    <xf numFmtId="3" fontId="106" fillId="0" borderId="13" xfId="139" applyNumberFormat="1" applyFont="1" applyBorder="1" applyAlignment="1">
      <alignment horizontal="center" vertical="center"/>
    </xf>
    <xf numFmtId="3" fontId="30" fillId="2" borderId="10" xfId="1" applyNumberFormat="1" applyFont="1" applyFill="1" applyBorder="1" applyAlignment="1">
      <alignment horizontal="center" vertical="center"/>
    </xf>
    <xf numFmtId="3" fontId="30" fillId="0" borderId="158" xfId="0" applyNumberFormat="1" applyFont="1" applyFill="1" applyBorder="1" applyAlignment="1">
      <alignment horizontal="center" vertical="center"/>
    </xf>
    <xf numFmtId="3" fontId="30" fillId="0" borderId="2" xfId="1" applyNumberFormat="1" applyFont="1" applyFill="1" applyBorder="1" applyAlignment="1">
      <alignment horizontal="center" vertical="center"/>
    </xf>
    <xf numFmtId="171" fontId="30" fillId="0" borderId="1" xfId="1" applyNumberFormat="1" applyFont="1" applyFill="1" applyBorder="1" applyAlignment="1">
      <alignment horizontal="center" vertical="center"/>
    </xf>
    <xf numFmtId="171" fontId="30" fillId="0" borderId="11" xfId="1" applyNumberFormat="1" applyFont="1" applyFill="1" applyBorder="1" applyAlignment="1">
      <alignment horizontal="center" vertical="center"/>
    </xf>
    <xf numFmtId="3" fontId="30" fillId="0" borderId="12" xfId="1" applyNumberFormat="1" applyFont="1" applyFill="1" applyBorder="1" applyAlignment="1">
      <alignment horizontal="center" vertical="center"/>
    </xf>
    <xf numFmtId="3" fontId="30" fillId="0" borderId="0" xfId="1" applyNumberFormat="1" applyFont="1" applyFill="1" applyBorder="1" applyAlignment="1">
      <alignment horizontal="center"/>
    </xf>
    <xf numFmtId="9" fontId="30" fillId="0" borderId="10" xfId="1" applyNumberFormat="1" applyFont="1" applyBorder="1" applyAlignment="1">
      <alignment horizontal="center" vertical="center"/>
    </xf>
    <xf numFmtId="0" fontId="30" fillId="0" borderId="164" xfId="0" applyFont="1" applyBorder="1" applyAlignment="1">
      <alignment horizontal="center" vertical="center" wrapText="1"/>
    </xf>
    <xf numFmtId="9" fontId="0" fillId="0" borderId="0" xfId="0" applyNumberFormat="1"/>
    <xf numFmtId="0" fontId="6" fillId="0" borderId="0" xfId="0" applyFont="1" applyBorder="1"/>
    <xf numFmtId="167" fontId="9" fillId="0" borderId="0" xfId="0" applyNumberFormat="1" applyFont="1" applyBorder="1" applyAlignment="1">
      <alignment horizontal="center" vertical="center" wrapText="1"/>
    </xf>
    <xf numFmtId="167" fontId="9" fillId="0" borderId="98" xfId="0" applyNumberFormat="1" applyFont="1" applyFill="1" applyBorder="1" applyAlignment="1">
      <alignment horizontal="center" vertical="center" wrapText="1"/>
    </xf>
    <xf numFmtId="0" fontId="34" fillId="0" borderId="158" xfId="0" applyFont="1" applyBorder="1" applyAlignment="1">
      <alignment horizontal="center"/>
    </xf>
    <xf numFmtId="3" fontId="9" fillId="0" borderId="44" xfId="3" applyNumberFormat="1" applyFont="1" applyBorder="1" applyAlignment="1">
      <alignment horizontal="center"/>
    </xf>
    <xf numFmtId="3" fontId="9" fillId="0" borderId="0" xfId="3" applyNumberFormat="1" applyFont="1" applyBorder="1" applyAlignment="1">
      <alignment horizontal="center"/>
    </xf>
    <xf numFmtId="3" fontId="9" fillId="0" borderId="71" xfId="3" applyNumberFormat="1" applyFont="1" applyBorder="1" applyAlignment="1">
      <alignment horizontal="center"/>
    </xf>
    <xf numFmtId="1" fontId="9" fillId="0" borderId="0" xfId="3" applyNumberFormat="1" applyFont="1" applyBorder="1" applyAlignment="1">
      <alignment horizontal="center"/>
    </xf>
    <xf numFmtId="1" fontId="9" fillId="0" borderId="71" xfId="3" applyNumberFormat="1" applyFont="1" applyBorder="1" applyAlignment="1">
      <alignment horizontal="center"/>
    </xf>
    <xf numFmtId="0" fontId="9" fillId="0" borderId="44" xfId="3" applyFont="1" applyBorder="1" applyAlignment="1">
      <alignment horizontal="center"/>
    </xf>
    <xf numFmtId="0" fontId="9" fillId="0" borderId="0" xfId="3" applyFont="1" applyBorder="1" applyAlignment="1">
      <alignment horizontal="center"/>
    </xf>
    <xf numFmtId="0" fontId="9" fillId="0" borderId="71" xfId="3" applyFont="1" applyBorder="1" applyAlignment="1">
      <alignment horizontal="center"/>
    </xf>
    <xf numFmtId="0" fontId="34" fillId="0" borderId="133" xfId="0" applyFont="1" applyBorder="1" applyAlignment="1">
      <alignment horizontal="center"/>
    </xf>
    <xf numFmtId="0" fontId="38" fillId="0" borderId="98" xfId="0" applyFont="1" applyBorder="1" applyAlignment="1">
      <alignment horizontal="center" vertical="center" wrapText="1"/>
    </xf>
    <xf numFmtId="0" fontId="70" fillId="0" borderId="130" xfId="0" applyFont="1" applyBorder="1"/>
    <xf numFmtId="9" fontId="30" fillId="0" borderId="130" xfId="1" applyFont="1" applyBorder="1" applyAlignment="1">
      <alignment horizontal="center"/>
    </xf>
    <xf numFmtId="9" fontId="30" fillId="0" borderId="132" xfId="1" applyFont="1" applyBorder="1" applyAlignment="1">
      <alignment horizontal="center" vertical="center" wrapText="1"/>
    </xf>
    <xf numFmtId="9" fontId="30" fillId="0" borderId="39" xfId="1" applyFont="1" applyBorder="1" applyAlignment="1">
      <alignment horizontal="center" vertical="center" wrapText="1"/>
    </xf>
    <xf numFmtId="0" fontId="30" fillId="0" borderId="30" xfId="0" applyFont="1" applyFill="1" applyBorder="1" applyAlignment="1">
      <alignment horizontal="center" vertical="center"/>
    </xf>
    <xf numFmtId="171" fontId="30" fillId="0" borderId="131" xfId="1" applyNumberFormat="1" applyFont="1" applyFill="1" applyBorder="1" applyAlignment="1">
      <alignment horizontal="center"/>
    </xf>
    <xf numFmtId="171" fontId="111" fillId="0" borderId="98" xfId="591" applyNumberFormat="1" applyFont="1" applyBorder="1" applyAlignment="1">
      <alignment horizontal="center"/>
    </xf>
    <xf numFmtId="171" fontId="111" fillId="0" borderId="0" xfId="591" applyNumberFormat="1" applyFont="1" applyBorder="1" applyAlignment="1">
      <alignment horizontal="center"/>
    </xf>
    <xf numFmtId="171" fontId="111" fillId="0" borderId="18" xfId="591" applyNumberFormat="1" applyFont="1" applyBorder="1" applyAlignment="1">
      <alignment horizontal="center"/>
    </xf>
    <xf numFmtId="171" fontId="111" fillId="0" borderId="10" xfId="591" applyNumberFormat="1" applyFont="1" applyBorder="1" applyAlignment="1">
      <alignment horizontal="center"/>
    </xf>
    <xf numFmtId="0" fontId="111" fillId="0" borderId="156" xfId="1105" applyFont="1" applyBorder="1"/>
    <xf numFmtId="9" fontId="5" fillId="0" borderId="1" xfId="1" applyFont="1" applyBorder="1" applyAlignment="1">
      <alignment horizontal="center" vertical="center"/>
    </xf>
    <xf numFmtId="9" fontId="30" fillId="0" borderId="11" xfId="1" applyNumberFormat="1" applyFont="1" applyBorder="1" applyAlignment="1">
      <alignment horizontal="center" vertical="center"/>
    </xf>
    <xf numFmtId="0" fontId="4" fillId="0" borderId="0" xfId="1222"/>
    <xf numFmtId="9" fontId="30" fillId="0" borderId="133" xfId="1223" applyFont="1" applyBorder="1" applyAlignment="1">
      <alignment horizontal="center"/>
    </xf>
    <xf numFmtId="1" fontId="5" fillId="0" borderId="115" xfId="1224" applyNumberFormat="1" applyFont="1" applyBorder="1" applyAlignment="1">
      <alignment horizontal="center"/>
    </xf>
    <xf numFmtId="1" fontId="5" fillId="0" borderId="131" xfId="1224" applyNumberFormat="1" applyFont="1" applyBorder="1" applyAlignment="1">
      <alignment horizontal="center"/>
    </xf>
    <xf numFmtId="9" fontId="30" fillId="0" borderId="132" xfId="1223" applyFont="1" applyBorder="1" applyAlignment="1">
      <alignment horizontal="center"/>
    </xf>
    <xf numFmtId="9" fontId="30" fillId="0" borderId="131" xfId="1223" applyFont="1" applyBorder="1" applyAlignment="1">
      <alignment horizontal="center"/>
    </xf>
    <xf numFmtId="170" fontId="30" fillId="0" borderId="130" xfId="1225" applyNumberFormat="1" applyFont="1" applyBorder="1"/>
    <xf numFmtId="9" fontId="30" fillId="0" borderId="158" xfId="1223" applyFont="1" applyBorder="1" applyAlignment="1">
      <alignment horizontal="center"/>
    </xf>
    <xf numFmtId="1" fontId="5" fillId="0" borderId="2" xfId="1224" applyNumberFormat="1" applyFont="1" applyBorder="1" applyAlignment="1">
      <alignment horizontal="center"/>
    </xf>
    <xf numFmtId="9" fontId="30" fillId="0" borderId="1" xfId="1223" applyFont="1" applyBorder="1" applyAlignment="1">
      <alignment horizontal="center"/>
    </xf>
    <xf numFmtId="9" fontId="30" fillId="0" borderId="0" xfId="1223" applyFont="1" applyAlignment="1">
      <alignment horizontal="center"/>
    </xf>
    <xf numFmtId="170" fontId="30" fillId="0" borderId="98" xfId="1225" applyNumberFormat="1" applyFont="1" applyBorder="1"/>
    <xf numFmtId="1" fontId="5" fillId="0" borderId="2" xfId="1225" applyNumberFormat="1" applyFont="1" applyBorder="1" applyAlignment="1">
      <alignment horizontal="center"/>
    </xf>
    <xf numFmtId="0" fontId="30" fillId="0" borderId="158" xfId="1224" applyFont="1" applyBorder="1" applyAlignment="1">
      <alignment horizontal="center"/>
    </xf>
    <xf numFmtId="0" fontId="5" fillId="0" borderId="34" xfId="1224" applyFont="1" applyBorder="1" applyAlignment="1">
      <alignment horizontal="center"/>
    </xf>
    <xf numFmtId="0" fontId="5" fillId="0" borderId="24" xfId="1224" applyFont="1" applyBorder="1" applyAlignment="1">
      <alignment horizontal="center"/>
    </xf>
    <xf numFmtId="0" fontId="30" fillId="0" borderId="3" xfId="1224" applyFont="1" applyBorder="1" applyAlignment="1">
      <alignment horizontal="center"/>
    </xf>
    <xf numFmtId="0" fontId="30" fillId="0" borderId="24" xfId="1224" applyFont="1" applyBorder="1" applyAlignment="1">
      <alignment horizontal="center"/>
    </xf>
    <xf numFmtId="170" fontId="30" fillId="0" borderId="30" xfId="1225" applyNumberFormat="1" applyFont="1" applyBorder="1"/>
    <xf numFmtId="0" fontId="27" fillId="0" borderId="158" xfId="341" applyBorder="1" applyAlignment="1">
      <alignment horizontal="center" vertical="center"/>
    </xf>
    <xf numFmtId="0" fontId="5" fillId="0" borderId="0" xfId="1224" applyFont="1"/>
    <xf numFmtId="0" fontId="30" fillId="0" borderId="0" xfId="1224" applyFont="1"/>
    <xf numFmtId="0" fontId="6" fillId="0" borderId="0" xfId="1224" applyFont="1"/>
    <xf numFmtId="0" fontId="30" fillId="0" borderId="158" xfId="1224" applyFont="1" applyBorder="1"/>
    <xf numFmtId="0" fontId="30" fillId="0" borderId="98" xfId="1224" applyFont="1" applyBorder="1"/>
    <xf numFmtId="9" fontId="30" fillId="0" borderId="158" xfId="1226" applyFont="1" applyBorder="1" applyAlignment="1">
      <alignment horizontal="center" vertical="center"/>
    </xf>
    <xf numFmtId="9" fontId="30" fillId="0" borderId="0" xfId="1226" applyFont="1" applyAlignment="1">
      <alignment horizontal="center" vertical="center" wrapText="1"/>
    </xf>
    <xf numFmtId="9" fontId="30" fillId="0" borderId="0" xfId="1226" applyFont="1" applyAlignment="1">
      <alignment horizontal="center" vertical="center"/>
    </xf>
    <xf numFmtId="3" fontId="30" fillId="0" borderId="0" xfId="1224" applyNumberFormat="1" applyFont="1" applyAlignment="1">
      <alignment horizontal="center" vertical="center"/>
    </xf>
    <xf numFmtId="0" fontId="30" fillId="0" borderId="98" xfId="1224" applyFont="1" applyBorder="1" applyAlignment="1">
      <alignment horizontal="center" vertical="center" wrapText="1"/>
    </xf>
    <xf numFmtId="1" fontId="5" fillId="0" borderId="133" xfId="1226" applyNumberFormat="1" applyFont="1" applyBorder="1" applyAlignment="1">
      <alignment horizontal="center" vertical="center" wrapText="1"/>
    </xf>
    <xf numFmtId="1" fontId="5" fillId="0" borderId="131" xfId="1226" applyNumberFormat="1" applyFont="1" applyBorder="1" applyAlignment="1">
      <alignment horizontal="center" vertical="center" wrapText="1"/>
    </xf>
    <xf numFmtId="3" fontId="5" fillId="0" borderId="115" xfId="1224" applyNumberFormat="1" applyFont="1" applyBorder="1" applyAlignment="1">
      <alignment horizontal="center"/>
    </xf>
    <xf numFmtId="3" fontId="30" fillId="0" borderId="131" xfId="1224" applyNumberFormat="1" applyFont="1" applyBorder="1" applyAlignment="1">
      <alignment horizontal="center" vertical="center"/>
    </xf>
    <xf numFmtId="3" fontId="30" fillId="0" borderId="115" xfId="1224" applyNumberFormat="1" applyFont="1" applyBorder="1" applyAlignment="1">
      <alignment horizontal="center" vertical="center"/>
    </xf>
    <xf numFmtId="0" fontId="30" fillId="0" borderId="130" xfId="1224" applyFont="1" applyBorder="1" applyAlignment="1">
      <alignment horizontal="center" vertical="center" wrapText="1"/>
    </xf>
    <xf numFmtId="0" fontId="49" fillId="0" borderId="0" xfId="592" applyFont="1"/>
    <xf numFmtId="169" fontId="5" fillId="0" borderId="0" xfId="1224" applyNumberFormat="1" applyFont="1"/>
    <xf numFmtId="1" fontId="5" fillId="0" borderId="158" xfId="1226" applyNumberFormat="1" applyFont="1" applyBorder="1" applyAlignment="1">
      <alignment horizontal="center" vertical="center" wrapText="1"/>
    </xf>
    <xf numFmtId="1" fontId="5" fillId="0" borderId="0" xfId="1226" applyNumberFormat="1" applyFont="1" applyAlignment="1">
      <alignment horizontal="center" vertical="center" wrapText="1"/>
    </xf>
    <xf numFmtId="3" fontId="5" fillId="0" borderId="2" xfId="1224" applyNumberFormat="1" applyFont="1" applyBorder="1" applyAlignment="1">
      <alignment horizontal="center"/>
    </xf>
    <xf numFmtId="3" fontId="5" fillId="0" borderId="0" xfId="1224" applyNumberFormat="1" applyFont="1" applyAlignment="1">
      <alignment horizontal="center"/>
    </xf>
    <xf numFmtId="1" fontId="5" fillId="0" borderId="2" xfId="1224" applyNumberFormat="1" applyFont="1" applyBorder="1" applyAlignment="1">
      <alignment horizontal="center" vertical="center" wrapText="1"/>
    </xf>
    <xf numFmtId="0" fontId="5" fillId="0" borderId="98" xfId="1224" applyFont="1" applyBorder="1"/>
    <xf numFmtId="169" fontId="5" fillId="0" borderId="0" xfId="1224" applyNumberFormat="1" applyFont="1" applyAlignment="1">
      <alignment horizontal="center"/>
    </xf>
    <xf numFmtId="0" fontId="70" fillId="0" borderId="98" xfId="1224" applyFont="1" applyBorder="1"/>
    <xf numFmtId="0" fontId="49" fillId="0" borderId="0" xfId="592" applyFont="1" applyAlignment="1">
      <alignment vertical="center"/>
    </xf>
    <xf numFmtId="1" fontId="37" fillId="0" borderId="2" xfId="1224" applyNumberFormat="1" applyFont="1" applyBorder="1" applyAlignment="1">
      <alignment horizontal="center" vertical="center" wrapText="1"/>
    </xf>
    <xf numFmtId="9" fontId="37" fillId="0" borderId="0" xfId="1224" applyNumberFormat="1" applyFont="1"/>
    <xf numFmtId="0" fontId="9" fillId="0" borderId="98" xfId="1224" applyFont="1" applyBorder="1"/>
    <xf numFmtId="3" fontId="30" fillId="0" borderId="158" xfId="1224" applyNumberFormat="1" applyFont="1" applyBorder="1" applyAlignment="1">
      <alignment horizontal="center" vertical="center"/>
    </xf>
    <xf numFmtId="9" fontId="30" fillId="0" borderId="0" xfId="1223" applyFont="1" applyAlignment="1">
      <alignment horizontal="center" vertical="center"/>
    </xf>
    <xf numFmtId="3" fontId="30" fillId="0" borderId="2" xfId="1224" applyNumberFormat="1" applyFont="1" applyBorder="1" applyAlignment="1">
      <alignment horizontal="center" vertical="center"/>
    </xf>
    <xf numFmtId="9" fontId="30" fillId="0" borderId="1" xfId="1223" applyFont="1" applyBorder="1" applyAlignment="1">
      <alignment horizontal="center" vertical="center"/>
    </xf>
    <xf numFmtId="0" fontId="37" fillId="0" borderId="0" xfId="1224" applyFont="1"/>
    <xf numFmtId="1" fontId="5" fillId="0" borderId="0" xfId="1224" applyNumberFormat="1" applyFont="1" applyAlignment="1">
      <alignment horizontal="center" vertical="center" wrapText="1"/>
    </xf>
    <xf numFmtId="170" fontId="5" fillId="0" borderId="0" xfId="1225" applyNumberFormat="1" applyFont="1"/>
    <xf numFmtId="3" fontId="30" fillId="0" borderId="31" xfId="1224" applyNumberFormat="1" applyFont="1" applyBorder="1" applyAlignment="1">
      <alignment horizontal="center" vertical="center" wrapText="1"/>
    </xf>
    <xf numFmtId="3" fontId="30" fillId="0" borderId="24" xfId="1224" applyNumberFormat="1" applyFont="1" applyBorder="1" applyAlignment="1">
      <alignment horizontal="center" vertical="center" wrapText="1"/>
    </xf>
    <xf numFmtId="3" fontId="30" fillId="0" borderId="34" xfId="1224" applyNumberFormat="1" applyFont="1" applyBorder="1" applyAlignment="1">
      <alignment horizontal="center" vertical="center" wrapText="1"/>
    </xf>
    <xf numFmtId="0" fontId="30" fillId="0" borderId="30" xfId="1224" applyFont="1" applyBorder="1" applyAlignment="1">
      <alignment horizontal="center" vertical="center"/>
    </xf>
    <xf numFmtId="0" fontId="32" fillId="0" borderId="158" xfId="1224" applyFont="1" applyBorder="1" applyAlignment="1">
      <alignment horizontal="center" vertical="center" wrapText="1"/>
    </xf>
    <xf numFmtId="0" fontId="32" fillId="0" borderId="0" xfId="1224" applyFont="1" applyAlignment="1">
      <alignment horizontal="center" vertical="center" wrapText="1"/>
    </xf>
    <xf numFmtId="0" fontId="32" fillId="0" borderId="2" xfId="1224" applyFont="1" applyBorder="1" applyAlignment="1">
      <alignment horizontal="center" vertical="center" wrapText="1"/>
    </xf>
    <xf numFmtId="0" fontId="5" fillId="0" borderId="158" xfId="1224" applyFont="1" applyBorder="1" applyAlignment="1">
      <alignment horizontal="center" vertical="center" wrapText="1"/>
    </xf>
    <xf numFmtId="0" fontId="5" fillId="0" borderId="0" xfId="1224" applyFont="1" applyAlignment="1">
      <alignment horizontal="center" vertical="center" wrapText="1"/>
    </xf>
    <xf numFmtId="0" fontId="5" fillId="0" borderId="34" xfId="1224" applyFont="1" applyBorder="1" applyAlignment="1">
      <alignment horizontal="center" vertical="center" wrapText="1"/>
    </xf>
    <xf numFmtId="0" fontId="5" fillId="0" borderId="2" xfId="1224" applyFont="1" applyBorder="1" applyAlignment="1">
      <alignment horizontal="center" vertical="center" wrapText="1"/>
    </xf>
    <xf numFmtId="0" fontId="5" fillId="0" borderId="156" xfId="1224" applyFont="1" applyBorder="1"/>
    <xf numFmtId="0" fontId="34" fillId="0" borderId="158" xfId="1224" applyFont="1" applyBorder="1" applyAlignment="1">
      <alignment horizontal="center"/>
    </xf>
    <xf numFmtId="0" fontId="34" fillId="0" borderId="0" xfId="1224" applyFont="1" applyAlignment="1">
      <alignment horizontal="center"/>
    </xf>
    <xf numFmtId="0" fontId="5" fillId="0" borderId="158" xfId="1224" applyFont="1" applyBorder="1"/>
    <xf numFmtId="0" fontId="31" fillId="0" borderId="0" xfId="1224" applyFont="1" applyAlignment="1">
      <alignment horizontal="center" vertical="center"/>
    </xf>
    <xf numFmtId="0" fontId="31" fillId="0" borderId="98" xfId="1224" applyFont="1" applyBorder="1" applyAlignment="1">
      <alignment horizontal="center" vertical="center"/>
    </xf>
    <xf numFmtId="0" fontId="4" fillId="0" borderId="0" xfId="1222" applyBorder="1"/>
    <xf numFmtId="0" fontId="27" fillId="0" borderId="0" xfId="341" applyBorder="1" applyAlignment="1">
      <alignment horizontal="center" vertical="center"/>
    </xf>
    <xf numFmtId="9" fontId="30" fillId="0" borderId="0" xfId="1223" applyFont="1" applyBorder="1" applyAlignment="1">
      <alignment horizontal="center"/>
    </xf>
    <xf numFmtId="1" fontId="5" fillId="0" borderId="0" xfId="1225" applyNumberFormat="1" applyFont="1" applyBorder="1" applyAlignment="1">
      <alignment horizontal="center"/>
    </xf>
    <xf numFmtId="1" fontId="5" fillId="0" borderId="0" xfId="1224" applyNumberFormat="1" applyFont="1" applyBorder="1" applyAlignment="1">
      <alignment horizontal="center"/>
    </xf>
    <xf numFmtId="9" fontId="30" fillId="0" borderId="131" xfId="1" applyFont="1" applyBorder="1" applyAlignment="1">
      <alignment horizontal="center" vertical="center"/>
    </xf>
    <xf numFmtId="167" fontId="30" fillId="0" borderId="24" xfId="0" applyNumberFormat="1" applyFont="1" applyBorder="1" applyAlignment="1">
      <alignment horizontal="center" vertical="center" wrapText="1"/>
    </xf>
    <xf numFmtId="0" fontId="38" fillId="0" borderId="30" xfId="0" applyFont="1" applyBorder="1" applyAlignment="1">
      <alignment horizontal="center" vertical="center"/>
    </xf>
    <xf numFmtId="167" fontId="30" fillId="0" borderId="31" xfId="0" applyNumberFormat="1" applyFont="1" applyBorder="1" applyAlignment="1">
      <alignment horizontal="center" vertical="center" wrapText="1"/>
    </xf>
    <xf numFmtId="167" fontId="30" fillId="0" borderId="158" xfId="0" applyNumberFormat="1" applyFont="1" applyBorder="1" applyAlignment="1">
      <alignment horizontal="center" vertical="center" wrapText="1"/>
    </xf>
    <xf numFmtId="0" fontId="30" fillId="0" borderId="130" xfId="0" applyFont="1" applyBorder="1" applyAlignment="1">
      <alignment horizontal="center" vertical="center" wrapText="1"/>
    </xf>
    <xf numFmtId="3" fontId="30" fillId="0" borderId="131" xfId="0" applyNumberFormat="1" applyFont="1" applyBorder="1" applyAlignment="1">
      <alignment horizontal="center" vertical="center"/>
    </xf>
    <xf numFmtId="9" fontId="30" fillId="0" borderId="174" xfId="1" applyFont="1" applyBorder="1" applyAlignment="1">
      <alignment horizontal="center" vertical="center"/>
    </xf>
    <xf numFmtId="167" fontId="30" fillId="0" borderId="131" xfId="0" applyNumberFormat="1" applyFont="1" applyBorder="1" applyAlignment="1">
      <alignment horizontal="center" vertical="center" wrapText="1"/>
    </xf>
    <xf numFmtId="167" fontId="30" fillId="0" borderId="133" xfId="0" applyNumberFormat="1" applyFont="1" applyBorder="1" applyAlignment="1">
      <alignment horizontal="center" vertical="center" wrapText="1"/>
    </xf>
    <xf numFmtId="9" fontId="30" fillId="0" borderId="1" xfId="1" applyFont="1" applyBorder="1" applyAlignment="1">
      <alignment horizontal="center"/>
    </xf>
    <xf numFmtId="9" fontId="43" fillId="0" borderId="2" xfId="1" applyFont="1" applyBorder="1" applyAlignment="1">
      <alignment horizontal="center" vertical="center"/>
    </xf>
    <xf numFmtId="167" fontId="30" fillId="0" borderId="3" xfId="0" applyNumberFormat="1" applyFont="1" applyBorder="1" applyAlignment="1">
      <alignment horizontal="center" vertical="center" wrapText="1"/>
    </xf>
    <xf numFmtId="167" fontId="30" fillId="0" borderId="34" xfId="0" applyNumberFormat="1" applyFont="1" applyBorder="1" applyAlignment="1">
      <alignment horizontal="center" vertical="center" wrapText="1"/>
    </xf>
    <xf numFmtId="167" fontId="30" fillId="0" borderId="2" xfId="0" applyNumberFormat="1" applyFont="1" applyBorder="1" applyAlignment="1">
      <alignment horizontal="center" vertical="center" wrapText="1"/>
    </xf>
    <xf numFmtId="167" fontId="30" fillId="0" borderId="1" xfId="0" applyNumberFormat="1" applyFont="1" applyFill="1" applyBorder="1" applyAlignment="1">
      <alignment horizontal="center" vertical="center" wrapText="1"/>
    </xf>
    <xf numFmtId="167" fontId="30" fillId="0" borderId="1" xfId="0" applyNumberFormat="1" applyFont="1" applyBorder="1" applyAlignment="1">
      <alignment horizontal="center"/>
    </xf>
    <xf numFmtId="167" fontId="30" fillId="0" borderId="1" xfId="0" applyNumberFormat="1" applyFont="1" applyFill="1" applyBorder="1" applyAlignment="1">
      <alignment horizontal="center"/>
    </xf>
    <xf numFmtId="0" fontId="30" fillId="0" borderId="1" xfId="0" applyFont="1" applyBorder="1" applyAlignment="1">
      <alignment horizontal="center" vertical="center"/>
    </xf>
    <xf numFmtId="167" fontId="30" fillId="0" borderId="1" xfId="0" applyNumberFormat="1" applyFont="1" applyBorder="1" applyAlignment="1">
      <alignment horizontal="center" vertical="center"/>
    </xf>
    <xf numFmtId="1" fontId="30" fillId="0" borderId="118" xfId="1" applyNumberFormat="1" applyFont="1" applyBorder="1" applyAlignment="1">
      <alignment horizontal="center" vertical="center"/>
    </xf>
    <xf numFmtId="167" fontId="30" fillId="0" borderId="14" xfId="0" applyNumberFormat="1" applyFont="1" applyBorder="1" applyAlignment="1">
      <alignment horizontal="center" vertical="center" wrapText="1"/>
    </xf>
    <xf numFmtId="167" fontId="30" fillId="0" borderId="119" xfId="0" applyNumberFormat="1" applyFont="1" applyBorder="1" applyAlignment="1">
      <alignment horizontal="center" vertical="center" wrapText="1"/>
    </xf>
    <xf numFmtId="9" fontId="30" fillId="0" borderId="118" xfId="1" applyFont="1" applyBorder="1" applyAlignment="1">
      <alignment horizontal="center" vertical="center"/>
    </xf>
    <xf numFmtId="9" fontId="30" fillId="0" borderId="14" xfId="1" applyFont="1" applyBorder="1" applyAlignment="1">
      <alignment horizontal="center" vertical="center"/>
    </xf>
    <xf numFmtId="9" fontId="30" fillId="0" borderId="119" xfId="1" applyFont="1" applyBorder="1" applyAlignment="1">
      <alignment horizontal="center" vertical="center"/>
    </xf>
    <xf numFmtId="167" fontId="30" fillId="0" borderId="43" xfId="0" applyNumberFormat="1" applyFont="1" applyBorder="1" applyAlignment="1">
      <alignment horizontal="center" vertical="center" wrapText="1"/>
    </xf>
    <xf numFmtId="9" fontId="30" fillId="0" borderId="132" xfId="1" applyFont="1" applyBorder="1" applyAlignment="1">
      <alignment horizontal="center" vertical="center"/>
    </xf>
    <xf numFmtId="9" fontId="30" fillId="0" borderId="115" xfId="1" applyFont="1" applyBorder="1" applyAlignment="1">
      <alignment horizontal="center" vertical="center"/>
    </xf>
    <xf numFmtId="3" fontId="30" fillId="0" borderId="132" xfId="0" applyNumberFormat="1" applyFont="1" applyBorder="1" applyAlignment="1">
      <alignment horizontal="center" vertical="center"/>
    </xf>
    <xf numFmtId="167" fontId="30" fillId="0" borderId="115" xfId="0" applyNumberFormat="1" applyFont="1" applyBorder="1" applyAlignment="1">
      <alignment horizontal="center" vertical="center" wrapText="1"/>
    </xf>
    <xf numFmtId="0" fontId="121" fillId="0" borderId="0" xfId="0" applyFont="1" applyAlignment="1">
      <alignment vertical="center" wrapText="1"/>
    </xf>
    <xf numFmtId="9" fontId="9" fillId="0" borderId="133" xfId="1120" applyFont="1" applyBorder="1" applyAlignment="1">
      <alignment horizontal="center" vertical="center"/>
    </xf>
    <xf numFmtId="3" fontId="9" fillId="0" borderId="131" xfId="1226" applyNumberFormat="1" applyFont="1" applyFill="1" applyBorder="1" applyAlignment="1">
      <alignment horizontal="center" vertical="center"/>
    </xf>
    <xf numFmtId="3" fontId="9" fillId="0" borderId="132" xfId="0" applyNumberFormat="1" applyFont="1" applyBorder="1" applyAlignment="1">
      <alignment horizontal="center" vertical="center"/>
    </xf>
    <xf numFmtId="9" fontId="9" fillId="0" borderId="115" xfId="1120" applyFont="1" applyBorder="1" applyAlignment="1">
      <alignment horizontal="center" vertical="center"/>
    </xf>
    <xf numFmtId="0" fontId="9" fillId="0" borderId="130" xfId="0" applyFont="1" applyBorder="1"/>
    <xf numFmtId="9" fontId="9" fillId="0" borderId="158" xfId="1120" applyFont="1" applyBorder="1" applyAlignment="1">
      <alignment horizontal="center" vertical="center"/>
    </xf>
    <xf numFmtId="3" fontId="9" fillId="0" borderId="0" xfId="1226" applyNumberFormat="1" applyFont="1" applyFill="1" applyBorder="1" applyAlignment="1">
      <alignment horizontal="center" vertical="center"/>
    </xf>
    <xf numFmtId="3" fontId="9" fillId="0" borderId="1" xfId="0" applyNumberFormat="1" applyFont="1" applyBorder="1" applyAlignment="1">
      <alignment horizontal="center" vertical="center"/>
    </xf>
    <xf numFmtId="9" fontId="9" fillId="0" borderId="2" xfId="1120" applyFont="1" applyBorder="1" applyAlignment="1">
      <alignment horizontal="center" vertical="center"/>
    </xf>
    <xf numFmtId="0" fontId="9" fillId="0" borderId="98" xfId="0" applyFont="1" applyBorder="1"/>
    <xf numFmtId="1" fontId="43" fillId="0" borderId="158" xfId="0" applyNumberFormat="1" applyFont="1" applyBorder="1" applyAlignment="1">
      <alignment horizontal="center" vertical="center"/>
    </xf>
    <xf numFmtId="1" fontId="43" fillId="0" borderId="0" xfId="0" applyNumberFormat="1" applyFont="1" applyAlignment="1">
      <alignment horizontal="center" vertical="center"/>
    </xf>
    <xf numFmtId="1" fontId="43" fillId="0" borderId="1" xfId="0" applyNumberFormat="1" applyFont="1" applyBorder="1" applyAlignment="1">
      <alignment horizontal="center" vertical="center"/>
    </xf>
    <xf numFmtId="1" fontId="43" fillId="0" borderId="2" xfId="0" applyNumberFormat="1" applyFont="1" applyBorder="1" applyAlignment="1">
      <alignment horizontal="center" vertical="center"/>
    </xf>
    <xf numFmtId="0" fontId="43" fillId="0" borderId="98" xfId="0" applyFont="1" applyBorder="1"/>
    <xf numFmtId="0" fontId="27" fillId="0" borderId="158" xfId="0" applyFont="1" applyBorder="1" applyAlignment="1">
      <alignment horizontal="center"/>
    </xf>
    <xf numFmtId="0" fontId="27" fillId="0" borderId="0" xfId="0" applyFont="1" applyAlignment="1">
      <alignment horizontal="center"/>
    </xf>
    <xf numFmtId="0" fontId="0" fillId="0" borderId="156" xfId="0" applyBorder="1"/>
    <xf numFmtId="3" fontId="0" fillId="0" borderId="17" xfId="0" applyNumberFormat="1" applyBorder="1"/>
    <xf numFmtId="3" fontId="0" fillId="0" borderId="16" xfId="0" applyNumberFormat="1" applyBorder="1"/>
    <xf numFmtId="0" fontId="0" fillId="0" borderId="16" xfId="0" applyBorder="1"/>
    <xf numFmtId="0" fontId="5" fillId="0" borderId="15" xfId="0" applyFont="1" applyBorder="1"/>
    <xf numFmtId="9" fontId="30" fillId="0" borderId="133" xfId="1120" applyFont="1" applyBorder="1"/>
    <xf numFmtId="9" fontId="30" fillId="0" borderId="131" xfId="1120" applyFont="1" applyBorder="1"/>
    <xf numFmtId="0" fontId="30" fillId="0" borderId="130" xfId="0" applyFont="1" applyBorder="1"/>
    <xf numFmtId="180" fontId="30" fillId="0" borderId="158" xfId="0" applyNumberFormat="1" applyFont="1" applyBorder="1"/>
    <xf numFmtId="180" fontId="30" fillId="0" borderId="0" xfId="0" applyNumberFormat="1" applyFont="1"/>
    <xf numFmtId="180" fontId="30" fillId="0" borderId="158" xfId="1227" applyNumberFormat="1" applyFont="1" applyBorder="1"/>
    <xf numFmtId="180" fontId="30" fillId="0" borderId="0" xfId="1227" applyNumberFormat="1" applyFont="1" applyBorder="1"/>
    <xf numFmtId="0" fontId="5" fillId="0" borderId="158" xfId="0" applyFont="1" applyBorder="1"/>
    <xf numFmtId="0" fontId="5" fillId="0" borderId="0" xfId="0" applyFont="1"/>
    <xf numFmtId="0" fontId="5" fillId="0" borderId="98" xfId="0" applyFont="1" applyBorder="1"/>
    <xf numFmtId="180" fontId="5" fillId="0" borderId="158" xfId="1227" applyNumberFormat="1" applyFont="1" applyBorder="1"/>
    <xf numFmtId="180" fontId="5" fillId="0" borderId="0" xfId="1227" applyNumberFormat="1" applyFont="1" applyBorder="1"/>
    <xf numFmtId="180" fontId="9" fillId="0" borderId="158" xfId="1227" applyNumberFormat="1" applyFont="1" applyFill="1" applyBorder="1"/>
    <xf numFmtId="180" fontId="9" fillId="0" borderId="0" xfId="1227" applyNumberFormat="1" applyFont="1" applyFill="1" applyBorder="1"/>
    <xf numFmtId="0" fontId="30" fillId="0" borderId="24" xfId="0" applyFont="1" applyBorder="1"/>
    <xf numFmtId="0" fontId="27" fillId="0" borderId="158" xfId="341" applyBorder="1" applyAlignment="1">
      <alignment horizontal="center"/>
    </xf>
    <xf numFmtId="0" fontId="30" fillId="0" borderId="158" xfId="0" applyFont="1" applyBorder="1" applyAlignment="1">
      <alignment horizontal="center"/>
    </xf>
    <xf numFmtId="0" fontId="30" fillId="0" borderId="0" xfId="0" applyFont="1" applyAlignment="1">
      <alignment horizontal="center"/>
    </xf>
    <xf numFmtId="9" fontId="0" fillId="0" borderId="0" xfId="1120" applyFont="1"/>
    <xf numFmtId="180" fontId="0" fillId="0" borderId="0" xfId="1227" applyNumberFormat="1" applyFont="1"/>
    <xf numFmtId="0" fontId="102" fillId="0" borderId="0" xfId="0" applyFont="1"/>
    <xf numFmtId="180" fontId="0" fillId="0" borderId="0" xfId="1227" applyNumberFormat="1" applyFont="1" applyBorder="1"/>
    <xf numFmtId="9" fontId="43" fillId="0" borderId="158" xfId="1120" applyFont="1" applyBorder="1" applyAlignment="1">
      <alignment vertical="center"/>
    </xf>
    <xf numFmtId="3" fontId="43" fillId="0" borderId="0" xfId="0" applyNumberFormat="1" applyFont="1" applyAlignment="1">
      <alignment horizontal="center" vertical="center" wrapText="1"/>
    </xf>
    <xf numFmtId="3" fontId="43" fillId="0" borderId="1" xfId="0" applyNumberFormat="1" applyFont="1" applyBorder="1" applyAlignment="1">
      <alignment horizontal="center" vertical="center" wrapText="1"/>
    </xf>
    <xf numFmtId="9" fontId="43" fillId="0" borderId="2" xfId="1120" applyFont="1" applyBorder="1" applyAlignment="1">
      <alignment vertical="center"/>
    </xf>
    <xf numFmtId="0" fontId="43" fillId="0" borderId="98" xfId="0" applyFont="1" applyBorder="1" applyAlignment="1">
      <alignment horizontal="center" vertical="center" wrapText="1"/>
    </xf>
    <xf numFmtId="9" fontId="43" fillId="0" borderId="158" xfId="1120" applyFont="1" applyBorder="1" applyAlignment="1">
      <alignment horizontal="center" vertical="center"/>
    </xf>
    <xf numFmtId="9" fontId="43" fillId="0" borderId="2" xfId="1120" applyFont="1" applyBorder="1" applyAlignment="1">
      <alignment horizontal="center" vertical="center"/>
    </xf>
    <xf numFmtId="0" fontId="27" fillId="0" borderId="0" xfId="0" applyFont="1"/>
    <xf numFmtId="9" fontId="52" fillId="0" borderId="0" xfId="1120" applyFont="1" applyFill="1" applyBorder="1"/>
    <xf numFmtId="1" fontId="43" fillId="0" borderId="158" xfId="0" applyNumberFormat="1" applyFont="1" applyBorder="1" applyAlignment="1">
      <alignment horizontal="center" vertical="center" wrapText="1"/>
    </xf>
    <xf numFmtId="1" fontId="43" fillId="0" borderId="2" xfId="0" applyNumberFormat="1" applyFont="1" applyBorder="1" applyAlignment="1">
      <alignment horizontal="center" vertical="center" wrapText="1"/>
    </xf>
    <xf numFmtId="3" fontId="124" fillId="0" borderId="0" xfId="1228" applyNumberFormat="1" applyFont="1" applyAlignment="1">
      <alignment horizontal="right"/>
    </xf>
    <xf numFmtId="3" fontId="49" fillId="0" borderId="175" xfId="3" applyNumberFormat="1" applyFont="1" applyBorder="1" applyAlignment="1">
      <alignment horizontal="right"/>
    </xf>
    <xf numFmtId="181" fontId="52" fillId="0" borderId="0" xfId="1229" applyNumberFormat="1" applyFont="1"/>
    <xf numFmtId="0" fontId="125" fillId="0" borderId="0" xfId="0" applyFont="1"/>
    <xf numFmtId="0" fontId="0" fillId="0" borderId="2" xfId="0" applyBorder="1" applyAlignment="1">
      <alignment horizontal="center"/>
    </xf>
    <xf numFmtId="0" fontId="102" fillId="0" borderId="98" xfId="0" applyFont="1" applyBorder="1"/>
    <xf numFmtId="0" fontId="102" fillId="0" borderId="178" xfId="0" applyFont="1" applyBorder="1"/>
    <xf numFmtId="9" fontId="0" fillId="0" borderId="158" xfId="1120" applyFont="1" applyBorder="1"/>
    <xf numFmtId="9" fontId="5" fillId="0" borderId="133" xfId="1120" applyFont="1" applyBorder="1" applyAlignment="1">
      <alignment horizontal="center"/>
    </xf>
    <xf numFmtId="9" fontId="5" fillId="0" borderId="131" xfId="1120" applyFont="1" applyBorder="1" applyAlignment="1">
      <alignment horizontal="center"/>
    </xf>
    <xf numFmtId="0" fontId="5" fillId="0" borderId="130" xfId="0" applyFont="1" applyBorder="1"/>
    <xf numFmtId="9" fontId="5" fillId="0" borderId="158" xfId="1120" applyFont="1" applyBorder="1" applyAlignment="1">
      <alignment horizontal="center"/>
    </xf>
    <xf numFmtId="1" fontId="5" fillId="0" borderId="0" xfId="0" applyNumberFormat="1" applyFont="1" applyAlignment="1">
      <alignment horizontal="center"/>
    </xf>
    <xf numFmtId="3" fontId="5" fillId="0" borderId="0" xfId="0" applyNumberFormat="1" applyFont="1" applyAlignment="1">
      <alignment horizontal="center"/>
    </xf>
    <xf numFmtId="0" fontId="5" fillId="0" borderId="0" xfId="0" applyFont="1" applyAlignment="1">
      <alignment horizontal="center"/>
    </xf>
    <xf numFmtId="0" fontId="32" fillId="0" borderId="98" xfId="0" applyFont="1" applyBorder="1"/>
    <xf numFmtId="0" fontId="30" fillId="0" borderId="0" xfId="0" applyFont="1" applyAlignment="1">
      <alignment horizontal="center" vertical="center" wrapText="1"/>
    </xf>
    <xf numFmtId="0" fontId="27" fillId="0" borderId="158" xfId="0" applyFont="1" applyBorder="1" applyAlignment="1">
      <alignment horizontal="center" vertical="center"/>
    </xf>
    <xf numFmtId="0" fontId="27" fillId="0" borderId="0" xfId="0" applyFont="1" applyAlignment="1">
      <alignment horizontal="center" vertical="center"/>
    </xf>
    <xf numFmtId="0" fontId="30" fillId="0" borderId="0" xfId="0" applyFont="1" applyAlignment="1">
      <alignment horizontal="center" vertical="center"/>
    </xf>
    <xf numFmtId="0" fontId="74" fillId="0" borderId="0" xfId="592" applyFont="1"/>
    <xf numFmtId="0" fontId="6" fillId="0" borderId="0" xfId="0" applyFont="1"/>
    <xf numFmtId="180" fontId="5" fillId="0" borderId="0" xfId="0" applyNumberFormat="1" applyFont="1"/>
    <xf numFmtId="180" fontId="5" fillId="0" borderId="0" xfId="1227" applyNumberFormat="1" applyFont="1"/>
    <xf numFmtId="3" fontId="5" fillId="0" borderId="0" xfId="0" applyNumberFormat="1" applyFont="1"/>
    <xf numFmtId="3" fontId="9" fillId="0" borderId="133" xfId="0" applyNumberFormat="1" applyFont="1" applyBorder="1" applyAlignment="1">
      <alignment horizontal="center" vertical="center"/>
    </xf>
    <xf numFmtId="3" fontId="9" fillId="0" borderId="131" xfId="0" applyNumberFormat="1" applyFont="1" applyBorder="1" applyAlignment="1">
      <alignment horizontal="center" vertical="center" wrapText="1"/>
    </xf>
    <xf numFmtId="3" fontId="43" fillId="0" borderId="39" xfId="0" applyNumberFormat="1" applyFont="1" applyBorder="1" applyAlignment="1">
      <alignment horizontal="center" vertical="center" wrapText="1"/>
    </xf>
    <xf numFmtId="3" fontId="9" fillId="0" borderId="158" xfId="0" applyNumberFormat="1" applyFont="1" applyBorder="1" applyAlignment="1">
      <alignment horizontal="center" vertical="center"/>
    </xf>
    <xf numFmtId="3" fontId="9" fillId="0" borderId="0" xfId="0" applyNumberFormat="1" applyFont="1" applyAlignment="1">
      <alignment horizontal="center" vertical="center" wrapText="1"/>
    </xf>
    <xf numFmtId="3" fontId="43" fillId="0" borderId="179" xfId="0" applyNumberFormat="1" applyFont="1" applyBorder="1" applyAlignment="1">
      <alignment horizontal="center" vertical="center" wrapText="1"/>
    </xf>
    <xf numFmtId="0" fontId="30" fillId="0" borderId="0" xfId="0" applyFont="1" applyAlignment="1">
      <alignment vertical="center"/>
    </xf>
    <xf numFmtId="3" fontId="43" fillId="0" borderId="158" xfId="0" applyNumberFormat="1" applyFont="1" applyBorder="1" applyAlignment="1">
      <alignment horizontal="center" vertical="center" wrapText="1"/>
    </xf>
    <xf numFmtId="0" fontId="77" fillId="0" borderId="0" xfId="592" applyFont="1" applyAlignment="1">
      <alignment vertical="center"/>
    </xf>
    <xf numFmtId="3" fontId="9" fillId="0" borderId="158" xfId="0" quotePrefix="1" applyNumberFormat="1" applyFont="1" applyBorder="1" applyAlignment="1">
      <alignment horizontal="center" vertical="center"/>
    </xf>
    <xf numFmtId="3" fontId="43" fillId="0" borderId="158" xfId="0" quotePrefix="1" applyNumberFormat="1" applyFont="1" applyBorder="1" applyAlignment="1">
      <alignment horizontal="center" vertical="center"/>
    </xf>
    <xf numFmtId="0" fontId="77" fillId="0" borderId="0" xfId="592" applyFont="1"/>
    <xf numFmtId="180" fontId="96" fillId="0" borderId="0" xfId="0" applyNumberFormat="1" applyFont="1"/>
    <xf numFmtId="180" fontId="96" fillId="0" borderId="0" xfId="1227" applyNumberFormat="1" applyFont="1"/>
    <xf numFmtId="167" fontId="5" fillId="0" borderId="0" xfId="0" applyNumberFormat="1" applyFont="1"/>
    <xf numFmtId="9" fontId="5" fillId="0" borderId="0" xfId="0" applyNumberFormat="1" applyFont="1"/>
    <xf numFmtId="3" fontId="43" fillId="0" borderId="179" xfId="0" applyNumberFormat="1" applyFont="1" applyBorder="1" applyAlignment="1">
      <alignment horizontal="center" vertical="center"/>
    </xf>
    <xf numFmtId="3" fontId="43" fillId="0" borderId="31" xfId="0" applyNumberFormat="1" applyFont="1" applyBorder="1" applyAlignment="1">
      <alignment horizontal="center" vertical="center" wrapText="1"/>
    </xf>
    <xf numFmtId="0" fontId="74" fillId="0" borderId="0" xfId="592" applyFont="1" applyAlignment="1">
      <alignment horizontal="center" vertical="center" wrapText="1"/>
    </xf>
    <xf numFmtId="0" fontId="5" fillId="0" borderId="156" xfId="0" applyFont="1" applyBorder="1"/>
    <xf numFmtId="11" fontId="0" fillId="0" borderId="0" xfId="0" applyNumberFormat="1"/>
    <xf numFmtId="0" fontId="30" fillId="0" borderId="0" xfId="0" applyFont="1" applyBorder="1" applyAlignment="1">
      <alignment horizontal="center"/>
    </xf>
    <xf numFmtId="0" fontId="27" fillId="0" borderId="0" xfId="341" applyBorder="1" applyAlignment="1">
      <alignment horizontal="center"/>
    </xf>
    <xf numFmtId="0" fontId="5" fillId="0" borderId="0" xfId="0" applyFont="1" applyBorder="1"/>
    <xf numFmtId="180" fontId="30" fillId="0" borderId="0" xfId="0" applyNumberFormat="1" applyFont="1" applyBorder="1"/>
    <xf numFmtId="167" fontId="30" fillId="0" borderId="25" xfId="0" applyNumberFormat="1" applyFont="1" applyBorder="1" applyAlignment="1">
      <alignment horizontal="center" vertical="center" wrapText="1"/>
    </xf>
    <xf numFmtId="1" fontId="5" fillId="0" borderId="131" xfId="0" applyNumberFormat="1" applyFont="1" applyBorder="1" applyAlignment="1">
      <alignment horizontal="center" vertical="center" wrapText="1"/>
    </xf>
    <xf numFmtId="1" fontId="30" fillId="0" borderId="131" xfId="0" applyNumberFormat="1" applyFont="1" applyBorder="1" applyAlignment="1">
      <alignment horizontal="center" vertical="center" wrapText="1"/>
    </xf>
    <xf numFmtId="167" fontId="5" fillId="0" borderId="24" xfId="0" applyNumberFormat="1" applyFont="1" applyBorder="1" applyAlignment="1">
      <alignment horizontal="center" vertical="center" wrapText="1"/>
    </xf>
    <xf numFmtId="167" fontId="5" fillId="0" borderId="0" xfId="0" applyNumberFormat="1" applyFont="1" applyBorder="1" applyAlignment="1">
      <alignment horizontal="center" vertical="center" wrapText="1"/>
    </xf>
    <xf numFmtId="167" fontId="5" fillId="0" borderId="0" xfId="0" applyNumberFormat="1" applyFont="1" applyFill="1" applyBorder="1" applyAlignment="1">
      <alignment horizontal="center" vertical="center" wrapText="1"/>
    </xf>
    <xf numFmtId="167" fontId="5" fillId="0" borderId="0" xfId="0" applyNumberFormat="1" applyFont="1" applyBorder="1" applyAlignment="1">
      <alignment horizontal="center"/>
    </xf>
    <xf numFmtId="167" fontId="5" fillId="0" borderId="0" xfId="0" applyNumberFormat="1" applyFont="1" applyFill="1" applyBorder="1" applyAlignment="1">
      <alignment horizontal="center"/>
    </xf>
    <xf numFmtId="0" fontId="5" fillId="0" borderId="0" xfId="0" applyFont="1" applyBorder="1" applyAlignment="1">
      <alignment horizontal="center" vertical="center"/>
    </xf>
    <xf numFmtId="167" fontId="5" fillId="0" borderId="0" xfId="0" applyNumberFormat="1" applyFont="1" applyBorder="1" applyAlignment="1">
      <alignment horizontal="center" vertical="center"/>
    </xf>
    <xf numFmtId="167" fontId="5" fillId="0" borderId="14" xfId="0" applyNumberFormat="1" applyFont="1" applyBorder="1" applyAlignment="1">
      <alignment horizontal="center" vertical="center" wrapText="1"/>
    </xf>
    <xf numFmtId="1" fontId="5" fillId="0" borderId="14" xfId="1" applyNumberFormat="1" applyFont="1" applyBorder="1" applyAlignment="1">
      <alignment horizontal="center" vertical="center"/>
    </xf>
    <xf numFmtId="167" fontId="5" fillId="0" borderId="31" xfId="0" applyNumberFormat="1" applyFont="1" applyBorder="1" applyAlignment="1">
      <alignment horizontal="center" vertical="center" wrapText="1"/>
    </xf>
    <xf numFmtId="167" fontId="5" fillId="0" borderId="158" xfId="0" applyNumberFormat="1" applyFont="1" applyBorder="1" applyAlignment="1">
      <alignment horizontal="center" vertical="center" wrapText="1"/>
    </xf>
    <xf numFmtId="167" fontId="5" fillId="0" borderId="43" xfId="0" applyNumberFormat="1" applyFont="1" applyBorder="1" applyAlignment="1">
      <alignment horizontal="center" vertical="center" wrapText="1"/>
    </xf>
    <xf numFmtId="1" fontId="5" fillId="0" borderId="133" xfId="0" applyNumberFormat="1" applyFont="1" applyBorder="1" applyAlignment="1">
      <alignment horizontal="center" vertical="center" wrapText="1"/>
    </xf>
    <xf numFmtId="0" fontId="26" fillId="0" borderId="0" xfId="0" applyFont="1" applyAlignment="1">
      <alignment horizontal="left"/>
    </xf>
    <xf numFmtId="0" fontId="34" fillId="0" borderId="98" xfId="0" applyFont="1" applyBorder="1" applyAlignment="1">
      <alignment horizontal="left"/>
    </xf>
    <xf numFmtId="0" fontId="30" fillId="0" borderId="30" xfId="0" applyFont="1" applyBorder="1" applyAlignment="1">
      <alignment horizontal="left" vertical="center" wrapText="1"/>
    </xf>
    <xf numFmtId="167" fontId="30" fillId="0" borderId="30" xfId="0" applyNumberFormat="1" applyFont="1" applyBorder="1" applyAlignment="1">
      <alignment horizontal="left" vertical="center" wrapText="1"/>
    </xf>
    <xf numFmtId="167" fontId="30" fillId="0" borderId="98" xfId="0" applyNumberFormat="1" applyFont="1" applyBorder="1" applyAlignment="1">
      <alignment horizontal="left" vertical="center" wrapText="1"/>
    </xf>
    <xf numFmtId="167" fontId="30" fillId="0" borderId="98" xfId="0" applyNumberFormat="1" applyFont="1" applyFill="1" applyBorder="1" applyAlignment="1">
      <alignment horizontal="left" vertical="center" wrapText="1"/>
    </xf>
    <xf numFmtId="167" fontId="30" fillId="0" borderId="98" xfId="0" applyNumberFormat="1" applyFont="1" applyBorder="1" applyAlignment="1">
      <alignment horizontal="left"/>
    </xf>
    <xf numFmtId="167" fontId="30" fillId="0" borderId="98" xfId="0" applyNumberFormat="1" applyFont="1" applyFill="1" applyBorder="1" applyAlignment="1">
      <alignment horizontal="left"/>
    </xf>
    <xf numFmtId="0" fontId="30" fillId="0" borderId="98" xfId="0" applyFont="1" applyBorder="1" applyAlignment="1">
      <alignment horizontal="left" vertical="center"/>
    </xf>
    <xf numFmtId="167" fontId="30" fillId="0" borderId="98" xfId="0" applyNumberFormat="1" applyFont="1" applyBorder="1" applyAlignment="1">
      <alignment horizontal="left" vertical="center"/>
    </xf>
    <xf numFmtId="1" fontId="30" fillId="0" borderId="28" xfId="1" applyNumberFormat="1" applyFont="1" applyBorder="1" applyAlignment="1">
      <alignment horizontal="left" vertical="center"/>
    </xf>
    <xf numFmtId="3" fontId="30" fillId="0" borderId="130" xfId="0" applyNumberFormat="1" applyFont="1" applyBorder="1" applyAlignment="1">
      <alignment horizontal="left" vertical="center"/>
    </xf>
    <xf numFmtId="0" fontId="30" fillId="0" borderId="0" xfId="0" applyFont="1" applyAlignment="1">
      <alignment horizontal="left"/>
    </xf>
    <xf numFmtId="0" fontId="93" fillId="0" borderId="0" xfId="0" applyFont="1" applyAlignment="1">
      <alignment horizontal="left"/>
    </xf>
    <xf numFmtId="3" fontId="30" fillId="0" borderId="0" xfId="0" applyNumberFormat="1" applyFont="1" applyAlignment="1">
      <alignment horizontal="left"/>
    </xf>
    <xf numFmtId="9" fontId="126" fillId="0" borderId="0" xfId="1" applyFont="1" applyBorder="1" applyAlignment="1">
      <alignment horizontal="center" vertical="center" wrapText="1"/>
    </xf>
    <xf numFmtId="0" fontId="0" fillId="0" borderId="158" xfId="0" applyBorder="1"/>
    <xf numFmtId="0" fontId="11" fillId="0" borderId="0" xfId="1116"/>
    <xf numFmtId="1" fontId="11" fillId="0" borderId="0" xfId="1116" applyNumberFormat="1"/>
    <xf numFmtId="0" fontId="127" fillId="0" borderId="0" xfId="1116" applyFont="1"/>
    <xf numFmtId="1" fontId="11" fillId="0" borderId="133" xfId="1116" applyNumberFormat="1" applyBorder="1"/>
    <xf numFmtId="1" fontId="11" fillId="0" borderId="131" xfId="1116" applyNumberFormat="1" applyBorder="1"/>
    <xf numFmtId="1" fontId="11" fillId="0" borderId="158" xfId="1116" applyNumberFormat="1" applyBorder="1"/>
    <xf numFmtId="0" fontId="127" fillId="0" borderId="98" xfId="1116" applyFont="1" applyBorder="1"/>
    <xf numFmtId="0" fontId="128" fillId="0" borderId="98" xfId="1116" applyFont="1" applyBorder="1"/>
    <xf numFmtId="0" fontId="30" fillId="0" borderId="98" xfId="1116" applyFont="1" applyBorder="1" applyAlignment="1">
      <alignment horizontal="center" vertical="center" wrapText="1"/>
    </xf>
    <xf numFmtId="1" fontId="40" fillId="0" borderId="0" xfId="1116" applyNumberFormat="1" applyFont="1" applyAlignment="1">
      <alignment horizontal="center" vertical="center" wrapText="1"/>
    </xf>
    <xf numFmtId="1" fontId="30" fillId="0" borderId="158" xfId="1116" applyNumberFormat="1" applyFont="1" applyBorder="1" applyAlignment="1">
      <alignment horizontal="center" vertical="center" wrapText="1"/>
    </xf>
    <xf numFmtId="1" fontId="30" fillId="0" borderId="0" xfId="1116" applyNumberFormat="1" applyFont="1" applyBorder="1" applyAlignment="1">
      <alignment horizontal="center" vertical="center" wrapText="1"/>
    </xf>
    <xf numFmtId="0" fontId="38" fillId="0" borderId="0" xfId="0" applyFont="1" applyBorder="1" applyAlignment="1">
      <alignment horizontal="center" vertical="center" wrapText="1"/>
    </xf>
    <xf numFmtId="0" fontId="5" fillId="0" borderId="8" xfId="0" applyFont="1" applyBorder="1"/>
    <xf numFmtId="0" fontId="5" fillId="0" borderId="7" xfId="0" applyFont="1" applyFill="1" applyBorder="1"/>
    <xf numFmtId="9" fontId="5" fillId="0" borderId="0" xfId="1" applyFont="1"/>
    <xf numFmtId="3" fontId="5" fillId="0" borderId="158" xfId="0" applyNumberFormat="1" applyFont="1" applyFill="1" applyBorder="1" applyAlignment="1">
      <alignment horizontal="center" vertical="center"/>
    </xf>
    <xf numFmtId="3" fontId="5" fillId="0" borderId="98" xfId="0" applyNumberFormat="1" applyFont="1" applyFill="1" applyBorder="1" applyAlignment="1">
      <alignment horizontal="center" vertical="center"/>
    </xf>
    <xf numFmtId="3" fontId="9" fillId="0" borderId="176" xfId="0" applyNumberFormat="1" applyFont="1" applyFill="1" applyBorder="1" applyAlignment="1">
      <alignment horizontal="center" vertical="center"/>
    </xf>
    <xf numFmtId="3" fontId="5" fillId="0" borderId="0" xfId="0" applyNumberFormat="1" applyFont="1" applyFill="1" applyBorder="1" applyAlignment="1">
      <alignment horizontal="center" vertical="center"/>
    </xf>
    <xf numFmtId="9" fontId="5" fillId="0" borderId="0" xfId="1" applyNumberFormat="1" applyFont="1" applyFill="1" applyBorder="1" applyAlignment="1">
      <alignment horizontal="center" vertical="center"/>
    </xf>
    <xf numFmtId="9" fontId="5" fillId="0" borderId="158" xfId="1" applyFont="1" applyFill="1" applyBorder="1" applyAlignment="1">
      <alignment horizontal="center" vertical="center"/>
    </xf>
    <xf numFmtId="9" fontId="5" fillId="0" borderId="8" xfId="1" applyFont="1" applyFill="1" applyBorder="1" applyAlignment="1">
      <alignment horizontal="center" vertical="center"/>
    </xf>
    <xf numFmtId="3" fontId="5" fillId="0" borderId="176" xfId="0" applyNumberFormat="1" applyFont="1" applyFill="1" applyBorder="1" applyAlignment="1">
      <alignment horizontal="center" vertical="center"/>
    </xf>
    <xf numFmtId="9" fontId="5" fillId="0" borderId="0" xfId="1" applyFont="1" applyFill="1" applyBorder="1" applyAlignment="1">
      <alignment horizontal="center" vertical="center"/>
    </xf>
    <xf numFmtId="3" fontId="30" fillId="0" borderId="179" xfId="0" applyNumberFormat="1" applyFont="1" applyFill="1" applyBorder="1" applyAlignment="1">
      <alignment horizontal="center" vertical="center"/>
    </xf>
    <xf numFmtId="3" fontId="30" fillId="0" borderId="176" xfId="0" applyNumberFormat="1" applyFont="1" applyFill="1" applyBorder="1" applyAlignment="1">
      <alignment horizontal="center" vertical="center"/>
    </xf>
    <xf numFmtId="9" fontId="30" fillId="0" borderId="158" xfId="1" applyFont="1" applyFill="1" applyBorder="1" applyAlignment="1">
      <alignment horizontal="center" vertical="center"/>
    </xf>
    <xf numFmtId="0" fontId="9" fillId="0" borderId="7" xfId="0" applyFont="1" applyFill="1" applyBorder="1"/>
    <xf numFmtId="3" fontId="5" fillId="0" borderId="179" xfId="0" applyNumberFormat="1" applyFont="1" applyFill="1" applyBorder="1" applyAlignment="1">
      <alignment horizontal="center" vertical="center"/>
    </xf>
    <xf numFmtId="169" fontId="9" fillId="0" borderId="98" xfId="0" applyNumberFormat="1" applyFont="1" applyFill="1" applyBorder="1" applyAlignment="1">
      <alignment horizontal="center" vertical="center" wrapText="1"/>
    </xf>
    <xf numFmtId="167" fontId="5" fillId="0" borderId="176" xfId="0" applyNumberFormat="1" applyFont="1" applyFill="1" applyBorder="1" applyAlignment="1">
      <alignment horizontal="center"/>
    </xf>
    <xf numFmtId="169" fontId="5" fillId="0" borderId="0" xfId="0" applyNumberFormat="1" applyFont="1" applyFill="1" applyBorder="1" applyAlignment="1">
      <alignment horizontal="center" vertical="center"/>
    </xf>
    <xf numFmtId="169" fontId="5" fillId="0" borderId="158" xfId="0" applyNumberFormat="1" applyFont="1" applyFill="1" applyBorder="1" applyAlignment="1">
      <alignment horizontal="center" vertical="center"/>
    </xf>
    <xf numFmtId="3" fontId="9" fillId="0" borderId="98" xfId="0" applyNumberFormat="1" applyFont="1" applyFill="1" applyBorder="1" applyAlignment="1">
      <alignment horizontal="center" vertical="center" wrapText="1"/>
    </xf>
    <xf numFmtId="1" fontId="5" fillId="0" borderId="0" xfId="0" applyNumberFormat="1" applyFont="1" applyFill="1" applyBorder="1" applyAlignment="1">
      <alignment horizontal="center"/>
    </xf>
    <xf numFmtId="1" fontId="5" fillId="0" borderId="176" xfId="0" applyNumberFormat="1" applyFont="1" applyFill="1" applyBorder="1" applyAlignment="1">
      <alignment horizontal="center"/>
    </xf>
    <xf numFmtId="0" fontId="6" fillId="0" borderId="7" xfId="0" applyFont="1" applyFill="1" applyBorder="1"/>
    <xf numFmtId="0" fontId="5" fillId="0" borderId="0" xfId="0" applyFont="1" applyAlignment="1">
      <alignment horizontal="center" vertical="center" wrapText="1"/>
    </xf>
    <xf numFmtId="3" fontId="9" fillId="0" borderId="176" xfId="0" applyNumberFormat="1" applyFont="1" applyFill="1" applyBorder="1" applyAlignment="1">
      <alignment horizontal="center" vertical="center" wrapText="1"/>
    </xf>
    <xf numFmtId="3" fontId="9" fillId="0" borderId="0" xfId="139" applyNumberFormat="1" applyFont="1" applyFill="1" applyBorder="1" applyAlignment="1">
      <alignment horizontal="center"/>
    </xf>
    <xf numFmtId="3" fontId="5" fillId="0" borderId="0" xfId="0" applyNumberFormat="1" applyFont="1" applyFill="1" applyBorder="1" applyAlignment="1">
      <alignment horizontal="center" vertical="center" wrapText="1"/>
    </xf>
    <xf numFmtId="1" fontId="5" fillId="0" borderId="158" xfId="0" applyNumberFormat="1" applyFont="1" applyFill="1" applyBorder="1" applyAlignment="1">
      <alignment horizontal="center"/>
    </xf>
    <xf numFmtId="9" fontId="5" fillId="0" borderId="98" xfId="1" applyFont="1" applyFill="1" applyBorder="1" applyAlignment="1">
      <alignment horizontal="center"/>
    </xf>
    <xf numFmtId="9" fontId="5" fillId="0" borderId="2" xfId="1" applyFont="1" applyFill="1" applyBorder="1" applyAlignment="1">
      <alignment horizontal="center"/>
    </xf>
    <xf numFmtId="9" fontId="5" fillId="0" borderId="0" xfId="1" applyFont="1" applyFill="1" applyBorder="1" applyAlignment="1">
      <alignment horizontal="center"/>
    </xf>
    <xf numFmtId="169" fontId="5" fillId="0" borderId="0" xfId="0" applyNumberFormat="1" applyFont="1" applyFill="1" applyBorder="1" applyAlignment="1">
      <alignment horizontal="center" vertical="center" wrapText="1"/>
    </xf>
    <xf numFmtId="3" fontId="5" fillId="0" borderId="0" xfId="0" applyNumberFormat="1" applyFont="1" applyFill="1" applyBorder="1" applyAlignment="1">
      <alignment horizontal="center"/>
    </xf>
    <xf numFmtId="3" fontId="5" fillId="0" borderId="158" xfId="0" applyNumberFormat="1" applyFont="1" applyFill="1" applyBorder="1" applyAlignment="1">
      <alignment horizontal="center"/>
    </xf>
    <xf numFmtId="0" fontId="5" fillId="0" borderId="0" xfId="0" applyFont="1" applyFill="1"/>
    <xf numFmtId="3" fontId="43" fillId="0" borderId="176" xfId="0" applyNumberFormat="1" applyFont="1" applyFill="1" applyBorder="1" applyAlignment="1">
      <alignment horizontal="center" vertical="center" wrapText="1"/>
    </xf>
    <xf numFmtId="167" fontId="9" fillId="0" borderId="0" xfId="139" applyNumberFormat="1" applyFont="1" applyFill="1" applyBorder="1" applyAlignment="1">
      <alignment horizontal="center"/>
    </xf>
    <xf numFmtId="167" fontId="5" fillId="0" borderId="158" xfId="0" applyNumberFormat="1" applyFont="1" applyFill="1" applyBorder="1" applyAlignment="1">
      <alignment horizontal="center"/>
    </xf>
    <xf numFmtId="167" fontId="9" fillId="0" borderId="176" xfId="0" applyNumberFormat="1" applyFont="1" applyFill="1" applyBorder="1" applyAlignment="1">
      <alignment horizontal="center"/>
    </xf>
    <xf numFmtId="167" fontId="9" fillId="0" borderId="0" xfId="0" applyNumberFormat="1" applyFont="1" applyFill="1" applyBorder="1" applyAlignment="1">
      <alignment horizontal="center"/>
    </xf>
    <xf numFmtId="9" fontId="9" fillId="0" borderId="98" xfId="1" applyFont="1" applyFill="1" applyBorder="1" applyAlignment="1">
      <alignment horizontal="center"/>
    </xf>
    <xf numFmtId="9" fontId="9" fillId="0" borderId="2" xfId="1" applyFont="1" applyFill="1" applyBorder="1" applyAlignment="1">
      <alignment horizontal="center"/>
    </xf>
    <xf numFmtId="9" fontId="9" fillId="0" borderId="0" xfId="1" applyFont="1" applyFill="1" applyBorder="1" applyAlignment="1">
      <alignment horizontal="center"/>
    </xf>
    <xf numFmtId="0" fontId="5" fillId="0" borderId="0" xfId="0" applyFont="1" applyBorder="1" applyAlignment="1">
      <alignment horizontal="left" vertical="center" wrapText="1"/>
    </xf>
    <xf numFmtId="3" fontId="9" fillId="0" borderId="0" xfId="0" applyNumberFormat="1" applyFont="1" applyFill="1" applyBorder="1" applyAlignment="1">
      <alignment horizontal="center"/>
    </xf>
    <xf numFmtId="169" fontId="9" fillId="0" borderId="0" xfId="0" applyNumberFormat="1" applyFont="1" applyFill="1" applyBorder="1" applyAlignment="1">
      <alignment horizontal="center" vertical="center" wrapText="1"/>
    </xf>
    <xf numFmtId="1" fontId="9" fillId="0" borderId="0" xfId="0" applyNumberFormat="1" applyFont="1" applyFill="1" applyBorder="1" applyAlignment="1">
      <alignment horizontal="center"/>
    </xf>
    <xf numFmtId="3" fontId="9" fillId="0" borderId="158" xfId="0" applyNumberFormat="1" applyFont="1" applyFill="1" applyBorder="1" applyAlignment="1">
      <alignment horizontal="center"/>
    </xf>
    <xf numFmtId="3" fontId="43" fillId="0" borderId="158" xfId="0" applyNumberFormat="1" applyFont="1" applyFill="1" applyBorder="1" applyAlignment="1">
      <alignment horizontal="center" vertical="center"/>
    </xf>
    <xf numFmtId="9" fontId="43" fillId="0" borderId="98" xfId="1" applyFont="1" applyFill="1" applyBorder="1" applyAlignment="1">
      <alignment horizontal="center" vertical="center"/>
    </xf>
    <xf numFmtId="0" fontId="9" fillId="0" borderId="9" xfId="0" applyFont="1" applyFill="1" applyBorder="1"/>
    <xf numFmtId="3" fontId="9" fillId="0" borderId="11" xfId="0" applyNumberFormat="1" applyFont="1" applyFill="1" applyBorder="1" applyAlignment="1">
      <alignment horizontal="center" vertical="center" wrapText="1"/>
    </xf>
    <xf numFmtId="3" fontId="9" fillId="0" borderId="10" xfId="0" applyNumberFormat="1" applyFont="1" applyFill="1" applyBorder="1" applyAlignment="1">
      <alignment horizontal="center"/>
    </xf>
    <xf numFmtId="169" fontId="9" fillId="0" borderId="10" xfId="0" applyNumberFormat="1" applyFont="1" applyFill="1" applyBorder="1" applyAlignment="1">
      <alignment horizontal="center" vertical="center" wrapText="1"/>
    </xf>
    <xf numFmtId="3" fontId="9" fillId="0" borderId="19" xfId="0" applyNumberFormat="1" applyFont="1" applyFill="1" applyBorder="1" applyAlignment="1">
      <alignment horizontal="center"/>
    </xf>
    <xf numFmtId="9" fontId="9" fillId="0" borderId="18" xfId="1" applyFont="1" applyFill="1" applyBorder="1" applyAlignment="1">
      <alignment horizontal="center"/>
    </xf>
    <xf numFmtId="9" fontId="9" fillId="0" borderId="12" xfId="1" applyFont="1" applyFill="1" applyBorder="1" applyAlignment="1">
      <alignment horizontal="center"/>
    </xf>
    <xf numFmtId="9" fontId="9" fillId="0" borderId="10" xfId="1" applyFont="1" applyFill="1" applyBorder="1" applyAlignment="1">
      <alignment horizontal="center"/>
    </xf>
    <xf numFmtId="3" fontId="5" fillId="0" borderId="0" xfId="0" applyNumberFormat="1" applyFont="1" applyBorder="1"/>
    <xf numFmtId="3" fontId="9" fillId="0" borderId="176" xfId="0" applyNumberFormat="1" applyFont="1" applyFill="1" applyBorder="1" applyAlignment="1">
      <alignment horizontal="center"/>
    </xf>
    <xf numFmtId="3" fontId="9" fillId="0" borderId="0" xfId="0" applyNumberFormat="1" applyFont="1" applyFill="1" applyBorder="1" applyAlignment="1">
      <alignment horizontal="center" vertical="center" wrapText="1"/>
    </xf>
    <xf numFmtId="1" fontId="9" fillId="0" borderId="180" xfId="0" applyNumberFormat="1" applyFont="1" applyFill="1" applyBorder="1" applyAlignment="1">
      <alignment horizontal="center"/>
    </xf>
    <xf numFmtId="169" fontId="9" fillId="0" borderId="158" xfId="0" applyNumberFormat="1" applyFont="1" applyFill="1" applyBorder="1" applyAlignment="1">
      <alignment horizontal="center"/>
    </xf>
    <xf numFmtId="9" fontId="9" fillId="0" borderId="8" xfId="1" applyFont="1" applyFill="1" applyBorder="1" applyAlignment="1">
      <alignment horizontal="center"/>
    </xf>
    <xf numFmtId="171" fontId="5" fillId="0" borderId="0" xfId="1" applyNumberFormat="1" applyFont="1"/>
    <xf numFmtId="3" fontId="43" fillId="0" borderId="176" xfId="0" applyNumberFormat="1" applyFont="1" applyFill="1" applyBorder="1" applyAlignment="1">
      <alignment horizontal="center" vertical="center"/>
    </xf>
    <xf numFmtId="3" fontId="43" fillId="0" borderId="180" xfId="0" applyNumberFormat="1" applyFont="1" applyFill="1" applyBorder="1" applyAlignment="1">
      <alignment horizontal="center" vertical="center"/>
    </xf>
    <xf numFmtId="165" fontId="9" fillId="0" borderId="0" xfId="139" applyFont="1" applyFill="1" applyBorder="1" applyAlignment="1">
      <alignment horizontal="center" vertical="center" wrapText="1"/>
    </xf>
    <xf numFmtId="3" fontId="43" fillId="0" borderId="176" xfId="1" applyNumberFormat="1" applyFont="1" applyFill="1" applyBorder="1" applyAlignment="1">
      <alignment horizontal="center" vertical="center"/>
    </xf>
    <xf numFmtId="3" fontId="43" fillId="0" borderId="158" xfId="0" applyNumberFormat="1" applyFont="1" applyFill="1" applyBorder="1" applyAlignment="1">
      <alignment horizontal="center"/>
    </xf>
    <xf numFmtId="3" fontId="9" fillId="0" borderId="176" xfId="1" applyNumberFormat="1" applyFont="1" applyFill="1" applyBorder="1" applyAlignment="1">
      <alignment horizontal="center"/>
    </xf>
    <xf numFmtId="3" fontId="9" fillId="0" borderId="180" xfId="0" applyNumberFormat="1" applyFont="1" applyFill="1" applyBorder="1" applyAlignment="1">
      <alignment horizontal="center"/>
    </xf>
    <xf numFmtId="9" fontId="9" fillId="0" borderId="98" xfId="1" applyFont="1" applyBorder="1" applyAlignment="1">
      <alignment horizontal="center" vertical="center" wrapText="1"/>
    </xf>
    <xf numFmtId="0" fontId="5" fillId="0" borderId="7" xfId="0" applyFont="1" applyBorder="1"/>
    <xf numFmtId="0" fontId="9" fillId="0" borderId="7" xfId="0" applyFont="1" applyBorder="1"/>
    <xf numFmtId="3" fontId="30" fillId="0" borderId="176" xfId="0" applyNumberFormat="1" applyFont="1" applyBorder="1" applyAlignment="1">
      <alignment horizontal="center"/>
    </xf>
    <xf numFmtId="1" fontId="5" fillId="0" borderId="0" xfId="1" applyNumberFormat="1" applyFont="1" applyBorder="1" applyAlignment="1">
      <alignment horizontal="center" vertical="center" wrapText="1"/>
    </xf>
    <xf numFmtId="1" fontId="5" fillId="0" borderId="0" xfId="0" applyNumberFormat="1" applyFont="1" applyBorder="1" applyAlignment="1">
      <alignment horizontal="center" vertical="center" wrapText="1"/>
    </xf>
    <xf numFmtId="3" fontId="5" fillId="0" borderId="0" xfId="0" applyNumberFormat="1" applyFont="1" applyBorder="1" applyAlignment="1">
      <alignment horizontal="center"/>
    </xf>
    <xf numFmtId="3" fontId="5" fillId="0" borderId="158" xfId="0" applyNumberFormat="1" applyFont="1" applyBorder="1" applyAlignment="1">
      <alignment horizontal="center"/>
    </xf>
    <xf numFmtId="9" fontId="5" fillId="0" borderId="0" xfId="1" applyFont="1" applyBorder="1" applyAlignment="1">
      <alignment horizontal="center" vertical="center" wrapText="1"/>
    </xf>
    <xf numFmtId="9" fontId="5" fillId="0" borderId="8" xfId="1" applyFont="1" applyBorder="1" applyAlignment="1">
      <alignment horizontal="center" vertical="center" wrapText="1"/>
    </xf>
    <xf numFmtId="170" fontId="5" fillId="0" borderId="0" xfId="139" applyNumberFormat="1" applyFont="1"/>
    <xf numFmtId="9" fontId="5" fillId="0" borderId="8" xfId="1" applyFont="1" applyBorder="1" applyAlignment="1">
      <alignment horizontal="center"/>
    </xf>
    <xf numFmtId="1" fontId="5" fillId="0" borderId="0" xfId="1" applyNumberFormat="1" applyFont="1" applyFill="1" applyBorder="1" applyAlignment="1">
      <alignment horizontal="center" vertical="center" wrapText="1"/>
    </xf>
    <xf numFmtId="9" fontId="9" fillId="0" borderId="0" xfId="1" applyFont="1" applyBorder="1" applyAlignment="1">
      <alignment horizontal="center"/>
    </xf>
    <xf numFmtId="9" fontId="9" fillId="0" borderId="8" xfId="1" applyFont="1" applyBorder="1" applyAlignment="1">
      <alignment horizontal="center"/>
    </xf>
    <xf numFmtId="3" fontId="30" fillId="0" borderId="98" xfId="0" applyNumberFormat="1" applyFont="1" applyFill="1" applyBorder="1" applyAlignment="1">
      <alignment horizontal="center" vertical="center" wrapText="1"/>
    </xf>
    <xf numFmtId="3" fontId="30" fillId="0" borderId="176" xfId="0" applyNumberFormat="1" applyFont="1" applyFill="1" applyBorder="1" applyAlignment="1">
      <alignment horizontal="center"/>
    </xf>
    <xf numFmtId="1" fontId="5" fillId="0" borderId="0" xfId="0" applyNumberFormat="1" applyFont="1" applyFill="1" applyBorder="1" applyAlignment="1">
      <alignment horizontal="center" vertical="center" wrapText="1"/>
    </xf>
    <xf numFmtId="9" fontId="5" fillId="0" borderId="8" xfId="1" applyFont="1" applyFill="1" applyBorder="1" applyAlignment="1">
      <alignment horizontal="center"/>
    </xf>
    <xf numFmtId="3" fontId="30" fillId="0" borderId="176" xfId="0" applyNumberFormat="1" applyFont="1" applyBorder="1" applyAlignment="1">
      <alignment horizontal="center" vertical="center"/>
    </xf>
    <xf numFmtId="169" fontId="30" fillId="0" borderId="176" xfId="0" applyNumberFormat="1" applyFont="1" applyBorder="1" applyAlignment="1">
      <alignment horizontal="center"/>
    </xf>
    <xf numFmtId="3" fontId="5" fillId="0" borderId="0" xfId="0" applyNumberFormat="1" applyFont="1" applyBorder="1" applyAlignment="1">
      <alignment horizontal="center" vertical="center" wrapText="1"/>
    </xf>
    <xf numFmtId="169" fontId="5" fillId="0" borderId="0" xfId="0" applyNumberFormat="1" applyFont="1" applyBorder="1" applyAlignment="1">
      <alignment horizontal="center"/>
    </xf>
    <xf numFmtId="169" fontId="5" fillId="0" borderId="158" xfId="0" applyNumberFormat="1" applyFont="1" applyBorder="1" applyAlignment="1">
      <alignment horizontal="center"/>
    </xf>
    <xf numFmtId="169" fontId="5" fillId="0" borderId="0" xfId="0" applyNumberFormat="1" applyFont="1"/>
    <xf numFmtId="1" fontId="30" fillId="0" borderId="176" xfId="0" applyNumberFormat="1" applyFont="1" applyBorder="1" applyAlignment="1">
      <alignment horizontal="center"/>
    </xf>
    <xf numFmtId="9" fontId="5" fillId="0" borderId="0" xfId="1" applyNumberFormat="1" applyFont="1"/>
    <xf numFmtId="1" fontId="30" fillId="0" borderId="179" xfId="0" applyNumberFormat="1" applyFont="1" applyBorder="1" applyAlignment="1">
      <alignment horizontal="center" vertical="center" wrapText="1"/>
    </xf>
    <xf numFmtId="167" fontId="5" fillId="0" borderId="179" xfId="0" applyNumberFormat="1" applyFont="1" applyBorder="1" applyAlignment="1">
      <alignment horizontal="center"/>
    </xf>
    <xf numFmtId="167" fontId="5" fillId="0" borderId="98" xfId="0" applyNumberFormat="1" applyFont="1" applyFill="1" applyBorder="1" applyAlignment="1">
      <alignment horizontal="center" vertical="center" wrapText="1"/>
    </xf>
    <xf numFmtId="9" fontId="5" fillId="0" borderId="98" xfId="1" applyFont="1" applyBorder="1" applyAlignment="1">
      <alignment horizontal="center"/>
    </xf>
    <xf numFmtId="9" fontId="5" fillId="0" borderId="0" xfId="1" applyFont="1" applyBorder="1" applyAlignment="1">
      <alignment horizontal="center"/>
    </xf>
    <xf numFmtId="9" fontId="5" fillId="0" borderId="98" xfId="1" applyFont="1" applyBorder="1" applyAlignment="1">
      <alignment horizontal="center" vertical="center" wrapText="1"/>
    </xf>
    <xf numFmtId="1" fontId="30" fillId="0" borderId="179" xfId="0" applyNumberFormat="1" applyFont="1" applyFill="1" applyBorder="1" applyAlignment="1">
      <alignment horizontal="center" vertical="center" wrapText="1"/>
    </xf>
    <xf numFmtId="9" fontId="5" fillId="0" borderId="8" xfId="0" applyNumberFormat="1" applyFont="1" applyFill="1" applyBorder="1" applyAlignment="1">
      <alignment horizontal="center" vertical="center" wrapText="1"/>
    </xf>
    <xf numFmtId="0" fontId="5" fillId="0" borderId="0" xfId="0" applyFont="1" applyFill="1" applyBorder="1"/>
    <xf numFmtId="0" fontId="5" fillId="0" borderId="8" xfId="0" applyFont="1" applyFill="1" applyBorder="1" applyAlignment="1">
      <alignment horizontal="center" vertical="center" wrapText="1"/>
    </xf>
    <xf numFmtId="167" fontId="9" fillId="0" borderId="0" xfId="0" applyNumberFormat="1" applyFont="1" applyBorder="1" applyAlignment="1">
      <alignment horizontal="center"/>
    </xf>
    <xf numFmtId="1" fontId="30" fillId="0" borderId="179" xfId="0" applyNumberFormat="1" applyFont="1" applyBorder="1" applyAlignment="1">
      <alignment horizontal="center" vertical="center"/>
    </xf>
    <xf numFmtId="3" fontId="5" fillId="0" borderId="8" xfId="0" applyNumberFormat="1" applyFont="1" applyBorder="1" applyAlignment="1">
      <alignment horizontal="center"/>
    </xf>
    <xf numFmtId="9" fontId="5" fillId="0" borderId="8" xfId="0" applyNumberFormat="1" applyFont="1" applyBorder="1" applyAlignment="1">
      <alignment horizontal="center" vertical="center" wrapText="1"/>
    </xf>
    <xf numFmtId="167" fontId="30" fillId="0" borderId="179" xfId="0" applyNumberFormat="1" applyFont="1" applyBorder="1" applyAlignment="1">
      <alignment horizontal="center" vertical="center"/>
    </xf>
    <xf numFmtId="167" fontId="30" fillId="0" borderId="179" xfId="0" applyNumberFormat="1" applyFont="1" applyBorder="1" applyAlignment="1">
      <alignment horizontal="center" vertical="center" wrapText="1"/>
    </xf>
    <xf numFmtId="167" fontId="5" fillId="0" borderId="176" xfId="0" applyNumberFormat="1" applyFont="1" applyBorder="1" applyAlignment="1">
      <alignment horizontal="center"/>
    </xf>
    <xf numFmtId="167" fontId="5" fillId="0" borderId="10" xfId="0" applyNumberFormat="1" applyFont="1" applyBorder="1" applyAlignment="1">
      <alignment horizontal="center" vertical="center" wrapText="1"/>
    </xf>
    <xf numFmtId="167" fontId="5" fillId="0" borderId="11" xfId="0" applyNumberFormat="1" applyFont="1" applyBorder="1" applyAlignment="1">
      <alignment horizontal="center" vertical="center" wrapText="1"/>
    </xf>
    <xf numFmtId="3" fontId="9" fillId="0" borderId="179" xfId="0" applyNumberFormat="1" applyFont="1" applyBorder="1" applyAlignment="1">
      <alignment horizontal="center"/>
    </xf>
    <xf numFmtId="3" fontId="9" fillId="0" borderId="0" xfId="0" applyNumberFormat="1" applyFont="1" applyBorder="1" applyAlignment="1">
      <alignment horizontal="center"/>
    </xf>
    <xf numFmtId="1" fontId="9" fillId="0" borderId="0" xfId="0" applyNumberFormat="1" applyFont="1" applyBorder="1" applyAlignment="1">
      <alignment horizontal="center"/>
    </xf>
    <xf numFmtId="1" fontId="5" fillId="0" borderId="0" xfId="0" applyNumberFormat="1" applyFont="1" applyBorder="1" applyAlignment="1">
      <alignment horizontal="center"/>
    </xf>
    <xf numFmtId="3" fontId="9" fillId="0" borderId="179" xfId="0" applyNumberFormat="1" applyFont="1" applyFill="1" applyBorder="1" applyAlignment="1">
      <alignment horizontal="center"/>
    </xf>
    <xf numFmtId="3" fontId="5" fillId="0" borderId="179" xfId="0" applyNumberFormat="1" applyFont="1" applyBorder="1" applyAlignment="1">
      <alignment horizontal="center"/>
    </xf>
    <xf numFmtId="3" fontId="5" fillId="0" borderId="179" xfId="0" applyNumberFormat="1" applyFont="1" applyFill="1" applyBorder="1" applyAlignment="1">
      <alignment horizontal="center"/>
    </xf>
    <xf numFmtId="3" fontId="30" fillId="0" borderId="179" xfId="0" applyNumberFormat="1" applyFont="1" applyBorder="1" applyAlignment="1">
      <alignment horizontal="center" vertical="center" wrapText="1"/>
    </xf>
    <xf numFmtId="3" fontId="30" fillId="0" borderId="179" xfId="0" applyNumberFormat="1" applyFont="1" applyBorder="1" applyAlignment="1">
      <alignment horizontal="center" vertical="center"/>
    </xf>
    <xf numFmtId="1" fontId="9" fillId="0" borderId="0" xfId="0" applyNumberFormat="1" applyFont="1" applyBorder="1" applyAlignment="1">
      <alignment horizontal="center" vertical="center" wrapText="1"/>
    </xf>
    <xf numFmtId="4" fontId="5" fillId="0" borderId="0" xfId="0" applyNumberFormat="1" applyFont="1" applyBorder="1" applyAlignment="1">
      <alignment horizontal="center"/>
    </xf>
    <xf numFmtId="4" fontId="5" fillId="0" borderId="0" xfId="0" applyNumberFormat="1" applyFont="1"/>
    <xf numFmtId="1" fontId="43" fillId="0" borderId="179" xfId="0" applyNumberFormat="1" applyFont="1" applyBorder="1" applyAlignment="1">
      <alignment horizontal="center" vertical="center"/>
    </xf>
    <xf numFmtId="0" fontId="6" fillId="0" borderId="32" xfId="0" applyFont="1" applyBorder="1" applyAlignment="1">
      <alignment horizontal="center" vertical="center" wrapText="1"/>
    </xf>
    <xf numFmtId="9" fontId="30" fillId="0" borderId="181" xfId="1" applyFont="1" applyBorder="1" applyAlignment="1">
      <alignment horizontal="center" vertical="center"/>
    </xf>
    <xf numFmtId="3" fontId="5" fillId="0" borderId="98" xfId="0" applyNumberFormat="1" applyFont="1" applyBorder="1" applyAlignment="1">
      <alignment horizontal="center"/>
    </xf>
    <xf numFmtId="9" fontId="30" fillId="0" borderId="181" xfId="1" applyFont="1" applyBorder="1" applyAlignment="1">
      <alignment horizontal="center"/>
    </xf>
    <xf numFmtId="9" fontId="5" fillId="0" borderId="0" xfId="1" applyFont="1" applyBorder="1" applyAlignment="1">
      <alignment horizontal="center" vertical="center"/>
    </xf>
    <xf numFmtId="3" fontId="5" fillId="0" borderId="8" xfId="0" applyNumberFormat="1" applyFont="1" applyBorder="1" applyAlignment="1">
      <alignment horizontal="center" vertical="center" wrapText="1"/>
    </xf>
    <xf numFmtId="9" fontId="5" fillId="0" borderId="0" xfId="1" applyNumberFormat="1" applyFont="1" applyBorder="1" applyAlignment="1">
      <alignment horizontal="center"/>
    </xf>
    <xf numFmtId="167" fontId="6" fillId="0" borderId="8" xfId="0" applyNumberFormat="1" applyFont="1" applyBorder="1" applyAlignment="1">
      <alignment horizontal="center" vertical="center"/>
    </xf>
    <xf numFmtId="9" fontId="9" fillId="0" borderId="0" xfId="1" applyFont="1" applyBorder="1" applyAlignment="1">
      <alignment horizontal="center" vertical="center"/>
    </xf>
    <xf numFmtId="167" fontId="6" fillId="0" borderId="8" xfId="0" applyNumberFormat="1" applyFont="1" applyBorder="1" applyAlignment="1">
      <alignment horizontal="center"/>
    </xf>
    <xf numFmtId="0" fontId="9" fillId="0" borderId="0" xfId="0" applyFont="1" applyBorder="1" applyAlignment="1">
      <alignment horizontal="center"/>
    </xf>
    <xf numFmtId="0" fontId="5" fillId="0" borderId="0" xfId="0" applyFont="1" applyFill="1" applyBorder="1" applyAlignment="1">
      <alignment horizontal="center"/>
    </xf>
    <xf numFmtId="9" fontId="30" fillId="0" borderId="181" xfId="1" applyFont="1" applyFill="1" applyBorder="1" applyAlignment="1">
      <alignment horizontal="center"/>
    </xf>
    <xf numFmtId="167" fontId="6" fillId="0" borderId="8" xfId="0" applyNumberFormat="1" applyFont="1" applyFill="1" applyBorder="1" applyAlignment="1">
      <alignment horizontal="center"/>
    </xf>
    <xf numFmtId="0" fontId="5" fillId="0" borderId="7" xfId="0" applyFont="1" applyBorder="1" applyAlignment="1">
      <alignment horizontal="center"/>
    </xf>
    <xf numFmtId="3" fontId="5" fillId="0" borderId="30" xfId="0" applyNumberFormat="1" applyFont="1" applyBorder="1" applyAlignment="1">
      <alignment horizontal="center"/>
    </xf>
    <xf numFmtId="3" fontId="5" fillId="0" borderId="24" xfId="0" applyNumberFormat="1" applyFont="1" applyBorder="1" applyAlignment="1">
      <alignment horizontal="center" vertical="center" wrapText="1"/>
    </xf>
    <xf numFmtId="3" fontId="5" fillId="0" borderId="34" xfId="0" applyNumberFormat="1" applyFont="1" applyBorder="1" applyAlignment="1">
      <alignment horizontal="center" vertical="center" wrapText="1"/>
    </xf>
    <xf numFmtId="3" fontId="5" fillId="0" borderId="3" xfId="0" applyNumberFormat="1" applyFont="1" applyBorder="1" applyAlignment="1">
      <alignment horizontal="center"/>
    </xf>
    <xf numFmtId="3" fontId="5" fillId="0" borderId="31" xfId="0" applyNumberFormat="1" applyFont="1" applyBorder="1" applyAlignment="1">
      <alignment horizontal="center"/>
    </xf>
    <xf numFmtId="3" fontId="5" fillId="0" borderId="2" xfId="0" applyNumberFormat="1" applyFont="1" applyBorder="1" applyAlignment="1">
      <alignment horizontal="center" vertical="center" wrapText="1"/>
    </xf>
    <xf numFmtId="3" fontId="5" fillId="0" borderId="176" xfId="0" applyNumberFormat="1" applyFont="1" applyBorder="1" applyAlignment="1">
      <alignment horizontal="center"/>
    </xf>
    <xf numFmtId="3" fontId="30" fillId="0" borderId="176" xfId="0" applyNumberFormat="1" applyFont="1" applyBorder="1" applyAlignment="1">
      <alignment horizontal="center" vertical="center" wrapText="1"/>
    </xf>
    <xf numFmtId="3" fontId="5" fillId="0" borderId="158" xfId="0" applyNumberFormat="1" applyFont="1" applyBorder="1" applyAlignment="1">
      <alignment horizontal="center" vertical="center" wrapText="1"/>
    </xf>
    <xf numFmtId="3" fontId="5" fillId="0" borderId="2" xfId="0" applyNumberFormat="1" applyFont="1" applyBorder="1" applyAlignment="1">
      <alignment horizontal="center"/>
    </xf>
    <xf numFmtId="0" fontId="5" fillId="0" borderId="98" xfId="0" applyFont="1" applyFill="1" applyBorder="1"/>
    <xf numFmtId="3" fontId="5" fillId="0" borderId="39" xfId="0" applyNumberFormat="1" applyFont="1" applyBorder="1" applyAlignment="1">
      <alignment horizontal="center"/>
    </xf>
    <xf numFmtId="3" fontId="5" fillId="0" borderId="131" xfId="0" applyNumberFormat="1" applyFont="1" applyBorder="1" applyAlignment="1">
      <alignment horizontal="center"/>
    </xf>
    <xf numFmtId="3" fontId="5" fillId="0" borderId="40" xfId="0" applyNumberFormat="1" applyFont="1" applyBorder="1" applyAlignment="1">
      <alignment horizontal="center"/>
    </xf>
    <xf numFmtId="3" fontId="5" fillId="0" borderId="130" xfId="0" applyNumberFormat="1" applyFont="1" applyBorder="1" applyAlignment="1">
      <alignment horizontal="center"/>
    </xf>
    <xf numFmtId="3" fontId="5" fillId="0" borderId="115" xfId="0" applyNumberFormat="1" applyFont="1" applyBorder="1" applyAlignment="1">
      <alignment horizontal="center"/>
    </xf>
    <xf numFmtId="3" fontId="5" fillId="0" borderId="132" xfId="0" applyNumberFormat="1" applyFont="1" applyBorder="1" applyAlignment="1">
      <alignment horizontal="center"/>
    </xf>
    <xf numFmtId="3" fontId="5" fillId="0" borderId="133" xfId="0" applyNumberFormat="1" applyFont="1" applyBorder="1" applyAlignment="1">
      <alignment horizontal="center"/>
    </xf>
    <xf numFmtId="0" fontId="5" fillId="0" borderId="9" xfId="0" applyFont="1" applyBorder="1"/>
    <xf numFmtId="3" fontId="5" fillId="0" borderId="23" xfId="0" applyNumberFormat="1" applyFont="1" applyBorder="1" applyAlignment="1">
      <alignment horizontal="center"/>
    </xf>
    <xf numFmtId="3" fontId="5" fillId="0" borderId="10" xfId="0" applyNumberFormat="1" applyFont="1" applyBorder="1" applyAlignment="1">
      <alignment horizontal="center"/>
    </xf>
    <xf numFmtId="3" fontId="5" fillId="0" borderId="13" xfId="0" applyNumberFormat="1" applyFont="1" applyBorder="1" applyAlignment="1">
      <alignment horizontal="center"/>
    </xf>
    <xf numFmtId="0" fontId="5" fillId="0" borderId="31" xfId="0" applyFont="1" applyBorder="1" applyAlignment="1">
      <alignment horizontal="center" vertical="center" wrapText="1"/>
    </xf>
    <xf numFmtId="3" fontId="5" fillId="0" borderId="98" xfId="0" applyNumberFormat="1" applyFont="1" applyBorder="1" applyAlignment="1">
      <alignment horizontal="center" vertical="center" wrapText="1"/>
    </xf>
    <xf numFmtId="9" fontId="5" fillId="0" borderId="99" xfId="1" applyFont="1" applyBorder="1" applyAlignment="1">
      <alignment horizontal="center" vertical="center" wrapText="1"/>
    </xf>
    <xf numFmtId="3" fontId="9" fillId="0" borderId="10" xfId="0" applyNumberFormat="1" applyFont="1" applyBorder="1" applyAlignment="1">
      <alignment horizontal="center"/>
    </xf>
    <xf numFmtId="3" fontId="5" fillId="0" borderId="11" xfId="0" applyNumberFormat="1" applyFont="1" applyBorder="1" applyAlignment="1">
      <alignment horizontal="center"/>
    </xf>
    <xf numFmtId="3" fontId="5" fillId="0" borderId="12" xfId="0" applyNumberFormat="1" applyFont="1" applyBorder="1" applyAlignment="1">
      <alignment horizontal="center"/>
    </xf>
    <xf numFmtId="3" fontId="5" fillId="0" borderId="10" xfId="0" applyNumberFormat="1" applyFont="1" applyBorder="1" applyAlignment="1">
      <alignment horizontal="center" vertical="center" wrapText="1"/>
    </xf>
    <xf numFmtId="3" fontId="5" fillId="0" borderId="18" xfId="0" applyNumberFormat="1" applyFont="1" applyBorder="1" applyAlignment="1">
      <alignment horizontal="center" vertical="center" wrapText="1"/>
    </xf>
    <xf numFmtId="9" fontId="5" fillId="0" borderId="41" xfId="1" applyFont="1" applyBorder="1" applyAlignment="1">
      <alignment horizontal="center" vertical="center" wrapText="1"/>
    </xf>
    <xf numFmtId="0" fontId="5" fillId="0" borderId="176" xfId="0" applyFont="1" applyBorder="1" applyAlignment="1">
      <alignment horizontal="center"/>
    </xf>
    <xf numFmtId="0" fontId="5" fillId="0" borderId="2" xfId="0" applyFont="1" applyBorder="1" applyAlignment="1">
      <alignment horizontal="center"/>
    </xf>
    <xf numFmtId="0" fontId="5" fillId="0" borderId="99" xfId="0" applyFont="1" applyBorder="1" applyAlignment="1">
      <alignment horizontal="center"/>
    </xf>
    <xf numFmtId="0" fontId="5" fillId="0" borderId="10" xfId="0" applyFont="1" applyBorder="1"/>
    <xf numFmtId="0" fontId="5" fillId="0" borderId="11" xfId="0" applyFont="1" applyBorder="1" applyAlignment="1">
      <alignment horizontal="center"/>
    </xf>
    <xf numFmtId="0" fontId="5" fillId="0" borderId="12" xfId="0" applyFont="1" applyBorder="1" applyAlignment="1">
      <alignment horizontal="center"/>
    </xf>
    <xf numFmtId="0" fontId="5" fillId="0" borderId="10" xfId="0" applyFont="1" applyBorder="1" applyAlignment="1">
      <alignment horizontal="center"/>
    </xf>
    <xf numFmtId="0" fontId="5" fillId="0" borderId="18" xfId="0" applyFont="1" applyBorder="1" applyAlignment="1">
      <alignment horizontal="center"/>
    </xf>
    <xf numFmtId="0" fontId="5" fillId="0" borderId="41" xfId="0" applyFont="1" applyBorder="1" applyAlignment="1">
      <alignment horizontal="center"/>
    </xf>
    <xf numFmtId="0" fontId="9" fillId="0" borderId="86" xfId="3" applyFont="1" applyBorder="1" applyAlignment="1">
      <alignment horizontal="center" vertical="center" wrapText="1"/>
    </xf>
    <xf numFmtId="0" fontId="9" fillId="0" borderId="75" xfId="3" applyFont="1" applyBorder="1" applyAlignment="1">
      <alignment horizontal="center" vertical="center" wrapText="1"/>
    </xf>
    <xf numFmtId="0" fontId="9" fillId="0" borderId="72" xfId="3" applyFont="1" applyBorder="1" applyAlignment="1">
      <alignment horizontal="center" vertical="center" wrapText="1"/>
    </xf>
    <xf numFmtId="0" fontId="9" fillId="0" borderId="70" xfId="3" applyFont="1" applyBorder="1" applyAlignment="1">
      <alignment horizontal="left" indent="3"/>
    </xf>
    <xf numFmtId="0" fontId="9" fillId="0" borderId="70" xfId="3" applyFont="1" applyBorder="1" applyAlignment="1">
      <alignment horizontal="left"/>
    </xf>
    <xf numFmtId="0" fontId="9" fillId="0" borderId="90" xfId="3" applyFont="1" applyBorder="1" applyAlignment="1">
      <alignment horizontal="center"/>
    </xf>
    <xf numFmtId="0" fontId="9" fillId="0" borderId="70" xfId="3" applyFont="1" applyBorder="1" applyAlignment="1">
      <alignment horizontal="left" indent="1"/>
    </xf>
    <xf numFmtId="3" fontId="9" fillId="0" borderId="90" xfId="3" applyNumberFormat="1" applyFont="1" applyBorder="1" applyAlignment="1">
      <alignment horizontal="center"/>
    </xf>
    <xf numFmtId="0" fontId="9" fillId="0" borderId="70" xfId="3" applyFont="1" applyBorder="1" applyAlignment="1">
      <alignment horizontal="left" indent="2"/>
    </xf>
    <xf numFmtId="0" fontId="9" fillId="0" borderId="74" xfId="3" applyFont="1" applyBorder="1" applyAlignment="1">
      <alignment horizontal="left" indent="1"/>
    </xf>
    <xf numFmtId="3" fontId="9" fillId="0" borderId="91" xfId="3" applyNumberFormat="1" applyFont="1" applyBorder="1" applyAlignment="1">
      <alignment horizontal="center"/>
    </xf>
    <xf numFmtId="3" fontId="9" fillId="0" borderId="81" xfId="3" applyNumberFormat="1" applyFont="1" applyBorder="1" applyAlignment="1">
      <alignment horizontal="center"/>
    </xf>
    <xf numFmtId="3" fontId="9" fillId="0" borderId="83" xfId="3" applyNumberFormat="1" applyFont="1" applyBorder="1" applyAlignment="1">
      <alignment horizontal="center"/>
    </xf>
    <xf numFmtId="3" fontId="9" fillId="0" borderId="85" xfId="3" applyNumberFormat="1" applyFont="1" applyBorder="1" applyAlignment="1">
      <alignment horizontal="center"/>
    </xf>
    <xf numFmtId="0" fontId="9" fillId="0" borderId="0" xfId="3" applyFont="1"/>
    <xf numFmtId="0" fontId="9" fillId="0" borderId="71" xfId="3" applyFont="1" applyBorder="1"/>
    <xf numFmtId="0" fontId="9" fillId="0" borderId="70" xfId="3" applyFont="1" applyBorder="1" applyAlignment="1">
      <alignment wrapText="1"/>
    </xf>
    <xf numFmtId="0" fontId="9" fillId="0" borderId="70" xfId="3" applyFont="1" applyBorder="1"/>
    <xf numFmtId="9" fontId="5" fillId="0" borderId="71" xfId="263" applyFont="1" applyBorder="1" applyAlignment="1">
      <alignment horizontal="center"/>
    </xf>
    <xf numFmtId="0" fontId="9" fillId="0" borderId="92" xfId="3" applyFont="1" applyBorder="1" applyAlignment="1">
      <alignment horizontal="center"/>
    </xf>
    <xf numFmtId="0" fontId="9" fillId="0" borderId="76" xfId="3" applyFont="1" applyBorder="1" applyAlignment="1">
      <alignment horizontal="center"/>
    </xf>
    <xf numFmtId="3" fontId="9" fillId="0" borderId="92" xfId="3" applyNumberFormat="1" applyFont="1" applyBorder="1" applyAlignment="1">
      <alignment horizontal="center"/>
    </xf>
    <xf numFmtId="3" fontId="9" fillId="0" borderId="76" xfId="3" applyNumberFormat="1" applyFont="1" applyBorder="1" applyAlignment="1">
      <alignment horizontal="center"/>
    </xf>
    <xf numFmtId="3" fontId="9" fillId="0" borderId="93" xfId="3" applyNumberFormat="1" applyFont="1" applyBorder="1" applyAlignment="1">
      <alignment horizontal="center"/>
    </xf>
    <xf numFmtId="3" fontId="9" fillId="0" borderId="77" xfId="3" applyNumberFormat="1" applyFont="1" applyBorder="1" applyAlignment="1">
      <alignment horizontal="center"/>
    </xf>
    <xf numFmtId="9" fontId="5" fillId="0" borderId="85" xfId="263" applyFont="1" applyBorder="1" applyAlignment="1">
      <alignment horizontal="center"/>
    </xf>
    <xf numFmtId="3" fontId="9" fillId="0" borderId="0" xfId="3" applyNumberFormat="1" applyFont="1"/>
    <xf numFmtId="9" fontId="5" fillId="0" borderId="0" xfId="263" applyFont="1" applyAlignment="1">
      <alignment horizontal="center"/>
    </xf>
    <xf numFmtId="0" fontId="9" fillId="0" borderId="87" xfId="3" applyFont="1" applyBorder="1" applyAlignment="1">
      <alignment horizontal="center" vertical="center" wrapText="1"/>
    </xf>
    <xf numFmtId="9" fontId="5" fillId="0" borderId="0" xfId="263" applyFont="1" applyBorder="1" applyAlignment="1">
      <alignment horizontal="center"/>
    </xf>
    <xf numFmtId="0" fontId="6" fillId="0" borderId="7" xfId="0" applyFont="1" applyBorder="1"/>
    <xf numFmtId="0" fontId="9" fillId="0" borderId="183" xfId="341" applyFont="1" applyBorder="1" applyAlignment="1">
      <alignment horizontal="center"/>
    </xf>
    <xf numFmtId="0" fontId="9" fillId="0" borderId="54" xfId="341" applyFont="1" applyBorder="1" applyAlignment="1">
      <alignment horizontal="center"/>
    </xf>
    <xf numFmtId="0" fontId="30" fillId="0" borderId="184" xfId="0" applyFont="1" applyBorder="1" applyAlignment="1">
      <alignment horizontal="center" vertical="center" wrapText="1"/>
    </xf>
    <xf numFmtId="3" fontId="106" fillId="0" borderId="185" xfId="139" applyNumberFormat="1" applyFont="1" applyBorder="1" applyAlignment="1">
      <alignment horizontal="center" vertical="center"/>
    </xf>
    <xf numFmtId="3" fontId="106" fillId="0" borderId="183" xfId="592" applyNumberFormat="1" applyFont="1" applyBorder="1" applyAlignment="1">
      <alignment horizontal="center" vertical="center"/>
    </xf>
    <xf numFmtId="3" fontId="106" fillId="0" borderId="186" xfId="139" applyNumberFormat="1" applyFont="1" applyBorder="1" applyAlignment="1">
      <alignment horizontal="center" vertical="center"/>
    </xf>
    <xf numFmtId="3" fontId="106" fillId="0" borderId="187" xfId="592" applyNumberFormat="1" applyFont="1" applyBorder="1" applyAlignment="1">
      <alignment horizontal="center" vertical="center"/>
    </xf>
    <xf numFmtId="3" fontId="106" fillId="0" borderId="188" xfId="592" applyNumberFormat="1" applyFont="1" applyBorder="1" applyAlignment="1">
      <alignment horizontal="center" vertical="center"/>
    </xf>
    <xf numFmtId="3" fontId="106" fillId="0" borderId="189" xfId="139" applyNumberFormat="1" applyFont="1" applyBorder="1" applyAlignment="1">
      <alignment horizontal="center" vertical="center"/>
    </xf>
    <xf numFmtId="0" fontId="34" fillId="0" borderId="183" xfId="0" applyFont="1" applyBorder="1" applyAlignment="1">
      <alignment horizontal="center"/>
    </xf>
    <xf numFmtId="0" fontId="6" fillId="0" borderId="33" xfId="0" applyFont="1" applyBorder="1"/>
    <xf numFmtId="9" fontId="6" fillId="0" borderId="32" xfId="1" applyFont="1" applyBorder="1" applyAlignment="1">
      <alignment horizontal="center" vertical="center"/>
    </xf>
    <xf numFmtId="169" fontId="106" fillId="0" borderId="179" xfId="139" applyNumberFormat="1" applyFont="1" applyBorder="1" applyAlignment="1">
      <alignment horizontal="center"/>
    </xf>
    <xf numFmtId="9" fontId="6" fillId="0" borderId="8" xfId="1" applyFont="1" applyBorder="1" applyAlignment="1">
      <alignment horizontal="center" vertical="center"/>
    </xf>
    <xf numFmtId="0" fontId="108" fillId="0" borderId="179" xfId="930" applyFont="1" applyBorder="1"/>
    <xf numFmtId="169" fontId="106" fillId="0" borderId="179" xfId="139" applyNumberFormat="1" applyFont="1" applyFill="1" applyBorder="1" applyAlignment="1">
      <alignment horizontal="center"/>
    </xf>
    <xf numFmtId="9" fontId="6" fillId="0" borderId="8" xfId="1" applyFont="1" applyFill="1" applyBorder="1" applyAlignment="1">
      <alignment horizontal="center" vertical="center"/>
    </xf>
    <xf numFmtId="0" fontId="6" fillId="0" borderId="9" xfId="0" applyFont="1" applyFill="1" applyBorder="1"/>
    <xf numFmtId="9" fontId="6" fillId="0" borderId="13" xfId="1" applyFont="1" applyBorder="1" applyAlignment="1">
      <alignment horizontal="center" vertical="center"/>
    </xf>
    <xf numFmtId="0" fontId="5" fillId="0" borderId="32" xfId="0" applyFont="1" applyBorder="1" applyAlignment="1">
      <alignment horizontal="center" vertical="center"/>
    </xf>
    <xf numFmtId="0" fontId="30" fillId="0" borderId="186" xfId="0" applyFont="1" applyBorder="1" applyAlignment="1">
      <alignment vertical="center" wrapText="1"/>
    </xf>
    <xf numFmtId="0" fontId="32" fillId="0" borderId="183" xfId="0" applyFont="1" applyBorder="1" applyAlignment="1">
      <alignment horizontal="center" vertical="center" wrapText="1"/>
    </xf>
    <xf numFmtId="0" fontId="5" fillId="0" borderId="183" xfId="0" applyFont="1" applyBorder="1" applyAlignment="1">
      <alignment horizontal="center"/>
    </xf>
    <xf numFmtId="0" fontId="5" fillId="0" borderId="189" xfId="0" applyFont="1" applyBorder="1" applyAlignment="1">
      <alignment horizontal="center"/>
    </xf>
    <xf numFmtId="0" fontId="5" fillId="0" borderId="33" xfId="0" applyFont="1" applyBorder="1"/>
    <xf numFmtId="169" fontId="5" fillId="0" borderId="1" xfId="0" applyNumberFormat="1" applyFont="1" applyFill="1" applyBorder="1" applyAlignment="1">
      <alignment horizontal="center" vertical="center" wrapText="1"/>
    </xf>
    <xf numFmtId="169" fontId="5" fillId="0" borderId="0" xfId="139" applyNumberFormat="1" applyFont="1" applyBorder="1" applyAlignment="1">
      <alignment horizontal="center" vertical="center" wrapText="1"/>
    </xf>
    <xf numFmtId="169" fontId="30" fillId="0" borderId="179" xfId="0" applyNumberFormat="1" applyFont="1" applyBorder="1" applyAlignment="1">
      <alignment horizontal="center" vertical="center" wrapText="1"/>
    </xf>
    <xf numFmtId="169" fontId="5" fillId="0" borderId="1" xfId="0" applyNumberFormat="1" applyFont="1" applyBorder="1" applyAlignment="1">
      <alignment horizontal="center" vertical="center" wrapText="1"/>
    </xf>
    <xf numFmtId="169" fontId="5" fillId="0" borderId="0" xfId="0" applyNumberFormat="1" applyFont="1" applyBorder="1" applyAlignment="1">
      <alignment horizontal="center" vertical="center" wrapText="1"/>
    </xf>
    <xf numFmtId="169" fontId="9" fillId="0" borderId="1" xfId="0" applyNumberFormat="1" applyFont="1" applyBorder="1" applyAlignment="1">
      <alignment horizontal="center" vertical="center" wrapText="1"/>
    </xf>
    <xf numFmtId="169" fontId="9" fillId="0" borderId="0" xfId="139" applyNumberFormat="1" applyFont="1" applyBorder="1" applyAlignment="1">
      <alignment horizontal="center" vertical="center" wrapText="1"/>
    </xf>
    <xf numFmtId="169" fontId="43" fillId="0" borderId="179" xfId="0" applyNumberFormat="1" applyFont="1" applyBorder="1" applyAlignment="1">
      <alignment horizontal="center" vertical="center" wrapText="1"/>
    </xf>
    <xf numFmtId="169" fontId="9" fillId="0" borderId="0" xfId="0" applyNumberFormat="1" applyFont="1" applyBorder="1" applyAlignment="1">
      <alignment horizontal="center" vertical="center" wrapText="1"/>
    </xf>
    <xf numFmtId="3" fontId="9" fillId="0" borderId="8" xfId="0" applyNumberFormat="1" applyFont="1" applyBorder="1" applyAlignment="1">
      <alignment horizontal="center"/>
    </xf>
    <xf numFmtId="169" fontId="5" fillId="0" borderId="158" xfId="0" applyNumberFormat="1" applyFont="1" applyBorder="1" applyAlignment="1">
      <alignment horizontal="center" vertical="center" wrapText="1"/>
    </xf>
    <xf numFmtId="169" fontId="5" fillId="0" borderId="0" xfId="139" applyNumberFormat="1" applyFont="1" applyBorder="1" applyAlignment="1">
      <alignment vertical="center" wrapText="1"/>
    </xf>
    <xf numFmtId="169" fontId="6" fillId="0" borderId="1" xfId="0" applyNumberFormat="1" applyFont="1" applyBorder="1" applyAlignment="1">
      <alignment horizontal="center" vertical="center" wrapText="1"/>
    </xf>
    <xf numFmtId="169" fontId="5" fillId="0" borderId="0" xfId="0" applyNumberFormat="1" applyFont="1" applyBorder="1" applyAlignment="1">
      <alignment vertical="center" wrapText="1"/>
    </xf>
    <xf numFmtId="167" fontId="9" fillId="0" borderId="1" xfId="0" applyNumberFormat="1" applyFont="1" applyBorder="1" applyAlignment="1">
      <alignment horizontal="center" vertical="center" wrapText="1"/>
    </xf>
    <xf numFmtId="167" fontId="9" fillId="0" borderId="158" xfId="0" applyNumberFormat="1" applyFont="1" applyBorder="1" applyAlignment="1">
      <alignment horizontal="center" vertical="center" wrapText="1"/>
    </xf>
    <xf numFmtId="169" fontId="5" fillId="0" borderId="8" xfId="0" applyNumberFormat="1" applyFont="1" applyBorder="1" applyAlignment="1">
      <alignment horizontal="center"/>
    </xf>
    <xf numFmtId="169" fontId="30" fillId="0" borderId="185" xfId="0" applyNumberFormat="1" applyFont="1" applyBorder="1" applyAlignment="1">
      <alignment horizontal="center" vertical="center"/>
    </xf>
    <xf numFmtId="169" fontId="43" fillId="0" borderId="186" xfId="0" applyNumberFormat="1" applyFont="1" applyFill="1" applyBorder="1" applyAlignment="1">
      <alignment horizontal="center" vertical="center" wrapText="1"/>
    </xf>
    <xf numFmtId="169" fontId="43" fillId="0" borderId="183" xfId="0" applyNumberFormat="1" applyFont="1" applyFill="1" applyBorder="1" applyAlignment="1">
      <alignment horizontal="center" vertical="center" wrapText="1"/>
    </xf>
    <xf numFmtId="169" fontId="43" fillId="0" borderId="185" xfId="0" applyNumberFormat="1" applyFont="1" applyFill="1" applyBorder="1" applyAlignment="1">
      <alignment horizontal="center" vertical="center"/>
    </xf>
    <xf numFmtId="167" fontId="9" fillId="0" borderId="186" xfId="0" applyNumberFormat="1" applyFont="1" applyBorder="1" applyAlignment="1">
      <alignment horizontal="center" vertical="center" wrapText="1"/>
    </xf>
    <xf numFmtId="167" fontId="9" fillId="0" borderId="183" xfId="0" applyNumberFormat="1" applyFont="1" applyBorder="1" applyAlignment="1">
      <alignment horizontal="center" vertical="center" wrapText="1"/>
    </xf>
    <xf numFmtId="167" fontId="9" fillId="0" borderId="191" xfId="0" applyNumberFormat="1" applyFont="1" applyBorder="1" applyAlignment="1">
      <alignment horizontal="center" vertical="center" wrapText="1"/>
    </xf>
    <xf numFmtId="3" fontId="30" fillId="0" borderId="190" xfId="0" applyNumberFormat="1" applyFont="1" applyBorder="1" applyAlignment="1">
      <alignment horizontal="center" vertical="center" wrapText="1"/>
    </xf>
    <xf numFmtId="3" fontId="30" fillId="0" borderId="183" xfId="0" applyNumberFormat="1" applyFont="1" applyBorder="1" applyAlignment="1">
      <alignment horizontal="center" vertical="center"/>
    </xf>
    <xf numFmtId="3" fontId="30" fillId="0" borderId="189" xfId="0" applyNumberFormat="1" applyFont="1" applyBorder="1" applyAlignment="1">
      <alignment horizontal="center" vertical="center"/>
    </xf>
    <xf numFmtId="167" fontId="5" fillId="0" borderId="42" xfId="0" applyNumberFormat="1" applyFont="1" applyBorder="1" applyAlignment="1">
      <alignment horizontal="center"/>
    </xf>
    <xf numFmtId="167" fontId="5" fillId="0" borderId="8" xfId="0" applyNumberFormat="1" applyFont="1" applyBorder="1" applyAlignment="1">
      <alignment horizontal="center"/>
    </xf>
    <xf numFmtId="167" fontId="5" fillId="0" borderId="99" xfId="0" applyNumberFormat="1" applyFont="1" applyBorder="1" applyAlignment="1">
      <alignment horizontal="center"/>
    </xf>
    <xf numFmtId="167" fontId="5" fillId="0" borderId="19" xfId="0" applyNumberFormat="1" applyFont="1" applyBorder="1" applyAlignment="1">
      <alignment horizontal="center" vertical="center" wrapText="1"/>
    </xf>
    <xf numFmtId="167" fontId="5" fillId="0" borderId="13" xfId="0" applyNumberFormat="1" applyFont="1" applyBorder="1" applyAlignment="1">
      <alignment horizontal="center"/>
    </xf>
    <xf numFmtId="167" fontId="37" fillId="0" borderId="158" xfId="0" applyNumberFormat="1" applyFont="1" applyBorder="1" applyAlignment="1">
      <alignment horizontal="center" vertical="center" wrapText="1"/>
    </xf>
    <xf numFmtId="0" fontId="5" fillId="0" borderId="1" xfId="0" applyFont="1" applyBorder="1" applyAlignment="1">
      <alignment horizontal="center" vertical="center" wrapText="1"/>
    </xf>
    <xf numFmtId="167" fontId="5" fillId="0" borderId="3" xfId="0" applyNumberFormat="1" applyFont="1" applyFill="1" applyBorder="1" applyAlignment="1">
      <alignment horizontal="center" vertical="center" wrapText="1"/>
    </xf>
    <xf numFmtId="170" fontId="5" fillId="0" borderId="24" xfId="139" applyNumberFormat="1" applyFont="1" applyBorder="1" applyAlignment="1">
      <alignment vertical="center" wrapText="1"/>
    </xf>
    <xf numFmtId="167" fontId="5" fillId="0" borderId="1" xfId="0" applyNumberFormat="1" applyFont="1" applyBorder="1" applyAlignment="1">
      <alignment horizontal="center" vertical="center" wrapText="1"/>
    </xf>
    <xf numFmtId="170" fontId="5" fillId="0" borderId="0" xfId="139" applyNumberFormat="1" applyFont="1" applyBorder="1" applyAlignment="1">
      <alignment vertical="center" wrapText="1"/>
    </xf>
    <xf numFmtId="43" fontId="5" fillId="0" borderId="0" xfId="0" applyNumberFormat="1" applyFont="1"/>
    <xf numFmtId="167" fontId="5" fillId="0" borderId="1" xfId="0" applyNumberFormat="1" applyFont="1" applyFill="1" applyBorder="1" applyAlignment="1">
      <alignment horizontal="center" vertical="center" wrapText="1"/>
    </xf>
    <xf numFmtId="167" fontId="9" fillId="0" borderId="1" xfId="0" applyNumberFormat="1" applyFont="1" applyFill="1" applyBorder="1" applyAlignment="1">
      <alignment horizontal="center" vertical="center" wrapText="1"/>
    </xf>
    <xf numFmtId="167" fontId="9" fillId="0" borderId="0" xfId="0" applyNumberFormat="1" applyFont="1" applyFill="1" applyBorder="1" applyAlignment="1">
      <alignment horizontal="center" vertical="center" wrapText="1"/>
    </xf>
    <xf numFmtId="170" fontId="9" fillId="0" borderId="0" xfId="139" applyNumberFormat="1" applyFont="1" applyFill="1" applyBorder="1" applyAlignment="1">
      <alignment vertical="center" wrapText="1"/>
    </xf>
    <xf numFmtId="167" fontId="43" fillId="0" borderId="179" xfId="0" applyNumberFormat="1" applyFont="1" applyBorder="1" applyAlignment="1">
      <alignment horizontal="center" vertical="center" wrapText="1"/>
    </xf>
    <xf numFmtId="170" fontId="5" fillId="0" borderId="10" xfId="139" applyNumberFormat="1" applyFont="1" applyBorder="1" applyAlignment="1">
      <alignment vertical="center" wrapText="1"/>
    </xf>
    <xf numFmtId="167" fontId="5" fillId="0" borderId="0" xfId="0" applyNumberFormat="1" applyFont="1" applyBorder="1" applyAlignment="1">
      <alignment vertical="center" wrapText="1"/>
    </xf>
    <xf numFmtId="0" fontId="5" fillId="0" borderId="179" xfId="0" applyFont="1" applyBorder="1"/>
    <xf numFmtId="0" fontId="5" fillId="0" borderId="23" xfId="0" applyFont="1" applyBorder="1"/>
    <xf numFmtId="0" fontId="5" fillId="0" borderId="13" xfId="0" applyFont="1" applyBorder="1"/>
    <xf numFmtId="0" fontId="32" fillId="0" borderId="191" xfId="0" applyFont="1" applyBorder="1" applyAlignment="1">
      <alignment horizontal="center" vertical="center" wrapText="1"/>
    </xf>
    <xf numFmtId="0" fontId="5" fillId="0" borderId="30" xfId="0" applyFont="1" applyBorder="1"/>
    <xf numFmtId="9" fontId="5" fillId="0" borderId="1" xfId="1" applyFont="1" applyFill="1" applyBorder="1" applyAlignment="1">
      <alignment horizontal="center" vertical="center" wrapText="1"/>
    </xf>
    <xf numFmtId="9" fontId="30" fillId="0" borderId="179" xfId="1" applyFont="1" applyBorder="1" applyAlignment="1">
      <alignment horizontal="center" vertical="center" wrapText="1"/>
    </xf>
    <xf numFmtId="9" fontId="5" fillId="0" borderId="1" xfId="1" applyFont="1" applyBorder="1" applyAlignment="1">
      <alignment horizontal="center" vertical="center" wrapText="1"/>
    </xf>
    <xf numFmtId="9" fontId="5" fillId="0" borderId="0" xfId="0" applyNumberFormat="1" applyFont="1" applyBorder="1" applyAlignment="1">
      <alignment horizontal="center"/>
    </xf>
    <xf numFmtId="9" fontId="5" fillId="0" borderId="158" xfId="0" applyNumberFormat="1" applyFont="1" applyBorder="1" applyAlignment="1">
      <alignment horizontal="center"/>
    </xf>
    <xf numFmtId="9" fontId="5" fillId="0" borderId="131" xfId="1" applyFont="1" applyBorder="1" applyAlignment="1">
      <alignment horizontal="center" vertical="center" wrapText="1"/>
    </xf>
    <xf numFmtId="9" fontId="5" fillId="0" borderId="132" xfId="1" applyFont="1" applyBorder="1" applyAlignment="1">
      <alignment horizontal="center" vertical="center" wrapText="1"/>
    </xf>
    <xf numFmtId="9" fontId="5" fillId="0" borderId="131" xfId="0" applyNumberFormat="1" applyFont="1" applyBorder="1" applyAlignment="1">
      <alignment horizontal="center"/>
    </xf>
    <xf numFmtId="9" fontId="5" fillId="0" borderId="133" xfId="0" applyNumberFormat="1" applyFont="1" applyBorder="1" applyAlignment="1">
      <alignment horizontal="center"/>
    </xf>
    <xf numFmtId="0" fontId="27" fillId="0" borderId="183" xfId="341" applyFont="1" applyBorder="1" applyAlignment="1">
      <alignment horizontal="center"/>
    </xf>
    <xf numFmtId="0" fontId="9" fillId="0" borderId="160" xfId="341" applyFont="1" applyBorder="1" applyAlignment="1">
      <alignment horizontal="center"/>
    </xf>
    <xf numFmtId="3" fontId="46" fillId="0" borderId="46" xfId="341" applyNumberFormat="1" applyFont="1" applyBorder="1" applyAlignment="1">
      <alignment horizontal="center" vertical="center"/>
    </xf>
    <xf numFmtId="3" fontId="46" fillId="0" borderId="46" xfId="341" applyNumberFormat="1" applyFont="1" applyFill="1" applyBorder="1" applyAlignment="1">
      <alignment horizontal="center" vertical="center"/>
    </xf>
    <xf numFmtId="3" fontId="46" fillId="0" borderId="49" xfId="341" applyNumberFormat="1" applyFont="1" applyBorder="1" applyAlignment="1">
      <alignment horizontal="center" vertical="center"/>
    </xf>
    <xf numFmtId="3" fontId="46" fillId="0" borderId="49" xfId="341" applyNumberFormat="1" applyFont="1" applyFill="1" applyBorder="1" applyAlignment="1">
      <alignment horizontal="center" vertical="center"/>
    </xf>
    <xf numFmtId="3" fontId="45" fillId="0" borderId="18" xfId="341" applyNumberFormat="1" applyFont="1" applyBorder="1" applyAlignment="1">
      <alignment horizontal="center" vertical="center"/>
    </xf>
    <xf numFmtId="3" fontId="46" fillId="0" borderId="10" xfId="341" applyNumberFormat="1" applyFont="1" applyBorder="1" applyAlignment="1">
      <alignment horizontal="center" vertical="center"/>
    </xf>
    <xf numFmtId="3" fontId="46" fillId="0" borderId="10" xfId="341" applyNumberFormat="1" applyFont="1" applyFill="1" applyBorder="1" applyAlignment="1">
      <alignment horizontal="center" vertical="center"/>
    </xf>
    <xf numFmtId="3" fontId="46" fillId="0" borderId="24" xfId="341" applyNumberFormat="1" applyFont="1" applyBorder="1" applyAlignment="1">
      <alignment horizontal="center" vertical="center"/>
    </xf>
    <xf numFmtId="3" fontId="46" fillId="0" borderId="24" xfId="341" applyNumberFormat="1" applyFont="1" applyFill="1" applyBorder="1" applyAlignment="1">
      <alignment horizontal="center" vertical="center"/>
    </xf>
    <xf numFmtId="0" fontId="27" fillId="0" borderId="189" xfId="341" applyFont="1" applyBorder="1" applyAlignment="1">
      <alignment horizontal="center"/>
    </xf>
    <xf numFmtId="0" fontId="9" fillId="0" borderId="7" xfId="592" applyFont="1" applyBorder="1"/>
    <xf numFmtId="3" fontId="9" fillId="0" borderId="0" xfId="592" applyNumberFormat="1" applyFont="1" applyBorder="1" applyAlignment="1">
      <alignment horizontal="center"/>
    </xf>
    <xf numFmtId="3" fontId="9" fillId="0" borderId="1" xfId="592" applyNumberFormat="1" applyFont="1" applyBorder="1" applyAlignment="1">
      <alignment horizontal="center"/>
    </xf>
    <xf numFmtId="3" fontId="9" fillId="0" borderId="135" xfId="592" applyNumberFormat="1" applyFont="1" applyBorder="1" applyAlignment="1">
      <alignment horizontal="center"/>
    </xf>
    <xf numFmtId="3" fontId="9" fillId="0" borderId="0" xfId="592" applyNumberFormat="1" applyFont="1" applyAlignment="1">
      <alignment horizontal="center"/>
    </xf>
    <xf numFmtId="0" fontId="9" fillId="0" borderId="7" xfId="737" applyFont="1" applyBorder="1"/>
    <xf numFmtId="0" fontId="6" fillId="0" borderId="7" xfId="737" applyFont="1" applyBorder="1"/>
    <xf numFmtId="0" fontId="9" fillId="0" borderId="7" xfId="592" applyFont="1" applyFill="1" applyBorder="1"/>
    <xf numFmtId="0" fontId="27" fillId="0" borderId="179" xfId="592" applyFont="1" applyBorder="1"/>
    <xf numFmtId="3" fontId="9" fillId="0" borderId="185" xfId="592" applyNumberFormat="1" applyFont="1" applyBorder="1" applyAlignment="1">
      <alignment horizontal="center"/>
    </xf>
    <xf numFmtId="3" fontId="9" fillId="0" borderId="183" xfId="592" applyNumberFormat="1" applyFont="1" applyBorder="1" applyAlignment="1">
      <alignment horizontal="center"/>
    </xf>
    <xf numFmtId="3" fontId="9" fillId="0" borderId="186" xfId="592" applyNumberFormat="1" applyFont="1" applyBorder="1" applyAlignment="1">
      <alignment horizontal="center"/>
    </xf>
    <xf numFmtId="3" fontId="9" fillId="0" borderId="192" xfId="592" applyNumberFormat="1" applyFont="1" applyBorder="1" applyAlignment="1">
      <alignment horizontal="center"/>
    </xf>
    <xf numFmtId="0" fontId="9" fillId="0" borderId="8" xfId="592" applyFont="1" applyBorder="1"/>
    <xf numFmtId="0" fontId="9" fillId="0" borderId="33" xfId="592" applyFont="1" applyBorder="1"/>
    <xf numFmtId="0" fontId="9" fillId="0" borderId="30" xfId="592" applyFont="1" applyBorder="1" applyAlignment="1">
      <alignment vertical="center"/>
    </xf>
    <xf numFmtId="0" fontId="9" fillId="0" borderId="0" xfId="592" applyFont="1" applyBorder="1" applyAlignment="1">
      <alignment vertical="center"/>
    </xf>
    <xf numFmtId="0" fontId="9" fillId="0" borderId="7" xfId="592" applyFont="1" applyBorder="1" applyAlignment="1">
      <alignment horizontal="center" vertical="center" wrapText="1"/>
    </xf>
    <xf numFmtId="0" fontId="9" fillId="0" borderId="33" xfId="592" applyFont="1" applyBorder="1" applyAlignment="1">
      <alignment vertical="center"/>
    </xf>
    <xf numFmtId="169" fontId="9" fillId="0" borderId="3" xfId="592" applyNumberFormat="1" applyFont="1" applyBorder="1" applyAlignment="1">
      <alignment horizontal="center" vertical="center"/>
    </xf>
    <xf numFmtId="169" fontId="9" fillId="0" borderId="24" xfId="592" applyNumberFormat="1" applyFont="1" applyBorder="1" applyAlignment="1">
      <alignment horizontal="center" vertical="center"/>
    </xf>
    <xf numFmtId="0" fontId="9" fillId="0" borderId="30" xfId="592" applyFont="1" applyBorder="1" applyAlignment="1">
      <alignment horizontal="left" vertical="center"/>
    </xf>
    <xf numFmtId="4" fontId="9" fillId="0" borderId="0" xfId="592" applyNumberFormat="1" applyFont="1" applyAlignment="1">
      <alignment horizontal="center"/>
    </xf>
    <xf numFmtId="0" fontId="9" fillId="0" borderId="7" xfId="592" applyFont="1" applyBorder="1" applyAlignment="1">
      <alignment vertical="center"/>
    </xf>
    <xf numFmtId="169" fontId="9" fillId="0" borderId="1" xfId="592" applyNumberFormat="1" applyFont="1" applyBorder="1" applyAlignment="1">
      <alignment horizontal="center" vertical="center"/>
    </xf>
    <xf numFmtId="169" fontId="9" fillId="0" borderId="0" xfId="592" applyNumberFormat="1" applyFont="1" applyBorder="1" applyAlignment="1">
      <alignment horizontal="center" vertical="center"/>
    </xf>
    <xf numFmtId="0" fontId="9" fillId="0" borderId="98" xfId="592" applyFont="1" applyBorder="1" applyAlignment="1">
      <alignment horizontal="left" vertical="center"/>
    </xf>
    <xf numFmtId="0" fontId="9" fillId="0" borderId="0" xfId="592" applyFont="1" applyAlignment="1">
      <alignment horizontal="center"/>
    </xf>
    <xf numFmtId="4" fontId="9" fillId="0" borderId="1" xfId="592" applyNumberFormat="1" applyFont="1" applyBorder="1" applyAlignment="1">
      <alignment horizontal="center" vertical="center"/>
    </xf>
    <xf numFmtId="4" fontId="9" fillId="0" borderId="0" xfId="592" applyNumberFormat="1" applyFont="1" applyBorder="1" applyAlignment="1">
      <alignment horizontal="center" vertical="center"/>
    </xf>
    <xf numFmtId="0" fontId="9" fillId="0" borderId="1" xfId="592" applyFont="1" applyBorder="1" applyAlignment="1">
      <alignment horizontal="center" vertical="center"/>
    </xf>
    <xf numFmtId="0" fontId="9" fillId="0" borderId="0" xfId="592" applyFont="1" applyBorder="1" applyAlignment="1">
      <alignment horizontal="center" vertical="center"/>
    </xf>
    <xf numFmtId="169" fontId="9" fillId="0" borderId="0" xfId="592" applyNumberFormat="1" applyFont="1" applyAlignment="1">
      <alignment horizontal="center"/>
    </xf>
    <xf numFmtId="0" fontId="5" fillId="0" borderId="0" xfId="1105" applyFont="1" applyBorder="1" applyAlignment="1">
      <alignment horizontal="center" vertical="center"/>
    </xf>
    <xf numFmtId="0" fontId="5" fillId="0" borderId="8" xfId="1105" applyFont="1" applyBorder="1" applyAlignment="1">
      <alignment horizontal="center" vertical="center" wrapText="1"/>
    </xf>
    <xf numFmtId="0" fontId="5" fillId="0" borderId="0" xfId="0" applyFont="1" applyAlignment="1">
      <alignment horizontal="center" vertical="center"/>
    </xf>
    <xf numFmtId="0" fontId="5" fillId="0" borderId="7" xfId="1105" applyFont="1" applyBorder="1" applyAlignment="1">
      <alignment wrapText="1"/>
    </xf>
    <xf numFmtId="3" fontId="5" fillId="0" borderId="0" xfId="1105" applyNumberFormat="1" applyFont="1" applyBorder="1" applyAlignment="1">
      <alignment horizontal="center" vertical="center"/>
    </xf>
    <xf numFmtId="9" fontId="5" fillId="0" borderId="8" xfId="1106" applyFont="1" applyBorder="1" applyAlignment="1">
      <alignment horizontal="center" vertical="center"/>
    </xf>
    <xf numFmtId="0" fontId="6" fillId="0" borderId="7" xfId="1105" applyFont="1" applyBorder="1" applyAlignment="1">
      <alignment wrapText="1"/>
    </xf>
    <xf numFmtId="0" fontId="5" fillId="0" borderId="8" xfId="1105" applyFont="1" applyBorder="1" applyAlignment="1">
      <alignment horizontal="center" vertical="center"/>
    </xf>
    <xf numFmtId="9" fontId="5" fillId="0" borderId="8" xfId="1" applyFont="1" applyBorder="1" applyAlignment="1">
      <alignment horizontal="center" vertical="center"/>
    </xf>
    <xf numFmtId="0" fontId="5" fillId="0" borderId="7" xfId="0" applyFont="1" applyBorder="1" applyAlignment="1">
      <alignment wrapText="1"/>
    </xf>
    <xf numFmtId="0" fontId="5" fillId="0" borderId="8" xfId="0" applyFont="1" applyBorder="1" applyAlignment="1">
      <alignment horizontal="center" vertical="center"/>
    </xf>
    <xf numFmtId="9" fontId="5" fillId="0" borderId="8" xfId="1106" applyNumberFormat="1" applyFont="1" applyBorder="1" applyAlignment="1">
      <alignment horizontal="center" vertical="center"/>
    </xf>
    <xf numFmtId="3" fontId="5" fillId="0" borderId="0" xfId="0" applyNumberFormat="1" applyFont="1" applyBorder="1" applyAlignment="1">
      <alignment horizontal="center" vertical="center"/>
    </xf>
    <xf numFmtId="171" fontId="5" fillId="0" borderId="8" xfId="1" applyNumberFormat="1" applyFont="1" applyBorder="1" applyAlignment="1">
      <alignment horizontal="center" vertical="center"/>
    </xf>
    <xf numFmtId="0" fontId="6" fillId="0" borderId="7" xfId="1105" applyFont="1" applyBorder="1"/>
    <xf numFmtId="0" fontId="6" fillId="0" borderId="142" xfId="1105" applyFont="1" applyBorder="1" applyAlignment="1">
      <alignment horizontal="center"/>
    </xf>
    <xf numFmtId="0" fontId="6" fillId="0" borderId="185" xfId="1105" applyFont="1" applyBorder="1" applyAlignment="1">
      <alignment horizontal="center" vertical="center" wrapText="1"/>
    </xf>
    <xf numFmtId="0" fontId="6" fillId="0" borderId="183" xfId="1105" applyFont="1" applyBorder="1" applyAlignment="1">
      <alignment horizontal="center" vertical="center" wrapText="1"/>
    </xf>
    <xf numFmtId="0" fontId="6" fillId="0" borderId="192" xfId="1105" applyFont="1" applyBorder="1" applyAlignment="1">
      <alignment horizontal="center" vertical="center" wrapText="1"/>
    </xf>
    <xf numFmtId="3" fontId="6" fillId="0" borderId="98" xfId="571" applyNumberFormat="1" applyFont="1" applyBorder="1" applyAlignment="1">
      <alignment horizontal="center"/>
    </xf>
    <xf numFmtId="3" fontId="6" fillId="0" borderId="0" xfId="571" applyNumberFormat="1" applyFont="1" applyBorder="1" applyAlignment="1">
      <alignment horizontal="center"/>
    </xf>
    <xf numFmtId="3" fontId="6" fillId="0" borderId="0" xfId="1105" applyNumberFormat="1" applyFont="1" applyBorder="1" applyAlignment="1">
      <alignment horizontal="center"/>
    </xf>
    <xf numFmtId="9" fontId="6" fillId="0" borderId="135" xfId="1106" applyFont="1" applyBorder="1" applyAlignment="1">
      <alignment horizontal="center"/>
    </xf>
    <xf numFmtId="0" fontId="6" fillId="0" borderId="9" xfId="1105" applyFont="1" applyBorder="1"/>
    <xf numFmtId="3" fontId="6" fillId="0" borderId="18" xfId="571" applyNumberFormat="1" applyFont="1" applyBorder="1" applyAlignment="1">
      <alignment horizontal="center"/>
    </xf>
    <xf numFmtId="3" fontId="6" fillId="0" borderId="10" xfId="571" applyNumberFormat="1" applyFont="1" applyBorder="1" applyAlignment="1">
      <alignment horizontal="center"/>
    </xf>
    <xf numFmtId="3" fontId="6" fillId="0" borderId="10" xfId="1105" applyNumberFormat="1" applyFont="1" applyBorder="1" applyAlignment="1">
      <alignment horizontal="center"/>
    </xf>
    <xf numFmtId="9" fontId="6" fillId="0" borderId="136" xfId="1106" applyFont="1" applyBorder="1" applyAlignment="1">
      <alignment horizontal="center"/>
    </xf>
    <xf numFmtId="1" fontId="5" fillId="0" borderId="0" xfId="0" applyNumberFormat="1" applyFont="1"/>
    <xf numFmtId="0" fontId="5" fillId="0" borderId="0" xfId="0" applyFont="1" applyAlignment="1">
      <alignment vertical="center" wrapText="1"/>
    </xf>
    <xf numFmtId="3" fontId="30" fillId="0" borderId="179" xfId="139" applyNumberFormat="1" applyFont="1" applyBorder="1" applyAlignment="1">
      <alignment horizontal="center"/>
    </xf>
    <xf numFmtId="3" fontId="5" fillId="0" borderId="0" xfId="139" applyNumberFormat="1" applyFont="1" applyBorder="1" applyAlignment="1">
      <alignment horizontal="center" vertical="center"/>
    </xf>
    <xf numFmtId="171" fontId="5" fillId="0" borderId="0" xfId="1" applyNumberFormat="1" applyFont="1" applyFill="1"/>
    <xf numFmtId="3" fontId="30" fillId="0" borderId="179" xfId="139" applyNumberFormat="1" applyFont="1" applyFill="1" applyBorder="1" applyAlignment="1">
      <alignment horizontal="center"/>
    </xf>
    <xf numFmtId="3" fontId="5" fillId="0" borderId="0" xfId="139" applyNumberFormat="1" applyFont="1" applyFill="1" applyBorder="1" applyAlignment="1">
      <alignment horizontal="center" vertical="center"/>
    </xf>
    <xf numFmtId="3" fontId="5" fillId="0" borderId="158" xfId="0" applyNumberFormat="1" applyFont="1" applyFill="1" applyBorder="1" applyAlignment="1">
      <alignment horizontal="center" vertical="center" wrapText="1"/>
    </xf>
    <xf numFmtId="3" fontId="5" fillId="0" borderId="8" xfId="0" applyNumberFormat="1" applyFont="1" applyFill="1" applyBorder="1" applyAlignment="1">
      <alignment horizontal="center" vertical="center" wrapText="1"/>
    </xf>
    <xf numFmtId="3" fontId="5" fillId="0" borderId="98" xfId="0" applyNumberFormat="1" applyFont="1" applyBorder="1"/>
    <xf numFmtId="3" fontId="30" fillId="0" borderId="179" xfId="0" applyNumberFormat="1" applyFont="1" applyBorder="1" applyAlignment="1">
      <alignment horizontal="center"/>
    </xf>
    <xf numFmtId="0" fontId="30" fillId="0" borderId="184" xfId="0" applyFont="1" applyBorder="1" applyAlignment="1">
      <alignment horizontal="center" vertical="center"/>
    </xf>
    <xf numFmtId="3" fontId="30" fillId="0" borderId="190" xfId="139" applyNumberFormat="1" applyFont="1" applyBorder="1" applyAlignment="1">
      <alignment horizontal="center" vertical="center"/>
    </xf>
    <xf numFmtId="3" fontId="30" fillId="0" borderId="183" xfId="0" applyNumberFormat="1" applyFont="1" applyBorder="1" applyAlignment="1">
      <alignment horizontal="center" vertical="center" wrapText="1"/>
    </xf>
    <xf numFmtId="3" fontId="30" fillId="0" borderId="185" xfId="0" applyNumberFormat="1" applyFont="1" applyBorder="1" applyAlignment="1">
      <alignment horizontal="center" vertical="center"/>
    </xf>
    <xf numFmtId="3" fontId="30" fillId="0" borderId="186" xfId="0" applyNumberFormat="1" applyFont="1" applyBorder="1" applyAlignment="1">
      <alignment horizontal="center" vertical="center" wrapText="1"/>
    </xf>
    <xf numFmtId="3" fontId="30" fillId="0" borderId="191" xfId="0" applyNumberFormat="1" applyFont="1" applyBorder="1" applyAlignment="1">
      <alignment horizontal="center" vertical="center" wrapText="1"/>
    </xf>
    <xf numFmtId="3" fontId="30" fillId="0" borderId="193" xfId="139" applyNumberFormat="1" applyFont="1" applyBorder="1" applyAlignment="1">
      <alignment horizontal="center" vertical="center"/>
    </xf>
    <xf numFmtId="3" fontId="30" fillId="0" borderId="189" xfId="0" applyNumberFormat="1" applyFont="1" applyBorder="1" applyAlignment="1">
      <alignment horizontal="center" vertical="center" wrapText="1"/>
    </xf>
    <xf numFmtId="10" fontId="5" fillId="0" borderId="0" xfId="1" applyNumberFormat="1" applyFont="1"/>
    <xf numFmtId="3" fontId="30" fillId="0" borderId="179" xfId="139" applyNumberFormat="1" applyFont="1" applyBorder="1" applyAlignment="1">
      <alignment horizontal="center" vertical="center"/>
    </xf>
    <xf numFmtId="176" fontId="5" fillId="0" borderId="0" xfId="0" applyNumberFormat="1" applyFont="1"/>
    <xf numFmtId="0" fontId="6" fillId="0" borderId="15" xfId="0" applyFont="1" applyBorder="1"/>
    <xf numFmtId="9" fontId="5" fillId="0" borderId="16" xfId="1" applyFont="1" applyBorder="1"/>
    <xf numFmtId="9" fontId="5" fillId="0" borderId="17" xfId="1" applyFont="1" applyBorder="1"/>
    <xf numFmtId="165" fontId="5" fillId="0" borderId="0" xfId="139" applyFont="1"/>
    <xf numFmtId="3" fontId="9" fillId="0" borderId="8" xfId="0" applyNumberFormat="1" applyFont="1" applyBorder="1" applyAlignment="1">
      <alignment horizontal="center" vertical="center" wrapText="1"/>
    </xf>
    <xf numFmtId="3" fontId="5" fillId="0" borderId="0" xfId="0" applyNumberFormat="1" applyFont="1" applyAlignment="1">
      <alignment horizontal="center" vertical="center" wrapText="1"/>
    </xf>
    <xf numFmtId="168" fontId="5" fillId="0" borderId="0" xfId="139" applyNumberFormat="1" applyFont="1"/>
    <xf numFmtId="0" fontId="6" fillId="0" borderId="2" xfId="0" applyFont="1" applyBorder="1" applyAlignment="1">
      <alignment horizontal="center" vertical="center" wrapText="1"/>
    </xf>
    <xf numFmtId="0" fontId="5" fillId="0" borderId="0" xfId="0" applyFont="1" applyBorder="1" applyAlignment="1">
      <alignment vertical="center" wrapText="1"/>
    </xf>
    <xf numFmtId="0" fontId="30" fillId="0" borderId="188" xfId="0" applyFont="1" applyBorder="1" applyAlignment="1">
      <alignment horizontal="center" vertical="center" wrapText="1"/>
    </xf>
    <xf numFmtId="9" fontId="6" fillId="0" borderId="0" xfId="1" applyFont="1" applyBorder="1" applyAlignment="1">
      <alignment horizontal="center"/>
    </xf>
    <xf numFmtId="9" fontId="6" fillId="0" borderId="2" xfId="1" applyFont="1" applyBorder="1" applyAlignment="1">
      <alignment horizontal="center"/>
    </xf>
    <xf numFmtId="9" fontId="6" fillId="0" borderId="8" xfId="1" applyFont="1" applyBorder="1" applyAlignment="1">
      <alignment horizontal="center"/>
    </xf>
    <xf numFmtId="9" fontId="5" fillId="0" borderId="98" xfId="1" applyFont="1" applyBorder="1"/>
    <xf numFmtId="9" fontId="5" fillId="0" borderId="2" xfId="1" applyFont="1" applyBorder="1" applyAlignment="1">
      <alignment horizontal="center"/>
    </xf>
    <xf numFmtId="9" fontId="5" fillId="0" borderId="183" xfId="1" applyFont="1" applyBorder="1" applyAlignment="1">
      <alignment horizontal="center"/>
    </xf>
    <xf numFmtId="9" fontId="30" fillId="0" borderId="185" xfId="1" applyFont="1" applyBorder="1" applyAlignment="1">
      <alignment horizontal="center" vertical="center"/>
    </xf>
    <xf numFmtId="9" fontId="30" fillId="0" borderId="183" xfId="1" applyFont="1" applyBorder="1" applyAlignment="1">
      <alignment horizontal="center" vertical="center" wrapText="1"/>
    </xf>
    <xf numFmtId="9" fontId="30" fillId="0" borderId="183" xfId="1" applyFont="1" applyBorder="1" applyAlignment="1">
      <alignment horizontal="center" vertical="center"/>
    </xf>
    <xf numFmtId="9" fontId="30" fillId="0" borderId="189" xfId="1" applyFont="1" applyBorder="1" applyAlignment="1">
      <alignment horizontal="center" vertical="center"/>
    </xf>
    <xf numFmtId="0" fontId="6" fillId="0" borderId="188" xfId="0" applyFont="1" applyBorder="1" applyAlignment="1">
      <alignment horizontal="center" vertical="center" wrapText="1"/>
    </xf>
    <xf numFmtId="9" fontId="6" fillId="0" borderId="24" xfId="1" applyFont="1" applyBorder="1" applyAlignment="1">
      <alignment horizontal="center" vertical="center" wrapText="1"/>
    </xf>
    <xf numFmtId="9" fontId="6" fillId="0" borderId="34" xfId="1" applyFont="1" applyBorder="1" applyAlignment="1">
      <alignment horizontal="center" vertical="center" wrapText="1"/>
    </xf>
    <xf numFmtId="9" fontId="6" fillId="0" borderId="31" xfId="1" applyFont="1" applyBorder="1" applyAlignment="1">
      <alignment horizontal="center" vertical="center" wrapText="1"/>
    </xf>
    <xf numFmtId="3" fontId="9" fillId="0" borderId="98" xfId="0" applyNumberFormat="1" applyFont="1" applyBorder="1" applyAlignment="1">
      <alignment horizontal="center"/>
    </xf>
    <xf numFmtId="9" fontId="6" fillId="0" borderId="158" xfId="1" applyFont="1" applyBorder="1" applyAlignment="1">
      <alignment horizontal="center"/>
    </xf>
    <xf numFmtId="0" fontId="9" fillId="0" borderId="98" xfId="0" applyFont="1" applyFill="1" applyBorder="1"/>
    <xf numFmtId="3" fontId="30" fillId="0" borderId="179" xfId="1" applyNumberFormat="1" applyFont="1" applyBorder="1" applyAlignment="1">
      <alignment horizontal="center" vertical="center"/>
    </xf>
    <xf numFmtId="9" fontId="6" fillId="0" borderId="0" xfId="1" applyFont="1" applyBorder="1" applyAlignment="1">
      <alignment horizontal="center" vertical="center" wrapText="1"/>
    </xf>
    <xf numFmtId="9" fontId="6" fillId="0" borderId="2" xfId="1" applyFont="1" applyBorder="1" applyAlignment="1">
      <alignment horizontal="center" vertical="center"/>
    </xf>
    <xf numFmtId="9" fontId="6" fillId="0" borderId="158" xfId="1" applyFont="1" applyBorder="1" applyAlignment="1">
      <alignment horizontal="center" vertical="center"/>
    </xf>
    <xf numFmtId="0" fontId="30" fillId="0" borderId="185" xfId="0" applyFont="1" applyBorder="1" applyAlignment="1">
      <alignment horizontal="center" vertical="center"/>
    </xf>
    <xf numFmtId="3" fontId="43" fillId="0" borderId="193" xfId="0" applyNumberFormat="1" applyFont="1" applyBorder="1" applyAlignment="1">
      <alignment horizontal="center" vertical="center"/>
    </xf>
    <xf numFmtId="9" fontId="30" fillId="0" borderId="191" xfId="1" applyFont="1" applyBorder="1" applyAlignment="1">
      <alignment horizontal="center" vertical="center"/>
    </xf>
    <xf numFmtId="0" fontId="30" fillId="0" borderId="191" xfId="0" applyFont="1" applyBorder="1" applyAlignment="1">
      <alignment horizontal="center" vertical="center" wrapText="1"/>
    </xf>
    <xf numFmtId="9" fontId="9" fillId="0" borderId="158" xfId="1" applyFont="1" applyBorder="1" applyAlignment="1">
      <alignment horizontal="center"/>
    </xf>
    <xf numFmtId="167" fontId="5" fillId="0" borderId="98" xfId="1" applyNumberFormat="1" applyFont="1" applyBorder="1" applyAlignment="1">
      <alignment horizontal="center"/>
    </xf>
    <xf numFmtId="167" fontId="5" fillId="0" borderId="0" xfId="1" applyNumberFormat="1" applyFont="1" applyBorder="1" applyAlignment="1">
      <alignment horizontal="center"/>
    </xf>
    <xf numFmtId="167" fontId="5" fillId="0" borderId="2" xfId="1" applyNumberFormat="1" applyFont="1" applyBorder="1" applyAlignment="1">
      <alignment horizontal="center"/>
    </xf>
    <xf numFmtId="167" fontId="5" fillId="0" borderId="158" xfId="1" applyNumberFormat="1" applyFont="1" applyBorder="1" applyAlignment="1">
      <alignment horizontal="center"/>
    </xf>
    <xf numFmtId="0" fontId="9" fillId="0" borderId="158" xfId="0" applyFont="1" applyBorder="1" applyAlignment="1">
      <alignment horizontal="center"/>
    </xf>
    <xf numFmtId="2" fontId="5" fillId="0" borderId="0" xfId="653" applyNumberFormat="1" applyFont="1"/>
    <xf numFmtId="2" fontId="5" fillId="0" borderId="0" xfId="0" applyNumberFormat="1" applyFont="1"/>
    <xf numFmtId="9" fontId="5" fillId="0" borderId="2" xfId="1" applyFont="1" applyBorder="1" applyAlignment="1">
      <alignment horizontal="center" vertical="center"/>
    </xf>
    <xf numFmtId="9" fontId="5" fillId="0" borderId="2" xfId="1" applyFont="1" applyBorder="1" applyAlignment="1">
      <alignment horizontal="center" vertical="center" wrapText="1"/>
    </xf>
    <xf numFmtId="3" fontId="9" fillId="0" borderId="185" xfId="0" applyNumberFormat="1" applyFont="1" applyBorder="1" applyAlignment="1">
      <alignment horizontal="center" vertical="center"/>
    </xf>
    <xf numFmtId="9" fontId="9" fillId="0" borderId="191" xfId="1" applyFont="1" applyBorder="1" applyAlignment="1">
      <alignment horizontal="center" vertical="center"/>
    </xf>
    <xf numFmtId="2" fontId="5" fillId="0" borderId="185" xfId="1" applyNumberFormat="1" applyFont="1" applyBorder="1" applyAlignment="1">
      <alignment horizontal="center" vertical="center"/>
    </xf>
    <xf numFmtId="2" fontId="5" fillId="0" borderId="183" xfId="1" applyNumberFormat="1" applyFont="1" applyBorder="1" applyAlignment="1">
      <alignment horizontal="center" vertical="center" wrapText="1"/>
    </xf>
    <xf numFmtId="2" fontId="5" fillId="0" borderId="183" xfId="1" applyNumberFormat="1" applyFont="1" applyBorder="1" applyAlignment="1">
      <alignment horizontal="center" vertical="center"/>
    </xf>
    <xf numFmtId="2" fontId="5" fillId="0" borderId="191" xfId="1" applyNumberFormat="1" applyFont="1" applyBorder="1" applyAlignment="1">
      <alignment horizontal="center" vertical="center"/>
    </xf>
    <xf numFmtId="9" fontId="5" fillId="0" borderId="185" xfId="1" applyFont="1" applyBorder="1" applyAlignment="1">
      <alignment horizontal="center" vertical="center"/>
    </xf>
    <xf numFmtId="9" fontId="5" fillId="0" borderId="183" xfId="1" applyFont="1" applyBorder="1" applyAlignment="1">
      <alignment horizontal="center" vertical="center" wrapText="1"/>
    </xf>
    <xf numFmtId="9" fontId="5" fillId="0" borderId="183" xfId="1" applyFont="1" applyBorder="1" applyAlignment="1">
      <alignment horizontal="center" vertical="center"/>
    </xf>
    <xf numFmtId="9" fontId="5" fillId="0" borderId="188" xfId="1" applyFont="1" applyBorder="1" applyAlignment="1">
      <alignment horizontal="center" vertical="center" wrapText="1"/>
    </xf>
    <xf numFmtId="9" fontId="5" fillId="0" borderId="189" xfId="1" applyFont="1" applyBorder="1" applyAlignment="1">
      <alignment horizontal="center" vertical="center"/>
    </xf>
    <xf numFmtId="9" fontId="5" fillId="0" borderId="98" xfId="1" applyFont="1" applyBorder="1" applyAlignment="1">
      <alignment horizontal="center" vertical="center"/>
    </xf>
    <xf numFmtId="167" fontId="5" fillId="0" borderId="10" xfId="1" applyNumberFormat="1" applyFont="1" applyBorder="1" applyAlignment="1">
      <alignment horizontal="center" vertical="center" wrapText="1"/>
    </xf>
    <xf numFmtId="9" fontId="5" fillId="0" borderId="18" xfId="1" applyFont="1" applyBorder="1" applyAlignment="1">
      <alignment horizontal="center" vertical="center"/>
    </xf>
    <xf numFmtId="9" fontId="5" fillId="0" borderId="10" xfId="1" applyFont="1" applyBorder="1" applyAlignment="1">
      <alignment horizontal="center" vertical="center" wrapText="1"/>
    </xf>
    <xf numFmtId="9" fontId="5" fillId="0" borderId="12" xfId="1" applyFont="1" applyBorder="1" applyAlignment="1">
      <alignment horizontal="center" vertical="center" wrapText="1"/>
    </xf>
    <xf numFmtId="9" fontId="5" fillId="0" borderId="13" xfId="1" applyFont="1" applyBorder="1" applyAlignment="1">
      <alignment horizontal="center" vertical="center" wrapText="1"/>
    </xf>
    <xf numFmtId="0" fontId="30" fillId="0" borderId="183" xfId="0" applyFont="1" applyBorder="1" applyAlignment="1">
      <alignment vertical="center" wrapText="1"/>
    </xf>
    <xf numFmtId="0" fontId="30" fillId="0" borderId="188" xfId="0" applyFont="1" applyBorder="1" applyAlignment="1">
      <alignment vertical="center" wrapText="1"/>
    </xf>
    <xf numFmtId="1" fontId="5" fillId="0" borderId="179" xfId="1" applyNumberFormat="1" applyFont="1" applyBorder="1" applyAlignment="1">
      <alignment horizontal="center"/>
    </xf>
    <xf numFmtId="1" fontId="5" fillId="0" borderId="26" xfId="1" applyNumberFormat="1" applyFont="1" applyBorder="1" applyAlignment="1">
      <alignment horizontal="center"/>
    </xf>
    <xf numFmtId="1" fontId="5" fillId="0" borderId="2" xfId="1" applyNumberFormat="1" applyFont="1" applyBorder="1" applyAlignment="1">
      <alignment horizontal="center"/>
    </xf>
    <xf numFmtId="1" fontId="9" fillId="0" borderId="179" xfId="0" applyNumberFormat="1" applyFont="1" applyBorder="1" applyAlignment="1">
      <alignment horizontal="center"/>
    </xf>
    <xf numFmtId="1" fontId="9" fillId="0" borderId="0" xfId="1" applyNumberFormat="1" applyFont="1" applyBorder="1" applyAlignment="1">
      <alignment horizontal="center"/>
    </xf>
    <xf numFmtId="9" fontId="5" fillId="0" borderId="179" xfId="1" applyNumberFormat="1" applyFont="1" applyBorder="1" applyAlignment="1">
      <alignment horizontal="center"/>
    </xf>
    <xf numFmtId="9" fontId="5" fillId="0" borderId="26" xfId="1" applyNumberFormat="1" applyFont="1" applyBorder="1" applyAlignment="1">
      <alignment horizontal="center"/>
    </xf>
    <xf numFmtId="9" fontId="5" fillId="0" borderId="2" xfId="1" applyNumberFormat="1" applyFont="1" applyBorder="1" applyAlignment="1">
      <alignment horizontal="center"/>
    </xf>
    <xf numFmtId="9" fontId="9" fillId="0" borderId="179" xfId="0" applyNumberFormat="1" applyFont="1" applyBorder="1" applyAlignment="1">
      <alignment horizontal="center"/>
    </xf>
    <xf numFmtId="9" fontId="9" fillId="0" borderId="8" xfId="1" applyNumberFormat="1" applyFont="1" applyBorder="1" applyAlignment="1">
      <alignment horizontal="center"/>
    </xf>
    <xf numFmtId="9" fontId="9" fillId="0" borderId="8" xfId="0" applyNumberFormat="1" applyFont="1" applyBorder="1" applyAlignment="1">
      <alignment horizontal="center"/>
    </xf>
    <xf numFmtId="9" fontId="5" fillId="0" borderId="179" xfId="0" applyNumberFormat="1" applyFont="1" applyBorder="1" applyAlignment="1">
      <alignment horizontal="center"/>
    </xf>
    <xf numFmtId="9" fontId="5" fillId="0" borderId="8" xfId="0" applyNumberFormat="1" applyFont="1" applyBorder="1" applyAlignment="1">
      <alignment horizontal="center"/>
    </xf>
    <xf numFmtId="1" fontId="30" fillId="0" borderId="179" xfId="1" applyNumberFormat="1" applyFont="1" applyBorder="1" applyAlignment="1">
      <alignment horizontal="center" vertical="center"/>
    </xf>
    <xf numFmtId="9" fontId="30" fillId="0" borderId="179" xfId="1" applyNumberFormat="1" applyFont="1" applyBorder="1" applyAlignment="1">
      <alignment horizontal="center" vertical="center"/>
    </xf>
    <xf numFmtId="9" fontId="30" fillId="0" borderId="179" xfId="0" applyNumberFormat="1" applyFont="1" applyBorder="1" applyAlignment="1">
      <alignment horizontal="center" vertical="center" wrapText="1"/>
    </xf>
    <xf numFmtId="0" fontId="5" fillId="0" borderId="179" xfId="0" applyFont="1" applyBorder="1" applyAlignment="1">
      <alignment horizontal="center"/>
    </xf>
    <xf numFmtId="3" fontId="70" fillId="0" borderId="179" xfId="0" applyNumberFormat="1" applyFont="1" applyBorder="1" applyAlignment="1">
      <alignment horizontal="center"/>
    </xf>
    <xf numFmtId="0" fontId="70" fillId="0" borderId="179" xfId="0" applyFont="1" applyBorder="1" applyAlignment="1">
      <alignment horizontal="center"/>
    </xf>
    <xf numFmtId="9" fontId="70" fillId="0" borderId="179" xfId="0" applyNumberFormat="1" applyFont="1" applyBorder="1" applyAlignment="1">
      <alignment horizontal="center"/>
    </xf>
    <xf numFmtId="3" fontId="9" fillId="0" borderId="190" xfId="0" applyNumberFormat="1" applyFont="1" applyBorder="1" applyAlignment="1">
      <alignment horizontal="center" vertical="center"/>
    </xf>
    <xf numFmtId="1" fontId="5" fillId="0" borderId="190" xfId="1" applyNumberFormat="1" applyFont="1" applyBorder="1" applyAlignment="1">
      <alignment horizontal="center" vertical="center"/>
    </xf>
    <xf numFmtId="1" fontId="5" fillId="0" borderId="194" xfId="1" applyNumberFormat="1" applyFont="1" applyBorder="1" applyAlignment="1">
      <alignment horizontal="center" vertical="center" wrapText="1"/>
    </xf>
    <xf numFmtId="1" fontId="5" fillId="0" borderId="183" xfId="1" applyNumberFormat="1" applyFont="1" applyBorder="1" applyAlignment="1">
      <alignment horizontal="center" vertical="center"/>
    </xf>
    <xf numFmtId="1" fontId="9" fillId="0" borderId="190" xfId="0" applyNumberFormat="1" applyFont="1" applyBorder="1" applyAlignment="1">
      <alignment horizontal="center" vertical="center"/>
    </xf>
    <xf numFmtId="1" fontId="9" fillId="0" borderId="191" xfId="1" applyNumberFormat="1" applyFont="1" applyBorder="1" applyAlignment="1">
      <alignment horizontal="center" vertical="center"/>
    </xf>
    <xf numFmtId="9" fontId="5" fillId="0" borderId="190" xfId="1" applyNumberFormat="1" applyFont="1" applyBorder="1" applyAlignment="1">
      <alignment horizontal="center" vertical="center"/>
    </xf>
    <xf numFmtId="9" fontId="5" fillId="0" borderId="194" xfId="1" applyNumberFormat="1" applyFont="1" applyBorder="1" applyAlignment="1">
      <alignment horizontal="center" vertical="center" wrapText="1"/>
    </xf>
    <xf numFmtId="9" fontId="5" fillId="0" borderId="183" xfId="1" applyNumberFormat="1" applyFont="1" applyBorder="1" applyAlignment="1">
      <alignment horizontal="center" vertical="center"/>
    </xf>
    <xf numFmtId="9" fontId="9" fillId="0" borderId="190" xfId="0" applyNumberFormat="1" applyFont="1" applyBorder="1" applyAlignment="1">
      <alignment horizontal="center" vertical="center"/>
    </xf>
    <xf numFmtId="9" fontId="9" fillId="0" borderId="189" xfId="1" applyNumberFormat="1" applyFont="1" applyBorder="1" applyAlignment="1">
      <alignment horizontal="center" vertical="center"/>
    </xf>
    <xf numFmtId="1" fontId="5" fillId="0" borderId="155" xfId="1" applyNumberFormat="1" applyFont="1" applyBorder="1" applyAlignment="1">
      <alignment horizontal="center" vertical="center" wrapText="1"/>
    </xf>
    <xf numFmtId="1" fontId="5" fillId="0" borderId="10" xfId="1" applyNumberFormat="1" applyFont="1" applyBorder="1" applyAlignment="1">
      <alignment horizontal="center" vertical="center" wrapText="1"/>
    </xf>
    <xf numFmtId="9" fontId="5" fillId="0" borderId="155" xfId="1" applyNumberFormat="1" applyFont="1" applyBorder="1" applyAlignment="1">
      <alignment horizontal="center" vertical="center" wrapText="1"/>
    </xf>
    <xf numFmtId="9" fontId="5" fillId="0" borderId="10" xfId="1" applyNumberFormat="1" applyFont="1" applyBorder="1" applyAlignment="1">
      <alignment horizontal="center" vertical="center" wrapText="1"/>
    </xf>
    <xf numFmtId="0" fontId="6" fillId="0" borderId="0" xfId="0" applyFont="1" applyAlignment="1">
      <alignment vertical="center" wrapText="1"/>
    </xf>
    <xf numFmtId="171" fontId="5" fillId="0" borderId="24" xfId="1" applyNumberFormat="1" applyFont="1" applyFill="1" applyBorder="1" applyAlignment="1">
      <alignment horizontal="center" vertical="center"/>
    </xf>
    <xf numFmtId="169" fontId="5" fillId="0" borderId="0" xfId="0" applyNumberFormat="1" applyFont="1" applyAlignment="1">
      <alignment horizontal="center"/>
    </xf>
    <xf numFmtId="169" fontId="5" fillId="0" borderId="0" xfId="1" applyNumberFormat="1" applyFont="1" applyAlignment="1">
      <alignment horizontal="center"/>
    </xf>
    <xf numFmtId="3" fontId="9" fillId="0" borderId="1" xfId="0" applyNumberFormat="1" applyFont="1" applyFill="1" applyBorder="1" applyAlignment="1">
      <alignment horizontal="center" vertical="center" wrapText="1"/>
    </xf>
    <xf numFmtId="171" fontId="5" fillId="0" borderId="0" xfId="1" applyNumberFormat="1" applyFont="1" applyFill="1" applyBorder="1" applyAlignment="1">
      <alignment horizontal="center"/>
    </xf>
    <xf numFmtId="3" fontId="5" fillId="0" borderId="0" xfId="1" applyNumberFormat="1" applyFont="1" applyFill="1" applyBorder="1" applyAlignment="1">
      <alignment horizontal="center"/>
    </xf>
    <xf numFmtId="171" fontId="5" fillId="0" borderId="0" xfId="1" applyNumberFormat="1" applyFont="1" applyAlignment="1">
      <alignment horizontal="center"/>
    </xf>
    <xf numFmtId="169" fontId="5" fillId="0" borderId="0" xfId="0" applyNumberFormat="1" applyFont="1" applyFill="1" applyAlignment="1">
      <alignment horizontal="center"/>
    </xf>
    <xf numFmtId="169" fontId="5" fillId="0" borderId="0" xfId="1" applyNumberFormat="1" applyFont="1" applyFill="1" applyAlignment="1">
      <alignment horizontal="center"/>
    </xf>
    <xf numFmtId="171" fontId="5" fillId="0" borderId="0" xfId="1" applyNumberFormat="1" applyFont="1" applyFill="1" applyBorder="1" applyAlignment="1">
      <alignment horizontal="center" vertical="center"/>
    </xf>
    <xf numFmtId="0" fontId="30" fillId="0" borderId="184" xfId="0" applyFont="1" applyFill="1" applyBorder="1" applyAlignment="1">
      <alignment horizontal="center" vertical="center" wrapText="1"/>
    </xf>
    <xf numFmtId="3" fontId="43" fillId="0" borderId="185" xfId="0" applyNumberFormat="1" applyFont="1" applyFill="1" applyBorder="1" applyAlignment="1">
      <alignment horizontal="center" vertical="center" wrapText="1"/>
    </xf>
    <xf numFmtId="3" fontId="9" fillId="0" borderId="186" xfId="0" applyNumberFormat="1" applyFont="1" applyFill="1" applyBorder="1" applyAlignment="1">
      <alignment horizontal="center" vertical="center" wrapText="1"/>
    </xf>
    <xf numFmtId="3" fontId="43" fillId="0" borderId="183" xfId="139" applyNumberFormat="1" applyFont="1" applyFill="1" applyBorder="1" applyAlignment="1">
      <alignment horizontal="center" vertical="center"/>
    </xf>
    <xf numFmtId="3" fontId="30" fillId="0" borderId="183" xfId="0" applyNumberFormat="1" applyFont="1" applyFill="1" applyBorder="1" applyAlignment="1">
      <alignment horizontal="center" vertical="center"/>
    </xf>
    <xf numFmtId="3" fontId="30" fillId="0" borderId="191" xfId="0" applyNumberFormat="1" applyFont="1" applyFill="1" applyBorder="1" applyAlignment="1">
      <alignment horizontal="center" vertical="center"/>
    </xf>
    <xf numFmtId="9" fontId="30" fillId="0" borderId="185" xfId="1" applyFont="1" applyFill="1" applyBorder="1" applyAlignment="1">
      <alignment horizontal="center" vertical="center"/>
    </xf>
    <xf numFmtId="9" fontId="30" fillId="0" borderId="183" xfId="1" applyFont="1" applyFill="1" applyBorder="1" applyAlignment="1">
      <alignment horizontal="center" vertical="center"/>
    </xf>
    <xf numFmtId="9" fontId="30" fillId="0" borderId="188" xfId="1" applyFont="1" applyFill="1" applyBorder="1" applyAlignment="1">
      <alignment horizontal="center" vertical="center"/>
    </xf>
    <xf numFmtId="171" fontId="30" fillId="0" borderId="183" xfId="1" applyNumberFormat="1" applyFont="1" applyFill="1" applyBorder="1" applyAlignment="1">
      <alignment horizontal="center" vertical="center"/>
    </xf>
    <xf numFmtId="3" fontId="5" fillId="0" borderId="183" xfId="1" applyNumberFormat="1" applyFont="1" applyFill="1" applyBorder="1" applyAlignment="1">
      <alignment horizontal="center" vertical="center"/>
    </xf>
    <xf numFmtId="3" fontId="30" fillId="0" borderId="189" xfId="1" applyNumberFormat="1" applyFont="1" applyFill="1" applyBorder="1" applyAlignment="1">
      <alignment horizontal="center" vertical="center"/>
    </xf>
    <xf numFmtId="171" fontId="5" fillId="0" borderId="3" xfId="1" applyNumberFormat="1" applyFont="1" applyFill="1" applyBorder="1" applyAlignment="1">
      <alignment horizontal="center" vertical="center"/>
    </xf>
    <xf numFmtId="0" fontId="5" fillId="0" borderId="34" xfId="0" applyFont="1" applyBorder="1"/>
    <xf numFmtId="0" fontId="5" fillId="0" borderId="24" xfId="0" applyFont="1" applyBorder="1"/>
    <xf numFmtId="0" fontId="5" fillId="0" borderId="31" xfId="0" applyFont="1" applyBorder="1"/>
    <xf numFmtId="171" fontId="5" fillId="0" borderId="98" xfId="1" applyNumberFormat="1" applyFont="1" applyFill="1" applyBorder="1" applyAlignment="1">
      <alignment horizontal="center"/>
    </xf>
    <xf numFmtId="171" fontId="5" fillId="0" borderId="1" xfId="1" applyNumberFormat="1" applyFont="1" applyFill="1" applyBorder="1" applyAlignment="1">
      <alignment horizontal="center"/>
    </xf>
    <xf numFmtId="171" fontId="5" fillId="0" borderId="2" xfId="0" applyNumberFormat="1" applyFont="1" applyBorder="1" applyAlignment="1">
      <alignment horizontal="center"/>
    </xf>
    <xf numFmtId="171" fontId="5" fillId="0" borderId="0" xfId="0" applyNumberFormat="1" applyFont="1" applyBorder="1" applyAlignment="1">
      <alignment horizontal="center"/>
    </xf>
    <xf numFmtId="171" fontId="5" fillId="0" borderId="158" xfId="1" applyNumberFormat="1" applyFont="1" applyBorder="1" applyAlignment="1">
      <alignment horizontal="center"/>
    </xf>
    <xf numFmtId="171" fontId="5" fillId="0" borderId="158" xfId="1" applyNumberFormat="1" applyFont="1" applyFill="1" applyBorder="1" applyAlignment="1">
      <alignment horizontal="center"/>
    </xf>
    <xf numFmtId="171" fontId="6" fillId="0" borderId="0" xfId="1" applyNumberFormat="1" applyFont="1"/>
    <xf numFmtId="171" fontId="5" fillId="0" borderId="2" xfId="0" applyNumberFormat="1" applyFont="1" applyFill="1" applyBorder="1" applyAlignment="1">
      <alignment horizontal="center"/>
    </xf>
    <xf numFmtId="0" fontId="6" fillId="0" borderId="0" xfId="0" applyFont="1" applyFill="1"/>
    <xf numFmtId="171" fontId="5" fillId="0" borderId="1" xfId="1" applyNumberFormat="1" applyFont="1" applyFill="1" applyBorder="1" applyAlignment="1">
      <alignment horizontal="center" vertical="center"/>
    </xf>
    <xf numFmtId="0" fontId="5" fillId="0" borderId="130" xfId="0" applyFont="1" applyFill="1" applyBorder="1"/>
    <xf numFmtId="3" fontId="43" fillId="0" borderId="130" xfId="0" applyNumberFormat="1" applyFont="1" applyFill="1" applyBorder="1" applyAlignment="1">
      <alignment horizontal="center" vertical="center" wrapText="1"/>
    </xf>
    <xf numFmtId="3" fontId="9" fillId="0" borderId="131" xfId="139" applyNumberFormat="1" applyFont="1" applyFill="1" applyBorder="1" applyAlignment="1">
      <alignment horizontal="center"/>
    </xf>
    <xf numFmtId="3" fontId="5" fillId="0" borderId="131" xfId="0" applyNumberFormat="1" applyFont="1" applyFill="1" applyBorder="1" applyAlignment="1">
      <alignment horizontal="center" vertical="center" wrapText="1"/>
    </xf>
    <xf numFmtId="3" fontId="5" fillId="0" borderId="131" xfId="0" applyNumberFormat="1" applyFont="1" applyFill="1" applyBorder="1" applyAlignment="1">
      <alignment horizontal="center"/>
    </xf>
    <xf numFmtId="3" fontId="5" fillId="0" borderId="133" xfId="0" applyNumberFormat="1" applyFont="1" applyFill="1" applyBorder="1" applyAlignment="1">
      <alignment horizontal="center"/>
    </xf>
    <xf numFmtId="171" fontId="5" fillId="0" borderId="130" xfId="1" applyNumberFormat="1" applyFont="1" applyFill="1" applyBorder="1" applyAlignment="1">
      <alignment horizontal="center"/>
    </xf>
    <xf numFmtId="171" fontId="5" fillId="0" borderId="131" xfId="1" applyNumberFormat="1" applyFont="1" applyFill="1" applyBorder="1" applyAlignment="1">
      <alignment horizontal="center"/>
    </xf>
    <xf numFmtId="171" fontId="5" fillId="0" borderId="132" xfId="1" applyNumberFormat="1" applyFont="1" applyFill="1" applyBorder="1" applyAlignment="1">
      <alignment horizontal="center"/>
    </xf>
    <xf numFmtId="171" fontId="5" fillId="0" borderId="115" xfId="0" applyNumberFormat="1" applyFont="1" applyBorder="1" applyAlignment="1">
      <alignment horizontal="center"/>
    </xf>
    <xf numFmtId="171" fontId="5" fillId="0" borderId="131" xfId="0" applyNumberFormat="1" applyFont="1" applyBorder="1" applyAlignment="1">
      <alignment horizontal="center"/>
    </xf>
    <xf numFmtId="171" fontId="5" fillId="0" borderId="133" xfId="1" applyNumberFormat="1" applyFont="1" applyBorder="1" applyAlignment="1">
      <alignment horizontal="center"/>
    </xf>
    <xf numFmtId="171" fontId="5" fillId="0" borderId="8" xfId="1" applyNumberFormat="1" applyFont="1" applyBorder="1" applyAlignment="1">
      <alignment horizontal="center"/>
    </xf>
    <xf numFmtId="3" fontId="5" fillId="0" borderId="2" xfId="1" applyNumberFormat="1" applyFont="1" applyFill="1" applyBorder="1" applyAlignment="1">
      <alignment horizontal="center"/>
    </xf>
    <xf numFmtId="171" fontId="5" fillId="0" borderId="8" xfId="1" applyNumberFormat="1" applyFont="1" applyFill="1" applyBorder="1" applyAlignment="1">
      <alignment horizontal="center"/>
    </xf>
    <xf numFmtId="171" fontId="30" fillId="0" borderId="186" xfId="1" applyNumberFormat="1" applyFont="1" applyFill="1" applyBorder="1" applyAlignment="1">
      <alignment horizontal="center" vertical="center"/>
    </xf>
    <xf numFmtId="3" fontId="5" fillId="0" borderId="188" xfId="1" applyNumberFormat="1" applyFont="1" applyFill="1" applyBorder="1" applyAlignment="1">
      <alignment horizontal="center" vertical="center"/>
    </xf>
    <xf numFmtId="3" fontId="30" fillId="0" borderId="183" xfId="1" applyNumberFormat="1" applyFont="1" applyFill="1" applyBorder="1" applyAlignment="1">
      <alignment horizontal="center" vertical="center"/>
    </xf>
    <xf numFmtId="171" fontId="5" fillId="0" borderId="189" xfId="1" applyNumberFormat="1" applyFont="1" applyBorder="1" applyAlignment="1">
      <alignment horizontal="center"/>
    </xf>
    <xf numFmtId="171" fontId="5" fillId="0" borderId="126" xfId="1" applyNumberFormat="1" applyFont="1" applyBorder="1" applyAlignment="1">
      <alignment horizontal="center"/>
    </xf>
    <xf numFmtId="3" fontId="6" fillId="0" borderId="0" xfId="0" applyNumberFormat="1" applyFont="1"/>
    <xf numFmtId="0" fontId="15" fillId="0" borderId="158" xfId="1079" applyBorder="1"/>
    <xf numFmtId="0" fontId="27" fillId="0" borderId="158" xfId="0" applyFont="1" applyFill="1" applyBorder="1" applyAlignment="1">
      <alignment horizontal="center"/>
    </xf>
    <xf numFmtId="0" fontId="113" fillId="0" borderId="183" xfId="1079" applyFont="1" applyBorder="1" applyAlignment="1">
      <alignment horizontal="center" vertical="center" wrapText="1"/>
    </xf>
    <xf numFmtId="0" fontId="111" fillId="0" borderId="185" xfId="1079" applyFont="1" applyBorder="1" applyAlignment="1">
      <alignment horizontal="center"/>
    </xf>
    <xf numFmtId="0" fontId="6" fillId="0" borderId="7" xfId="1079" applyFont="1" applyBorder="1" applyAlignment="1">
      <alignment horizontal="center"/>
    </xf>
    <xf numFmtId="3" fontId="5" fillId="0" borderId="98" xfId="1081" applyNumberFormat="1" applyFont="1" applyBorder="1" applyAlignment="1">
      <alignment horizontal="center"/>
    </xf>
    <xf numFmtId="3" fontId="5" fillId="0" borderId="0" xfId="1081" applyNumberFormat="1" applyFont="1" applyBorder="1" applyAlignment="1">
      <alignment horizontal="center"/>
    </xf>
    <xf numFmtId="171" fontId="5" fillId="0" borderId="98" xfId="1" applyNumberFormat="1" applyFont="1" applyBorder="1" applyAlignment="1">
      <alignment horizontal="center"/>
    </xf>
    <xf numFmtId="171" fontId="5" fillId="0" borderId="0" xfId="1" applyNumberFormat="1" applyFont="1" applyBorder="1" applyAlignment="1">
      <alignment horizontal="center"/>
    </xf>
    <xf numFmtId="171" fontId="6" fillId="0" borderId="8" xfId="1" applyNumberFormat="1" applyFont="1" applyBorder="1" applyAlignment="1">
      <alignment horizontal="center"/>
    </xf>
    <xf numFmtId="4" fontId="5" fillId="0" borderId="0" xfId="1081" applyNumberFormat="1" applyFont="1" applyBorder="1" applyAlignment="1">
      <alignment horizontal="center"/>
    </xf>
    <xf numFmtId="9" fontId="5" fillId="0" borderId="98" xfId="1082" applyNumberFormat="1" applyFont="1" applyBorder="1" applyAlignment="1">
      <alignment horizontal="center"/>
    </xf>
    <xf numFmtId="9" fontId="5" fillId="0" borderId="1" xfId="1" applyFont="1" applyBorder="1" applyAlignment="1">
      <alignment horizontal="center"/>
    </xf>
    <xf numFmtId="1" fontId="32" fillId="0" borderId="158" xfId="139" applyNumberFormat="1" applyFont="1" applyBorder="1" applyAlignment="1">
      <alignment horizontal="center"/>
    </xf>
    <xf numFmtId="4" fontId="5" fillId="0" borderId="0" xfId="1081" applyNumberFormat="1" applyFont="1" applyFill="1" applyBorder="1" applyAlignment="1">
      <alignment horizontal="center"/>
    </xf>
    <xf numFmtId="0" fontId="6" fillId="0" borderId="9" xfId="1079" applyFont="1" applyBorder="1" applyAlignment="1">
      <alignment horizontal="center"/>
    </xf>
    <xf numFmtId="3" fontId="5" fillId="0" borderId="18" xfId="1081" applyNumberFormat="1" applyFont="1" applyBorder="1" applyAlignment="1">
      <alignment horizontal="center"/>
    </xf>
    <xf numFmtId="3" fontId="5" fillId="0" borderId="10" xfId="1081" applyNumberFormat="1" applyFont="1" applyBorder="1" applyAlignment="1">
      <alignment horizontal="center"/>
    </xf>
    <xf numFmtId="171" fontId="5" fillId="0" borderId="18" xfId="1" applyNumberFormat="1" applyFont="1" applyBorder="1" applyAlignment="1">
      <alignment horizontal="center"/>
    </xf>
    <xf numFmtId="171" fontId="5" fillId="0" borderId="10" xfId="1082" applyNumberFormat="1" applyFont="1" applyFill="1" applyBorder="1" applyAlignment="1">
      <alignment horizontal="center"/>
    </xf>
    <xf numFmtId="171" fontId="5" fillId="0" borderId="10" xfId="1" applyNumberFormat="1" applyFont="1" applyFill="1" applyBorder="1" applyAlignment="1">
      <alignment horizontal="center"/>
    </xf>
    <xf numFmtId="171" fontId="6" fillId="0" borderId="13" xfId="1" applyNumberFormat="1" applyFont="1" applyBorder="1" applyAlignment="1">
      <alignment horizontal="center"/>
    </xf>
    <xf numFmtId="9" fontId="5" fillId="0" borderId="130" xfId="1082" applyNumberFormat="1" applyFont="1" applyBorder="1" applyAlignment="1">
      <alignment horizontal="center"/>
    </xf>
    <xf numFmtId="9" fontId="5" fillId="0" borderId="132" xfId="1" applyFont="1" applyBorder="1" applyAlignment="1">
      <alignment horizontal="center"/>
    </xf>
    <xf numFmtId="0" fontId="34" fillId="0" borderId="158" xfId="0" applyFont="1" applyFill="1" applyBorder="1" applyAlignment="1">
      <alignment horizontal="center"/>
    </xf>
    <xf numFmtId="0" fontId="5" fillId="0" borderId="185" xfId="0" applyFont="1" applyBorder="1"/>
    <xf numFmtId="0" fontId="5" fillId="0" borderId="183" xfId="0" applyFont="1" applyBorder="1"/>
    <xf numFmtId="0" fontId="5" fillId="0" borderId="183" xfId="114" applyFont="1" applyBorder="1"/>
    <xf numFmtId="0" fontId="5" fillId="0" borderId="183" xfId="620" applyFont="1" applyBorder="1" applyAlignment="1">
      <alignment wrapText="1"/>
    </xf>
    <xf numFmtId="0" fontId="5" fillId="0" borderId="191" xfId="620" applyFont="1" applyBorder="1" applyAlignment="1">
      <alignment wrapText="1"/>
    </xf>
    <xf numFmtId="1" fontId="5" fillId="0" borderId="98" xfId="0" applyNumberFormat="1" applyFont="1" applyBorder="1" applyAlignment="1">
      <alignment horizontal="center"/>
    </xf>
    <xf numFmtId="0" fontId="5" fillId="0" borderId="0" xfId="0" quotePrefix="1" applyFont="1" applyBorder="1" applyAlignment="1">
      <alignment horizontal="center"/>
    </xf>
    <xf numFmtId="1" fontId="5" fillId="0" borderId="158" xfId="0" applyNumberFormat="1" applyFont="1" applyBorder="1" applyAlignment="1">
      <alignment horizontal="center"/>
    </xf>
    <xf numFmtId="1" fontId="5" fillId="0" borderId="130" xfId="0" applyNumberFormat="1" applyFont="1" applyBorder="1" applyAlignment="1">
      <alignment horizontal="center"/>
    </xf>
    <xf numFmtId="3" fontId="5" fillId="0" borderId="131" xfId="139" applyNumberFormat="1" applyFont="1" applyBorder="1" applyAlignment="1">
      <alignment horizontal="center"/>
    </xf>
    <xf numFmtId="0" fontId="5" fillId="0" borderId="131" xfId="0" applyFont="1" applyBorder="1" applyAlignment="1">
      <alignment horizontal="center"/>
    </xf>
    <xf numFmtId="0" fontId="5" fillId="0" borderId="133" xfId="0" applyFont="1" applyBorder="1" applyAlignment="1">
      <alignment horizontal="center"/>
    </xf>
    <xf numFmtId="2" fontId="5" fillId="0" borderId="98" xfId="1" applyNumberFormat="1" applyFont="1" applyBorder="1" applyAlignment="1">
      <alignment horizontal="center"/>
    </xf>
    <xf numFmtId="2" fontId="5" fillId="0" borderId="0" xfId="1" applyNumberFormat="1" applyFont="1" applyBorder="1" applyAlignment="1">
      <alignment horizontal="center"/>
    </xf>
    <xf numFmtId="1" fontId="5" fillId="0" borderId="98" xfId="1" applyNumberFormat="1" applyFont="1" applyBorder="1"/>
    <xf numFmtId="9" fontId="5" fillId="0" borderId="0" xfId="1" applyFont="1" applyBorder="1"/>
    <xf numFmtId="0" fontId="5" fillId="0" borderId="159" xfId="0" applyFont="1" applyBorder="1" applyAlignment="1">
      <alignment horizontal="center" vertical="center" wrapText="1"/>
    </xf>
    <xf numFmtId="0" fontId="5" fillId="0" borderId="160" xfId="114" applyFont="1" applyBorder="1" applyAlignment="1">
      <alignment horizontal="center" vertical="center" wrapText="1"/>
    </xf>
    <xf numFmtId="0" fontId="5" fillId="0" borderId="27" xfId="114" applyFont="1" applyBorder="1" applyAlignment="1">
      <alignment horizontal="center" vertical="center" wrapText="1"/>
    </xf>
    <xf numFmtId="0" fontId="5" fillId="0" borderId="8" xfId="0" applyFont="1" applyBorder="1" applyAlignment="1">
      <alignment horizontal="center"/>
    </xf>
    <xf numFmtId="10" fontId="5" fillId="0" borderId="98" xfId="0" applyNumberFormat="1" applyFont="1" applyBorder="1" applyAlignment="1">
      <alignment horizontal="center"/>
    </xf>
    <xf numFmtId="10" fontId="5" fillId="0" borderId="0" xfId="0" applyNumberFormat="1" applyFont="1" applyBorder="1" applyAlignment="1">
      <alignment horizontal="center"/>
    </xf>
    <xf numFmtId="10" fontId="5" fillId="0" borderId="8" xfId="0" applyNumberFormat="1" applyFont="1" applyBorder="1" applyAlignment="1">
      <alignment horizontal="center"/>
    </xf>
    <xf numFmtId="9" fontId="5" fillId="0" borderId="10" xfId="1" applyFont="1" applyBorder="1" applyAlignment="1">
      <alignment horizontal="center"/>
    </xf>
    <xf numFmtId="0" fontId="5" fillId="0" borderId="13" xfId="0" applyFont="1" applyBorder="1" applyAlignment="1">
      <alignment horizontal="center"/>
    </xf>
    <xf numFmtId="0" fontId="108" fillId="0" borderId="183" xfId="1130" applyFont="1" applyBorder="1" applyAlignment="1">
      <alignment wrapText="1"/>
    </xf>
    <xf numFmtId="0" fontId="118" fillId="0" borderId="183" xfId="1130" applyFont="1" applyBorder="1" applyAlignment="1">
      <alignment wrapText="1"/>
    </xf>
    <xf numFmtId="0" fontId="108" fillId="0" borderId="183" xfId="1130" applyFont="1" applyBorder="1"/>
    <xf numFmtId="179" fontId="108" fillId="0" borderId="183" xfId="1132" applyNumberFormat="1" applyFont="1" applyBorder="1"/>
    <xf numFmtId="178" fontId="108" fillId="0" borderId="183" xfId="1132" applyNumberFormat="1" applyFont="1" applyBorder="1"/>
    <xf numFmtId="171" fontId="108" fillId="0" borderId="183" xfId="1131" applyNumberFormat="1" applyFont="1" applyBorder="1"/>
    <xf numFmtId="0" fontId="30" fillId="0" borderId="185" xfId="1224" applyFont="1" applyBorder="1" applyAlignment="1">
      <alignment horizontal="center" vertical="center" wrapText="1"/>
    </xf>
    <xf numFmtId="9" fontId="30" fillId="0" borderId="183" xfId="1223" applyFont="1" applyBorder="1" applyAlignment="1">
      <alignment horizontal="center"/>
    </xf>
    <xf numFmtId="3" fontId="30" fillId="0" borderId="183" xfId="1224" applyNumberFormat="1" applyFont="1" applyBorder="1" applyAlignment="1">
      <alignment horizontal="center" vertical="center"/>
    </xf>
    <xf numFmtId="3" fontId="30" fillId="0" borderId="188" xfId="1224" applyNumberFormat="1" applyFont="1" applyBorder="1" applyAlignment="1">
      <alignment horizontal="center" vertical="center"/>
    </xf>
    <xf numFmtId="3" fontId="5" fillId="0" borderId="188" xfId="1224" applyNumberFormat="1" applyFont="1" applyBorder="1" applyAlignment="1">
      <alignment horizontal="center"/>
    </xf>
    <xf numFmtId="1" fontId="5" fillId="0" borderId="183" xfId="1226" applyNumberFormat="1" applyFont="1" applyBorder="1" applyAlignment="1">
      <alignment horizontal="center" vertical="center" wrapText="1"/>
    </xf>
    <xf numFmtId="1" fontId="5" fillId="0" borderId="191" xfId="1226" applyNumberFormat="1" applyFont="1" applyBorder="1" applyAlignment="1">
      <alignment horizontal="center" vertical="center" wrapText="1"/>
    </xf>
    <xf numFmtId="170" fontId="5" fillId="0" borderId="185" xfId="1225" applyNumberFormat="1" applyFont="1" applyBorder="1"/>
    <xf numFmtId="0" fontId="5" fillId="0" borderId="191" xfId="1224" applyFont="1" applyBorder="1"/>
    <xf numFmtId="0" fontId="5" fillId="0" borderId="188" xfId="0" applyFont="1" applyBorder="1" applyAlignment="1">
      <alignment horizontal="center" vertical="center" wrapText="1"/>
    </xf>
    <xf numFmtId="0" fontId="5" fillId="0" borderId="186" xfId="0" applyFont="1" applyBorder="1" applyAlignment="1">
      <alignment vertical="center" wrapText="1"/>
    </xf>
    <xf numFmtId="9" fontId="9" fillId="0" borderId="2" xfId="1" applyFont="1" applyBorder="1" applyAlignment="1">
      <alignment horizontal="center" vertical="center"/>
    </xf>
    <xf numFmtId="9" fontId="30" fillId="0" borderId="195" xfId="1" applyFont="1" applyBorder="1" applyAlignment="1">
      <alignment horizontal="center" vertical="center"/>
    </xf>
    <xf numFmtId="9" fontId="30" fillId="0" borderId="186" xfId="1" applyFont="1" applyBorder="1" applyAlignment="1">
      <alignment horizontal="center" vertical="center"/>
    </xf>
    <xf numFmtId="9" fontId="43" fillId="0" borderId="188" xfId="1" applyFont="1" applyBorder="1" applyAlignment="1">
      <alignment horizontal="center" vertical="center"/>
    </xf>
    <xf numFmtId="0" fontId="6" fillId="0" borderId="0" xfId="0" applyFont="1" applyAlignment="1">
      <alignment horizontal="left"/>
    </xf>
    <xf numFmtId="0" fontId="5" fillId="0" borderId="0" xfId="0" applyFont="1" applyAlignment="1">
      <alignment horizontal="left"/>
    </xf>
    <xf numFmtId="0" fontId="5" fillId="0" borderId="98" xfId="0" applyFont="1" applyBorder="1" applyAlignment="1">
      <alignment horizontal="left"/>
    </xf>
    <xf numFmtId="0" fontId="5" fillId="0" borderId="28" xfId="0" applyFont="1" applyBorder="1" applyAlignment="1">
      <alignment horizontal="left" vertical="center"/>
    </xf>
    <xf numFmtId="0" fontId="5" fillId="0" borderId="185" xfId="0" applyFont="1" applyBorder="1" applyAlignment="1">
      <alignment horizontal="left" vertical="center" wrapText="1"/>
    </xf>
    <xf numFmtId="167" fontId="30" fillId="0" borderId="26" xfId="0" applyNumberFormat="1" applyFont="1" applyBorder="1" applyAlignment="1">
      <alignment horizontal="center" vertical="center" wrapText="1"/>
    </xf>
    <xf numFmtId="167" fontId="30" fillId="0" borderId="194" xfId="0" applyNumberFormat="1" applyFont="1" applyBorder="1" applyAlignment="1">
      <alignment horizontal="center" vertical="center" wrapText="1"/>
    </xf>
    <xf numFmtId="9" fontId="5" fillId="0" borderId="98" xfId="1" applyNumberFormat="1" applyFont="1" applyBorder="1" applyAlignment="1">
      <alignment horizontal="center"/>
    </xf>
    <xf numFmtId="0" fontId="9" fillId="0" borderId="0" xfId="0" applyFont="1" applyBorder="1"/>
    <xf numFmtId="1" fontId="5" fillId="0" borderId="0" xfId="1" applyNumberFormat="1" applyFont="1" applyBorder="1" applyAlignment="1">
      <alignment horizontal="center"/>
    </xf>
    <xf numFmtId="171" fontId="6" fillId="0" borderId="98" xfId="1" applyNumberFormat="1" applyFont="1" applyBorder="1" applyAlignment="1">
      <alignment horizontal="center" vertical="center" wrapText="1"/>
    </xf>
    <xf numFmtId="171" fontId="6" fillId="0" borderId="0" xfId="1" applyNumberFormat="1" applyFont="1" applyBorder="1" applyAlignment="1">
      <alignment horizontal="center"/>
    </xf>
    <xf numFmtId="171" fontId="6" fillId="0" borderId="8" xfId="1" applyNumberFormat="1" applyFont="1" applyBorder="1" applyAlignment="1">
      <alignment horizontal="center" vertical="center"/>
    </xf>
    <xf numFmtId="0" fontId="6" fillId="0" borderId="9" xfId="0" applyFont="1" applyBorder="1" applyAlignment="1">
      <alignment horizontal="center" vertical="center" wrapText="1"/>
    </xf>
    <xf numFmtId="9" fontId="6" fillId="0" borderId="18" xfId="1" applyFont="1" applyBorder="1" applyAlignment="1">
      <alignment horizontal="center" vertical="center"/>
    </xf>
    <xf numFmtId="9" fontId="6" fillId="0" borderId="10" xfId="1" applyFont="1" applyBorder="1" applyAlignment="1">
      <alignment horizontal="center" vertical="center"/>
    </xf>
    <xf numFmtId="0" fontId="5" fillId="0" borderId="114" xfId="0" applyFont="1" applyBorder="1"/>
    <xf numFmtId="171" fontId="5" fillId="0" borderId="8" xfId="0" applyNumberFormat="1" applyFont="1" applyBorder="1" applyAlignment="1">
      <alignment horizontal="center"/>
    </xf>
    <xf numFmtId="171" fontId="5" fillId="0" borderId="13" xfId="0" applyNumberFormat="1" applyFont="1" applyBorder="1" applyAlignment="1">
      <alignment horizontal="center"/>
    </xf>
    <xf numFmtId="0" fontId="102" fillId="0" borderId="22" xfId="0" applyFont="1" applyBorder="1" applyAlignment="1">
      <alignment wrapText="1"/>
    </xf>
    <xf numFmtId="0" fontId="43" fillId="0" borderId="183" xfId="0" applyFont="1" applyBorder="1"/>
    <xf numFmtId="0" fontId="30" fillId="0" borderId="183" xfId="0" applyFont="1" applyBorder="1"/>
    <xf numFmtId="0" fontId="30" fillId="0" borderId="191" xfId="0" applyFont="1" applyBorder="1"/>
    <xf numFmtId="0" fontId="30" fillId="0" borderId="98" xfId="0" applyFont="1" applyBorder="1"/>
    <xf numFmtId="0" fontId="5" fillId="0" borderId="191" xfId="0" applyFont="1" applyBorder="1"/>
    <xf numFmtId="0" fontId="27" fillId="0" borderId="183" xfId="341" applyBorder="1" applyAlignment="1">
      <alignment horizontal="center"/>
    </xf>
    <xf numFmtId="0" fontId="27" fillId="0" borderId="191" xfId="341" applyBorder="1" applyAlignment="1">
      <alignment horizontal="center"/>
    </xf>
    <xf numFmtId="3" fontId="9" fillId="0" borderId="183" xfId="1226" applyNumberFormat="1" applyFont="1" applyFill="1" applyBorder="1" applyAlignment="1">
      <alignment horizontal="center" vertical="center"/>
    </xf>
    <xf numFmtId="9" fontId="9" fillId="0" borderId="188" xfId="1120" applyFont="1" applyBorder="1" applyAlignment="1">
      <alignment horizontal="center" vertical="center"/>
    </xf>
    <xf numFmtId="9" fontId="9" fillId="0" borderId="191" xfId="1120" applyFont="1" applyBorder="1" applyAlignment="1">
      <alignment horizontal="center" vertical="center"/>
    </xf>
    <xf numFmtId="0" fontId="43" fillId="0" borderId="30" xfId="0" applyFont="1" applyBorder="1" applyAlignment="1">
      <alignment horizontal="center" vertical="center"/>
    </xf>
    <xf numFmtId="3" fontId="43" fillId="0" borderId="3" xfId="0" applyNumberFormat="1" applyFont="1" applyBorder="1" applyAlignment="1">
      <alignment horizontal="center" vertical="center" wrapText="1"/>
    </xf>
    <xf numFmtId="0" fontId="63" fillId="0" borderId="98" xfId="0" applyFont="1" applyBorder="1" applyAlignment="1">
      <alignment horizontal="center" vertical="center"/>
    </xf>
    <xf numFmtId="0" fontId="111" fillId="0" borderId="185" xfId="1105" applyFont="1" applyBorder="1" applyAlignment="1">
      <alignment horizontal="center" vertical="center"/>
    </xf>
    <xf numFmtId="0" fontId="111" fillId="0" borderId="183" xfId="1105" applyFont="1" applyBorder="1" applyAlignment="1">
      <alignment horizontal="center" vertical="center"/>
    </xf>
    <xf numFmtId="0" fontId="113" fillId="0" borderId="191" xfId="1105" applyFont="1" applyBorder="1" applyAlignment="1">
      <alignment horizontal="center" vertical="center"/>
    </xf>
    <xf numFmtId="0" fontId="5" fillId="0" borderId="185" xfId="0" applyFont="1" applyBorder="1" applyAlignment="1">
      <alignment horizontal="left"/>
    </xf>
    <xf numFmtId="0" fontId="111" fillId="0" borderId="185" xfId="1105" applyFont="1" applyBorder="1" applyAlignment="1">
      <alignment horizontal="center" wrapText="1"/>
    </xf>
    <xf numFmtId="0" fontId="111" fillId="0" borderId="183" xfId="1105" applyFont="1" applyBorder="1" applyAlignment="1">
      <alignment horizontal="center" wrapText="1"/>
    </xf>
    <xf numFmtId="0" fontId="111" fillId="0" borderId="191" xfId="1105" applyFont="1" applyBorder="1" applyAlignment="1">
      <alignment horizontal="center" wrapText="1"/>
    </xf>
    <xf numFmtId="0" fontId="5" fillId="0" borderId="157" xfId="0" applyFont="1" applyBorder="1"/>
    <xf numFmtId="0" fontId="5" fillId="0" borderId="131" xfId="0" applyFont="1" applyBorder="1"/>
    <xf numFmtId="0" fontId="5" fillId="0" borderId="133" xfId="0" applyFont="1" applyBorder="1"/>
    <xf numFmtId="9" fontId="11" fillId="0" borderId="0" xfId="1116" applyNumberFormat="1"/>
    <xf numFmtId="9" fontId="3" fillId="0" borderId="0" xfId="1116" applyNumberFormat="1" applyFont="1"/>
    <xf numFmtId="2" fontId="11" fillId="0" borderId="0" xfId="1116" applyNumberFormat="1"/>
    <xf numFmtId="3" fontId="30" fillId="0" borderId="0" xfId="139" applyNumberFormat="1" applyFont="1" applyBorder="1" applyAlignment="1">
      <alignment horizontal="center" vertical="center"/>
    </xf>
    <xf numFmtId="3" fontId="30" fillId="0" borderId="131" xfId="0" applyNumberFormat="1" applyFont="1" applyBorder="1" applyAlignment="1">
      <alignment horizontal="center" vertical="center" wrapText="1"/>
    </xf>
    <xf numFmtId="3" fontId="30" fillId="0" borderId="133" xfId="0" applyNumberFormat="1" applyFont="1" applyBorder="1" applyAlignment="1">
      <alignment horizontal="center" vertical="center" wrapText="1"/>
    </xf>
    <xf numFmtId="3" fontId="30" fillId="0" borderId="39" xfId="139" applyNumberFormat="1" applyFont="1" applyBorder="1" applyAlignment="1">
      <alignment horizontal="center" vertical="center"/>
    </xf>
    <xf numFmtId="3" fontId="30" fillId="0" borderId="0" xfId="139" applyNumberFormat="1" applyFont="1" applyBorder="1" applyAlignment="1">
      <alignment horizontal="center"/>
    </xf>
    <xf numFmtId="3" fontId="30" fillId="0" borderId="183" xfId="139" applyNumberFormat="1" applyFont="1" applyBorder="1" applyAlignment="1">
      <alignment horizontal="center" vertical="center"/>
    </xf>
    <xf numFmtId="3" fontId="30" fillId="0" borderId="131" xfId="139" applyNumberFormat="1" applyFont="1" applyBorder="1" applyAlignment="1">
      <alignment horizontal="center" vertical="center"/>
    </xf>
    <xf numFmtId="3" fontId="30" fillId="0" borderId="0" xfId="0" applyNumberFormat="1" applyFont="1" applyBorder="1"/>
    <xf numFmtId="3" fontId="30" fillId="0" borderId="34" xfId="0" applyNumberFormat="1" applyFont="1" applyBorder="1" applyAlignment="1">
      <alignment horizontal="center" vertical="center" wrapText="1"/>
    </xf>
    <xf numFmtId="3" fontId="30" fillId="0" borderId="2" xfId="139" applyNumberFormat="1" applyFont="1" applyBorder="1" applyAlignment="1">
      <alignment horizontal="center" vertical="center"/>
    </xf>
    <xf numFmtId="3" fontId="30" fillId="0" borderId="2" xfId="139" applyNumberFormat="1" applyFont="1" applyBorder="1" applyAlignment="1">
      <alignment horizontal="center"/>
    </xf>
    <xf numFmtId="3" fontId="30" fillId="0" borderId="188" xfId="139" applyNumberFormat="1" applyFont="1" applyBorder="1" applyAlignment="1">
      <alignment horizontal="center" vertical="center"/>
    </xf>
    <xf numFmtId="3" fontId="30" fillId="0" borderId="115" xfId="0" applyNumberFormat="1" applyFont="1" applyBorder="1" applyAlignment="1">
      <alignment horizontal="center" vertical="center" wrapText="1"/>
    </xf>
    <xf numFmtId="3" fontId="30" fillId="0" borderId="2" xfId="0" applyNumberFormat="1" applyFont="1" applyBorder="1" applyAlignment="1">
      <alignment horizontal="center" vertical="center" wrapText="1"/>
    </xf>
    <xf numFmtId="3" fontId="30" fillId="0" borderId="2" xfId="0" applyNumberFormat="1" applyFont="1" applyBorder="1"/>
    <xf numFmtId="0" fontId="3" fillId="0" borderId="0" xfId="1116" applyFont="1"/>
    <xf numFmtId="0" fontId="4" fillId="0" borderId="98" xfId="1116" applyFont="1" applyBorder="1"/>
    <xf numFmtId="0" fontId="30" fillId="0" borderId="184" xfId="0" applyFont="1" applyFill="1" applyBorder="1" applyAlignment="1">
      <alignment horizontal="center" vertical="center"/>
    </xf>
    <xf numFmtId="3" fontId="30" fillId="0" borderId="190" xfId="0" applyNumberFormat="1" applyFont="1" applyFill="1" applyBorder="1" applyAlignment="1">
      <alignment horizontal="center" vertical="center"/>
    </xf>
    <xf numFmtId="9" fontId="30" fillId="0" borderId="191" xfId="1" applyFont="1" applyFill="1" applyBorder="1" applyAlignment="1">
      <alignment horizontal="center" vertical="center"/>
    </xf>
    <xf numFmtId="9" fontId="30" fillId="0" borderId="189" xfId="1" applyFont="1" applyFill="1" applyBorder="1" applyAlignment="1">
      <alignment horizontal="center" vertical="center"/>
    </xf>
    <xf numFmtId="0" fontId="97" fillId="0" borderId="183" xfId="0" applyFont="1" applyBorder="1"/>
    <xf numFmtId="3" fontId="43" fillId="0" borderId="186" xfId="0" applyNumberFormat="1" applyFont="1" applyFill="1" applyBorder="1" applyAlignment="1">
      <alignment horizontal="center" vertical="center" wrapText="1"/>
    </xf>
    <xf numFmtId="3" fontId="30" fillId="0" borderId="183" xfId="0" applyNumberFormat="1" applyFont="1" applyFill="1" applyBorder="1" applyAlignment="1">
      <alignment horizontal="center" vertical="center" wrapText="1"/>
    </xf>
    <xf numFmtId="1" fontId="30" fillId="0" borderId="190" xfId="0" applyNumberFormat="1" applyFont="1" applyBorder="1" applyAlignment="1">
      <alignment horizontal="center" vertical="center" wrapText="1"/>
    </xf>
    <xf numFmtId="167" fontId="30" fillId="0" borderId="186" xfId="0" applyNumberFormat="1" applyFont="1" applyBorder="1" applyAlignment="1">
      <alignment horizontal="center" vertical="center"/>
    </xf>
    <xf numFmtId="167" fontId="30" fillId="0" borderId="183" xfId="0" applyNumberFormat="1" applyFont="1" applyBorder="1" applyAlignment="1">
      <alignment horizontal="center" vertical="center" wrapText="1"/>
    </xf>
    <xf numFmtId="167" fontId="30" fillId="0" borderId="185" xfId="0" applyNumberFormat="1" applyFont="1" applyBorder="1" applyAlignment="1">
      <alignment horizontal="center" vertical="center"/>
    </xf>
    <xf numFmtId="167" fontId="30" fillId="0" borderId="186" xfId="0" applyNumberFormat="1" applyFont="1" applyBorder="1" applyAlignment="1">
      <alignment horizontal="center" vertical="center" wrapText="1"/>
    </xf>
    <xf numFmtId="9" fontId="96" fillId="0" borderId="183" xfId="1" applyFont="1" applyBorder="1" applyAlignment="1">
      <alignment horizontal="center" vertical="center"/>
    </xf>
    <xf numFmtId="9" fontId="43" fillId="0" borderId="185" xfId="1" applyFont="1" applyBorder="1" applyAlignment="1">
      <alignment horizontal="center" vertical="center" wrapText="1"/>
    </xf>
    <xf numFmtId="9" fontId="30" fillId="0" borderId="196" xfId="1" applyNumberFormat="1" applyFont="1" applyBorder="1" applyAlignment="1">
      <alignment horizontal="center" vertical="center"/>
    </xf>
    <xf numFmtId="0" fontId="34" fillId="0" borderId="189" xfId="0" applyFont="1" applyBorder="1" applyAlignment="1">
      <alignment horizontal="center"/>
    </xf>
    <xf numFmtId="9" fontId="43" fillId="0" borderId="183" xfId="1" applyFont="1" applyBorder="1" applyAlignment="1">
      <alignment horizontal="center" vertical="center"/>
    </xf>
    <xf numFmtId="3" fontId="6" fillId="0" borderId="189" xfId="0" applyNumberFormat="1" applyFont="1" applyBorder="1" applyAlignment="1">
      <alignment horizontal="center" vertical="center"/>
    </xf>
    <xf numFmtId="3" fontId="5" fillId="0" borderId="185" xfId="0" applyNumberFormat="1" applyFont="1" applyBorder="1" applyAlignment="1">
      <alignment horizontal="center"/>
    </xf>
    <xf numFmtId="3" fontId="5" fillId="0" borderId="183" xfId="0" applyNumberFormat="1" applyFont="1" applyBorder="1" applyAlignment="1">
      <alignment horizontal="center"/>
    </xf>
    <xf numFmtId="3" fontId="5" fillId="0" borderId="188" xfId="0" applyNumberFormat="1" applyFont="1" applyBorder="1" applyAlignment="1">
      <alignment horizontal="center"/>
    </xf>
    <xf numFmtId="3" fontId="5" fillId="0" borderId="186" xfId="0" applyNumberFormat="1" applyFont="1" applyBorder="1" applyAlignment="1">
      <alignment horizontal="center"/>
    </xf>
    <xf numFmtId="3" fontId="5" fillId="0" borderId="191" xfId="0" applyNumberFormat="1" applyFont="1" applyBorder="1" applyAlignment="1">
      <alignment horizontal="center"/>
    </xf>
    <xf numFmtId="0" fontId="27" fillId="0" borderId="197" xfId="3" applyFont="1" applyBorder="1" applyAlignment="1">
      <alignment wrapText="1"/>
    </xf>
    <xf numFmtId="0" fontId="27" fillId="0" borderId="198" xfId="3" applyFont="1" applyBorder="1" applyAlignment="1">
      <alignment horizontal="center" vertical="center" wrapText="1"/>
    </xf>
    <xf numFmtId="0" fontId="34" fillId="0" borderId="198" xfId="0" applyFont="1" applyBorder="1" applyAlignment="1">
      <alignment horizontal="center"/>
    </xf>
    <xf numFmtId="0" fontId="9" fillId="0" borderId="199" xfId="3" applyFont="1" applyBorder="1" applyAlignment="1">
      <alignment wrapText="1"/>
    </xf>
    <xf numFmtId="0" fontId="9" fillId="0" borderId="200" xfId="3" applyFont="1" applyBorder="1" applyAlignment="1">
      <alignment horizontal="center" vertical="center" wrapText="1"/>
    </xf>
    <xf numFmtId="0" fontId="62" fillId="0" borderId="201" xfId="3" applyFont="1" applyBorder="1" applyAlignment="1">
      <alignment horizontal="center" vertical="center" wrapText="1"/>
    </xf>
    <xf numFmtId="0" fontId="9" fillId="0" borderId="201" xfId="3" applyFont="1" applyBorder="1" applyAlignment="1">
      <alignment horizontal="center" vertical="center" wrapText="1"/>
    </xf>
    <xf numFmtId="0" fontId="9" fillId="0" borderId="202" xfId="3" applyFont="1" applyBorder="1" applyAlignment="1">
      <alignment horizontal="center" vertical="center" wrapText="1"/>
    </xf>
    <xf numFmtId="3" fontId="106" fillId="0" borderId="204" xfId="139" applyNumberFormat="1" applyFont="1" applyBorder="1" applyAlignment="1">
      <alignment horizontal="center" vertical="center"/>
    </xf>
    <xf numFmtId="9" fontId="3" fillId="0" borderId="0" xfId="1" applyFont="1"/>
    <xf numFmtId="9" fontId="3" fillId="0" borderId="0" xfId="1" applyNumberFormat="1" applyFont="1"/>
    <xf numFmtId="10" fontId="3" fillId="0" borderId="0" xfId="1" applyNumberFormat="1" applyFont="1"/>
    <xf numFmtId="0" fontId="3" fillId="0" borderId="0" xfId="1079" applyFont="1"/>
    <xf numFmtId="0" fontId="5" fillId="0" borderId="205" xfId="0" applyFont="1" applyBorder="1"/>
    <xf numFmtId="0" fontId="30" fillId="0" borderId="98"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9" fillId="0" borderId="158"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30" fillId="0" borderId="176" xfId="0" applyFont="1" applyBorder="1" applyAlignment="1">
      <alignment horizontal="center" vertical="center" wrapText="1"/>
    </xf>
    <xf numFmtId="0" fontId="5" fillId="0" borderId="159" xfId="0" applyFont="1" applyBorder="1" applyAlignment="1">
      <alignment horizontal="center" vertical="center"/>
    </xf>
    <xf numFmtId="0" fontId="5" fillId="0" borderId="160" xfId="0" applyFont="1" applyBorder="1" applyAlignment="1">
      <alignment horizontal="center" vertical="center"/>
    </xf>
    <xf numFmtId="0" fontId="30" fillId="0" borderId="98" xfId="0" applyFont="1" applyBorder="1" applyAlignment="1">
      <alignment horizontal="center" vertical="center" wrapText="1"/>
    </xf>
    <xf numFmtId="0" fontId="5" fillId="0" borderId="160" xfId="0" applyFont="1" applyBorder="1" applyAlignment="1">
      <alignment horizontal="center" vertical="center" wrapText="1"/>
    </xf>
    <xf numFmtId="0" fontId="30" fillId="0" borderId="185" xfId="0" applyFont="1" applyBorder="1" applyAlignment="1">
      <alignment horizontal="center" vertical="center" wrapText="1"/>
    </xf>
    <xf numFmtId="0" fontId="6" fillId="0" borderId="0" xfId="0" applyFont="1" applyBorder="1" applyAlignment="1">
      <alignment horizontal="center" vertical="center" wrapText="1"/>
    </xf>
    <xf numFmtId="0" fontId="5" fillId="0" borderId="183" xfId="0" applyFont="1" applyBorder="1" applyAlignment="1">
      <alignment horizontal="center" vertical="center" wrapText="1"/>
    </xf>
    <xf numFmtId="0" fontId="6" fillId="0" borderId="8" xfId="0" applyFont="1" applyBorder="1" applyAlignment="1">
      <alignment horizontal="center" vertical="center" wrapText="1"/>
    </xf>
    <xf numFmtId="0" fontId="5" fillId="0" borderId="189" xfId="0" applyFont="1" applyBorder="1" applyAlignment="1">
      <alignment horizontal="center" vertical="center" wrapText="1"/>
    </xf>
    <xf numFmtId="0" fontId="30" fillId="0" borderId="17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34" xfId="0" applyFont="1" applyBorder="1" applyAlignment="1">
      <alignment horizontal="center" vertical="center" wrapText="1"/>
    </xf>
    <xf numFmtId="0" fontId="33" fillId="0" borderId="2" xfId="0" applyFont="1" applyBorder="1" applyAlignment="1">
      <alignment horizontal="center" vertical="center" wrapText="1"/>
    </xf>
    <xf numFmtId="0" fontId="30" fillId="0" borderId="30" xfId="0" applyFont="1" applyBorder="1" applyAlignment="1">
      <alignment horizontal="center" vertical="center" wrapText="1"/>
    </xf>
    <xf numFmtId="0" fontId="5" fillId="0" borderId="24" xfId="0" applyFont="1" applyBorder="1" applyAlignment="1">
      <alignment horizontal="center" vertical="center"/>
    </xf>
    <xf numFmtId="0" fontId="32" fillId="0" borderId="0" xfId="0" applyFont="1" applyBorder="1" applyAlignment="1">
      <alignment horizontal="center" vertical="center" wrapText="1"/>
    </xf>
    <xf numFmtId="0" fontId="6" fillId="0" borderId="24"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8" xfId="0" applyFont="1" applyBorder="1" applyAlignment="1">
      <alignment horizontal="center" vertical="center" wrapText="1"/>
    </xf>
    <xf numFmtId="0" fontId="30" fillId="0" borderId="0" xfId="0" applyFont="1" applyBorder="1" applyAlignment="1">
      <alignment horizontal="center" vertical="center" wrapText="1"/>
    </xf>
    <xf numFmtId="0" fontId="31" fillId="0" borderId="114" xfId="0" applyFont="1" applyBorder="1" applyAlignment="1">
      <alignment horizontal="center" vertical="center"/>
    </xf>
    <xf numFmtId="0" fontId="5" fillId="0" borderId="98" xfId="0" applyFont="1" applyBorder="1" applyAlignment="1">
      <alignment horizontal="center"/>
    </xf>
    <xf numFmtId="0" fontId="5" fillId="0" borderId="34" xfId="0" applyFont="1" applyBorder="1" applyAlignment="1">
      <alignment horizontal="center" vertical="center" wrapText="1"/>
    </xf>
    <xf numFmtId="0" fontId="30" fillId="0" borderId="183" xfId="0" applyFont="1" applyBorder="1" applyAlignment="1">
      <alignment horizontal="center" vertical="center" wrapText="1"/>
    </xf>
    <xf numFmtId="0" fontId="5" fillId="0" borderId="158" xfId="0" applyFont="1" applyBorder="1" applyAlignment="1">
      <alignment horizontal="center" vertical="center" wrapText="1"/>
    </xf>
    <xf numFmtId="0" fontId="9" fillId="0" borderId="0" xfId="341" applyFont="1" applyBorder="1" applyAlignment="1">
      <alignment horizontal="center" vertical="center" wrapText="1"/>
    </xf>
    <xf numFmtId="0" fontId="5" fillId="0" borderId="27" xfId="0" applyFont="1" applyBorder="1" applyAlignment="1">
      <alignment horizontal="center" vertical="center"/>
    </xf>
    <xf numFmtId="0" fontId="9" fillId="0" borderId="1" xfId="592" applyFont="1" applyBorder="1" applyAlignment="1">
      <alignment horizontal="center" vertical="center" wrapText="1"/>
    </xf>
    <xf numFmtId="0" fontId="9" fillId="0" borderId="98" xfId="592" applyFont="1" applyBorder="1" applyAlignment="1">
      <alignment horizontal="center" vertical="center" wrapText="1"/>
    </xf>
    <xf numFmtId="0" fontId="9" fillId="0" borderId="0" xfId="592" applyFont="1" applyBorder="1" applyAlignment="1">
      <alignment horizontal="center" vertical="center" wrapText="1"/>
    </xf>
    <xf numFmtId="9" fontId="5" fillId="0" borderId="0" xfId="1" applyFont="1" applyAlignment="1">
      <alignment horizontal="center"/>
    </xf>
    <xf numFmtId="0" fontId="30" fillId="0" borderId="24" xfId="0" applyFont="1" applyBorder="1" applyAlignment="1">
      <alignment horizontal="center" vertical="center" wrapText="1"/>
    </xf>
    <xf numFmtId="0" fontId="6" fillId="0" borderId="158" xfId="0" applyFont="1" applyBorder="1" applyAlignment="1">
      <alignment horizontal="center" vertical="center" wrapText="1"/>
    </xf>
    <xf numFmtId="0" fontId="6" fillId="0" borderId="191" xfId="0" applyFont="1" applyBorder="1" applyAlignment="1">
      <alignment horizontal="center" vertical="center" wrapText="1"/>
    </xf>
    <xf numFmtId="0" fontId="6" fillId="0" borderId="183" xfId="0" applyFont="1" applyBorder="1" applyAlignment="1">
      <alignment horizontal="center" vertical="center" wrapText="1"/>
    </xf>
    <xf numFmtId="0" fontId="5" fillId="0" borderId="14" xfId="0" applyFont="1" applyBorder="1" applyAlignment="1">
      <alignment horizontal="center" vertical="center" wrapText="1"/>
    </xf>
    <xf numFmtId="1" fontId="30" fillId="0" borderId="0" xfId="1116" applyNumberFormat="1" applyFont="1" applyAlignment="1">
      <alignment horizontal="center" vertical="center" wrapText="1"/>
    </xf>
    <xf numFmtId="0" fontId="6" fillId="0" borderId="114" xfId="0" applyFont="1" applyFill="1" applyBorder="1" applyAlignment="1">
      <alignment horizontal="center" vertical="center" wrapText="1"/>
    </xf>
    <xf numFmtId="0" fontId="5" fillId="0" borderId="191" xfId="0" applyFont="1" applyBorder="1" applyAlignment="1">
      <alignment horizontal="center" vertical="center" wrapText="1"/>
    </xf>
    <xf numFmtId="0" fontId="6" fillId="0" borderId="0" xfId="0" applyFont="1" applyFill="1" applyBorder="1" applyAlignment="1">
      <alignment horizontal="center" vertical="center" wrapText="1"/>
    </xf>
    <xf numFmtId="0" fontId="111" fillId="0" borderId="185" xfId="1079" applyFont="1" applyBorder="1" applyAlignment="1">
      <alignment horizontal="center" vertical="center" wrapText="1"/>
    </xf>
    <xf numFmtId="0" fontId="111" fillId="0" borderId="183" xfId="1079" applyFont="1" applyBorder="1" applyAlignment="1">
      <alignment horizontal="center" vertical="center" wrapText="1"/>
    </xf>
    <xf numFmtId="0" fontId="30" fillId="0" borderId="3" xfId="0" applyFont="1" applyBorder="1" applyAlignment="1">
      <alignment horizontal="center" vertical="center" wrapText="1"/>
    </xf>
    <xf numFmtId="0" fontId="30" fillId="0" borderId="189" xfId="0" applyFont="1" applyBorder="1" applyAlignment="1">
      <alignment horizontal="center" vertical="center" wrapText="1"/>
    </xf>
    <xf numFmtId="0" fontId="107" fillId="0" borderId="98" xfId="1222" applyFont="1" applyBorder="1" applyAlignment="1">
      <alignment horizontal="center"/>
    </xf>
    <xf numFmtId="0" fontId="30" fillId="0" borderId="34" xfId="0" applyFont="1" applyBorder="1" applyAlignment="1">
      <alignment horizontal="center" vertical="center" wrapText="1"/>
    </xf>
    <xf numFmtId="0" fontId="30" fillId="0" borderId="158" xfId="0" applyFont="1" applyBorder="1" applyAlignment="1">
      <alignment horizontal="center" vertical="center" wrapText="1"/>
    </xf>
    <xf numFmtId="0" fontId="5" fillId="0" borderId="0" xfId="0" applyFont="1" applyBorder="1" applyAlignment="1">
      <alignment horizontal="center"/>
    </xf>
    <xf numFmtId="0" fontId="5" fillId="0" borderId="158" xfId="0" applyFont="1" applyBorder="1" applyAlignment="1">
      <alignment horizontal="center"/>
    </xf>
    <xf numFmtId="0" fontId="9" fillId="0" borderId="184" xfId="592" applyFont="1" applyBorder="1"/>
    <xf numFmtId="0" fontId="30" fillId="0" borderId="184" xfId="1105" applyFont="1" applyBorder="1"/>
    <xf numFmtId="0" fontId="6" fillId="0" borderId="184" xfId="1105" applyFont="1" applyBorder="1"/>
    <xf numFmtId="3" fontId="30" fillId="0" borderId="184" xfId="0" applyNumberFormat="1" applyFont="1" applyBorder="1" applyAlignment="1">
      <alignment horizontal="center" vertical="center"/>
    </xf>
    <xf numFmtId="0" fontId="111" fillId="0" borderId="184" xfId="1079" applyFont="1" applyBorder="1" applyAlignment="1">
      <alignment horizontal="center"/>
    </xf>
    <xf numFmtId="0" fontId="5" fillId="0" borderId="184" xfId="0" applyFont="1" applyBorder="1"/>
    <xf numFmtId="0" fontId="31" fillId="0" borderId="184" xfId="0" applyFont="1" applyBorder="1" applyAlignment="1">
      <alignment horizontal="center" vertical="center"/>
    </xf>
    <xf numFmtId="0" fontId="111" fillId="0" borderId="184" xfId="591" applyFont="1" applyBorder="1" applyAlignment="1">
      <alignment horizontal="center" vertical="center" wrapText="1"/>
    </xf>
    <xf numFmtId="0" fontId="111" fillId="0" borderId="184" xfId="591" applyFont="1" applyBorder="1" applyAlignment="1">
      <alignment wrapText="1"/>
    </xf>
    <xf numFmtId="0" fontId="127" fillId="0" borderId="0" xfId="1116" applyFont="1" applyBorder="1"/>
    <xf numFmtId="167" fontId="11" fillId="0" borderId="0" xfId="1116" applyNumberFormat="1" applyBorder="1"/>
    <xf numFmtId="1" fontId="11" fillId="0" borderId="0" xfId="1116" applyNumberFormat="1" applyBorder="1"/>
    <xf numFmtId="1" fontId="40" fillId="0" borderId="0" xfId="1116" applyNumberFormat="1" applyFont="1" applyBorder="1" applyAlignment="1">
      <alignment horizontal="center" vertical="center" wrapText="1"/>
    </xf>
    <xf numFmtId="1" fontId="30" fillId="0" borderId="98" xfId="1116" applyNumberFormat="1" applyFont="1" applyBorder="1" applyAlignment="1">
      <alignment horizontal="center" vertical="center" wrapText="1"/>
    </xf>
    <xf numFmtId="9" fontId="3" fillId="0" borderId="0" xfId="1" applyFont="1" applyBorder="1"/>
    <xf numFmtId="0" fontId="11" fillId="0" borderId="0" xfId="1116" applyBorder="1"/>
    <xf numFmtId="0" fontId="11" fillId="0" borderId="98" xfId="1116" applyBorder="1"/>
    <xf numFmtId="0" fontId="3" fillId="0" borderId="0" xfId="1116" applyFont="1" applyBorder="1"/>
    <xf numFmtId="0" fontId="131" fillId="0" borderId="98" xfId="1116" applyFont="1" applyBorder="1"/>
    <xf numFmtId="0" fontId="131" fillId="0" borderId="130" xfId="1116" applyFont="1" applyBorder="1"/>
    <xf numFmtId="1" fontId="30" fillId="0" borderId="0" xfId="1116" applyNumberFormat="1" applyFont="1" applyBorder="1" applyAlignment="1">
      <alignment horizontal="center" vertical="center" wrapText="1"/>
    </xf>
    <xf numFmtId="0" fontId="50" fillId="0" borderId="0" xfId="341" applyFont="1" applyBorder="1" applyAlignment="1">
      <alignment horizontal="center"/>
    </xf>
    <xf numFmtId="171" fontId="9" fillId="0" borderId="158" xfId="1" applyNumberFormat="1" applyFont="1" applyBorder="1" applyAlignment="1">
      <alignment horizontal="center"/>
    </xf>
    <xf numFmtId="0" fontId="30" fillId="0" borderId="0" xfId="1116" applyFont="1" applyBorder="1" applyAlignment="1">
      <alignment horizontal="center" vertical="center" wrapText="1"/>
    </xf>
    <xf numFmtId="0" fontId="40" fillId="0" borderId="0" xfId="1116" applyFont="1" applyBorder="1" applyAlignment="1">
      <alignment horizontal="center" vertical="center" wrapText="1"/>
    </xf>
    <xf numFmtId="9" fontId="2" fillId="0" borderId="0" xfId="1" applyFont="1" applyBorder="1"/>
    <xf numFmtId="168" fontId="2" fillId="0" borderId="0" xfId="139" applyNumberFormat="1" applyFont="1" applyBorder="1"/>
    <xf numFmtId="9" fontId="2" fillId="0" borderId="131" xfId="1" applyFont="1" applyBorder="1"/>
    <xf numFmtId="9" fontId="2" fillId="0" borderId="0" xfId="1116" applyNumberFormat="1" applyFont="1"/>
    <xf numFmtId="0" fontId="127" fillId="0" borderId="98" xfId="1116" applyFont="1" applyFill="1" applyBorder="1"/>
    <xf numFmtId="9" fontId="11" fillId="0" borderId="0" xfId="1" applyFont="1"/>
    <xf numFmtId="0" fontId="97" fillId="0" borderId="0" xfId="0" applyFont="1" applyAlignment="1">
      <alignment horizontal="left"/>
    </xf>
    <xf numFmtId="0" fontId="97" fillId="0" borderId="0" xfId="0" applyFont="1" applyBorder="1" applyAlignment="1">
      <alignment horizontal="left"/>
    </xf>
    <xf numFmtId="0" fontId="133" fillId="0" borderId="0" xfId="0" applyFont="1" applyBorder="1" applyAlignment="1">
      <alignment horizontal="left"/>
    </xf>
    <xf numFmtId="0" fontId="133" fillId="0" borderId="0" xfId="0" applyFont="1" applyBorder="1" applyAlignment="1">
      <alignment horizontal="center"/>
    </xf>
    <xf numFmtId="0" fontId="97" fillId="0" borderId="0" xfId="0" applyFont="1" applyBorder="1"/>
    <xf numFmtId="0" fontId="97" fillId="0" borderId="0" xfId="0" applyFont="1" applyFill="1"/>
    <xf numFmtId="0" fontId="132" fillId="0" borderId="0" xfId="0" applyFont="1" applyBorder="1" applyAlignment="1">
      <alignment horizontal="center" vertical="center"/>
    </xf>
    <xf numFmtId="0" fontId="132" fillId="0" borderId="183" xfId="0" applyFont="1" applyBorder="1" applyAlignment="1">
      <alignment horizontal="center" vertical="center"/>
    </xf>
    <xf numFmtId="0" fontId="0" fillId="0" borderId="206" xfId="0" applyBorder="1" applyAlignment="1">
      <alignment horizontal="center"/>
    </xf>
    <xf numFmtId="0" fontId="0" fillId="0" borderId="206" xfId="0" applyBorder="1"/>
    <xf numFmtId="0" fontId="5" fillId="0" borderId="0" xfId="1230" applyFont="1"/>
    <xf numFmtId="0" fontId="5" fillId="0" borderId="0" xfId="1230" applyFont="1" applyAlignment="1">
      <alignment horizontal="center" vertical="center" wrapText="1"/>
    </xf>
    <xf numFmtId="0" fontId="134" fillId="0" borderId="0" xfId="1230" applyFont="1"/>
    <xf numFmtId="3" fontId="135" fillId="0" borderId="0" xfId="1230" applyNumberFormat="1" applyFont="1" applyAlignment="1">
      <alignment horizontal="center"/>
    </xf>
    <xf numFmtId="9" fontId="134" fillId="0" borderId="0" xfId="1231" applyFont="1" applyBorder="1" applyAlignment="1">
      <alignment horizontal="center"/>
    </xf>
    <xf numFmtId="9" fontId="134" fillId="0" borderId="0" xfId="1230" applyNumberFormat="1" applyFont="1" applyAlignment="1">
      <alignment horizontal="center"/>
    </xf>
    <xf numFmtId="9" fontId="5" fillId="0" borderId="0" xfId="1231" applyFont="1"/>
    <xf numFmtId="0" fontId="138" fillId="0" borderId="0" xfId="1230" applyFont="1" applyBorder="1" applyAlignment="1">
      <alignment horizontal="center" vertical="center" wrapText="1"/>
    </xf>
    <xf numFmtId="0" fontId="136" fillId="0" borderId="0" xfId="1230" applyFont="1" applyBorder="1" applyAlignment="1">
      <alignment horizontal="center" vertical="center" wrapText="1"/>
    </xf>
    <xf numFmtId="0" fontId="139" fillId="0" borderId="0" xfId="1230" applyFont="1" applyBorder="1" applyAlignment="1">
      <alignment horizontal="center" vertical="center" wrapText="1"/>
    </xf>
    <xf numFmtId="0" fontId="138" fillId="0" borderId="0" xfId="1230" applyFont="1" applyBorder="1"/>
    <xf numFmtId="3" fontId="136" fillId="0" borderId="0" xfId="1230" applyNumberFormat="1" applyFont="1" applyBorder="1" applyAlignment="1">
      <alignment horizontal="center"/>
    </xf>
    <xf numFmtId="3" fontId="138" fillId="0" borderId="0" xfId="1230" applyNumberFormat="1" applyFont="1" applyBorder="1" applyAlignment="1">
      <alignment horizontal="center"/>
    </xf>
    <xf numFmtId="9" fontId="138" fillId="0" borderId="0" xfId="1231" applyFont="1" applyBorder="1" applyAlignment="1">
      <alignment horizontal="center"/>
    </xf>
    <xf numFmtId="9" fontId="138" fillId="0" borderId="0" xfId="1230" applyNumberFormat="1" applyFont="1" applyBorder="1" applyAlignment="1">
      <alignment horizontal="center"/>
    </xf>
    <xf numFmtId="9" fontId="136" fillId="0" borderId="0" xfId="1230" applyNumberFormat="1" applyFont="1" applyBorder="1" applyAlignment="1">
      <alignment horizontal="center"/>
    </xf>
    <xf numFmtId="0" fontId="136" fillId="0" borderId="150" xfId="1230" applyFont="1" applyBorder="1"/>
    <xf numFmtId="3" fontId="136" fillId="0" borderId="150" xfId="1230" applyNumberFormat="1" applyFont="1" applyBorder="1" applyAlignment="1">
      <alignment horizontal="center"/>
    </xf>
    <xf numFmtId="3" fontId="138" fillId="0" borderId="150" xfId="1230" applyNumberFormat="1" applyFont="1" applyBorder="1" applyAlignment="1">
      <alignment horizontal="center"/>
    </xf>
    <xf numFmtId="9" fontId="138" fillId="0" borderId="150" xfId="1231" applyFont="1" applyBorder="1" applyAlignment="1">
      <alignment horizontal="center"/>
    </xf>
    <xf numFmtId="9" fontId="138" fillId="0" borderId="150" xfId="1230" applyNumberFormat="1" applyFont="1" applyBorder="1" applyAlignment="1">
      <alignment horizontal="center"/>
    </xf>
    <xf numFmtId="9" fontId="136" fillId="0" borderId="150" xfId="1230" applyNumberFormat="1" applyFont="1" applyBorder="1" applyAlignment="1">
      <alignment horizontal="center"/>
    </xf>
    <xf numFmtId="0" fontId="6" fillId="0" borderId="15"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31" fillId="0" borderId="4" xfId="0" applyFont="1" applyBorder="1" applyAlignment="1">
      <alignment horizontal="center" vertical="center"/>
    </xf>
    <xf numFmtId="0" fontId="31" fillId="0" borderId="5" xfId="0" applyFont="1" applyBorder="1" applyAlignment="1">
      <alignment horizontal="center" vertical="center"/>
    </xf>
    <xf numFmtId="0" fontId="31" fillId="0" borderId="6" xfId="0" applyFont="1" applyBorder="1" applyAlignment="1">
      <alignment horizontal="center" vertical="center"/>
    </xf>
    <xf numFmtId="0" fontId="33" fillId="0" borderId="156" xfId="0" applyFont="1" applyFill="1" applyBorder="1" applyAlignment="1">
      <alignment horizontal="center" vertical="center" wrapText="1"/>
    </xf>
    <xf numFmtId="0" fontId="33" fillId="0" borderId="98" xfId="0" applyFont="1" applyFill="1" applyBorder="1" applyAlignment="1">
      <alignment horizontal="center" vertical="center" wrapText="1"/>
    </xf>
    <xf numFmtId="0" fontId="33" fillId="0" borderId="185" xfId="0" applyFont="1" applyFill="1" applyBorder="1" applyAlignment="1">
      <alignment horizontal="center" vertical="center" wrapText="1"/>
    </xf>
    <xf numFmtId="0" fontId="33" fillId="0" borderId="20" xfId="0" applyFont="1" applyFill="1" applyBorder="1" applyAlignment="1">
      <alignment horizontal="center" vertical="center" wrapText="1"/>
    </xf>
    <xf numFmtId="0" fontId="33" fillId="0" borderId="8" xfId="0" applyFont="1" applyFill="1" applyBorder="1" applyAlignment="1">
      <alignment horizontal="center" vertical="center" wrapText="1"/>
    </xf>
    <xf numFmtId="0" fontId="33" fillId="0" borderId="189" xfId="0" applyFont="1" applyFill="1" applyBorder="1" applyAlignment="1">
      <alignment horizontal="center" vertical="center" wrapText="1"/>
    </xf>
    <xf numFmtId="0" fontId="30" fillId="0" borderId="98"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179" xfId="0" applyFont="1" applyFill="1" applyBorder="1" applyAlignment="1">
      <alignment horizontal="center" vertical="center" wrapText="1"/>
    </xf>
    <xf numFmtId="0" fontId="5" fillId="0" borderId="159" xfId="0" applyFont="1" applyFill="1" applyBorder="1" applyAlignment="1">
      <alignment horizontal="center" vertical="center"/>
    </xf>
    <xf numFmtId="0" fontId="5" fillId="0" borderId="160" xfId="0" applyFont="1" applyFill="1" applyBorder="1" applyAlignment="1">
      <alignment horizontal="center" vertical="center"/>
    </xf>
    <xf numFmtId="0" fontId="5" fillId="0" borderId="161" xfId="0" applyFont="1" applyFill="1" applyBorder="1" applyAlignment="1">
      <alignment horizontal="center" vertical="center"/>
    </xf>
    <xf numFmtId="0" fontId="33" fillId="0" borderId="3" xfId="0" applyFont="1" applyFill="1" applyBorder="1" applyAlignment="1">
      <alignment horizontal="center" vertical="center" wrapText="1"/>
    </xf>
    <xf numFmtId="0" fontId="33" fillId="0" borderId="176"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33" fillId="0" borderId="31" xfId="0" applyFont="1" applyFill="1" applyBorder="1" applyAlignment="1">
      <alignment horizontal="center" vertical="center" wrapText="1"/>
    </xf>
    <xf numFmtId="0" fontId="33" fillId="0" borderId="158" xfId="0" applyFont="1" applyFill="1" applyBorder="1" applyAlignment="1">
      <alignment horizontal="center" vertical="center" wrapText="1"/>
    </xf>
    <xf numFmtId="0" fontId="33" fillId="0" borderId="159" xfId="0" applyFont="1" applyFill="1" applyBorder="1" applyAlignment="1">
      <alignment horizontal="center" vertical="center" wrapText="1"/>
    </xf>
    <xf numFmtId="0" fontId="33" fillId="0" borderId="160" xfId="0" applyFont="1" applyFill="1" applyBorder="1" applyAlignment="1">
      <alignment horizontal="center" vertical="center" wrapText="1"/>
    </xf>
    <xf numFmtId="0" fontId="33" fillId="0" borderId="161"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183" xfId="0" applyFont="1" applyFill="1" applyBorder="1" applyAlignment="1">
      <alignment horizontal="center" vertical="center" wrapText="1"/>
    </xf>
    <xf numFmtId="9" fontId="33" fillId="0" borderId="31" xfId="1" applyFont="1" applyFill="1" applyBorder="1" applyAlignment="1">
      <alignment horizontal="center" vertical="center" wrapText="1"/>
    </xf>
    <xf numFmtId="9" fontId="33" fillId="0" borderId="158" xfId="1" applyFont="1" applyFill="1" applyBorder="1" applyAlignment="1">
      <alignment horizontal="center" vertical="center" wrapText="1"/>
    </xf>
    <xf numFmtId="0" fontId="5" fillId="0" borderId="16" xfId="0" applyFont="1" applyBorder="1" applyAlignment="1">
      <alignment horizontal="left" vertical="center" wrapText="1"/>
    </xf>
    <xf numFmtId="0" fontId="5" fillId="0" borderId="17" xfId="0" applyFont="1" applyBorder="1" applyAlignment="1">
      <alignment horizontal="left" vertical="center" wrapText="1"/>
    </xf>
    <xf numFmtId="0" fontId="30" fillId="0" borderId="20"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3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58" xfId="0" applyFont="1" applyFill="1" applyBorder="1" applyAlignment="1">
      <alignment horizontal="center" vertical="center" wrapText="1"/>
    </xf>
    <xf numFmtId="0" fontId="5" fillId="0" borderId="156" xfId="0" applyFont="1" applyFill="1" applyBorder="1" applyAlignment="1">
      <alignment horizontal="center" vertical="center" wrapText="1"/>
    </xf>
    <xf numFmtId="0" fontId="5" fillId="0" borderId="98" xfId="0" applyFont="1" applyFill="1" applyBorder="1" applyAlignment="1">
      <alignment horizontal="center" vertical="center" wrapText="1"/>
    </xf>
    <xf numFmtId="0" fontId="30" fillId="0" borderId="114"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5" fillId="0" borderId="176" xfId="0" applyFont="1" applyFill="1" applyBorder="1" applyAlignment="1">
      <alignment horizontal="center" vertical="center" wrapText="1"/>
    </xf>
    <xf numFmtId="9" fontId="97" fillId="0" borderId="0" xfId="1" applyFont="1" applyAlignment="1">
      <alignment horizontal="center"/>
    </xf>
    <xf numFmtId="0" fontId="9" fillId="0" borderId="158" xfId="0" applyFont="1" applyFill="1" applyBorder="1" applyAlignment="1">
      <alignment horizontal="center" vertical="center" wrapText="1"/>
    </xf>
    <xf numFmtId="0" fontId="5" fillId="0" borderId="15" xfId="0" applyFont="1" applyBorder="1" applyAlignment="1">
      <alignment horizontal="left" vertical="center" wrapText="1"/>
    </xf>
    <xf numFmtId="0" fontId="9" fillId="0" borderId="159" xfId="0" applyFont="1" applyFill="1" applyBorder="1" applyAlignment="1">
      <alignment horizontal="center" vertical="center"/>
    </xf>
    <xf numFmtId="0" fontId="9" fillId="0" borderId="160" xfId="0" applyFont="1" applyFill="1" applyBorder="1" applyAlignment="1">
      <alignment horizontal="center" vertical="center"/>
    </xf>
    <xf numFmtId="0" fontId="9" fillId="0" borderId="161" xfId="0" applyFont="1" applyFill="1" applyBorder="1" applyAlignment="1">
      <alignment horizontal="center" vertical="center"/>
    </xf>
    <xf numFmtId="0" fontId="9" fillId="0" borderId="156" xfId="0" applyFont="1" applyFill="1" applyBorder="1" applyAlignment="1">
      <alignment horizontal="center" vertical="center" wrapText="1"/>
    </xf>
    <xf numFmtId="0" fontId="9" fillId="0" borderId="98" xfId="0" applyFont="1" applyFill="1" applyBorder="1" applyAlignment="1">
      <alignment horizontal="center" vertical="center" wrapText="1"/>
    </xf>
    <xf numFmtId="0" fontId="43" fillId="0" borderId="114"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6" xfId="0" applyFont="1" applyFill="1" applyBorder="1" applyAlignment="1">
      <alignment horizontal="center" vertical="center" wrapText="1"/>
    </xf>
    <xf numFmtId="0" fontId="43" fillId="0" borderId="20" xfId="0" applyFont="1" applyFill="1" applyBorder="1" applyAlignment="1">
      <alignment horizontal="center" vertical="center" wrapText="1"/>
    </xf>
    <xf numFmtId="0" fontId="43" fillId="0" borderId="8" xfId="0" applyFont="1" applyFill="1" applyBorder="1" applyAlignment="1">
      <alignment horizontal="center" vertical="center" wrapText="1"/>
    </xf>
    <xf numFmtId="0" fontId="99" fillId="0" borderId="30" xfId="0" applyFont="1" applyFill="1" applyBorder="1" applyAlignment="1">
      <alignment horizontal="center" vertical="center" wrapText="1"/>
    </xf>
    <xf numFmtId="0" fontId="99" fillId="0" borderId="98"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62" fillId="0" borderId="176"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43" fillId="0" borderId="98"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180" xfId="0" applyFont="1" applyFill="1" applyBorder="1" applyAlignment="1">
      <alignment horizontal="center" vertical="center" wrapText="1"/>
    </xf>
    <xf numFmtId="0" fontId="43" fillId="0" borderId="156" xfId="0" applyFont="1" applyFill="1" applyBorder="1" applyAlignment="1">
      <alignment horizontal="center" vertical="center" wrapText="1"/>
    </xf>
    <xf numFmtId="0" fontId="30" fillId="0" borderId="176" xfId="0" applyFont="1" applyBorder="1" applyAlignment="1">
      <alignment horizontal="center" vertical="center" wrapText="1"/>
    </xf>
    <xf numFmtId="0" fontId="5" fillId="0" borderId="159" xfId="0" applyFont="1" applyBorder="1" applyAlignment="1">
      <alignment horizontal="center" vertical="center"/>
    </xf>
    <xf numFmtId="0" fontId="5" fillId="0" borderId="160" xfId="0" applyFont="1" applyBorder="1" applyAlignment="1">
      <alignment horizontal="center" vertical="center"/>
    </xf>
    <xf numFmtId="0" fontId="5" fillId="0" borderId="161" xfId="0" applyFont="1" applyBorder="1" applyAlignment="1">
      <alignment horizontal="center" vertical="center"/>
    </xf>
    <xf numFmtId="0" fontId="30" fillId="0" borderId="98" xfId="0" applyFont="1" applyBorder="1" applyAlignment="1">
      <alignment horizontal="center" vertical="center" wrapText="1"/>
    </xf>
    <xf numFmtId="0" fontId="6" fillId="0" borderId="159" xfId="0" applyFont="1" applyBorder="1" applyAlignment="1">
      <alignment horizontal="center" vertical="center" wrapText="1"/>
    </xf>
    <xf numFmtId="0" fontId="5" fillId="0" borderId="160" xfId="0" applyFont="1" applyBorder="1" applyAlignment="1">
      <alignment horizontal="center" vertical="center" wrapText="1"/>
    </xf>
    <xf numFmtId="0" fontId="5" fillId="0" borderId="27" xfId="0" applyFont="1" applyBorder="1" applyAlignment="1">
      <alignment horizontal="center" vertical="center" wrapText="1"/>
    </xf>
    <xf numFmtId="0" fontId="30" fillId="0" borderId="185" xfId="0" applyFont="1" applyBorder="1" applyAlignment="1">
      <alignment horizontal="center" vertical="center" wrapText="1"/>
    </xf>
    <xf numFmtId="0" fontId="6" fillId="0" borderId="0" xfId="0" applyFont="1" applyBorder="1" applyAlignment="1">
      <alignment horizontal="center" vertical="center" wrapText="1"/>
    </xf>
    <xf numFmtId="0" fontId="5" fillId="0" borderId="183" xfId="0" applyFont="1" applyBorder="1" applyAlignment="1">
      <alignment horizontal="center" vertical="center" wrapText="1"/>
    </xf>
    <xf numFmtId="0" fontId="6" fillId="0" borderId="8" xfId="0" applyFont="1" applyBorder="1" applyAlignment="1">
      <alignment horizontal="center" vertical="center" wrapText="1"/>
    </xf>
    <xf numFmtId="0" fontId="5" fillId="0" borderId="189" xfId="0" applyFont="1" applyBorder="1" applyAlignment="1">
      <alignment horizontal="center" vertical="center" wrapText="1"/>
    </xf>
    <xf numFmtId="0" fontId="5" fillId="0" borderId="28" xfId="0" applyFont="1" applyBorder="1" applyAlignment="1">
      <alignment horizontal="center" vertical="center"/>
    </xf>
    <xf numFmtId="0" fontId="5" fillId="0" borderId="14" xfId="0" applyFont="1" applyBorder="1" applyAlignment="1">
      <alignment horizontal="center" vertical="center"/>
    </xf>
    <xf numFmtId="0" fontId="5" fillId="0" borderId="43" xfId="0" applyFont="1" applyBorder="1" applyAlignment="1">
      <alignment horizontal="center" vertical="center"/>
    </xf>
    <xf numFmtId="0" fontId="30" fillId="0" borderId="22" xfId="0" applyFont="1" applyBorder="1" applyAlignment="1">
      <alignment horizontal="center" vertical="center" wrapText="1"/>
    </xf>
    <xf numFmtId="0" fontId="30" fillId="0" borderId="17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7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7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98"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8" xfId="0" applyFont="1" applyBorder="1" applyAlignment="1">
      <alignment horizontal="center" vertical="center" wrapText="1"/>
    </xf>
    <xf numFmtId="0" fontId="6" fillId="0" borderId="130" xfId="0" applyFont="1" applyBorder="1" applyAlignment="1">
      <alignment horizontal="left" wrapText="1"/>
    </xf>
    <xf numFmtId="0" fontId="6" fillId="0" borderId="131" xfId="0" applyFont="1" applyBorder="1" applyAlignment="1">
      <alignment horizontal="left" wrapText="1"/>
    </xf>
    <xf numFmtId="0" fontId="6" fillId="0" borderId="133" xfId="0" applyFont="1" applyBorder="1" applyAlignment="1">
      <alignment horizontal="left" wrapText="1"/>
    </xf>
    <xf numFmtId="0" fontId="5" fillId="0" borderId="98" xfId="0" applyFont="1" applyBorder="1" applyAlignment="1">
      <alignment horizontal="left" wrapText="1"/>
    </xf>
    <xf numFmtId="0" fontId="5" fillId="0" borderId="0" xfId="0" applyFont="1" applyBorder="1" applyAlignment="1">
      <alignment horizontal="left" wrapText="1"/>
    </xf>
    <xf numFmtId="0" fontId="5" fillId="0" borderId="158" xfId="0" applyFont="1" applyBorder="1" applyAlignment="1">
      <alignment horizontal="left" wrapText="1"/>
    </xf>
    <xf numFmtId="0" fontId="5" fillId="0" borderId="156" xfId="0" applyFont="1" applyBorder="1" applyAlignment="1">
      <alignment horizontal="left" vertical="center" wrapText="1"/>
    </xf>
    <xf numFmtId="0" fontId="5" fillId="0" borderId="114" xfId="0" applyFont="1" applyBorder="1" applyAlignment="1">
      <alignment horizontal="left" vertical="center" wrapText="1"/>
    </xf>
    <xf numFmtId="0" fontId="5" fillId="0" borderId="157" xfId="0" applyFont="1" applyBorder="1" applyAlignment="1">
      <alignment horizontal="left" vertical="center" wrapText="1"/>
    </xf>
    <xf numFmtId="0" fontId="40" fillId="0" borderId="42" xfId="0" applyFont="1" applyBorder="1" applyAlignment="1">
      <alignment horizontal="center" vertical="center" wrapText="1"/>
    </xf>
    <xf numFmtId="0" fontId="40" fillId="0" borderId="99" xfId="0" applyFont="1" applyBorder="1" applyAlignment="1">
      <alignment horizontal="center" vertical="center" wrapText="1"/>
    </xf>
    <xf numFmtId="0" fontId="40" fillId="0" borderId="179" xfId="0" applyFont="1" applyBorder="1" applyAlignment="1">
      <alignment horizontal="center" vertical="center" wrapText="1"/>
    </xf>
    <xf numFmtId="0" fontId="30" fillId="0" borderId="190" xfId="0" applyFont="1" applyBorder="1" applyAlignment="1">
      <alignment horizontal="center" vertical="center" wrapText="1"/>
    </xf>
    <xf numFmtId="0" fontId="40" fillId="0" borderId="98"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34" xfId="0" applyFont="1" applyBorder="1" applyAlignment="1">
      <alignment horizontal="center" vertical="center" wrapText="1"/>
    </xf>
    <xf numFmtId="0" fontId="33" fillId="0" borderId="2" xfId="0" applyFont="1" applyBorder="1" applyAlignment="1">
      <alignment horizontal="center" vertical="center" wrapText="1"/>
    </xf>
    <xf numFmtId="0" fontId="30" fillId="0" borderId="30" xfId="0" applyFont="1" applyBorder="1" applyAlignment="1">
      <alignment horizontal="center" vertical="center" wrapText="1"/>
    </xf>
    <xf numFmtId="0" fontId="5" fillId="0" borderId="29" xfId="0" applyFont="1" applyBorder="1" applyAlignment="1">
      <alignment horizontal="center" vertical="center"/>
    </xf>
    <xf numFmtId="0" fontId="30" fillId="0" borderId="37" xfId="0" applyFont="1" applyBorder="1" applyAlignment="1">
      <alignment horizontal="center" vertical="center" wrapText="1"/>
    </xf>
    <xf numFmtId="0" fontId="30" fillId="0" borderId="181" xfId="0" applyFont="1" applyBorder="1" applyAlignment="1">
      <alignment horizontal="center" vertical="center" wrapText="1"/>
    </xf>
    <xf numFmtId="0" fontId="30" fillId="0" borderId="19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185" xfId="0" applyFont="1" applyBorder="1" applyAlignment="1">
      <alignment horizontal="center" vertical="center" wrapText="1"/>
    </xf>
    <xf numFmtId="0" fontId="5" fillId="0" borderId="30" xfId="0" applyFont="1" applyBorder="1" applyAlignment="1">
      <alignment horizontal="center" vertical="center"/>
    </xf>
    <xf numFmtId="0" fontId="5" fillId="0" borderId="24" xfId="0" applyFont="1" applyBorder="1" applyAlignment="1">
      <alignment horizontal="center" vertical="center"/>
    </xf>
    <xf numFmtId="0" fontId="32" fillId="0" borderId="24" xfId="0" applyFont="1" applyBorder="1" applyAlignment="1">
      <alignment horizontal="center" vertical="center" wrapText="1"/>
    </xf>
    <xf numFmtId="0" fontId="32" fillId="0" borderId="0" xfId="0" applyFont="1" applyBorder="1" applyAlignment="1">
      <alignment horizontal="center" vertical="center" wrapText="1"/>
    </xf>
    <xf numFmtId="0" fontId="6" fillId="0" borderId="24" xfId="0" applyFont="1" applyBorder="1" applyAlignment="1">
      <alignment horizontal="center" vertical="center" wrapText="1"/>
    </xf>
    <xf numFmtId="0" fontId="40" fillId="0" borderId="2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8"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8" xfId="0" applyFont="1" applyBorder="1" applyAlignment="1">
      <alignment horizontal="center" vertical="center" wrapText="1"/>
    </xf>
    <xf numFmtId="0" fontId="5" fillId="0" borderId="36" xfId="0" applyFont="1" applyBorder="1" applyAlignment="1">
      <alignment horizontal="center"/>
    </xf>
    <xf numFmtId="0" fontId="31" fillId="0" borderId="156" xfId="0" applyFont="1" applyBorder="1" applyAlignment="1">
      <alignment horizontal="center" vertical="center"/>
    </xf>
    <xf numFmtId="0" fontId="31" fillId="0" borderId="114" xfId="0" applyFont="1" applyBorder="1" applyAlignment="1">
      <alignment horizontal="center" vertical="center"/>
    </xf>
    <xf numFmtId="0" fontId="31" fillId="0" borderId="157" xfId="0" applyFont="1" applyBorder="1" applyAlignment="1">
      <alignment horizontal="center" vertical="center"/>
    </xf>
    <xf numFmtId="0" fontId="30" fillId="0" borderId="167" xfId="0" applyFont="1" applyBorder="1" applyAlignment="1">
      <alignment horizontal="center" vertical="center"/>
    </xf>
    <xf numFmtId="0" fontId="30" fillId="0" borderId="165" xfId="0" applyFont="1" applyBorder="1" applyAlignment="1">
      <alignment horizontal="center" vertical="center"/>
    </xf>
    <xf numFmtId="0" fontId="30" fillId="0" borderId="168" xfId="0" applyFont="1" applyBorder="1" applyAlignment="1">
      <alignment horizontal="center" vertical="center"/>
    </xf>
    <xf numFmtId="0" fontId="30" fillId="0" borderId="166" xfId="0" applyFont="1" applyBorder="1" applyAlignment="1">
      <alignment horizontal="center" vertical="center"/>
    </xf>
    <xf numFmtId="0" fontId="5" fillId="0" borderId="98" xfId="0" applyFont="1" applyBorder="1" applyAlignment="1">
      <alignment horizontal="center"/>
    </xf>
    <xf numFmtId="0" fontId="5" fillId="0" borderId="185" xfId="0" applyFont="1" applyBorder="1" applyAlignment="1">
      <alignment horizontal="center"/>
    </xf>
    <xf numFmtId="0" fontId="40" fillId="0" borderId="30"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2" xfId="0" applyFont="1" applyBorder="1" applyAlignment="1">
      <alignment horizontal="center" vertical="center" wrapText="1"/>
    </xf>
    <xf numFmtId="0" fontId="40" fillId="0" borderId="118"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83" xfId="0" applyFont="1" applyBorder="1" applyAlignment="1">
      <alignment horizontal="center" vertical="center" wrapText="1"/>
    </xf>
    <xf numFmtId="0" fontId="30" fillId="0" borderId="43" xfId="0" applyFont="1" applyBorder="1" applyAlignment="1">
      <alignment horizontal="center" vertical="center" wrapText="1"/>
    </xf>
    <xf numFmtId="0" fontId="5" fillId="0" borderId="119"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176" xfId="0" applyFont="1" applyBorder="1" applyAlignment="1">
      <alignment horizontal="center" vertical="center" wrapText="1"/>
    </xf>
    <xf numFmtId="0" fontId="5" fillId="0" borderId="158"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99" xfId="0" applyFont="1" applyBorder="1" applyAlignment="1">
      <alignment horizontal="center" vertical="center" wrapText="1"/>
    </xf>
    <xf numFmtId="0" fontId="5" fillId="0" borderId="196" xfId="0" applyFont="1" applyBorder="1" applyAlignment="1">
      <alignment horizontal="center" vertical="center" wrapText="1"/>
    </xf>
    <xf numFmtId="0" fontId="30" fillId="0" borderId="28" xfId="0" applyFont="1" applyBorder="1" applyAlignment="1">
      <alignment horizontal="center" vertical="center"/>
    </xf>
    <xf numFmtId="0" fontId="30" fillId="0" borderId="14" xfId="0" applyFont="1" applyBorder="1" applyAlignment="1">
      <alignment horizontal="center" vertical="center"/>
    </xf>
    <xf numFmtId="0" fontId="30" fillId="0" borderId="43" xfId="0" applyFont="1" applyBorder="1" applyAlignment="1">
      <alignment horizontal="center" vertical="center"/>
    </xf>
    <xf numFmtId="0" fontId="5" fillId="0" borderId="186" xfId="0" applyFont="1" applyBorder="1" applyAlignment="1">
      <alignment horizontal="center" vertical="center" wrapText="1"/>
    </xf>
    <xf numFmtId="0" fontId="63" fillId="0" borderId="67" xfId="3" applyFont="1" applyBorder="1" applyAlignment="1">
      <alignment horizontal="center" vertical="center"/>
    </xf>
    <xf numFmtId="0" fontId="64" fillId="0" borderId="68" xfId="3" applyFont="1" applyBorder="1" applyAlignment="1">
      <alignment vertical="center"/>
    </xf>
    <xf numFmtId="0" fontId="64" fillId="0" borderId="69" xfId="3" applyFont="1" applyBorder="1" applyAlignment="1">
      <alignment vertical="center"/>
    </xf>
    <xf numFmtId="0" fontId="9" fillId="0" borderId="78" xfId="3" applyFont="1" applyBorder="1" applyAlignment="1">
      <alignment horizontal="left" vertical="center"/>
    </xf>
    <xf numFmtId="0" fontId="9" fillId="0" borderId="79" xfId="3" applyFont="1" applyBorder="1" applyAlignment="1">
      <alignment horizontal="left" vertical="center"/>
    </xf>
    <xf numFmtId="0" fontId="9" fillId="0" borderId="80" xfId="3" applyFont="1" applyBorder="1" applyAlignment="1">
      <alignment horizontal="left" vertical="center"/>
    </xf>
    <xf numFmtId="0" fontId="9" fillId="0" borderId="86" xfId="3" applyFont="1" applyBorder="1" applyAlignment="1">
      <alignment horizontal="center" vertical="center"/>
    </xf>
    <xf numFmtId="0" fontId="9" fillId="0" borderId="72" xfId="3" applyFont="1" applyBorder="1" applyAlignment="1">
      <alignment horizontal="center" vertical="center"/>
    </xf>
    <xf numFmtId="0" fontId="9" fillId="0" borderId="73" xfId="3" applyFont="1" applyBorder="1" applyAlignment="1">
      <alignment horizontal="center" vertical="center"/>
    </xf>
    <xf numFmtId="0" fontId="9" fillId="0" borderId="84" xfId="3" applyFont="1" applyBorder="1" applyAlignment="1">
      <alignment horizontal="center" vertical="center"/>
    </xf>
    <xf numFmtId="0" fontId="9" fillId="0" borderId="203" xfId="3" applyFont="1" applyBorder="1" applyAlignment="1">
      <alignment horizontal="center" vertical="center"/>
    </xf>
    <xf numFmtId="0" fontId="9" fillId="0" borderId="88" xfId="3" applyFont="1" applyBorder="1" applyAlignment="1">
      <alignment horizontal="center" vertical="center"/>
    </xf>
    <xf numFmtId="0" fontId="9" fillId="0" borderId="82" xfId="3" applyFont="1" applyBorder="1" applyAlignment="1">
      <alignment horizontal="center" vertical="center"/>
    </xf>
    <xf numFmtId="0" fontId="9" fillId="0" borderId="89" xfId="3" applyFont="1" applyBorder="1" applyAlignment="1">
      <alignment horizontal="center" vertical="center"/>
    </xf>
    <xf numFmtId="0" fontId="63" fillId="0" borderId="68" xfId="3" applyFont="1" applyBorder="1" applyAlignment="1">
      <alignment horizontal="center" vertical="center"/>
    </xf>
    <xf numFmtId="0" fontId="63" fillId="0" borderId="69" xfId="3" applyFont="1" applyBorder="1" applyAlignment="1">
      <alignment horizontal="center" vertical="center"/>
    </xf>
    <xf numFmtId="0" fontId="43" fillId="0" borderId="86" xfId="3" applyFont="1" applyBorder="1" applyAlignment="1">
      <alignment horizontal="center" vertical="center"/>
    </xf>
    <xf numFmtId="0" fontId="43" fillId="0" borderId="72" xfId="3" applyFont="1" applyBorder="1" applyAlignment="1">
      <alignment horizontal="center" vertical="center"/>
    </xf>
    <xf numFmtId="0" fontId="43" fillId="0" borderId="87" xfId="3" applyFont="1" applyBorder="1" applyAlignment="1">
      <alignment horizontal="center" vertical="center"/>
    </xf>
    <xf numFmtId="0" fontId="43" fillId="0" borderId="171" xfId="3" applyFont="1" applyBorder="1" applyAlignment="1">
      <alignment horizontal="center" vertical="center"/>
    </xf>
    <xf numFmtId="0" fontId="43" fillId="0" borderId="172" xfId="3" applyFont="1" applyBorder="1" applyAlignment="1">
      <alignment horizontal="center" vertical="center"/>
    </xf>
    <xf numFmtId="0" fontId="43" fillId="0" borderId="173" xfId="3" applyFont="1" applyBorder="1" applyAlignment="1">
      <alignment horizontal="center" vertical="center"/>
    </xf>
    <xf numFmtId="0" fontId="43" fillId="0" borderId="169" xfId="3" applyFont="1" applyFill="1" applyBorder="1" applyAlignment="1">
      <alignment horizontal="center" vertical="center" wrapText="1"/>
    </xf>
    <xf numFmtId="0" fontId="43" fillId="0" borderId="170" xfId="3" applyFont="1" applyFill="1" applyBorder="1" applyAlignment="1">
      <alignment horizontal="center" vertical="center" wrapText="1"/>
    </xf>
    <xf numFmtId="0" fontId="43" fillId="0" borderId="182" xfId="3" applyFont="1" applyFill="1" applyBorder="1" applyAlignment="1">
      <alignment horizontal="center" vertical="center" wrapText="1"/>
    </xf>
    <xf numFmtId="0" fontId="137" fillId="0" borderId="149" xfId="1230" applyFont="1" applyBorder="1" applyAlignment="1">
      <alignment horizontal="center" vertical="center"/>
    </xf>
    <xf numFmtId="0" fontId="27" fillId="0" borderId="156" xfId="592" applyBorder="1" applyAlignment="1">
      <alignment horizontal="left" vertical="center"/>
    </xf>
    <xf numFmtId="0" fontId="27" fillId="0" borderId="114" xfId="592" applyBorder="1" applyAlignment="1">
      <alignment horizontal="left" vertical="center"/>
    </xf>
    <xf numFmtId="0" fontId="27" fillId="0" borderId="157" xfId="592" applyBorder="1" applyAlignment="1">
      <alignment horizontal="left" vertical="center"/>
    </xf>
    <xf numFmtId="0" fontId="27" fillId="0" borderId="130" xfId="592" applyBorder="1" applyAlignment="1">
      <alignment horizontal="left" vertical="center"/>
    </xf>
    <xf numFmtId="0" fontId="27" fillId="0" borderId="131" xfId="592" applyBorder="1" applyAlignment="1">
      <alignment horizontal="left" vertical="center"/>
    </xf>
    <xf numFmtId="0" fontId="27" fillId="0" borderId="133" xfId="592" applyBorder="1" applyAlignment="1">
      <alignment horizontal="left" vertical="center"/>
    </xf>
    <xf numFmtId="0" fontId="43" fillId="0" borderId="98" xfId="341" applyFont="1" applyBorder="1" applyAlignment="1">
      <alignment horizontal="center" vertical="center" wrapText="1"/>
    </xf>
    <xf numFmtId="0" fontId="43" fillId="0" borderId="98" xfId="348" applyFont="1" applyBorder="1" applyAlignment="1">
      <alignment horizontal="center" vertical="center" wrapText="1"/>
    </xf>
    <xf numFmtId="0" fontId="43" fillId="0" borderId="130" xfId="348" applyFont="1" applyBorder="1" applyAlignment="1">
      <alignment horizontal="center" vertical="center" wrapText="1"/>
    </xf>
    <xf numFmtId="0" fontId="9" fillId="0" borderId="0" xfId="341" applyFont="1" applyBorder="1" applyAlignment="1">
      <alignment horizontal="center" vertical="center" wrapText="1"/>
    </xf>
    <xf numFmtId="0" fontId="9" fillId="0" borderId="131" xfId="341" applyFont="1" applyBorder="1" applyAlignment="1">
      <alignment horizontal="center" vertical="center" wrapText="1"/>
    </xf>
    <xf numFmtId="0" fontId="9" fillId="0" borderId="8" xfId="341" applyFont="1" applyBorder="1" applyAlignment="1">
      <alignment horizontal="center" vertical="center" wrapText="1"/>
    </xf>
    <xf numFmtId="0" fontId="9" fillId="0" borderId="40" xfId="341" applyFont="1" applyBorder="1" applyAlignment="1">
      <alignment horizontal="center" vertical="center" wrapText="1"/>
    </xf>
    <xf numFmtId="0" fontId="62" fillId="0" borderId="3" xfId="341" applyFont="1" applyBorder="1" applyAlignment="1">
      <alignment horizontal="center" vertical="center" wrapText="1"/>
    </xf>
    <xf numFmtId="0" fontId="62" fillId="0" borderId="132" xfId="341" applyFont="1" applyBorder="1" applyAlignment="1">
      <alignment horizontal="center" vertical="center" wrapText="1"/>
    </xf>
    <xf numFmtId="0" fontId="9" fillId="0" borderId="24" xfId="341" applyFont="1" applyBorder="1" applyAlignment="1">
      <alignment horizontal="center" vertical="center" wrapText="1"/>
    </xf>
    <xf numFmtId="0" fontId="100" fillId="0" borderId="34" xfId="341" applyFont="1" applyBorder="1" applyAlignment="1">
      <alignment horizontal="center" vertical="center" wrapText="1"/>
    </xf>
    <xf numFmtId="0" fontId="100" fillId="0" borderId="115" xfId="341" applyFont="1" applyBorder="1" applyAlignment="1">
      <alignment horizontal="center" vertical="center" wrapText="1"/>
    </xf>
    <xf numFmtId="0" fontId="6"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27" xfId="0" applyFont="1" applyBorder="1" applyAlignment="1">
      <alignment horizontal="center" vertical="center"/>
    </xf>
    <xf numFmtId="0" fontId="6" fillId="0" borderId="8" xfId="930" applyFont="1" applyBorder="1" applyAlignment="1">
      <alignment horizontal="center" vertical="center" wrapText="1"/>
    </xf>
    <xf numFmtId="0" fontId="6" fillId="0" borderId="28" xfId="0" applyFont="1" applyBorder="1" applyAlignment="1">
      <alignment horizontal="center" vertical="center"/>
    </xf>
    <xf numFmtId="0" fontId="6" fillId="0" borderId="14" xfId="0" applyFont="1" applyBorder="1" applyAlignment="1">
      <alignment horizontal="center" vertical="center"/>
    </xf>
    <xf numFmtId="0" fontId="6" fillId="0" borderId="29" xfId="0" applyFont="1" applyBorder="1" applyAlignment="1">
      <alignment horizontal="center" vertical="center"/>
    </xf>
    <xf numFmtId="0" fontId="9" fillId="0" borderId="0" xfId="348" applyFont="1" applyBorder="1" applyAlignment="1">
      <alignment horizontal="center" vertical="center" wrapText="1"/>
    </xf>
    <xf numFmtId="0" fontId="100" fillId="0" borderId="153" xfId="341" applyFont="1" applyBorder="1" applyAlignment="1">
      <alignment horizontal="center" vertical="center" wrapText="1"/>
    </xf>
    <xf numFmtId="0" fontId="100" fillId="0" borderId="45" xfId="341" applyFont="1" applyBorder="1" applyAlignment="1">
      <alignment horizontal="center" vertical="center" wrapText="1"/>
    </xf>
    <xf numFmtId="0" fontId="100" fillId="0" borderId="151" xfId="341" applyFont="1" applyBorder="1" applyAlignment="1">
      <alignment horizontal="center" vertical="center" wrapText="1"/>
    </xf>
    <xf numFmtId="0" fontId="100" fillId="0" borderId="0" xfId="341" applyFont="1" applyBorder="1" applyAlignment="1">
      <alignment horizontal="center" vertical="center" wrapText="1"/>
    </xf>
    <xf numFmtId="0" fontId="6" fillId="0" borderId="43" xfId="0" applyFont="1" applyBorder="1" applyAlignment="1">
      <alignment horizontal="center" vertical="center"/>
    </xf>
    <xf numFmtId="0" fontId="9" fillId="0" borderId="98" xfId="341" applyFont="1" applyBorder="1" applyAlignment="1">
      <alignment horizontal="center" vertical="center" wrapText="1"/>
    </xf>
    <xf numFmtId="0" fontId="9" fillId="0" borderId="1" xfId="341" applyFont="1" applyBorder="1" applyAlignment="1">
      <alignment horizontal="center" vertical="center" wrapText="1"/>
    </xf>
    <xf numFmtId="0" fontId="9" fillId="0" borderId="153" xfId="341" applyFont="1" applyBorder="1" applyAlignment="1">
      <alignment horizontal="center" vertical="center" wrapText="1"/>
    </xf>
    <xf numFmtId="0" fontId="9" fillId="0" borderId="45" xfId="341" applyFont="1" applyBorder="1" applyAlignment="1">
      <alignment horizontal="center" vertical="center" wrapText="1"/>
    </xf>
    <xf numFmtId="0" fontId="9" fillId="0" borderId="154" xfId="341" applyFont="1" applyBorder="1" applyAlignment="1">
      <alignment horizontal="center" vertical="center" wrapText="1"/>
    </xf>
    <xf numFmtId="0" fontId="9" fillId="0" borderId="2" xfId="341" applyFont="1" applyBorder="1" applyAlignment="1">
      <alignment horizontal="center" vertical="center" wrapText="1"/>
    </xf>
    <xf numFmtId="0" fontId="62" fillId="0" borderId="25" xfId="341" applyFont="1" applyBorder="1" applyAlignment="1">
      <alignment horizontal="center" vertical="center" wrapText="1"/>
    </xf>
    <xf numFmtId="0" fontId="62" fillId="0" borderId="26" xfId="341" applyFont="1" applyBorder="1" applyAlignment="1">
      <alignment horizontal="center" vertical="center" wrapText="1"/>
    </xf>
    <xf numFmtId="0" fontId="9" fillId="0" borderId="37" xfId="341" applyFont="1" applyBorder="1" applyAlignment="1">
      <alignment horizontal="center" vertical="center" wrapText="1"/>
    </xf>
    <xf numFmtId="0" fontId="9" fillId="0" borderId="38" xfId="341" applyFont="1" applyBorder="1" applyAlignment="1">
      <alignment horizontal="center" vertical="center" wrapText="1"/>
    </xf>
    <xf numFmtId="0" fontId="43" fillId="0" borderId="0" xfId="341" applyFont="1" applyBorder="1" applyAlignment="1">
      <alignment horizontal="center" vertical="center" wrapText="1"/>
    </xf>
    <xf numFmtId="0" fontId="43" fillId="0" borderId="100" xfId="341" applyFont="1" applyBorder="1" applyAlignment="1">
      <alignment horizontal="center" vertical="center" wrapText="1"/>
    </xf>
    <xf numFmtId="0" fontId="43" fillId="0" borderId="120" xfId="341" applyFont="1" applyBorder="1" applyAlignment="1">
      <alignment horizontal="center" vertical="center" wrapText="1"/>
    </xf>
    <xf numFmtId="0" fontId="43" fillId="0" borderId="30" xfId="341" applyFont="1" applyBorder="1" applyAlignment="1">
      <alignment horizontal="center" vertical="center" wrapText="1"/>
    </xf>
    <xf numFmtId="0" fontId="43" fillId="0" borderId="179" xfId="341" applyFont="1" applyBorder="1" applyAlignment="1">
      <alignment horizontal="center" vertical="center" wrapText="1"/>
    </xf>
    <xf numFmtId="0" fontId="5" fillId="0" borderId="27" xfId="0" applyFont="1" applyBorder="1" applyAlignment="1">
      <alignment horizontal="center" vertical="center"/>
    </xf>
    <xf numFmtId="0" fontId="30" fillId="0" borderId="29" xfId="0" applyFont="1" applyBorder="1" applyAlignment="1">
      <alignment horizontal="center" vertical="center"/>
    </xf>
    <xf numFmtId="0" fontId="30" fillId="0" borderId="32" xfId="0" applyFont="1" applyBorder="1" applyAlignment="1">
      <alignment horizontal="center" vertical="center" wrapText="1"/>
    </xf>
    <xf numFmtId="0" fontId="5" fillId="0" borderId="156" xfId="0" applyFont="1" applyBorder="1" applyAlignment="1">
      <alignment horizontal="left" vertical="top"/>
    </xf>
    <xf numFmtId="0" fontId="5" fillId="0" borderId="114" xfId="0" applyFont="1" applyBorder="1" applyAlignment="1">
      <alignment horizontal="left" vertical="top"/>
    </xf>
    <xf numFmtId="0" fontId="5" fillId="0" borderId="157" xfId="0" applyFont="1" applyBorder="1" applyAlignment="1">
      <alignment horizontal="left" vertical="top"/>
    </xf>
    <xf numFmtId="0" fontId="5" fillId="0" borderId="130" xfId="0" applyFont="1" applyBorder="1" applyAlignment="1">
      <alignment horizontal="left" vertical="top"/>
    </xf>
    <xf numFmtId="0" fontId="5" fillId="0" borderId="131" xfId="0" applyFont="1" applyBorder="1" applyAlignment="1">
      <alignment horizontal="left" vertical="top"/>
    </xf>
    <xf numFmtId="0" fontId="5" fillId="0" borderId="133" xfId="0" applyFont="1" applyBorder="1" applyAlignment="1">
      <alignment horizontal="left" vertical="top"/>
    </xf>
    <xf numFmtId="0" fontId="40" fillId="0" borderId="190" xfId="0" applyFont="1" applyBorder="1" applyAlignment="1">
      <alignment horizontal="center" vertical="center" wrapText="1"/>
    </xf>
    <xf numFmtId="0" fontId="5" fillId="0" borderId="156" xfId="0" applyFont="1" applyBorder="1" applyAlignment="1">
      <alignment horizontal="center" vertical="center"/>
    </xf>
    <xf numFmtId="0" fontId="5" fillId="0" borderId="114" xfId="0" applyFont="1" applyBorder="1" applyAlignment="1">
      <alignment horizontal="center" vertical="center"/>
    </xf>
    <xf numFmtId="0" fontId="5" fillId="0" borderId="157" xfId="0" applyFont="1" applyBorder="1" applyAlignment="1">
      <alignment horizontal="center" vertical="center"/>
    </xf>
    <xf numFmtId="0" fontId="27" fillId="0" borderId="156" xfId="341" applyBorder="1" applyAlignment="1">
      <alignment horizontal="left" vertical="top"/>
    </xf>
    <xf numFmtId="0" fontId="27" fillId="0" borderId="114" xfId="341" applyBorder="1" applyAlignment="1">
      <alignment horizontal="left" vertical="top"/>
    </xf>
    <xf numFmtId="0" fontId="27" fillId="0" borderId="157" xfId="341" applyBorder="1" applyAlignment="1">
      <alignment horizontal="left" vertical="top"/>
    </xf>
    <xf numFmtId="0" fontId="27" fillId="0" borderId="130" xfId="341" applyBorder="1" applyAlignment="1">
      <alignment horizontal="left" vertical="top"/>
    </xf>
    <xf numFmtId="0" fontId="27" fillId="0" borderId="131" xfId="341" applyBorder="1" applyAlignment="1">
      <alignment horizontal="left" vertical="top"/>
    </xf>
    <xf numFmtId="0" fontId="27" fillId="0" borderId="133" xfId="341" applyBorder="1" applyAlignment="1">
      <alignment horizontal="left" vertical="top"/>
    </xf>
    <xf numFmtId="0" fontId="9" fillId="0" borderId="114" xfId="341" applyFont="1" applyBorder="1" applyAlignment="1">
      <alignment horizontal="center" vertical="center" wrapText="1"/>
    </xf>
    <xf numFmtId="0" fontId="105" fillId="0" borderId="120" xfId="341" applyFont="1" applyBorder="1" applyAlignment="1">
      <alignment horizontal="center" vertical="center" wrapText="1"/>
    </xf>
    <xf numFmtId="0" fontId="105" fillId="0" borderId="138" xfId="341" applyFont="1" applyBorder="1" applyAlignment="1">
      <alignment horizontal="center" vertical="center" wrapText="1"/>
    </xf>
    <xf numFmtId="0" fontId="62" fillId="0" borderId="1" xfId="341" applyFont="1" applyBorder="1" applyAlignment="1">
      <alignment horizontal="center" vertical="center" wrapText="1"/>
    </xf>
    <xf numFmtId="0" fontId="63" fillId="0" borderId="4" xfId="348" applyFont="1" applyBorder="1" applyAlignment="1">
      <alignment horizontal="center" vertical="center"/>
    </xf>
    <xf numFmtId="0" fontId="63" fillId="0" borderId="5" xfId="348" applyFont="1" applyBorder="1" applyAlignment="1">
      <alignment horizontal="center" vertical="center"/>
    </xf>
    <xf numFmtId="0" fontId="63" fillId="0" borderId="6" xfId="348" applyFont="1" applyBorder="1" applyAlignment="1">
      <alignment horizontal="center" vertical="center"/>
    </xf>
    <xf numFmtId="0" fontId="27" fillId="0" borderId="60" xfId="341" applyFont="1" applyBorder="1" applyAlignment="1">
      <alignment horizontal="center" vertical="center"/>
    </xf>
    <xf numFmtId="0" fontId="27" fillId="0" borderId="59" xfId="348" applyFont="1" applyBorder="1" applyAlignment="1"/>
    <xf numFmtId="0" fontId="27" fillId="0" borderId="61" xfId="348" applyFont="1" applyBorder="1" applyAlignment="1"/>
    <xf numFmtId="0" fontId="43" fillId="0" borderId="156" xfId="341" applyFont="1" applyBorder="1" applyAlignment="1">
      <alignment horizontal="center" vertical="center" wrapText="1"/>
    </xf>
    <xf numFmtId="0" fontId="9" fillId="0" borderId="20" xfId="341" applyFont="1" applyBorder="1" applyAlignment="1">
      <alignment horizontal="center" vertical="center" wrapText="1"/>
    </xf>
    <xf numFmtId="0" fontId="105" fillId="0" borderId="147" xfId="341" applyFont="1" applyBorder="1" applyAlignment="1">
      <alignment horizontal="center" vertical="center" wrapText="1"/>
    </xf>
    <xf numFmtId="0" fontId="105" fillId="0" borderId="100" xfId="341" applyFont="1" applyBorder="1" applyAlignment="1">
      <alignment horizontal="center" vertical="center" wrapText="1"/>
    </xf>
    <xf numFmtId="0" fontId="63" fillId="0" borderId="4" xfId="592" applyFont="1" applyBorder="1" applyAlignment="1">
      <alignment horizontal="center" vertical="center"/>
    </xf>
    <xf numFmtId="0" fontId="63" fillId="0" borderId="5" xfId="592" applyFont="1" applyBorder="1" applyAlignment="1">
      <alignment horizontal="center" vertical="center"/>
    </xf>
    <xf numFmtId="0" fontId="63" fillId="0" borderId="6" xfId="592" applyFont="1" applyBorder="1" applyAlignment="1">
      <alignment horizontal="center" vertical="center"/>
    </xf>
    <xf numFmtId="0" fontId="43" fillId="0" borderId="159" xfId="592" applyFont="1" applyBorder="1" applyAlignment="1">
      <alignment horizontal="center" vertical="center" wrapText="1"/>
    </xf>
    <xf numFmtId="0" fontId="43" fillId="0" borderId="160" xfId="592" applyFont="1" applyBorder="1" applyAlignment="1">
      <alignment horizontal="center" vertical="center" wrapText="1"/>
    </xf>
    <xf numFmtId="0" fontId="9" fillId="0" borderId="3" xfId="592" applyFont="1" applyBorder="1" applyAlignment="1">
      <alignment horizontal="center" vertical="center" wrapText="1"/>
    </xf>
    <xf numFmtId="0" fontId="9" fillId="0" borderId="1" xfId="592" applyFont="1" applyBorder="1" applyAlignment="1">
      <alignment horizontal="center" vertical="center" wrapText="1"/>
    </xf>
    <xf numFmtId="0" fontId="9" fillId="0" borderId="30" xfId="592" applyFont="1" applyBorder="1" applyAlignment="1">
      <alignment horizontal="center" vertical="center" wrapText="1"/>
    </xf>
    <xf numFmtId="0" fontId="9" fillId="0" borderId="98" xfId="592" applyFont="1" applyBorder="1" applyAlignment="1">
      <alignment horizontal="center" vertical="center" wrapText="1"/>
    </xf>
    <xf numFmtId="0" fontId="9" fillId="0" borderId="24" xfId="592" applyFont="1" applyBorder="1" applyAlignment="1">
      <alignment horizontal="center" vertical="center" wrapText="1"/>
    </xf>
    <xf numFmtId="0" fontId="9" fillId="0" borderId="0" xfId="592" applyFont="1" applyBorder="1" applyAlignment="1">
      <alignment horizontal="center" vertical="center" wrapText="1"/>
    </xf>
    <xf numFmtId="0" fontId="43" fillId="0" borderId="35" xfId="592" applyFont="1" applyBorder="1" applyAlignment="1">
      <alignment horizontal="center" vertical="center" wrapText="1"/>
    </xf>
    <xf numFmtId="0" fontId="43" fillId="0" borderId="114" xfId="592" applyFont="1" applyBorder="1" applyAlignment="1">
      <alignment horizontal="center" vertical="center" wrapText="1"/>
    </xf>
    <xf numFmtId="0" fontId="9" fillId="0" borderId="134" xfId="592" applyFont="1" applyBorder="1" applyAlignment="1">
      <alignment horizontal="center" vertical="center" wrapText="1"/>
    </xf>
    <xf numFmtId="0" fontId="9" fillId="0" borderId="135" xfId="592" applyFont="1" applyBorder="1" applyAlignment="1">
      <alignment horizontal="center" vertical="center" wrapText="1"/>
    </xf>
    <xf numFmtId="0" fontId="9" fillId="0" borderId="156" xfId="592" applyFont="1" applyBorder="1" applyAlignment="1">
      <alignment horizontal="left" vertical="center"/>
    </xf>
    <xf numFmtId="0" fontId="9" fillId="0" borderId="114" xfId="592" applyFont="1" applyBorder="1" applyAlignment="1">
      <alignment horizontal="left" vertical="center"/>
    </xf>
    <xf numFmtId="0" fontId="9" fillId="0" borderId="157" xfId="592" applyFont="1" applyBorder="1" applyAlignment="1">
      <alignment horizontal="left" vertical="center"/>
    </xf>
    <xf numFmtId="0" fontId="9" fillId="0" borderId="130" xfId="592" applyFont="1" applyBorder="1" applyAlignment="1">
      <alignment horizontal="left" vertical="center"/>
    </xf>
    <xf numFmtId="0" fontId="9" fillId="0" borderId="131" xfId="592" applyFont="1" applyBorder="1" applyAlignment="1">
      <alignment horizontal="left" vertical="center"/>
    </xf>
    <xf numFmtId="0" fontId="9" fillId="0" borderId="133" xfId="592" applyFont="1" applyBorder="1" applyAlignment="1">
      <alignment horizontal="left" vertical="center"/>
    </xf>
    <xf numFmtId="0" fontId="9" fillId="0" borderId="60" xfId="341" applyFont="1" applyBorder="1" applyAlignment="1">
      <alignment horizontal="center" vertical="center"/>
    </xf>
    <xf numFmtId="0" fontId="9" fillId="0" borderId="59" xfId="341" applyFont="1" applyBorder="1" applyAlignment="1">
      <alignment horizontal="center" vertical="center"/>
    </xf>
    <xf numFmtId="0" fontId="9" fillId="0" borderId="61" xfId="341" applyFont="1" applyBorder="1" applyAlignment="1">
      <alignment horizontal="center" vertical="center"/>
    </xf>
    <xf numFmtId="0" fontId="9" fillId="0" borderId="156" xfId="592" applyFont="1" applyBorder="1" applyAlignment="1">
      <alignment horizontal="left" vertical="top"/>
    </xf>
    <xf numFmtId="0" fontId="9" fillId="0" borderId="114" xfId="592" applyFont="1" applyBorder="1" applyAlignment="1">
      <alignment horizontal="left" vertical="top"/>
    </xf>
    <xf numFmtId="0" fontId="9" fillId="0" borderId="157" xfId="592" applyFont="1" applyBorder="1" applyAlignment="1">
      <alignment horizontal="left" vertical="top"/>
    </xf>
    <xf numFmtId="0" fontId="9" fillId="0" borderId="130" xfId="592" applyFont="1" applyBorder="1" applyAlignment="1">
      <alignment horizontal="left" vertical="top"/>
    </xf>
    <xf numFmtId="0" fontId="9" fillId="0" borderId="131" xfId="592" applyFont="1" applyBorder="1" applyAlignment="1">
      <alignment horizontal="left" vertical="top"/>
    </xf>
    <xf numFmtId="0" fontId="9" fillId="0" borderId="133" xfId="592" applyFont="1" applyBorder="1" applyAlignment="1">
      <alignment horizontal="left" vertical="top"/>
    </xf>
    <xf numFmtId="0" fontId="43" fillId="0" borderId="159" xfId="592" applyFont="1" applyBorder="1" applyAlignment="1">
      <alignment horizontal="center" vertical="center"/>
    </xf>
    <xf numFmtId="0" fontId="43" fillId="0" borderId="160" xfId="592" applyFont="1" applyBorder="1" applyAlignment="1">
      <alignment horizontal="center" vertical="center"/>
    </xf>
    <xf numFmtId="0" fontId="43" fillId="0" borderId="27" xfId="592" applyFont="1" applyBorder="1" applyAlignment="1">
      <alignment horizontal="center" vertical="center"/>
    </xf>
    <xf numFmtId="0" fontId="9" fillId="0" borderId="3" xfId="592" applyFont="1" applyBorder="1" applyAlignment="1">
      <alignment horizontal="center" vertical="center"/>
    </xf>
    <xf numFmtId="0" fontId="9" fillId="0" borderId="24" xfId="592" applyFont="1" applyBorder="1" applyAlignment="1">
      <alignment horizontal="center" vertical="center"/>
    </xf>
    <xf numFmtId="0" fontId="9" fillId="0" borderId="31" xfId="592" applyFont="1" applyBorder="1" applyAlignment="1">
      <alignment horizontal="center" vertical="center"/>
    </xf>
    <xf numFmtId="0" fontId="9" fillId="0" borderId="32" xfId="592" applyFont="1" applyBorder="1" applyAlignment="1">
      <alignment horizontal="center" vertical="center"/>
    </xf>
    <xf numFmtId="0" fontId="43" fillId="0" borderId="143" xfId="592" applyFont="1" applyBorder="1" applyAlignment="1">
      <alignment horizontal="center" vertical="center"/>
    </xf>
    <xf numFmtId="0" fontId="43" fillId="0" borderId="114" xfId="592" applyFont="1" applyBorder="1" applyAlignment="1">
      <alignment horizontal="center" vertical="center"/>
    </xf>
    <xf numFmtId="0" fontId="43" fillId="0" borderId="157" xfId="592" applyFont="1" applyBorder="1" applyAlignment="1">
      <alignment horizontal="center" vertical="center"/>
    </xf>
    <xf numFmtId="0" fontId="31" fillId="0" borderId="4" xfId="1105" applyFont="1" applyBorder="1" applyAlignment="1">
      <alignment horizontal="center" vertical="center"/>
    </xf>
    <xf numFmtId="0" fontId="31" fillId="0" borderId="5" xfId="1105" applyFont="1" applyBorder="1" applyAlignment="1">
      <alignment horizontal="center" vertical="center"/>
    </xf>
    <xf numFmtId="0" fontId="31" fillId="0" borderId="6" xfId="1105" applyFont="1" applyBorder="1" applyAlignment="1">
      <alignment horizontal="center" vertical="center"/>
    </xf>
    <xf numFmtId="0" fontId="5" fillId="0" borderId="24" xfId="1105" applyFont="1" applyBorder="1" applyAlignment="1">
      <alignment horizontal="center" vertical="center"/>
    </xf>
    <xf numFmtId="0" fontId="5" fillId="0" borderId="183" xfId="1105" applyFont="1" applyBorder="1" applyAlignment="1">
      <alignment horizontal="center" vertical="center"/>
    </xf>
    <xf numFmtId="0" fontId="5" fillId="0" borderId="32" xfId="1105" applyFont="1" applyBorder="1" applyAlignment="1">
      <alignment horizontal="center" wrapText="1"/>
    </xf>
    <xf numFmtId="0" fontId="5" fillId="0" borderId="189" xfId="1105" applyFont="1" applyBorder="1" applyAlignment="1">
      <alignment horizontal="center" wrapText="1"/>
    </xf>
    <xf numFmtId="0" fontId="6" fillId="0" borderId="159" xfId="1105" applyFont="1" applyBorder="1" applyAlignment="1">
      <alignment horizontal="center"/>
    </xf>
    <xf numFmtId="0" fontId="6" fillId="0" borderId="160" xfId="1105" applyFont="1" applyBorder="1" applyAlignment="1">
      <alignment horizontal="center"/>
    </xf>
    <xf numFmtId="0" fontId="5" fillId="0" borderId="156" xfId="0" applyFont="1" applyBorder="1" applyAlignment="1">
      <alignment horizontal="left" vertical="center"/>
    </xf>
    <xf numFmtId="0" fontId="5" fillId="0" borderId="114" xfId="0" applyFont="1" applyBorder="1" applyAlignment="1">
      <alignment horizontal="left" vertical="center"/>
    </xf>
    <xf numFmtId="0" fontId="5" fillId="0" borderId="157" xfId="0" applyFont="1" applyBorder="1" applyAlignment="1">
      <alignment horizontal="left" vertical="center"/>
    </xf>
    <xf numFmtId="0" fontId="5" fillId="0" borderId="130" xfId="0" applyFont="1" applyBorder="1" applyAlignment="1">
      <alignment horizontal="left" vertical="center"/>
    </xf>
    <xf numFmtId="0" fontId="5" fillId="0" borderId="131" xfId="0" applyFont="1" applyBorder="1" applyAlignment="1">
      <alignment horizontal="left" vertical="center"/>
    </xf>
    <xf numFmtId="0" fontId="5" fillId="0" borderId="133" xfId="0" applyFont="1" applyBorder="1" applyAlignment="1">
      <alignment horizontal="left" vertical="center"/>
    </xf>
    <xf numFmtId="9" fontId="5" fillId="0" borderId="0" xfId="1" applyFont="1" applyAlignment="1">
      <alignment horizontal="center" vertical="center" wrapText="1"/>
    </xf>
    <xf numFmtId="0" fontId="6" fillId="0" borderId="0" xfId="0" applyFont="1" applyAlignment="1">
      <alignment horizontal="center" vertical="center"/>
    </xf>
    <xf numFmtId="9" fontId="5" fillId="0" borderId="0" xfId="1" applyFont="1" applyAlignment="1">
      <alignment horizontal="center"/>
    </xf>
    <xf numFmtId="0" fontId="5" fillId="0" borderId="118" xfId="0" applyFont="1" applyBorder="1" applyAlignment="1">
      <alignment horizontal="center" vertical="center"/>
    </xf>
    <xf numFmtId="0" fontId="5" fillId="0" borderId="190" xfId="0" applyFont="1" applyBorder="1" applyAlignment="1">
      <alignment horizontal="center" vertical="center" wrapText="1"/>
    </xf>
    <xf numFmtId="0" fontId="30" fillId="0" borderId="118" xfId="0" applyFont="1" applyBorder="1" applyAlignment="1">
      <alignment horizontal="center" vertical="center"/>
    </xf>
    <xf numFmtId="0" fontId="107" fillId="0" borderId="28" xfId="0" applyFont="1" applyBorder="1" applyAlignment="1">
      <alignment horizontal="center" vertical="center"/>
    </xf>
    <xf numFmtId="0" fontId="31" fillId="0" borderId="14" xfId="0" applyFont="1" applyBorder="1" applyAlignment="1">
      <alignment horizontal="center" vertical="center"/>
    </xf>
    <xf numFmtId="0" fontId="31" fillId="0" borderId="29" xfId="0" applyFont="1" applyBorder="1" applyAlignment="1">
      <alignment horizontal="center" vertical="center"/>
    </xf>
    <xf numFmtId="0" fontId="107" fillId="0" borderId="14" xfId="0" applyFont="1" applyBorder="1" applyAlignment="1">
      <alignment horizontal="center" vertical="center"/>
    </xf>
    <xf numFmtId="0" fontId="31" fillId="0" borderId="43" xfId="0" applyFont="1" applyBorder="1" applyAlignment="1">
      <alignment horizontal="center" vertical="center"/>
    </xf>
    <xf numFmtId="0" fontId="30" fillId="0" borderId="24"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120" xfId="0" applyFont="1" applyBorder="1" applyAlignment="1">
      <alignment horizontal="center" vertical="center" wrapText="1"/>
    </xf>
    <xf numFmtId="0" fontId="6" fillId="0" borderId="193" xfId="0" applyFont="1" applyBorder="1" applyAlignment="1">
      <alignment horizontal="center" vertical="center" wrapText="1"/>
    </xf>
    <xf numFmtId="0" fontId="6" fillId="0" borderId="118" xfId="0" applyFont="1" applyBorder="1" applyAlignment="1">
      <alignment horizontal="center" vertical="center"/>
    </xf>
    <xf numFmtId="0" fontId="6" fillId="0" borderId="30"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185"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58" xfId="0" applyFont="1" applyBorder="1" applyAlignment="1">
      <alignment horizontal="center" vertical="center" wrapText="1"/>
    </xf>
    <xf numFmtId="0" fontId="6" fillId="0" borderId="191" xfId="0" applyFont="1" applyBorder="1" applyAlignment="1">
      <alignment horizontal="center" vertical="center" wrapText="1"/>
    </xf>
    <xf numFmtId="0" fontId="6" fillId="0" borderId="183"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179" xfId="0" applyFont="1" applyBorder="1" applyAlignment="1">
      <alignment horizontal="center" vertical="center" wrapText="1"/>
    </xf>
    <xf numFmtId="0" fontId="32" fillId="0" borderId="190" xfId="0" applyFont="1" applyBorder="1" applyAlignment="1">
      <alignment horizontal="center" vertical="center" wrapText="1"/>
    </xf>
    <xf numFmtId="0" fontId="32" fillId="0" borderId="118" xfId="0" applyFont="1" applyBorder="1" applyAlignment="1">
      <alignment horizontal="center" vertical="center" wrapText="1"/>
    </xf>
    <xf numFmtId="0" fontId="5" fillId="0" borderId="28" xfId="0" applyFont="1" applyBorder="1" applyAlignment="1">
      <alignment horizontal="center" vertical="center" wrapText="1"/>
    </xf>
    <xf numFmtId="0" fontId="32" fillId="0" borderId="162" xfId="0" applyFont="1" applyBorder="1" applyAlignment="1">
      <alignment horizontal="center" vertical="center" wrapText="1"/>
    </xf>
    <xf numFmtId="0" fontId="5" fillId="0" borderId="14" xfId="0" applyFont="1" applyBorder="1" applyAlignment="1">
      <alignment horizontal="center" vertical="center" wrapText="1"/>
    </xf>
    <xf numFmtId="0" fontId="131" fillId="0" borderId="98" xfId="1116" applyFont="1" applyBorder="1" applyAlignment="1">
      <alignment horizontal="center"/>
    </xf>
    <xf numFmtId="0" fontId="131" fillId="0" borderId="0" xfId="1116" applyFont="1" applyBorder="1" applyAlignment="1">
      <alignment horizontal="center"/>
    </xf>
    <xf numFmtId="1" fontId="129" fillId="0" borderId="156" xfId="1116" applyNumberFormat="1" applyFont="1" applyBorder="1" applyAlignment="1">
      <alignment horizontal="center"/>
    </xf>
    <xf numFmtId="1" fontId="129" fillId="0" borderId="114" xfId="1116" applyNumberFormat="1" applyFont="1" applyBorder="1" applyAlignment="1">
      <alignment horizontal="center"/>
    </xf>
    <xf numFmtId="1" fontId="129" fillId="0" borderId="157" xfId="1116" applyNumberFormat="1" applyFont="1" applyBorder="1" applyAlignment="1">
      <alignment horizontal="center"/>
    </xf>
    <xf numFmtId="1" fontId="30" fillId="0" borderId="0" xfId="1116" applyNumberFormat="1" applyFont="1" applyBorder="1" applyAlignment="1">
      <alignment horizontal="center" vertical="center" wrapText="1"/>
    </xf>
    <xf numFmtId="0" fontId="50" fillId="0" borderId="0" xfId="341" applyFont="1" applyBorder="1" applyAlignment="1">
      <alignment horizontal="center"/>
    </xf>
    <xf numFmtId="0" fontId="50" fillId="0" borderId="158" xfId="341" applyFont="1" applyBorder="1" applyAlignment="1">
      <alignment horizontal="center"/>
    </xf>
    <xf numFmtId="0" fontId="128" fillId="0" borderId="98" xfId="1116" applyFont="1" applyBorder="1" applyAlignment="1">
      <alignment horizontal="center"/>
    </xf>
    <xf numFmtId="0" fontId="128" fillId="0" borderId="0" xfId="1116" applyFont="1" applyBorder="1" applyAlignment="1">
      <alignment horizontal="center"/>
    </xf>
    <xf numFmtId="0" fontId="33" fillId="0" borderId="1"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0" fillId="0" borderId="100" xfId="0" applyFont="1" applyFill="1" applyBorder="1" applyAlignment="1">
      <alignment horizontal="center" vertical="center" wrapText="1"/>
    </xf>
    <xf numFmtId="0" fontId="30" fillId="0" borderId="12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86" xfId="0" applyFont="1" applyBorder="1" applyAlignment="1">
      <alignment horizontal="center" vertical="center" wrapText="1"/>
    </xf>
    <xf numFmtId="0" fontId="6" fillId="0" borderId="159" xfId="0" applyFont="1" applyFill="1" applyBorder="1" applyAlignment="1">
      <alignment horizontal="center" vertical="center"/>
    </xf>
    <xf numFmtId="0" fontId="6" fillId="0" borderId="156" xfId="0" applyFont="1" applyFill="1" applyBorder="1" applyAlignment="1">
      <alignment horizontal="center" vertical="center" wrapText="1"/>
    </xf>
    <xf numFmtId="0" fontId="6" fillId="0" borderId="114" xfId="0" applyFont="1" applyFill="1" applyBorder="1" applyAlignment="1">
      <alignment horizontal="center" vertical="center" wrapText="1"/>
    </xf>
    <xf numFmtId="0" fontId="6" fillId="0" borderId="157" xfId="0" applyFont="1" applyBorder="1" applyAlignment="1">
      <alignment horizontal="center" vertical="center" wrapText="1"/>
    </xf>
    <xf numFmtId="0" fontId="5" fillId="0" borderId="191"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0" borderId="158" xfId="0" applyFont="1" applyFill="1" applyBorder="1" applyAlignment="1">
      <alignment horizontal="center" vertical="center" wrapText="1"/>
    </xf>
    <xf numFmtId="0" fontId="111" fillId="0" borderId="156" xfId="1083" applyFont="1" applyBorder="1" applyAlignment="1">
      <alignment horizontal="left" vertical="center"/>
    </xf>
    <xf numFmtId="0" fontId="111" fillId="0" borderId="114" xfId="1083" applyFont="1" applyBorder="1" applyAlignment="1">
      <alignment horizontal="left" vertical="center"/>
    </xf>
    <xf numFmtId="0" fontId="111" fillId="0" borderId="157" xfId="1083" applyFont="1" applyBorder="1" applyAlignment="1">
      <alignment horizontal="left" vertical="center"/>
    </xf>
    <xf numFmtId="0" fontId="111" fillId="0" borderId="130" xfId="1083" applyFont="1" applyBorder="1" applyAlignment="1">
      <alignment horizontal="left" vertical="center"/>
    </xf>
    <xf numFmtId="0" fontId="111" fillId="0" borderId="131" xfId="1083" applyFont="1" applyBorder="1" applyAlignment="1">
      <alignment horizontal="left" vertical="center"/>
    </xf>
    <xf numFmtId="0" fontId="111" fillId="0" borderId="133" xfId="1083" applyFont="1" applyBorder="1" applyAlignment="1">
      <alignment horizontal="left" vertical="center"/>
    </xf>
    <xf numFmtId="0" fontId="3" fillId="0" borderId="156" xfId="1079" applyFont="1" applyBorder="1" applyAlignment="1">
      <alignment horizontal="left" vertical="top"/>
    </xf>
    <xf numFmtId="0" fontId="15" fillId="0" borderId="114" xfId="1079" applyBorder="1" applyAlignment="1">
      <alignment horizontal="left" vertical="top"/>
    </xf>
    <xf numFmtId="0" fontId="15" fillId="0" borderId="157" xfId="1079" applyBorder="1" applyAlignment="1">
      <alignment horizontal="left" vertical="top"/>
    </xf>
    <xf numFmtId="0" fontId="15" fillId="0" borderId="130" xfId="1079" applyBorder="1" applyAlignment="1">
      <alignment horizontal="left" vertical="top"/>
    </xf>
    <xf numFmtId="0" fontId="15" fillId="0" borderId="131" xfId="1079" applyBorder="1" applyAlignment="1">
      <alignment horizontal="left" vertical="top"/>
    </xf>
    <xf numFmtId="0" fontId="15" fillId="0" borderId="133" xfId="1079" applyBorder="1" applyAlignment="1">
      <alignment horizontal="left" vertical="top"/>
    </xf>
    <xf numFmtId="0" fontId="112" fillId="0" borderId="156" xfId="1079" applyFont="1" applyBorder="1" applyAlignment="1">
      <alignment horizontal="center"/>
    </xf>
    <xf numFmtId="0" fontId="112" fillId="0" borderId="114" xfId="1079" applyFont="1" applyBorder="1" applyAlignment="1">
      <alignment horizontal="center"/>
    </xf>
    <xf numFmtId="0" fontId="112" fillId="0" borderId="157" xfId="1079" applyFont="1" applyBorder="1" applyAlignment="1">
      <alignment horizontal="center"/>
    </xf>
    <xf numFmtId="0" fontId="111" fillId="0" borderId="159" xfId="1079" applyFont="1" applyBorder="1" applyAlignment="1">
      <alignment horizontal="center"/>
    </xf>
    <xf numFmtId="0" fontId="111" fillId="0" borderId="160" xfId="1079" applyFont="1" applyBorder="1" applyAlignment="1">
      <alignment horizontal="center"/>
    </xf>
    <xf numFmtId="0" fontId="111" fillId="0" borderId="161" xfId="1079" applyFont="1" applyBorder="1" applyAlignment="1">
      <alignment horizontal="center"/>
    </xf>
    <xf numFmtId="0" fontId="111" fillId="0" borderId="156" xfId="1079" applyFont="1" applyBorder="1" applyAlignment="1">
      <alignment horizontal="center" vertical="center" wrapText="1"/>
    </xf>
    <xf numFmtId="0" fontId="111" fillId="0" borderId="185" xfId="1079" applyFont="1" applyBorder="1" applyAlignment="1">
      <alignment horizontal="center" vertical="center" wrapText="1"/>
    </xf>
    <xf numFmtId="0" fontId="111" fillId="0" borderId="114" xfId="1079" applyFont="1" applyBorder="1" applyAlignment="1">
      <alignment horizontal="center" vertical="center" wrapText="1"/>
    </xf>
    <xf numFmtId="0" fontId="111" fillId="0" borderId="183" xfId="1079" applyFont="1" applyBorder="1" applyAlignment="1">
      <alignment horizontal="center" vertical="center" wrapText="1"/>
    </xf>
    <xf numFmtId="0" fontId="111" fillId="0" borderId="20" xfId="1079" applyFont="1" applyBorder="1" applyAlignment="1">
      <alignment horizontal="center" vertical="center" wrapText="1"/>
    </xf>
    <xf numFmtId="0" fontId="111" fillId="0" borderId="189" xfId="1079" applyFont="1" applyBorder="1" applyAlignment="1">
      <alignment horizontal="center" vertical="center" wrapText="1"/>
    </xf>
    <xf numFmtId="0" fontId="112" fillId="0" borderId="4" xfId="1079" applyFont="1" applyBorder="1" applyAlignment="1">
      <alignment horizontal="center"/>
    </xf>
    <xf numFmtId="0" fontId="112" fillId="0" borderId="5" xfId="1079" applyFont="1" applyBorder="1" applyAlignment="1">
      <alignment horizontal="center"/>
    </xf>
    <xf numFmtId="0" fontId="112" fillId="0" borderId="6" xfId="1079" applyFont="1" applyBorder="1" applyAlignment="1">
      <alignment horizontal="center"/>
    </xf>
    <xf numFmtId="0" fontId="5" fillId="0" borderId="156" xfId="0" applyFont="1" applyBorder="1" applyAlignment="1">
      <alignment horizontal="center"/>
    </xf>
    <xf numFmtId="0" fontId="5" fillId="0" borderId="114" xfId="0" applyFont="1" applyBorder="1" applyAlignment="1">
      <alignment horizontal="center"/>
    </xf>
    <xf numFmtId="0" fontId="5" fillId="0" borderId="157" xfId="0" applyFont="1" applyBorder="1" applyAlignment="1">
      <alignment horizontal="center"/>
    </xf>
    <xf numFmtId="0" fontId="110" fillId="0" borderId="28" xfId="0" applyFont="1" applyBorder="1" applyAlignment="1">
      <alignment horizontal="center" vertical="center" wrapText="1"/>
    </xf>
    <xf numFmtId="0" fontId="110" fillId="0" borderId="14" xfId="0" applyFont="1" applyBorder="1" applyAlignment="1">
      <alignment horizontal="center" vertical="center" wrapText="1"/>
    </xf>
    <xf numFmtId="0" fontId="110" fillId="0" borderId="118" xfId="0" applyFont="1" applyBorder="1" applyAlignment="1">
      <alignment horizontal="center" vertical="center" wrapText="1"/>
    </xf>
    <xf numFmtId="0" fontId="110" fillId="0" borderId="29"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186" xfId="0" applyFont="1" applyBorder="1" applyAlignment="1">
      <alignment horizontal="center" vertical="center" wrapText="1"/>
    </xf>
    <xf numFmtId="0" fontId="30" fillId="0" borderId="189" xfId="0" applyFont="1" applyBorder="1" applyAlignment="1">
      <alignment horizontal="center" vertical="center" wrapText="1"/>
    </xf>
    <xf numFmtId="0" fontId="109" fillId="0" borderId="148" xfId="1130" applyFont="1" applyBorder="1" applyAlignment="1">
      <alignment horizontal="center"/>
    </xf>
    <xf numFmtId="0" fontId="119" fillId="0" borderId="148" xfId="1130" applyFont="1" applyBorder="1" applyAlignment="1">
      <alignment horizontal="center"/>
    </xf>
    <xf numFmtId="0" fontId="30" fillId="0" borderId="24" xfId="1224" applyFont="1" applyBorder="1" applyAlignment="1">
      <alignment horizontal="center" vertical="center" wrapText="1"/>
    </xf>
    <xf numFmtId="0" fontId="30" fillId="0" borderId="183" xfId="1224" applyFont="1" applyBorder="1" applyAlignment="1">
      <alignment horizontal="center" vertical="center" wrapText="1"/>
    </xf>
    <xf numFmtId="0" fontId="5" fillId="0" borderId="15" xfId="1224" applyFont="1" applyBorder="1" applyAlignment="1">
      <alignment horizontal="left" vertical="center" wrapText="1"/>
    </xf>
    <xf numFmtId="0" fontId="5" fillId="0" borderId="16" xfId="1224" applyFont="1" applyBorder="1" applyAlignment="1">
      <alignment horizontal="left" vertical="center" wrapText="1"/>
    </xf>
    <xf numFmtId="0" fontId="5" fillId="0" borderId="17" xfId="1224" applyFont="1" applyBorder="1" applyAlignment="1">
      <alignment horizontal="left" vertical="center" wrapText="1"/>
    </xf>
    <xf numFmtId="0" fontId="31" fillId="0" borderId="156" xfId="1224" applyFont="1" applyBorder="1" applyAlignment="1">
      <alignment horizontal="center" vertical="center"/>
    </xf>
    <xf numFmtId="0" fontId="31" fillId="0" borderId="114" xfId="1224" applyFont="1" applyBorder="1" applyAlignment="1">
      <alignment horizontal="center" vertical="center"/>
    </xf>
    <xf numFmtId="0" fontId="31" fillId="0" borderId="157" xfId="1224" applyFont="1" applyBorder="1" applyAlignment="1">
      <alignment horizontal="center" vertical="center"/>
    </xf>
    <xf numFmtId="0" fontId="30" fillId="0" borderId="1" xfId="1224" applyFont="1" applyBorder="1" applyAlignment="1">
      <alignment horizontal="center" vertical="center" wrapText="1"/>
    </xf>
    <xf numFmtId="0" fontId="30" fillId="0" borderId="0" xfId="1224" applyFont="1" applyAlignment="1">
      <alignment horizontal="center" vertical="center" wrapText="1"/>
    </xf>
    <xf numFmtId="0" fontId="30" fillId="0" borderId="160" xfId="1224" applyFont="1" applyBorder="1" applyAlignment="1">
      <alignment horizontal="center" vertical="center"/>
    </xf>
    <xf numFmtId="0" fontId="30" fillId="0" borderId="161" xfId="1224" applyFont="1" applyBorder="1" applyAlignment="1">
      <alignment horizontal="center" vertical="center"/>
    </xf>
    <xf numFmtId="0" fontId="5" fillId="0" borderId="183" xfId="1224" applyFont="1" applyBorder="1" applyAlignment="1">
      <alignment horizontal="center"/>
    </xf>
    <xf numFmtId="170" fontId="5" fillId="0" borderId="183" xfId="1225" applyNumberFormat="1" applyFont="1" applyBorder="1" applyAlignment="1">
      <alignment horizontal="center"/>
    </xf>
    <xf numFmtId="0" fontId="107" fillId="0" borderId="156" xfId="1222" applyFont="1" applyBorder="1" applyAlignment="1">
      <alignment horizontal="center"/>
    </xf>
    <xf numFmtId="0" fontId="107" fillId="0" borderId="114" xfId="1222" applyFont="1" applyBorder="1" applyAlignment="1">
      <alignment horizontal="center"/>
    </xf>
    <xf numFmtId="0" fontId="107" fillId="0" borderId="157" xfId="1222" applyFont="1" applyBorder="1" applyAlignment="1">
      <alignment horizontal="center"/>
    </xf>
    <xf numFmtId="0" fontId="107" fillId="0" borderId="98" xfId="1222" applyFont="1" applyBorder="1" applyAlignment="1">
      <alignment horizontal="center"/>
    </xf>
    <xf numFmtId="0" fontId="107" fillId="0" borderId="0" xfId="1222" applyFont="1" applyBorder="1" applyAlignment="1">
      <alignment horizontal="center"/>
    </xf>
    <xf numFmtId="0" fontId="107" fillId="0" borderId="158" xfId="1222" applyFont="1" applyBorder="1" applyAlignment="1">
      <alignment horizontal="center"/>
    </xf>
    <xf numFmtId="0" fontId="30" fillId="0" borderId="1" xfId="0" applyFont="1" applyBorder="1" applyAlignment="1">
      <alignment horizontal="center" vertical="center" wrapText="1"/>
    </xf>
    <xf numFmtId="0" fontId="30" fillId="0" borderId="34" xfId="0" applyFont="1" applyBorder="1" applyAlignment="1">
      <alignment horizontal="center" vertical="center" wrapText="1"/>
    </xf>
    <xf numFmtId="0" fontId="30" fillId="0" borderId="158" xfId="0" applyFont="1" applyBorder="1" applyAlignment="1">
      <alignment horizontal="center" vertical="center" wrapText="1"/>
    </xf>
    <xf numFmtId="0" fontId="5" fillId="0" borderId="119" xfId="0" applyFont="1" applyBorder="1" applyAlignment="1">
      <alignment horizontal="center" vertical="center"/>
    </xf>
    <xf numFmtId="0" fontId="30" fillId="0" borderId="38" xfId="0" applyFont="1" applyBorder="1" applyAlignment="1">
      <alignment horizontal="center" vertical="center" wrapText="1"/>
    </xf>
    <xf numFmtId="0" fontId="31" fillId="0" borderId="4" xfId="591" applyFont="1" applyBorder="1" applyAlignment="1">
      <alignment horizontal="center"/>
    </xf>
    <xf numFmtId="0" fontId="31" fillId="0" borderId="5" xfId="591" applyFont="1" applyBorder="1" applyAlignment="1">
      <alignment horizontal="center"/>
    </xf>
    <xf numFmtId="0" fontId="31" fillId="0" borderId="6" xfId="591" applyFont="1" applyBorder="1" applyAlignment="1">
      <alignment horizontal="center"/>
    </xf>
    <xf numFmtId="0" fontId="111" fillId="0" borderId="156" xfId="591" applyFont="1" applyBorder="1" applyAlignment="1">
      <alignment horizontal="left" wrapText="1"/>
    </xf>
    <xf numFmtId="0" fontId="111" fillId="0" borderId="114" xfId="591" applyFont="1" applyBorder="1" applyAlignment="1">
      <alignment horizontal="left" wrapText="1"/>
    </xf>
    <xf numFmtId="0" fontId="111" fillId="0" borderId="157" xfId="591" applyFont="1" applyBorder="1" applyAlignment="1">
      <alignment horizontal="left" wrapText="1"/>
    </xf>
    <xf numFmtId="0" fontId="111" fillId="0" borderId="130" xfId="591" applyFont="1" applyBorder="1" applyAlignment="1">
      <alignment horizontal="left" wrapText="1"/>
    </xf>
    <xf numFmtId="0" fontId="111" fillId="0" borderId="131" xfId="591" applyFont="1" applyBorder="1" applyAlignment="1">
      <alignment horizontal="left" wrapText="1"/>
    </xf>
    <xf numFmtId="0" fontId="111" fillId="0" borderId="133" xfId="591" applyFont="1" applyBorder="1" applyAlignment="1">
      <alignment horizontal="left" wrapText="1"/>
    </xf>
    <xf numFmtId="0" fontId="31" fillId="0" borderId="4"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1" fontId="43" fillId="0" borderId="118" xfId="0" applyNumberFormat="1" applyFont="1" applyBorder="1" applyAlignment="1">
      <alignment horizontal="center" vertical="center" wrapText="1"/>
    </xf>
    <xf numFmtId="1" fontId="43" fillId="0" borderId="14" xfId="0" applyNumberFormat="1" applyFont="1" applyBorder="1" applyAlignment="1">
      <alignment horizontal="center" vertical="center" wrapText="1"/>
    </xf>
    <xf numFmtId="1" fontId="43" fillId="0" borderId="43" xfId="0" applyNumberFormat="1" applyFont="1" applyBorder="1" applyAlignment="1">
      <alignment horizontal="center" vertical="center" wrapText="1"/>
    </xf>
    <xf numFmtId="1" fontId="43" fillId="0" borderId="114" xfId="0" applyNumberFormat="1" applyFont="1" applyBorder="1" applyAlignment="1">
      <alignment horizontal="center" vertical="center"/>
    </xf>
    <xf numFmtId="1" fontId="43" fillId="0" borderId="157" xfId="0" applyNumberFormat="1" applyFont="1" applyBorder="1" applyAlignment="1">
      <alignment horizontal="center" vertical="center"/>
    </xf>
    <xf numFmtId="1" fontId="43" fillId="0" borderId="119" xfId="0" applyNumberFormat="1" applyFont="1" applyBorder="1" applyAlignment="1">
      <alignment horizontal="center" vertical="center" wrapText="1"/>
    </xf>
    <xf numFmtId="1" fontId="43" fillId="0" borderId="28" xfId="0" applyNumberFormat="1" applyFont="1" applyBorder="1" applyAlignment="1">
      <alignment horizontal="center" vertical="center" wrapText="1"/>
    </xf>
    <xf numFmtId="0" fontId="30" fillId="0" borderId="24" xfId="0" applyFont="1" applyBorder="1" applyAlignment="1">
      <alignment horizontal="center"/>
    </xf>
    <xf numFmtId="0" fontId="30" fillId="0" borderId="24" xfId="0" applyFont="1" applyBorder="1" applyAlignment="1">
      <alignment horizontal="center" wrapText="1"/>
    </xf>
    <xf numFmtId="0" fontId="30" fillId="0" borderId="31" xfId="0" applyFont="1" applyBorder="1" applyAlignment="1">
      <alignment horizontal="center" wrapText="1"/>
    </xf>
    <xf numFmtId="0" fontId="123" fillId="0" borderId="156" xfId="0" applyFont="1" applyBorder="1" applyAlignment="1">
      <alignment horizontal="center" vertical="center"/>
    </xf>
    <xf numFmtId="0" fontId="123" fillId="0" borderId="114" xfId="0" applyFont="1" applyBorder="1" applyAlignment="1">
      <alignment horizontal="center" vertical="center"/>
    </xf>
    <xf numFmtId="0" fontId="123" fillId="0" borderId="157" xfId="0" applyFont="1" applyBorder="1" applyAlignment="1">
      <alignment horizontal="center" vertical="center"/>
    </xf>
    <xf numFmtId="1" fontId="43" fillId="0" borderId="3" xfId="0" applyNumberFormat="1" applyFont="1" applyBorder="1" applyAlignment="1">
      <alignment horizontal="center" vertical="center"/>
    </xf>
    <xf numFmtId="1" fontId="43" fillId="0" borderId="24" xfId="0" applyNumberFormat="1" applyFont="1" applyBorder="1" applyAlignment="1">
      <alignment horizontal="center" vertical="center"/>
    </xf>
    <xf numFmtId="1" fontId="43" fillId="0" borderId="31" xfId="0" applyNumberFormat="1" applyFont="1" applyBorder="1" applyAlignment="1">
      <alignment horizontal="center" vertical="center"/>
    </xf>
    <xf numFmtId="1" fontId="43" fillId="0" borderId="177" xfId="0" applyNumberFormat="1" applyFont="1" applyBorder="1" applyAlignment="1">
      <alignment horizontal="center" vertical="center"/>
    </xf>
    <xf numFmtId="1" fontId="43" fillId="0" borderId="160" xfId="0" applyNumberFormat="1" applyFont="1" applyBorder="1" applyAlignment="1">
      <alignment horizontal="center" vertical="center"/>
    </xf>
    <xf numFmtId="1" fontId="43" fillId="0" borderId="161" xfId="0" applyNumberFormat="1" applyFont="1" applyBorder="1" applyAlignment="1">
      <alignment horizontal="center" vertical="center"/>
    </xf>
    <xf numFmtId="1" fontId="43" fillId="0" borderId="34" xfId="0" applyNumberFormat="1" applyFont="1" applyBorder="1" applyAlignment="1">
      <alignment horizontal="center" vertical="center"/>
    </xf>
    <xf numFmtId="0" fontId="9" fillId="0" borderId="24" xfId="0" applyFont="1" applyBorder="1" applyAlignment="1">
      <alignment horizontal="center" vertical="center" wrapText="1"/>
    </xf>
    <xf numFmtId="0" fontId="9" fillId="0" borderId="183" xfId="0" applyFont="1" applyBorder="1" applyAlignment="1">
      <alignment horizontal="center" vertical="center" wrapText="1"/>
    </xf>
    <xf numFmtId="0" fontId="99" fillId="0" borderId="22" xfId="0" applyFont="1" applyBorder="1" applyAlignment="1">
      <alignment horizontal="center" vertical="center" wrapText="1"/>
    </xf>
    <xf numFmtId="0" fontId="99" fillId="0" borderId="19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191" xfId="0" applyFont="1" applyBorder="1" applyAlignment="1">
      <alignment horizontal="center" vertical="center" wrapText="1"/>
    </xf>
    <xf numFmtId="0" fontId="123" fillId="0" borderId="118" xfId="0" applyFont="1" applyBorder="1" applyAlignment="1">
      <alignment horizontal="center" vertical="center"/>
    </xf>
    <xf numFmtId="0" fontId="123" fillId="0" borderId="14" xfId="0" applyFont="1" applyBorder="1" applyAlignment="1">
      <alignment horizontal="center" vertical="center"/>
    </xf>
    <xf numFmtId="0" fontId="123" fillId="0" borderId="43" xfId="0" applyFont="1" applyBorder="1" applyAlignment="1">
      <alignment horizontal="center" vertical="center"/>
    </xf>
    <xf numFmtId="0" fontId="97" fillId="0" borderId="24" xfId="0" applyFont="1" applyBorder="1" applyAlignment="1">
      <alignment horizontal="center" vertical="center"/>
    </xf>
    <xf numFmtId="0" fontId="132" fillId="0" borderId="207" xfId="0" applyFont="1" applyBorder="1" applyAlignment="1">
      <alignment horizontal="center" vertical="center"/>
    </xf>
    <xf numFmtId="0" fontId="132" fillId="0" borderId="114" xfId="0" applyFont="1" applyBorder="1" applyAlignment="1">
      <alignment horizontal="center" vertical="center"/>
    </xf>
    <xf numFmtId="0" fontId="97" fillId="0" borderId="0" xfId="0" applyFont="1" applyBorder="1" applyAlignment="1">
      <alignment horizontal="center" vertical="center"/>
    </xf>
    <xf numFmtId="0" fontId="107" fillId="0" borderId="156" xfId="1105" applyFont="1" applyBorder="1" applyAlignment="1">
      <alignment horizontal="center"/>
    </xf>
    <xf numFmtId="0" fontId="107" fillId="0" borderId="114" xfId="1105" applyFont="1" applyBorder="1" applyAlignment="1">
      <alignment horizontal="center"/>
    </xf>
    <xf numFmtId="0" fontId="107" fillId="0" borderId="157" xfId="1105" applyFont="1" applyBorder="1" applyAlignment="1">
      <alignment horizontal="center"/>
    </xf>
    <xf numFmtId="0" fontId="5" fillId="0" borderId="156" xfId="1105" applyFont="1" applyBorder="1" applyAlignment="1">
      <alignment horizontal="center" vertical="center"/>
    </xf>
    <xf numFmtId="0" fontId="5" fillId="0" borderId="114" xfId="1105" applyFont="1" applyBorder="1" applyAlignment="1">
      <alignment horizontal="center" vertical="center"/>
    </xf>
    <xf numFmtId="0" fontId="5" fillId="0" borderId="157" xfId="1105" applyFont="1" applyBorder="1" applyAlignment="1">
      <alignment horizontal="center" vertical="center"/>
    </xf>
    <xf numFmtId="0" fontId="111" fillId="0" borderId="156" xfId="1105" applyFont="1" applyBorder="1" applyAlignment="1">
      <alignment horizontal="left" vertical="top"/>
    </xf>
    <xf numFmtId="0" fontId="111" fillId="0" borderId="114" xfId="1105" applyFont="1" applyBorder="1" applyAlignment="1">
      <alignment horizontal="left" vertical="top"/>
    </xf>
    <xf numFmtId="0" fontId="111" fillId="0" borderId="157" xfId="1105" applyFont="1" applyBorder="1" applyAlignment="1">
      <alignment horizontal="left" vertical="top"/>
    </xf>
    <xf numFmtId="0" fontId="111" fillId="0" borderId="130" xfId="1105" applyFont="1" applyBorder="1" applyAlignment="1">
      <alignment horizontal="left" vertical="top"/>
    </xf>
    <xf numFmtId="0" fontId="111" fillId="0" borderId="131" xfId="1105" applyFont="1" applyBorder="1" applyAlignment="1">
      <alignment horizontal="left" vertical="top"/>
    </xf>
    <xf numFmtId="0" fontId="111" fillId="0" borderId="133" xfId="1105" applyFont="1" applyBorder="1" applyAlignment="1">
      <alignment horizontal="left" vertical="top"/>
    </xf>
    <xf numFmtId="0" fontId="114" fillId="0" borderId="156" xfId="1105" applyFont="1" applyBorder="1" applyAlignment="1">
      <alignment horizontal="center"/>
    </xf>
    <xf numFmtId="0" fontId="114" fillId="0" borderId="114" xfId="1105" applyFont="1" applyBorder="1" applyAlignment="1">
      <alignment horizontal="center"/>
    </xf>
    <xf numFmtId="0" fontId="114" fillId="0" borderId="157" xfId="1105" applyFont="1" applyBorder="1" applyAlignment="1">
      <alignment horizontal="center"/>
    </xf>
    <xf numFmtId="0" fontId="111" fillId="0" borderId="159" xfId="1105" applyFont="1" applyBorder="1" applyAlignment="1">
      <alignment horizontal="center"/>
    </xf>
    <xf numFmtId="0" fontId="111" fillId="0" borderId="160" xfId="1105" applyFont="1" applyBorder="1" applyAlignment="1">
      <alignment horizontal="center"/>
    </xf>
    <xf numFmtId="0" fontId="111" fillId="0" borderId="161" xfId="1105" applyFont="1" applyBorder="1" applyAlignment="1">
      <alignment horizontal="center"/>
    </xf>
  </cellXfs>
  <cellStyles count="1232">
    <cellStyle name="20% - Accent1 2" xfId="537" xr:uid="{00000000-0005-0000-0000-000000000000}"/>
    <cellStyle name="20% - Accent2 2" xfId="538" xr:uid="{00000000-0005-0000-0000-000001000000}"/>
    <cellStyle name="20% - Accent3 2" xfId="539" xr:uid="{00000000-0005-0000-0000-000002000000}"/>
    <cellStyle name="20% - Accent4 2" xfId="540" xr:uid="{00000000-0005-0000-0000-000003000000}"/>
    <cellStyle name="20% - Accent5 2" xfId="541" xr:uid="{00000000-0005-0000-0000-000004000000}"/>
    <cellStyle name="20% - Accent6 2" xfId="542" xr:uid="{00000000-0005-0000-0000-000005000000}"/>
    <cellStyle name="40% - Accent1 2" xfId="543" xr:uid="{00000000-0005-0000-0000-000006000000}"/>
    <cellStyle name="40% - Accent2 2" xfId="544" xr:uid="{00000000-0005-0000-0000-000007000000}"/>
    <cellStyle name="40% - Accent3 2" xfId="545" xr:uid="{00000000-0005-0000-0000-000008000000}"/>
    <cellStyle name="40% - Accent4 2" xfId="546" xr:uid="{00000000-0005-0000-0000-000009000000}"/>
    <cellStyle name="40% - Accent5 2" xfId="547" xr:uid="{00000000-0005-0000-0000-00000A000000}"/>
    <cellStyle name="40% - Accent6 2" xfId="548" xr:uid="{00000000-0005-0000-0000-00000B000000}"/>
    <cellStyle name="60% - Accent1 2" xfId="549" xr:uid="{00000000-0005-0000-0000-00000C000000}"/>
    <cellStyle name="60% - Accent2 2" xfId="550" xr:uid="{00000000-0005-0000-0000-00000D000000}"/>
    <cellStyle name="60% - Accent3 2" xfId="551" xr:uid="{00000000-0005-0000-0000-00000E000000}"/>
    <cellStyle name="60% - Accent4 2" xfId="552" xr:uid="{00000000-0005-0000-0000-00000F000000}"/>
    <cellStyle name="60% - Accent5 2" xfId="553" xr:uid="{00000000-0005-0000-0000-000010000000}"/>
    <cellStyle name="60% - Accent6 2" xfId="554" xr:uid="{00000000-0005-0000-0000-000011000000}"/>
    <cellStyle name="Accent1 2" xfId="555" xr:uid="{00000000-0005-0000-0000-000012000000}"/>
    <cellStyle name="Accent2 2" xfId="556" xr:uid="{00000000-0005-0000-0000-000013000000}"/>
    <cellStyle name="Accent3 2" xfId="557" xr:uid="{00000000-0005-0000-0000-000014000000}"/>
    <cellStyle name="Accent4 2" xfId="558" xr:uid="{00000000-0005-0000-0000-000015000000}"/>
    <cellStyle name="Accent5 2" xfId="559" xr:uid="{00000000-0005-0000-0000-000016000000}"/>
    <cellStyle name="Accent6 2" xfId="560" xr:uid="{00000000-0005-0000-0000-000017000000}"/>
    <cellStyle name="Bad 2" xfId="561" xr:uid="{00000000-0005-0000-0000-000018000000}"/>
    <cellStyle name="Calculation 2" xfId="562" xr:uid="{00000000-0005-0000-0000-00007C030000}"/>
    <cellStyle name="Check Cell 2" xfId="563" xr:uid="{00000000-0005-0000-0000-00007D030000}"/>
    <cellStyle name="Comma" xfId="139" builtinId="3"/>
    <cellStyle name="Comma 10" xfId="564" xr:uid="{00000000-0005-0000-0000-00007E030000}"/>
    <cellStyle name="Comma 10 2" xfId="1141" xr:uid="{00000000-0005-0000-0000-00007F030000}"/>
    <cellStyle name="Comma 11" xfId="565" xr:uid="{00000000-0005-0000-0000-000080030000}"/>
    <cellStyle name="Comma 11 2" xfId="1138" xr:uid="{00000000-0005-0000-0000-000081030000}"/>
    <cellStyle name="Comma 12" xfId="733" xr:uid="{00000000-0005-0000-0000-000082030000}"/>
    <cellStyle name="Comma 12 2" xfId="736" xr:uid="{00000000-0005-0000-0000-000083030000}"/>
    <cellStyle name="Comma 13" xfId="735" xr:uid="{00000000-0005-0000-0000-000084030000}"/>
    <cellStyle name="Comma 14" xfId="1150" xr:uid="{00000000-0005-0000-0000-000085030000}"/>
    <cellStyle name="Comma 15" xfId="1151" xr:uid="{00000000-0005-0000-0000-000086030000}"/>
    <cellStyle name="Comma 16" xfId="1227" xr:uid="{00000000-0005-0000-0000-000087030000}"/>
    <cellStyle name="Comma 2" xfId="566" xr:uid="{00000000-0005-0000-0000-000088030000}"/>
    <cellStyle name="Comma 2 2" xfId="567" xr:uid="{00000000-0005-0000-0000-000089030000}"/>
    <cellStyle name="Comma 2 2 2" xfId="568" xr:uid="{00000000-0005-0000-0000-00008A030000}"/>
    <cellStyle name="Comma 2 2 2 2" xfId="1081" xr:uid="{00000000-0005-0000-0000-00008B030000}"/>
    <cellStyle name="Comma 2 2 2 3" xfId="1129" xr:uid="{00000000-0005-0000-0000-00008C030000}"/>
    <cellStyle name="Comma 2 2 3" xfId="1107" xr:uid="{00000000-0005-0000-0000-00008D030000}"/>
    <cellStyle name="Comma 2 3" xfId="569" xr:uid="{00000000-0005-0000-0000-00008E030000}"/>
    <cellStyle name="Comma 2 3 2" xfId="1143" xr:uid="{00000000-0005-0000-0000-00008F030000}"/>
    <cellStyle name="Comma 2 4" xfId="1080" xr:uid="{00000000-0005-0000-0000-000090030000}"/>
    <cellStyle name="Comma 2 5" xfId="1225" xr:uid="{00000000-0005-0000-0000-000091030000}"/>
    <cellStyle name="Comma 3" xfId="570" xr:uid="{00000000-0005-0000-0000-000092030000}"/>
    <cellStyle name="Comma 3 2" xfId="571" xr:uid="{00000000-0005-0000-0000-000093030000}"/>
    <cellStyle name="Comma 4" xfId="572" xr:uid="{00000000-0005-0000-0000-000094030000}"/>
    <cellStyle name="Comma 4 2" xfId="573" xr:uid="{00000000-0005-0000-0000-000095030000}"/>
    <cellStyle name="Comma 5" xfId="574" xr:uid="{00000000-0005-0000-0000-000096030000}"/>
    <cellStyle name="Comma 5 2" xfId="931" xr:uid="{00000000-0005-0000-0000-000097030000}"/>
    <cellStyle name="Comma 5 3" xfId="1124" xr:uid="{00000000-0005-0000-0000-000098030000}"/>
    <cellStyle name="Comma 6" xfId="575" xr:uid="{00000000-0005-0000-0000-000099030000}"/>
    <cellStyle name="Comma 6 2" xfId="1132" xr:uid="{00000000-0005-0000-0000-00009A030000}"/>
    <cellStyle name="Comma 7" xfId="576" xr:uid="{00000000-0005-0000-0000-00009B030000}"/>
    <cellStyle name="Comma 7 2" xfId="1134" xr:uid="{00000000-0005-0000-0000-00009C030000}"/>
    <cellStyle name="Comma 8" xfId="577" xr:uid="{00000000-0005-0000-0000-00009D030000}"/>
    <cellStyle name="Comma 9" xfId="578" xr:uid="{00000000-0005-0000-0000-00009E030000}"/>
    <cellStyle name="Comma0" xfId="579" xr:uid="{00000000-0005-0000-0000-00009F030000}"/>
    <cellStyle name="Commentaire" xfId="580" xr:uid="{00000000-0005-0000-0000-0000A0030000}"/>
    <cellStyle name="Date" xfId="343" xr:uid="{00000000-0005-0000-0000-0000A1030000}"/>
    <cellStyle name="Date 2" xfId="420" xr:uid="{00000000-0005-0000-0000-0000A2030000}"/>
    <cellStyle name="En-tête 1" xfId="344" xr:uid="{00000000-0005-0000-0000-0000A3030000}"/>
    <cellStyle name="En-tête 1 2" xfId="421" xr:uid="{00000000-0005-0000-0000-0000A4030000}"/>
    <cellStyle name="En-tête 2" xfId="345" xr:uid="{00000000-0005-0000-0000-0000A5030000}"/>
    <cellStyle name="En-tête 2 2" xfId="422" xr:uid="{00000000-0005-0000-0000-0000A6030000}"/>
    <cellStyle name="Explanatory Text 2" xfId="581" xr:uid="{00000000-0005-0000-0000-0000A7030000}"/>
    <cellStyle name="Financier0" xfId="346" xr:uid="{00000000-0005-0000-0000-0000A8030000}"/>
    <cellStyle name="Financier0 2" xfId="423" xr:uid="{00000000-0005-0000-0000-0000A9030000}"/>
    <cellStyle name="Followed Hyperlink" xfId="246" builtinId="9" hidden="1"/>
    <cellStyle name="Followed Hyperlink" xfId="230" builtinId="9" hidden="1"/>
    <cellStyle name="Followed Hyperlink" xfId="214" builtinId="9" hidden="1"/>
    <cellStyle name="Followed Hyperlink" xfId="198" builtinId="9" hidden="1"/>
    <cellStyle name="Followed Hyperlink" xfId="182" builtinId="9" hidden="1"/>
    <cellStyle name="Followed Hyperlink" xfId="85" builtinId="9" hidden="1"/>
    <cellStyle name="Followed Hyperlink" xfId="105" builtinId="9" hidden="1"/>
    <cellStyle name="Followed Hyperlink" xfId="128" builtinId="9" hidden="1"/>
    <cellStyle name="Followed Hyperlink" xfId="145" builtinId="9" hidden="1"/>
    <cellStyle name="Followed Hyperlink" xfId="155" builtinId="9" hidden="1"/>
    <cellStyle name="Followed Hyperlink" xfId="166" builtinId="9" hidden="1"/>
    <cellStyle name="Followed Hyperlink" xfId="172" builtinId="9" hidden="1"/>
    <cellStyle name="Followed Hyperlink" xfId="140" builtinId="9" hidden="1"/>
    <cellStyle name="Followed Hyperlink" xfId="75" builtinId="9" hidden="1"/>
    <cellStyle name="Followed Hyperlink" xfId="49" builtinId="9" hidden="1"/>
    <cellStyle name="Followed Hyperlink" xfId="69" builtinId="9" hidden="1"/>
    <cellStyle name="Followed Hyperlink" xfId="25" builtinId="9" hidden="1"/>
    <cellStyle name="Followed Hyperlink" xfId="7" builtinId="9" hidden="1"/>
    <cellStyle name="Followed Hyperlink" xfId="11" builtinId="9" hidden="1"/>
    <cellStyle name="Followed Hyperlink" xfId="17" builtinId="9" hidden="1"/>
    <cellStyle name="Followed Hyperlink" xfId="61" builtinId="9" hidden="1"/>
    <cellStyle name="Followed Hyperlink" xfId="43" builtinId="9" hidden="1"/>
    <cellStyle name="Followed Hyperlink" xfId="99" builtinId="9" hidden="1"/>
    <cellStyle name="Followed Hyperlink" xfId="152" builtinId="9" hidden="1"/>
    <cellStyle name="Followed Hyperlink" xfId="173" builtinId="9" hidden="1"/>
    <cellStyle name="Followed Hyperlink" xfId="162" builtinId="9" hidden="1"/>
    <cellStyle name="Followed Hyperlink" xfId="151" builtinId="9" hidden="1"/>
    <cellStyle name="Followed Hyperlink" xfId="141" builtinId="9" hidden="1"/>
    <cellStyle name="Followed Hyperlink" xfId="120" builtinId="9" hidden="1"/>
    <cellStyle name="Followed Hyperlink" xfId="97" builtinId="9" hidden="1"/>
    <cellStyle name="Followed Hyperlink" xfId="77" builtinId="9" hidden="1"/>
    <cellStyle name="Followed Hyperlink" xfId="188" builtinId="9" hidden="1"/>
    <cellStyle name="Followed Hyperlink" xfId="204" builtinId="9" hidden="1"/>
    <cellStyle name="Followed Hyperlink" xfId="220" builtinId="9" hidden="1"/>
    <cellStyle name="Followed Hyperlink" xfId="236" builtinId="9" hidden="1"/>
    <cellStyle name="Followed Hyperlink" xfId="252" builtinId="9" hidden="1"/>
    <cellStyle name="Followed Hyperlink" xfId="269" builtinId="9" hidden="1"/>
    <cellStyle name="Followed Hyperlink" xfId="285" builtinId="9" hidden="1"/>
    <cellStyle name="Followed Hyperlink" xfId="301" builtinId="9" hidden="1"/>
    <cellStyle name="Followed Hyperlink" xfId="317" builtinId="9" hidden="1"/>
    <cellStyle name="Followed Hyperlink" xfId="333" builtinId="9" hidden="1"/>
    <cellStyle name="Followed Hyperlink" xfId="369" builtinId="9" hidden="1"/>
    <cellStyle name="Followed Hyperlink" xfId="385" builtinId="9" hidden="1"/>
    <cellStyle name="Followed Hyperlink" xfId="401" builtinId="9" hidden="1"/>
    <cellStyle name="Followed Hyperlink" xfId="417" builtinId="9" hidden="1"/>
    <cellStyle name="Followed Hyperlink" xfId="446" builtinId="9" hidden="1"/>
    <cellStyle name="Followed Hyperlink" xfId="478" builtinId="9" hidden="1"/>
    <cellStyle name="Followed Hyperlink" xfId="510" builtinId="9" hidden="1"/>
    <cellStyle name="Followed Hyperlink" xfId="672" builtinId="9" hidden="1"/>
    <cellStyle name="Followed Hyperlink" xfId="688" builtinId="9" hidden="1"/>
    <cellStyle name="Followed Hyperlink" xfId="704" builtinId="9" hidden="1"/>
    <cellStyle name="Followed Hyperlink" xfId="720" builtinId="9" hidden="1"/>
    <cellStyle name="Followed Hyperlink" xfId="741" builtinId="9" hidden="1"/>
    <cellStyle name="Followed Hyperlink" xfId="757" builtinId="9" hidden="1"/>
    <cellStyle name="Followed Hyperlink" xfId="773" builtinId="9" hidden="1"/>
    <cellStyle name="Followed Hyperlink" xfId="789" builtinId="9" hidden="1"/>
    <cellStyle name="Followed Hyperlink" xfId="805" builtinId="9" hidden="1"/>
    <cellStyle name="Followed Hyperlink" xfId="821" builtinId="9" hidden="1"/>
    <cellStyle name="Followed Hyperlink" xfId="837" builtinId="9" hidden="1"/>
    <cellStyle name="Followed Hyperlink" xfId="853" builtinId="9" hidden="1"/>
    <cellStyle name="Followed Hyperlink" xfId="869" builtinId="9" hidden="1"/>
    <cellStyle name="Followed Hyperlink" xfId="885" builtinId="9" hidden="1"/>
    <cellStyle name="Followed Hyperlink" xfId="901" builtinId="9" hidden="1"/>
    <cellStyle name="Followed Hyperlink" xfId="920" builtinId="9" hidden="1"/>
    <cellStyle name="Followed Hyperlink" xfId="943" builtinId="9" hidden="1"/>
    <cellStyle name="Followed Hyperlink" xfId="959" builtinId="9" hidden="1"/>
    <cellStyle name="Followed Hyperlink" xfId="975" builtinId="9" hidden="1"/>
    <cellStyle name="Followed Hyperlink" xfId="994" builtinId="9" hidden="1"/>
    <cellStyle name="Followed Hyperlink" xfId="1011" builtinId="9" hidden="1"/>
    <cellStyle name="Followed Hyperlink" xfId="1027" builtinId="9" hidden="1"/>
    <cellStyle name="Followed Hyperlink" xfId="1043" builtinId="9" hidden="1"/>
    <cellStyle name="Followed Hyperlink" xfId="1059" builtinId="9" hidden="1"/>
    <cellStyle name="Followed Hyperlink" xfId="1075" builtinId="9" hidden="1"/>
    <cellStyle name="Followed Hyperlink" xfId="1097" builtinId="9" hidden="1"/>
    <cellStyle name="Followed Hyperlink" xfId="1156" builtinId="9" hidden="1"/>
    <cellStyle name="Followed Hyperlink" xfId="1172" builtinId="9" hidden="1"/>
    <cellStyle name="Followed Hyperlink" xfId="1190" builtinId="9" hidden="1"/>
    <cellStyle name="Followed Hyperlink" xfId="1206" builtinId="9" hidden="1"/>
    <cellStyle name="Followed Hyperlink" xfId="1221" builtinId="9" hidden="1"/>
    <cellStyle name="Followed Hyperlink" xfId="1205" builtinId="9" hidden="1"/>
    <cellStyle name="Followed Hyperlink" xfId="1189" builtinId="9" hidden="1"/>
    <cellStyle name="Followed Hyperlink" xfId="1171" builtinId="9" hidden="1"/>
    <cellStyle name="Followed Hyperlink" xfId="1155" builtinId="9" hidden="1"/>
    <cellStyle name="Followed Hyperlink" xfId="1096" builtinId="9" hidden="1"/>
    <cellStyle name="Followed Hyperlink" xfId="1074" builtinId="9" hidden="1"/>
    <cellStyle name="Followed Hyperlink" xfId="1058" builtinId="9" hidden="1"/>
    <cellStyle name="Followed Hyperlink" xfId="1042" builtinId="9" hidden="1"/>
    <cellStyle name="Followed Hyperlink" xfId="1026" builtinId="9" hidden="1"/>
    <cellStyle name="Followed Hyperlink" xfId="1010" builtinId="9" hidden="1"/>
    <cellStyle name="Followed Hyperlink" xfId="993" builtinId="9" hidden="1"/>
    <cellStyle name="Followed Hyperlink" xfId="974" builtinId="9" hidden="1"/>
    <cellStyle name="Followed Hyperlink" xfId="958" builtinId="9" hidden="1"/>
    <cellStyle name="Followed Hyperlink" xfId="942" builtinId="9" hidden="1"/>
    <cellStyle name="Followed Hyperlink" xfId="919" builtinId="9" hidden="1"/>
    <cellStyle name="Followed Hyperlink" xfId="900" builtinId="9" hidden="1"/>
    <cellStyle name="Followed Hyperlink" xfId="884" builtinId="9" hidden="1"/>
    <cellStyle name="Followed Hyperlink" xfId="868" builtinId="9" hidden="1"/>
    <cellStyle name="Followed Hyperlink" xfId="852" builtinId="9" hidden="1"/>
    <cellStyle name="Followed Hyperlink" xfId="836" builtinId="9" hidden="1"/>
    <cellStyle name="Followed Hyperlink" xfId="820" builtinId="9" hidden="1"/>
    <cellStyle name="Followed Hyperlink" xfId="804" builtinId="9" hidden="1"/>
    <cellStyle name="Followed Hyperlink" xfId="788" builtinId="9" hidden="1"/>
    <cellStyle name="Followed Hyperlink" xfId="772" builtinId="9" hidden="1"/>
    <cellStyle name="Followed Hyperlink" xfId="756" builtinId="9" hidden="1"/>
    <cellStyle name="Followed Hyperlink" xfId="740" builtinId="9" hidden="1"/>
    <cellStyle name="Followed Hyperlink" xfId="719" builtinId="9" hidden="1"/>
    <cellStyle name="Followed Hyperlink" xfId="703" builtinId="9" hidden="1"/>
    <cellStyle name="Followed Hyperlink" xfId="687" builtinId="9" hidden="1"/>
    <cellStyle name="Followed Hyperlink" xfId="669" builtinId="9" hidden="1"/>
    <cellStyle name="Followed Hyperlink" xfId="508" builtinId="9" hidden="1"/>
    <cellStyle name="Followed Hyperlink" xfId="476" builtinId="9" hidden="1"/>
    <cellStyle name="Followed Hyperlink" xfId="445" builtinId="9" hidden="1"/>
    <cellStyle name="Followed Hyperlink" xfId="416" builtinId="9" hidden="1"/>
    <cellStyle name="Followed Hyperlink" xfId="245" builtinId="9" hidden="1"/>
    <cellStyle name="Followed Hyperlink" xfId="257" builtinId="9" hidden="1"/>
    <cellStyle name="Followed Hyperlink" xfId="268" builtinId="9" hidden="1"/>
    <cellStyle name="Followed Hyperlink" xfId="278" builtinId="9" hidden="1"/>
    <cellStyle name="Followed Hyperlink" xfId="290" builtinId="9" hidden="1"/>
    <cellStyle name="Followed Hyperlink" xfId="300" builtinId="9" hidden="1"/>
    <cellStyle name="Followed Hyperlink" xfId="310" builtinId="9" hidden="1"/>
    <cellStyle name="Followed Hyperlink" xfId="322" builtinId="9" hidden="1"/>
    <cellStyle name="Followed Hyperlink" xfId="332" builtinId="9" hidden="1"/>
    <cellStyle name="Followed Hyperlink" xfId="362" builtinId="9" hidden="1"/>
    <cellStyle name="Followed Hyperlink" xfId="374" builtinId="9" hidden="1"/>
    <cellStyle name="Followed Hyperlink" xfId="384" builtinId="9" hidden="1"/>
    <cellStyle name="Followed Hyperlink" xfId="394" builtinId="9" hidden="1"/>
    <cellStyle name="Followed Hyperlink" xfId="396" builtinId="9" hidden="1"/>
    <cellStyle name="Followed Hyperlink" xfId="364" builtinId="9" hidden="1"/>
    <cellStyle name="Followed Hyperlink" xfId="312" builtinId="9" hidden="1"/>
    <cellStyle name="Followed Hyperlink" xfId="280" builtinId="9" hidden="1"/>
    <cellStyle name="Followed Hyperlink" xfId="247" builtinId="9" hidden="1"/>
    <cellStyle name="Followed Hyperlink" xfId="213" builtinId="9" hidden="1"/>
    <cellStyle name="Followed Hyperlink" xfId="221" builtinId="9" hidden="1"/>
    <cellStyle name="Followed Hyperlink" xfId="231" builtinId="9" hidden="1"/>
    <cellStyle name="Followed Hyperlink" xfId="241" builtinId="9" hidden="1"/>
    <cellStyle name="Followed Hyperlink" xfId="207" builtinId="9" hidden="1"/>
    <cellStyle name="Followed Hyperlink" xfId="197" builtinId="9" hidden="1"/>
    <cellStyle name="Followed Hyperlink" xfId="191" builtinId="9" hidden="1"/>
    <cellStyle name="Followed Hyperlink" xfId="179" builtinId="9" hidden="1"/>
    <cellStyle name="Followed Hyperlink" xfId="181" builtinId="9" hidden="1"/>
    <cellStyle name="Followed Hyperlink" xfId="183" builtinId="9" hidden="1"/>
    <cellStyle name="Followed Hyperlink" xfId="199" builtinId="9" hidden="1"/>
    <cellStyle name="Followed Hyperlink" xfId="189" builtinId="9" hidden="1"/>
    <cellStyle name="Followed Hyperlink" xfId="243" builtinId="9" hidden="1"/>
    <cellStyle name="Followed Hyperlink" xfId="233" builtinId="9" hidden="1"/>
    <cellStyle name="Followed Hyperlink" xfId="225" builtinId="9" hidden="1"/>
    <cellStyle name="Followed Hyperlink" xfId="215" builtinId="9" hidden="1"/>
    <cellStyle name="Followed Hyperlink" xfId="205" builtinId="9" hidden="1"/>
    <cellStyle name="Followed Hyperlink" xfId="272" builtinId="9" hidden="1"/>
    <cellStyle name="Followed Hyperlink" xfId="304" builtinId="9" hidden="1"/>
    <cellStyle name="Followed Hyperlink" xfId="336" builtinId="9" hidden="1"/>
    <cellStyle name="Followed Hyperlink" xfId="388" builtinId="9" hidden="1"/>
    <cellStyle name="Followed Hyperlink" xfId="398" builtinId="9" hidden="1"/>
    <cellStyle name="Followed Hyperlink" xfId="386" builtinId="9" hidden="1"/>
    <cellStyle name="Followed Hyperlink" xfId="376" builtinId="9" hidden="1"/>
    <cellStyle name="Followed Hyperlink" xfId="366" builtinId="9" hidden="1"/>
    <cellStyle name="Followed Hyperlink" xfId="334" builtinId="9" hidden="1"/>
    <cellStyle name="Followed Hyperlink" xfId="324" builtinId="9" hidden="1"/>
    <cellStyle name="Followed Hyperlink" xfId="314" builtinId="9" hidden="1"/>
    <cellStyle name="Followed Hyperlink" xfId="302" builtinId="9" hidden="1"/>
    <cellStyle name="Followed Hyperlink" xfId="292" builtinId="9" hidden="1"/>
    <cellStyle name="Followed Hyperlink" xfId="282" builtinId="9" hidden="1"/>
    <cellStyle name="Followed Hyperlink" xfId="270" builtinId="9" hidden="1"/>
    <cellStyle name="Followed Hyperlink" xfId="259" builtinId="9" hidden="1"/>
    <cellStyle name="Followed Hyperlink" xfId="249" builtinId="9" hidden="1"/>
    <cellStyle name="Followed Hyperlink" xfId="412" builtinId="9" hidden="1"/>
    <cellStyle name="Followed Hyperlink" xfId="441" builtinId="9" hidden="1"/>
    <cellStyle name="Followed Hyperlink" xfId="468" builtinId="9" hidden="1"/>
    <cellStyle name="Followed Hyperlink" xfId="500" builtinId="9" hidden="1"/>
    <cellStyle name="Followed Hyperlink" xfId="532" builtinId="9" hidden="1"/>
    <cellStyle name="Followed Hyperlink" xfId="683" builtinId="9" hidden="1"/>
    <cellStyle name="Followed Hyperlink" xfId="699" builtinId="9" hidden="1"/>
    <cellStyle name="Followed Hyperlink" xfId="715" builtinId="9" hidden="1"/>
    <cellStyle name="Followed Hyperlink" xfId="731" builtinId="9" hidden="1"/>
    <cellStyle name="Followed Hyperlink" xfId="752" builtinId="9" hidden="1"/>
    <cellStyle name="Followed Hyperlink" xfId="768" builtinId="9" hidden="1"/>
    <cellStyle name="Followed Hyperlink" xfId="784" builtinId="9" hidden="1"/>
    <cellStyle name="Followed Hyperlink" xfId="800" builtinId="9" hidden="1"/>
    <cellStyle name="Followed Hyperlink" xfId="816" builtinId="9" hidden="1"/>
    <cellStyle name="Followed Hyperlink" xfId="832" builtinId="9" hidden="1"/>
    <cellStyle name="Followed Hyperlink" xfId="848" builtinId="9" hidden="1"/>
    <cellStyle name="Followed Hyperlink" xfId="864" builtinId="9" hidden="1"/>
    <cellStyle name="Followed Hyperlink" xfId="880" builtinId="9" hidden="1"/>
    <cellStyle name="Followed Hyperlink" xfId="896" builtinId="9" hidden="1"/>
    <cellStyle name="Followed Hyperlink" xfId="914" builtinId="9" hidden="1"/>
    <cellStyle name="Followed Hyperlink" xfId="938" builtinId="9" hidden="1"/>
    <cellStyle name="Followed Hyperlink" xfId="954" builtinId="9" hidden="1"/>
    <cellStyle name="Followed Hyperlink" xfId="970" builtinId="9" hidden="1"/>
    <cellStyle name="Followed Hyperlink" xfId="989" builtinId="9" hidden="1"/>
    <cellStyle name="Followed Hyperlink" xfId="1006" builtinId="9" hidden="1"/>
    <cellStyle name="Followed Hyperlink" xfId="1022" builtinId="9" hidden="1"/>
    <cellStyle name="Followed Hyperlink" xfId="1038" builtinId="9" hidden="1"/>
    <cellStyle name="Followed Hyperlink" xfId="1054" builtinId="9" hidden="1"/>
    <cellStyle name="Followed Hyperlink" xfId="1070" builtinId="9" hidden="1"/>
    <cellStyle name="Followed Hyperlink" xfId="1092" builtinId="9" hidden="1"/>
    <cellStyle name="Followed Hyperlink" xfId="1115" builtinId="9" hidden="1"/>
    <cellStyle name="Followed Hyperlink" xfId="1167" builtinId="9" hidden="1"/>
    <cellStyle name="Followed Hyperlink" xfId="1185" builtinId="9" hidden="1"/>
    <cellStyle name="Followed Hyperlink" xfId="1201" builtinId="9" hidden="1"/>
    <cellStyle name="Followed Hyperlink" xfId="1217" builtinId="9" hidden="1"/>
    <cellStyle name="Followed Hyperlink" xfId="1210" builtinId="9" hidden="1"/>
    <cellStyle name="Followed Hyperlink" xfId="1194" builtinId="9" hidden="1"/>
    <cellStyle name="Followed Hyperlink" xfId="1178" builtinId="9" hidden="1"/>
    <cellStyle name="Followed Hyperlink" xfId="1160" builtinId="9" hidden="1"/>
    <cellStyle name="Followed Hyperlink" xfId="1108" builtinId="9" hidden="1"/>
    <cellStyle name="Followed Hyperlink" xfId="1085" builtinId="9" hidden="1"/>
    <cellStyle name="Followed Hyperlink" xfId="1063" builtinId="9" hidden="1"/>
    <cellStyle name="Followed Hyperlink" xfId="1047" builtinId="9" hidden="1"/>
    <cellStyle name="Followed Hyperlink" xfId="1031" builtinId="9" hidden="1"/>
    <cellStyle name="Followed Hyperlink" xfId="1015" builtinId="9" hidden="1"/>
    <cellStyle name="Followed Hyperlink" xfId="998" builtinId="9" hidden="1"/>
    <cellStyle name="Followed Hyperlink" xfId="979" builtinId="9" hidden="1"/>
    <cellStyle name="Followed Hyperlink" xfId="963" builtinId="9" hidden="1"/>
    <cellStyle name="Followed Hyperlink" xfId="947" builtinId="9" hidden="1"/>
    <cellStyle name="Followed Hyperlink" xfId="924" builtinId="9" hidden="1"/>
    <cellStyle name="Followed Hyperlink" xfId="905" builtinId="9" hidden="1"/>
    <cellStyle name="Followed Hyperlink" xfId="889" builtinId="9" hidden="1"/>
    <cellStyle name="Followed Hyperlink" xfId="873" builtinId="9" hidden="1"/>
    <cellStyle name="Followed Hyperlink" xfId="857" builtinId="9" hidden="1"/>
    <cellStyle name="Followed Hyperlink" xfId="841" builtinId="9" hidden="1"/>
    <cellStyle name="Followed Hyperlink" xfId="825" builtinId="9" hidden="1"/>
    <cellStyle name="Followed Hyperlink" xfId="809" builtinId="9" hidden="1"/>
    <cellStyle name="Followed Hyperlink" xfId="793" builtinId="9" hidden="1"/>
    <cellStyle name="Followed Hyperlink" xfId="777" builtinId="9" hidden="1"/>
    <cellStyle name="Followed Hyperlink" xfId="761" builtinId="9" hidden="1"/>
    <cellStyle name="Followed Hyperlink" xfId="745" builtinId="9" hidden="1"/>
    <cellStyle name="Followed Hyperlink" xfId="724" builtinId="9" hidden="1"/>
    <cellStyle name="Followed Hyperlink" xfId="708" builtinId="9" hidden="1"/>
    <cellStyle name="Followed Hyperlink" xfId="692" builtinId="9" hidden="1"/>
    <cellStyle name="Followed Hyperlink" xfId="676" builtinId="9" hidden="1"/>
    <cellStyle name="Followed Hyperlink" xfId="518" builtinId="9" hidden="1"/>
    <cellStyle name="Followed Hyperlink" xfId="486" builtinId="9" hidden="1"/>
    <cellStyle name="Followed Hyperlink" xfId="454" builtinId="9" hidden="1"/>
    <cellStyle name="Followed Hyperlink" xfId="434" builtinId="9" hidden="1"/>
    <cellStyle name="Followed Hyperlink" xfId="405" builtinId="9" hidden="1"/>
    <cellStyle name="Followed Hyperlink" xfId="389" builtinId="9" hidden="1"/>
    <cellStyle name="Followed Hyperlink" xfId="373" builtinId="9" hidden="1"/>
    <cellStyle name="Followed Hyperlink" xfId="337" builtinId="9" hidden="1"/>
    <cellStyle name="Followed Hyperlink" xfId="321" builtinId="9" hidden="1"/>
    <cellStyle name="Followed Hyperlink" xfId="305" builtinId="9" hidden="1"/>
    <cellStyle name="Followed Hyperlink" xfId="289" builtinId="9" hidden="1"/>
    <cellStyle name="Followed Hyperlink" xfId="273" builtinId="9" hidden="1"/>
    <cellStyle name="Followed Hyperlink" xfId="256" builtinId="9" hidden="1"/>
    <cellStyle name="Followed Hyperlink" xfId="240" builtinId="9" hidden="1"/>
    <cellStyle name="Followed Hyperlink" xfId="224" builtinId="9" hidden="1"/>
    <cellStyle name="Followed Hyperlink" xfId="208" builtinId="9" hidden="1"/>
    <cellStyle name="Followed Hyperlink" xfId="192" builtinId="9" hidden="1"/>
    <cellStyle name="Followed Hyperlink" xfId="176" builtinId="9" hidden="1"/>
    <cellStyle name="Followed Hyperlink" xfId="93" builtinId="9" hidden="1"/>
    <cellStyle name="Followed Hyperlink" xfId="113" builtinId="9" hidden="1"/>
    <cellStyle name="Followed Hyperlink" xfId="136" builtinId="9" hidden="1"/>
    <cellStyle name="Followed Hyperlink" xfId="149" builtinId="9" hidden="1"/>
    <cellStyle name="Followed Hyperlink" xfId="159" builtinId="9" hidden="1"/>
    <cellStyle name="Followed Hyperlink" xfId="170" builtinId="9" hidden="1"/>
    <cellStyle name="Followed Hyperlink" xfId="160" builtinId="9" hidden="1"/>
    <cellStyle name="Followed Hyperlink" xfId="116" builtinId="9" hidden="1"/>
    <cellStyle name="Followed Hyperlink" xfId="39" builtinId="9" hidden="1"/>
    <cellStyle name="Followed Hyperlink" xfId="57" builtinId="9" hidden="1"/>
    <cellStyle name="Followed Hyperlink" xfId="51" builtinId="9" hidden="1"/>
    <cellStyle name="Followed Hyperlink" xfId="31" builtinId="9" hidden="1"/>
    <cellStyle name="Followed Hyperlink" xfId="5" builtinId="9" hidden="1"/>
    <cellStyle name="Followed Hyperlink" xfId="29" builtinId="9" hidden="1"/>
    <cellStyle name="Followed Hyperlink" xfId="67" builtinId="9" hidden="1"/>
    <cellStyle name="Followed Hyperlink" xfId="55" builtinId="9" hidden="1"/>
    <cellStyle name="Followed Hyperlink" xfId="37" builtinId="9" hidden="1"/>
    <cellStyle name="Followed Hyperlink" xfId="124" builtinId="9" hidden="1"/>
    <cellStyle name="Followed Hyperlink" xfId="164" builtinId="9" hidden="1"/>
    <cellStyle name="Followed Hyperlink" xfId="169" builtinId="9" hidden="1"/>
    <cellStyle name="Followed Hyperlink" xfId="158" builtinId="9" hidden="1"/>
    <cellStyle name="Followed Hyperlink" xfId="147" builtinId="9" hidden="1"/>
    <cellStyle name="Followed Hyperlink" xfId="134" builtinId="9" hidden="1"/>
    <cellStyle name="Followed Hyperlink" xfId="111" builtinId="9" hidden="1"/>
    <cellStyle name="Followed Hyperlink" xfId="89" builtinId="9" hidden="1"/>
    <cellStyle name="Followed Hyperlink" xfId="178" builtinId="9" hidden="1"/>
    <cellStyle name="Followed Hyperlink" xfId="194" builtinId="9" hidden="1"/>
    <cellStyle name="Followed Hyperlink" xfId="210" builtinId="9" hidden="1"/>
    <cellStyle name="Followed Hyperlink" xfId="226" builtinId="9" hidden="1"/>
    <cellStyle name="Followed Hyperlink" xfId="242" builtinId="9" hidden="1"/>
    <cellStyle name="Followed Hyperlink" xfId="258" builtinId="9" hidden="1"/>
    <cellStyle name="Followed Hyperlink" xfId="275" builtinId="9" hidden="1"/>
    <cellStyle name="Followed Hyperlink" xfId="291" builtinId="9" hidden="1"/>
    <cellStyle name="Followed Hyperlink" xfId="307" builtinId="9" hidden="1"/>
    <cellStyle name="Followed Hyperlink" xfId="323" builtinId="9" hidden="1"/>
    <cellStyle name="Followed Hyperlink" xfId="339" builtinId="9" hidden="1"/>
    <cellStyle name="Followed Hyperlink" xfId="375" builtinId="9" hidden="1"/>
    <cellStyle name="Followed Hyperlink" xfId="391" builtinId="9" hidden="1"/>
    <cellStyle name="Followed Hyperlink" xfId="407" builtinId="9" hidden="1"/>
    <cellStyle name="Followed Hyperlink" xfId="436" builtinId="9" hidden="1"/>
    <cellStyle name="Followed Hyperlink" xfId="458" builtinId="9" hidden="1"/>
    <cellStyle name="Followed Hyperlink" xfId="490" builtinId="9" hidden="1"/>
    <cellStyle name="Followed Hyperlink" xfId="522" builtinId="9" hidden="1"/>
    <cellStyle name="Followed Hyperlink" xfId="678" builtinId="9" hidden="1"/>
    <cellStyle name="Followed Hyperlink" xfId="694" builtinId="9" hidden="1"/>
    <cellStyle name="Followed Hyperlink" xfId="710" builtinId="9" hidden="1"/>
    <cellStyle name="Followed Hyperlink" xfId="726" builtinId="9" hidden="1"/>
    <cellStyle name="Followed Hyperlink" xfId="747" builtinId="9" hidden="1"/>
    <cellStyle name="Followed Hyperlink" xfId="763" builtinId="9" hidden="1"/>
    <cellStyle name="Followed Hyperlink" xfId="779" builtinId="9" hidden="1"/>
    <cellStyle name="Followed Hyperlink" xfId="795" builtinId="9" hidden="1"/>
    <cellStyle name="Followed Hyperlink" xfId="811" builtinId="9" hidden="1"/>
    <cellStyle name="Followed Hyperlink" xfId="827" builtinId="9" hidden="1"/>
    <cellStyle name="Followed Hyperlink" xfId="843" builtinId="9" hidden="1"/>
    <cellStyle name="Followed Hyperlink" xfId="859" builtinId="9" hidden="1"/>
    <cellStyle name="Followed Hyperlink" xfId="875" builtinId="9" hidden="1"/>
    <cellStyle name="Followed Hyperlink" xfId="891" builtinId="9" hidden="1"/>
    <cellStyle name="Followed Hyperlink" xfId="907" builtinId="9" hidden="1"/>
    <cellStyle name="Followed Hyperlink" xfId="926" builtinId="9" hidden="1"/>
    <cellStyle name="Followed Hyperlink" xfId="949" builtinId="9" hidden="1"/>
    <cellStyle name="Followed Hyperlink" xfId="965" builtinId="9" hidden="1"/>
    <cellStyle name="Followed Hyperlink" xfId="981" builtinId="9" hidden="1"/>
    <cellStyle name="Followed Hyperlink" xfId="1001" builtinId="9" hidden="1"/>
    <cellStyle name="Followed Hyperlink" xfId="1017" builtinId="9" hidden="1"/>
    <cellStyle name="Followed Hyperlink" xfId="1033" builtinId="9" hidden="1"/>
    <cellStyle name="Followed Hyperlink" xfId="1049" builtinId="9" hidden="1"/>
    <cellStyle name="Followed Hyperlink" xfId="1065" builtinId="9" hidden="1"/>
    <cellStyle name="Followed Hyperlink" xfId="1087" builtinId="9" hidden="1"/>
    <cellStyle name="Followed Hyperlink" xfId="1110" builtinId="9" hidden="1"/>
    <cellStyle name="Followed Hyperlink" xfId="1162" builtinId="9" hidden="1"/>
    <cellStyle name="Followed Hyperlink" xfId="1180" builtinId="9" hidden="1"/>
    <cellStyle name="Followed Hyperlink" xfId="1196" builtinId="9" hidden="1"/>
    <cellStyle name="Followed Hyperlink" xfId="1212" builtinId="9" hidden="1"/>
    <cellStyle name="Followed Hyperlink" xfId="1215" builtinId="9" hidden="1"/>
    <cellStyle name="Followed Hyperlink" xfId="1199" builtinId="9" hidden="1"/>
    <cellStyle name="Followed Hyperlink" xfId="1183" builtinId="9" hidden="1"/>
    <cellStyle name="Followed Hyperlink" xfId="1165" builtinId="9" hidden="1"/>
    <cellStyle name="Followed Hyperlink" xfId="1113" builtinId="9" hidden="1"/>
    <cellStyle name="Followed Hyperlink" xfId="1090" builtinId="9" hidden="1"/>
    <cellStyle name="Followed Hyperlink" xfId="1068" builtinId="9" hidden="1"/>
    <cellStyle name="Followed Hyperlink" xfId="1052" builtinId="9" hidden="1"/>
    <cellStyle name="Followed Hyperlink" xfId="1036" builtinId="9" hidden="1"/>
    <cellStyle name="Followed Hyperlink" xfId="738" builtinId="9" hidden="1"/>
    <cellStyle name="Followed Hyperlink" xfId="750" builtinId="9" hidden="1"/>
    <cellStyle name="Followed Hyperlink" xfId="762" builtinId="9" hidden="1"/>
    <cellStyle name="Followed Hyperlink" xfId="770" builtinId="9" hidden="1"/>
    <cellStyle name="Followed Hyperlink" xfId="782" builtinId="9" hidden="1"/>
    <cellStyle name="Followed Hyperlink" xfId="794" builtinId="9" hidden="1"/>
    <cellStyle name="Followed Hyperlink" xfId="802" builtinId="9" hidden="1"/>
    <cellStyle name="Followed Hyperlink" xfId="814" builtinId="9" hidden="1"/>
    <cellStyle name="Followed Hyperlink" xfId="826" builtinId="9" hidden="1"/>
    <cellStyle name="Followed Hyperlink" xfId="834" builtinId="9" hidden="1"/>
    <cellStyle name="Followed Hyperlink" xfId="846" builtinId="9" hidden="1"/>
    <cellStyle name="Followed Hyperlink" xfId="858" builtinId="9" hidden="1"/>
    <cellStyle name="Followed Hyperlink" xfId="866" builtinId="9" hidden="1"/>
    <cellStyle name="Followed Hyperlink" xfId="878" builtinId="9" hidden="1"/>
    <cellStyle name="Followed Hyperlink" xfId="890" builtinId="9" hidden="1"/>
    <cellStyle name="Followed Hyperlink" xfId="898" builtinId="9" hidden="1"/>
    <cellStyle name="Followed Hyperlink" xfId="912" builtinId="9" hidden="1"/>
    <cellStyle name="Followed Hyperlink" xfId="925" builtinId="9" hidden="1"/>
    <cellStyle name="Followed Hyperlink" xfId="940" builtinId="9" hidden="1"/>
    <cellStyle name="Followed Hyperlink" xfId="952" builtinId="9" hidden="1"/>
    <cellStyle name="Followed Hyperlink" xfId="964" builtinId="9" hidden="1"/>
    <cellStyle name="Followed Hyperlink" xfId="972" builtinId="9" hidden="1"/>
    <cellStyle name="Followed Hyperlink" xfId="987" builtinId="9" hidden="1"/>
    <cellStyle name="Followed Hyperlink" xfId="999" builtinId="9" hidden="1"/>
    <cellStyle name="Followed Hyperlink" xfId="1008" builtinId="9" hidden="1"/>
    <cellStyle name="Followed Hyperlink" xfId="1020" builtinId="9" hidden="1"/>
    <cellStyle name="Followed Hyperlink" xfId="1012" builtinId="9" hidden="1"/>
    <cellStyle name="Followed Hyperlink" xfId="976" builtinId="9" hidden="1"/>
    <cellStyle name="Followed Hyperlink" xfId="944" builtinId="9" hidden="1"/>
    <cellStyle name="Followed Hyperlink" xfId="902" builtinId="9" hidden="1"/>
    <cellStyle name="Followed Hyperlink" xfId="870" builtinId="9" hidden="1"/>
    <cellStyle name="Followed Hyperlink" xfId="838" builtinId="9" hidden="1"/>
    <cellStyle name="Followed Hyperlink" xfId="806" builtinId="9" hidden="1"/>
    <cellStyle name="Followed Hyperlink" xfId="774" builtinId="9" hidden="1"/>
    <cellStyle name="Followed Hyperlink" xfId="742" builtinId="9" hidden="1"/>
    <cellStyle name="Followed Hyperlink" xfId="520" builtinId="9" hidden="1"/>
    <cellStyle name="Followed Hyperlink" xfId="535" builtinId="9" hidden="1"/>
    <cellStyle name="Followed Hyperlink" xfId="677" builtinId="9" hidden="1"/>
    <cellStyle name="Followed Hyperlink" xfId="685" builtinId="9" hidden="1"/>
    <cellStyle name="Followed Hyperlink" xfId="697" builtinId="9" hidden="1"/>
    <cellStyle name="Followed Hyperlink" xfId="705" builtinId="9" hidden="1"/>
    <cellStyle name="Followed Hyperlink" xfId="713" builtinId="9" hidden="1"/>
    <cellStyle name="Followed Hyperlink" xfId="725" builtinId="9" hidden="1"/>
    <cellStyle name="Followed Hyperlink" xfId="721" builtinId="9" hidden="1"/>
    <cellStyle name="Followed Hyperlink" xfId="512" builtinId="9" hidden="1"/>
    <cellStyle name="Followed Hyperlink" xfId="456" builtinId="9" hidden="1"/>
    <cellStyle name="Followed Hyperlink" xfId="472" builtinId="9" hidden="1"/>
    <cellStyle name="Followed Hyperlink" xfId="488" builtinId="9" hidden="1"/>
    <cellStyle name="Followed Hyperlink" xfId="448" builtinId="9" hidden="1"/>
    <cellStyle name="Followed Hyperlink" xfId="435" builtinId="9" hidden="1"/>
    <cellStyle name="Followed Hyperlink" xfId="410" builtinId="9" hidden="1"/>
    <cellStyle name="Followed Hyperlink" xfId="406" builtinId="9" hidden="1"/>
    <cellStyle name="Followed Hyperlink" xfId="414" builtinId="9" hidden="1"/>
    <cellStyle name="Followed Hyperlink" xfId="439" builtinId="9" hidden="1"/>
    <cellStyle name="Followed Hyperlink" xfId="418" builtinId="9" hidden="1"/>
    <cellStyle name="Followed Hyperlink" xfId="496" builtinId="9" hidden="1"/>
    <cellStyle name="Followed Hyperlink" xfId="480" builtinId="9" hidden="1"/>
    <cellStyle name="Followed Hyperlink" xfId="464" builtinId="9" hidden="1"/>
    <cellStyle name="Followed Hyperlink" xfId="443" builtinId="9" hidden="1"/>
    <cellStyle name="Followed Hyperlink" xfId="689" builtinId="9" hidden="1"/>
    <cellStyle name="Followed Hyperlink" xfId="729" builtinId="9" hidden="1"/>
    <cellStyle name="Followed Hyperlink" xfId="717" builtinId="9" hidden="1"/>
    <cellStyle name="Followed Hyperlink" xfId="709" builtinId="9" hidden="1"/>
    <cellStyle name="Followed Hyperlink" xfId="701" builtinId="9" hidden="1"/>
    <cellStyle name="Followed Hyperlink" xfId="693" builtinId="9" hidden="1"/>
    <cellStyle name="Followed Hyperlink" xfId="681" builtinId="9" hidden="1"/>
    <cellStyle name="Followed Hyperlink" xfId="673" builtinId="9" hidden="1"/>
    <cellStyle name="Followed Hyperlink" xfId="528" builtinId="9" hidden="1"/>
    <cellStyle name="Followed Hyperlink" xfId="504" builtinId="9" hidden="1"/>
    <cellStyle name="Followed Hyperlink" xfId="758" builtinId="9" hidden="1"/>
    <cellStyle name="Followed Hyperlink" xfId="790" builtinId="9" hidden="1"/>
    <cellStyle name="Followed Hyperlink" xfId="822" builtinId="9" hidden="1"/>
    <cellStyle name="Followed Hyperlink" xfId="854" builtinId="9" hidden="1"/>
    <cellStyle name="Followed Hyperlink" xfId="886" builtinId="9" hidden="1"/>
    <cellStyle name="Followed Hyperlink" xfId="921" builtinId="9" hidden="1"/>
    <cellStyle name="Followed Hyperlink" xfId="960" builtinId="9" hidden="1"/>
    <cellStyle name="Followed Hyperlink" xfId="995" builtinId="9" hidden="1"/>
    <cellStyle name="Followed Hyperlink" xfId="1024" builtinId="9" hidden="1"/>
    <cellStyle name="Followed Hyperlink" xfId="1016" builtinId="9" hidden="1"/>
    <cellStyle name="Followed Hyperlink" xfId="1004" builtinId="9" hidden="1"/>
    <cellStyle name="Followed Hyperlink" xfId="991" builtinId="9" hidden="1"/>
    <cellStyle name="Followed Hyperlink" xfId="980" builtinId="9" hidden="1"/>
    <cellStyle name="Followed Hyperlink" xfId="968" builtinId="9" hidden="1"/>
    <cellStyle name="Followed Hyperlink" xfId="956" builtinId="9" hidden="1"/>
    <cellStyle name="Followed Hyperlink" xfId="948" builtinId="9" hidden="1"/>
    <cellStyle name="Followed Hyperlink" xfId="936" builtinId="9" hidden="1"/>
    <cellStyle name="Followed Hyperlink" xfId="916" builtinId="9" hidden="1"/>
    <cellStyle name="Followed Hyperlink" xfId="906" builtinId="9" hidden="1"/>
    <cellStyle name="Followed Hyperlink" xfId="894" builtinId="9" hidden="1"/>
    <cellStyle name="Followed Hyperlink" xfId="882" builtinId="9" hidden="1"/>
    <cellStyle name="Followed Hyperlink" xfId="874" builtinId="9" hidden="1"/>
    <cellStyle name="Followed Hyperlink" xfId="862" builtinId="9" hidden="1"/>
    <cellStyle name="Followed Hyperlink" xfId="850" builtinId="9" hidden="1"/>
    <cellStyle name="Followed Hyperlink" xfId="842" builtinId="9" hidden="1"/>
    <cellStyle name="Followed Hyperlink" xfId="830" builtinId="9" hidden="1"/>
    <cellStyle name="Followed Hyperlink" xfId="818" builtinId="9" hidden="1"/>
    <cellStyle name="Followed Hyperlink" xfId="810" builtinId="9" hidden="1"/>
    <cellStyle name="Followed Hyperlink" xfId="798" builtinId="9" hidden="1"/>
    <cellStyle name="Followed Hyperlink" xfId="786" builtinId="9" hidden="1"/>
    <cellStyle name="Followed Hyperlink" xfId="778" builtinId="9" hidden="1"/>
    <cellStyle name="Followed Hyperlink" xfId="766" builtinId="9" hidden="1"/>
    <cellStyle name="Followed Hyperlink" xfId="754" builtinId="9" hidden="1"/>
    <cellStyle name="Followed Hyperlink" xfId="746" builtinId="9" hidden="1"/>
    <cellStyle name="Followed Hyperlink" xfId="1028" builtinId="9" hidden="1"/>
    <cellStyle name="Followed Hyperlink" xfId="1044" builtinId="9" hidden="1"/>
    <cellStyle name="Followed Hyperlink" xfId="1060" builtinId="9" hidden="1"/>
    <cellStyle name="Followed Hyperlink" xfId="1076" builtinId="9" hidden="1"/>
    <cellStyle name="Followed Hyperlink" xfId="1098" builtinId="9" hidden="1"/>
    <cellStyle name="Followed Hyperlink" xfId="1157" builtinId="9" hidden="1"/>
    <cellStyle name="Followed Hyperlink" xfId="1173" builtinId="9" hidden="1"/>
    <cellStyle name="Followed Hyperlink" xfId="1191" builtinId="9" hidden="1"/>
    <cellStyle name="Followed Hyperlink" xfId="1207" builtinId="9" hidden="1"/>
    <cellStyle name="Followed Hyperlink" xfId="1220" builtinId="9" hidden="1"/>
    <cellStyle name="Followed Hyperlink" xfId="1204" builtinId="9" hidden="1"/>
    <cellStyle name="Followed Hyperlink" xfId="1188" builtinId="9" hidden="1"/>
    <cellStyle name="Followed Hyperlink" xfId="1170" builtinId="9" hidden="1"/>
    <cellStyle name="Followed Hyperlink" xfId="1154" builtinId="9" hidden="1"/>
    <cellStyle name="Followed Hyperlink" xfId="1095" builtinId="9" hidden="1"/>
    <cellStyle name="Followed Hyperlink" xfId="1073" builtinId="9" hidden="1"/>
    <cellStyle name="Followed Hyperlink" xfId="1057" builtinId="9" hidden="1"/>
    <cellStyle name="Followed Hyperlink" xfId="1041" builtinId="9" hidden="1"/>
    <cellStyle name="Followed Hyperlink" xfId="1025" builtinId="9" hidden="1"/>
    <cellStyle name="Followed Hyperlink" xfId="1009" builtinId="9" hidden="1"/>
    <cellStyle name="Followed Hyperlink" xfId="992" builtinId="9" hidden="1"/>
    <cellStyle name="Followed Hyperlink" xfId="973" builtinId="9" hidden="1"/>
    <cellStyle name="Followed Hyperlink" xfId="957" builtinId="9" hidden="1"/>
    <cellStyle name="Followed Hyperlink" xfId="941" builtinId="9" hidden="1"/>
    <cellStyle name="Followed Hyperlink" xfId="918" builtinId="9" hidden="1"/>
    <cellStyle name="Followed Hyperlink" xfId="899" builtinId="9" hidden="1"/>
    <cellStyle name="Followed Hyperlink" xfId="883" builtinId="9" hidden="1"/>
    <cellStyle name="Followed Hyperlink" xfId="867" builtinId="9" hidden="1"/>
    <cellStyle name="Followed Hyperlink" xfId="851" builtinId="9" hidden="1"/>
    <cellStyle name="Followed Hyperlink" xfId="835" builtinId="9" hidden="1"/>
    <cellStyle name="Followed Hyperlink" xfId="819" builtinId="9" hidden="1"/>
    <cellStyle name="Followed Hyperlink" xfId="803" builtinId="9" hidden="1"/>
    <cellStyle name="Followed Hyperlink" xfId="787" builtinId="9" hidden="1"/>
    <cellStyle name="Followed Hyperlink" xfId="771" builtinId="9" hidden="1"/>
    <cellStyle name="Followed Hyperlink" xfId="755" builtinId="9" hidden="1"/>
    <cellStyle name="Followed Hyperlink" xfId="739" builtinId="9" hidden="1"/>
    <cellStyle name="Followed Hyperlink" xfId="718" builtinId="9" hidden="1"/>
    <cellStyle name="Followed Hyperlink" xfId="702" builtinId="9" hidden="1"/>
    <cellStyle name="Followed Hyperlink" xfId="686" builtinId="9" hidden="1"/>
    <cellStyle name="Followed Hyperlink" xfId="536" builtinId="9" hidden="1"/>
    <cellStyle name="Followed Hyperlink" xfId="506" builtinId="9" hidden="1"/>
    <cellStyle name="Followed Hyperlink" xfId="474" builtinId="9" hidden="1"/>
    <cellStyle name="Followed Hyperlink" xfId="444" builtinId="9" hidden="1"/>
    <cellStyle name="Followed Hyperlink" xfId="415" builtinId="9" hidden="1"/>
    <cellStyle name="Followed Hyperlink" xfId="399" builtinId="9" hidden="1"/>
    <cellStyle name="Followed Hyperlink" xfId="383" builtinId="9" hidden="1"/>
    <cellStyle name="Followed Hyperlink" xfId="367" builtinId="9" hidden="1"/>
    <cellStyle name="Followed Hyperlink" xfId="331" builtinId="9" hidden="1"/>
    <cellStyle name="Followed Hyperlink" xfId="315" builtinId="9" hidden="1"/>
    <cellStyle name="Followed Hyperlink" xfId="299" builtinId="9" hidden="1"/>
    <cellStyle name="Followed Hyperlink" xfId="283" builtinId="9" hidden="1"/>
    <cellStyle name="Followed Hyperlink" xfId="267" builtinId="9" hidden="1"/>
    <cellStyle name="Followed Hyperlink" xfId="250" builtinId="9" hidden="1"/>
    <cellStyle name="Followed Hyperlink" xfId="234" builtinId="9" hidden="1"/>
    <cellStyle name="Followed Hyperlink" xfId="218" builtinId="9" hidden="1"/>
    <cellStyle name="Followed Hyperlink" xfId="202" builtinId="9" hidden="1"/>
    <cellStyle name="Followed Hyperlink" xfId="186" builtinId="9" hidden="1"/>
    <cellStyle name="Followed Hyperlink" xfId="79" builtinId="9" hidden="1"/>
    <cellStyle name="Followed Hyperlink" xfId="101" builtinId="9" hidden="1"/>
    <cellStyle name="Followed Hyperlink" xfId="122" builtinId="9" hidden="1"/>
    <cellStyle name="Followed Hyperlink" xfId="142" builtinId="9" hidden="1"/>
    <cellStyle name="Followed Hyperlink" xfId="153" builtinId="9" hidden="1"/>
    <cellStyle name="Followed Hyperlink" xfId="163" builtinId="9" hidden="1"/>
    <cellStyle name="Followed Hyperlink" xfId="174" builtinId="9" hidden="1"/>
    <cellStyle name="Followed Hyperlink" xfId="148" builtinId="9" hidden="1"/>
    <cellStyle name="Followed Hyperlink" xfId="91" builtinId="9" hidden="1"/>
    <cellStyle name="Followed Hyperlink" xfId="45" builtinId="9" hidden="1"/>
    <cellStyle name="Followed Hyperlink" xfId="63" builtinId="9" hidden="1"/>
    <cellStyle name="Followed Hyperlink" xfId="21" builtinId="9" hidden="1"/>
    <cellStyle name="Followed Hyperlink" xfId="13" builtinId="9" hidden="1"/>
    <cellStyle name="Followed Hyperlink" xfId="15" builtinId="9" hidden="1"/>
    <cellStyle name="Followed Hyperlink" xfId="23" builtinId="9" hidden="1"/>
    <cellStyle name="Followed Hyperlink" xfId="65" builtinId="9" hidden="1"/>
    <cellStyle name="Followed Hyperlink" xfId="47" builtinId="9" hidden="1"/>
    <cellStyle name="Followed Hyperlink" xfId="83" builtinId="9" hidden="1"/>
    <cellStyle name="Followed Hyperlink" xfId="144" builtinId="9" hidden="1"/>
    <cellStyle name="Followed Hyperlink" xfId="175" builtinId="9" hidden="1"/>
    <cellStyle name="Followed Hyperlink" xfId="165" builtinId="9" hidden="1"/>
    <cellStyle name="Followed Hyperlink" xfId="154" builtinId="9" hidden="1"/>
    <cellStyle name="Followed Hyperlink" xfId="143" builtinId="9" hidden="1"/>
    <cellStyle name="Followed Hyperlink" xfId="126" builtinId="9" hidden="1"/>
    <cellStyle name="Followed Hyperlink" xfId="103" builtinId="9" hidden="1"/>
    <cellStyle name="Followed Hyperlink" xfId="81" builtinId="9" hidden="1"/>
    <cellStyle name="Followed Hyperlink" xfId="184" builtinId="9" hidden="1"/>
    <cellStyle name="Followed Hyperlink" xfId="200" builtinId="9" hidden="1"/>
    <cellStyle name="Followed Hyperlink" xfId="216" builtinId="9" hidden="1"/>
    <cellStyle name="Followed Hyperlink" xfId="232" builtinId="9" hidden="1"/>
    <cellStyle name="Followed Hyperlink" xfId="248" builtinId="9" hidden="1"/>
    <cellStyle name="Followed Hyperlink" xfId="265" builtinId="9" hidden="1"/>
    <cellStyle name="Followed Hyperlink" xfId="281" builtinId="9" hidden="1"/>
    <cellStyle name="Followed Hyperlink" xfId="297" builtinId="9" hidden="1"/>
    <cellStyle name="Followed Hyperlink" xfId="313" builtinId="9" hidden="1"/>
    <cellStyle name="Followed Hyperlink" xfId="329" builtinId="9" hidden="1"/>
    <cellStyle name="Followed Hyperlink" xfId="365" builtinId="9" hidden="1"/>
    <cellStyle name="Followed Hyperlink" xfId="381" builtinId="9" hidden="1"/>
    <cellStyle name="Followed Hyperlink" xfId="397" builtinId="9" hidden="1"/>
    <cellStyle name="Followed Hyperlink" xfId="413" builtinId="9" hidden="1"/>
    <cellStyle name="Followed Hyperlink" xfId="442" builtinId="9" hidden="1"/>
    <cellStyle name="Followed Hyperlink" xfId="470" builtinId="9" hidden="1"/>
    <cellStyle name="Followed Hyperlink" xfId="502" builtinId="9" hidden="1"/>
    <cellStyle name="Followed Hyperlink" xfId="534" builtinId="9" hidden="1"/>
    <cellStyle name="Followed Hyperlink" xfId="684" builtinId="9" hidden="1"/>
    <cellStyle name="Followed Hyperlink" xfId="700" builtinId="9" hidden="1"/>
    <cellStyle name="Followed Hyperlink" xfId="716" builtinId="9" hidden="1"/>
    <cellStyle name="Followed Hyperlink" xfId="732" builtinId="9" hidden="1"/>
    <cellStyle name="Followed Hyperlink" xfId="753" builtinId="9" hidden="1"/>
    <cellStyle name="Followed Hyperlink" xfId="769" builtinId="9" hidden="1"/>
    <cellStyle name="Followed Hyperlink" xfId="785" builtinId="9" hidden="1"/>
    <cellStyle name="Followed Hyperlink" xfId="801" builtinId="9" hidden="1"/>
    <cellStyle name="Followed Hyperlink" xfId="817" builtinId="9" hidden="1"/>
    <cellStyle name="Followed Hyperlink" xfId="833" builtinId="9" hidden="1"/>
    <cellStyle name="Followed Hyperlink" xfId="849" builtinId="9" hidden="1"/>
    <cellStyle name="Followed Hyperlink" xfId="865" builtinId="9" hidden="1"/>
    <cellStyle name="Followed Hyperlink" xfId="881" builtinId="9" hidden="1"/>
    <cellStyle name="Followed Hyperlink" xfId="897" builtinId="9" hidden="1"/>
    <cellStyle name="Followed Hyperlink" xfId="915" builtinId="9" hidden="1"/>
    <cellStyle name="Followed Hyperlink" xfId="939" builtinId="9" hidden="1"/>
    <cellStyle name="Followed Hyperlink" xfId="955" builtinId="9" hidden="1"/>
    <cellStyle name="Followed Hyperlink" xfId="971" builtinId="9" hidden="1"/>
    <cellStyle name="Followed Hyperlink" xfId="990" builtinId="9" hidden="1"/>
    <cellStyle name="Followed Hyperlink" xfId="1007" builtinId="9" hidden="1"/>
    <cellStyle name="Followed Hyperlink" xfId="1023" builtinId="9" hidden="1"/>
    <cellStyle name="Followed Hyperlink" xfId="1039" builtinId="9" hidden="1"/>
    <cellStyle name="Followed Hyperlink" xfId="1055" builtinId="9" hidden="1"/>
    <cellStyle name="Followed Hyperlink" xfId="1071" builtinId="9" hidden="1"/>
    <cellStyle name="Followed Hyperlink" xfId="1093" builtinId="9" hidden="1"/>
    <cellStyle name="Followed Hyperlink" xfId="1152" builtinId="9" hidden="1"/>
    <cellStyle name="Followed Hyperlink" xfId="1168" builtinId="9" hidden="1"/>
    <cellStyle name="Followed Hyperlink" xfId="1186" builtinId="9" hidden="1"/>
    <cellStyle name="Followed Hyperlink" xfId="1202" builtinId="9" hidden="1"/>
    <cellStyle name="Followed Hyperlink" xfId="1218" builtinId="9" hidden="1"/>
    <cellStyle name="Followed Hyperlink" xfId="1209" builtinId="9" hidden="1"/>
    <cellStyle name="Followed Hyperlink" xfId="1193" builtinId="9" hidden="1"/>
    <cellStyle name="Followed Hyperlink" xfId="1177" builtinId="9" hidden="1"/>
    <cellStyle name="Followed Hyperlink" xfId="1159" builtinId="9" hidden="1"/>
    <cellStyle name="Followed Hyperlink" xfId="1103" builtinId="9" hidden="1"/>
    <cellStyle name="Followed Hyperlink" xfId="1078" builtinId="9" hidden="1"/>
    <cellStyle name="Followed Hyperlink" xfId="1062" builtinId="9" hidden="1"/>
    <cellStyle name="Followed Hyperlink" xfId="1046" builtinId="9" hidden="1"/>
    <cellStyle name="Followed Hyperlink" xfId="1030" builtinId="9" hidden="1"/>
    <cellStyle name="Followed Hyperlink" xfId="1014" builtinId="9" hidden="1"/>
    <cellStyle name="Followed Hyperlink" xfId="997" builtinId="9" hidden="1"/>
    <cellStyle name="Followed Hyperlink" xfId="978" builtinId="9" hidden="1"/>
    <cellStyle name="Followed Hyperlink" xfId="962" builtinId="9" hidden="1"/>
    <cellStyle name="Followed Hyperlink" xfId="946" builtinId="9" hidden="1"/>
    <cellStyle name="Followed Hyperlink" xfId="923" builtinId="9" hidden="1"/>
    <cellStyle name="Followed Hyperlink" xfId="904" builtinId="9" hidden="1"/>
    <cellStyle name="Followed Hyperlink" xfId="888" builtinId="9" hidden="1"/>
    <cellStyle name="Followed Hyperlink" xfId="872" builtinId="9" hidden="1"/>
    <cellStyle name="Followed Hyperlink" xfId="856" builtinId="9" hidden="1"/>
    <cellStyle name="Followed Hyperlink" xfId="840" builtinId="9" hidden="1"/>
    <cellStyle name="Followed Hyperlink" xfId="824" builtinId="9" hidden="1"/>
    <cellStyle name="Followed Hyperlink" xfId="808" builtinId="9" hidden="1"/>
    <cellStyle name="Followed Hyperlink" xfId="792" builtinId="9" hidden="1"/>
    <cellStyle name="Followed Hyperlink" xfId="776" builtinId="9" hidden="1"/>
    <cellStyle name="Followed Hyperlink" xfId="760" builtinId="9" hidden="1"/>
    <cellStyle name="Followed Hyperlink" xfId="744" builtinId="9" hidden="1"/>
    <cellStyle name="Followed Hyperlink" xfId="723" builtinId="9" hidden="1"/>
    <cellStyle name="Followed Hyperlink" xfId="707" builtinId="9" hidden="1"/>
    <cellStyle name="Followed Hyperlink" xfId="691" builtinId="9" hidden="1"/>
    <cellStyle name="Followed Hyperlink" xfId="675" builtinId="9" hidden="1"/>
    <cellStyle name="Followed Hyperlink" xfId="516" builtinId="9" hidden="1"/>
    <cellStyle name="Followed Hyperlink" xfId="484" builtinId="9" hidden="1"/>
    <cellStyle name="Followed Hyperlink" xfId="452" builtinId="9" hidden="1"/>
    <cellStyle name="Followed Hyperlink" xfId="433" builtinId="9" hidden="1"/>
    <cellStyle name="Followed Hyperlink" xfId="404" builtinId="9" hidden="1"/>
    <cellStyle name="Followed Hyperlink" xfId="253" builtinId="9" hidden="1"/>
    <cellStyle name="Followed Hyperlink" xfId="266" builtinId="9" hidden="1"/>
    <cellStyle name="Followed Hyperlink" xfId="276" builtinId="9" hidden="1"/>
    <cellStyle name="Followed Hyperlink" xfId="286" builtinId="9" hidden="1"/>
    <cellStyle name="Followed Hyperlink" xfId="298" builtinId="9" hidden="1"/>
    <cellStyle name="Followed Hyperlink" xfId="308" builtinId="9" hidden="1"/>
    <cellStyle name="Followed Hyperlink" xfId="318" builtinId="9" hidden="1"/>
    <cellStyle name="Followed Hyperlink" xfId="330" builtinId="9" hidden="1"/>
    <cellStyle name="Followed Hyperlink" xfId="340" builtinId="9" hidden="1"/>
    <cellStyle name="Followed Hyperlink" xfId="370" builtinId="9" hidden="1"/>
    <cellStyle name="Followed Hyperlink" xfId="382" builtinId="9" hidden="1"/>
    <cellStyle name="Followed Hyperlink" xfId="392" builtinId="9" hidden="1"/>
    <cellStyle name="Followed Hyperlink" xfId="402" builtinId="9" hidden="1"/>
    <cellStyle name="Followed Hyperlink" xfId="372" builtinId="9" hidden="1"/>
    <cellStyle name="Followed Hyperlink" xfId="320" builtinId="9" hidden="1"/>
    <cellStyle name="Followed Hyperlink" xfId="288" builtinId="9" hidden="1"/>
    <cellStyle name="Followed Hyperlink" xfId="255" builtinId="9" hidden="1"/>
    <cellStyle name="Followed Hyperlink" xfId="211" builtinId="9" hidden="1"/>
    <cellStyle name="Followed Hyperlink" xfId="219" builtinId="9" hidden="1"/>
    <cellStyle name="Followed Hyperlink" xfId="229" builtinId="9" hidden="1"/>
    <cellStyle name="Followed Hyperlink" xfId="237" builtinId="9" hidden="1"/>
    <cellStyle name="Followed Hyperlink" xfId="223" builtinId="9" hidden="1"/>
    <cellStyle name="Followed Hyperlink" xfId="195" builtinId="9" hidden="1"/>
    <cellStyle name="Followed Hyperlink" xfId="203" builtinId="9" hidden="1"/>
    <cellStyle name="Followed Hyperlink" xfId="187" builtinId="9" hidden="1"/>
    <cellStyle name="Followed Hyperlink" xfId="177" builtinId="9" hidden="1"/>
    <cellStyle name="Followed Hyperlink" xfId="185" builtinId="9" hidden="1"/>
    <cellStyle name="Followed Hyperlink" xfId="201" builtinId="9" hidden="1"/>
    <cellStyle name="Followed Hyperlink" xfId="193" builtinId="9" hidden="1"/>
    <cellStyle name="Followed Hyperlink" xfId="239" builtinId="9" hidden="1"/>
    <cellStyle name="Followed Hyperlink" xfId="235" builtinId="9" hidden="1"/>
    <cellStyle name="Followed Hyperlink" xfId="227" builtinId="9" hidden="1"/>
    <cellStyle name="Followed Hyperlink" xfId="217" builtinId="9" hidden="1"/>
    <cellStyle name="Followed Hyperlink" xfId="209" builtinId="9" hidden="1"/>
    <cellStyle name="Followed Hyperlink" xfId="264" builtinId="9" hidden="1"/>
    <cellStyle name="Followed Hyperlink" xfId="296" builtinId="9" hidden="1"/>
    <cellStyle name="Followed Hyperlink" xfId="328" builtinId="9" hidden="1"/>
    <cellStyle name="Followed Hyperlink" xfId="380" builtinId="9" hidden="1"/>
    <cellStyle name="Followed Hyperlink" xfId="400" builtinId="9" hidden="1"/>
    <cellStyle name="Followed Hyperlink" xfId="390" builtinId="9" hidden="1"/>
    <cellStyle name="Followed Hyperlink" xfId="378" builtinId="9" hidden="1"/>
    <cellStyle name="Followed Hyperlink" xfId="368" builtinId="9" hidden="1"/>
    <cellStyle name="Followed Hyperlink" xfId="338" builtinId="9" hidden="1"/>
    <cellStyle name="Followed Hyperlink" xfId="326" builtinId="9" hidden="1"/>
    <cellStyle name="Followed Hyperlink" xfId="316" builtinId="9" hidden="1"/>
    <cellStyle name="Followed Hyperlink" xfId="306" builtinId="9" hidden="1"/>
    <cellStyle name="Followed Hyperlink" xfId="294" builtinId="9" hidden="1"/>
    <cellStyle name="Followed Hyperlink" xfId="284" builtinId="9" hidden="1"/>
    <cellStyle name="Followed Hyperlink" xfId="274" builtinId="9" hidden="1"/>
    <cellStyle name="Followed Hyperlink" xfId="261" builtinId="9" hidden="1"/>
    <cellStyle name="Followed Hyperlink" xfId="251" builtinId="9" hidden="1"/>
    <cellStyle name="Followed Hyperlink" xfId="408" builtinId="9" hidden="1"/>
    <cellStyle name="Followed Hyperlink" xfId="437" builtinId="9" hidden="1"/>
    <cellStyle name="Followed Hyperlink" xfId="460" builtinId="9" hidden="1"/>
    <cellStyle name="Followed Hyperlink" xfId="492" builtinId="9" hidden="1"/>
    <cellStyle name="Followed Hyperlink" xfId="524" builtinId="9" hidden="1"/>
    <cellStyle name="Followed Hyperlink" xfId="679" builtinId="9" hidden="1"/>
    <cellStyle name="Followed Hyperlink" xfId="695" builtinId="9" hidden="1"/>
    <cellStyle name="Followed Hyperlink" xfId="711" builtinId="9" hidden="1"/>
    <cellStyle name="Followed Hyperlink" xfId="727" builtinId="9" hidden="1"/>
    <cellStyle name="Followed Hyperlink" xfId="748" builtinId="9" hidden="1"/>
    <cellStyle name="Followed Hyperlink" xfId="764" builtinId="9" hidden="1"/>
    <cellStyle name="Followed Hyperlink" xfId="780" builtinId="9" hidden="1"/>
    <cellStyle name="Followed Hyperlink" xfId="796" builtinId="9" hidden="1"/>
    <cellStyle name="Followed Hyperlink" xfId="812" builtinId="9" hidden="1"/>
    <cellStyle name="Followed Hyperlink" xfId="828" builtinId="9" hidden="1"/>
    <cellStyle name="Followed Hyperlink" xfId="844" builtinId="9" hidden="1"/>
    <cellStyle name="Followed Hyperlink" xfId="860" builtinId="9" hidden="1"/>
    <cellStyle name="Followed Hyperlink" xfId="876" builtinId="9" hidden="1"/>
    <cellStyle name="Followed Hyperlink" xfId="892" builtinId="9" hidden="1"/>
    <cellStyle name="Followed Hyperlink" xfId="910" builtinId="9" hidden="1"/>
    <cellStyle name="Followed Hyperlink" xfId="927" builtinId="9" hidden="1"/>
    <cellStyle name="Followed Hyperlink" xfId="950" builtinId="9" hidden="1"/>
    <cellStyle name="Followed Hyperlink" xfId="966" builtinId="9" hidden="1"/>
    <cellStyle name="Followed Hyperlink" xfId="985" builtinId="9" hidden="1"/>
    <cellStyle name="Followed Hyperlink" xfId="1002" builtinId="9" hidden="1"/>
    <cellStyle name="Followed Hyperlink" xfId="1018" builtinId="9" hidden="1"/>
    <cellStyle name="Followed Hyperlink" xfId="1034" builtinId="9" hidden="1"/>
    <cellStyle name="Followed Hyperlink" xfId="1050" builtinId="9" hidden="1"/>
    <cellStyle name="Followed Hyperlink" xfId="1066" builtinId="9" hidden="1"/>
    <cellStyle name="Followed Hyperlink" xfId="1088" builtinId="9" hidden="1"/>
    <cellStyle name="Followed Hyperlink" xfId="1111" builtinId="9" hidden="1"/>
    <cellStyle name="Followed Hyperlink" xfId="1163" builtinId="9" hidden="1"/>
    <cellStyle name="Followed Hyperlink" xfId="1181" builtinId="9" hidden="1"/>
    <cellStyle name="Followed Hyperlink" xfId="1197" builtinId="9" hidden="1"/>
    <cellStyle name="Followed Hyperlink" xfId="1213" builtinId="9" hidden="1"/>
    <cellStyle name="Followed Hyperlink" xfId="1214" builtinId="9" hidden="1"/>
    <cellStyle name="Followed Hyperlink" xfId="1198" builtinId="9" hidden="1"/>
    <cellStyle name="Followed Hyperlink" xfId="1182" builtinId="9" hidden="1"/>
    <cellStyle name="Followed Hyperlink" xfId="1164" builtinId="9" hidden="1"/>
    <cellStyle name="Followed Hyperlink" xfId="1112" builtinId="9" hidden="1"/>
    <cellStyle name="Followed Hyperlink" xfId="1089" builtinId="9" hidden="1"/>
    <cellStyle name="Followed Hyperlink" xfId="1067" builtinId="9" hidden="1"/>
    <cellStyle name="Followed Hyperlink" xfId="1051" builtinId="9" hidden="1"/>
    <cellStyle name="Followed Hyperlink" xfId="1035" builtinId="9" hidden="1"/>
    <cellStyle name="Followed Hyperlink" xfId="1019" builtinId="9" hidden="1"/>
    <cellStyle name="Followed Hyperlink" xfId="1003" builtinId="9" hidden="1"/>
    <cellStyle name="Followed Hyperlink" xfId="986" builtinId="9" hidden="1"/>
    <cellStyle name="Followed Hyperlink" xfId="967" builtinId="9" hidden="1"/>
    <cellStyle name="Followed Hyperlink" xfId="951" builtinId="9" hidden="1"/>
    <cellStyle name="Followed Hyperlink" xfId="935" builtinId="9" hidden="1"/>
    <cellStyle name="Followed Hyperlink" xfId="911" builtinId="9" hidden="1"/>
    <cellStyle name="Followed Hyperlink" xfId="893" builtinId="9" hidden="1"/>
    <cellStyle name="Followed Hyperlink" xfId="877" builtinId="9" hidden="1"/>
    <cellStyle name="Followed Hyperlink" xfId="861" builtinId="9" hidden="1"/>
    <cellStyle name="Followed Hyperlink" xfId="845" builtinId="9" hidden="1"/>
    <cellStyle name="Followed Hyperlink" xfId="829" builtinId="9" hidden="1"/>
    <cellStyle name="Followed Hyperlink" xfId="813" builtinId="9" hidden="1"/>
    <cellStyle name="Followed Hyperlink" xfId="797" builtinId="9" hidden="1"/>
    <cellStyle name="Followed Hyperlink" xfId="781" builtinId="9" hidden="1"/>
    <cellStyle name="Followed Hyperlink" xfId="765" builtinId="9" hidden="1"/>
    <cellStyle name="Followed Hyperlink" xfId="749" builtinId="9" hidden="1"/>
    <cellStyle name="Followed Hyperlink" xfId="728" builtinId="9" hidden="1"/>
    <cellStyle name="Followed Hyperlink" xfId="712" builtinId="9" hidden="1"/>
    <cellStyle name="Followed Hyperlink" xfId="696" builtinId="9" hidden="1"/>
    <cellStyle name="Followed Hyperlink" xfId="680" builtinId="9" hidden="1"/>
    <cellStyle name="Followed Hyperlink" xfId="526" builtinId="9" hidden="1"/>
    <cellStyle name="Followed Hyperlink" xfId="494" builtinId="9" hidden="1"/>
    <cellStyle name="Followed Hyperlink" xfId="462" builtinId="9" hidden="1"/>
    <cellStyle name="Followed Hyperlink" xfId="438" builtinId="9" hidden="1"/>
    <cellStyle name="Followed Hyperlink" xfId="409" builtinId="9" hidden="1"/>
    <cellStyle name="Followed Hyperlink" xfId="393" builtinId="9" hidden="1"/>
    <cellStyle name="Followed Hyperlink" xfId="377" builtinId="9" hidden="1"/>
    <cellStyle name="Followed Hyperlink" xfId="361" builtinId="9" hidden="1"/>
    <cellStyle name="Followed Hyperlink" xfId="325" builtinId="9" hidden="1"/>
    <cellStyle name="Followed Hyperlink" xfId="309" builtinId="9" hidden="1"/>
    <cellStyle name="Followed Hyperlink" xfId="293" builtinId="9" hidden="1"/>
    <cellStyle name="Followed Hyperlink" xfId="277" builtinId="9" hidden="1"/>
    <cellStyle name="Followed Hyperlink" xfId="260" builtinId="9" hidden="1"/>
    <cellStyle name="Followed Hyperlink" xfId="244" builtinId="9" hidden="1"/>
    <cellStyle name="Followed Hyperlink" xfId="228" builtinId="9" hidden="1"/>
    <cellStyle name="Followed Hyperlink" xfId="212" builtinId="9" hidden="1"/>
    <cellStyle name="Followed Hyperlink" xfId="196" builtinId="9" hidden="1"/>
    <cellStyle name="Followed Hyperlink" xfId="180" builtinId="9" hidden="1"/>
    <cellStyle name="Followed Hyperlink" xfId="87" builtinId="9" hidden="1"/>
    <cellStyle name="Followed Hyperlink" xfId="109" builtinId="9" hidden="1"/>
    <cellStyle name="Followed Hyperlink" xfId="130" builtinId="9" hidden="1"/>
    <cellStyle name="Followed Hyperlink" xfId="146" builtinId="9" hidden="1"/>
    <cellStyle name="Followed Hyperlink" xfId="157" builtinId="9" hidden="1"/>
    <cellStyle name="Followed Hyperlink" xfId="167" builtinId="9" hidden="1"/>
    <cellStyle name="Followed Hyperlink" xfId="168" builtinId="9" hidden="1"/>
    <cellStyle name="Followed Hyperlink" xfId="132" builtinId="9" hidden="1"/>
    <cellStyle name="Followed Hyperlink" xfId="33" builtinId="9" hidden="1"/>
    <cellStyle name="Followed Hyperlink" xfId="53" builtinId="9" hidden="1"/>
    <cellStyle name="Followed Hyperlink" xfId="71" builtinId="9" hidden="1"/>
    <cellStyle name="Followed Hyperlink" xfId="27" builtinId="9" hidden="1"/>
    <cellStyle name="Followed Hyperlink" xfId="9" builtinId="9" hidden="1"/>
    <cellStyle name="Followed Hyperlink" xfId="19" builtinId="9" hidden="1"/>
    <cellStyle name="Followed Hyperlink" xfId="35" builtinId="9" hidden="1"/>
    <cellStyle name="Followed Hyperlink" xfId="59" builtinId="9" hidden="1"/>
    <cellStyle name="Followed Hyperlink" xfId="41" builtinId="9" hidden="1"/>
    <cellStyle name="Followed Hyperlink" xfId="107" builtinId="9" hidden="1"/>
    <cellStyle name="Followed Hyperlink" xfId="156" builtinId="9" hidden="1"/>
    <cellStyle name="Followed Hyperlink" xfId="171" builtinId="9" hidden="1"/>
    <cellStyle name="Followed Hyperlink" xfId="161" builtinId="9" hidden="1"/>
    <cellStyle name="Followed Hyperlink" xfId="150" builtinId="9" hidden="1"/>
    <cellStyle name="Followed Hyperlink" xfId="138" builtinId="9" hidden="1"/>
    <cellStyle name="Followed Hyperlink" xfId="118" builtinId="9" hidden="1"/>
    <cellStyle name="Followed Hyperlink" xfId="95" builtinId="9" hidden="1"/>
    <cellStyle name="Followed Hyperlink" xfId="73" builtinId="9" hidden="1"/>
    <cellStyle name="Followed Hyperlink" xfId="190" builtinId="9" hidden="1"/>
    <cellStyle name="Followed Hyperlink" xfId="206" builtinId="9" hidden="1"/>
    <cellStyle name="Followed Hyperlink" xfId="222" builtinId="9" hidden="1"/>
    <cellStyle name="Followed Hyperlink" xfId="238" builtinId="9" hidden="1"/>
    <cellStyle name="Followed Hyperlink" xfId="254" builtinId="9" hidden="1"/>
    <cellStyle name="Followed Hyperlink" xfId="1037" builtinId="9" hidden="1"/>
    <cellStyle name="Followed Hyperlink" xfId="1021" builtinId="9" hidden="1"/>
    <cellStyle name="Followed Hyperlink" xfId="1013" builtinId="9" hidden="1"/>
    <cellStyle name="Followed Hyperlink" xfId="1005" builtinId="9" hidden="1"/>
    <cellStyle name="Followed Hyperlink" xfId="988" builtinId="9" hidden="1"/>
    <cellStyle name="Followed Hyperlink" xfId="977" builtinId="9" hidden="1"/>
    <cellStyle name="Followed Hyperlink" xfId="969" builtinId="9" hidden="1"/>
    <cellStyle name="Followed Hyperlink" xfId="953" builtinId="9" hidden="1"/>
    <cellStyle name="Followed Hyperlink" xfId="945" builtinId="9" hidden="1"/>
    <cellStyle name="Followed Hyperlink" xfId="937" builtinId="9" hidden="1"/>
    <cellStyle name="Followed Hyperlink" xfId="913" builtinId="9" hidden="1"/>
    <cellStyle name="Followed Hyperlink" xfId="903" builtinId="9" hidden="1"/>
    <cellStyle name="Followed Hyperlink" xfId="895" builtinId="9" hidden="1"/>
    <cellStyle name="Followed Hyperlink" xfId="879" builtinId="9" hidden="1"/>
    <cellStyle name="Followed Hyperlink" xfId="871" builtinId="9" hidden="1"/>
    <cellStyle name="Followed Hyperlink" xfId="863" builtinId="9" hidden="1"/>
    <cellStyle name="Followed Hyperlink" xfId="847" builtinId="9" hidden="1"/>
    <cellStyle name="Followed Hyperlink" xfId="839" builtinId="9" hidden="1"/>
    <cellStyle name="Followed Hyperlink" xfId="831" builtinId="9" hidden="1"/>
    <cellStyle name="Followed Hyperlink" xfId="815" builtinId="9" hidden="1"/>
    <cellStyle name="Followed Hyperlink" xfId="807" builtinId="9" hidden="1"/>
    <cellStyle name="Followed Hyperlink" xfId="799" builtinId="9" hidden="1"/>
    <cellStyle name="Followed Hyperlink" xfId="783" builtinId="9" hidden="1"/>
    <cellStyle name="Followed Hyperlink" xfId="775" builtinId="9" hidden="1"/>
    <cellStyle name="Followed Hyperlink" xfId="767" builtinId="9" hidden="1"/>
    <cellStyle name="Followed Hyperlink" xfId="751" builtinId="9" hidden="1"/>
    <cellStyle name="Followed Hyperlink" xfId="743" builtinId="9" hidden="1"/>
    <cellStyle name="Followed Hyperlink" xfId="730" builtinId="9" hidden="1"/>
    <cellStyle name="Followed Hyperlink" xfId="714" builtinId="9" hidden="1"/>
    <cellStyle name="Followed Hyperlink" xfId="706" builtinId="9" hidden="1"/>
    <cellStyle name="Followed Hyperlink" xfId="698" builtinId="9" hidden="1"/>
    <cellStyle name="Followed Hyperlink" xfId="682" builtinId="9" hidden="1"/>
    <cellStyle name="Followed Hyperlink" xfId="674" builtinId="9" hidden="1"/>
    <cellStyle name="Followed Hyperlink" xfId="530" builtinId="9" hidden="1"/>
    <cellStyle name="Followed Hyperlink" xfId="498" builtinId="9" hidden="1"/>
    <cellStyle name="Followed Hyperlink" xfId="482" builtinId="9" hidden="1"/>
    <cellStyle name="Followed Hyperlink" xfId="466" builtinId="9" hidden="1"/>
    <cellStyle name="Followed Hyperlink" xfId="440" builtinId="9" hidden="1"/>
    <cellStyle name="Followed Hyperlink" xfId="432" builtinId="9" hidden="1"/>
    <cellStyle name="Followed Hyperlink" xfId="411" builtinId="9" hidden="1"/>
    <cellStyle name="Followed Hyperlink" xfId="395" builtinId="9" hidden="1"/>
    <cellStyle name="Followed Hyperlink" xfId="387" builtinId="9" hidden="1"/>
    <cellStyle name="Followed Hyperlink" xfId="379" builtinId="9" hidden="1"/>
    <cellStyle name="Followed Hyperlink" xfId="363" builtinId="9" hidden="1"/>
    <cellStyle name="Followed Hyperlink" xfId="335" builtinId="9" hidden="1"/>
    <cellStyle name="Followed Hyperlink" xfId="327" builtinId="9" hidden="1"/>
    <cellStyle name="Followed Hyperlink" xfId="311" builtinId="9" hidden="1"/>
    <cellStyle name="Followed Hyperlink" xfId="303" builtinId="9" hidden="1"/>
    <cellStyle name="Followed Hyperlink" xfId="295" builtinId="9" hidden="1"/>
    <cellStyle name="Followed Hyperlink" xfId="279" builtinId="9" hidden="1"/>
    <cellStyle name="Followed Hyperlink" xfId="271" builtinId="9" hidden="1"/>
    <cellStyle name="Followed Hyperlink" xfId="262" builtinId="9" hidden="1"/>
    <cellStyle name="Followed Hyperlink" xfId="287" builtinId="9" hidden="1"/>
    <cellStyle name="Followed Hyperlink" xfId="319" builtinId="9" hidden="1"/>
    <cellStyle name="Followed Hyperlink" xfId="371" builtinId="9" hidden="1"/>
    <cellStyle name="Followed Hyperlink" xfId="403" builtinId="9" hidden="1"/>
    <cellStyle name="Followed Hyperlink" xfId="450" builtinId="9" hidden="1"/>
    <cellStyle name="Followed Hyperlink" xfId="514" builtinId="9" hidden="1"/>
    <cellStyle name="Followed Hyperlink" xfId="690" builtinId="9" hidden="1"/>
    <cellStyle name="Followed Hyperlink" xfId="722" builtinId="9" hidden="1"/>
    <cellStyle name="Followed Hyperlink" xfId="759" builtinId="9" hidden="1"/>
    <cellStyle name="Followed Hyperlink" xfId="791" builtinId="9" hidden="1"/>
    <cellStyle name="Followed Hyperlink" xfId="823" builtinId="9" hidden="1"/>
    <cellStyle name="Followed Hyperlink" xfId="855" builtinId="9" hidden="1"/>
    <cellStyle name="Followed Hyperlink" xfId="887" builtinId="9" hidden="1"/>
    <cellStyle name="Followed Hyperlink" xfId="922" builtinId="9" hidden="1"/>
    <cellStyle name="Followed Hyperlink" xfId="961" builtinId="9" hidden="1"/>
    <cellStyle name="Followed Hyperlink" xfId="996" builtinId="9" hidden="1"/>
    <cellStyle name="Followed Hyperlink" xfId="1029" builtinId="9" hidden="1"/>
    <cellStyle name="Followed Hyperlink" xfId="1195" builtinId="9" hidden="1"/>
    <cellStyle name="Followed Hyperlink" xfId="1211" builtinId="9" hidden="1"/>
    <cellStyle name="Followed Hyperlink" xfId="1219" builtinId="9" hidden="1"/>
    <cellStyle name="Followed Hyperlink" xfId="1216" builtinId="9" hidden="1"/>
    <cellStyle name="Followed Hyperlink" xfId="1208" builtinId="9" hidden="1"/>
    <cellStyle name="Followed Hyperlink" xfId="1200" builtinId="9" hidden="1"/>
    <cellStyle name="Followed Hyperlink" xfId="1192" builtinId="9" hidden="1"/>
    <cellStyle name="Followed Hyperlink" xfId="1184" builtinId="9" hidden="1"/>
    <cellStyle name="Followed Hyperlink" xfId="1166" builtinId="9" hidden="1"/>
    <cellStyle name="Followed Hyperlink" xfId="1158" builtinId="9" hidden="1"/>
    <cellStyle name="Followed Hyperlink" xfId="1114" builtinId="9" hidden="1"/>
    <cellStyle name="Followed Hyperlink" xfId="1102" builtinId="9" hidden="1"/>
    <cellStyle name="Followed Hyperlink" xfId="1091" builtinId="9" hidden="1"/>
    <cellStyle name="Followed Hyperlink" xfId="1077" builtinId="9" hidden="1"/>
    <cellStyle name="Followed Hyperlink" xfId="1069" builtinId="9" hidden="1"/>
    <cellStyle name="Followed Hyperlink" xfId="1053" builtinId="9" hidden="1"/>
    <cellStyle name="Followed Hyperlink" xfId="1045" builtinId="9" hidden="1"/>
    <cellStyle name="Followed Hyperlink" xfId="1061" builtinId="9" hidden="1"/>
    <cellStyle name="Followed Hyperlink" xfId="1176" builtinId="9" hidden="1"/>
    <cellStyle name="Followed Hyperlink" xfId="1203" builtinId="9" hidden="1"/>
    <cellStyle name="Followed Hyperlink" xfId="1086" builtinId="9" hidden="1"/>
    <cellStyle name="Followed Hyperlink" xfId="1109" builtinId="9" hidden="1"/>
    <cellStyle name="Followed Hyperlink" xfId="1153" builtinId="9" hidden="1"/>
    <cellStyle name="Followed Hyperlink" xfId="1161" builtinId="9" hidden="1"/>
    <cellStyle name="Followed Hyperlink" xfId="1169" builtinId="9" hidden="1"/>
    <cellStyle name="Followed Hyperlink" xfId="1179" builtinId="9" hidden="1"/>
    <cellStyle name="Followed Hyperlink" xfId="1187" builtinId="9" hidden="1"/>
    <cellStyle name="Followed Hyperlink" xfId="1094" builtinId="9" hidden="1"/>
    <cellStyle name="Followed Hyperlink" xfId="1056" builtinId="9" hidden="1"/>
    <cellStyle name="Followed Hyperlink" xfId="1064" builtinId="9" hidden="1"/>
    <cellStyle name="Followed Hyperlink" xfId="1072" builtinId="9" hidden="1"/>
    <cellStyle name="Followed Hyperlink" xfId="1040" builtinId="9" hidden="1"/>
    <cellStyle name="Followed Hyperlink" xfId="1048" builtinId="9" hidden="1"/>
    <cellStyle name="Followed Hyperlink" xfId="1032" builtinId="9" hidden="1"/>
    <cellStyle name="Good 2" xfId="582" xr:uid="{00000000-0005-0000-0000-0000AA030000}"/>
    <cellStyle name="Heading 1 2" xfId="583" xr:uid="{00000000-0005-0000-0000-0000AB030000}"/>
    <cellStyle name="Heading 2 2" xfId="584" xr:uid="{00000000-0005-0000-0000-0000AC030000}"/>
    <cellStyle name="Heading 3 2" xfId="585" xr:uid="{00000000-0005-0000-0000-0000AD030000}"/>
    <cellStyle name="Heading 4 2" xfId="586" xr:uid="{00000000-0005-0000-0000-0000AE030000}"/>
    <cellStyle name="Hyperlink" xfId="519" builtinId="8" hidden="1"/>
    <cellStyle name="Hyperlink" xfId="521" builtinId="8" hidden="1"/>
    <cellStyle name="Hyperlink" xfId="525" builtinId="8" hidden="1"/>
    <cellStyle name="Hyperlink" xfId="527" builtinId="8" hidden="1"/>
    <cellStyle name="Hyperlink" xfId="529" builtinId="8" hidden="1"/>
    <cellStyle name="Hyperlink" xfId="533" builtinId="8" hidden="1"/>
    <cellStyle name="Hyperlink" xfId="523" builtinId="8" hidden="1"/>
    <cellStyle name="Hyperlink" xfId="491"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8"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4" builtinId="8" hidden="1"/>
    <cellStyle name="Hyperlink" xfId="58" builtinId="8" hidden="1"/>
    <cellStyle name="Hyperlink" xfId="60" builtinId="8" hidden="1"/>
    <cellStyle name="Hyperlink" xfId="62" builtinId="8" hidden="1"/>
    <cellStyle name="Hyperlink" xfId="64" builtinId="8" hidden="1"/>
    <cellStyle name="Hyperlink" xfId="18" builtinId="8" hidden="1"/>
    <cellStyle name="Hyperlink" xfId="20" builtinId="8" hidden="1"/>
    <cellStyle name="Hyperlink" xfId="121"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86" builtinId="8" hidden="1"/>
    <cellStyle name="Hyperlink" xfId="34" builtinId="8" hidden="1"/>
    <cellStyle name="Hyperlink" xfId="112" builtinId="8" hidden="1"/>
    <cellStyle name="Hyperlink" xfId="117" builtinId="8" hidden="1"/>
    <cellStyle name="Hyperlink" xfId="119" builtinId="8" hidden="1"/>
    <cellStyle name="Hyperlink" xfId="108" builtinId="8" hidden="1"/>
    <cellStyle name="Hyperlink" xfId="110" builtinId="8" hidden="1"/>
    <cellStyle name="Hyperlink" xfId="106" builtinId="8" hidden="1"/>
    <cellStyle name="Hyperlink" xfId="115" builtinId="8" hidden="1"/>
    <cellStyle name="Hyperlink" xfId="56" builtinId="8" hidden="1"/>
    <cellStyle name="Hyperlink" xfId="459"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49" builtinId="8" hidden="1"/>
    <cellStyle name="Hyperlink" xfId="453" builtinId="8" hidden="1"/>
    <cellStyle name="Hyperlink" xfId="455" builtinId="8" hidden="1"/>
    <cellStyle name="Hyperlink" xfId="137" builtinId="8" hidden="1"/>
    <cellStyle name="Hyperlink" xfId="135" builtinId="8" hidden="1"/>
    <cellStyle name="Hyperlink" xfId="451" builtinId="8" hidden="1"/>
    <cellStyle name="Hyperlink" xfId="495" builtinId="8" hidden="1"/>
    <cellStyle name="Hyperlink" xfId="94"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10" builtinId="8" hidden="1"/>
    <cellStyle name="Hyperlink" xfId="14" builtinId="8" hidden="1"/>
    <cellStyle name="Hyperlink" xfId="16" builtinId="8" hidden="1"/>
    <cellStyle name="Hyperlink" xfId="6" builtinId="8" hidden="1"/>
    <cellStyle name="Hyperlink" xfId="4" builtinId="8" hidden="1"/>
    <cellStyle name="Hyperlink" xfId="12" builtinId="8" hidden="1"/>
    <cellStyle name="Hyperlink" xfId="52" builtinId="8" hidden="1"/>
    <cellStyle name="Hyperlink" xfId="123"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447"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3"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457" builtinId="8" hidden="1"/>
    <cellStyle name="Hyperlink" xfId="461" builtinId="8" hidden="1"/>
    <cellStyle name="Hyperlink" xfId="92"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531" builtinId="8" hidden="1"/>
    <cellStyle name="Hyperlink" xfId="475" builtinId="8" hidden="1"/>
    <cellStyle name="Hyperlink" xfId="82" builtinId="8" hidden="1"/>
    <cellStyle name="Hyperlink" xfId="84" builtinId="8" hidden="1"/>
    <cellStyle name="Hyperlink" xfId="88" builtinId="8" hidden="1"/>
    <cellStyle name="Hyperlink" xfId="90" builtinId="8" hidden="1"/>
    <cellStyle name="Hyperlink" xfId="78" builtinId="8" hidden="1"/>
    <cellStyle name="Hyperlink" xfId="80" builtinId="8" hidden="1"/>
    <cellStyle name="Hyperlink" xfId="76" builtinId="8" hidden="1"/>
    <cellStyle name="Hyperlink 2" xfId="424" xr:uid="{00000000-0005-0000-0000-0000AF030000}"/>
    <cellStyle name="Input 2" xfId="587" xr:uid="{00000000-0005-0000-0000-0000B0030000}"/>
    <cellStyle name="Lien hypertexte 2" xfId="588" xr:uid="{00000000-0005-0000-0000-0000B2030000}"/>
    <cellStyle name="Linked Cell 2" xfId="589" xr:uid="{00000000-0005-0000-0000-000022040000}"/>
    <cellStyle name="Monétaire0" xfId="347" xr:uid="{00000000-0005-0000-0000-000023040000}"/>
    <cellStyle name="Monétaire0 2" xfId="425" xr:uid="{00000000-0005-0000-0000-000024040000}"/>
    <cellStyle name="Neutral 2" xfId="590" xr:uid="{00000000-0005-0000-0000-000025040000}"/>
    <cellStyle name="Normal" xfId="0" builtinId="0"/>
    <cellStyle name="Normal 10" xfId="591" xr:uid="{00000000-0005-0000-0000-000027040000}"/>
    <cellStyle name="Normal 10 2" xfId="930" xr:uid="{00000000-0005-0000-0000-000028040000}"/>
    <cellStyle name="Normal 10 3" xfId="1116" xr:uid="{00000000-0005-0000-0000-000029040000}"/>
    <cellStyle name="Normal 11" xfId="2" xr:uid="{00000000-0005-0000-0000-00002A040000}"/>
    <cellStyle name="Normal 11 2" xfId="592" xr:uid="{00000000-0005-0000-0000-00002B040000}"/>
    <cellStyle name="Normal 12" xfId="114" xr:uid="{00000000-0005-0000-0000-00002C040000}"/>
    <cellStyle name="Normal 12 2" xfId="593" xr:uid="{00000000-0005-0000-0000-00002D040000}"/>
    <cellStyle name="Normal 12 2 2" xfId="1130" xr:uid="{00000000-0005-0000-0000-00002E040000}"/>
    <cellStyle name="Normal 12 3" xfId="1083" xr:uid="{00000000-0005-0000-0000-00002F040000}"/>
    <cellStyle name="Normal 13" xfId="594" xr:uid="{00000000-0005-0000-0000-000030040000}"/>
    <cellStyle name="Normal 13 2" xfId="982" xr:uid="{00000000-0005-0000-0000-000031040000}"/>
    <cellStyle name="Normal 14" xfId="595" xr:uid="{00000000-0005-0000-0000-000032040000}"/>
    <cellStyle name="Normal 15" xfId="431" xr:uid="{00000000-0005-0000-0000-000033040000}"/>
    <cellStyle name="Normal 15 2" xfId="596" xr:uid="{00000000-0005-0000-0000-000034040000}"/>
    <cellStyle name="Normal 15 2 2" xfId="1119" xr:uid="{00000000-0005-0000-0000-000035040000}"/>
    <cellStyle name="Normal 15 3" xfId="734" xr:uid="{00000000-0005-0000-0000-000036040000}"/>
    <cellStyle name="Normal 15 4" xfId="737" xr:uid="{00000000-0005-0000-0000-000037040000}"/>
    <cellStyle name="Normal 16" xfId="597" xr:uid="{00000000-0005-0000-0000-000038040000}"/>
    <cellStyle name="Normal 17" xfId="598" xr:uid="{00000000-0005-0000-0000-000039040000}"/>
    <cellStyle name="Normal 18" xfId="599" xr:uid="{00000000-0005-0000-0000-00003A040000}"/>
    <cellStyle name="Normal 19" xfId="600" xr:uid="{00000000-0005-0000-0000-00003B040000}"/>
    <cellStyle name="Normal 2" xfId="3" xr:uid="{00000000-0005-0000-0000-00003C040000}"/>
    <cellStyle name="Normal 2 2" xfId="348" xr:uid="{00000000-0005-0000-0000-00003D040000}"/>
    <cellStyle name="Normal 2 2 2" xfId="430" xr:uid="{00000000-0005-0000-0000-00003E040000}"/>
    <cellStyle name="Normal 2 2 3" xfId="1229" xr:uid="{00000000-0005-0000-0000-00003F040000}"/>
    <cellStyle name="Normal 2 3" xfId="426" xr:uid="{00000000-0005-0000-0000-000040040000}"/>
    <cellStyle name="Normal 2 4" xfId="601" xr:uid="{00000000-0005-0000-0000-000041040000}"/>
    <cellStyle name="Normal 2 5" xfId="602" xr:uid="{00000000-0005-0000-0000-000042040000}"/>
    <cellStyle name="Normal 2 6" xfId="917" xr:uid="{00000000-0005-0000-0000-000043040000}"/>
    <cellStyle name="Normal 20" xfId="603" xr:uid="{00000000-0005-0000-0000-000044040000}"/>
    <cellStyle name="Normal 20 2" xfId="1127" xr:uid="{00000000-0005-0000-0000-000045040000}"/>
    <cellStyle name="Normal 21" xfId="604" xr:uid="{00000000-0005-0000-0000-000046040000}"/>
    <cellStyle name="Normal 21 2" xfId="1148" xr:uid="{00000000-0005-0000-0000-000047040000}"/>
    <cellStyle name="Normal 22" xfId="605" xr:uid="{00000000-0005-0000-0000-000048040000}"/>
    <cellStyle name="Normal 22 2" xfId="1139" xr:uid="{00000000-0005-0000-0000-000049040000}"/>
    <cellStyle name="Normal 23" xfId="606" xr:uid="{00000000-0005-0000-0000-00004A040000}"/>
    <cellStyle name="Normal 23 2" xfId="1142" xr:uid="{00000000-0005-0000-0000-00004B040000}"/>
    <cellStyle name="Normal 24" xfId="607" xr:uid="{00000000-0005-0000-0000-00004C040000}"/>
    <cellStyle name="Normal 24 2" xfId="1145" xr:uid="{00000000-0005-0000-0000-00004D040000}"/>
    <cellStyle name="Normal 25" xfId="608" xr:uid="{00000000-0005-0000-0000-00004E040000}"/>
    <cellStyle name="Normal 25 2" xfId="1144" xr:uid="{00000000-0005-0000-0000-00004F040000}"/>
    <cellStyle name="Normal 26" xfId="609" xr:uid="{00000000-0005-0000-0000-000050040000}"/>
    <cellStyle name="Normal 27" xfId="610" xr:uid="{00000000-0005-0000-0000-000051040000}"/>
    <cellStyle name="Normal 27 2" xfId="1147" xr:uid="{00000000-0005-0000-0000-000052040000}"/>
    <cellStyle name="Normal 28" xfId="611" xr:uid="{00000000-0005-0000-0000-000053040000}"/>
    <cellStyle name="Normal 28 2" xfId="1146" xr:uid="{00000000-0005-0000-0000-000054040000}"/>
    <cellStyle name="Normal 29" xfId="612" xr:uid="{00000000-0005-0000-0000-000055040000}"/>
    <cellStyle name="Normal 29 2" xfId="1135" xr:uid="{00000000-0005-0000-0000-000056040000}"/>
    <cellStyle name="Normal 3" xfId="342" xr:uid="{00000000-0005-0000-0000-000057040000}"/>
    <cellStyle name="Normal 3 10" xfId="1104" xr:uid="{00000000-0005-0000-0000-000058040000}"/>
    <cellStyle name="Normal 3 11" xfId="1224" xr:uid="{00000000-0005-0000-0000-000059040000}"/>
    <cellStyle name="Normal 3 2" xfId="429" xr:uid="{00000000-0005-0000-0000-00005A040000}"/>
    <cellStyle name="Normal 3 2 2" xfId="613" xr:uid="{00000000-0005-0000-0000-00005B040000}"/>
    <cellStyle name="Normal 3 2 2 2" xfId="932" xr:uid="{00000000-0005-0000-0000-00005C040000}"/>
    <cellStyle name="Normal 3 2 2 3" xfId="1079" xr:uid="{00000000-0005-0000-0000-00005D040000}"/>
    <cellStyle name="Normal 3 2 2 4" xfId="1099" xr:uid="{00000000-0005-0000-0000-00005E040000}"/>
    <cellStyle name="Normal 3 2 2 5" xfId="1122" xr:uid="{00000000-0005-0000-0000-00005F040000}"/>
    <cellStyle name="Normal 3 2 3" xfId="614" xr:uid="{00000000-0005-0000-0000-000060040000}"/>
    <cellStyle name="Normal 3 2 4" xfId="615" xr:uid="{00000000-0005-0000-0000-000061040000}"/>
    <cellStyle name="Normal 3 2 4 2" xfId="616" xr:uid="{00000000-0005-0000-0000-000062040000}"/>
    <cellStyle name="Normal 3 2 4 2 2" xfId="1121" xr:uid="{00000000-0005-0000-0000-000063040000}"/>
    <cellStyle name="Normal 3 2 5" xfId="617" xr:uid="{00000000-0005-0000-0000-000064040000}"/>
    <cellStyle name="Normal 3 2 6" xfId="618" xr:uid="{00000000-0005-0000-0000-000065040000}"/>
    <cellStyle name="Normal 3 2 6 2" xfId="1118" xr:uid="{00000000-0005-0000-0000-000066040000}"/>
    <cellStyle name="Normal 3 2 7" xfId="1105" xr:uid="{00000000-0005-0000-0000-000067040000}"/>
    <cellStyle name="Normal 3 3" xfId="619" xr:uid="{00000000-0005-0000-0000-000068040000}"/>
    <cellStyle name="Normal 3 4" xfId="620" xr:uid="{00000000-0005-0000-0000-000069040000}"/>
    <cellStyle name="Normal 3 4 2" xfId="1133" xr:uid="{00000000-0005-0000-0000-00006A040000}"/>
    <cellStyle name="Normal 3 5" xfId="621" xr:uid="{00000000-0005-0000-0000-00006B040000}"/>
    <cellStyle name="Normal 3 6" xfId="622" xr:uid="{00000000-0005-0000-0000-00006C040000}"/>
    <cellStyle name="Normal 3 7" xfId="623" xr:uid="{00000000-0005-0000-0000-00006D040000}"/>
    <cellStyle name="Normal 3 8" xfId="624" xr:uid="{00000000-0005-0000-0000-00006E040000}"/>
    <cellStyle name="Normal 3 8 2" xfId="1136" xr:uid="{00000000-0005-0000-0000-00006F040000}"/>
    <cellStyle name="Normal 3 9" xfId="625" xr:uid="{00000000-0005-0000-0000-000070040000}"/>
    <cellStyle name="Normal 30" xfId="626" xr:uid="{00000000-0005-0000-0000-000071040000}"/>
    <cellStyle name="Normal 30 2" xfId="1128" xr:uid="{00000000-0005-0000-0000-000072040000}"/>
    <cellStyle name="Normal 31" xfId="627" xr:uid="{00000000-0005-0000-0000-000073040000}"/>
    <cellStyle name="Normal 31 2" xfId="1149" xr:uid="{00000000-0005-0000-0000-000074040000}"/>
    <cellStyle name="Normal 32" xfId="628" xr:uid="{00000000-0005-0000-0000-000075040000}"/>
    <cellStyle name="Normal 33" xfId="629" xr:uid="{00000000-0005-0000-0000-000076040000}"/>
    <cellStyle name="Normal 34" xfId="933" xr:uid="{00000000-0005-0000-0000-000077040000}"/>
    <cellStyle name="Normal 35" xfId="1000" xr:uid="{00000000-0005-0000-0000-000078040000}"/>
    <cellStyle name="Normal 36" xfId="1174" xr:uid="{00000000-0005-0000-0000-000079040000}"/>
    <cellStyle name="Normal 37" xfId="1175" xr:uid="{00000000-0005-0000-0000-00007A040000}"/>
    <cellStyle name="Normal 38" xfId="1222" xr:uid="{00000000-0005-0000-0000-00007B040000}"/>
    <cellStyle name="Normal 39" xfId="1230" xr:uid="{20728078-42C3-D546-B67E-00984B11122C}"/>
    <cellStyle name="Normal 4" xfId="349" xr:uid="{00000000-0005-0000-0000-00007C040000}"/>
    <cellStyle name="Normal 4 2" xfId="630" xr:uid="{00000000-0005-0000-0000-00007D040000}"/>
    <cellStyle name="Normal 4 3" xfId="631" xr:uid="{00000000-0005-0000-0000-00007E040000}"/>
    <cellStyle name="Normal 4 4" xfId="670" xr:uid="{00000000-0005-0000-0000-00007F040000}"/>
    <cellStyle name="Normal 4 5" xfId="928" xr:uid="{00000000-0005-0000-0000-000080040000}"/>
    <cellStyle name="Normal 4 5 2" xfId="1100" xr:uid="{00000000-0005-0000-0000-000081040000}"/>
    <cellStyle name="Normal 4 6" xfId="1125" xr:uid="{00000000-0005-0000-0000-000082040000}"/>
    <cellStyle name="Normal 5" xfId="350" xr:uid="{00000000-0005-0000-0000-000083040000}"/>
    <cellStyle name="Normal 5 2" xfId="632" xr:uid="{00000000-0005-0000-0000-000084040000}"/>
    <cellStyle name="Normal 6" xfId="351" xr:uid="{00000000-0005-0000-0000-000085040000}"/>
    <cellStyle name="Normal 6 2" xfId="633" xr:uid="{00000000-0005-0000-0000-000086040000}"/>
    <cellStyle name="Normal 6 3" xfId="1228" xr:uid="{00000000-0005-0000-0000-000087040000}"/>
    <cellStyle name="Normal 7" xfId="352" xr:uid="{00000000-0005-0000-0000-000088040000}"/>
    <cellStyle name="Normal 7 2" xfId="634" xr:uid="{00000000-0005-0000-0000-000089040000}"/>
    <cellStyle name="Normal 8" xfId="353" xr:uid="{00000000-0005-0000-0000-00008A040000}"/>
    <cellStyle name="Normal 8 2" xfId="635" xr:uid="{00000000-0005-0000-0000-00008B040000}"/>
    <cellStyle name="Normal 9" xfId="419" xr:uid="{00000000-0005-0000-0000-00008C040000}"/>
    <cellStyle name="Normal_AppendixTables(NationalAccountsData).xls" xfId="341" xr:uid="{00000000-0005-0000-0000-00008D040000}"/>
    <cellStyle name="Note 2" xfId="636" xr:uid="{00000000-0005-0000-0000-00008E040000}"/>
    <cellStyle name="Note 3" xfId="637" xr:uid="{00000000-0005-0000-0000-00008F040000}"/>
    <cellStyle name="Output 2" xfId="638" xr:uid="{00000000-0005-0000-0000-000090040000}"/>
    <cellStyle name="Percent" xfId="1" builtinId="5"/>
    <cellStyle name="Percent 10" xfId="639" xr:uid="{00000000-0005-0000-0000-000091040000}"/>
    <cellStyle name="Percent 10 2" xfId="983" xr:uid="{00000000-0005-0000-0000-000092040000}"/>
    <cellStyle name="Percent 11" xfId="640" xr:uid="{00000000-0005-0000-0000-000093040000}"/>
    <cellStyle name="Percent 12" xfId="641" xr:uid="{00000000-0005-0000-0000-000094040000}"/>
    <cellStyle name="Percent 12 2" xfId="642" xr:uid="{00000000-0005-0000-0000-000095040000}"/>
    <cellStyle name="Percent 12 2 2" xfId="1120" xr:uid="{00000000-0005-0000-0000-000096040000}"/>
    <cellStyle name="Percent 13" xfId="643" xr:uid="{00000000-0005-0000-0000-000097040000}"/>
    <cellStyle name="Percent 14" xfId="644" xr:uid="{00000000-0005-0000-0000-000098040000}"/>
    <cellStyle name="Percent 15" xfId="645" xr:uid="{00000000-0005-0000-0000-000099040000}"/>
    <cellStyle name="Percent 15 2" xfId="1140" xr:uid="{00000000-0005-0000-0000-00009A040000}"/>
    <cellStyle name="Percent 16" xfId="646" xr:uid="{00000000-0005-0000-0000-00009B040000}"/>
    <cellStyle name="Percent 16 2" xfId="1137" xr:uid="{00000000-0005-0000-0000-00009C040000}"/>
    <cellStyle name="Percent 17" xfId="934" xr:uid="{00000000-0005-0000-0000-00009D040000}"/>
    <cellStyle name="Percent 18" xfId="1082" xr:uid="{00000000-0005-0000-0000-00009E040000}"/>
    <cellStyle name="Percent 19" xfId="1223" xr:uid="{00000000-0005-0000-0000-00009F040000}"/>
    <cellStyle name="Percent 2" xfId="263" xr:uid="{00000000-0005-0000-0000-0000A0040000}"/>
    <cellStyle name="Percent 2 2" xfId="647" xr:uid="{00000000-0005-0000-0000-0000A1040000}"/>
    <cellStyle name="Percent 2 2 2" xfId="1123" xr:uid="{00000000-0005-0000-0000-0000A2040000}"/>
    <cellStyle name="Percent 2 3" xfId="648" xr:uid="{00000000-0005-0000-0000-0000A3040000}"/>
    <cellStyle name="Percent 2 4" xfId="649" xr:uid="{00000000-0005-0000-0000-0000A4040000}"/>
    <cellStyle name="Percent 2 5" xfId="1226" xr:uid="{00000000-0005-0000-0000-0000A5040000}"/>
    <cellStyle name="Percent 20" xfId="1231" xr:uid="{9B64955A-BD71-594B-BBA0-FAC6CC3AF67E}"/>
    <cellStyle name="Percent 3" xfId="427" xr:uid="{00000000-0005-0000-0000-0000A6040000}"/>
    <cellStyle name="Percent 3 2" xfId="650" xr:uid="{00000000-0005-0000-0000-0000A7040000}"/>
    <cellStyle name="Percent 4" xfId="651" xr:uid="{00000000-0005-0000-0000-0000A8040000}"/>
    <cellStyle name="Percent 4 2" xfId="671" xr:uid="{00000000-0005-0000-0000-0000A9040000}"/>
    <cellStyle name="Percent 4 3" xfId="929" xr:uid="{00000000-0005-0000-0000-0000AA040000}"/>
    <cellStyle name="Percent 4 3 2" xfId="1101" xr:uid="{00000000-0005-0000-0000-0000AB040000}"/>
    <cellStyle name="Percent 4 4" xfId="1126" xr:uid="{00000000-0005-0000-0000-0000AC040000}"/>
    <cellStyle name="Percent 5" xfId="652" xr:uid="{00000000-0005-0000-0000-0000AD040000}"/>
    <cellStyle name="Percent 6" xfId="653" xr:uid="{00000000-0005-0000-0000-0000AE040000}"/>
    <cellStyle name="Percent 6 2" xfId="654" xr:uid="{00000000-0005-0000-0000-0000AF040000}"/>
    <cellStyle name="Percent 7" xfId="655" xr:uid="{00000000-0005-0000-0000-0000B0040000}"/>
    <cellStyle name="Percent 7 2" xfId="1106" xr:uid="{00000000-0005-0000-0000-0000B1040000}"/>
    <cellStyle name="Percent 8" xfId="656" xr:uid="{00000000-0005-0000-0000-0000B2040000}"/>
    <cellStyle name="Percent 8 2" xfId="984" xr:uid="{00000000-0005-0000-0000-0000B3040000}"/>
    <cellStyle name="Percent 8 3" xfId="1117" xr:uid="{00000000-0005-0000-0000-0000B4040000}"/>
    <cellStyle name="Percent 9" xfId="657" xr:uid="{00000000-0005-0000-0000-0000B5040000}"/>
    <cellStyle name="Percent 9 2" xfId="1084" xr:uid="{00000000-0005-0000-0000-0000B6040000}"/>
    <cellStyle name="Percent 9 3" xfId="1131" xr:uid="{00000000-0005-0000-0000-0000B7040000}"/>
    <cellStyle name="Pourcentage 2" xfId="354" xr:uid="{00000000-0005-0000-0000-0000B8040000}"/>
    <cellStyle name="Pourcentage 3" xfId="355" xr:uid="{00000000-0005-0000-0000-0000B9040000}"/>
    <cellStyle name="Pourcentage 3 2" xfId="356" xr:uid="{00000000-0005-0000-0000-0000BA040000}"/>
    <cellStyle name="Pourcentage 4" xfId="357" xr:uid="{00000000-0005-0000-0000-0000BB040000}"/>
    <cellStyle name="Pourcentage 4 2" xfId="658" xr:uid="{00000000-0005-0000-0000-0000BC040000}"/>
    <cellStyle name="Pourcentage 5" xfId="659" xr:uid="{00000000-0005-0000-0000-0000BD040000}"/>
    <cellStyle name="Satisfaisant" xfId="660" xr:uid="{00000000-0005-0000-0000-0000BF040000}"/>
    <cellStyle name="Standard 11" xfId="358" xr:uid="{00000000-0005-0000-0000-0000C0040000}"/>
    <cellStyle name="style_col_headings" xfId="359" xr:uid="{00000000-0005-0000-0000-0000C1040000}"/>
    <cellStyle name="Titre" xfId="661" xr:uid="{00000000-0005-0000-0000-0000C2040000}"/>
    <cellStyle name="Titre 1" xfId="662" xr:uid="{00000000-0005-0000-0000-0000C3040000}"/>
    <cellStyle name="Titre 2" xfId="663" xr:uid="{00000000-0005-0000-0000-0000C4040000}"/>
    <cellStyle name="Titre 3" xfId="664" xr:uid="{00000000-0005-0000-0000-0000C5040000}"/>
    <cellStyle name="Titre 4" xfId="665" xr:uid="{00000000-0005-0000-0000-0000C6040000}"/>
    <cellStyle name="Total 2" xfId="666" xr:uid="{00000000-0005-0000-0000-0000C7040000}"/>
    <cellStyle name="Vérification" xfId="667" xr:uid="{00000000-0005-0000-0000-0000C8040000}"/>
    <cellStyle name="Virgule fixe" xfId="360" xr:uid="{00000000-0005-0000-0000-0000C9040000}"/>
    <cellStyle name="Virgule fixe 2" xfId="428" xr:uid="{00000000-0005-0000-0000-0000CA040000}"/>
    <cellStyle name="Warning Text 2" xfId="668" xr:uid="{00000000-0005-0000-0000-0000CB040000}"/>
    <cellStyle name="一般 2 3" xfId="908" xr:uid="{00000000-0005-0000-0000-0000CC040000}"/>
    <cellStyle name="一般 3" xfId="909" xr:uid="{00000000-0005-0000-0000-0000CD040000}"/>
  </cellStyles>
  <dxfs count="21">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9" defaultPivotStyle="PivotStyleMedium4"/>
  <colors>
    <mruColors>
      <color rgb="FFF9FCFF"/>
      <color rgb="FFEDEAE6"/>
      <color rgb="FFECDEE1"/>
      <color rgb="FFF2DB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scatterChart>
        <c:scatterStyle val="lineMarker"/>
        <c:varyColors val="0"/>
        <c:ser>
          <c:idx val="0"/>
          <c:order val="0"/>
          <c:spPr>
            <a:ln w="47625">
              <a:noFill/>
            </a:ln>
          </c:spPr>
          <c:xVal>
            <c:numRef>
              <c:f>TableA4!$P$10:$P$52</c:f>
              <c:numCache>
                <c:formatCode>0%</c:formatCode>
                <c:ptCount val="43"/>
                <c:pt idx="0">
                  <c:v>0.43561327527257365</c:v>
                </c:pt>
                <c:pt idx="1">
                  <c:v>0.63707162800450889</c:v>
                </c:pt>
                <c:pt idx="3">
                  <c:v>0.51079708096514354</c:v>
                </c:pt>
                <c:pt idx="4">
                  <c:v>1.0459478672026534</c:v>
                </c:pt>
                <c:pt idx="5">
                  <c:v>0.62424587574706658</c:v>
                </c:pt>
                <c:pt idx="6">
                  <c:v>0.37469158681083548</c:v>
                </c:pt>
                <c:pt idx="7">
                  <c:v>0.83980010002856997</c:v>
                </c:pt>
                <c:pt idx="8">
                  <c:v>0.35113512632375482</c:v>
                </c:pt>
                <c:pt idx="9">
                  <c:v>0.28285909683503752</c:v>
                </c:pt>
                <c:pt idx="10">
                  <c:v>0.2338030357460614</c:v>
                </c:pt>
                <c:pt idx="11">
                  <c:v>0.13830806972928111</c:v>
                </c:pt>
                <c:pt idx="13">
                  <c:v>0.67304135369080642</c:v>
                </c:pt>
                <c:pt idx="16">
                  <c:v>0.18583546955900887</c:v>
                </c:pt>
                <c:pt idx="17">
                  <c:v>4.7053689258015251E-2</c:v>
                </c:pt>
                <c:pt idx="18">
                  <c:v>0.12269555518747587</c:v>
                </c:pt>
                <c:pt idx="19">
                  <c:v>0.54583244130060771</c:v>
                </c:pt>
                <c:pt idx="23">
                  <c:v>0.37935721698885838</c:v>
                </c:pt>
                <c:pt idx="24">
                  <c:v>0.38665659545495995</c:v>
                </c:pt>
                <c:pt idx="25">
                  <c:v>0.38815750454674208</c:v>
                </c:pt>
                <c:pt idx="26">
                  <c:v>0.58760425366217361</c:v>
                </c:pt>
                <c:pt idx="27">
                  <c:v>0.52588557151835713</c:v>
                </c:pt>
                <c:pt idx="28">
                  <c:v>0.29554344801039062</c:v>
                </c:pt>
                <c:pt idx="29">
                  <c:v>0.45408528644092888</c:v>
                </c:pt>
                <c:pt idx="30">
                  <c:v>0.60791032866305494</c:v>
                </c:pt>
                <c:pt idx="32">
                  <c:v>0.18138526162148752</c:v>
                </c:pt>
                <c:pt idx="33">
                  <c:v>0.49212306945558248</c:v>
                </c:pt>
                <c:pt idx="34">
                  <c:v>0.31509012804501185</c:v>
                </c:pt>
                <c:pt idx="36">
                  <c:v>0.18729308232823494</c:v>
                </c:pt>
                <c:pt idx="37">
                  <c:v>0.23320832282540019</c:v>
                </c:pt>
                <c:pt idx="38">
                  <c:v>0.12897932451908642</c:v>
                </c:pt>
                <c:pt idx="39">
                  <c:v>0.55897274397359109</c:v>
                </c:pt>
                <c:pt idx="40">
                  <c:v>0.14628968956737795</c:v>
                </c:pt>
                <c:pt idx="41">
                  <c:v>0.18815911779605865</c:v>
                </c:pt>
                <c:pt idx="42">
                  <c:v>0.363045392813305</c:v>
                </c:pt>
              </c:numCache>
            </c:numRef>
          </c:xVal>
          <c:yVal>
            <c:numRef>
              <c:f>TableA4!$Q$10:$Q$52</c:f>
              <c:numCache>
                <c:formatCode>0%</c:formatCode>
                <c:ptCount val="43"/>
                <c:pt idx="0">
                  <c:v>0.25488124316983574</c:v>
                </c:pt>
                <c:pt idx="1">
                  <c:v>0.26847341805206931</c:v>
                </c:pt>
                <c:pt idx="3">
                  <c:v>0.16606770279075128</c:v>
                </c:pt>
                <c:pt idx="4">
                  <c:v>0.17710496544712098</c:v>
                </c:pt>
                <c:pt idx="5">
                  <c:v>0.41779324861589467</c:v>
                </c:pt>
                <c:pt idx="6">
                  <c:v>0.21364438937029676</c:v>
                </c:pt>
                <c:pt idx="7">
                  <c:v>0.41064854981442322</c:v>
                </c:pt>
                <c:pt idx="8">
                  <c:v>0.22014648186731803</c:v>
                </c:pt>
                <c:pt idx="9">
                  <c:v>0.16154355885776669</c:v>
                </c:pt>
                <c:pt idx="10">
                  <c:v>0.20180769652168562</c:v>
                </c:pt>
                <c:pt idx="11">
                  <c:v>0.13243130450907675</c:v>
                </c:pt>
                <c:pt idx="13">
                  <c:v>0.16333894634731203</c:v>
                </c:pt>
                <c:pt idx="16">
                  <c:v>0.15259698545154851</c:v>
                </c:pt>
                <c:pt idx="17">
                  <c:v>7.5448118962814031E-2</c:v>
                </c:pt>
                <c:pt idx="18">
                  <c:v>8.145888320207427E-2</c:v>
                </c:pt>
                <c:pt idx="19">
                  <c:v>0.33458659205576913</c:v>
                </c:pt>
                <c:pt idx="23">
                  <c:v>0.15877905866314909</c:v>
                </c:pt>
                <c:pt idx="24">
                  <c:v>0.24987466640404191</c:v>
                </c:pt>
                <c:pt idx="25">
                  <c:v>0.3547800616447801</c:v>
                </c:pt>
                <c:pt idx="26">
                  <c:v>0.24031618579004613</c:v>
                </c:pt>
                <c:pt idx="27">
                  <c:v>0.45857840919815962</c:v>
                </c:pt>
                <c:pt idx="28">
                  <c:v>0.2635832470099459</c:v>
                </c:pt>
                <c:pt idx="29">
                  <c:v>0.21960024923494834</c:v>
                </c:pt>
                <c:pt idx="30">
                  <c:v>0.27156039314384334</c:v>
                </c:pt>
                <c:pt idx="31">
                  <c:v>0.16543308667617826</c:v>
                </c:pt>
                <c:pt idx="32">
                  <c:v>2.8551659513278864E-2</c:v>
                </c:pt>
                <c:pt idx="33">
                  <c:v>0.29703816620183826</c:v>
                </c:pt>
                <c:pt idx="34">
                  <c:v>8.5595101870932569E-2</c:v>
                </c:pt>
                <c:pt idx="36">
                  <c:v>0.15551963836942637</c:v>
                </c:pt>
                <c:pt idx="37">
                  <c:v>6.4755462776257475E-2</c:v>
                </c:pt>
                <c:pt idx="38">
                  <c:v>0.2023465573582357</c:v>
                </c:pt>
                <c:pt idx="39">
                  <c:v>0.17481608797111872</c:v>
                </c:pt>
                <c:pt idx="40">
                  <c:v>4.4407051189953896E-2</c:v>
                </c:pt>
                <c:pt idx="41">
                  <c:v>0.14817462662935943</c:v>
                </c:pt>
                <c:pt idx="42">
                  <c:v>0.20661988218055255</c:v>
                </c:pt>
              </c:numCache>
            </c:numRef>
          </c:yVal>
          <c:smooth val="0"/>
          <c:extLst>
            <c:ext xmlns:c16="http://schemas.microsoft.com/office/drawing/2014/chart" uri="{C3380CC4-5D6E-409C-BE32-E72D297353CC}">
              <c16:uniqueId val="{00000000-5838-4D07-8491-39B885DD6ED3}"/>
            </c:ext>
          </c:extLst>
        </c:ser>
        <c:dLbls>
          <c:showLegendKey val="0"/>
          <c:showVal val="0"/>
          <c:showCatName val="0"/>
          <c:showSerName val="0"/>
          <c:showPercent val="0"/>
          <c:showBubbleSize val="0"/>
        </c:dLbls>
        <c:axId val="43821312"/>
        <c:axId val="43831296"/>
      </c:scatterChart>
      <c:valAx>
        <c:axId val="43821312"/>
        <c:scaling>
          <c:orientation val="minMax"/>
        </c:scaling>
        <c:delete val="0"/>
        <c:axPos val="b"/>
        <c:numFmt formatCode="0%" sourceLinked="1"/>
        <c:majorTickMark val="out"/>
        <c:minorTickMark val="none"/>
        <c:tickLblPos val="nextTo"/>
        <c:crossAx val="43831296"/>
        <c:crosses val="autoZero"/>
        <c:crossBetween val="midCat"/>
      </c:valAx>
      <c:valAx>
        <c:axId val="43831296"/>
        <c:scaling>
          <c:orientation val="minMax"/>
        </c:scaling>
        <c:delete val="0"/>
        <c:axPos val="l"/>
        <c:majorGridlines/>
        <c:numFmt formatCode="0%" sourceLinked="1"/>
        <c:majorTickMark val="out"/>
        <c:minorTickMark val="none"/>
        <c:tickLblPos val="nextTo"/>
        <c:crossAx val="43821312"/>
        <c:crosses val="autoZero"/>
        <c:crossBetween val="midCat"/>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val>
            <c:numRef>
              <c:f>TableC6!#REF!</c:f>
              <c:numCache>
                <c:formatCode>General</c:formatCode>
                <c:ptCount val="1"/>
                <c:pt idx="0">
                  <c:v>1</c:v>
                </c:pt>
              </c:numCache>
            </c:numRef>
          </c:val>
          <c:smooth val="0"/>
          <c:extLst>
            <c:ext xmlns:c16="http://schemas.microsoft.com/office/drawing/2014/chart" uri="{C3380CC4-5D6E-409C-BE32-E72D297353CC}">
              <c16:uniqueId val="{00000000-F668-4BEC-8ACE-F24F6A813B89}"/>
            </c:ext>
          </c:extLst>
        </c:ser>
        <c:dLbls>
          <c:showLegendKey val="0"/>
          <c:showVal val="0"/>
          <c:showCatName val="0"/>
          <c:showSerName val="0"/>
          <c:showPercent val="0"/>
          <c:showBubbleSize val="0"/>
        </c:dLbls>
        <c:smooth val="0"/>
        <c:axId val="182580352"/>
        <c:axId val="182581888"/>
      </c:lineChart>
      <c:catAx>
        <c:axId val="182580352"/>
        <c:scaling>
          <c:orientation val="minMax"/>
        </c:scaling>
        <c:delete val="0"/>
        <c:axPos val="b"/>
        <c:majorTickMark val="out"/>
        <c:minorTickMark val="none"/>
        <c:tickLblPos val="nextTo"/>
        <c:crossAx val="182581888"/>
        <c:crosses val="autoZero"/>
        <c:auto val="1"/>
        <c:lblAlgn val="ctr"/>
        <c:lblOffset val="100"/>
        <c:noMultiLvlLbl val="0"/>
      </c:catAx>
      <c:valAx>
        <c:axId val="182581888"/>
        <c:scaling>
          <c:orientation val="minMax"/>
        </c:scaling>
        <c:delete val="0"/>
        <c:axPos val="l"/>
        <c:majorGridlines/>
        <c:numFmt formatCode="General" sourceLinked="1"/>
        <c:majorTickMark val="out"/>
        <c:minorTickMark val="none"/>
        <c:tickLblPos val="nextTo"/>
        <c:crossAx val="182580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20</xdr:col>
      <xdr:colOff>209550</xdr:colOff>
      <xdr:row>29</xdr:row>
      <xdr:rowOff>25400</xdr:rowOff>
    </xdr:from>
    <xdr:to>
      <xdr:col>25</xdr:col>
      <xdr:colOff>654050</xdr:colOff>
      <xdr:row>43</xdr:row>
      <xdr:rowOff>101600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904874</xdr:colOff>
      <xdr:row>76</xdr:row>
      <xdr:rowOff>23131</xdr:rowOff>
    </xdr:from>
    <xdr:to>
      <xdr:col>17</xdr:col>
      <xdr:colOff>1245053</xdr:colOff>
      <xdr:row>90</xdr:row>
      <xdr:rowOff>99331</xdr:rowOff>
    </xdr:to>
    <xdr:graphicFrame macro="">
      <xdr:nvGraphicFramePr>
        <xdr:cNvPr id="3" name="Chart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zucman/Dropbox/TorslovEtal17/RawData/TWZRawDat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C:/Users/drm808/Dropbox/International%20tax%20enforcement/RawData/TWZRawData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 val="Eurostat Fats"/>
      <sheetName val="OECD FATS"/>
      <sheetName val="TangibleAsssets"/>
      <sheetName val="Switzerland"/>
      <sheetName val="Singapore"/>
      <sheetName val="Ireland"/>
      <sheetName val="TangibleAsset2015"/>
      <sheetName val="China"/>
      <sheetName val="Puerto Rico"/>
      <sheetName val="Penn World Tables"/>
      <sheetName val="UNimputedcapitalstock2015"/>
      <sheetName val="CBC- IRS"/>
      <sheetName val="World Bank Data Labor Force"/>
    </sheetNames>
    <sheetDataSet>
      <sheetData sheetId="0">
        <row r="1">
          <cell r="B1" t="str">
            <v>Agriculture, forestry and fishing (A) ;  Agriculture ;</v>
          </cell>
        </row>
      </sheetData>
      <sheetData sheetId="1">
        <row r="1">
          <cell r="B1" t="str">
            <v>Compensation of employees - Wages and salaries ;</v>
          </cell>
        </row>
      </sheetData>
      <sheetData sheetId="2">
        <row r="1">
          <cell r="B1" t="str">
            <v>Information media and telecommunications (J) ;  Telecommunications services ;</v>
          </cell>
        </row>
      </sheetData>
      <sheetData sheetId="3">
        <row r="1">
          <cell r="B1" t="str">
            <v>Gross operating surplus ;</v>
          </cell>
        </row>
      </sheetData>
      <sheetData sheetId="4">
        <row r="1">
          <cell r="A1" t="str">
            <v>CountryName</v>
          </cell>
        </row>
      </sheetData>
      <sheetData sheetId="5">
        <row r="16">
          <cell r="A16" t="str">
            <v>Australia</v>
          </cell>
        </row>
      </sheetData>
      <sheetData sheetId="6">
        <row r="2">
          <cell r="B2" t="str">
            <v>Argentina</v>
          </cell>
        </row>
      </sheetData>
      <sheetData sheetId="7">
        <row r="11">
          <cell r="A11" t="str">
            <v>GEO/TIME</v>
          </cell>
        </row>
      </sheetData>
      <sheetData sheetId="8">
        <row r="8">
          <cell r="A8" t="str">
            <v>Australia</v>
          </cell>
        </row>
      </sheetData>
      <sheetData sheetId="9">
        <row r="1">
          <cell r="A1" t="str">
            <v>CountryName</v>
          </cell>
        </row>
      </sheetData>
      <sheetData sheetId="10">
        <row r="1">
          <cell r="B1" t="str">
            <v>Agriculture, forestry and fishing (A) ;  Agriculture ;</v>
          </cell>
        </row>
      </sheetData>
      <sheetData sheetId="11">
        <row r="1">
          <cell r="B1" t="str">
            <v>Information media and telecommunications (J) ;  Telecommunications services ;</v>
          </cell>
        </row>
      </sheetData>
      <sheetData sheetId="12">
        <row r="1">
          <cell r="B1" t="str">
            <v>Gross operating surplus ;</v>
          </cell>
        </row>
      </sheetData>
      <sheetData sheetId="13">
        <row r="1">
          <cell r="B1" t="str">
            <v>Gross operating surplus ;</v>
          </cell>
        </row>
      </sheetData>
      <sheetData sheetId="14">
        <row r="1">
          <cell r="A1" t="str">
            <v>CountryName</v>
          </cell>
          <cell r="B1" t="str">
            <v>Compensation of employees - Wages and salaries ;</v>
          </cell>
          <cell r="C1" t="str">
            <v>Compensation of employees - Employers' social contributions ;</v>
          </cell>
          <cell r="D1" t="str">
            <v>Compensation of employees ;</v>
          </cell>
          <cell r="E1" t="str">
            <v>Private non-financial corporations ;  Gross operating surplus ;</v>
          </cell>
          <cell r="F1" t="str">
            <v>Public non-financial corporations ;  Gross operating surplus ;</v>
          </cell>
          <cell r="G1" t="str">
            <v>Non-financial corporations ;  Gross operating surplus ;</v>
          </cell>
          <cell r="H1" t="str">
            <v>Financial corporations ;  Gross operating surplus ;</v>
          </cell>
          <cell r="I1" t="str">
            <v>Total corporations ;  Gross operating surplus ;</v>
          </cell>
          <cell r="J1" t="str">
            <v>General government ;  Gross operating surplus ;</v>
          </cell>
          <cell r="K1" t="str">
            <v>Dwellings owned by persons ;  Gross operating surplus ;</v>
          </cell>
          <cell r="L1" t="str">
            <v>All sectors ;  Gross operating surplus ;</v>
          </cell>
          <cell r="M1" t="str">
            <v>Gross mixed income ;</v>
          </cell>
          <cell r="N1" t="str">
            <v>Total factor income ;</v>
          </cell>
          <cell r="O1" t="str">
            <v>Taxes less subsidies on production and imports ;</v>
          </cell>
          <cell r="P1" t="str">
            <v>Statistical discrepancy (I) ;</v>
          </cell>
          <cell r="Q1" t="str">
            <v>GROSS DOMESTIC PRODUCT ;</v>
          </cell>
          <cell r="R1" t="str">
            <v>Compensation of employees - Wages and salaries: Percentage changes ;</v>
          </cell>
          <cell r="S1" t="str">
            <v>Compensation of employees - Employers' social contributions: Percentage changes ;</v>
          </cell>
          <cell r="T1" t="str">
            <v>Compensation of employees: Percentage changes ;</v>
          </cell>
          <cell r="U1" t="str">
            <v>Private non-financial corporations ;  Gross operating surplus: Percentage changes ;</v>
          </cell>
          <cell r="V1" t="str">
            <v>Public non-financial corporations ;  Gross operating surplus: Percentage changes ;</v>
          </cell>
          <cell r="W1" t="str">
            <v>Non-financial corporations ;  Gross operating surplus: Percentage changes ;</v>
          </cell>
          <cell r="X1" t="str">
            <v>Financial corporations ;  Gross operating surplus: Percentage changes ;</v>
          </cell>
          <cell r="Y1" t="str">
            <v>Total corporations ;  Gross operating surplus: Percentage changes ;</v>
          </cell>
          <cell r="Z1" t="str">
            <v>General government ;  Gross operating surplus: Percentage changes ;</v>
          </cell>
          <cell r="AA1" t="str">
            <v>Dwellings owned by persons ;  Gross operating surplus: Percentage changes ;</v>
          </cell>
          <cell r="AB1" t="str">
            <v>All sectors ;  Gross operating surplus: Percentage changes ;</v>
          </cell>
          <cell r="AC1" t="str">
            <v>Gross mixed income: Percentage changes ;</v>
          </cell>
          <cell r="AD1" t="str">
            <v>Total factor income: Percentage changes ;</v>
          </cell>
          <cell r="AE1" t="str">
            <v>Taxes less subsidies on production and imports: Percentage changes ;</v>
          </cell>
          <cell r="AF1" t="str">
            <v>GROSS DOMESTIC PRODUCT: Percentage changes ;</v>
          </cell>
          <cell r="AG1" t="str">
            <v>Compensation of employees - Wages and salaries ;</v>
          </cell>
          <cell r="AH1" t="str">
            <v>Compensation of employees - Employers' social contributions ;</v>
          </cell>
          <cell r="AI1" t="str">
            <v>Compensation of employees ;</v>
          </cell>
          <cell r="AJ1" t="str">
            <v>Private non-financial corporations ;  Gross operating surplus ;</v>
          </cell>
          <cell r="AK1" t="str">
            <v>Public non-financial corporations ;  Gross operating surplus ;</v>
          </cell>
          <cell r="AL1" t="str">
            <v>Non-financial corporations ;  Gross operating surplus ;</v>
          </cell>
          <cell r="AM1" t="str">
            <v>Financial corporations ;  Gross operating surplus ;</v>
          </cell>
          <cell r="AN1" t="str">
            <v>Total corporations ;  Gross operating surplus ;</v>
          </cell>
          <cell r="AO1" t="str">
            <v>General government ;  Gross operating surplus ;</v>
          </cell>
          <cell r="AP1" t="str">
            <v>Dwellings owned by persons ;  Gross operating surplus ;</v>
          </cell>
          <cell r="AQ1" t="str">
            <v>All sectors ;  Gross operating surplus ;</v>
          </cell>
          <cell r="AR1" t="str">
            <v>Gross mixed income ;</v>
          </cell>
          <cell r="AS1" t="str">
            <v>Total factor income ;</v>
          </cell>
          <cell r="AT1" t="str">
            <v>Taxes less subsidies on production and imports ;</v>
          </cell>
          <cell r="AU1" t="str">
            <v>Statistical discrepancy (I) ;</v>
          </cell>
          <cell r="AV1" t="str">
            <v>GROSS DOMESTIC PRODUCT ;</v>
          </cell>
          <cell r="AW1" t="str">
            <v>Compensation of employees - Wages and salaries: Percentage changes ;</v>
          </cell>
          <cell r="AX1" t="str">
            <v>Compensation of employees - Employers' social contributions: Percentage changes ;</v>
          </cell>
          <cell r="AY1" t="str">
            <v>Compensation of employees: Percentage changes ;</v>
          </cell>
          <cell r="AZ1" t="str">
            <v>Private non-financial corporations ;  Gross operating surplus: Percentage changes ;</v>
          </cell>
          <cell r="BA1" t="str">
            <v>Public non-financial corporations ;  Gross operating surplus: Percentage changes ;</v>
          </cell>
          <cell r="BB1" t="str">
            <v>Non-financial corporations ;  Gross operating surplus: Percentage changes ;</v>
          </cell>
          <cell r="BC1" t="str">
            <v>Financial corporations ;  Gross operating surplus: Percentage changes ;</v>
          </cell>
          <cell r="BD1" t="str">
            <v>Total corporations ;  Gross operating surplus: Percentage changes ;</v>
          </cell>
          <cell r="BE1" t="str">
            <v>General government ;  Gross operating surplus: Percentage changes ;</v>
          </cell>
          <cell r="BF1" t="str">
            <v>Dwellings owned by persons ;  Gross operating surplus: Percentage changes ;</v>
          </cell>
          <cell r="BG1" t="str">
            <v>All sectors ;  Gross operating surplus: Percentage changes ;</v>
          </cell>
          <cell r="BH1" t="str">
            <v>Gross mixed income: Percentage changes ;</v>
          </cell>
          <cell r="BI1" t="str">
            <v>Total factor income: Percentage changes ;</v>
          </cell>
          <cell r="BJ1" t="str">
            <v>Taxes less subsidies on production and imports: Percentage changes ;</v>
          </cell>
          <cell r="BK1" t="str">
            <v>GROSS DOMESTIC PRODUCT: Percentage changes ;</v>
          </cell>
          <cell r="BL1" t="str">
            <v>Compensation of employees - Wages and salaries ;</v>
          </cell>
          <cell r="BM1" t="str">
            <v>Compensation of employees - Employers' social contributions ;</v>
          </cell>
          <cell r="BN1" t="str">
            <v>Compensation of employees ;</v>
          </cell>
          <cell r="BO1" t="str">
            <v>Private non-financial corporations ;  Gross operating surplus ;</v>
          </cell>
          <cell r="BP1" t="str">
            <v>Public non-financial corporations ;  Gross operating surplus ;</v>
          </cell>
          <cell r="BQ1" t="str">
            <v>Non-financial corporations ;  Gross operating surplus ;</v>
          </cell>
          <cell r="BR1" t="str">
            <v>Financial corporations ;  Gross operating surplus ;</v>
          </cell>
          <cell r="BS1" t="str">
            <v>Total corporations ;  Gross operating surplus ;</v>
          </cell>
          <cell r="BT1" t="str">
            <v>General government ;  Gross operating surplus ;</v>
          </cell>
          <cell r="BU1" t="str">
            <v>Dwellings owned by persons ;  Gross operating surplus ;</v>
          </cell>
          <cell r="BV1" t="str">
            <v>All sectors ;  Gross operating surplus ;</v>
          </cell>
          <cell r="BW1" t="str">
            <v>Gross mixed income ;</v>
          </cell>
          <cell r="BX1" t="str">
            <v>Total factor income ;</v>
          </cell>
          <cell r="BY1" t="str">
            <v>Taxes less subsidies on production and imports ;</v>
          </cell>
          <cell r="BZ1" t="str">
            <v>Statistical discrepancy (I) ;</v>
          </cell>
          <cell r="CA1" t="str">
            <v>GROSS DOMESTIC PRODUCT ;</v>
          </cell>
          <cell r="CB1" t="str">
            <v>Compensation of employees: Revisions ;</v>
          </cell>
          <cell r="CC1" t="str">
            <v>Private non-financial corporations ;  Gross operating surplus: Revisions ;</v>
          </cell>
          <cell r="CD1" t="str">
            <v>Public non-financial corporations ;  Gross operating surplus: Revisions ;</v>
          </cell>
          <cell r="CE1" t="str">
            <v>Financial corporations ;  Gross operating surplus: Revisions ;</v>
          </cell>
          <cell r="CF1" t="str">
            <v>General government ;  Gross operating surplus: Revisions ;</v>
          </cell>
          <cell r="CG1" t="str">
            <v>Dwellings owned by persons ;  Gross operating surplus: Revisions ;</v>
          </cell>
          <cell r="CH1" t="str">
            <v>All sectors ;  Gross operating surplus: Revisions ;</v>
          </cell>
          <cell r="CI1" t="str">
            <v>Gross mixed income: Revisions ;</v>
          </cell>
          <cell r="CJ1" t="str">
            <v>Total factor income: Revisions ;</v>
          </cell>
          <cell r="CK1" t="str">
            <v>Taxes less subsidies on production and imports: Revisions ;</v>
          </cell>
          <cell r="CL1" t="str">
            <v>Statistical discrepancy (I): Revisions ;</v>
          </cell>
          <cell r="CM1" t="str">
            <v>GROSS DOMESTIC PRODUCT: Revisions ;</v>
          </cell>
        </row>
        <row r="2">
          <cell r="A2" t="str">
            <v>Unit</v>
          </cell>
          <cell r="B2" t="str">
            <v>Argentina</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A7" t="str">
            <v>Series Start</v>
          </cell>
          <cell r="B7">
            <v>30560</v>
          </cell>
          <cell r="C7">
            <v>30560</v>
          </cell>
          <cell r="D7">
            <v>21794</v>
          </cell>
          <cell r="E7">
            <v>21794</v>
          </cell>
          <cell r="F7">
            <v>21794</v>
          </cell>
          <cell r="G7">
            <v>21794</v>
          </cell>
          <cell r="H7">
            <v>21794</v>
          </cell>
          <cell r="I7">
            <v>21794</v>
          </cell>
          <cell r="J7">
            <v>21794</v>
          </cell>
          <cell r="K7">
            <v>21794</v>
          </cell>
          <cell r="L7">
            <v>21794</v>
          </cell>
          <cell r="M7">
            <v>21794</v>
          </cell>
          <cell r="N7">
            <v>21794</v>
          </cell>
          <cell r="O7">
            <v>21794</v>
          </cell>
          <cell r="P7">
            <v>21794</v>
          </cell>
          <cell r="Q7">
            <v>21794</v>
          </cell>
          <cell r="R7">
            <v>30651</v>
          </cell>
          <cell r="S7">
            <v>30651</v>
          </cell>
          <cell r="T7">
            <v>21885</v>
          </cell>
          <cell r="U7">
            <v>21885</v>
          </cell>
          <cell r="V7">
            <v>21885</v>
          </cell>
          <cell r="W7">
            <v>21885</v>
          </cell>
          <cell r="X7">
            <v>21885</v>
          </cell>
          <cell r="Y7">
            <v>21885</v>
          </cell>
          <cell r="Z7">
            <v>21885</v>
          </cell>
          <cell r="AA7">
            <v>21885</v>
          </cell>
          <cell r="AB7">
            <v>21885</v>
          </cell>
          <cell r="AC7">
            <v>21885</v>
          </cell>
          <cell r="AD7">
            <v>21885</v>
          </cell>
          <cell r="AE7">
            <v>21885</v>
          </cell>
          <cell r="AF7">
            <v>21885</v>
          </cell>
          <cell r="AG7">
            <v>30560</v>
          </cell>
          <cell r="AH7">
            <v>30560</v>
          </cell>
          <cell r="AI7">
            <v>21794</v>
          </cell>
          <cell r="AJ7">
            <v>21794</v>
          </cell>
          <cell r="AK7">
            <v>21794</v>
          </cell>
          <cell r="AL7">
            <v>21794</v>
          </cell>
          <cell r="AM7">
            <v>21794</v>
          </cell>
          <cell r="AN7">
            <v>21794</v>
          </cell>
          <cell r="AO7">
            <v>21794</v>
          </cell>
          <cell r="AP7">
            <v>21794</v>
          </cell>
          <cell r="AQ7">
            <v>21794</v>
          </cell>
          <cell r="AR7">
            <v>21794</v>
          </cell>
          <cell r="AS7">
            <v>21794</v>
          </cell>
          <cell r="AT7">
            <v>21794</v>
          </cell>
          <cell r="AU7">
            <v>21794</v>
          </cell>
          <cell r="AV7">
            <v>21794</v>
          </cell>
          <cell r="AW7">
            <v>30651</v>
          </cell>
          <cell r="AX7">
            <v>30651</v>
          </cell>
          <cell r="AY7">
            <v>21885</v>
          </cell>
          <cell r="AZ7">
            <v>21885</v>
          </cell>
          <cell r="BA7">
            <v>21885</v>
          </cell>
          <cell r="BB7">
            <v>21885</v>
          </cell>
          <cell r="BC7">
            <v>21885</v>
          </cell>
          <cell r="BD7">
            <v>21885</v>
          </cell>
          <cell r="BE7">
            <v>21885</v>
          </cell>
          <cell r="BF7">
            <v>21885</v>
          </cell>
          <cell r="BG7">
            <v>21885</v>
          </cell>
          <cell r="BH7">
            <v>21885</v>
          </cell>
          <cell r="BI7">
            <v>21885</v>
          </cell>
          <cell r="BJ7">
            <v>21885</v>
          </cell>
          <cell r="BK7">
            <v>21885</v>
          </cell>
          <cell r="BL7">
            <v>30560</v>
          </cell>
          <cell r="BM7">
            <v>30560</v>
          </cell>
          <cell r="BN7">
            <v>21794</v>
          </cell>
          <cell r="BO7">
            <v>21794</v>
          </cell>
          <cell r="BP7">
            <v>21794</v>
          </cell>
          <cell r="BQ7">
            <v>21794</v>
          </cell>
          <cell r="BR7">
            <v>21794</v>
          </cell>
          <cell r="BS7">
            <v>21794</v>
          </cell>
          <cell r="BT7">
            <v>21794</v>
          </cell>
          <cell r="BU7">
            <v>21794</v>
          </cell>
          <cell r="BV7">
            <v>21794</v>
          </cell>
          <cell r="BW7">
            <v>21794</v>
          </cell>
          <cell r="BX7">
            <v>21794</v>
          </cell>
          <cell r="BY7">
            <v>21794</v>
          </cell>
          <cell r="BZ7">
            <v>21794</v>
          </cell>
          <cell r="CA7">
            <v>21794</v>
          </cell>
          <cell r="CB7">
            <v>21794</v>
          </cell>
          <cell r="CC7">
            <v>21794</v>
          </cell>
          <cell r="CD7">
            <v>21794</v>
          </cell>
          <cell r="CE7">
            <v>21794</v>
          </cell>
          <cell r="CF7">
            <v>21794</v>
          </cell>
          <cell r="CG7">
            <v>21794</v>
          </cell>
          <cell r="CH7">
            <v>21794</v>
          </cell>
          <cell r="CI7">
            <v>21794</v>
          </cell>
          <cell r="CJ7">
            <v>21794</v>
          </cell>
          <cell r="CK7">
            <v>21794</v>
          </cell>
          <cell r="CL7">
            <v>21794</v>
          </cell>
          <cell r="CM7">
            <v>21794</v>
          </cell>
        </row>
        <row r="8">
          <cell r="A8" t="str">
            <v>Series End</v>
          </cell>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row>
        <row r="9">
          <cell r="A9" t="str">
            <v>No. Obs</v>
          </cell>
          <cell r="B9">
            <v>138</v>
          </cell>
          <cell r="C9">
            <v>138</v>
          </cell>
          <cell r="D9">
            <v>234</v>
          </cell>
          <cell r="E9">
            <v>234</v>
          </cell>
          <cell r="F9">
            <v>234</v>
          </cell>
          <cell r="G9">
            <v>234</v>
          </cell>
          <cell r="H9">
            <v>234</v>
          </cell>
          <cell r="I9">
            <v>234</v>
          </cell>
          <cell r="J9">
            <v>234</v>
          </cell>
          <cell r="K9">
            <v>234</v>
          </cell>
          <cell r="L9">
            <v>234</v>
          </cell>
          <cell r="M9">
            <v>234</v>
          </cell>
          <cell r="N9">
            <v>234</v>
          </cell>
          <cell r="O9">
            <v>234</v>
          </cell>
          <cell r="P9">
            <v>234</v>
          </cell>
          <cell r="Q9">
            <v>234</v>
          </cell>
          <cell r="R9">
            <v>137</v>
          </cell>
          <cell r="S9">
            <v>137</v>
          </cell>
          <cell r="T9">
            <v>233</v>
          </cell>
          <cell r="U9">
            <v>233</v>
          </cell>
          <cell r="V9">
            <v>233</v>
          </cell>
          <cell r="W9">
            <v>233</v>
          </cell>
          <cell r="X9">
            <v>233</v>
          </cell>
          <cell r="Y9">
            <v>233</v>
          </cell>
          <cell r="Z9">
            <v>233</v>
          </cell>
          <cell r="AA9">
            <v>233</v>
          </cell>
          <cell r="AB9">
            <v>233</v>
          </cell>
          <cell r="AC9">
            <v>233</v>
          </cell>
          <cell r="AD9">
            <v>233</v>
          </cell>
          <cell r="AE9">
            <v>233</v>
          </cell>
          <cell r="AF9">
            <v>233</v>
          </cell>
          <cell r="AG9">
            <v>138</v>
          </cell>
          <cell r="AH9">
            <v>138</v>
          </cell>
          <cell r="AI9">
            <v>234</v>
          </cell>
          <cell r="AJ9">
            <v>234</v>
          </cell>
          <cell r="AK9">
            <v>234</v>
          </cell>
          <cell r="AL9">
            <v>234</v>
          </cell>
          <cell r="AM9">
            <v>234</v>
          </cell>
          <cell r="AN9">
            <v>234</v>
          </cell>
          <cell r="AO9">
            <v>234</v>
          </cell>
          <cell r="AP9">
            <v>234</v>
          </cell>
          <cell r="AQ9">
            <v>234</v>
          </cell>
          <cell r="AR9">
            <v>234</v>
          </cell>
          <cell r="AS9">
            <v>234</v>
          </cell>
          <cell r="AT9">
            <v>234</v>
          </cell>
          <cell r="AU9">
            <v>234</v>
          </cell>
          <cell r="AV9">
            <v>234</v>
          </cell>
          <cell r="AW9">
            <v>137</v>
          </cell>
          <cell r="AX9">
            <v>137</v>
          </cell>
          <cell r="AY9">
            <v>233</v>
          </cell>
          <cell r="AZ9">
            <v>233</v>
          </cell>
          <cell r="BA9">
            <v>233</v>
          </cell>
          <cell r="BB9">
            <v>233</v>
          </cell>
          <cell r="BC9">
            <v>233</v>
          </cell>
          <cell r="BD9">
            <v>233</v>
          </cell>
          <cell r="BE9">
            <v>233</v>
          </cell>
          <cell r="BF9">
            <v>233</v>
          </cell>
          <cell r="BG9">
            <v>233</v>
          </cell>
          <cell r="BH9">
            <v>233</v>
          </cell>
          <cell r="BI9">
            <v>233</v>
          </cell>
          <cell r="BJ9">
            <v>233</v>
          </cell>
          <cell r="BK9">
            <v>233</v>
          </cell>
          <cell r="BL9">
            <v>138</v>
          </cell>
          <cell r="BM9">
            <v>138</v>
          </cell>
          <cell r="BN9">
            <v>234</v>
          </cell>
          <cell r="BO9">
            <v>234</v>
          </cell>
          <cell r="BP9">
            <v>234</v>
          </cell>
          <cell r="BQ9">
            <v>234</v>
          </cell>
          <cell r="BR9">
            <v>234</v>
          </cell>
          <cell r="BS9">
            <v>234</v>
          </cell>
          <cell r="BT9">
            <v>234</v>
          </cell>
          <cell r="BU9">
            <v>234</v>
          </cell>
          <cell r="BV9">
            <v>234</v>
          </cell>
          <cell r="BW9">
            <v>234</v>
          </cell>
          <cell r="BX9">
            <v>234</v>
          </cell>
          <cell r="BY9">
            <v>234</v>
          </cell>
          <cell r="BZ9">
            <v>234</v>
          </cell>
          <cell r="CA9">
            <v>234</v>
          </cell>
          <cell r="CB9">
            <v>233</v>
          </cell>
          <cell r="CC9">
            <v>233</v>
          </cell>
          <cell r="CD9">
            <v>233</v>
          </cell>
          <cell r="CE9">
            <v>233</v>
          </cell>
          <cell r="CF9">
            <v>233</v>
          </cell>
          <cell r="CG9">
            <v>233</v>
          </cell>
          <cell r="CH9">
            <v>233</v>
          </cell>
          <cell r="CI9">
            <v>233</v>
          </cell>
          <cell r="CJ9">
            <v>233</v>
          </cell>
          <cell r="CK9">
            <v>233</v>
          </cell>
          <cell r="CL9">
            <v>233</v>
          </cell>
          <cell r="CM9">
            <v>233</v>
          </cell>
        </row>
        <row r="10">
          <cell r="A10" t="str">
            <v>Series ID</v>
          </cell>
          <cell r="B10" t="str">
            <v>A2303552L</v>
          </cell>
          <cell r="C10" t="str">
            <v>A2303554T</v>
          </cell>
          <cell r="D10" t="str">
            <v>A2303556W</v>
          </cell>
          <cell r="E10" t="str">
            <v>A2323378R</v>
          </cell>
          <cell r="F10" t="str">
            <v>A2303560L</v>
          </cell>
          <cell r="G10" t="str">
            <v>A2303562T</v>
          </cell>
          <cell r="H10" t="str">
            <v>A2303564W</v>
          </cell>
          <cell r="I10" t="str">
            <v>A2303566A</v>
          </cell>
          <cell r="J10" t="str">
            <v>A2298709V</v>
          </cell>
          <cell r="K10" t="str">
            <v>A2303570T</v>
          </cell>
          <cell r="L10" t="str">
            <v>A2303572W</v>
          </cell>
          <cell r="M10" t="str">
            <v>A2303574A</v>
          </cell>
          <cell r="N10" t="str">
            <v>A2303576F</v>
          </cell>
          <cell r="O10" t="str">
            <v>A2303578K</v>
          </cell>
          <cell r="P10" t="str">
            <v>A2303325L</v>
          </cell>
          <cell r="Q10" t="str">
            <v>A2304350J</v>
          </cell>
          <cell r="R10" t="str">
            <v>A2303327T</v>
          </cell>
          <cell r="S10" t="str">
            <v>A2303329W</v>
          </cell>
          <cell r="T10" t="str">
            <v>A2303331J</v>
          </cell>
          <cell r="U10" t="str">
            <v>A2323376K</v>
          </cell>
          <cell r="V10" t="str">
            <v>A2303335T</v>
          </cell>
          <cell r="W10" t="str">
            <v>A2303337W</v>
          </cell>
          <cell r="X10" t="str">
            <v>A2303339A</v>
          </cell>
          <cell r="Y10" t="str">
            <v>A2303341L</v>
          </cell>
          <cell r="Z10" t="str">
            <v>A2298677L</v>
          </cell>
          <cell r="AA10" t="str">
            <v>A2303345W</v>
          </cell>
          <cell r="AB10" t="str">
            <v>A2303347A</v>
          </cell>
          <cell r="AC10" t="str">
            <v>A2303349F</v>
          </cell>
          <cell r="AD10" t="str">
            <v>A2303351T</v>
          </cell>
          <cell r="AE10" t="str">
            <v>A2303353W</v>
          </cell>
          <cell r="AF10" t="str">
            <v>A2304322X</v>
          </cell>
          <cell r="AG10" t="str">
            <v>A2303355A</v>
          </cell>
          <cell r="AH10" t="str">
            <v>A2303357F</v>
          </cell>
          <cell r="AI10" t="str">
            <v>A2303359K</v>
          </cell>
          <cell r="AJ10" t="str">
            <v>A2323372A</v>
          </cell>
          <cell r="AK10" t="str">
            <v>A2303363A</v>
          </cell>
          <cell r="AL10" t="str">
            <v>A2303365F</v>
          </cell>
          <cell r="AM10" t="str">
            <v>A2303367K</v>
          </cell>
          <cell r="AN10" t="str">
            <v>A2303369R</v>
          </cell>
          <cell r="AO10" t="str">
            <v>A2298712J</v>
          </cell>
          <cell r="AP10" t="str">
            <v>A2303373F</v>
          </cell>
          <cell r="AQ10" t="str">
            <v>A2303375K</v>
          </cell>
          <cell r="AR10" t="str">
            <v>A2303377R</v>
          </cell>
          <cell r="AS10" t="str">
            <v>A2303379V</v>
          </cell>
          <cell r="AT10" t="str">
            <v>A2303381F</v>
          </cell>
          <cell r="AU10" t="str">
            <v>A2303383K</v>
          </cell>
          <cell r="AV10" t="str">
            <v>A2304418T</v>
          </cell>
          <cell r="AW10" t="str">
            <v>A2303385R</v>
          </cell>
          <cell r="AX10" t="str">
            <v>A2303387V</v>
          </cell>
          <cell r="AY10" t="str">
            <v>A2303389X</v>
          </cell>
          <cell r="AZ10" t="str">
            <v>A2323370W</v>
          </cell>
          <cell r="BA10" t="str">
            <v>A2303393R</v>
          </cell>
          <cell r="BB10" t="str">
            <v>A2303395V</v>
          </cell>
          <cell r="BC10" t="str">
            <v>A2303397X</v>
          </cell>
          <cell r="BD10" t="str">
            <v>A2303399C</v>
          </cell>
          <cell r="BE10" t="str">
            <v>A2298678R</v>
          </cell>
          <cell r="BF10" t="str">
            <v>A2303403J</v>
          </cell>
          <cell r="BG10" t="str">
            <v>A2303405L</v>
          </cell>
          <cell r="BH10" t="str">
            <v>A2303407T</v>
          </cell>
          <cell r="BI10" t="str">
            <v>A2303409W</v>
          </cell>
          <cell r="BJ10" t="str">
            <v>A2303411J</v>
          </cell>
          <cell r="BK10" t="str">
            <v>A2304386K</v>
          </cell>
          <cell r="BL10" t="str">
            <v>A2302399K</v>
          </cell>
          <cell r="BM10" t="str">
            <v>A2302400J</v>
          </cell>
          <cell r="BN10" t="str">
            <v>A2302401K</v>
          </cell>
          <cell r="BO10" t="str">
            <v>A2323369L</v>
          </cell>
          <cell r="BP10" t="str">
            <v>A2302403R</v>
          </cell>
          <cell r="BQ10" t="str">
            <v>A2302404T</v>
          </cell>
          <cell r="BR10" t="str">
            <v>A2302405V</v>
          </cell>
          <cell r="BS10" t="str">
            <v>A2302406W</v>
          </cell>
          <cell r="BT10" t="str">
            <v>A2298711F</v>
          </cell>
          <cell r="BU10" t="str">
            <v>A2302408A</v>
          </cell>
          <cell r="BV10" t="str">
            <v>A2302409C</v>
          </cell>
          <cell r="BW10" t="str">
            <v>A2302410L</v>
          </cell>
          <cell r="BX10" t="str">
            <v>A2302411R</v>
          </cell>
          <cell r="BY10" t="str">
            <v>A2302412T</v>
          </cell>
          <cell r="BZ10" t="str">
            <v>A2302413V</v>
          </cell>
          <cell r="CA10" t="str">
            <v>A2302467A</v>
          </cell>
          <cell r="CB10" t="str">
            <v>A2302665R</v>
          </cell>
          <cell r="CC10" t="str">
            <v>A2323374F</v>
          </cell>
          <cell r="CD10" t="str">
            <v>A2302667V</v>
          </cell>
          <cell r="CE10" t="str">
            <v>A2302668W</v>
          </cell>
          <cell r="CF10" t="str">
            <v>A2298714L</v>
          </cell>
          <cell r="CG10" t="str">
            <v>A2302670J</v>
          </cell>
          <cell r="CH10" t="str">
            <v>A2302671K</v>
          </cell>
          <cell r="CI10" t="str">
            <v>A2302672L</v>
          </cell>
          <cell r="CJ10" t="str">
            <v>A2302673R</v>
          </cell>
          <cell r="CK10" t="str">
            <v>A2302674T</v>
          </cell>
          <cell r="CL10" t="str">
            <v>A2302675V</v>
          </cell>
          <cell r="CM10" t="str">
            <v>A2302664L</v>
          </cell>
        </row>
        <row r="11">
          <cell r="A11">
            <v>21794</v>
          </cell>
          <cell r="D11">
            <v>1848</v>
          </cell>
          <cell r="E11">
            <v>566</v>
          </cell>
          <cell r="F11">
            <v>92</v>
          </cell>
          <cell r="G11">
            <v>659</v>
          </cell>
          <cell r="H11">
            <v>41</v>
          </cell>
          <cell r="I11">
            <v>700</v>
          </cell>
          <cell r="J11">
            <v>97</v>
          </cell>
          <cell r="K11">
            <v>87</v>
          </cell>
          <cell r="L11">
            <v>884</v>
          </cell>
          <cell r="M11">
            <v>986</v>
          </cell>
          <cell r="N11">
            <v>3716</v>
          </cell>
          <cell r="O11">
            <v>350</v>
          </cell>
          <cell r="P11">
            <v>-104</v>
          </cell>
          <cell r="Q11">
            <v>3961</v>
          </cell>
          <cell r="AI11">
            <v>1855</v>
          </cell>
          <cell r="AJ11">
            <v>559</v>
          </cell>
          <cell r="AK11">
            <v>89</v>
          </cell>
          <cell r="AL11">
            <v>648</v>
          </cell>
          <cell r="AM11">
            <v>41</v>
          </cell>
          <cell r="AN11">
            <v>689</v>
          </cell>
          <cell r="AO11">
            <v>97</v>
          </cell>
          <cell r="AP11">
            <v>89</v>
          </cell>
          <cell r="AQ11">
            <v>875</v>
          </cell>
          <cell r="AR11">
            <v>997</v>
          </cell>
          <cell r="AS11">
            <v>3727</v>
          </cell>
          <cell r="AT11">
            <v>347</v>
          </cell>
          <cell r="AU11">
            <v>-107</v>
          </cell>
          <cell r="AV11">
            <v>3967</v>
          </cell>
          <cell r="BN11">
            <v>1902</v>
          </cell>
          <cell r="BO11">
            <v>571</v>
          </cell>
          <cell r="BP11">
            <v>105</v>
          </cell>
          <cell r="BQ11">
            <v>676</v>
          </cell>
          <cell r="BR11">
            <v>41</v>
          </cell>
          <cell r="BS11">
            <v>717</v>
          </cell>
          <cell r="BT11">
            <v>97</v>
          </cell>
          <cell r="BU11">
            <v>98</v>
          </cell>
          <cell r="BV11">
            <v>912</v>
          </cell>
          <cell r="BW11">
            <v>1030</v>
          </cell>
          <cell r="BX11">
            <v>3844</v>
          </cell>
          <cell r="BY11">
            <v>325</v>
          </cell>
          <cell r="BZ11">
            <v>-170</v>
          </cell>
          <cell r="CA11">
            <v>3999</v>
          </cell>
          <cell r="CB11">
            <v>0</v>
          </cell>
          <cell r="CC11">
            <v>0</v>
          </cell>
          <cell r="CD11">
            <v>0</v>
          </cell>
          <cell r="CE11">
            <v>0</v>
          </cell>
          <cell r="CF11">
            <v>1</v>
          </cell>
          <cell r="CG11">
            <v>0</v>
          </cell>
          <cell r="CH11">
            <v>0</v>
          </cell>
          <cell r="CI11">
            <v>0</v>
          </cell>
          <cell r="CJ11">
            <v>0</v>
          </cell>
          <cell r="CK11">
            <v>0</v>
          </cell>
          <cell r="CL11">
            <v>0</v>
          </cell>
          <cell r="CM11">
            <v>0</v>
          </cell>
        </row>
        <row r="12">
          <cell r="A12">
            <v>21885</v>
          </cell>
          <cell r="D12">
            <v>1905</v>
          </cell>
          <cell r="E12">
            <v>583</v>
          </cell>
          <cell r="F12">
            <v>92</v>
          </cell>
          <cell r="G12">
            <v>675</v>
          </cell>
          <cell r="H12">
            <v>42</v>
          </cell>
          <cell r="I12">
            <v>716</v>
          </cell>
          <cell r="J12">
            <v>98</v>
          </cell>
          <cell r="K12">
            <v>90</v>
          </cell>
          <cell r="L12">
            <v>905</v>
          </cell>
          <cell r="M12">
            <v>985</v>
          </cell>
          <cell r="N12">
            <v>3795</v>
          </cell>
          <cell r="O12">
            <v>359</v>
          </cell>
          <cell r="P12">
            <v>-84</v>
          </cell>
          <cell r="Q12">
            <v>4070</v>
          </cell>
          <cell r="T12">
            <v>3.1</v>
          </cell>
          <cell r="U12">
            <v>2.9</v>
          </cell>
          <cell r="V12">
            <v>-0.7</v>
          </cell>
          <cell r="W12">
            <v>2.4</v>
          </cell>
          <cell r="X12">
            <v>2.4</v>
          </cell>
          <cell r="Y12">
            <v>2.4</v>
          </cell>
          <cell r="Z12">
            <v>1</v>
          </cell>
          <cell r="AA12">
            <v>3.4</v>
          </cell>
          <cell r="AB12">
            <v>2.4</v>
          </cell>
          <cell r="AC12">
            <v>-0.1</v>
          </cell>
          <cell r="AD12">
            <v>2.1</v>
          </cell>
          <cell r="AE12">
            <v>2.4</v>
          </cell>
          <cell r="AF12">
            <v>2.8</v>
          </cell>
          <cell r="AI12">
            <v>1894</v>
          </cell>
          <cell r="AJ12">
            <v>584</v>
          </cell>
          <cell r="AK12">
            <v>97</v>
          </cell>
          <cell r="AL12">
            <v>680</v>
          </cell>
          <cell r="AM12">
            <v>42</v>
          </cell>
          <cell r="AN12">
            <v>722</v>
          </cell>
          <cell r="AO12">
            <v>98</v>
          </cell>
          <cell r="AP12">
            <v>90</v>
          </cell>
          <cell r="AQ12">
            <v>911</v>
          </cell>
          <cell r="AR12">
            <v>987</v>
          </cell>
          <cell r="AS12">
            <v>3791</v>
          </cell>
          <cell r="AT12">
            <v>364</v>
          </cell>
          <cell r="AU12">
            <v>-72</v>
          </cell>
          <cell r="AV12">
            <v>4083</v>
          </cell>
          <cell r="AY12">
            <v>2.1</v>
          </cell>
          <cell r="AZ12">
            <v>4.4000000000000004</v>
          </cell>
          <cell r="BA12">
            <v>8.6</v>
          </cell>
          <cell r="BB12">
            <v>5</v>
          </cell>
          <cell r="BC12">
            <v>2.5</v>
          </cell>
          <cell r="BD12">
            <v>4.9000000000000004</v>
          </cell>
          <cell r="BE12">
            <v>0.9</v>
          </cell>
          <cell r="BF12">
            <v>2</v>
          </cell>
          <cell r="BG12">
            <v>4.0999999999999996</v>
          </cell>
          <cell r="BH12">
            <v>-1</v>
          </cell>
          <cell r="BI12">
            <v>1.7</v>
          </cell>
          <cell r="BJ12">
            <v>4.8</v>
          </cell>
          <cell r="BK12">
            <v>2.9</v>
          </cell>
          <cell r="BN12">
            <v>2010</v>
          </cell>
          <cell r="BO12">
            <v>653</v>
          </cell>
          <cell r="BP12">
            <v>111</v>
          </cell>
          <cell r="BQ12">
            <v>763</v>
          </cell>
          <cell r="BR12">
            <v>42</v>
          </cell>
          <cell r="BS12">
            <v>805</v>
          </cell>
          <cell r="BT12">
            <v>98</v>
          </cell>
          <cell r="BU12">
            <v>99</v>
          </cell>
          <cell r="BV12">
            <v>1003</v>
          </cell>
          <cell r="BW12">
            <v>1240</v>
          </cell>
          <cell r="BX12">
            <v>4253</v>
          </cell>
          <cell r="BY12">
            <v>357</v>
          </cell>
          <cell r="BZ12">
            <v>-118</v>
          </cell>
          <cell r="CA12">
            <v>4491</v>
          </cell>
          <cell r="CB12">
            <v>0</v>
          </cell>
          <cell r="CC12">
            <v>0</v>
          </cell>
          <cell r="CD12">
            <v>0</v>
          </cell>
          <cell r="CE12">
            <v>0</v>
          </cell>
          <cell r="CF12">
            <v>0</v>
          </cell>
          <cell r="CG12">
            <v>0</v>
          </cell>
          <cell r="CH12">
            <v>0</v>
          </cell>
          <cell r="CI12">
            <v>0</v>
          </cell>
          <cell r="CJ12">
            <v>0</v>
          </cell>
          <cell r="CK12">
            <v>0</v>
          </cell>
          <cell r="CL12">
            <v>0</v>
          </cell>
          <cell r="CM12">
            <v>0</v>
          </cell>
        </row>
        <row r="13">
          <cell r="A13">
            <v>21976</v>
          </cell>
          <cell r="D13">
            <v>1966</v>
          </cell>
          <cell r="E13">
            <v>603</v>
          </cell>
          <cell r="F13">
            <v>93</v>
          </cell>
          <cell r="G13">
            <v>697</v>
          </cell>
          <cell r="H13">
            <v>43</v>
          </cell>
          <cell r="I13">
            <v>739</v>
          </cell>
          <cell r="J13">
            <v>100</v>
          </cell>
          <cell r="K13">
            <v>94</v>
          </cell>
          <cell r="L13">
            <v>933</v>
          </cell>
          <cell r="M13">
            <v>984</v>
          </cell>
          <cell r="N13">
            <v>3884</v>
          </cell>
          <cell r="O13">
            <v>368</v>
          </cell>
          <cell r="P13">
            <v>-42</v>
          </cell>
          <cell r="Q13">
            <v>4210</v>
          </cell>
          <cell r="T13">
            <v>3.2</v>
          </cell>
          <cell r="U13">
            <v>3.5</v>
          </cell>
          <cell r="V13">
            <v>1.7</v>
          </cell>
          <cell r="W13">
            <v>3.2</v>
          </cell>
          <cell r="X13">
            <v>2.6</v>
          </cell>
          <cell r="Y13">
            <v>3.2</v>
          </cell>
          <cell r="Z13">
            <v>1.2</v>
          </cell>
          <cell r="AA13">
            <v>4.9000000000000004</v>
          </cell>
          <cell r="AB13">
            <v>3.2</v>
          </cell>
          <cell r="AC13">
            <v>-0.1</v>
          </cell>
          <cell r="AD13">
            <v>2.2999999999999998</v>
          </cell>
          <cell r="AE13">
            <v>2.7</v>
          </cell>
          <cell r="AF13">
            <v>3.4</v>
          </cell>
          <cell r="AI13">
            <v>1969</v>
          </cell>
          <cell r="AJ13">
            <v>611</v>
          </cell>
          <cell r="AK13">
            <v>93</v>
          </cell>
          <cell r="AL13">
            <v>704</v>
          </cell>
          <cell r="AM13">
            <v>43</v>
          </cell>
          <cell r="AN13">
            <v>747</v>
          </cell>
          <cell r="AO13">
            <v>99</v>
          </cell>
          <cell r="AP13">
            <v>90</v>
          </cell>
          <cell r="AQ13">
            <v>936</v>
          </cell>
          <cell r="AR13">
            <v>961</v>
          </cell>
          <cell r="AS13">
            <v>3867</v>
          </cell>
          <cell r="AT13">
            <v>364</v>
          </cell>
          <cell r="AU13">
            <v>-68</v>
          </cell>
          <cell r="AV13">
            <v>4162</v>
          </cell>
          <cell r="AY13">
            <v>4</v>
          </cell>
          <cell r="AZ13">
            <v>4.5999999999999996</v>
          </cell>
          <cell r="BA13">
            <v>-3.6</v>
          </cell>
          <cell r="BB13">
            <v>3.5</v>
          </cell>
          <cell r="BC13">
            <v>2.5</v>
          </cell>
          <cell r="BD13">
            <v>3.4</v>
          </cell>
          <cell r="BE13">
            <v>1.1000000000000001</v>
          </cell>
          <cell r="BF13">
            <v>-0.2</v>
          </cell>
          <cell r="BG13">
            <v>2.8</v>
          </cell>
          <cell r="BH13">
            <v>-2.6</v>
          </cell>
          <cell r="BI13">
            <v>2</v>
          </cell>
          <cell r="BJ13">
            <v>0.2</v>
          </cell>
          <cell r="BK13">
            <v>1.9</v>
          </cell>
          <cell r="BN13">
            <v>1855</v>
          </cell>
          <cell r="BO13">
            <v>542</v>
          </cell>
          <cell r="BP13">
            <v>86</v>
          </cell>
          <cell r="BQ13">
            <v>627</v>
          </cell>
          <cell r="BR13">
            <v>43</v>
          </cell>
          <cell r="BS13">
            <v>670</v>
          </cell>
          <cell r="BT13">
            <v>99</v>
          </cell>
          <cell r="BU13">
            <v>85</v>
          </cell>
          <cell r="BV13">
            <v>855</v>
          </cell>
          <cell r="BW13">
            <v>897</v>
          </cell>
          <cell r="BX13">
            <v>3608</v>
          </cell>
          <cell r="BY13">
            <v>369</v>
          </cell>
          <cell r="BZ13">
            <v>-53</v>
          </cell>
          <cell r="CA13">
            <v>3923</v>
          </cell>
          <cell r="CB13">
            <v>1</v>
          </cell>
          <cell r="CC13">
            <v>0</v>
          </cell>
          <cell r="CD13">
            <v>0</v>
          </cell>
          <cell r="CE13">
            <v>0</v>
          </cell>
          <cell r="CF13">
            <v>1</v>
          </cell>
          <cell r="CG13">
            <v>0</v>
          </cell>
          <cell r="CH13">
            <v>0</v>
          </cell>
          <cell r="CI13">
            <v>0</v>
          </cell>
          <cell r="CJ13">
            <v>0</v>
          </cell>
          <cell r="CK13">
            <v>0</v>
          </cell>
          <cell r="CL13">
            <v>0</v>
          </cell>
          <cell r="CM13">
            <v>-1</v>
          </cell>
        </row>
        <row r="14">
          <cell r="A14">
            <v>22068</v>
          </cell>
          <cell r="D14">
            <v>2030</v>
          </cell>
          <cell r="E14">
            <v>625</v>
          </cell>
          <cell r="F14">
            <v>99</v>
          </cell>
          <cell r="G14">
            <v>724</v>
          </cell>
          <cell r="H14">
            <v>44</v>
          </cell>
          <cell r="I14">
            <v>768</v>
          </cell>
          <cell r="J14">
            <v>101</v>
          </cell>
          <cell r="K14">
            <v>100</v>
          </cell>
          <cell r="L14">
            <v>969</v>
          </cell>
          <cell r="M14">
            <v>981</v>
          </cell>
          <cell r="N14">
            <v>3980</v>
          </cell>
          <cell r="O14">
            <v>381</v>
          </cell>
          <cell r="P14">
            <v>-37</v>
          </cell>
          <cell r="Q14">
            <v>4324</v>
          </cell>
          <cell r="T14">
            <v>3.3</v>
          </cell>
          <cell r="U14">
            <v>3.7</v>
          </cell>
          <cell r="V14">
            <v>5.7</v>
          </cell>
          <cell r="W14">
            <v>3.9</v>
          </cell>
          <cell r="X14">
            <v>3.2</v>
          </cell>
          <cell r="Y14">
            <v>3.9</v>
          </cell>
          <cell r="Z14">
            <v>1.4</v>
          </cell>
          <cell r="AA14">
            <v>6.3</v>
          </cell>
          <cell r="AB14">
            <v>3.9</v>
          </cell>
          <cell r="AC14">
            <v>-0.4</v>
          </cell>
          <cell r="AD14">
            <v>2.5</v>
          </cell>
          <cell r="AE14">
            <v>3.4</v>
          </cell>
          <cell r="AF14">
            <v>2.7</v>
          </cell>
          <cell r="AI14">
            <v>2030</v>
          </cell>
          <cell r="AJ14">
            <v>605</v>
          </cell>
          <cell r="AK14">
            <v>89</v>
          </cell>
          <cell r="AL14">
            <v>694</v>
          </cell>
          <cell r="AM14">
            <v>44</v>
          </cell>
          <cell r="AN14">
            <v>738</v>
          </cell>
          <cell r="AO14">
            <v>101</v>
          </cell>
          <cell r="AP14">
            <v>103</v>
          </cell>
          <cell r="AQ14">
            <v>942</v>
          </cell>
          <cell r="AR14">
            <v>1020</v>
          </cell>
          <cell r="AS14">
            <v>3991</v>
          </cell>
          <cell r="AT14">
            <v>378</v>
          </cell>
          <cell r="AU14">
            <v>3</v>
          </cell>
          <cell r="AV14">
            <v>4372</v>
          </cell>
          <cell r="AY14">
            <v>3.1</v>
          </cell>
          <cell r="AZ14">
            <v>-0.9</v>
          </cell>
          <cell r="BA14">
            <v>-4.9000000000000004</v>
          </cell>
          <cell r="BB14">
            <v>-1.4</v>
          </cell>
          <cell r="BC14">
            <v>2.5</v>
          </cell>
          <cell r="BD14">
            <v>-1.2</v>
          </cell>
          <cell r="BE14">
            <v>1.4</v>
          </cell>
          <cell r="BF14">
            <v>14</v>
          </cell>
          <cell r="BG14">
            <v>0.6</v>
          </cell>
          <cell r="BH14">
            <v>6.1</v>
          </cell>
          <cell r="BI14">
            <v>3.2</v>
          </cell>
          <cell r="BJ14">
            <v>3.7</v>
          </cell>
          <cell r="BK14">
            <v>5</v>
          </cell>
          <cell r="BN14">
            <v>2026</v>
          </cell>
          <cell r="BO14">
            <v>590</v>
          </cell>
          <cell r="BP14">
            <v>67</v>
          </cell>
          <cell r="BQ14">
            <v>657</v>
          </cell>
          <cell r="BR14">
            <v>44</v>
          </cell>
          <cell r="BS14">
            <v>700</v>
          </cell>
          <cell r="BT14">
            <v>101</v>
          </cell>
          <cell r="BU14">
            <v>88</v>
          </cell>
          <cell r="BV14">
            <v>889</v>
          </cell>
          <cell r="BW14">
            <v>799</v>
          </cell>
          <cell r="BX14">
            <v>3714</v>
          </cell>
          <cell r="BY14">
            <v>404</v>
          </cell>
          <cell r="BZ14">
            <v>60</v>
          </cell>
          <cell r="CA14">
            <v>4178</v>
          </cell>
          <cell r="CB14">
            <v>0</v>
          </cell>
          <cell r="CC14">
            <v>0</v>
          </cell>
          <cell r="CD14">
            <v>0</v>
          </cell>
          <cell r="CE14">
            <v>0</v>
          </cell>
          <cell r="CF14">
            <v>0</v>
          </cell>
          <cell r="CG14">
            <v>0</v>
          </cell>
          <cell r="CH14">
            <v>0</v>
          </cell>
          <cell r="CI14">
            <v>0</v>
          </cell>
          <cell r="CJ14">
            <v>0</v>
          </cell>
          <cell r="CK14">
            <v>0</v>
          </cell>
          <cell r="CL14">
            <v>0</v>
          </cell>
          <cell r="CM14">
            <v>0</v>
          </cell>
        </row>
        <row r="15">
          <cell r="A15">
            <v>22160</v>
          </cell>
          <cell r="D15">
            <v>2080</v>
          </cell>
          <cell r="E15">
            <v>630</v>
          </cell>
          <cell r="F15">
            <v>108</v>
          </cell>
          <cell r="G15">
            <v>738</v>
          </cell>
          <cell r="H15">
            <v>46</v>
          </cell>
          <cell r="I15">
            <v>783</v>
          </cell>
          <cell r="J15">
            <v>103</v>
          </cell>
          <cell r="K15">
            <v>106</v>
          </cell>
          <cell r="L15">
            <v>992</v>
          </cell>
          <cell r="M15">
            <v>986</v>
          </cell>
          <cell r="N15">
            <v>4057</v>
          </cell>
          <cell r="O15">
            <v>393</v>
          </cell>
          <cell r="P15">
            <v>-44</v>
          </cell>
          <cell r="Q15">
            <v>4406</v>
          </cell>
          <cell r="T15">
            <v>2.4</v>
          </cell>
          <cell r="U15">
            <v>0.8</v>
          </cell>
          <cell r="V15">
            <v>9.1</v>
          </cell>
          <cell r="W15">
            <v>1.9</v>
          </cell>
          <cell r="X15">
            <v>3.3</v>
          </cell>
          <cell r="Y15">
            <v>2</v>
          </cell>
          <cell r="Z15">
            <v>1.6</v>
          </cell>
          <cell r="AA15">
            <v>5.6</v>
          </cell>
          <cell r="AB15">
            <v>2.2999999999999998</v>
          </cell>
          <cell r="AC15">
            <v>0.5</v>
          </cell>
          <cell r="AD15">
            <v>1.9</v>
          </cell>
          <cell r="AE15">
            <v>3.3</v>
          </cell>
          <cell r="AF15">
            <v>1.9</v>
          </cell>
          <cell r="AI15">
            <v>2081</v>
          </cell>
          <cell r="AJ15">
            <v>649</v>
          </cell>
          <cell r="AK15">
            <v>117</v>
          </cell>
          <cell r="AL15">
            <v>766</v>
          </cell>
          <cell r="AM15">
            <v>46</v>
          </cell>
          <cell r="AN15">
            <v>812</v>
          </cell>
          <cell r="AO15">
            <v>103</v>
          </cell>
          <cell r="AP15">
            <v>107</v>
          </cell>
          <cell r="AQ15">
            <v>1022</v>
          </cell>
          <cell r="AR15">
            <v>960</v>
          </cell>
          <cell r="AS15">
            <v>4063</v>
          </cell>
          <cell r="AT15">
            <v>395</v>
          </cell>
          <cell r="AU15">
            <v>-63</v>
          </cell>
          <cell r="AV15">
            <v>4394</v>
          </cell>
          <cell r="AY15">
            <v>2.5</v>
          </cell>
          <cell r="AZ15">
            <v>7.3</v>
          </cell>
          <cell r="BA15">
            <v>32</v>
          </cell>
          <cell r="BB15">
            <v>10.4</v>
          </cell>
          <cell r="BC15">
            <v>4.7</v>
          </cell>
          <cell r="BD15">
            <v>10.1</v>
          </cell>
          <cell r="BE15">
            <v>1.9</v>
          </cell>
          <cell r="BF15">
            <v>3.8</v>
          </cell>
          <cell r="BG15">
            <v>8.5</v>
          </cell>
          <cell r="BH15">
            <v>-5.8</v>
          </cell>
          <cell r="BI15">
            <v>1.8</v>
          </cell>
          <cell r="BJ15">
            <v>4.5999999999999996</v>
          </cell>
          <cell r="BK15">
            <v>0.5</v>
          </cell>
          <cell r="BN15">
            <v>2097</v>
          </cell>
          <cell r="BO15">
            <v>664</v>
          </cell>
          <cell r="BP15">
            <v>138</v>
          </cell>
          <cell r="BQ15">
            <v>802</v>
          </cell>
          <cell r="BR15">
            <v>46</v>
          </cell>
          <cell r="BS15">
            <v>848</v>
          </cell>
          <cell r="BT15">
            <v>103</v>
          </cell>
          <cell r="BU15">
            <v>118</v>
          </cell>
          <cell r="BV15">
            <v>1069</v>
          </cell>
          <cell r="BW15">
            <v>953</v>
          </cell>
          <cell r="BX15">
            <v>4118</v>
          </cell>
          <cell r="BY15">
            <v>372</v>
          </cell>
          <cell r="BZ15">
            <v>-156</v>
          </cell>
          <cell r="CA15">
            <v>4335</v>
          </cell>
          <cell r="CB15">
            <v>0</v>
          </cell>
          <cell r="CC15">
            <v>0</v>
          </cell>
          <cell r="CD15">
            <v>0</v>
          </cell>
          <cell r="CE15">
            <v>0</v>
          </cell>
          <cell r="CF15">
            <v>0</v>
          </cell>
          <cell r="CG15">
            <v>0</v>
          </cell>
          <cell r="CH15">
            <v>0</v>
          </cell>
          <cell r="CI15">
            <v>0</v>
          </cell>
          <cell r="CJ15">
            <v>0</v>
          </cell>
          <cell r="CK15">
            <v>0</v>
          </cell>
          <cell r="CL15">
            <v>0</v>
          </cell>
          <cell r="CM15">
            <v>0</v>
          </cell>
        </row>
        <row r="16">
          <cell r="A16">
            <v>22251</v>
          </cell>
          <cell r="D16">
            <v>2101</v>
          </cell>
          <cell r="E16">
            <v>608</v>
          </cell>
          <cell r="F16">
            <v>110</v>
          </cell>
          <cell r="G16">
            <v>718</v>
          </cell>
          <cell r="H16">
            <v>47</v>
          </cell>
          <cell r="I16">
            <v>764</v>
          </cell>
          <cell r="J16">
            <v>104</v>
          </cell>
          <cell r="K16">
            <v>109</v>
          </cell>
          <cell r="L16">
            <v>978</v>
          </cell>
          <cell r="M16">
            <v>1002</v>
          </cell>
          <cell r="N16">
            <v>4080</v>
          </cell>
          <cell r="O16">
            <v>397</v>
          </cell>
          <cell r="P16">
            <v>-53</v>
          </cell>
          <cell r="Q16">
            <v>4424</v>
          </cell>
          <cell r="T16">
            <v>1</v>
          </cell>
          <cell r="U16">
            <v>-3.5</v>
          </cell>
          <cell r="V16">
            <v>1.8</v>
          </cell>
          <cell r="W16">
            <v>-2.7</v>
          </cell>
          <cell r="X16">
            <v>2.6</v>
          </cell>
          <cell r="Y16">
            <v>-2.4</v>
          </cell>
          <cell r="Z16">
            <v>1.4</v>
          </cell>
          <cell r="AA16">
            <v>3</v>
          </cell>
          <cell r="AB16">
            <v>-1.4</v>
          </cell>
          <cell r="AC16">
            <v>1.7</v>
          </cell>
          <cell r="AD16">
            <v>0.6</v>
          </cell>
          <cell r="AE16">
            <v>0.8</v>
          </cell>
          <cell r="AF16">
            <v>0.4</v>
          </cell>
          <cell r="AI16">
            <v>2113</v>
          </cell>
          <cell r="AJ16">
            <v>619</v>
          </cell>
          <cell r="AK16">
            <v>110</v>
          </cell>
          <cell r="AL16">
            <v>729</v>
          </cell>
          <cell r="AM16">
            <v>47</v>
          </cell>
          <cell r="AN16">
            <v>776</v>
          </cell>
          <cell r="AO16">
            <v>104</v>
          </cell>
          <cell r="AP16">
            <v>108</v>
          </cell>
          <cell r="AQ16">
            <v>988</v>
          </cell>
          <cell r="AR16">
            <v>986</v>
          </cell>
          <cell r="AS16">
            <v>4087</v>
          </cell>
          <cell r="AT16">
            <v>402</v>
          </cell>
          <cell r="AU16">
            <v>-66</v>
          </cell>
          <cell r="AV16">
            <v>4422</v>
          </cell>
          <cell r="AY16">
            <v>1.6</v>
          </cell>
          <cell r="AZ16">
            <v>-4.7</v>
          </cell>
          <cell r="BA16">
            <v>-5.8</v>
          </cell>
          <cell r="BB16">
            <v>-4.9000000000000004</v>
          </cell>
          <cell r="BC16">
            <v>2.4</v>
          </cell>
          <cell r="BD16">
            <v>-4.5</v>
          </cell>
          <cell r="BE16">
            <v>1.3</v>
          </cell>
          <cell r="BF16">
            <v>0.9</v>
          </cell>
          <cell r="BG16">
            <v>-3.3</v>
          </cell>
          <cell r="BH16">
            <v>2.7</v>
          </cell>
          <cell r="BI16">
            <v>0.6</v>
          </cell>
          <cell r="BJ16">
            <v>1.7</v>
          </cell>
          <cell r="BK16">
            <v>0.6</v>
          </cell>
          <cell r="BN16">
            <v>2206</v>
          </cell>
          <cell r="BO16">
            <v>691</v>
          </cell>
          <cell r="BP16">
            <v>126</v>
          </cell>
          <cell r="BQ16">
            <v>817</v>
          </cell>
          <cell r="BR16">
            <v>47</v>
          </cell>
          <cell r="BS16">
            <v>864</v>
          </cell>
          <cell r="BT16">
            <v>104</v>
          </cell>
          <cell r="BU16">
            <v>118</v>
          </cell>
          <cell r="BV16">
            <v>1086</v>
          </cell>
          <cell r="BW16">
            <v>1280</v>
          </cell>
          <cell r="BX16">
            <v>4572</v>
          </cell>
          <cell r="BY16">
            <v>398</v>
          </cell>
          <cell r="BZ16">
            <v>-111</v>
          </cell>
          <cell r="CA16">
            <v>4859</v>
          </cell>
          <cell r="CB16">
            <v>0</v>
          </cell>
          <cell r="CC16">
            <v>0</v>
          </cell>
          <cell r="CD16">
            <v>0</v>
          </cell>
          <cell r="CE16">
            <v>0</v>
          </cell>
          <cell r="CF16">
            <v>0</v>
          </cell>
          <cell r="CG16">
            <v>0</v>
          </cell>
          <cell r="CH16">
            <v>0</v>
          </cell>
          <cell r="CI16">
            <v>0</v>
          </cell>
          <cell r="CJ16">
            <v>0</v>
          </cell>
          <cell r="CK16">
            <v>-1</v>
          </cell>
          <cell r="CL16">
            <v>0</v>
          </cell>
          <cell r="CM16">
            <v>0</v>
          </cell>
        </row>
        <row r="17">
          <cell r="A17">
            <v>22341</v>
          </cell>
          <cell r="D17">
            <v>2104</v>
          </cell>
          <cell r="E17">
            <v>567</v>
          </cell>
          <cell r="F17">
            <v>105</v>
          </cell>
          <cell r="G17">
            <v>672</v>
          </cell>
          <cell r="H17">
            <v>47</v>
          </cell>
          <cell r="I17">
            <v>720</v>
          </cell>
          <cell r="J17">
            <v>105</v>
          </cell>
          <cell r="K17">
            <v>111</v>
          </cell>
          <cell r="L17">
            <v>936</v>
          </cell>
          <cell r="M17">
            <v>1015</v>
          </cell>
          <cell r="N17">
            <v>4055</v>
          </cell>
          <cell r="O17">
            <v>384</v>
          </cell>
          <cell r="P17">
            <v>-51</v>
          </cell>
          <cell r="Q17">
            <v>4387</v>
          </cell>
          <cell r="T17">
            <v>0.2</v>
          </cell>
          <cell r="U17">
            <v>-6.7</v>
          </cell>
          <cell r="V17">
            <v>-4.2</v>
          </cell>
          <cell r="W17">
            <v>-6.3</v>
          </cell>
          <cell r="X17">
            <v>0.7</v>
          </cell>
          <cell r="Y17">
            <v>-5.9</v>
          </cell>
          <cell r="Z17">
            <v>1.1000000000000001</v>
          </cell>
          <cell r="AA17">
            <v>1.7</v>
          </cell>
          <cell r="AB17">
            <v>-4.3</v>
          </cell>
          <cell r="AC17">
            <v>1.3</v>
          </cell>
          <cell r="AD17">
            <v>-0.6</v>
          </cell>
          <cell r="AE17">
            <v>-3.2</v>
          </cell>
          <cell r="AF17">
            <v>-0.8</v>
          </cell>
          <cell r="AI17">
            <v>2097</v>
          </cell>
          <cell r="AJ17">
            <v>554</v>
          </cell>
          <cell r="AK17">
            <v>109</v>
          </cell>
          <cell r="AL17">
            <v>663</v>
          </cell>
          <cell r="AM17">
            <v>47</v>
          </cell>
          <cell r="AN17">
            <v>710</v>
          </cell>
          <cell r="AO17">
            <v>105</v>
          </cell>
          <cell r="AP17">
            <v>111</v>
          </cell>
          <cell r="AQ17">
            <v>927</v>
          </cell>
          <cell r="AR17">
            <v>1046</v>
          </cell>
          <cell r="AS17">
            <v>4069</v>
          </cell>
          <cell r="AT17">
            <v>387</v>
          </cell>
          <cell r="AU17">
            <v>-41</v>
          </cell>
          <cell r="AV17">
            <v>4415</v>
          </cell>
          <cell r="AY17">
            <v>-0.8</v>
          </cell>
          <cell r="AZ17">
            <v>-10.5</v>
          </cell>
          <cell r="BA17">
            <v>-1</v>
          </cell>
          <cell r="BB17">
            <v>-9</v>
          </cell>
          <cell r="BC17">
            <v>0.2</v>
          </cell>
          <cell r="BD17">
            <v>-8.5</v>
          </cell>
          <cell r="BE17">
            <v>1.1000000000000001</v>
          </cell>
          <cell r="BF17">
            <v>3.2</v>
          </cell>
          <cell r="BG17">
            <v>-6.2</v>
          </cell>
          <cell r="BH17">
            <v>6.1</v>
          </cell>
          <cell r="BI17">
            <v>-0.4</v>
          </cell>
          <cell r="BJ17">
            <v>-3.7</v>
          </cell>
          <cell r="BK17">
            <v>-0.2</v>
          </cell>
          <cell r="BN17">
            <v>1999</v>
          </cell>
          <cell r="BO17">
            <v>491</v>
          </cell>
          <cell r="BP17">
            <v>100</v>
          </cell>
          <cell r="BQ17">
            <v>591</v>
          </cell>
          <cell r="BR17">
            <v>47</v>
          </cell>
          <cell r="BS17">
            <v>638</v>
          </cell>
          <cell r="BT17">
            <v>105</v>
          </cell>
          <cell r="BU17">
            <v>105</v>
          </cell>
          <cell r="BV17">
            <v>849</v>
          </cell>
          <cell r="BW17">
            <v>995</v>
          </cell>
          <cell r="BX17">
            <v>3843</v>
          </cell>
          <cell r="BY17">
            <v>388</v>
          </cell>
          <cell r="BZ17">
            <v>-6</v>
          </cell>
          <cell r="CA17">
            <v>4225</v>
          </cell>
          <cell r="CB17">
            <v>0</v>
          </cell>
          <cell r="CC17">
            <v>0</v>
          </cell>
          <cell r="CD17">
            <v>0</v>
          </cell>
          <cell r="CE17">
            <v>0</v>
          </cell>
          <cell r="CF17">
            <v>0</v>
          </cell>
          <cell r="CG17">
            <v>0</v>
          </cell>
          <cell r="CH17">
            <v>-1</v>
          </cell>
          <cell r="CI17">
            <v>0</v>
          </cell>
          <cell r="CJ17">
            <v>0</v>
          </cell>
          <cell r="CK17">
            <v>0</v>
          </cell>
          <cell r="CL17">
            <v>0</v>
          </cell>
          <cell r="CM17">
            <v>0</v>
          </cell>
        </row>
        <row r="18">
          <cell r="A18">
            <v>22433</v>
          </cell>
          <cell r="D18">
            <v>2103</v>
          </cell>
          <cell r="E18">
            <v>538</v>
          </cell>
          <cell r="F18">
            <v>102</v>
          </cell>
          <cell r="G18">
            <v>640</v>
          </cell>
          <cell r="H18">
            <v>47</v>
          </cell>
          <cell r="I18">
            <v>687</v>
          </cell>
          <cell r="J18">
            <v>106</v>
          </cell>
          <cell r="K18">
            <v>114</v>
          </cell>
          <cell r="L18">
            <v>907</v>
          </cell>
          <cell r="M18">
            <v>1007</v>
          </cell>
          <cell r="N18">
            <v>4017</v>
          </cell>
          <cell r="O18">
            <v>364</v>
          </cell>
          <cell r="P18">
            <v>-39</v>
          </cell>
          <cell r="Q18">
            <v>4342</v>
          </cell>
          <cell r="T18">
            <v>0</v>
          </cell>
          <cell r="U18">
            <v>-5.0999999999999996</v>
          </cell>
          <cell r="V18">
            <v>-3.2</v>
          </cell>
          <cell r="W18">
            <v>-4.8</v>
          </cell>
          <cell r="X18">
            <v>-1.2</v>
          </cell>
          <cell r="Y18">
            <v>-4.5999999999999996</v>
          </cell>
          <cell r="Z18">
            <v>0.8</v>
          </cell>
          <cell r="AA18">
            <v>3</v>
          </cell>
          <cell r="AB18">
            <v>-3.1</v>
          </cell>
          <cell r="AC18">
            <v>-0.8</v>
          </cell>
          <cell r="AD18">
            <v>-0.9</v>
          </cell>
          <cell r="AE18">
            <v>-5.2</v>
          </cell>
          <cell r="AF18">
            <v>-1</v>
          </cell>
          <cell r="AI18">
            <v>2097</v>
          </cell>
          <cell r="AJ18">
            <v>537</v>
          </cell>
          <cell r="AK18">
            <v>87</v>
          </cell>
          <cell r="AL18">
            <v>624</v>
          </cell>
          <cell r="AM18">
            <v>47</v>
          </cell>
          <cell r="AN18">
            <v>671</v>
          </cell>
          <cell r="AO18">
            <v>106</v>
          </cell>
          <cell r="AP18">
            <v>113</v>
          </cell>
          <cell r="AQ18">
            <v>890</v>
          </cell>
          <cell r="AR18">
            <v>1009</v>
          </cell>
          <cell r="AS18">
            <v>3996</v>
          </cell>
          <cell r="AT18">
            <v>361</v>
          </cell>
          <cell r="AU18">
            <v>-39</v>
          </cell>
          <cell r="AV18">
            <v>4317</v>
          </cell>
          <cell r="AY18">
            <v>0</v>
          </cell>
          <cell r="AZ18">
            <v>-3.1</v>
          </cell>
          <cell r="BA18">
            <v>-20.5</v>
          </cell>
          <cell r="BB18">
            <v>-6</v>
          </cell>
          <cell r="BC18">
            <v>0.2</v>
          </cell>
          <cell r="BD18">
            <v>-5.6</v>
          </cell>
          <cell r="BE18">
            <v>0.8</v>
          </cell>
          <cell r="BF18">
            <v>2</v>
          </cell>
          <cell r="BG18">
            <v>-3.9</v>
          </cell>
          <cell r="BH18">
            <v>-3.5</v>
          </cell>
          <cell r="BI18">
            <v>-1.8</v>
          </cell>
          <cell r="BJ18">
            <v>-6.7</v>
          </cell>
          <cell r="BK18">
            <v>-2.2000000000000002</v>
          </cell>
          <cell r="BN18">
            <v>2090</v>
          </cell>
          <cell r="BO18">
            <v>524</v>
          </cell>
          <cell r="BP18">
            <v>66</v>
          </cell>
          <cell r="BQ18">
            <v>590</v>
          </cell>
          <cell r="BR18">
            <v>47</v>
          </cell>
          <cell r="BS18">
            <v>637</v>
          </cell>
          <cell r="BT18">
            <v>106</v>
          </cell>
          <cell r="BU18">
            <v>97</v>
          </cell>
          <cell r="BV18">
            <v>840</v>
          </cell>
          <cell r="BW18">
            <v>773</v>
          </cell>
          <cell r="BX18">
            <v>3704</v>
          </cell>
          <cell r="BY18">
            <v>388</v>
          </cell>
          <cell r="BZ18">
            <v>41</v>
          </cell>
          <cell r="CA18">
            <v>4132</v>
          </cell>
          <cell r="CB18">
            <v>0</v>
          </cell>
          <cell r="CC18">
            <v>0</v>
          </cell>
          <cell r="CD18">
            <v>0</v>
          </cell>
          <cell r="CE18">
            <v>0</v>
          </cell>
          <cell r="CF18">
            <v>0</v>
          </cell>
          <cell r="CG18">
            <v>1</v>
          </cell>
          <cell r="CH18">
            <v>0</v>
          </cell>
          <cell r="CI18">
            <v>0</v>
          </cell>
          <cell r="CJ18">
            <v>0</v>
          </cell>
          <cell r="CK18">
            <v>0</v>
          </cell>
          <cell r="CL18">
            <v>0</v>
          </cell>
          <cell r="CM18">
            <v>0</v>
          </cell>
        </row>
        <row r="19">
          <cell r="A19">
            <v>22525</v>
          </cell>
          <cell r="D19">
            <v>2115</v>
          </cell>
          <cell r="E19">
            <v>554</v>
          </cell>
          <cell r="F19">
            <v>106</v>
          </cell>
          <cell r="G19">
            <v>660</v>
          </cell>
          <cell r="H19">
            <v>46</v>
          </cell>
          <cell r="I19">
            <v>706</v>
          </cell>
          <cell r="J19">
            <v>107</v>
          </cell>
          <cell r="K19">
            <v>118</v>
          </cell>
          <cell r="L19">
            <v>931</v>
          </cell>
          <cell r="M19">
            <v>969</v>
          </cell>
          <cell r="N19">
            <v>4015</v>
          </cell>
          <cell r="O19">
            <v>354</v>
          </cell>
          <cell r="P19">
            <v>-41</v>
          </cell>
          <cell r="Q19">
            <v>4327</v>
          </cell>
          <cell r="T19">
            <v>0.6</v>
          </cell>
          <cell r="U19">
            <v>2.9</v>
          </cell>
          <cell r="V19">
            <v>4.0999999999999996</v>
          </cell>
          <cell r="W19">
            <v>3.1</v>
          </cell>
          <cell r="X19">
            <v>-1.7</v>
          </cell>
          <cell r="Y19">
            <v>2.7</v>
          </cell>
          <cell r="Z19">
            <v>0.7</v>
          </cell>
          <cell r="AA19">
            <v>3.6</v>
          </cell>
          <cell r="AB19">
            <v>2.6</v>
          </cell>
          <cell r="AC19">
            <v>-3.7</v>
          </cell>
          <cell r="AD19">
            <v>-0.1</v>
          </cell>
          <cell r="AE19">
            <v>-2.8</v>
          </cell>
          <cell r="AF19">
            <v>-0.3</v>
          </cell>
          <cell r="AI19">
            <v>2125</v>
          </cell>
          <cell r="AJ19">
            <v>544</v>
          </cell>
          <cell r="AK19">
            <v>119</v>
          </cell>
          <cell r="AL19">
            <v>663</v>
          </cell>
          <cell r="AM19">
            <v>45</v>
          </cell>
          <cell r="AN19">
            <v>709</v>
          </cell>
          <cell r="AO19">
            <v>107</v>
          </cell>
          <cell r="AP19">
            <v>119</v>
          </cell>
          <cell r="AQ19">
            <v>934</v>
          </cell>
          <cell r="AR19">
            <v>960</v>
          </cell>
          <cell r="AS19">
            <v>4018</v>
          </cell>
          <cell r="AT19">
            <v>349</v>
          </cell>
          <cell r="AU19">
            <v>-42</v>
          </cell>
          <cell r="AV19">
            <v>4326</v>
          </cell>
          <cell r="AY19">
            <v>1.3</v>
          </cell>
          <cell r="AZ19">
            <v>1.4</v>
          </cell>
          <cell r="BA19">
            <v>37</v>
          </cell>
          <cell r="BB19">
            <v>6.4</v>
          </cell>
          <cell r="BC19">
            <v>-4</v>
          </cell>
          <cell r="BD19">
            <v>5.7</v>
          </cell>
          <cell r="BE19">
            <v>0.5</v>
          </cell>
          <cell r="BF19">
            <v>4.5</v>
          </cell>
          <cell r="BG19">
            <v>4.9000000000000004</v>
          </cell>
          <cell r="BH19">
            <v>-4.8</v>
          </cell>
          <cell r="BI19">
            <v>0.6</v>
          </cell>
          <cell r="BJ19">
            <v>-3.2</v>
          </cell>
          <cell r="BK19">
            <v>0.2</v>
          </cell>
          <cell r="BN19">
            <v>2111</v>
          </cell>
          <cell r="BO19">
            <v>557</v>
          </cell>
          <cell r="BP19">
            <v>140</v>
          </cell>
          <cell r="BQ19">
            <v>697</v>
          </cell>
          <cell r="BR19">
            <v>45</v>
          </cell>
          <cell r="BS19">
            <v>743</v>
          </cell>
          <cell r="BT19">
            <v>107</v>
          </cell>
          <cell r="BU19">
            <v>131</v>
          </cell>
          <cell r="BV19">
            <v>980</v>
          </cell>
          <cell r="BW19">
            <v>971</v>
          </cell>
          <cell r="BX19">
            <v>4061</v>
          </cell>
          <cell r="BY19">
            <v>332</v>
          </cell>
          <cell r="BZ19">
            <v>-106</v>
          </cell>
          <cell r="CA19">
            <v>4287</v>
          </cell>
          <cell r="CB19">
            <v>0</v>
          </cell>
          <cell r="CC19">
            <v>0</v>
          </cell>
          <cell r="CD19">
            <v>0</v>
          </cell>
          <cell r="CE19">
            <v>0</v>
          </cell>
          <cell r="CF19">
            <v>0</v>
          </cell>
          <cell r="CG19">
            <v>0</v>
          </cell>
          <cell r="CH19">
            <v>0</v>
          </cell>
          <cell r="CI19">
            <v>0</v>
          </cell>
          <cell r="CJ19">
            <v>0</v>
          </cell>
          <cell r="CK19">
            <v>0</v>
          </cell>
          <cell r="CL19">
            <v>0</v>
          </cell>
          <cell r="CM19">
            <v>-1</v>
          </cell>
        </row>
        <row r="20">
          <cell r="A20">
            <v>22616</v>
          </cell>
          <cell r="D20">
            <v>2149</v>
          </cell>
          <cell r="E20">
            <v>602</v>
          </cell>
          <cell r="F20">
            <v>114</v>
          </cell>
          <cell r="G20">
            <v>716</v>
          </cell>
          <cell r="H20">
            <v>45</v>
          </cell>
          <cell r="I20">
            <v>761</v>
          </cell>
          <cell r="J20">
            <v>108</v>
          </cell>
          <cell r="K20">
            <v>123</v>
          </cell>
          <cell r="L20">
            <v>991</v>
          </cell>
          <cell r="M20">
            <v>943</v>
          </cell>
          <cell r="N20">
            <v>4083</v>
          </cell>
          <cell r="O20">
            <v>358</v>
          </cell>
          <cell r="P20">
            <v>-61</v>
          </cell>
          <cell r="Q20">
            <v>4380</v>
          </cell>
          <cell r="T20">
            <v>1.6</v>
          </cell>
          <cell r="U20">
            <v>8.8000000000000007</v>
          </cell>
          <cell r="V20">
            <v>7.2</v>
          </cell>
          <cell r="W20">
            <v>8.5</v>
          </cell>
          <cell r="X20">
            <v>-1.2</v>
          </cell>
          <cell r="Y20">
            <v>7.9</v>
          </cell>
          <cell r="Z20">
            <v>0.7</v>
          </cell>
          <cell r="AA20">
            <v>3.8</v>
          </cell>
          <cell r="AB20">
            <v>6.5</v>
          </cell>
          <cell r="AC20">
            <v>-2.7</v>
          </cell>
          <cell r="AD20">
            <v>1.7</v>
          </cell>
          <cell r="AE20">
            <v>1.3</v>
          </cell>
          <cell r="AF20">
            <v>1.2</v>
          </cell>
          <cell r="AI20">
            <v>2133</v>
          </cell>
          <cell r="AJ20">
            <v>600</v>
          </cell>
          <cell r="AK20">
            <v>109</v>
          </cell>
          <cell r="AL20">
            <v>708</v>
          </cell>
          <cell r="AM20">
            <v>45</v>
          </cell>
          <cell r="AN20">
            <v>754</v>
          </cell>
          <cell r="AO20">
            <v>108</v>
          </cell>
          <cell r="AP20">
            <v>123</v>
          </cell>
          <cell r="AQ20">
            <v>985</v>
          </cell>
          <cell r="AR20">
            <v>940</v>
          </cell>
          <cell r="AS20">
            <v>4058</v>
          </cell>
          <cell r="AT20">
            <v>357</v>
          </cell>
          <cell r="AU20">
            <v>-53</v>
          </cell>
          <cell r="AV20">
            <v>4362</v>
          </cell>
          <cell r="AY20">
            <v>0.4</v>
          </cell>
          <cell r="AZ20">
            <v>10.1</v>
          </cell>
          <cell r="BA20">
            <v>-8.4</v>
          </cell>
          <cell r="BB20">
            <v>6.8</v>
          </cell>
          <cell r="BC20">
            <v>0.1</v>
          </cell>
          <cell r="BD20">
            <v>6.4</v>
          </cell>
          <cell r="BE20">
            <v>0.8</v>
          </cell>
          <cell r="BF20">
            <v>4.0999999999999996</v>
          </cell>
          <cell r="BG20">
            <v>5.5</v>
          </cell>
          <cell r="BH20">
            <v>-2.1</v>
          </cell>
          <cell r="BI20">
            <v>1</v>
          </cell>
          <cell r="BJ20">
            <v>2.2999999999999998</v>
          </cell>
          <cell r="BK20">
            <v>0.8</v>
          </cell>
          <cell r="BN20">
            <v>2278</v>
          </cell>
          <cell r="BO20">
            <v>668</v>
          </cell>
          <cell r="BP20">
            <v>124</v>
          </cell>
          <cell r="BQ20">
            <v>792</v>
          </cell>
          <cell r="BR20">
            <v>45</v>
          </cell>
          <cell r="BS20">
            <v>838</v>
          </cell>
          <cell r="BT20">
            <v>108</v>
          </cell>
          <cell r="BU20">
            <v>135</v>
          </cell>
          <cell r="BV20">
            <v>1081</v>
          </cell>
          <cell r="BW20">
            <v>1214</v>
          </cell>
          <cell r="BX20">
            <v>4572</v>
          </cell>
          <cell r="BY20">
            <v>349</v>
          </cell>
          <cell r="BZ20">
            <v>-112</v>
          </cell>
          <cell r="CA20">
            <v>4809</v>
          </cell>
          <cell r="CB20">
            <v>0</v>
          </cell>
          <cell r="CC20">
            <v>0</v>
          </cell>
          <cell r="CD20">
            <v>0</v>
          </cell>
          <cell r="CE20">
            <v>0</v>
          </cell>
          <cell r="CF20">
            <v>-1</v>
          </cell>
          <cell r="CG20">
            <v>1</v>
          </cell>
          <cell r="CH20">
            <v>0</v>
          </cell>
          <cell r="CI20">
            <v>0</v>
          </cell>
          <cell r="CJ20">
            <v>-1</v>
          </cell>
          <cell r="CK20">
            <v>0</v>
          </cell>
          <cell r="CL20">
            <v>0</v>
          </cell>
          <cell r="CM20">
            <v>-1</v>
          </cell>
        </row>
        <row r="21">
          <cell r="A21">
            <v>22706</v>
          </cell>
          <cell r="D21">
            <v>2190</v>
          </cell>
          <cell r="E21">
            <v>651</v>
          </cell>
          <cell r="F21">
            <v>119</v>
          </cell>
          <cell r="G21">
            <v>770</v>
          </cell>
          <cell r="H21">
            <v>45</v>
          </cell>
          <cell r="I21">
            <v>815</v>
          </cell>
          <cell r="J21">
            <v>108</v>
          </cell>
          <cell r="K21">
            <v>128</v>
          </cell>
          <cell r="L21">
            <v>1051</v>
          </cell>
          <cell r="M21">
            <v>950</v>
          </cell>
          <cell r="N21">
            <v>4191</v>
          </cell>
          <cell r="O21">
            <v>370</v>
          </cell>
          <cell r="P21">
            <v>-86</v>
          </cell>
          <cell r="Q21">
            <v>4475</v>
          </cell>
          <cell r="T21">
            <v>1.9</v>
          </cell>
          <cell r="U21">
            <v>8</v>
          </cell>
          <cell r="V21">
            <v>5</v>
          </cell>
          <cell r="W21">
            <v>7.6</v>
          </cell>
          <cell r="X21">
            <v>-0.3</v>
          </cell>
          <cell r="Y21">
            <v>7.1</v>
          </cell>
          <cell r="Z21">
            <v>0.8</v>
          </cell>
          <cell r="AA21">
            <v>3.9</v>
          </cell>
          <cell r="AB21">
            <v>6</v>
          </cell>
          <cell r="AC21">
            <v>0.7</v>
          </cell>
          <cell r="AD21">
            <v>2.6</v>
          </cell>
          <cell r="AE21">
            <v>3.4</v>
          </cell>
          <cell r="AF21">
            <v>2.2000000000000002</v>
          </cell>
          <cell r="AI21">
            <v>2193</v>
          </cell>
          <cell r="AJ21">
            <v>667</v>
          </cell>
          <cell r="AK21">
            <v>118</v>
          </cell>
          <cell r="AL21">
            <v>785</v>
          </cell>
          <cell r="AM21">
            <v>45</v>
          </cell>
          <cell r="AN21">
            <v>830</v>
          </cell>
          <cell r="AO21">
            <v>108</v>
          </cell>
          <cell r="AP21">
            <v>126</v>
          </cell>
          <cell r="AQ21">
            <v>1065</v>
          </cell>
          <cell r="AR21">
            <v>941</v>
          </cell>
          <cell r="AS21">
            <v>4198</v>
          </cell>
          <cell r="AT21">
            <v>377</v>
          </cell>
          <cell r="AU21">
            <v>-83</v>
          </cell>
          <cell r="AV21">
            <v>4492</v>
          </cell>
          <cell r="AY21">
            <v>2.8</v>
          </cell>
          <cell r="AZ21">
            <v>11.2</v>
          </cell>
          <cell r="BA21">
            <v>8.3000000000000007</v>
          </cell>
          <cell r="BB21">
            <v>10.8</v>
          </cell>
          <cell r="BC21">
            <v>0</v>
          </cell>
          <cell r="BD21">
            <v>10.1</v>
          </cell>
          <cell r="BE21">
            <v>0.8</v>
          </cell>
          <cell r="BF21">
            <v>2.2999999999999998</v>
          </cell>
          <cell r="BG21">
            <v>8.1</v>
          </cell>
          <cell r="BH21">
            <v>0.1</v>
          </cell>
          <cell r="BI21">
            <v>3.5</v>
          </cell>
          <cell r="BJ21">
            <v>5.7</v>
          </cell>
          <cell r="BK21">
            <v>3</v>
          </cell>
          <cell r="BN21">
            <v>2058</v>
          </cell>
          <cell r="BO21">
            <v>589</v>
          </cell>
          <cell r="BP21">
            <v>108</v>
          </cell>
          <cell r="BQ21">
            <v>697</v>
          </cell>
          <cell r="BR21">
            <v>45</v>
          </cell>
          <cell r="BS21">
            <v>742</v>
          </cell>
          <cell r="BT21">
            <v>108</v>
          </cell>
          <cell r="BU21">
            <v>120</v>
          </cell>
          <cell r="BV21">
            <v>970</v>
          </cell>
          <cell r="BW21">
            <v>888</v>
          </cell>
          <cell r="BX21">
            <v>3916</v>
          </cell>
          <cell r="BY21">
            <v>379</v>
          </cell>
          <cell r="BZ21">
            <v>-32</v>
          </cell>
          <cell r="CA21">
            <v>4263</v>
          </cell>
          <cell r="CB21">
            <v>-1</v>
          </cell>
          <cell r="CC21">
            <v>0</v>
          </cell>
          <cell r="CD21">
            <v>0</v>
          </cell>
          <cell r="CE21">
            <v>0</v>
          </cell>
          <cell r="CF21">
            <v>0</v>
          </cell>
          <cell r="CG21">
            <v>0</v>
          </cell>
          <cell r="CH21">
            <v>0</v>
          </cell>
          <cell r="CI21">
            <v>0</v>
          </cell>
          <cell r="CJ21">
            <v>0</v>
          </cell>
          <cell r="CK21">
            <v>0</v>
          </cell>
          <cell r="CL21">
            <v>0</v>
          </cell>
          <cell r="CM21">
            <v>0</v>
          </cell>
        </row>
        <row r="22">
          <cell r="A22">
            <v>22798</v>
          </cell>
          <cell r="D22">
            <v>2221</v>
          </cell>
          <cell r="E22">
            <v>676</v>
          </cell>
          <cell r="F22">
            <v>120</v>
          </cell>
          <cell r="G22">
            <v>796</v>
          </cell>
          <cell r="H22">
            <v>45</v>
          </cell>
          <cell r="I22">
            <v>841</v>
          </cell>
          <cell r="J22">
            <v>109</v>
          </cell>
          <cell r="K22">
            <v>132</v>
          </cell>
          <cell r="L22">
            <v>1083</v>
          </cell>
          <cell r="M22">
            <v>978</v>
          </cell>
          <cell r="N22">
            <v>4282</v>
          </cell>
          <cell r="O22">
            <v>380</v>
          </cell>
          <cell r="P22">
            <v>-91</v>
          </cell>
          <cell r="Q22">
            <v>4570</v>
          </cell>
          <cell r="T22">
            <v>1.4</v>
          </cell>
          <cell r="U22">
            <v>3.9</v>
          </cell>
          <cell r="V22">
            <v>0.8</v>
          </cell>
          <cell r="W22">
            <v>3.4</v>
          </cell>
          <cell r="X22">
            <v>-0.1</v>
          </cell>
          <cell r="Y22">
            <v>3.2</v>
          </cell>
          <cell r="Z22">
            <v>0.8</v>
          </cell>
          <cell r="AA22">
            <v>3.8</v>
          </cell>
          <cell r="AB22">
            <v>3</v>
          </cell>
          <cell r="AC22">
            <v>3</v>
          </cell>
          <cell r="AD22">
            <v>2.2000000000000002</v>
          </cell>
          <cell r="AE22">
            <v>2.6</v>
          </cell>
          <cell r="AF22">
            <v>2.1</v>
          </cell>
          <cell r="AI22">
            <v>2242</v>
          </cell>
          <cell r="AJ22">
            <v>681</v>
          </cell>
          <cell r="AK22">
            <v>126</v>
          </cell>
          <cell r="AL22">
            <v>806</v>
          </cell>
          <cell r="AM22">
            <v>45</v>
          </cell>
          <cell r="AN22">
            <v>851</v>
          </cell>
          <cell r="AO22">
            <v>109</v>
          </cell>
          <cell r="AP22">
            <v>134</v>
          </cell>
          <cell r="AQ22">
            <v>1094</v>
          </cell>
          <cell r="AR22">
            <v>988</v>
          </cell>
          <cell r="AS22">
            <v>4324</v>
          </cell>
          <cell r="AT22">
            <v>377</v>
          </cell>
          <cell r="AU22">
            <v>-113</v>
          </cell>
          <cell r="AV22">
            <v>4589</v>
          </cell>
          <cell r="AY22">
            <v>2.2999999999999998</v>
          </cell>
          <cell r="AZ22">
            <v>2.1</v>
          </cell>
          <cell r="BA22">
            <v>6.5</v>
          </cell>
          <cell r="BB22">
            <v>2.7</v>
          </cell>
          <cell r="BC22">
            <v>-0.1</v>
          </cell>
          <cell r="BD22">
            <v>2.6</v>
          </cell>
          <cell r="BE22">
            <v>0.8</v>
          </cell>
          <cell r="BF22">
            <v>5.8</v>
          </cell>
          <cell r="BG22">
            <v>2.8</v>
          </cell>
          <cell r="BH22">
            <v>5</v>
          </cell>
          <cell r="BI22">
            <v>3</v>
          </cell>
          <cell r="BJ22">
            <v>-0.1</v>
          </cell>
          <cell r="BK22">
            <v>2.2000000000000002</v>
          </cell>
          <cell r="BN22">
            <v>2215</v>
          </cell>
          <cell r="BO22">
            <v>669</v>
          </cell>
          <cell r="BP22">
            <v>97</v>
          </cell>
          <cell r="BQ22">
            <v>766</v>
          </cell>
          <cell r="BR22">
            <v>45</v>
          </cell>
          <cell r="BS22">
            <v>811</v>
          </cell>
          <cell r="BT22">
            <v>109</v>
          </cell>
          <cell r="BU22">
            <v>115</v>
          </cell>
          <cell r="BV22">
            <v>1035</v>
          </cell>
          <cell r="BW22">
            <v>757</v>
          </cell>
          <cell r="BX22">
            <v>4007</v>
          </cell>
          <cell r="BY22">
            <v>405</v>
          </cell>
          <cell r="BZ22">
            <v>-6</v>
          </cell>
          <cell r="CA22">
            <v>4406</v>
          </cell>
          <cell r="CB22">
            <v>0</v>
          </cell>
          <cell r="CC22">
            <v>0</v>
          </cell>
          <cell r="CD22">
            <v>-1</v>
          </cell>
          <cell r="CE22">
            <v>0</v>
          </cell>
          <cell r="CF22">
            <v>0</v>
          </cell>
          <cell r="CG22">
            <v>0</v>
          </cell>
          <cell r="CH22">
            <v>0</v>
          </cell>
          <cell r="CI22">
            <v>0</v>
          </cell>
          <cell r="CJ22">
            <v>0</v>
          </cell>
          <cell r="CK22">
            <v>0</v>
          </cell>
          <cell r="CL22">
            <v>0</v>
          </cell>
          <cell r="CM22">
            <v>-1</v>
          </cell>
        </row>
        <row r="23">
          <cell r="A23">
            <v>22890</v>
          </cell>
          <cell r="D23">
            <v>2244</v>
          </cell>
          <cell r="E23">
            <v>688</v>
          </cell>
          <cell r="F23">
            <v>121</v>
          </cell>
          <cell r="G23">
            <v>810</v>
          </cell>
          <cell r="H23">
            <v>45</v>
          </cell>
          <cell r="I23">
            <v>855</v>
          </cell>
          <cell r="J23">
            <v>110</v>
          </cell>
          <cell r="K23">
            <v>138</v>
          </cell>
          <cell r="L23">
            <v>1103</v>
          </cell>
          <cell r="M23">
            <v>1006</v>
          </cell>
          <cell r="N23">
            <v>4353</v>
          </cell>
          <cell r="O23">
            <v>387</v>
          </cell>
          <cell r="P23">
            <v>-63</v>
          </cell>
          <cell r="Q23">
            <v>4677</v>
          </cell>
          <cell r="T23">
            <v>1.1000000000000001</v>
          </cell>
          <cell r="U23">
            <v>1.9</v>
          </cell>
          <cell r="V23">
            <v>1</v>
          </cell>
          <cell r="W23">
            <v>1.7</v>
          </cell>
          <cell r="X23">
            <v>-0.3</v>
          </cell>
          <cell r="Y23">
            <v>1.6</v>
          </cell>
          <cell r="Z23">
            <v>0.7</v>
          </cell>
          <cell r="AA23">
            <v>4</v>
          </cell>
          <cell r="AB23">
            <v>1.8</v>
          </cell>
          <cell r="AC23">
            <v>2.8</v>
          </cell>
          <cell r="AD23">
            <v>1.7</v>
          </cell>
          <cell r="AE23">
            <v>1.8</v>
          </cell>
          <cell r="AF23">
            <v>2.2999999999999998</v>
          </cell>
          <cell r="AI23">
            <v>2232</v>
          </cell>
          <cell r="AJ23">
            <v>677</v>
          </cell>
          <cell r="AK23">
            <v>118</v>
          </cell>
          <cell r="AL23">
            <v>795</v>
          </cell>
          <cell r="AM23">
            <v>45</v>
          </cell>
          <cell r="AN23">
            <v>840</v>
          </cell>
          <cell r="AO23">
            <v>110</v>
          </cell>
          <cell r="AP23">
            <v>137</v>
          </cell>
          <cell r="AQ23">
            <v>1088</v>
          </cell>
          <cell r="AR23">
            <v>1004</v>
          </cell>
          <cell r="AS23">
            <v>4324</v>
          </cell>
          <cell r="AT23">
            <v>389</v>
          </cell>
          <cell r="AU23">
            <v>-68</v>
          </cell>
          <cell r="AV23">
            <v>4645</v>
          </cell>
          <cell r="AY23">
            <v>-0.4</v>
          </cell>
          <cell r="AZ23">
            <v>-0.5</v>
          </cell>
          <cell r="BA23">
            <v>-5.9</v>
          </cell>
          <cell r="BB23">
            <v>-1.3</v>
          </cell>
          <cell r="BC23">
            <v>-0.3</v>
          </cell>
          <cell r="BD23">
            <v>-1.3</v>
          </cell>
          <cell r="BE23">
            <v>0.6</v>
          </cell>
          <cell r="BF23">
            <v>2.6</v>
          </cell>
          <cell r="BG23">
            <v>-0.6</v>
          </cell>
          <cell r="BH23">
            <v>1.6</v>
          </cell>
          <cell r="BI23">
            <v>0</v>
          </cell>
          <cell r="BJ23">
            <v>3.3</v>
          </cell>
          <cell r="BK23">
            <v>1.2</v>
          </cell>
          <cell r="BN23">
            <v>2223</v>
          </cell>
          <cell r="BO23">
            <v>693</v>
          </cell>
          <cell r="BP23">
            <v>138</v>
          </cell>
          <cell r="BQ23">
            <v>831</v>
          </cell>
          <cell r="BR23">
            <v>45</v>
          </cell>
          <cell r="BS23">
            <v>876</v>
          </cell>
          <cell r="BT23">
            <v>110</v>
          </cell>
          <cell r="BU23">
            <v>151</v>
          </cell>
          <cell r="BV23">
            <v>1137</v>
          </cell>
          <cell r="BW23">
            <v>998</v>
          </cell>
          <cell r="BX23">
            <v>4357</v>
          </cell>
          <cell r="BY23">
            <v>369</v>
          </cell>
          <cell r="BZ23">
            <v>-138</v>
          </cell>
          <cell r="CA23">
            <v>4588</v>
          </cell>
          <cell r="CB23">
            <v>0</v>
          </cell>
          <cell r="CC23">
            <v>0</v>
          </cell>
          <cell r="CD23">
            <v>0</v>
          </cell>
          <cell r="CE23">
            <v>0</v>
          </cell>
          <cell r="CF23">
            <v>0</v>
          </cell>
          <cell r="CG23">
            <v>0</v>
          </cell>
          <cell r="CH23">
            <v>0</v>
          </cell>
          <cell r="CI23">
            <v>0</v>
          </cell>
          <cell r="CJ23">
            <v>0</v>
          </cell>
          <cell r="CK23">
            <v>0</v>
          </cell>
          <cell r="CL23">
            <v>0</v>
          </cell>
          <cell r="CM23">
            <v>0</v>
          </cell>
        </row>
        <row r="24">
          <cell r="A24">
            <v>22981</v>
          </cell>
          <cell r="D24">
            <v>2270</v>
          </cell>
          <cell r="E24">
            <v>697</v>
          </cell>
          <cell r="F24">
            <v>121</v>
          </cell>
          <cell r="G24">
            <v>819</v>
          </cell>
          <cell r="H24">
            <v>45</v>
          </cell>
          <cell r="I24">
            <v>864</v>
          </cell>
          <cell r="J24">
            <v>111</v>
          </cell>
          <cell r="K24">
            <v>143</v>
          </cell>
          <cell r="L24">
            <v>1118</v>
          </cell>
          <cell r="M24">
            <v>1018</v>
          </cell>
          <cell r="N24">
            <v>4407</v>
          </cell>
          <cell r="O24">
            <v>396</v>
          </cell>
          <cell r="P24">
            <v>-33</v>
          </cell>
          <cell r="Q24">
            <v>4770</v>
          </cell>
          <cell r="T24">
            <v>1.2</v>
          </cell>
          <cell r="U24">
            <v>1.3</v>
          </cell>
          <cell r="V24">
            <v>0</v>
          </cell>
          <cell r="W24">
            <v>1.1000000000000001</v>
          </cell>
          <cell r="X24">
            <v>0.6</v>
          </cell>
          <cell r="Y24">
            <v>1.1000000000000001</v>
          </cell>
          <cell r="Z24">
            <v>0.8</v>
          </cell>
          <cell r="AA24">
            <v>3.7</v>
          </cell>
          <cell r="AB24">
            <v>1.4</v>
          </cell>
          <cell r="AC24">
            <v>1.2</v>
          </cell>
          <cell r="AD24">
            <v>1.2</v>
          </cell>
          <cell r="AE24">
            <v>2.4</v>
          </cell>
          <cell r="AF24">
            <v>2</v>
          </cell>
          <cell r="AI24">
            <v>2257</v>
          </cell>
          <cell r="AJ24">
            <v>690</v>
          </cell>
          <cell r="AK24">
            <v>121</v>
          </cell>
          <cell r="AL24">
            <v>811</v>
          </cell>
          <cell r="AM24">
            <v>45</v>
          </cell>
          <cell r="AN24">
            <v>856</v>
          </cell>
          <cell r="AO24">
            <v>111</v>
          </cell>
          <cell r="AP24">
            <v>142</v>
          </cell>
          <cell r="AQ24">
            <v>1109</v>
          </cell>
          <cell r="AR24">
            <v>1034</v>
          </cell>
          <cell r="AS24">
            <v>4400</v>
          </cell>
          <cell r="AT24">
            <v>391</v>
          </cell>
          <cell r="AU24">
            <v>-16</v>
          </cell>
          <cell r="AV24">
            <v>4776</v>
          </cell>
          <cell r="AY24">
            <v>1.1000000000000001</v>
          </cell>
          <cell r="AZ24">
            <v>1.9</v>
          </cell>
          <cell r="BA24">
            <v>2.2999999999999998</v>
          </cell>
          <cell r="BB24">
            <v>2</v>
          </cell>
          <cell r="BC24">
            <v>-0.2</v>
          </cell>
          <cell r="BD24">
            <v>1.9</v>
          </cell>
          <cell r="BE24">
            <v>0.8</v>
          </cell>
          <cell r="BF24">
            <v>3.8</v>
          </cell>
          <cell r="BG24">
            <v>2</v>
          </cell>
          <cell r="BH24">
            <v>3</v>
          </cell>
          <cell r="BI24">
            <v>1.8</v>
          </cell>
          <cell r="BJ24">
            <v>0.5</v>
          </cell>
          <cell r="BK24">
            <v>2.8</v>
          </cell>
          <cell r="BN24">
            <v>2414</v>
          </cell>
          <cell r="BO24">
            <v>767</v>
          </cell>
          <cell r="BP24">
            <v>138</v>
          </cell>
          <cell r="BQ24">
            <v>905</v>
          </cell>
          <cell r="BR24">
            <v>45</v>
          </cell>
          <cell r="BS24">
            <v>950</v>
          </cell>
          <cell r="BT24">
            <v>111</v>
          </cell>
          <cell r="BU24">
            <v>156</v>
          </cell>
          <cell r="BV24">
            <v>1217</v>
          </cell>
          <cell r="BW24">
            <v>1344</v>
          </cell>
          <cell r="BX24">
            <v>4975</v>
          </cell>
          <cell r="BY24">
            <v>383</v>
          </cell>
          <cell r="BZ24">
            <v>-85</v>
          </cell>
          <cell r="CA24">
            <v>5273</v>
          </cell>
          <cell r="CB24">
            <v>0</v>
          </cell>
          <cell r="CC24">
            <v>0</v>
          </cell>
          <cell r="CD24">
            <v>0</v>
          </cell>
          <cell r="CE24">
            <v>0</v>
          </cell>
          <cell r="CF24">
            <v>0</v>
          </cell>
          <cell r="CG24">
            <v>0</v>
          </cell>
          <cell r="CH24">
            <v>0</v>
          </cell>
          <cell r="CI24">
            <v>0</v>
          </cell>
          <cell r="CJ24">
            <v>0</v>
          </cell>
          <cell r="CK24">
            <v>0</v>
          </cell>
          <cell r="CL24">
            <v>0</v>
          </cell>
          <cell r="CM24">
            <v>0</v>
          </cell>
        </row>
        <row r="25">
          <cell r="A25">
            <v>23071</v>
          </cell>
          <cell r="D25">
            <v>2311</v>
          </cell>
          <cell r="E25">
            <v>713</v>
          </cell>
          <cell r="F25">
            <v>126</v>
          </cell>
          <cell r="G25">
            <v>839</v>
          </cell>
          <cell r="H25">
            <v>47</v>
          </cell>
          <cell r="I25">
            <v>886</v>
          </cell>
          <cell r="J25">
            <v>112</v>
          </cell>
          <cell r="K25">
            <v>147</v>
          </cell>
          <cell r="L25">
            <v>1145</v>
          </cell>
          <cell r="M25">
            <v>1038</v>
          </cell>
          <cell r="N25">
            <v>4494</v>
          </cell>
          <cell r="O25">
            <v>408</v>
          </cell>
          <cell r="P25">
            <v>-39</v>
          </cell>
          <cell r="Q25">
            <v>4864</v>
          </cell>
          <cell r="T25">
            <v>1.8</v>
          </cell>
          <cell r="U25">
            <v>2.2000000000000002</v>
          </cell>
          <cell r="V25">
            <v>4.0999999999999996</v>
          </cell>
          <cell r="W25">
            <v>2.5</v>
          </cell>
          <cell r="X25">
            <v>4.2</v>
          </cell>
          <cell r="Y25">
            <v>2.5</v>
          </cell>
          <cell r="Z25">
            <v>1</v>
          </cell>
          <cell r="AA25">
            <v>2.9</v>
          </cell>
          <cell r="AB25">
            <v>2.4</v>
          </cell>
          <cell r="AC25">
            <v>1.9</v>
          </cell>
          <cell r="AD25">
            <v>2</v>
          </cell>
          <cell r="AE25">
            <v>3.1</v>
          </cell>
          <cell r="AF25">
            <v>2</v>
          </cell>
          <cell r="AI25">
            <v>2329</v>
          </cell>
          <cell r="AJ25">
            <v>740</v>
          </cell>
          <cell r="AK25">
            <v>127</v>
          </cell>
          <cell r="AL25">
            <v>867</v>
          </cell>
          <cell r="AM25">
            <v>47</v>
          </cell>
          <cell r="AN25">
            <v>914</v>
          </cell>
          <cell r="AO25">
            <v>112</v>
          </cell>
          <cell r="AP25">
            <v>149</v>
          </cell>
          <cell r="AQ25">
            <v>1175</v>
          </cell>
          <cell r="AR25">
            <v>1022</v>
          </cell>
          <cell r="AS25">
            <v>4526</v>
          </cell>
          <cell r="AT25">
            <v>411</v>
          </cell>
          <cell r="AU25">
            <v>-18</v>
          </cell>
          <cell r="AV25">
            <v>4919</v>
          </cell>
          <cell r="AY25">
            <v>3.2</v>
          </cell>
          <cell r="AZ25">
            <v>7.2</v>
          </cell>
          <cell r="BA25">
            <v>5.5</v>
          </cell>
          <cell r="BB25">
            <v>6.9</v>
          </cell>
          <cell r="BC25">
            <v>4.3</v>
          </cell>
          <cell r="BD25">
            <v>6.8</v>
          </cell>
          <cell r="BE25">
            <v>1</v>
          </cell>
          <cell r="BF25">
            <v>4.5</v>
          </cell>
          <cell r="BG25">
            <v>5.9</v>
          </cell>
          <cell r="BH25">
            <v>-1.2</v>
          </cell>
          <cell r="BI25">
            <v>2.9</v>
          </cell>
          <cell r="BJ25">
            <v>5</v>
          </cell>
          <cell r="BK25">
            <v>3</v>
          </cell>
          <cell r="BN25">
            <v>2165</v>
          </cell>
          <cell r="BO25">
            <v>651</v>
          </cell>
          <cell r="BP25">
            <v>116</v>
          </cell>
          <cell r="BQ25">
            <v>767</v>
          </cell>
          <cell r="BR25">
            <v>47</v>
          </cell>
          <cell r="BS25">
            <v>814</v>
          </cell>
          <cell r="BT25">
            <v>112</v>
          </cell>
          <cell r="BU25">
            <v>142</v>
          </cell>
          <cell r="BV25">
            <v>1067</v>
          </cell>
          <cell r="BW25">
            <v>973</v>
          </cell>
          <cell r="BX25">
            <v>4205</v>
          </cell>
          <cell r="BY25">
            <v>410</v>
          </cell>
          <cell r="BZ25">
            <v>38</v>
          </cell>
          <cell r="CA25">
            <v>4653</v>
          </cell>
          <cell r="CB25">
            <v>1</v>
          </cell>
          <cell r="CC25">
            <v>0</v>
          </cell>
          <cell r="CD25">
            <v>0</v>
          </cell>
          <cell r="CE25">
            <v>0</v>
          </cell>
          <cell r="CF25">
            <v>0</v>
          </cell>
          <cell r="CG25">
            <v>0</v>
          </cell>
          <cell r="CH25">
            <v>0</v>
          </cell>
          <cell r="CI25">
            <v>0</v>
          </cell>
          <cell r="CJ25">
            <v>0</v>
          </cell>
          <cell r="CK25">
            <v>0</v>
          </cell>
          <cell r="CL25">
            <v>0</v>
          </cell>
          <cell r="CM25">
            <v>0</v>
          </cell>
        </row>
        <row r="26">
          <cell r="A26">
            <v>23163</v>
          </cell>
          <cell r="D26">
            <v>2370</v>
          </cell>
          <cell r="E26">
            <v>732</v>
          </cell>
          <cell r="F26">
            <v>135</v>
          </cell>
          <cell r="G26">
            <v>867</v>
          </cell>
          <cell r="H26">
            <v>51</v>
          </cell>
          <cell r="I26">
            <v>918</v>
          </cell>
          <cell r="J26">
            <v>113</v>
          </cell>
          <cell r="K26">
            <v>151</v>
          </cell>
          <cell r="L26">
            <v>1182</v>
          </cell>
          <cell r="M26">
            <v>1078</v>
          </cell>
          <cell r="N26">
            <v>4630</v>
          </cell>
          <cell r="O26">
            <v>417</v>
          </cell>
          <cell r="P26">
            <v>-72</v>
          </cell>
          <cell r="Q26">
            <v>4975</v>
          </cell>
          <cell r="T26">
            <v>2.5</v>
          </cell>
          <cell r="U26">
            <v>2.6</v>
          </cell>
          <cell r="V26">
            <v>7</v>
          </cell>
          <cell r="W26">
            <v>3.3</v>
          </cell>
          <cell r="X26">
            <v>8.4</v>
          </cell>
          <cell r="Y26">
            <v>3.6</v>
          </cell>
          <cell r="Z26">
            <v>1.1000000000000001</v>
          </cell>
          <cell r="AA26">
            <v>2.4</v>
          </cell>
          <cell r="AB26">
            <v>3.2</v>
          </cell>
          <cell r="AC26">
            <v>3.9</v>
          </cell>
          <cell r="AD26">
            <v>3</v>
          </cell>
          <cell r="AE26">
            <v>2.2000000000000002</v>
          </cell>
          <cell r="AF26">
            <v>2.2999999999999998</v>
          </cell>
          <cell r="AI26">
            <v>2358</v>
          </cell>
          <cell r="AJ26">
            <v>698</v>
          </cell>
          <cell r="AK26">
            <v>131</v>
          </cell>
          <cell r="AL26">
            <v>830</v>
          </cell>
          <cell r="AM26">
            <v>50</v>
          </cell>
          <cell r="AN26">
            <v>880</v>
          </cell>
          <cell r="AO26">
            <v>113</v>
          </cell>
          <cell r="AP26">
            <v>150</v>
          </cell>
          <cell r="AQ26">
            <v>1143</v>
          </cell>
          <cell r="AR26">
            <v>1059</v>
          </cell>
          <cell r="AS26">
            <v>4559</v>
          </cell>
          <cell r="AT26">
            <v>419</v>
          </cell>
          <cell r="AU26">
            <v>-94</v>
          </cell>
          <cell r="AV26">
            <v>4884</v>
          </cell>
          <cell r="AY26">
            <v>1.2</v>
          </cell>
          <cell r="AZ26">
            <v>-5.6</v>
          </cell>
          <cell r="BA26">
            <v>3</v>
          </cell>
          <cell r="BB26">
            <v>-4.3</v>
          </cell>
          <cell r="BC26">
            <v>6.4</v>
          </cell>
          <cell r="BD26">
            <v>-3.8</v>
          </cell>
          <cell r="BE26">
            <v>1.2</v>
          </cell>
          <cell r="BF26">
            <v>0.5</v>
          </cell>
          <cell r="BG26">
            <v>-2.7</v>
          </cell>
          <cell r="BH26">
            <v>3.6</v>
          </cell>
          <cell r="BI26">
            <v>0.7</v>
          </cell>
          <cell r="BJ26">
            <v>2</v>
          </cell>
          <cell r="BK26">
            <v>-0.7</v>
          </cell>
          <cell r="BN26">
            <v>2378</v>
          </cell>
          <cell r="BO26">
            <v>692</v>
          </cell>
          <cell r="BP26">
            <v>104</v>
          </cell>
          <cell r="BQ26">
            <v>796</v>
          </cell>
          <cell r="BR26">
            <v>50</v>
          </cell>
          <cell r="BS26">
            <v>846</v>
          </cell>
          <cell r="BT26">
            <v>113</v>
          </cell>
          <cell r="BU26">
            <v>128</v>
          </cell>
          <cell r="BV26">
            <v>1087</v>
          </cell>
          <cell r="BW26">
            <v>805</v>
          </cell>
          <cell r="BX26">
            <v>4270</v>
          </cell>
          <cell r="BY26">
            <v>453</v>
          </cell>
          <cell r="BZ26">
            <v>-30</v>
          </cell>
          <cell r="CA26">
            <v>4693</v>
          </cell>
          <cell r="CB26">
            <v>-1</v>
          </cell>
          <cell r="CC26">
            <v>0</v>
          </cell>
          <cell r="CD26">
            <v>0</v>
          </cell>
          <cell r="CE26">
            <v>0</v>
          </cell>
          <cell r="CF26">
            <v>0</v>
          </cell>
          <cell r="CG26">
            <v>0</v>
          </cell>
          <cell r="CH26">
            <v>0</v>
          </cell>
          <cell r="CI26">
            <v>0</v>
          </cell>
          <cell r="CJ26">
            <v>0</v>
          </cell>
          <cell r="CK26">
            <v>0</v>
          </cell>
          <cell r="CL26">
            <v>0</v>
          </cell>
          <cell r="CM26">
            <v>0</v>
          </cell>
        </row>
        <row r="27">
          <cell r="A27">
            <v>23255</v>
          </cell>
          <cell r="D27">
            <v>2428</v>
          </cell>
          <cell r="E27">
            <v>753</v>
          </cell>
          <cell r="F27">
            <v>143</v>
          </cell>
          <cell r="G27">
            <v>896</v>
          </cell>
          <cell r="H27">
            <v>56</v>
          </cell>
          <cell r="I27">
            <v>952</v>
          </cell>
          <cell r="J27">
            <v>115</v>
          </cell>
          <cell r="K27">
            <v>154</v>
          </cell>
          <cell r="L27">
            <v>1220</v>
          </cell>
          <cell r="M27">
            <v>1126</v>
          </cell>
          <cell r="N27">
            <v>4775</v>
          </cell>
          <cell r="O27">
            <v>420</v>
          </cell>
          <cell r="P27">
            <v>-98</v>
          </cell>
          <cell r="Q27">
            <v>5097</v>
          </cell>
          <cell r="T27">
            <v>2.5</v>
          </cell>
          <cell r="U27">
            <v>3</v>
          </cell>
          <cell r="V27">
            <v>5.7</v>
          </cell>
          <cell r="W27">
            <v>3.4</v>
          </cell>
          <cell r="X27">
            <v>9.6</v>
          </cell>
          <cell r="Y27">
            <v>3.7</v>
          </cell>
          <cell r="Z27">
            <v>1.2</v>
          </cell>
          <cell r="AA27">
            <v>1.9</v>
          </cell>
          <cell r="AB27">
            <v>3.3</v>
          </cell>
          <cell r="AC27">
            <v>4.4000000000000004</v>
          </cell>
          <cell r="AD27">
            <v>3.1</v>
          </cell>
          <cell r="AE27">
            <v>0.8</v>
          </cell>
          <cell r="AF27">
            <v>2.5</v>
          </cell>
          <cell r="AI27">
            <v>2422</v>
          </cell>
          <cell r="AJ27">
            <v>773</v>
          </cell>
          <cell r="AK27">
            <v>148</v>
          </cell>
          <cell r="AL27">
            <v>921</v>
          </cell>
          <cell r="AM27">
            <v>57</v>
          </cell>
          <cell r="AN27">
            <v>978</v>
          </cell>
          <cell r="AO27">
            <v>115</v>
          </cell>
          <cell r="AP27">
            <v>154</v>
          </cell>
          <cell r="AQ27">
            <v>1246</v>
          </cell>
          <cell r="AR27">
            <v>1159</v>
          </cell>
          <cell r="AS27">
            <v>4828</v>
          </cell>
          <cell r="AT27">
            <v>422</v>
          </cell>
          <cell r="AU27">
            <v>-105</v>
          </cell>
          <cell r="AV27">
            <v>5144</v>
          </cell>
          <cell r="AY27">
            <v>2.7</v>
          </cell>
          <cell r="AZ27">
            <v>10.7</v>
          </cell>
          <cell r="BA27">
            <v>12.9</v>
          </cell>
          <cell r="BB27">
            <v>11</v>
          </cell>
          <cell r="BC27">
            <v>14.1</v>
          </cell>
          <cell r="BD27">
            <v>11.2</v>
          </cell>
          <cell r="BE27">
            <v>1.1000000000000001</v>
          </cell>
          <cell r="BF27">
            <v>2.6</v>
          </cell>
          <cell r="BG27">
            <v>9.1</v>
          </cell>
          <cell r="BH27">
            <v>9.5</v>
          </cell>
          <cell r="BI27">
            <v>5.9</v>
          </cell>
          <cell r="BJ27">
            <v>0.6</v>
          </cell>
          <cell r="BK27">
            <v>5.3</v>
          </cell>
          <cell r="BN27">
            <v>2382</v>
          </cell>
          <cell r="BO27">
            <v>789</v>
          </cell>
          <cell r="BP27">
            <v>171</v>
          </cell>
          <cell r="BQ27">
            <v>960</v>
          </cell>
          <cell r="BR27">
            <v>57</v>
          </cell>
          <cell r="BS27">
            <v>1017</v>
          </cell>
          <cell r="BT27">
            <v>115</v>
          </cell>
          <cell r="BU27">
            <v>168</v>
          </cell>
          <cell r="BV27">
            <v>1300</v>
          </cell>
          <cell r="BW27">
            <v>1161</v>
          </cell>
          <cell r="BX27">
            <v>4842</v>
          </cell>
          <cell r="BY27">
            <v>398</v>
          </cell>
          <cell r="BZ27">
            <v>-155</v>
          </cell>
          <cell r="CA27">
            <v>5085</v>
          </cell>
          <cell r="CB27">
            <v>0</v>
          </cell>
          <cell r="CC27">
            <v>0</v>
          </cell>
          <cell r="CD27">
            <v>0</v>
          </cell>
          <cell r="CE27">
            <v>0</v>
          </cell>
          <cell r="CF27">
            <v>0</v>
          </cell>
          <cell r="CG27">
            <v>-1</v>
          </cell>
          <cell r="CH27">
            <v>0</v>
          </cell>
          <cell r="CI27">
            <v>0</v>
          </cell>
          <cell r="CJ27">
            <v>0</v>
          </cell>
          <cell r="CK27">
            <v>-1</v>
          </cell>
          <cell r="CL27">
            <v>-1</v>
          </cell>
          <cell r="CM27">
            <v>-2</v>
          </cell>
        </row>
        <row r="28">
          <cell r="A28">
            <v>23346</v>
          </cell>
          <cell r="D28">
            <v>2481</v>
          </cell>
          <cell r="E28">
            <v>781</v>
          </cell>
          <cell r="F28">
            <v>148</v>
          </cell>
          <cell r="G28">
            <v>928</v>
          </cell>
          <cell r="H28">
            <v>60</v>
          </cell>
          <cell r="I28">
            <v>988</v>
          </cell>
          <cell r="J28">
            <v>116</v>
          </cell>
          <cell r="K28">
            <v>157</v>
          </cell>
          <cell r="L28">
            <v>1261</v>
          </cell>
          <cell r="M28">
            <v>1156</v>
          </cell>
          <cell r="N28">
            <v>4899</v>
          </cell>
          <cell r="O28">
            <v>421</v>
          </cell>
          <cell r="P28">
            <v>-89</v>
          </cell>
          <cell r="Q28">
            <v>5231</v>
          </cell>
          <cell r="T28">
            <v>2.2000000000000002</v>
          </cell>
          <cell r="U28">
            <v>3.6</v>
          </cell>
          <cell r="V28">
            <v>3.2</v>
          </cell>
          <cell r="W28">
            <v>3.6</v>
          </cell>
          <cell r="X28">
            <v>7.4</v>
          </cell>
          <cell r="Y28">
            <v>3.8</v>
          </cell>
          <cell r="Z28">
            <v>1.3</v>
          </cell>
          <cell r="AA28">
            <v>2.2999999999999998</v>
          </cell>
          <cell r="AB28">
            <v>3.4</v>
          </cell>
          <cell r="AC28">
            <v>2.7</v>
          </cell>
          <cell r="AD28">
            <v>2.6</v>
          </cell>
          <cell r="AE28">
            <v>0.3</v>
          </cell>
          <cell r="AF28">
            <v>2.6</v>
          </cell>
          <cell r="AI28">
            <v>2510</v>
          </cell>
          <cell r="AJ28">
            <v>777</v>
          </cell>
          <cell r="AK28">
            <v>146</v>
          </cell>
          <cell r="AL28">
            <v>923</v>
          </cell>
          <cell r="AM28">
            <v>60</v>
          </cell>
          <cell r="AN28">
            <v>983</v>
          </cell>
          <cell r="AO28">
            <v>116</v>
          </cell>
          <cell r="AP28">
            <v>158</v>
          </cell>
          <cell r="AQ28">
            <v>1257</v>
          </cell>
          <cell r="AR28">
            <v>1147</v>
          </cell>
          <cell r="AS28">
            <v>4913</v>
          </cell>
          <cell r="AT28">
            <v>420</v>
          </cell>
          <cell r="AU28">
            <v>-82</v>
          </cell>
          <cell r="AV28">
            <v>5251</v>
          </cell>
          <cell r="AY28">
            <v>3.6</v>
          </cell>
          <cell r="AZ28">
            <v>0.5</v>
          </cell>
          <cell r="BA28">
            <v>-1.6</v>
          </cell>
          <cell r="BB28">
            <v>0.2</v>
          </cell>
          <cell r="BC28">
            <v>5.3</v>
          </cell>
          <cell r="BD28">
            <v>0.5</v>
          </cell>
          <cell r="BE28">
            <v>1.2</v>
          </cell>
          <cell r="BF28">
            <v>2.9</v>
          </cell>
          <cell r="BG28">
            <v>0.8</v>
          </cell>
          <cell r="BH28">
            <v>-1.1000000000000001</v>
          </cell>
          <cell r="BI28">
            <v>1.8</v>
          </cell>
          <cell r="BJ28">
            <v>-0.4</v>
          </cell>
          <cell r="BK28">
            <v>2.1</v>
          </cell>
          <cell r="BN28">
            <v>2680</v>
          </cell>
          <cell r="BO28">
            <v>862</v>
          </cell>
          <cell r="BP28">
            <v>167</v>
          </cell>
          <cell r="BQ28">
            <v>1029</v>
          </cell>
          <cell r="BR28">
            <v>60</v>
          </cell>
          <cell r="BS28">
            <v>1089</v>
          </cell>
          <cell r="BT28">
            <v>116</v>
          </cell>
          <cell r="BU28">
            <v>174</v>
          </cell>
          <cell r="BV28">
            <v>1378</v>
          </cell>
          <cell r="BW28">
            <v>1483</v>
          </cell>
          <cell r="BX28">
            <v>5541</v>
          </cell>
          <cell r="BY28">
            <v>417</v>
          </cell>
          <cell r="BZ28">
            <v>-162</v>
          </cell>
          <cell r="CA28">
            <v>5796</v>
          </cell>
          <cell r="CB28">
            <v>0</v>
          </cell>
          <cell r="CC28">
            <v>0</v>
          </cell>
          <cell r="CD28">
            <v>0</v>
          </cell>
          <cell r="CE28">
            <v>0</v>
          </cell>
          <cell r="CF28">
            <v>0</v>
          </cell>
          <cell r="CG28">
            <v>0</v>
          </cell>
          <cell r="CH28">
            <v>0</v>
          </cell>
          <cell r="CI28">
            <v>0</v>
          </cell>
          <cell r="CJ28">
            <v>0</v>
          </cell>
          <cell r="CK28">
            <v>0</v>
          </cell>
          <cell r="CL28">
            <v>-1</v>
          </cell>
          <cell r="CM28">
            <v>-1</v>
          </cell>
        </row>
        <row r="29">
          <cell r="A29">
            <v>23437</v>
          </cell>
          <cell r="D29">
            <v>2532</v>
          </cell>
          <cell r="E29">
            <v>810</v>
          </cell>
          <cell r="F29">
            <v>148</v>
          </cell>
          <cell r="G29">
            <v>959</v>
          </cell>
          <cell r="H29">
            <v>62</v>
          </cell>
          <cell r="I29">
            <v>1020</v>
          </cell>
          <cell r="J29">
            <v>118</v>
          </cell>
          <cell r="K29">
            <v>162</v>
          </cell>
          <cell r="L29">
            <v>1300</v>
          </cell>
          <cell r="M29">
            <v>1162</v>
          </cell>
          <cell r="N29">
            <v>4995</v>
          </cell>
          <cell r="O29">
            <v>428</v>
          </cell>
          <cell r="P29">
            <v>-70</v>
          </cell>
          <cell r="Q29">
            <v>5353</v>
          </cell>
          <cell r="T29">
            <v>2</v>
          </cell>
          <cell r="U29">
            <v>3.8</v>
          </cell>
          <cell r="V29">
            <v>0.4</v>
          </cell>
          <cell r="W29">
            <v>3.3</v>
          </cell>
          <cell r="X29">
            <v>2.9</v>
          </cell>
          <cell r="Y29">
            <v>3.3</v>
          </cell>
          <cell r="Z29">
            <v>1.5</v>
          </cell>
          <cell r="AA29">
            <v>3</v>
          </cell>
          <cell r="AB29">
            <v>3.1</v>
          </cell>
          <cell r="AC29">
            <v>0.6</v>
          </cell>
          <cell r="AD29">
            <v>2</v>
          </cell>
          <cell r="AE29">
            <v>1.5</v>
          </cell>
          <cell r="AF29">
            <v>2.2999999999999998</v>
          </cell>
          <cell r="AI29">
            <v>2513</v>
          </cell>
          <cell r="AJ29">
            <v>805</v>
          </cell>
          <cell r="AK29">
            <v>148</v>
          </cell>
          <cell r="AL29">
            <v>953</v>
          </cell>
          <cell r="AM29">
            <v>62</v>
          </cell>
          <cell r="AN29">
            <v>1015</v>
          </cell>
          <cell r="AO29">
            <v>118</v>
          </cell>
          <cell r="AP29">
            <v>160</v>
          </cell>
          <cell r="AQ29">
            <v>1293</v>
          </cell>
          <cell r="AR29">
            <v>1162</v>
          </cell>
          <cell r="AS29">
            <v>4968</v>
          </cell>
          <cell r="AT29">
            <v>425</v>
          </cell>
          <cell r="AU29">
            <v>-80</v>
          </cell>
          <cell r="AV29">
            <v>5313</v>
          </cell>
          <cell r="AY29">
            <v>0.1</v>
          </cell>
          <cell r="AZ29">
            <v>3.6</v>
          </cell>
          <cell r="BA29">
            <v>1.4</v>
          </cell>
          <cell r="BB29">
            <v>3.3</v>
          </cell>
          <cell r="BC29">
            <v>3.4</v>
          </cell>
          <cell r="BD29">
            <v>3.3</v>
          </cell>
          <cell r="BE29">
            <v>1.5</v>
          </cell>
          <cell r="BF29">
            <v>1.4</v>
          </cell>
          <cell r="BG29">
            <v>2.9</v>
          </cell>
          <cell r="BH29">
            <v>1.3</v>
          </cell>
          <cell r="BI29">
            <v>1.1000000000000001</v>
          </cell>
          <cell r="BJ29">
            <v>1.2</v>
          </cell>
          <cell r="BK29">
            <v>1.2</v>
          </cell>
          <cell r="BN29">
            <v>2385</v>
          </cell>
          <cell r="BO29">
            <v>706</v>
          </cell>
          <cell r="BP29">
            <v>133</v>
          </cell>
          <cell r="BQ29">
            <v>840</v>
          </cell>
          <cell r="BR29">
            <v>62</v>
          </cell>
          <cell r="BS29">
            <v>902</v>
          </cell>
          <cell r="BT29">
            <v>118</v>
          </cell>
          <cell r="BU29">
            <v>154</v>
          </cell>
          <cell r="BV29">
            <v>1173</v>
          </cell>
          <cell r="BW29">
            <v>1095</v>
          </cell>
          <cell r="BX29">
            <v>4653</v>
          </cell>
          <cell r="BY29">
            <v>421</v>
          </cell>
          <cell r="BZ29">
            <v>-24</v>
          </cell>
          <cell r="CA29">
            <v>5050</v>
          </cell>
          <cell r="CB29">
            <v>0</v>
          </cell>
          <cell r="CC29">
            <v>0</v>
          </cell>
          <cell r="CD29">
            <v>0</v>
          </cell>
          <cell r="CE29">
            <v>0</v>
          </cell>
          <cell r="CF29">
            <v>0</v>
          </cell>
          <cell r="CG29">
            <v>0</v>
          </cell>
          <cell r="CH29">
            <v>0</v>
          </cell>
          <cell r="CI29">
            <v>0</v>
          </cell>
          <cell r="CJ29">
            <v>0</v>
          </cell>
          <cell r="CK29">
            <v>0</v>
          </cell>
          <cell r="CL29">
            <v>-2</v>
          </cell>
          <cell r="CM29">
            <v>-1</v>
          </cell>
        </row>
        <row r="30">
          <cell r="A30">
            <v>23529</v>
          </cell>
          <cell r="D30">
            <v>2598</v>
          </cell>
          <cell r="E30">
            <v>833</v>
          </cell>
          <cell r="F30">
            <v>148</v>
          </cell>
          <cell r="G30">
            <v>981</v>
          </cell>
          <cell r="H30">
            <v>61</v>
          </cell>
          <cell r="I30">
            <v>1042</v>
          </cell>
          <cell r="J30">
            <v>120</v>
          </cell>
          <cell r="K30">
            <v>167</v>
          </cell>
          <cell r="L30">
            <v>1329</v>
          </cell>
          <cell r="M30">
            <v>1158</v>
          </cell>
          <cell r="N30">
            <v>5085</v>
          </cell>
          <cell r="O30">
            <v>443</v>
          </cell>
          <cell r="P30">
            <v>-62</v>
          </cell>
          <cell r="Q30">
            <v>5467</v>
          </cell>
          <cell r="T30">
            <v>2.6</v>
          </cell>
          <cell r="U30">
            <v>2.8</v>
          </cell>
          <cell r="V30">
            <v>-0.2</v>
          </cell>
          <cell r="W30">
            <v>2.2999999999999998</v>
          </cell>
          <cell r="X30">
            <v>-1</v>
          </cell>
          <cell r="Y30">
            <v>2.1</v>
          </cell>
          <cell r="Z30">
            <v>1.7</v>
          </cell>
          <cell r="AA30">
            <v>3.1</v>
          </cell>
          <cell r="AB30">
            <v>2.2000000000000002</v>
          </cell>
          <cell r="AC30">
            <v>-0.4</v>
          </cell>
          <cell r="AD30">
            <v>1.8</v>
          </cell>
          <cell r="AE30">
            <v>3.6</v>
          </cell>
          <cell r="AF30">
            <v>2.1</v>
          </cell>
          <cell r="AI30">
            <v>2594</v>
          </cell>
          <cell r="AJ30">
            <v>838</v>
          </cell>
          <cell r="AK30">
            <v>149</v>
          </cell>
          <cell r="AL30">
            <v>987</v>
          </cell>
          <cell r="AM30">
            <v>62</v>
          </cell>
          <cell r="AN30">
            <v>1049</v>
          </cell>
          <cell r="AO30">
            <v>120</v>
          </cell>
          <cell r="AP30">
            <v>168</v>
          </cell>
          <cell r="AQ30">
            <v>1337</v>
          </cell>
          <cell r="AR30">
            <v>1154</v>
          </cell>
          <cell r="AS30">
            <v>5084</v>
          </cell>
          <cell r="AT30">
            <v>444</v>
          </cell>
          <cell r="AU30">
            <v>-34</v>
          </cell>
          <cell r="AV30">
            <v>5494</v>
          </cell>
          <cell r="AY30">
            <v>3.2</v>
          </cell>
          <cell r="AZ30">
            <v>4.0999999999999996</v>
          </cell>
          <cell r="BA30">
            <v>0.5</v>
          </cell>
          <cell r="BB30">
            <v>3.6</v>
          </cell>
          <cell r="BC30">
            <v>0</v>
          </cell>
          <cell r="BD30">
            <v>3.3</v>
          </cell>
          <cell r="BE30">
            <v>1.8</v>
          </cell>
          <cell r="BF30">
            <v>4.9000000000000004</v>
          </cell>
          <cell r="BG30">
            <v>3.4</v>
          </cell>
          <cell r="BH30">
            <v>-0.7</v>
          </cell>
          <cell r="BI30">
            <v>2.2999999999999998</v>
          </cell>
          <cell r="BJ30">
            <v>4.5</v>
          </cell>
          <cell r="BK30">
            <v>3.4</v>
          </cell>
          <cell r="BN30">
            <v>2591</v>
          </cell>
          <cell r="BO30">
            <v>835</v>
          </cell>
          <cell r="BP30">
            <v>121</v>
          </cell>
          <cell r="BQ30">
            <v>956</v>
          </cell>
          <cell r="BR30">
            <v>62</v>
          </cell>
          <cell r="BS30">
            <v>1018</v>
          </cell>
          <cell r="BT30">
            <v>120</v>
          </cell>
          <cell r="BU30">
            <v>144</v>
          </cell>
          <cell r="BV30">
            <v>1281</v>
          </cell>
          <cell r="BW30">
            <v>885</v>
          </cell>
          <cell r="BX30">
            <v>4758</v>
          </cell>
          <cell r="BY30">
            <v>473</v>
          </cell>
          <cell r="BZ30">
            <v>61</v>
          </cell>
          <cell r="CA30">
            <v>5292</v>
          </cell>
          <cell r="CB30">
            <v>0</v>
          </cell>
          <cell r="CC30">
            <v>0</v>
          </cell>
          <cell r="CD30">
            <v>0</v>
          </cell>
          <cell r="CE30">
            <v>0</v>
          </cell>
          <cell r="CF30">
            <v>0</v>
          </cell>
          <cell r="CG30">
            <v>0</v>
          </cell>
          <cell r="CH30">
            <v>0</v>
          </cell>
          <cell r="CI30">
            <v>0</v>
          </cell>
          <cell r="CJ30">
            <v>1</v>
          </cell>
          <cell r="CK30">
            <v>0</v>
          </cell>
          <cell r="CL30">
            <v>-1</v>
          </cell>
          <cell r="CM30">
            <v>-1</v>
          </cell>
        </row>
        <row r="31">
          <cell r="A31">
            <v>23621</v>
          </cell>
          <cell r="D31">
            <v>2688</v>
          </cell>
          <cell r="E31">
            <v>850</v>
          </cell>
          <cell r="F31">
            <v>151</v>
          </cell>
          <cell r="G31">
            <v>1001</v>
          </cell>
          <cell r="H31">
            <v>60</v>
          </cell>
          <cell r="I31">
            <v>1061</v>
          </cell>
          <cell r="J31">
            <v>122</v>
          </cell>
          <cell r="K31">
            <v>171</v>
          </cell>
          <cell r="L31">
            <v>1354</v>
          </cell>
          <cell r="M31">
            <v>1165</v>
          </cell>
          <cell r="N31">
            <v>5207</v>
          </cell>
          <cell r="O31">
            <v>462</v>
          </cell>
          <cell r="P31">
            <v>-66</v>
          </cell>
          <cell r="Q31">
            <v>5603</v>
          </cell>
          <cell r="T31">
            <v>3.5</v>
          </cell>
          <cell r="U31">
            <v>2</v>
          </cell>
          <cell r="V31">
            <v>2.1</v>
          </cell>
          <cell r="W31">
            <v>2</v>
          </cell>
          <cell r="X31">
            <v>-1.9</v>
          </cell>
          <cell r="Y31">
            <v>1.8</v>
          </cell>
          <cell r="Z31">
            <v>1.8</v>
          </cell>
          <cell r="AA31">
            <v>2.5</v>
          </cell>
          <cell r="AB31">
            <v>1.9</v>
          </cell>
          <cell r="AC31">
            <v>0.6</v>
          </cell>
          <cell r="AD31">
            <v>2.4</v>
          </cell>
          <cell r="AE31">
            <v>4.3</v>
          </cell>
          <cell r="AF31">
            <v>2.5</v>
          </cell>
          <cell r="AI31">
            <v>2681</v>
          </cell>
          <cell r="AJ31">
            <v>855</v>
          </cell>
          <cell r="AK31">
            <v>148</v>
          </cell>
          <cell r="AL31">
            <v>1004</v>
          </cell>
          <cell r="AM31">
            <v>59</v>
          </cell>
          <cell r="AN31">
            <v>1063</v>
          </cell>
          <cell r="AO31">
            <v>122</v>
          </cell>
          <cell r="AP31">
            <v>172</v>
          </cell>
          <cell r="AQ31">
            <v>1356</v>
          </cell>
          <cell r="AR31">
            <v>1174</v>
          </cell>
          <cell r="AS31">
            <v>5211</v>
          </cell>
          <cell r="AT31">
            <v>460</v>
          </cell>
          <cell r="AU31">
            <v>-93</v>
          </cell>
          <cell r="AV31">
            <v>5578</v>
          </cell>
          <cell r="AY31">
            <v>3.4</v>
          </cell>
          <cell r="AZ31">
            <v>2.1</v>
          </cell>
          <cell r="BA31">
            <v>-0.4</v>
          </cell>
          <cell r="BB31">
            <v>1.7</v>
          </cell>
          <cell r="BC31">
            <v>-4.9000000000000004</v>
          </cell>
          <cell r="BD31">
            <v>1.3</v>
          </cell>
          <cell r="BE31">
            <v>1.9</v>
          </cell>
          <cell r="BF31">
            <v>2.1</v>
          </cell>
          <cell r="BG31">
            <v>1.5</v>
          </cell>
          <cell r="BH31">
            <v>1.7</v>
          </cell>
          <cell r="BI31">
            <v>2.5</v>
          </cell>
          <cell r="BJ31">
            <v>3.6</v>
          </cell>
          <cell r="BK31">
            <v>1.5</v>
          </cell>
          <cell r="BN31">
            <v>2757</v>
          </cell>
          <cell r="BO31">
            <v>870</v>
          </cell>
          <cell r="BP31">
            <v>168</v>
          </cell>
          <cell r="BQ31">
            <v>1039</v>
          </cell>
          <cell r="BR31">
            <v>59</v>
          </cell>
          <cell r="BS31">
            <v>1098</v>
          </cell>
          <cell r="BT31">
            <v>122</v>
          </cell>
          <cell r="BU31">
            <v>187</v>
          </cell>
          <cell r="BV31">
            <v>1407</v>
          </cell>
          <cell r="BW31">
            <v>1158</v>
          </cell>
          <cell r="BX31">
            <v>5322</v>
          </cell>
          <cell r="BY31">
            <v>440</v>
          </cell>
          <cell r="BZ31">
            <v>-229</v>
          </cell>
          <cell r="CA31">
            <v>5533</v>
          </cell>
          <cell r="CB31">
            <v>0</v>
          </cell>
          <cell r="CC31">
            <v>0</v>
          </cell>
          <cell r="CD31">
            <v>0</v>
          </cell>
          <cell r="CE31">
            <v>0</v>
          </cell>
          <cell r="CF31">
            <v>0</v>
          </cell>
          <cell r="CG31">
            <v>0</v>
          </cell>
          <cell r="CH31">
            <v>0</v>
          </cell>
          <cell r="CI31">
            <v>0</v>
          </cell>
          <cell r="CJ31">
            <v>0</v>
          </cell>
          <cell r="CK31">
            <v>0</v>
          </cell>
          <cell r="CL31">
            <v>1</v>
          </cell>
          <cell r="CM31">
            <v>1</v>
          </cell>
        </row>
        <row r="32">
          <cell r="A32">
            <v>23712</v>
          </cell>
          <cell r="D32">
            <v>2783</v>
          </cell>
          <cell r="E32">
            <v>865</v>
          </cell>
          <cell r="F32">
            <v>158</v>
          </cell>
          <cell r="G32">
            <v>1023</v>
          </cell>
          <cell r="H32">
            <v>60</v>
          </cell>
          <cell r="I32">
            <v>1083</v>
          </cell>
          <cell r="J32">
            <v>124</v>
          </cell>
          <cell r="K32">
            <v>174</v>
          </cell>
          <cell r="L32">
            <v>1381</v>
          </cell>
          <cell r="M32">
            <v>1177</v>
          </cell>
          <cell r="N32">
            <v>5341</v>
          </cell>
          <cell r="O32">
            <v>476</v>
          </cell>
          <cell r="P32">
            <v>-77</v>
          </cell>
          <cell r="Q32">
            <v>5740</v>
          </cell>
          <cell r="T32">
            <v>3.5</v>
          </cell>
          <cell r="U32">
            <v>1.8</v>
          </cell>
          <cell r="V32">
            <v>4.4000000000000004</v>
          </cell>
          <cell r="W32">
            <v>2.2000000000000002</v>
          </cell>
          <cell r="X32">
            <v>-0.3</v>
          </cell>
          <cell r="Y32">
            <v>2.1</v>
          </cell>
          <cell r="Z32">
            <v>1.8</v>
          </cell>
          <cell r="AA32">
            <v>1.7</v>
          </cell>
          <cell r="AB32">
            <v>2</v>
          </cell>
          <cell r="AC32">
            <v>1</v>
          </cell>
          <cell r="AD32">
            <v>2.6</v>
          </cell>
          <cell r="AE32">
            <v>3.1</v>
          </cell>
          <cell r="AF32">
            <v>2.4</v>
          </cell>
          <cell r="AI32">
            <v>2807</v>
          </cell>
          <cell r="AJ32">
            <v>861</v>
          </cell>
          <cell r="AK32">
            <v>157</v>
          </cell>
          <cell r="AL32">
            <v>1018</v>
          </cell>
          <cell r="AM32">
            <v>60</v>
          </cell>
          <cell r="AN32">
            <v>1078</v>
          </cell>
          <cell r="AO32">
            <v>124</v>
          </cell>
          <cell r="AP32">
            <v>175</v>
          </cell>
          <cell r="AQ32">
            <v>1377</v>
          </cell>
          <cell r="AR32">
            <v>1151</v>
          </cell>
          <cell r="AS32">
            <v>5334</v>
          </cell>
          <cell r="AT32">
            <v>484</v>
          </cell>
          <cell r="AU32">
            <v>-60</v>
          </cell>
          <cell r="AV32">
            <v>5758</v>
          </cell>
          <cell r="AY32">
            <v>4.7</v>
          </cell>
          <cell r="AZ32">
            <v>0.7</v>
          </cell>
          <cell r="BA32">
            <v>5.7</v>
          </cell>
          <cell r="BB32">
            <v>1.4</v>
          </cell>
          <cell r="BC32">
            <v>1.7</v>
          </cell>
          <cell r="BD32">
            <v>1.4</v>
          </cell>
          <cell r="BE32">
            <v>1.7</v>
          </cell>
          <cell r="BF32">
            <v>1.7</v>
          </cell>
          <cell r="BG32">
            <v>1.5</v>
          </cell>
          <cell r="BH32">
            <v>-1.9</v>
          </cell>
          <cell r="BI32">
            <v>2.4</v>
          </cell>
          <cell r="BJ32">
            <v>5.2</v>
          </cell>
          <cell r="BK32">
            <v>3.2</v>
          </cell>
          <cell r="BN32">
            <v>2944</v>
          </cell>
          <cell r="BO32">
            <v>955</v>
          </cell>
          <cell r="BP32">
            <v>181</v>
          </cell>
          <cell r="BQ32">
            <v>1136</v>
          </cell>
          <cell r="BR32">
            <v>60</v>
          </cell>
          <cell r="BS32">
            <v>1196</v>
          </cell>
          <cell r="BT32">
            <v>124</v>
          </cell>
          <cell r="BU32">
            <v>192</v>
          </cell>
          <cell r="BV32">
            <v>1511</v>
          </cell>
          <cell r="BW32">
            <v>1468</v>
          </cell>
          <cell r="BX32">
            <v>5923</v>
          </cell>
          <cell r="BY32">
            <v>478</v>
          </cell>
          <cell r="BZ32">
            <v>-62</v>
          </cell>
          <cell r="CA32">
            <v>6339</v>
          </cell>
          <cell r="CB32">
            <v>0</v>
          </cell>
          <cell r="CC32">
            <v>0</v>
          </cell>
          <cell r="CD32">
            <v>0</v>
          </cell>
          <cell r="CE32">
            <v>0</v>
          </cell>
          <cell r="CF32">
            <v>0</v>
          </cell>
          <cell r="CG32">
            <v>-1</v>
          </cell>
          <cell r="CH32">
            <v>0</v>
          </cell>
          <cell r="CI32">
            <v>0</v>
          </cell>
          <cell r="CJ32">
            <v>1</v>
          </cell>
          <cell r="CK32">
            <v>0</v>
          </cell>
          <cell r="CL32">
            <v>1</v>
          </cell>
          <cell r="CM32">
            <v>0</v>
          </cell>
        </row>
        <row r="33">
          <cell r="A33">
            <v>23802</v>
          </cell>
          <cell r="D33">
            <v>2862</v>
          </cell>
          <cell r="E33">
            <v>887</v>
          </cell>
          <cell r="F33">
            <v>162</v>
          </cell>
          <cell r="G33">
            <v>1048</v>
          </cell>
          <cell r="H33">
            <v>62</v>
          </cell>
          <cell r="I33">
            <v>1111</v>
          </cell>
          <cell r="J33">
            <v>126</v>
          </cell>
          <cell r="K33">
            <v>176</v>
          </cell>
          <cell r="L33">
            <v>1414</v>
          </cell>
          <cell r="M33">
            <v>1181</v>
          </cell>
          <cell r="N33">
            <v>5458</v>
          </cell>
          <cell r="O33">
            <v>487</v>
          </cell>
          <cell r="P33">
            <v>-91</v>
          </cell>
          <cell r="Q33">
            <v>5853</v>
          </cell>
          <cell r="T33">
            <v>2.9</v>
          </cell>
          <cell r="U33">
            <v>2.5</v>
          </cell>
          <cell r="V33">
            <v>2.6</v>
          </cell>
          <cell r="W33">
            <v>2.5</v>
          </cell>
          <cell r="X33">
            <v>4.3</v>
          </cell>
          <cell r="Y33">
            <v>2.6</v>
          </cell>
          <cell r="Z33">
            <v>1.8</v>
          </cell>
          <cell r="AA33">
            <v>1.4</v>
          </cell>
          <cell r="AB33">
            <v>2.4</v>
          </cell>
          <cell r="AC33">
            <v>0.4</v>
          </cell>
          <cell r="AD33">
            <v>2.2000000000000002</v>
          </cell>
          <cell r="AE33">
            <v>2.2000000000000002</v>
          </cell>
          <cell r="AF33">
            <v>2</v>
          </cell>
          <cell r="AI33">
            <v>2848</v>
          </cell>
          <cell r="AJ33">
            <v>868</v>
          </cell>
          <cell r="AK33">
            <v>164</v>
          </cell>
          <cell r="AL33">
            <v>1032</v>
          </cell>
          <cell r="AM33">
            <v>62</v>
          </cell>
          <cell r="AN33">
            <v>1094</v>
          </cell>
          <cell r="AO33">
            <v>126</v>
          </cell>
          <cell r="AP33">
            <v>175</v>
          </cell>
          <cell r="AQ33">
            <v>1396</v>
          </cell>
          <cell r="AR33">
            <v>1212</v>
          </cell>
          <cell r="AS33">
            <v>5456</v>
          </cell>
          <cell r="AT33">
            <v>483</v>
          </cell>
          <cell r="AU33">
            <v>-94</v>
          </cell>
          <cell r="AV33">
            <v>5844</v>
          </cell>
          <cell r="AY33">
            <v>1.5</v>
          </cell>
          <cell r="AZ33">
            <v>0.8</v>
          </cell>
          <cell r="BA33">
            <v>4.5999999999999996</v>
          </cell>
          <cell r="BB33">
            <v>1.4</v>
          </cell>
          <cell r="BC33">
            <v>3.3</v>
          </cell>
          <cell r="BD33">
            <v>1.5</v>
          </cell>
          <cell r="BE33">
            <v>1.8</v>
          </cell>
          <cell r="BF33">
            <v>0.5</v>
          </cell>
          <cell r="BG33">
            <v>1.4</v>
          </cell>
          <cell r="BH33">
            <v>5.3</v>
          </cell>
          <cell r="BI33">
            <v>2.2999999999999998</v>
          </cell>
          <cell r="BJ33">
            <v>-0.2</v>
          </cell>
          <cell r="BK33">
            <v>1.5</v>
          </cell>
          <cell r="BN33">
            <v>2688</v>
          </cell>
          <cell r="BO33">
            <v>762</v>
          </cell>
          <cell r="BP33">
            <v>146</v>
          </cell>
          <cell r="BQ33">
            <v>908</v>
          </cell>
          <cell r="BR33">
            <v>62</v>
          </cell>
          <cell r="BS33">
            <v>970</v>
          </cell>
          <cell r="BT33">
            <v>126</v>
          </cell>
          <cell r="BU33">
            <v>169</v>
          </cell>
          <cell r="BV33">
            <v>1265</v>
          </cell>
          <cell r="BW33">
            <v>1176</v>
          </cell>
          <cell r="BX33">
            <v>5130</v>
          </cell>
          <cell r="BY33">
            <v>475</v>
          </cell>
          <cell r="BZ33">
            <v>-51</v>
          </cell>
          <cell r="CA33">
            <v>5553</v>
          </cell>
          <cell r="CB33">
            <v>0</v>
          </cell>
          <cell r="CC33">
            <v>0</v>
          </cell>
          <cell r="CD33">
            <v>0</v>
          </cell>
          <cell r="CE33">
            <v>0</v>
          </cell>
          <cell r="CF33">
            <v>0</v>
          </cell>
          <cell r="CG33">
            <v>0</v>
          </cell>
          <cell r="CH33">
            <v>0</v>
          </cell>
          <cell r="CI33">
            <v>0</v>
          </cell>
          <cell r="CJ33">
            <v>0</v>
          </cell>
          <cell r="CK33">
            <v>0</v>
          </cell>
          <cell r="CL33">
            <v>1</v>
          </cell>
          <cell r="CM33">
            <v>0</v>
          </cell>
        </row>
        <row r="34">
          <cell r="A34">
            <v>23894</v>
          </cell>
          <cell r="D34">
            <v>2922</v>
          </cell>
          <cell r="E34">
            <v>903</v>
          </cell>
          <cell r="F34">
            <v>160</v>
          </cell>
          <cell r="G34">
            <v>1063</v>
          </cell>
          <cell r="H34">
            <v>68</v>
          </cell>
          <cell r="I34">
            <v>1130</v>
          </cell>
          <cell r="J34">
            <v>129</v>
          </cell>
          <cell r="K34">
            <v>180</v>
          </cell>
          <cell r="L34">
            <v>1439</v>
          </cell>
          <cell r="M34">
            <v>1167</v>
          </cell>
          <cell r="N34">
            <v>5528</v>
          </cell>
          <cell r="O34">
            <v>499</v>
          </cell>
          <cell r="P34">
            <v>-88</v>
          </cell>
          <cell r="Q34">
            <v>5939</v>
          </cell>
          <cell r="T34">
            <v>2.1</v>
          </cell>
          <cell r="U34">
            <v>1.8</v>
          </cell>
          <cell r="V34">
            <v>-1.3</v>
          </cell>
          <cell r="W34">
            <v>1.3</v>
          </cell>
          <cell r="X34">
            <v>8.6</v>
          </cell>
          <cell r="Y34">
            <v>1.8</v>
          </cell>
          <cell r="Z34">
            <v>1.7</v>
          </cell>
          <cell r="AA34">
            <v>1.9</v>
          </cell>
          <cell r="AB34">
            <v>1.8</v>
          </cell>
          <cell r="AC34">
            <v>-1.2</v>
          </cell>
          <cell r="AD34">
            <v>1.3</v>
          </cell>
          <cell r="AE34">
            <v>2.5</v>
          </cell>
          <cell r="AF34">
            <v>1.5</v>
          </cell>
          <cell r="AI34">
            <v>2922</v>
          </cell>
          <cell r="AJ34">
            <v>930</v>
          </cell>
          <cell r="AK34">
            <v>165</v>
          </cell>
          <cell r="AL34">
            <v>1095</v>
          </cell>
          <cell r="AM34">
            <v>67</v>
          </cell>
          <cell r="AN34">
            <v>1162</v>
          </cell>
          <cell r="AO34">
            <v>129</v>
          </cell>
          <cell r="AP34">
            <v>180</v>
          </cell>
          <cell r="AQ34">
            <v>1471</v>
          </cell>
          <cell r="AR34">
            <v>1165</v>
          </cell>
          <cell r="AS34">
            <v>5558</v>
          </cell>
          <cell r="AT34">
            <v>493</v>
          </cell>
          <cell r="AU34">
            <v>-93</v>
          </cell>
          <cell r="AV34">
            <v>5958</v>
          </cell>
          <cell r="AY34">
            <v>2.6</v>
          </cell>
          <cell r="AZ34">
            <v>7.2</v>
          </cell>
          <cell r="BA34">
            <v>0.5</v>
          </cell>
          <cell r="BB34">
            <v>6.1</v>
          </cell>
          <cell r="BC34">
            <v>8.1</v>
          </cell>
          <cell r="BD34">
            <v>6.2</v>
          </cell>
          <cell r="BE34">
            <v>1.9</v>
          </cell>
          <cell r="BF34">
            <v>2.8</v>
          </cell>
          <cell r="BG34">
            <v>5.4</v>
          </cell>
          <cell r="BH34">
            <v>-3.9</v>
          </cell>
          <cell r="BI34">
            <v>1.9</v>
          </cell>
          <cell r="BJ34">
            <v>2</v>
          </cell>
          <cell r="BK34">
            <v>2</v>
          </cell>
          <cell r="BN34">
            <v>2881</v>
          </cell>
          <cell r="BO34">
            <v>928</v>
          </cell>
          <cell r="BP34">
            <v>136</v>
          </cell>
          <cell r="BQ34">
            <v>1064</v>
          </cell>
          <cell r="BR34">
            <v>67</v>
          </cell>
          <cell r="BS34">
            <v>1131</v>
          </cell>
          <cell r="BT34">
            <v>129</v>
          </cell>
          <cell r="BU34">
            <v>154</v>
          </cell>
          <cell r="BV34">
            <v>1413</v>
          </cell>
          <cell r="BW34">
            <v>901</v>
          </cell>
          <cell r="BX34">
            <v>5196</v>
          </cell>
          <cell r="BY34">
            <v>532</v>
          </cell>
          <cell r="BZ34">
            <v>10</v>
          </cell>
          <cell r="CA34">
            <v>5738</v>
          </cell>
          <cell r="CB34">
            <v>0</v>
          </cell>
          <cell r="CC34">
            <v>0</v>
          </cell>
          <cell r="CD34">
            <v>0</v>
          </cell>
          <cell r="CE34">
            <v>0</v>
          </cell>
          <cell r="CF34">
            <v>0</v>
          </cell>
          <cell r="CG34">
            <v>0</v>
          </cell>
          <cell r="CH34">
            <v>0</v>
          </cell>
          <cell r="CI34">
            <v>0</v>
          </cell>
          <cell r="CJ34">
            <v>0</v>
          </cell>
          <cell r="CK34">
            <v>0</v>
          </cell>
          <cell r="CL34">
            <v>0</v>
          </cell>
          <cell r="CM34">
            <v>0</v>
          </cell>
        </row>
        <row r="35">
          <cell r="A35">
            <v>23986</v>
          </cell>
          <cell r="D35">
            <v>2974</v>
          </cell>
          <cell r="E35">
            <v>898</v>
          </cell>
          <cell r="F35">
            <v>151</v>
          </cell>
          <cell r="G35">
            <v>1048</v>
          </cell>
          <cell r="H35">
            <v>74</v>
          </cell>
          <cell r="I35">
            <v>1122</v>
          </cell>
          <cell r="J35">
            <v>131</v>
          </cell>
          <cell r="K35">
            <v>185</v>
          </cell>
          <cell r="L35">
            <v>1438</v>
          </cell>
          <cell r="M35">
            <v>1140</v>
          </cell>
          <cell r="N35">
            <v>5551</v>
          </cell>
          <cell r="O35">
            <v>509</v>
          </cell>
          <cell r="P35">
            <v>-71</v>
          </cell>
          <cell r="Q35">
            <v>5989</v>
          </cell>
          <cell r="T35">
            <v>1.8</v>
          </cell>
          <cell r="U35">
            <v>-0.6</v>
          </cell>
          <cell r="V35">
            <v>-5.7</v>
          </cell>
          <cell r="W35">
            <v>-1.4</v>
          </cell>
          <cell r="X35">
            <v>9.3000000000000007</v>
          </cell>
          <cell r="Y35">
            <v>-0.7</v>
          </cell>
          <cell r="Z35">
            <v>1.7</v>
          </cell>
          <cell r="AA35">
            <v>2.8</v>
          </cell>
          <cell r="AB35">
            <v>-0.1</v>
          </cell>
          <cell r="AC35">
            <v>-2.2999999999999998</v>
          </cell>
          <cell r="AD35">
            <v>0.4</v>
          </cell>
          <cell r="AE35">
            <v>2.1</v>
          </cell>
          <cell r="AF35">
            <v>0.8</v>
          </cell>
          <cell r="AI35">
            <v>2991</v>
          </cell>
          <cell r="AJ35">
            <v>897</v>
          </cell>
          <cell r="AK35">
            <v>143</v>
          </cell>
          <cell r="AL35">
            <v>1040</v>
          </cell>
          <cell r="AM35">
            <v>75</v>
          </cell>
          <cell r="AN35">
            <v>1115</v>
          </cell>
          <cell r="AO35">
            <v>131</v>
          </cell>
          <cell r="AP35">
            <v>185</v>
          </cell>
          <cell r="AQ35">
            <v>1430</v>
          </cell>
          <cell r="AR35">
            <v>1130</v>
          </cell>
          <cell r="AS35">
            <v>5551</v>
          </cell>
          <cell r="AT35">
            <v>516</v>
          </cell>
          <cell r="AU35">
            <v>-89</v>
          </cell>
          <cell r="AV35">
            <v>5979</v>
          </cell>
          <cell r="AY35">
            <v>2.4</v>
          </cell>
          <cell r="AZ35">
            <v>-3.6</v>
          </cell>
          <cell r="BA35">
            <v>-13.4</v>
          </cell>
          <cell r="BB35">
            <v>-5.0999999999999996</v>
          </cell>
          <cell r="BC35">
            <v>11.9</v>
          </cell>
          <cell r="BD35">
            <v>-4.0999999999999996</v>
          </cell>
          <cell r="BE35">
            <v>1.5</v>
          </cell>
          <cell r="BF35">
            <v>2.4</v>
          </cell>
          <cell r="BG35">
            <v>-2.8</v>
          </cell>
          <cell r="BH35">
            <v>-3</v>
          </cell>
          <cell r="BI35">
            <v>-0.1</v>
          </cell>
          <cell r="BJ35">
            <v>4.8</v>
          </cell>
          <cell r="BK35">
            <v>0.3</v>
          </cell>
          <cell r="BN35">
            <v>3041</v>
          </cell>
          <cell r="BO35">
            <v>911</v>
          </cell>
          <cell r="BP35">
            <v>159</v>
          </cell>
          <cell r="BQ35">
            <v>1070</v>
          </cell>
          <cell r="BR35">
            <v>75</v>
          </cell>
          <cell r="BS35">
            <v>1145</v>
          </cell>
          <cell r="BT35">
            <v>131</v>
          </cell>
          <cell r="BU35">
            <v>201</v>
          </cell>
          <cell r="BV35">
            <v>1477</v>
          </cell>
          <cell r="BW35">
            <v>1108</v>
          </cell>
          <cell r="BX35">
            <v>5626</v>
          </cell>
          <cell r="BY35">
            <v>495</v>
          </cell>
          <cell r="BZ35">
            <v>-202</v>
          </cell>
          <cell r="CA35">
            <v>5919</v>
          </cell>
          <cell r="CB35">
            <v>0</v>
          </cell>
          <cell r="CC35">
            <v>0</v>
          </cell>
          <cell r="CD35">
            <v>0</v>
          </cell>
          <cell r="CE35">
            <v>0</v>
          </cell>
          <cell r="CF35">
            <v>0</v>
          </cell>
          <cell r="CG35">
            <v>0</v>
          </cell>
          <cell r="CH35">
            <v>0</v>
          </cell>
          <cell r="CI35">
            <v>0</v>
          </cell>
          <cell r="CJ35">
            <v>0</v>
          </cell>
          <cell r="CK35">
            <v>0</v>
          </cell>
          <cell r="CL35">
            <v>-1</v>
          </cell>
          <cell r="CM35">
            <v>0</v>
          </cell>
        </row>
        <row r="36">
          <cell r="A36">
            <v>24077</v>
          </cell>
          <cell r="D36">
            <v>3027</v>
          </cell>
          <cell r="E36">
            <v>882</v>
          </cell>
          <cell r="F36">
            <v>140</v>
          </cell>
          <cell r="G36">
            <v>1022</v>
          </cell>
          <cell r="H36">
            <v>80</v>
          </cell>
          <cell r="I36">
            <v>1101</v>
          </cell>
          <cell r="J36">
            <v>133</v>
          </cell>
          <cell r="K36">
            <v>190</v>
          </cell>
          <cell r="L36">
            <v>1424</v>
          </cell>
          <cell r="M36">
            <v>1121</v>
          </cell>
          <cell r="N36">
            <v>5572</v>
          </cell>
          <cell r="O36">
            <v>516</v>
          </cell>
          <cell r="P36">
            <v>-59</v>
          </cell>
          <cell r="Q36">
            <v>6029</v>
          </cell>
          <cell r="T36">
            <v>1.8</v>
          </cell>
          <cell r="U36">
            <v>-1.8</v>
          </cell>
          <cell r="V36">
            <v>-7</v>
          </cell>
          <cell r="W36">
            <v>-2.5</v>
          </cell>
          <cell r="X36">
            <v>7.5</v>
          </cell>
          <cell r="Y36">
            <v>-1.9</v>
          </cell>
          <cell r="Z36">
            <v>1.8</v>
          </cell>
          <cell r="AA36">
            <v>2.5</v>
          </cell>
          <cell r="AB36">
            <v>-1</v>
          </cell>
          <cell r="AC36">
            <v>-1.6</v>
          </cell>
          <cell r="AD36">
            <v>0.4</v>
          </cell>
          <cell r="AE36">
            <v>1.4</v>
          </cell>
          <cell r="AF36">
            <v>0.7</v>
          </cell>
          <cell r="AI36">
            <v>3000</v>
          </cell>
          <cell r="AJ36">
            <v>874</v>
          </cell>
          <cell r="AK36">
            <v>147</v>
          </cell>
          <cell r="AL36">
            <v>1021</v>
          </cell>
          <cell r="AM36">
            <v>80</v>
          </cell>
          <cell r="AN36">
            <v>1101</v>
          </cell>
          <cell r="AO36">
            <v>133</v>
          </cell>
          <cell r="AP36">
            <v>189</v>
          </cell>
          <cell r="AQ36">
            <v>1423</v>
          </cell>
          <cell r="AR36">
            <v>1128</v>
          </cell>
          <cell r="AS36">
            <v>5551</v>
          </cell>
          <cell r="AT36">
            <v>521</v>
          </cell>
          <cell r="AU36">
            <v>-22</v>
          </cell>
          <cell r="AV36">
            <v>6050</v>
          </cell>
          <cell r="AY36">
            <v>0.3</v>
          </cell>
          <cell r="AZ36">
            <v>-2.6</v>
          </cell>
          <cell r="BA36">
            <v>3.1</v>
          </cell>
          <cell r="BB36">
            <v>-1.8</v>
          </cell>
          <cell r="BC36">
            <v>6.7</v>
          </cell>
          <cell r="BD36">
            <v>-1.2</v>
          </cell>
          <cell r="BE36">
            <v>1.8</v>
          </cell>
          <cell r="BF36">
            <v>2.2999999999999998</v>
          </cell>
          <cell r="BG36">
            <v>-0.5</v>
          </cell>
          <cell r="BH36">
            <v>-0.1</v>
          </cell>
          <cell r="BI36">
            <v>0</v>
          </cell>
          <cell r="BJ36">
            <v>0.8</v>
          </cell>
          <cell r="BK36">
            <v>1.2</v>
          </cell>
          <cell r="BN36">
            <v>3193</v>
          </cell>
          <cell r="BO36">
            <v>970</v>
          </cell>
          <cell r="BP36">
            <v>171</v>
          </cell>
          <cell r="BQ36">
            <v>1141</v>
          </cell>
          <cell r="BR36">
            <v>80</v>
          </cell>
          <cell r="BS36">
            <v>1221</v>
          </cell>
          <cell r="BT36">
            <v>133</v>
          </cell>
          <cell r="BU36">
            <v>207</v>
          </cell>
          <cell r="BV36">
            <v>1561</v>
          </cell>
          <cell r="BW36">
            <v>1457</v>
          </cell>
          <cell r="BX36">
            <v>6211</v>
          </cell>
          <cell r="BY36">
            <v>512</v>
          </cell>
          <cell r="BZ36">
            <v>-53</v>
          </cell>
          <cell r="CA36">
            <v>6670</v>
          </cell>
          <cell r="CB36">
            <v>0</v>
          </cell>
          <cell r="CC36">
            <v>0</v>
          </cell>
          <cell r="CD36">
            <v>0</v>
          </cell>
          <cell r="CE36">
            <v>0</v>
          </cell>
          <cell r="CF36">
            <v>0</v>
          </cell>
          <cell r="CG36">
            <v>0</v>
          </cell>
          <cell r="CH36">
            <v>0</v>
          </cell>
          <cell r="CI36">
            <v>0</v>
          </cell>
          <cell r="CJ36">
            <v>0</v>
          </cell>
          <cell r="CK36">
            <v>0</v>
          </cell>
          <cell r="CL36">
            <v>-1</v>
          </cell>
          <cell r="CM36">
            <v>0</v>
          </cell>
        </row>
        <row r="37">
          <cell r="A37">
            <v>24167</v>
          </cell>
          <cell r="D37">
            <v>3083</v>
          </cell>
          <cell r="E37">
            <v>877</v>
          </cell>
          <cell r="F37">
            <v>135</v>
          </cell>
          <cell r="G37">
            <v>1012</v>
          </cell>
          <cell r="H37">
            <v>83</v>
          </cell>
          <cell r="I37">
            <v>1095</v>
          </cell>
          <cell r="J37">
            <v>136</v>
          </cell>
          <cell r="K37">
            <v>192</v>
          </cell>
          <cell r="L37">
            <v>1423</v>
          </cell>
          <cell r="M37">
            <v>1139</v>
          </cell>
          <cell r="N37">
            <v>5646</v>
          </cell>
          <cell r="O37">
            <v>520</v>
          </cell>
          <cell r="P37">
            <v>-53</v>
          </cell>
          <cell r="Q37">
            <v>6113</v>
          </cell>
          <cell r="T37">
            <v>1.9</v>
          </cell>
          <cell r="U37">
            <v>-0.5</v>
          </cell>
          <cell r="V37">
            <v>-3.8</v>
          </cell>
          <cell r="W37">
            <v>-1</v>
          </cell>
          <cell r="X37">
            <v>4.7</v>
          </cell>
          <cell r="Y37">
            <v>-0.6</v>
          </cell>
          <cell r="Z37">
            <v>2.2000000000000002</v>
          </cell>
          <cell r="AA37">
            <v>1.5</v>
          </cell>
          <cell r="AB37">
            <v>0</v>
          </cell>
          <cell r="AC37">
            <v>1.6</v>
          </cell>
          <cell r="AD37">
            <v>1.3</v>
          </cell>
          <cell r="AE37">
            <v>0.8</v>
          </cell>
          <cell r="AF37">
            <v>1.4</v>
          </cell>
          <cell r="AI37">
            <v>3101</v>
          </cell>
          <cell r="AJ37">
            <v>867</v>
          </cell>
          <cell r="AK37">
            <v>129</v>
          </cell>
          <cell r="AL37">
            <v>996</v>
          </cell>
          <cell r="AM37">
            <v>83</v>
          </cell>
          <cell r="AN37">
            <v>1079</v>
          </cell>
          <cell r="AO37">
            <v>136</v>
          </cell>
          <cell r="AP37">
            <v>197</v>
          </cell>
          <cell r="AQ37">
            <v>1411</v>
          </cell>
          <cell r="AR37">
            <v>1127</v>
          </cell>
          <cell r="AS37">
            <v>5640</v>
          </cell>
          <cell r="AT37">
            <v>509</v>
          </cell>
          <cell r="AU37">
            <v>-64</v>
          </cell>
          <cell r="AV37">
            <v>6085</v>
          </cell>
          <cell r="AY37">
            <v>3.4</v>
          </cell>
          <cell r="AZ37">
            <v>-0.8</v>
          </cell>
          <cell r="BA37">
            <v>-12.3</v>
          </cell>
          <cell r="BB37">
            <v>-2.5</v>
          </cell>
          <cell r="BC37">
            <v>3.8</v>
          </cell>
          <cell r="BD37">
            <v>-2</v>
          </cell>
          <cell r="BE37">
            <v>2.2000000000000002</v>
          </cell>
          <cell r="BF37">
            <v>4.0999999999999996</v>
          </cell>
          <cell r="BG37">
            <v>-0.8</v>
          </cell>
          <cell r="BH37">
            <v>-0.1</v>
          </cell>
          <cell r="BI37">
            <v>1.6</v>
          </cell>
          <cell r="BJ37">
            <v>-2.2000000000000002</v>
          </cell>
          <cell r="BK37">
            <v>0.6</v>
          </cell>
          <cell r="BN37">
            <v>2898</v>
          </cell>
          <cell r="BO37">
            <v>762</v>
          </cell>
          <cell r="BP37">
            <v>114</v>
          </cell>
          <cell r="BQ37">
            <v>876</v>
          </cell>
          <cell r="BR37">
            <v>83</v>
          </cell>
          <cell r="BS37">
            <v>959</v>
          </cell>
          <cell r="BT37">
            <v>136</v>
          </cell>
          <cell r="BU37">
            <v>191</v>
          </cell>
          <cell r="BV37">
            <v>1285</v>
          </cell>
          <cell r="BW37">
            <v>1088</v>
          </cell>
          <cell r="BX37">
            <v>5271</v>
          </cell>
          <cell r="BY37">
            <v>501</v>
          </cell>
          <cell r="BZ37">
            <v>-43</v>
          </cell>
          <cell r="CA37">
            <v>5729</v>
          </cell>
          <cell r="CB37">
            <v>0</v>
          </cell>
          <cell r="CC37">
            <v>0</v>
          </cell>
          <cell r="CD37">
            <v>0</v>
          </cell>
          <cell r="CE37">
            <v>0</v>
          </cell>
          <cell r="CF37">
            <v>0</v>
          </cell>
          <cell r="CG37">
            <v>0</v>
          </cell>
          <cell r="CH37">
            <v>0</v>
          </cell>
          <cell r="CI37">
            <v>0</v>
          </cell>
          <cell r="CJ37">
            <v>-1</v>
          </cell>
          <cell r="CK37">
            <v>0</v>
          </cell>
          <cell r="CL37">
            <v>0</v>
          </cell>
          <cell r="CM37">
            <v>0</v>
          </cell>
        </row>
        <row r="38">
          <cell r="A38">
            <v>24259</v>
          </cell>
          <cell r="D38">
            <v>3149</v>
          </cell>
          <cell r="E38">
            <v>898</v>
          </cell>
          <cell r="F38">
            <v>137</v>
          </cell>
          <cell r="G38">
            <v>1035</v>
          </cell>
          <cell r="H38">
            <v>86</v>
          </cell>
          <cell r="I38">
            <v>1121</v>
          </cell>
          <cell r="J38">
            <v>139</v>
          </cell>
          <cell r="K38">
            <v>196</v>
          </cell>
          <cell r="L38">
            <v>1456</v>
          </cell>
          <cell r="M38">
            <v>1185</v>
          </cell>
          <cell r="N38">
            <v>5790</v>
          </cell>
          <cell r="O38">
            <v>523</v>
          </cell>
          <cell r="P38">
            <v>-42</v>
          </cell>
          <cell r="Q38">
            <v>6270</v>
          </cell>
          <cell r="T38">
            <v>2.1</v>
          </cell>
          <cell r="U38">
            <v>2.2999999999999998</v>
          </cell>
          <cell r="V38">
            <v>1.7</v>
          </cell>
          <cell r="W38">
            <v>2.2999999999999998</v>
          </cell>
          <cell r="X38">
            <v>3.1</v>
          </cell>
          <cell r="Y38">
            <v>2.2999999999999998</v>
          </cell>
          <cell r="Z38">
            <v>2.5</v>
          </cell>
          <cell r="AA38">
            <v>1.8</v>
          </cell>
          <cell r="AB38">
            <v>2.2999999999999998</v>
          </cell>
          <cell r="AC38">
            <v>4</v>
          </cell>
          <cell r="AD38">
            <v>2.6</v>
          </cell>
          <cell r="AE38">
            <v>0.5</v>
          </cell>
          <cell r="AF38">
            <v>2.6</v>
          </cell>
          <cell r="AI38">
            <v>3141</v>
          </cell>
          <cell r="AJ38">
            <v>914</v>
          </cell>
          <cell r="AK38">
            <v>136</v>
          </cell>
          <cell r="AL38">
            <v>1049</v>
          </cell>
          <cell r="AM38">
            <v>86</v>
          </cell>
          <cell r="AN38">
            <v>1135</v>
          </cell>
          <cell r="AO38">
            <v>139</v>
          </cell>
          <cell r="AP38">
            <v>191</v>
          </cell>
          <cell r="AQ38">
            <v>1466</v>
          </cell>
          <cell r="AR38">
            <v>1184</v>
          </cell>
          <cell r="AS38">
            <v>5791</v>
          </cell>
          <cell r="AT38">
            <v>530</v>
          </cell>
          <cell r="AU38">
            <v>-78</v>
          </cell>
          <cell r="AV38">
            <v>6243</v>
          </cell>
          <cell r="AY38">
            <v>1.3</v>
          </cell>
          <cell r="AZ38">
            <v>5.4</v>
          </cell>
          <cell r="BA38">
            <v>5.0999999999999996</v>
          </cell>
          <cell r="BB38">
            <v>5.4</v>
          </cell>
          <cell r="BC38">
            <v>3.6</v>
          </cell>
          <cell r="BD38">
            <v>5.2</v>
          </cell>
          <cell r="BE38">
            <v>2.5</v>
          </cell>
          <cell r="BF38">
            <v>-2.6</v>
          </cell>
          <cell r="BG38">
            <v>3.9</v>
          </cell>
          <cell r="BH38">
            <v>5.0999999999999996</v>
          </cell>
          <cell r="BI38">
            <v>2.7</v>
          </cell>
          <cell r="BJ38">
            <v>4</v>
          </cell>
          <cell r="BK38">
            <v>2.6</v>
          </cell>
          <cell r="BN38">
            <v>3081</v>
          </cell>
          <cell r="BO38">
            <v>908</v>
          </cell>
          <cell r="BP38">
            <v>114</v>
          </cell>
          <cell r="BQ38">
            <v>1022</v>
          </cell>
          <cell r="BR38">
            <v>86</v>
          </cell>
          <cell r="BS38">
            <v>1108</v>
          </cell>
          <cell r="BT38">
            <v>139</v>
          </cell>
          <cell r="BU38">
            <v>163</v>
          </cell>
          <cell r="BV38">
            <v>1410</v>
          </cell>
          <cell r="BW38">
            <v>916</v>
          </cell>
          <cell r="BX38">
            <v>5407</v>
          </cell>
          <cell r="BY38">
            <v>570</v>
          </cell>
          <cell r="BZ38">
            <v>56</v>
          </cell>
          <cell r="CA38">
            <v>6033</v>
          </cell>
          <cell r="CB38">
            <v>0</v>
          </cell>
          <cell r="CC38">
            <v>0</v>
          </cell>
          <cell r="CD38">
            <v>0</v>
          </cell>
          <cell r="CE38">
            <v>0</v>
          </cell>
          <cell r="CF38">
            <v>0</v>
          </cell>
          <cell r="CG38">
            <v>1</v>
          </cell>
          <cell r="CH38">
            <v>0</v>
          </cell>
          <cell r="CI38">
            <v>0</v>
          </cell>
          <cell r="CJ38">
            <v>0</v>
          </cell>
          <cell r="CK38">
            <v>0</v>
          </cell>
          <cell r="CL38">
            <v>0</v>
          </cell>
          <cell r="CM38">
            <v>0</v>
          </cell>
        </row>
        <row r="39">
          <cell r="A39">
            <v>24351</v>
          </cell>
          <cell r="D39">
            <v>3220</v>
          </cell>
          <cell r="E39">
            <v>936</v>
          </cell>
          <cell r="F39">
            <v>145</v>
          </cell>
          <cell r="G39">
            <v>1081</v>
          </cell>
          <cell r="H39">
            <v>88</v>
          </cell>
          <cell r="I39">
            <v>1169</v>
          </cell>
          <cell r="J39">
            <v>143</v>
          </cell>
          <cell r="K39">
            <v>203</v>
          </cell>
          <cell r="L39">
            <v>1515</v>
          </cell>
          <cell r="M39">
            <v>1254</v>
          </cell>
          <cell r="N39">
            <v>5990</v>
          </cell>
          <cell r="O39">
            <v>530</v>
          </cell>
          <cell r="P39">
            <v>-28</v>
          </cell>
          <cell r="Q39">
            <v>6492</v>
          </cell>
          <cell r="T39">
            <v>2.2999999999999998</v>
          </cell>
          <cell r="U39">
            <v>4.2</v>
          </cell>
          <cell r="V39">
            <v>6</v>
          </cell>
          <cell r="W39">
            <v>4.5</v>
          </cell>
          <cell r="X39">
            <v>3</v>
          </cell>
          <cell r="Y39">
            <v>4.4000000000000004</v>
          </cell>
          <cell r="Z39">
            <v>2.6</v>
          </cell>
          <cell r="AA39">
            <v>3.7</v>
          </cell>
          <cell r="AB39">
            <v>4.0999999999999996</v>
          </cell>
          <cell r="AC39">
            <v>5.9</v>
          </cell>
          <cell r="AD39">
            <v>3.5</v>
          </cell>
          <cell r="AE39">
            <v>1.4</v>
          </cell>
          <cell r="AF39">
            <v>3.5</v>
          </cell>
          <cell r="AI39">
            <v>3222</v>
          </cell>
          <cell r="AJ39">
            <v>922</v>
          </cell>
          <cell r="AK39">
            <v>147</v>
          </cell>
          <cell r="AL39">
            <v>1069</v>
          </cell>
          <cell r="AM39">
            <v>88</v>
          </cell>
          <cell r="AN39">
            <v>1157</v>
          </cell>
          <cell r="AO39">
            <v>143</v>
          </cell>
          <cell r="AP39">
            <v>203</v>
          </cell>
          <cell r="AQ39">
            <v>1503</v>
          </cell>
          <cell r="AR39">
            <v>1258</v>
          </cell>
          <cell r="AS39">
            <v>5983</v>
          </cell>
          <cell r="AT39">
            <v>535</v>
          </cell>
          <cell r="AU39">
            <v>10</v>
          </cell>
          <cell r="AV39">
            <v>6528</v>
          </cell>
          <cell r="AY39">
            <v>2.6</v>
          </cell>
          <cell r="AZ39">
            <v>0.9</v>
          </cell>
          <cell r="BA39">
            <v>8.4</v>
          </cell>
          <cell r="BB39">
            <v>1.9</v>
          </cell>
          <cell r="BC39">
            <v>2.2999999999999998</v>
          </cell>
          <cell r="BD39">
            <v>1.9</v>
          </cell>
          <cell r="BE39">
            <v>2.8</v>
          </cell>
          <cell r="BF39">
            <v>5.8</v>
          </cell>
          <cell r="BG39">
            <v>2.5</v>
          </cell>
          <cell r="BH39">
            <v>6.3</v>
          </cell>
          <cell r="BI39">
            <v>3.3</v>
          </cell>
          <cell r="BJ39">
            <v>1.1000000000000001</v>
          </cell>
          <cell r="BK39">
            <v>4.5999999999999996</v>
          </cell>
          <cell r="BN39">
            <v>3318</v>
          </cell>
          <cell r="BO39">
            <v>936</v>
          </cell>
          <cell r="BP39">
            <v>162</v>
          </cell>
          <cell r="BQ39">
            <v>1099</v>
          </cell>
          <cell r="BR39">
            <v>88</v>
          </cell>
          <cell r="BS39">
            <v>1187</v>
          </cell>
          <cell r="BT39">
            <v>143</v>
          </cell>
          <cell r="BU39">
            <v>220</v>
          </cell>
          <cell r="BV39">
            <v>1550</v>
          </cell>
          <cell r="BW39">
            <v>1220</v>
          </cell>
          <cell r="BX39">
            <v>6088</v>
          </cell>
          <cell r="BY39">
            <v>517</v>
          </cell>
          <cell r="BZ39">
            <v>-144</v>
          </cell>
          <cell r="CA39">
            <v>6462</v>
          </cell>
          <cell r="CB39">
            <v>0</v>
          </cell>
          <cell r="CC39">
            <v>0</v>
          </cell>
          <cell r="CD39">
            <v>0</v>
          </cell>
          <cell r="CE39">
            <v>0</v>
          </cell>
          <cell r="CF39">
            <v>0</v>
          </cell>
          <cell r="CG39">
            <v>0</v>
          </cell>
          <cell r="CH39">
            <v>0</v>
          </cell>
          <cell r="CI39">
            <v>0</v>
          </cell>
          <cell r="CJ39">
            <v>0</v>
          </cell>
          <cell r="CK39">
            <v>0</v>
          </cell>
          <cell r="CL39">
            <v>0</v>
          </cell>
          <cell r="CM39">
            <v>0</v>
          </cell>
        </row>
        <row r="40">
          <cell r="A40">
            <v>24442</v>
          </cell>
          <cell r="D40">
            <v>3293</v>
          </cell>
          <cell r="E40">
            <v>979</v>
          </cell>
          <cell r="F40">
            <v>156</v>
          </cell>
          <cell r="G40">
            <v>1135</v>
          </cell>
          <cell r="H40">
            <v>91</v>
          </cell>
          <cell r="I40">
            <v>1226</v>
          </cell>
          <cell r="J40">
            <v>147</v>
          </cell>
          <cell r="K40">
            <v>213</v>
          </cell>
          <cell r="L40">
            <v>1586</v>
          </cell>
          <cell r="M40">
            <v>1323</v>
          </cell>
          <cell r="N40">
            <v>6202</v>
          </cell>
          <cell r="O40">
            <v>542</v>
          </cell>
          <cell r="P40">
            <v>-28</v>
          </cell>
          <cell r="Q40">
            <v>6717</v>
          </cell>
          <cell r="T40">
            <v>2.2999999999999998</v>
          </cell>
          <cell r="U40">
            <v>4.5999999999999996</v>
          </cell>
          <cell r="V40">
            <v>7.5</v>
          </cell>
          <cell r="W40">
            <v>5</v>
          </cell>
          <cell r="X40">
            <v>2.7</v>
          </cell>
          <cell r="Y40">
            <v>4.8</v>
          </cell>
          <cell r="Z40">
            <v>2.5</v>
          </cell>
          <cell r="AA40">
            <v>5</v>
          </cell>
          <cell r="AB40">
            <v>4.5999999999999996</v>
          </cell>
          <cell r="AC40">
            <v>5.5</v>
          </cell>
          <cell r="AD40">
            <v>3.5</v>
          </cell>
          <cell r="AE40">
            <v>2.2999999999999998</v>
          </cell>
          <cell r="AF40">
            <v>3.5</v>
          </cell>
          <cell r="AI40">
            <v>3292</v>
          </cell>
          <cell r="AJ40">
            <v>979</v>
          </cell>
          <cell r="AK40">
            <v>155</v>
          </cell>
          <cell r="AL40">
            <v>1135</v>
          </cell>
          <cell r="AM40">
            <v>91</v>
          </cell>
          <cell r="AN40">
            <v>1226</v>
          </cell>
          <cell r="AO40">
            <v>147</v>
          </cell>
          <cell r="AP40">
            <v>214</v>
          </cell>
          <cell r="AQ40">
            <v>1586</v>
          </cell>
          <cell r="AR40">
            <v>1310</v>
          </cell>
          <cell r="AS40">
            <v>6189</v>
          </cell>
          <cell r="AT40">
            <v>527</v>
          </cell>
          <cell r="AU40">
            <v>-24</v>
          </cell>
          <cell r="AV40">
            <v>6692</v>
          </cell>
          <cell r="AY40">
            <v>2.2000000000000002</v>
          </cell>
          <cell r="AZ40">
            <v>6.3</v>
          </cell>
          <cell r="BA40">
            <v>5.6</v>
          </cell>
          <cell r="BB40">
            <v>6.2</v>
          </cell>
          <cell r="BC40">
            <v>3.4</v>
          </cell>
          <cell r="BD40">
            <v>6</v>
          </cell>
          <cell r="BE40">
            <v>2.4</v>
          </cell>
          <cell r="BF40">
            <v>5.6</v>
          </cell>
          <cell r="BG40">
            <v>5.6</v>
          </cell>
          <cell r="BH40">
            <v>4.0999999999999996</v>
          </cell>
          <cell r="BI40">
            <v>3.4</v>
          </cell>
          <cell r="BJ40">
            <v>-1.5</v>
          </cell>
          <cell r="BK40">
            <v>2.5</v>
          </cell>
          <cell r="BN40">
            <v>3425</v>
          </cell>
          <cell r="BO40">
            <v>1090</v>
          </cell>
          <cell r="BP40">
            <v>182</v>
          </cell>
          <cell r="BQ40">
            <v>1272</v>
          </cell>
          <cell r="BR40">
            <v>91</v>
          </cell>
          <cell r="BS40">
            <v>1363</v>
          </cell>
          <cell r="BT40">
            <v>147</v>
          </cell>
          <cell r="BU40">
            <v>234</v>
          </cell>
          <cell r="BV40">
            <v>1744</v>
          </cell>
          <cell r="BW40">
            <v>1675</v>
          </cell>
          <cell r="BX40">
            <v>6844</v>
          </cell>
          <cell r="BY40">
            <v>519</v>
          </cell>
          <cell r="BZ40">
            <v>-33</v>
          </cell>
          <cell r="CA40">
            <v>7329</v>
          </cell>
          <cell r="CB40">
            <v>0</v>
          </cell>
          <cell r="CC40">
            <v>0</v>
          </cell>
          <cell r="CD40">
            <v>0</v>
          </cell>
          <cell r="CE40">
            <v>0</v>
          </cell>
          <cell r="CF40">
            <v>0</v>
          </cell>
          <cell r="CG40">
            <v>0</v>
          </cell>
          <cell r="CH40">
            <v>0</v>
          </cell>
          <cell r="CI40">
            <v>1</v>
          </cell>
          <cell r="CJ40">
            <v>0</v>
          </cell>
          <cell r="CK40">
            <v>0</v>
          </cell>
          <cell r="CL40">
            <v>0</v>
          </cell>
          <cell r="CM40">
            <v>0</v>
          </cell>
        </row>
        <row r="41">
          <cell r="A41">
            <v>24532</v>
          </cell>
          <cell r="D41">
            <v>3379</v>
          </cell>
          <cell r="E41">
            <v>1014</v>
          </cell>
          <cell r="F41">
            <v>161</v>
          </cell>
          <cell r="G41">
            <v>1175</v>
          </cell>
          <cell r="H41">
            <v>93</v>
          </cell>
          <cell r="I41">
            <v>1268</v>
          </cell>
          <cell r="J41">
            <v>150</v>
          </cell>
          <cell r="K41">
            <v>223</v>
          </cell>
          <cell r="L41">
            <v>1641</v>
          </cell>
          <cell r="M41">
            <v>1346</v>
          </cell>
          <cell r="N41">
            <v>6366</v>
          </cell>
          <cell r="O41">
            <v>559</v>
          </cell>
          <cell r="P41">
            <v>-43</v>
          </cell>
          <cell r="Q41">
            <v>6883</v>
          </cell>
          <cell r="T41">
            <v>2.6</v>
          </cell>
          <cell r="U41">
            <v>3.6</v>
          </cell>
          <cell r="V41">
            <v>3.1</v>
          </cell>
          <cell r="W41">
            <v>3.5</v>
          </cell>
          <cell r="X41">
            <v>1.8</v>
          </cell>
          <cell r="Y41">
            <v>3.4</v>
          </cell>
          <cell r="Z41">
            <v>2.4</v>
          </cell>
          <cell r="AA41">
            <v>4.7</v>
          </cell>
          <cell r="AB41">
            <v>3.5</v>
          </cell>
          <cell r="AC41">
            <v>1.8</v>
          </cell>
          <cell r="AD41">
            <v>2.7</v>
          </cell>
          <cell r="AE41">
            <v>3.1</v>
          </cell>
          <cell r="AF41">
            <v>2.5</v>
          </cell>
          <cell r="AI41">
            <v>3375</v>
          </cell>
          <cell r="AJ41">
            <v>1031</v>
          </cell>
          <cell r="AK41">
            <v>164</v>
          </cell>
          <cell r="AL41">
            <v>1195</v>
          </cell>
          <cell r="AM41">
            <v>93</v>
          </cell>
          <cell r="AN41">
            <v>1288</v>
          </cell>
          <cell r="AO41">
            <v>150</v>
          </cell>
          <cell r="AP41">
            <v>225</v>
          </cell>
          <cell r="AQ41">
            <v>1664</v>
          </cell>
          <cell r="AR41">
            <v>1381</v>
          </cell>
          <cell r="AS41">
            <v>6420</v>
          </cell>
          <cell r="AT41">
            <v>569</v>
          </cell>
          <cell r="AU41">
            <v>-60</v>
          </cell>
          <cell r="AV41">
            <v>6929</v>
          </cell>
          <cell r="AY41">
            <v>2.5</v>
          </cell>
          <cell r="AZ41">
            <v>5.3</v>
          </cell>
          <cell r="BA41">
            <v>5.4</v>
          </cell>
          <cell r="BB41">
            <v>5.3</v>
          </cell>
          <cell r="BC41">
            <v>2.2000000000000002</v>
          </cell>
          <cell r="BD41">
            <v>5.0999999999999996</v>
          </cell>
          <cell r="BE41">
            <v>2.4</v>
          </cell>
          <cell r="BF41">
            <v>5.3</v>
          </cell>
          <cell r="BG41">
            <v>4.9000000000000004</v>
          </cell>
          <cell r="BH41">
            <v>5.3</v>
          </cell>
          <cell r="BI41">
            <v>3.7</v>
          </cell>
          <cell r="BJ41">
            <v>8</v>
          </cell>
          <cell r="BK41">
            <v>3.5</v>
          </cell>
          <cell r="BN41">
            <v>3206</v>
          </cell>
          <cell r="BO41">
            <v>909</v>
          </cell>
          <cell r="BP41">
            <v>143</v>
          </cell>
          <cell r="BQ41">
            <v>1052</v>
          </cell>
          <cell r="BR41">
            <v>93</v>
          </cell>
          <cell r="BS41">
            <v>1145</v>
          </cell>
          <cell r="BT41">
            <v>150</v>
          </cell>
          <cell r="BU41">
            <v>220</v>
          </cell>
          <cell r="BV41">
            <v>1515</v>
          </cell>
          <cell r="BW41">
            <v>1359</v>
          </cell>
          <cell r="BX41">
            <v>6080</v>
          </cell>
          <cell r="BY41">
            <v>556</v>
          </cell>
          <cell r="BZ41">
            <v>-18</v>
          </cell>
          <cell r="CA41">
            <v>6618</v>
          </cell>
          <cell r="CB41">
            <v>0</v>
          </cell>
          <cell r="CC41">
            <v>0</v>
          </cell>
          <cell r="CD41">
            <v>0</v>
          </cell>
          <cell r="CE41">
            <v>0</v>
          </cell>
          <cell r="CF41">
            <v>0</v>
          </cell>
          <cell r="CG41">
            <v>0</v>
          </cell>
          <cell r="CH41">
            <v>0</v>
          </cell>
          <cell r="CI41">
            <v>-1</v>
          </cell>
          <cell r="CJ41">
            <v>-1</v>
          </cell>
          <cell r="CK41">
            <v>0</v>
          </cell>
          <cell r="CL41">
            <v>0</v>
          </cell>
          <cell r="CM41">
            <v>0</v>
          </cell>
        </row>
        <row r="42">
          <cell r="A42">
            <v>24624</v>
          </cell>
          <cell r="D42">
            <v>3465</v>
          </cell>
          <cell r="E42">
            <v>1037</v>
          </cell>
          <cell r="F42">
            <v>163</v>
          </cell>
          <cell r="G42">
            <v>1199</v>
          </cell>
          <cell r="H42">
            <v>93</v>
          </cell>
          <cell r="I42">
            <v>1293</v>
          </cell>
          <cell r="J42">
            <v>154</v>
          </cell>
          <cell r="K42">
            <v>230</v>
          </cell>
          <cell r="L42">
            <v>1677</v>
          </cell>
          <cell r="M42">
            <v>1341</v>
          </cell>
          <cell r="N42">
            <v>6483</v>
          </cell>
          <cell r="O42">
            <v>575</v>
          </cell>
          <cell r="P42">
            <v>-59</v>
          </cell>
          <cell r="Q42">
            <v>6999</v>
          </cell>
          <cell r="T42">
            <v>2.6</v>
          </cell>
          <cell r="U42">
            <v>2.2000000000000002</v>
          </cell>
          <cell r="V42">
            <v>1.2</v>
          </cell>
          <cell r="W42">
            <v>2.1</v>
          </cell>
          <cell r="X42">
            <v>0.6</v>
          </cell>
          <cell r="Y42">
            <v>1.9</v>
          </cell>
          <cell r="Z42">
            <v>2.2999999999999998</v>
          </cell>
          <cell r="AA42">
            <v>3.2</v>
          </cell>
          <cell r="AB42">
            <v>2.2000000000000002</v>
          </cell>
          <cell r="AC42">
            <v>-0.4</v>
          </cell>
          <cell r="AD42">
            <v>1.8</v>
          </cell>
          <cell r="AE42">
            <v>2.8</v>
          </cell>
          <cell r="AF42">
            <v>1.7</v>
          </cell>
          <cell r="AI42">
            <v>3463</v>
          </cell>
          <cell r="AJ42">
            <v>1032</v>
          </cell>
          <cell r="AK42">
            <v>163</v>
          </cell>
          <cell r="AL42">
            <v>1195</v>
          </cell>
          <cell r="AM42">
            <v>93</v>
          </cell>
          <cell r="AN42">
            <v>1288</v>
          </cell>
          <cell r="AO42">
            <v>154</v>
          </cell>
          <cell r="AP42">
            <v>228</v>
          </cell>
          <cell r="AQ42">
            <v>1670</v>
          </cell>
          <cell r="AR42">
            <v>1336</v>
          </cell>
          <cell r="AS42">
            <v>6468</v>
          </cell>
          <cell r="AT42">
            <v>575</v>
          </cell>
          <cell r="AU42">
            <v>-65</v>
          </cell>
          <cell r="AV42">
            <v>6979</v>
          </cell>
          <cell r="AY42">
            <v>2.6</v>
          </cell>
          <cell r="AZ42">
            <v>0</v>
          </cell>
          <cell r="BA42">
            <v>-0.5</v>
          </cell>
          <cell r="BB42">
            <v>0</v>
          </cell>
          <cell r="BC42">
            <v>0</v>
          </cell>
          <cell r="BD42">
            <v>0</v>
          </cell>
          <cell r="BE42">
            <v>2.4</v>
          </cell>
          <cell r="BF42">
            <v>1.2</v>
          </cell>
          <cell r="BG42">
            <v>0.3</v>
          </cell>
          <cell r="BH42">
            <v>-3.2</v>
          </cell>
          <cell r="BI42">
            <v>0.8</v>
          </cell>
          <cell r="BJ42">
            <v>1.1000000000000001</v>
          </cell>
          <cell r="BK42">
            <v>0.7</v>
          </cell>
          <cell r="BN42">
            <v>3418</v>
          </cell>
          <cell r="BO42">
            <v>1018</v>
          </cell>
          <cell r="BP42">
            <v>138</v>
          </cell>
          <cell r="BQ42">
            <v>1156</v>
          </cell>
          <cell r="BR42">
            <v>93</v>
          </cell>
          <cell r="BS42">
            <v>1249</v>
          </cell>
          <cell r="BT42">
            <v>154</v>
          </cell>
          <cell r="BU42">
            <v>194</v>
          </cell>
          <cell r="BV42">
            <v>1596</v>
          </cell>
          <cell r="BW42">
            <v>1033</v>
          </cell>
          <cell r="BX42">
            <v>6047</v>
          </cell>
          <cell r="BY42">
            <v>622</v>
          </cell>
          <cell r="BZ42">
            <v>67</v>
          </cell>
          <cell r="CA42">
            <v>6737</v>
          </cell>
          <cell r="CB42">
            <v>0</v>
          </cell>
          <cell r="CC42">
            <v>0</v>
          </cell>
          <cell r="CD42">
            <v>0</v>
          </cell>
          <cell r="CE42">
            <v>0</v>
          </cell>
          <cell r="CF42">
            <v>0</v>
          </cell>
          <cell r="CG42">
            <v>0</v>
          </cell>
          <cell r="CH42">
            <v>-1</v>
          </cell>
          <cell r="CI42">
            <v>0</v>
          </cell>
          <cell r="CJ42">
            <v>0</v>
          </cell>
          <cell r="CK42">
            <v>1</v>
          </cell>
          <cell r="CL42">
            <v>0</v>
          </cell>
          <cell r="CM42">
            <v>0</v>
          </cell>
        </row>
        <row r="43">
          <cell r="A43">
            <v>24716</v>
          </cell>
          <cell r="D43">
            <v>3536</v>
          </cell>
          <cell r="E43">
            <v>1064</v>
          </cell>
          <cell r="F43">
            <v>161</v>
          </cell>
          <cell r="G43">
            <v>1225</v>
          </cell>
          <cell r="H43">
            <v>93</v>
          </cell>
          <cell r="I43">
            <v>1318</v>
          </cell>
          <cell r="J43">
            <v>157</v>
          </cell>
          <cell r="K43">
            <v>237</v>
          </cell>
          <cell r="L43">
            <v>1712</v>
          </cell>
          <cell r="M43">
            <v>1316</v>
          </cell>
          <cell r="N43">
            <v>6563</v>
          </cell>
          <cell r="O43">
            <v>587</v>
          </cell>
          <cell r="P43">
            <v>-51</v>
          </cell>
          <cell r="Q43">
            <v>7098</v>
          </cell>
          <cell r="T43">
            <v>2</v>
          </cell>
          <cell r="U43">
            <v>2.6</v>
          </cell>
          <cell r="V43">
            <v>-0.9</v>
          </cell>
          <cell r="W43">
            <v>2.1</v>
          </cell>
          <cell r="X43">
            <v>-0.1</v>
          </cell>
          <cell r="Y43">
            <v>2</v>
          </cell>
          <cell r="Z43">
            <v>2.2999999999999998</v>
          </cell>
          <cell r="AA43">
            <v>2.7</v>
          </cell>
          <cell r="AB43">
            <v>2.1</v>
          </cell>
          <cell r="AC43">
            <v>-1.9</v>
          </cell>
          <cell r="AD43">
            <v>1.2</v>
          </cell>
          <cell r="AE43">
            <v>2</v>
          </cell>
          <cell r="AF43">
            <v>1.4</v>
          </cell>
          <cell r="AI43">
            <v>3552</v>
          </cell>
          <cell r="AJ43">
            <v>1055</v>
          </cell>
          <cell r="AK43">
            <v>158</v>
          </cell>
          <cell r="AL43">
            <v>1213</v>
          </cell>
          <cell r="AM43">
            <v>93</v>
          </cell>
          <cell r="AN43">
            <v>1306</v>
          </cell>
          <cell r="AO43">
            <v>157</v>
          </cell>
          <cell r="AP43">
            <v>237</v>
          </cell>
          <cell r="AQ43">
            <v>1700</v>
          </cell>
          <cell r="AR43">
            <v>1274</v>
          </cell>
          <cell r="AS43">
            <v>6526</v>
          </cell>
          <cell r="AT43">
            <v>590</v>
          </cell>
          <cell r="AU43">
            <v>-30</v>
          </cell>
          <cell r="AV43">
            <v>7086</v>
          </cell>
          <cell r="AY43">
            <v>2.6</v>
          </cell>
          <cell r="AZ43">
            <v>2.2999999999999998</v>
          </cell>
          <cell r="BA43">
            <v>-3.1</v>
          </cell>
          <cell r="BB43">
            <v>1.5</v>
          </cell>
          <cell r="BC43">
            <v>0</v>
          </cell>
          <cell r="BD43">
            <v>1.4</v>
          </cell>
          <cell r="BE43">
            <v>2.2999999999999998</v>
          </cell>
          <cell r="BF43">
            <v>4.0999999999999996</v>
          </cell>
          <cell r="BG43">
            <v>1.9</v>
          </cell>
          <cell r="BH43">
            <v>-4.7</v>
          </cell>
          <cell r="BI43">
            <v>0.9</v>
          </cell>
          <cell r="BJ43">
            <v>2.5</v>
          </cell>
          <cell r="BK43">
            <v>1.5</v>
          </cell>
          <cell r="BN43">
            <v>3533</v>
          </cell>
          <cell r="BO43">
            <v>1073</v>
          </cell>
          <cell r="BP43">
            <v>173</v>
          </cell>
          <cell r="BQ43">
            <v>1246</v>
          </cell>
          <cell r="BR43">
            <v>93</v>
          </cell>
          <cell r="BS43">
            <v>1339</v>
          </cell>
          <cell r="BT43">
            <v>157</v>
          </cell>
          <cell r="BU43">
            <v>257</v>
          </cell>
          <cell r="BV43">
            <v>1754</v>
          </cell>
          <cell r="BW43">
            <v>1242</v>
          </cell>
          <cell r="BX43">
            <v>6528</v>
          </cell>
          <cell r="BY43">
            <v>564</v>
          </cell>
          <cell r="BZ43">
            <v>-85</v>
          </cell>
          <cell r="CA43">
            <v>7007</v>
          </cell>
          <cell r="CB43">
            <v>0</v>
          </cell>
          <cell r="CC43">
            <v>0</v>
          </cell>
          <cell r="CD43">
            <v>0</v>
          </cell>
          <cell r="CE43">
            <v>0</v>
          </cell>
          <cell r="CF43">
            <v>0</v>
          </cell>
          <cell r="CG43">
            <v>0</v>
          </cell>
          <cell r="CH43">
            <v>0</v>
          </cell>
          <cell r="CI43">
            <v>0</v>
          </cell>
          <cell r="CJ43">
            <v>0</v>
          </cell>
          <cell r="CK43">
            <v>0</v>
          </cell>
          <cell r="CL43">
            <v>0</v>
          </cell>
          <cell r="CM43">
            <v>0</v>
          </cell>
        </row>
        <row r="44">
          <cell r="A44">
            <v>24807</v>
          </cell>
          <cell r="D44">
            <v>3601</v>
          </cell>
          <cell r="E44">
            <v>1105</v>
          </cell>
          <cell r="F44">
            <v>164</v>
          </cell>
          <cell r="G44">
            <v>1269</v>
          </cell>
          <cell r="H44">
            <v>93</v>
          </cell>
          <cell r="I44">
            <v>1362</v>
          </cell>
          <cell r="J44">
            <v>161</v>
          </cell>
          <cell r="K44">
            <v>242</v>
          </cell>
          <cell r="L44">
            <v>1765</v>
          </cell>
          <cell r="M44">
            <v>1291</v>
          </cell>
          <cell r="N44">
            <v>6657</v>
          </cell>
          <cell r="O44">
            <v>600</v>
          </cell>
          <cell r="P44">
            <v>-50</v>
          </cell>
          <cell r="Q44">
            <v>7207</v>
          </cell>
          <cell r="T44">
            <v>1.9</v>
          </cell>
          <cell r="U44">
            <v>3.9</v>
          </cell>
          <cell r="V44">
            <v>1.3</v>
          </cell>
          <cell r="W44">
            <v>3.5</v>
          </cell>
          <cell r="X44">
            <v>0.4</v>
          </cell>
          <cell r="Y44">
            <v>3.3</v>
          </cell>
          <cell r="Z44">
            <v>2.2999999999999998</v>
          </cell>
          <cell r="AA44">
            <v>2.4</v>
          </cell>
          <cell r="AB44">
            <v>3.1</v>
          </cell>
          <cell r="AC44">
            <v>-1.9</v>
          </cell>
          <cell r="AD44">
            <v>1.4</v>
          </cell>
          <cell r="AE44">
            <v>2.2000000000000002</v>
          </cell>
          <cell r="AF44">
            <v>1.5</v>
          </cell>
          <cell r="AI44">
            <v>3599</v>
          </cell>
          <cell r="AJ44">
            <v>1094</v>
          </cell>
          <cell r="AK44">
            <v>171</v>
          </cell>
          <cell r="AL44">
            <v>1264</v>
          </cell>
          <cell r="AM44">
            <v>93</v>
          </cell>
          <cell r="AN44">
            <v>1357</v>
          </cell>
          <cell r="AO44">
            <v>161</v>
          </cell>
          <cell r="AP44">
            <v>243</v>
          </cell>
          <cell r="AQ44">
            <v>1761</v>
          </cell>
          <cell r="AR44">
            <v>1357</v>
          </cell>
          <cell r="AS44">
            <v>6717</v>
          </cell>
          <cell r="AT44">
            <v>586</v>
          </cell>
          <cell r="AU44">
            <v>-77</v>
          </cell>
          <cell r="AV44">
            <v>7226</v>
          </cell>
          <cell r="AY44">
            <v>1.3</v>
          </cell>
          <cell r="AZ44">
            <v>3.7</v>
          </cell>
          <cell r="BA44">
            <v>8.1999999999999993</v>
          </cell>
          <cell r="BB44">
            <v>4.3</v>
          </cell>
          <cell r="BC44">
            <v>0</v>
          </cell>
          <cell r="BD44">
            <v>4</v>
          </cell>
          <cell r="BE44">
            <v>2.2999999999999998</v>
          </cell>
          <cell r="BF44">
            <v>2.2999999999999998</v>
          </cell>
          <cell r="BG44">
            <v>3.6</v>
          </cell>
          <cell r="BH44">
            <v>6.5</v>
          </cell>
          <cell r="BI44">
            <v>2.9</v>
          </cell>
          <cell r="BJ44">
            <v>-0.7</v>
          </cell>
          <cell r="BK44">
            <v>2</v>
          </cell>
          <cell r="BN44">
            <v>3770</v>
          </cell>
          <cell r="BO44">
            <v>1223</v>
          </cell>
          <cell r="BP44">
            <v>200</v>
          </cell>
          <cell r="BQ44">
            <v>1423</v>
          </cell>
          <cell r="BR44">
            <v>93</v>
          </cell>
          <cell r="BS44">
            <v>1516</v>
          </cell>
          <cell r="BT44">
            <v>161</v>
          </cell>
          <cell r="BU44">
            <v>265</v>
          </cell>
          <cell r="BV44">
            <v>1943</v>
          </cell>
          <cell r="BW44">
            <v>1695</v>
          </cell>
          <cell r="BX44">
            <v>7407</v>
          </cell>
          <cell r="BY44">
            <v>557</v>
          </cell>
          <cell r="BZ44">
            <v>-41</v>
          </cell>
          <cell r="CA44">
            <v>7923</v>
          </cell>
          <cell r="CB44">
            <v>0</v>
          </cell>
          <cell r="CC44">
            <v>0</v>
          </cell>
          <cell r="CD44">
            <v>0</v>
          </cell>
          <cell r="CE44">
            <v>0</v>
          </cell>
          <cell r="CF44">
            <v>0</v>
          </cell>
          <cell r="CG44">
            <v>0</v>
          </cell>
          <cell r="CH44">
            <v>0</v>
          </cell>
          <cell r="CI44">
            <v>0</v>
          </cell>
          <cell r="CJ44">
            <v>0</v>
          </cell>
          <cell r="CK44">
            <v>0</v>
          </cell>
          <cell r="CL44">
            <v>0</v>
          </cell>
          <cell r="CM44">
            <v>0</v>
          </cell>
        </row>
        <row r="45">
          <cell r="A45">
            <v>24898</v>
          </cell>
          <cell r="D45">
            <v>3664</v>
          </cell>
          <cell r="E45">
            <v>1150</v>
          </cell>
          <cell r="F45">
            <v>173</v>
          </cell>
          <cell r="G45">
            <v>1323</v>
          </cell>
          <cell r="H45">
            <v>94</v>
          </cell>
          <cell r="I45">
            <v>1417</v>
          </cell>
          <cell r="J45">
            <v>165</v>
          </cell>
          <cell r="K45">
            <v>248</v>
          </cell>
          <cell r="L45">
            <v>1830</v>
          </cell>
          <cell r="M45">
            <v>1287</v>
          </cell>
          <cell r="N45">
            <v>6782</v>
          </cell>
          <cell r="O45">
            <v>613</v>
          </cell>
          <cell r="P45">
            <v>-54</v>
          </cell>
          <cell r="Q45">
            <v>7341</v>
          </cell>
          <cell r="T45">
            <v>1.8</v>
          </cell>
          <cell r="U45">
            <v>4.0999999999999996</v>
          </cell>
          <cell r="V45">
            <v>5.6</v>
          </cell>
          <cell r="W45">
            <v>4.3</v>
          </cell>
          <cell r="X45">
            <v>0.8</v>
          </cell>
          <cell r="Y45">
            <v>4.0999999999999996</v>
          </cell>
          <cell r="Z45">
            <v>2.4</v>
          </cell>
          <cell r="AA45">
            <v>2.2999999999999998</v>
          </cell>
          <cell r="AB45">
            <v>3.7</v>
          </cell>
          <cell r="AC45">
            <v>-0.3</v>
          </cell>
          <cell r="AD45">
            <v>1.9</v>
          </cell>
          <cell r="AE45">
            <v>2.2000000000000002</v>
          </cell>
          <cell r="AF45">
            <v>1.9</v>
          </cell>
          <cell r="AI45">
            <v>3638</v>
          </cell>
          <cell r="AJ45">
            <v>1183</v>
          </cell>
          <cell r="AK45">
            <v>159</v>
          </cell>
          <cell r="AL45">
            <v>1342</v>
          </cell>
          <cell r="AM45">
            <v>94</v>
          </cell>
          <cell r="AN45">
            <v>1436</v>
          </cell>
          <cell r="AO45">
            <v>165</v>
          </cell>
          <cell r="AP45">
            <v>248</v>
          </cell>
          <cell r="AQ45">
            <v>1848</v>
          </cell>
          <cell r="AR45">
            <v>1239</v>
          </cell>
          <cell r="AS45">
            <v>6725</v>
          </cell>
          <cell r="AT45">
            <v>626</v>
          </cell>
          <cell r="AU45">
            <v>-15</v>
          </cell>
          <cell r="AV45">
            <v>7337</v>
          </cell>
          <cell r="AY45">
            <v>1.1000000000000001</v>
          </cell>
          <cell r="AZ45">
            <v>8.1999999999999993</v>
          </cell>
          <cell r="BA45">
            <v>-7</v>
          </cell>
          <cell r="BB45">
            <v>6.1</v>
          </cell>
          <cell r="BC45">
            <v>1.1000000000000001</v>
          </cell>
          <cell r="BD45">
            <v>5.8</v>
          </cell>
          <cell r="BE45">
            <v>2.4</v>
          </cell>
          <cell r="BF45">
            <v>2</v>
          </cell>
          <cell r="BG45">
            <v>4.9000000000000004</v>
          </cell>
          <cell r="BH45">
            <v>-8.6999999999999993</v>
          </cell>
          <cell r="BI45">
            <v>0.1</v>
          </cell>
          <cell r="BJ45">
            <v>6.8</v>
          </cell>
          <cell r="BK45">
            <v>1.5</v>
          </cell>
          <cell r="BN45">
            <v>3552</v>
          </cell>
          <cell r="BO45">
            <v>1044</v>
          </cell>
          <cell r="BP45">
            <v>138</v>
          </cell>
          <cell r="BQ45">
            <v>1183</v>
          </cell>
          <cell r="BR45">
            <v>94</v>
          </cell>
          <cell r="BS45">
            <v>1277</v>
          </cell>
          <cell r="BT45">
            <v>165</v>
          </cell>
          <cell r="BU45">
            <v>243</v>
          </cell>
          <cell r="BV45">
            <v>1684</v>
          </cell>
          <cell r="BW45">
            <v>1176</v>
          </cell>
          <cell r="BX45">
            <v>6412</v>
          </cell>
          <cell r="BY45">
            <v>625</v>
          </cell>
          <cell r="BZ45">
            <v>-123</v>
          </cell>
          <cell r="CA45">
            <v>6914</v>
          </cell>
          <cell r="CB45">
            <v>0</v>
          </cell>
          <cell r="CC45">
            <v>0</v>
          </cell>
          <cell r="CD45">
            <v>0</v>
          </cell>
          <cell r="CE45">
            <v>0</v>
          </cell>
          <cell r="CF45">
            <v>0</v>
          </cell>
          <cell r="CG45">
            <v>0</v>
          </cell>
          <cell r="CH45">
            <v>0</v>
          </cell>
          <cell r="CI45">
            <v>0</v>
          </cell>
          <cell r="CJ45">
            <v>1</v>
          </cell>
          <cell r="CK45">
            <v>0</v>
          </cell>
          <cell r="CL45">
            <v>0</v>
          </cell>
          <cell r="CM45">
            <v>0</v>
          </cell>
        </row>
        <row r="46">
          <cell r="A46">
            <v>24990</v>
          </cell>
          <cell r="D46">
            <v>3748</v>
          </cell>
          <cell r="E46">
            <v>1185</v>
          </cell>
          <cell r="F46">
            <v>185</v>
          </cell>
          <cell r="G46">
            <v>1371</v>
          </cell>
          <cell r="H46">
            <v>95</v>
          </cell>
          <cell r="I46">
            <v>1465</v>
          </cell>
          <cell r="J46">
            <v>169</v>
          </cell>
          <cell r="K46">
            <v>254</v>
          </cell>
          <cell r="L46">
            <v>1888</v>
          </cell>
          <cell r="M46">
            <v>1333</v>
          </cell>
          <cell r="N46">
            <v>6969</v>
          </cell>
          <cell r="O46">
            <v>624</v>
          </cell>
          <cell r="P46">
            <v>-57</v>
          </cell>
          <cell r="Q46">
            <v>7536</v>
          </cell>
          <cell r="T46">
            <v>2.2999999999999998</v>
          </cell>
          <cell r="U46">
            <v>3</v>
          </cell>
          <cell r="V46">
            <v>7.3</v>
          </cell>
          <cell r="W46">
            <v>3.6</v>
          </cell>
          <cell r="X46">
            <v>0.4</v>
          </cell>
          <cell r="Y46">
            <v>3.4</v>
          </cell>
          <cell r="Z46">
            <v>2.5</v>
          </cell>
          <cell r="AA46">
            <v>2.4</v>
          </cell>
          <cell r="AB46">
            <v>3.2</v>
          </cell>
          <cell r="AC46">
            <v>3.5</v>
          </cell>
          <cell r="AD46">
            <v>2.8</v>
          </cell>
          <cell r="AE46">
            <v>1.9</v>
          </cell>
          <cell r="AF46">
            <v>2.7</v>
          </cell>
          <cell r="AI46">
            <v>3791</v>
          </cell>
          <cell r="AJ46">
            <v>1163</v>
          </cell>
          <cell r="AK46">
            <v>196</v>
          </cell>
          <cell r="AL46">
            <v>1359</v>
          </cell>
          <cell r="AM46">
            <v>96</v>
          </cell>
          <cell r="AN46">
            <v>1455</v>
          </cell>
          <cell r="AO46">
            <v>169</v>
          </cell>
          <cell r="AP46">
            <v>253</v>
          </cell>
          <cell r="AQ46">
            <v>1878</v>
          </cell>
          <cell r="AR46">
            <v>1324</v>
          </cell>
          <cell r="AS46">
            <v>6993</v>
          </cell>
          <cell r="AT46">
            <v>628</v>
          </cell>
          <cell r="AU46">
            <v>-98</v>
          </cell>
          <cell r="AV46">
            <v>7523</v>
          </cell>
          <cell r="AY46">
            <v>4.2</v>
          </cell>
          <cell r="AZ46">
            <v>-1.7</v>
          </cell>
          <cell r="BA46">
            <v>23.6</v>
          </cell>
          <cell r="BB46">
            <v>1.3</v>
          </cell>
          <cell r="BC46">
            <v>2.1</v>
          </cell>
          <cell r="BD46">
            <v>1.4</v>
          </cell>
          <cell r="BE46">
            <v>2.5</v>
          </cell>
          <cell r="BF46">
            <v>2.2999999999999998</v>
          </cell>
          <cell r="BG46">
            <v>1.6</v>
          </cell>
          <cell r="BH46">
            <v>6.8</v>
          </cell>
          <cell r="BI46">
            <v>4</v>
          </cell>
          <cell r="BJ46">
            <v>0.3</v>
          </cell>
          <cell r="BK46">
            <v>2.5</v>
          </cell>
          <cell r="BN46">
            <v>3712</v>
          </cell>
          <cell r="BO46">
            <v>1135</v>
          </cell>
          <cell r="BP46">
            <v>167</v>
          </cell>
          <cell r="BQ46">
            <v>1303</v>
          </cell>
          <cell r="BR46">
            <v>96</v>
          </cell>
          <cell r="BS46">
            <v>1399</v>
          </cell>
          <cell r="BT46">
            <v>169</v>
          </cell>
          <cell r="BU46">
            <v>215</v>
          </cell>
          <cell r="BV46">
            <v>1783</v>
          </cell>
          <cell r="BW46">
            <v>1080</v>
          </cell>
          <cell r="BX46">
            <v>6574</v>
          </cell>
          <cell r="BY46">
            <v>681</v>
          </cell>
          <cell r="BZ46">
            <v>72</v>
          </cell>
          <cell r="CA46">
            <v>7328</v>
          </cell>
          <cell r="CB46">
            <v>0</v>
          </cell>
          <cell r="CC46">
            <v>0</v>
          </cell>
          <cell r="CD46">
            <v>0</v>
          </cell>
          <cell r="CE46">
            <v>0</v>
          </cell>
          <cell r="CF46">
            <v>0</v>
          </cell>
          <cell r="CG46">
            <v>0</v>
          </cell>
          <cell r="CH46">
            <v>0</v>
          </cell>
          <cell r="CI46">
            <v>0</v>
          </cell>
          <cell r="CJ46">
            <v>0</v>
          </cell>
          <cell r="CK46">
            <v>0</v>
          </cell>
          <cell r="CL46">
            <v>0</v>
          </cell>
          <cell r="CM46">
            <v>1</v>
          </cell>
        </row>
        <row r="47">
          <cell r="A47">
            <v>25082</v>
          </cell>
          <cell r="D47">
            <v>3861</v>
          </cell>
          <cell r="E47">
            <v>1217</v>
          </cell>
          <cell r="F47">
            <v>196</v>
          </cell>
          <cell r="G47">
            <v>1413</v>
          </cell>
          <cell r="H47">
            <v>95</v>
          </cell>
          <cell r="I47">
            <v>1508</v>
          </cell>
          <cell r="J47">
            <v>173</v>
          </cell>
          <cell r="K47">
            <v>264</v>
          </cell>
          <cell r="L47">
            <v>1945</v>
          </cell>
          <cell r="M47">
            <v>1409</v>
          </cell>
          <cell r="N47">
            <v>7215</v>
          </cell>
          <cell r="O47">
            <v>634</v>
          </cell>
          <cell r="P47">
            <v>-55</v>
          </cell>
          <cell r="Q47">
            <v>7794</v>
          </cell>
          <cell r="T47">
            <v>3</v>
          </cell>
          <cell r="U47">
            <v>2.7</v>
          </cell>
          <cell r="V47">
            <v>5.8</v>
          </cell>
          <cell r="W47">
            <v>3.1</v>
          </cell>
          <cell r="X47">
            <v>0.1</v>
          </cell>
          <cell r="Y47">
            <v>2.9</v>
          </cell>
          <cell r="Z47">
            <v>2.5</v>
          </cell>
          <cell r="AA47">
            <v>4</v>
          </cell>
          <cell r="AB47">
            <v>3</v>
          </cell>
          <cell r="AC47">
            <v>5.7</v>
          </cell>
          <cell r="AD47">
            <v>3.5</v>
          </cell>
          <cell r="AE47">
            <v>1.6</v>
          </cell>
          <cell r="AF47">
            <v>3.4</v>
          </cell>
          <cell r="AI47">
            <v>3805</v>
          </cell>
          <cell r="AJ47">
            <v>1223</v>
          </cell>
          <cell r="AK47">
            <v>194</v>
          </cell>
          <cell r="AL47">
            <v>1417</v>
          </cell>
          <cell r="AM47">
            <v>94</v>
          </cell>
          <cell r="AN47">
            <v>1511</v>
          </cell>
          <cell r="AO47">
            <v>173</v>
          </cell>
          <cell r="AP47">
            <v>263</v>
          </cell>
          <cell r="AQ47">
            <v>1947</v>
          </cell>
          <cell r="AR47">
            <v>1403</v>
          </cell>
          <cell r="AS47">
            <v>7155</v>
          </cell>
          <cell r="AT47">
            <v>618</v>
          </cell>
          <cell r="AU47">
            <v>-26</v>
          </cell>
          <cell r="AV47">
            <v>7748</v>
          </cell>
          <cell r="AY47">
            <v>0.4</v>
          </cell>
          <cell r="AZ47">
            <v>5.0999999999999996</v>
          </cell>
          <cell r="BA47">
            <v>-1</v>
          </cell>
          <cell r="BB47">
            <v>4.2</v>
          </cell>
          <cell r="BC47">
            <v>-2.1</v>
          </cell>
          <cell r="BD47">
            <v>3.8</v>
          </cell>
          <cell r="BE47">
            <v>2.5</v>
          </cell>
          <cell r="BF47">
            <v>3.7</v>
          </cell>
          <cell r="BG47">
            <v>3.7</v>
          </cell>
          <cell r="BH47">
            <v>6</v>
          </cell>
          <cell r="BI47">
            <v>2.2999999999999998</v>
          </cell>
          <cell r="BJ47">
            <v>-1.5</v>
          </cell>
          <cell r="BK47">
            <v>3</v>
          </cell>
          <cell r="BN47">
            <v>3868</v>
          </cell>
          <cell r="BO47">
            <v>1247</v>
          </cell>
          <cell r="BP47">
            <v>213</v>
          </cell>
          <cell r="BQ47">
            <v>1460</v>
          </cell>
          <cell r="BR47">
            <v>94</v>
          </cell>
          <cell r="BS47">
            <v>1554</v>
          </cell>
          <cell r="BT47">
            <v>173</v>
          </cell>
          <cell r="BU47">
            <v>284</v>
          </cell>
          <cell r="BV47">
            <v>2012</v>
          </cell>
          <cell r="BW47">
            <v>1363</v>
          </cell>
          <cell r="BX47">
            <v>7243</v>
          </cell>
          <cell r="BY47">
            <v>600</v>
          </cell>
          <cell r="BZ47">
            <v>-175</v>
          </cell>
          <cell r="CA47">
            <v>7667</v>
          </cell>
          <cell r="CB47">
            <v>0</v>
          </cell>
          <cell r="CC47">
            <v>0</v>
          </cell>
          <cell r="CD47">
            <v>0</v>
          </cell>
          <cell r="CE47">
            <v>0</v>
          </cell>
          <cell r="CF47">
            <v>0</v>
          </cell>
          <cell r="CG47">
            <v>0</v>
          </cell>
          <cell r="CH47">
            <v>0</v>
          </cell>
          <cell r="CI47">
            <v>0</v>
          </cell>
          <cell r="CJ47">
            <v>0</v>
          </cell>
          <cell r="CK47">
            <v>0</v>
          </cell>
          <cell r="CL47">
            <v>2</v>
          </cell>
          <cell r="CM47">
            <v>2</v>
          </cell>
        </row>
        <row r="48">
          <cell r="A48">
            <v>25173</v>
          </cell>
          <cell r="D48">
            <v>3984</v>
          </cell>
          <cell r="E48">
            <v>1255</v>
          </cell>
          <cell r="F48">
            <v>201</v>
          </cell>
          <cell r="G48">
            <v>1456</v>
          </cell>
          <cell r="H48">
            <v>96</v>
          </cell>
          <cell r="I48">
            <v>1553</v>
          </cell>
          <cell r="J48">
            <v>177</v>
          </cell>
          <cell r="K48">
            <v>275</v>
          </cell>
          <cell r="L48">
            <v>2005</v>
          </cell>
          <cell r="M48">
            <v>1466</v>
          </cell>
          <cell r="N48">
            <v>7455</v>
          </cell>
          <cell r="O48">
            <v>646</v>
          </cell>
          <cell r="P48">
            <v>-36</v>
          </cell>
          <cell r="Q48">
            <v>8065</v>
          </cell>
          <cell r="T48">
            <v>3.2</v>
          </cell>
          <cell r="U48">
            <v>3.1</v>
          </cell>
          <cell r="V48">
            <v>2.6</v>
          </cell>
          <cell r="W48">
            <v>3.1</v>
          </cell>
          <cell r="X48">
            <v>1.6</v>
          </cell>
          <cell r="Y48">
            <v>3</v>
          </cell>
          <cell r="Z48">
            <v>2.4</v>
          </cell>
          <cell r="AA48">
            <v>4.3</v>
          </cell>
          <cell r="AB48">
            <v>3.1</v>
          </cell>
          <cell r="AC48">
            <v>4</v>
          </cell>
          <cell r="AD48">
            <v>3.3</v>
          </cell>
          <cell r="AE48">
            <v>1.8</v>
          </cell>
          <cell r="AF48">
            <v>3.5</v>
          </cell>
          <cell r="AI48">
            <v>4021</v>
          </cell>
          <cell r="AJ48">
            <v>1253</v>
          </cell>
          <cell r="AK48">
            <v>200</v>
          </cell>
          <cell r="AL48">
            <v>1453</v>
          </cell>
          <cell r="AM48">
            <v>96</v>
          </cell>
          <cell r="AN48">
            <v>1549</v>
          </cell>
          <cell r="AO48">
            <v>177</v>
          </cell>
          <cell r="AP48">
            <v>273</v>
          </cell>
          <cell r="AQ48">
            <v>2000</v>
          </cell>
          <cell r="AR48">
            <v>1534</v>
          </cell>
          <cell r="AS48">
            <v>7555</v>
          </cell>
          <cell r="AT48">
            <v>661</v>
          </cell>
          <cell r="AU48">
            <v>-56</v>
          </cell>
          <cell r="AV48">
            <v>8160</v>
          </cell>
          <cell r="AY48">
            <v>5.7</v>
          </cell>
          <cell r="AZ48">
            <v>2.5</v>
          </cell>
          <cell r="BA48">
            <v>3.1</v>
          </cell>
          <cell r="BB48">
            <v>2.6</v>
          </cell>
          <cell r="BC48">
            <v>2.1</v>
          </cell>
          <cell r="BD48">
            <v>2.5</v>
          </cell>
          <cell r="BE48">
            <v>2.4</v>
          </cell>
          <cell r="BF48">
            <v>4</v>
          </cell>
          <cell r="BG48">
            <v>2.7</v>
          </cell>
          <cell r="BH48">
            <v>9.4</v>
          </cell>
          <cell r="BI48">
            <v>5.6</v>
          </cell>
          <cell r="BJ48">
            <v>6.9</v>
          </cell>
          <cell r="BK48">
            <v>5.3</v>
          </cell>
          <cell r="BN48">
            <v>4180</v>
          </cell>
          <cell r="BO48">
            <v>1411</v>
          </cell>
          <cell r="BP48">
            <v>234</v>
          </cell>
          <cell r="BQ48">
            <v>1645</v>
          </cell>
          <cell r="BR48">
            <v>96</v>
          </cell>
          <cell r="BS48">
            <v>1741</v>
          </cell>
          <cell r="BT48">
            <v>177</v>
          </cell>
          <cell r="BU48">
            <v>298</v>
          </cell>
          <cell r="BV48">
            <v>2216</v>
          </cell>
          <cell r="BW48">
            <v>1916</v>
          </cell>
          <cell r="BX48">
            <v>8313</v>
          </cell>
          <cell r="BY48">
            <v>647</v>
          </cell>
          <cell r="BZ48">
            <v>-11</v>
          </cell>
          <cell r="CA48">
            <v>8949</v>
          </cell>
          <cell r="CB48">
            <v>0</v>
          </cell>
          <cell r="CC48">
            <v>0</v>
          </cell>
          <cell r="CD48">
            <v>0</v>
          </cell>
          <cell r="CE48">
            <v>0</v>
          </cell>
          <cell r="CF48">
            <v>0</v>
          </cell>
          <cell r="CG48">
            <v>0</v>
          </cell>
          <cell r="CH48">
            <v>0</v>
          </cell>
          <cell r="CI48">
            <v>0</v>
          </cell>
          <cell r="CJ48">
            <v>0</v>
          </cell>
          <cell r="CK48">
            <v>0</v>
          </cell>
          <cell r="CL48">
            <v>1</v>
          </cell>
          <cell r="CM48">
            <v>1</v>
          </cell>
        </row>
        <row r="49">
          <cell r="A49">
            <v>25263</v>
          </cell>
          <cell r="D49">
            <v>4103</v>
          </cell>
          <cell r="E49">
            <v>1308</v>
          </cell>
          <cell r="F49">
            <v>200</v>
          </cell>
          <cell r="G49">
            <v>1508</v>
          </cell>
          <cell r="H49">
            <v>102</v>
          </cell>
          <cell r="I49">
            <v>1609</v>
          </cell>
          <cell r="J49">
            <v>182</v>
          </cell>
          <cell r="K49">
            <v>283</v>
          </cell>
          <cell r="L49">
            <v>2074</v>
          </cell>
          <cell r="M49">
            <v>1478</v>
          </cell>
          <cell r="N49">
            <v>7655</v>
          </cell>
          <cell r="O49">
            <v>665</v>
          </cell>
          <cell r="P49">
            <v>-5</v>
          </cell>
          <cell r="Q49">
            <v>8316</v>
          </cell>
          <cell r="T49">
            <v>3</v>
          </cell>
          <cell r="U49">
            <v>4.2</v>
          </cell>
          <cell r="V49">
            <v>-0.7</v>
          </cell>
          <cell r="W49">
            <v>3.5</v>
          </cell>
          <cell r="X49">
            <v>5.9</v>
          </cell>
          <cell r="Y49">
            <v>3.7</v>
          </cell>
          <cell r="Z49">
            <v>2.4</v>
          </cell>
          <cell r="AA49">
            <v>3</v>
          </cell>
          <cell r="AB49">
            <v>3.5</v>
          </cell>
          <cell r="AC49">
            <v>0.8</v>
          </cell>
          <cell r="AD49">
            <v>2.7</v>
          </cell>
          <cell r="AE49">
            <v>3</v>
          </cell>
          <cell r="AF49">
            <v>3.1</v>
          </cell>
          <cell r="AI49">
            <v>4105</v>
          </cell>
          <cell r="AJ49">
            <v>1313</v>
          </cell>
          <cell r="AK49">
            <v>202</v>
          </cell>
          <cell r="AL49">
            <v>1515</v>
          </cell>
          <cell r="AM49">
            <v>101</v>
          </cell>
          <cell r="AN49">
            <v>1616</v>
          </cell>
          <cell r="AO49">
            <v>182</v>
          </cell>
          <cell r="AP49">
            <v>291</v>
          </cell>
          <cell r="AQ49">
            <v>2089</v>
          </cell>
          <cell r="AR49">
            <v>1436</v>
          </cell>
          <cell r="AS49">
            <v>7630</v>
          </cell>
          <cell r="AT49">
            <v>658</v>
          </cell>
          <cell r="AU49">
            <v>-16</v>
          </cell>
          <cell r="AV49">
            <v>8272</v>
          </cell>
          <cell r="AY49">
            <v>2.1</v>
          </cell>
          <cell r="AZ49">
            <v>4.8</v>
          </cell>
          <cell r="BA49">
            <v>0.7</v>
          </cell>
          <cell r="BB49">
            <v>4.2</v>
          </cell>
          <cell r="BC49">
            <v>5.2</v>
          </cell>
          <cell r="BD49">
            <v>4.3</v>
          </cell>
          <cell r="BE49">
            <v>2.4</v>
          </cell>
          <cell r="BF49">
            <v>6.6</v>
          </cell>
          <cell r="BG49">
            <v>4.4000000000000004</v>
          </cell>
          <cell r="BH49">
            <v>-6.4</v>
          </cell>
          <cell r="BI49">
            <v>1</v>
          </cell>
          <cell r="BJ49">
            <v>-0.4</v>
          </cell>
          <cell r="BK49">
            <v>1.4</v>
          </cell>
          <cell r="BN49">
            <v>3914</v>
          </cell>
          <cell r="BO49">
            <v>1158</v>
          </cell>
          <cell r="BP49">
            <v>175</v>
          </cell>
          <cell r="BQ49">
            <v>1333</v>
          </cell>
          <cell r="BR49">
            <v>101</v>
          </cell>
          <cell r="BS49">
            <v>1434</v>
          </cell>
          <cell r="BT49">
            <v>182</v>
          </cell>
          <cell r="BU49">
            <v>285</v>
          </cell>
          <cell r="BV49">
            <v>1901</v>
          </cell>
          <cell r="BW49">
            <v>1397</v>
          </cell>
          <cell r="BX49">
            <v>7212</v>
          </cell>
          <cell r="BY49">
            <v>648</v>
          </cell>
          <cell r="BZ49">
            <v>-20</v>
          </cell>
          <cell r="CA49">
            <v>7839</v>
          </cell>
          <cell r="CB49">
            <v>0</v>
          </cell>
          <cell r="CC49">
            <v>0</v>
          </cell>
          <cell r="CD49">
            <v>0</v>
          </cell>
          <cell r="CE49">
            <v>0</v>
          </cell>
          <cell r="CF49">
            <v>-1</v>
          </cell>
          <cell r="CG49">
            <v>0</v>
          </cell>
          <cell r="CH49">
            <v>0</v>
          </cell>
          <cell r="CI49">
            <v>0</v>
          </cell>
          <cell r="CJ49">
            <v>0</v>
          </cell>
          <cell r="CK49">
            <v>0</v>
          </cell>
          <cell r="CL49">
            <v>-1</v>
          </cell>
          <cell r="CM49">
            <v>0</v>
          </cell>
        </row>
        <row r="50">
          <cell r="A50">
            <v>25355</v>
          </cell>
          <cell r="D50">
            <v>4214</v>
          </cell>
          <cell r="E50">
            <v>1367</v>
          </cell>
          <cell r="F50">
            <v>200</v>
          </cell>
          <cell r="G50">
            <v>1566</v>
          </cell>
          <cell r="H50">
            <v>112</v>
          </cell>
          <cell r="I50">
            <v>1678</v>
          </cell>
          <cell r="J50">
            <v>186</v>
          </cell>
          <cell r="K50">
            <v>289</v>
          </cell>
          <cell r="L50">
            <v>2153</v>
          </cell>
          <cell r="M50">
            <v>1501</v>
          </cell>
          <cell r="N50">
            <v>7868</v>
          </cell>
          <cell r="O50">
            <v>690</v>
          </cell>
          <cell r="P50">
            <v>-2</v>
          </cell>
          <cell r="Q50">
            <v>8556</v>
          </cell>
          <cell r="T50">
            <v>2.7</v>
          </cell>
          <cell r="U50">
            <v>4.5</v>
          </cell>
          <cell r="V50">
            <v>-0.2</v>
          </cell>
          <cell r="W50">
            <v>3.9</v>
          </cell>
          <cell r="X50">
            <v>10.199999999999999</v>
          </cell>
          <cell r="Y50">
            <v>4.3</v>
          </cell>
          <cell r="Z50">
            <v>2.2999999999999998</v>
          </cell>
          <cell r="AA50">
            <v>2</v>
          </cell>
          <cell r="AB50">
            <v>3.8</v>
          </cell>
          <cell r="AC50">
            <v>1.6</v>
          </cell>
          <cell r="AD50">
            <v>2.8</v>
          </cell>
          <cell r="AE50">
            <v>3.8</v>
          </cell>
          <cell r="AF50">
            <v>2.9</v>
          </cell>
          <cell r="AI50">
            <v>4205</v>
          </cell>
          <cell r="AJ50">
            <v>1352</v>
          </cell>
          <cell r="AK50">
            <v>199</v>
          </cell>
          <cell r="AL50">
            <v>1551</v>
          </cell>
          <cell r="AM50">
            <v>111</v>
          </cell>
          <cell r="AN50">
            <v>1662</v>
          </cell>
          <cell r="AO50">
            <v>186</v>
          </cell>
          <cell r="AP50">
            <v>284</v>
          </cell>
          <cell r="AQ50">
            <v>2132</v>
          </cell>
          <cell r="AR50">
            <v>1470</v>
          </cell>
          <cell r="AS50">
            <v>7807</v>
          </cell>
          <cell r="AT50">
            <v>686</v>
          </cell>
          <cell r="AU50">
            <v>39</v>
          </cell>
          <cell r="AV50">
            <v>8532</v>
          </cell>
          <cell r="AY50">
            <v>2.4</v>
          </cell>
          <cell r="AZ50">
            <v>2.9</v>
          </cell>
          <cell r="BA50">
            <v>-1.3</v>
          </cell>
          <cell r="BB50">
            <v>2.4</v>
          </cell>
          <cell r="BC50">
            <v>9.9</v>
          </cell>
          <cell r="BD50">
            <v>2.8</v>
          </cell>
          <cell r="BE50">
            <v>2.4</v>
          </cell>
          <cell r="BF50">
            <v>-2.5</v>
          </cell>
          <cell r="BG50">
            <v>2.1</v>
          </cell>
          <cell r="BH50">
            <v>2.2999999999999998</v>
          </cell>
          <cell r="BI50">
            <v>2.2999999999999998</v>
          </cell>
          <cell r="BJ50">
            <v>4.3</v>
          </cell>
          <cell r="BK50">
            <v>3.1</v>
          </cell>
          <cell r="BN50">
            <v>4154</v>
          </cell>
          <cell r="BO50">
            <v>1308</v>
          </cell>
          <cell r="BP50">
            <v>170</v>
          </cell>
          <cell r="BQ50">
            <v>1478</v>
          </cell>
          <cell r="BR50">
            <v>111</v>
          </cell>
          <cell r="BS50">
            <v>1589</v>
          </cell>
          <cell r="BT50">
            <v>186</v>
          </cell>
          <cell r="BU50">
            <v>243</v>
          </cell>
          <cell r="BV50">
            <v>2017</v>
          </cell>
          <cell r="BW50">
            <v>1166</v>
          </cell>
          <cell r="BX50">
            <v>7336</v>
          </cell>
          <cell r="BY50">
            <v>732</v>
          </cell>
          <cell r="BZ50">
            <v>188</v>
          </cell>
          <cell r="CA50">
            <v>8256</v>
          </cell>
          <cell r="CB50">
            <v>0</v>
          </cell>
          <cell r="CC50">
            <v>0</v>
          </cell>
          <cell r="CD50">
            <v>0</v>
          </cell>
          <cell r="CE50">
            <v>0</v>
          </cell>
          <cell r="CF50">
            <v>0</v>
          </cell>
          <cell r="CG50">
            <v>0</v>
          </cell>
          <cell r="CH50">
            <v>0</v>
          </cell>
          <cell r="CI50">
            <v>0</v>
          </cell>
          <cell r="CJ50">
            <v>0</v>
          </cell>
          <cell r="CK50">
            <v>0</v>
          </cell>
          <cell r="CL50">
            <v>-3</v>
          </cell>
          <cell r="CM50">
            <v>-3</v>
          </cell>
        </row>
        <row r="51">
          <cell r="A51">
            <v>25447</v>
          </cell>
          <cell r="D51">
            <v>4326</v>
          </cell>
          <cell r="E51">
            <v>1428</v>
          </cell>
          <cell r="F51">
            <v>200</v>
          </cell>
          <cell r="G51">
            <v>1628</v>
          </cell>
          <cell r="H51">
            <v>124</v>
          </cell>
          <cell r="I51">
            <v>1753</v>
          </cell>
          <cell r="J51">
            <v>190</v>
          </cell>
          <cell r="K51">
            <v>297</v>
          </cell>
          <cell r="L51">
            <v>2240</v>
          </cell>
          <cell r="M51">
            <v>1543</v>
          </cell>
          <cell r="N51">
            <v>8108</v>
          </cell>
          <cell r="O51">
            <v>713</v>
          </cell>
          <cell r="P51">
            <v>-23</v>
          </cell>
          <cell r="Q51">
            <v>8798</v>
          </cell>
          <cell r="T51">
            <v>2.7</v>
          </cell>
          <cell r="U51">
            <v>4.5</v>
          </cell>
          <cell r="V51">
            <v>0.3</v>
          </cell>
          <cell r="W51">
            <v>4</v>
          </cell>
          <cell r="X51">
            <v>10.8</v>
          </cell>
          <cell r="Y51">
            <v>4.4000000000000004</v>
          </cell>
          <cell r="Z51">
            <v>2.2000000000000002</v>
          </cell>
          <cell r="AA51">
            <v>2.8</v>
          </cell>
          <cell r="AB51">
            <v>4</v>
          </cell>
          <cell r="AC51">
            <v>2.8</v>
          </cell>
          <cell r="AD51">
            <v>3.1</v>
          </cell>
          <cell r="AE51">
            <v>3.3</v>
          </cell>
          <cell r="AF51">
            <v>2.8</v>
          </cell>
          <cell r="AI51">
            <v>4328</v>
          </cell>
          <cell r="AJ51">
            <v>1444</v>
          </cell>
          <cell r="AK51">
            <v>197</v>
          </cell>
          <cell r="AL51">
            <v>1641</v>
          </cell>
          <cell r="AM51">
            <v>126</v>
          </cell>
          <cell r="AN51">
            <v>1767</v>
          </cell>
          <cell r="AO51">
            <v>190</v>
          </cell>
          <cell r="AP51">
            <v>295</v>
          </cell>
          <cell r="AQ51">
            <v>2251</v>
          </cell>
          <cell r="AR51">
            <v>1576</v>
          </cell>
          <cell r="AS51">
            <v>8155</v>
          </cell>
          <cell r="AT51">
            <v>718</v>
          </cell>
          <cell r="AU51">
            <v>-36</v>
          </cell>
          <cell r="AV51">
            <v>8838</v>
          </cell>
          <cell r="AY51">
            <v>2.9</v>
          </cell>
          <cell r="AZ51">
            <v>6.8</v>
          </cell>
          <cell r="BA51">
            <v>-1</v>
          </cell>
          <cell r="BB51">
            <v>5.8</v>
          </cell>
          <cell r="BC51">
            <v>13.5</v>
          </cell>
          <cell r="BD51">
            <v>6.3</v>
          </cell>
          <cell r="BE51">
            <v>2.1</v>
          </cell>
          <cell r="BF51">
            <v>3.7</v>
          </cell>
          <cell r="BG51">
            <v>5.6</v>
          </cell>
          <cell r="BH51">
            <v>7.2</v>
          </cell>
          <cell r="BI51">
            <v>4.5</v>
          </cell>
          <cell r="BJ51">
            <v>4.7</v>
          </cell>
          <cell r="BK51">
            <v>3.6</v>
          </cell>
          <cell r="BN51">
            <v>4382</v>
          </cell>
          <cell r="BO51">
            <v>1476</v>
          </cell>
          <cell r="BP51">
            <v>217</v>
          </cell>
          <cell r="BQ51">
            <v>1692</v>
          </cell>
          <cell r="BR51">
            <v>126</v>
          </cell>
          <cell r="BS51">
            <v>1818</v>
          </cell>
          <cell r="BT51">
            <v>190</v>
          </cell>
          <cell r="BU51">
            <v>318</v>
          </cell>
          <cell r="BV51">
            <v>2326</v>
          </cell>
          <cell r="BW51">
            <v>1546</v>
          </cell>
          <cell r="BX51">
            <v>8255</v>
          </cell>
          <cell r="BY51">
            <v>695</v>
          </cell>
          <cell r="BZ51">
            <v>-163</v>
          </cell>
          <cell r="CA51">
            <v>8787</v>
          </cell>
          <cell r="CB51">
            <v>0</v>
          </cell>
          <cell r="CC51">
            <v>0</v>
          </cell>
          <cell r="CD51">
            <v>0</v>
          </cell>
          <cell r="CE51">
            <v>0</v>
          </cell>
          <cell r="CF51">
            <v>0</v>
          </cell>
          <cell r="CG51">
            <v>0</v>
          </cell>
          <cell r="CH51">
            <v>0</v>
          </cell>
          <cell r="CI51">
            <v>0</v>
          </cell>
          <cell r="CJ51">
            <v>0</v>
          </cell>
          <cell r="CK51">
            <v>0</v>
          </cell>
          <cell r="CL51">
            <v>-9</v>
          </cell>
          <cell r="CM51">
            <v>-9</v>
          </cell>
        </row>
        <row r="52">
          <cell r="A52">
            <v>25538</v>
          </cell>
          <cell r="D52">
            <v>4467</v>
          </cell>
          <cell r="E52">
            <v>1490</v>
          </cell>
          <cell r="F52">
            <v>203</v>
          </cell>
          <cell r="G52">
            <v>1693</v>
          </cell>
          <cell r="H52">
            <v>135</v>
          </cell>
          <cell r="I52">
            <v>1828</v>
          </cell>
          <cell r="J52">
            <v>194</v>
          </cell>
          <cell r="K52">
            <v>310</v>
          </cell>
          <cell r="L52">
            <v>2332</v>
          </cell>
          <cell r="M52">
            <v>1601</v>
          </cell>
          <cell r="N52">
            <v>8400</v>
          </cell>
          <cell r="O52">
            <v>731</v>
          </cell>
          <cell r="P52">
            <v>-61</v>
          </cell>
          <cell r="Q52">
            <v>9070</v>
          </cell>
          <cell r="T52">
            <v>3.2</v>
          </cell>
          <cell r="U52">
            <v>4.3</v>
          </cell>
          <cell r="V52">
            <v>1.3</v>
          </cell>
          <cell r="W52">
            <v>4</v>
          </cell>
          <cell r="X52">
            <v>8.5</v>
          </cell>
          <cell r="Y52">
            <v>4.3</v>
          </cell>
          <cell r="Z52">
            <v>2.2999999999999998</v>
          </cell>
          <cell r="AA52">
            <v>4.4000000000000004</v>
          </cell>
          <cell r="AB52">
            <v>4.0999999999999996</v>
          </cell>
          <cell r="AC52">
            <v>3.8</v>
          </cell>
          <cell r="AD52">
            <v>3.6</v>
          </cell>
          <cell r="AE52">
            <v>2.6</v>
          </cell>
          <cell r="AF52">
            <v>3.1</v>
          </cell>
          <cell r="AI52">
            <v>4450</v>
          </cell>
          <cell r="AJ52">
            <v>1487</v>
          </cell>
          <cell r="AK52">
            <v>206</v>
          </cell>
          <cell r="AL52">
            <v>1692</v>
          </cell>
          <cell r="AM52">
            <v>135</v>
          </cell>
          <cell r="AN52">
            <v>1827</v>
          </cell>
          <cell r="AO52">
            <v>194</v>
          </cell>
          <cell r="AP52">
            <v>312</v>
          </cell>
          <cell r="AQ52">
            <v>2334</v>
          </cell>
          <cell r="AR52">
            <v>1609</v>
          </cell>
          <cell r="AS52">
            <v>8393</v>
          </cell>
          <cell r="AT52">
            <v>738</v>
          </cell>
          <cell r="AU52">
            <v>-74</v>
          </cell>
          <cell r="AV52">
            <v>9058</v>
          </cell>
          <cell r="AY52">
            <v>2.8</v>
          </cell>
          <cell r="AZ52">
            <v>3</v>
          </cell>
          <cell r="BA52">
            <v>4.4000000000000004</v>
          </cell>
          <cell r="BB52">
            <v>3.1</v>
          </cell>
          <cell r="BC52">
            <v>7.1</v>
          </cell>
          <cell r="BD52">
            <v>3.4</v>
          </cell>
          <cell r="BE52">
            <v>2.2999999999999998</v>
          </cell>
          <cell r="BF52">
            <v>6</v>
          </cell>
          <cell r="BG52">
            <v>3.7</v>
          </cell>
          <cell r="BH52">
            <v>2.1</v>
          </cell>
          <cell r="BI52">
            <v>2.9</v>
          </cell>
          <cell r="BJ52">
            <v>2.8</v>
          </cell>
          <cell r="BK52">
            <v>2.5</v>
          </cell>
          <cell r="BN52">
            <v>4785</v>
          </cell>
          <cell r="BO52">
            <v>1687</v>
          </cell>
          <cell r="BP52">
            <v>239</v>
          </cell>
          <cell r="BQ52">
            <v>1926</v>
          </cell>
          <cell r="BR52">
            <v>135</v>
          </cell>
          <cell r="BS52">
            <v>2061</v>
          </cell>
          <cell r="BT52">
            <v>194</v>
          </cell>
          <cell r="BU52">
            <v>340</v>
          </cell>
          <cell r="BV52">
            <v>2595</v>
          </cell>
          <cell r="BW52">
            <v>1880</v>
          </cell>
          <cell r="BX52">
            <v>9261</v>
          </cell>
          <cell r="BY52">
            <v>737</v>
          </cell>
          <cell r="BZ52">
            <v>-203</v>
          </cell>
          <cell r="CA52">
            <v>9795</v>
          </cell>
          <cell r="CB52">
            <v>0</v>
          </cell>
          <cell r="CC52">
            <v>0</v>
          </cell>
          <cell r="CD52">
            <v>0</v>
          </cell>
          <cell r="CE52">
            <v>0</v>
          </cell>
          <cell r="CF52">
            <v>0</v>
          </cell>
          <cell r="CG52">
            <v>0</v>
          </cell>
          <cell r="CH52">
            <v>0</v>
          </cell>
          <cell r="CI52">
            <v>0</v>
          </cell>
          <cell r="CJ52">
            <v>0</v>
          </cell>
          <cell r="CK52">
            <v>0</v>
          </cell>
          <cell r="CL52">
            <v>-5</v>
          </cell>
          <cell r="CM52">
            <v>-4</v>
          </cell>
        </row>
        <row r="53">
          <cell r="A53">
            <v>25628</v>
          </cell>
          <cell r="D53">
            <v>4603</v>
          </cell>
          <cell r="E53">
            <v>1548</v>
          </cell>
          <cell r="F53">
            <v>207</v>
          </cell>
          <cell r="G53">
            <v>1755</v>
          </cell>
          <cell r="H53">
            <v>142</v>
          </cell>
          <cell r="I53">
            <v>1897</v>
          </cell>
          <cell r="J53">
            <v>199</v>
          </cell>
          <cell r="K53">
            <v>327</v>
          </cell>
          <cell r="L53">
            <v>2423</v>
          </cell>
          <cell r="M53">
            <v>1623</v>
          </cell>
          <cell r="N53">
            <v>8649</v>
          </cell>
          <cell r="O53">
            <v>743</v>
          </cell>
          <cell r="P53">
            <v>-53</v>
          </cell>
          <cell r="Q53">
            <v>9339</v>
          </cell>
          <cell r="T53">
            <v>3</v>
          </cell>
          <cell r="U53">
            <v>3.9</v>
          </cell>
          <cell r="V53">
            <v>2.2000000000000002</v>
          </cell>
          <cell r="W53">
            <v>3.7</v>
          </cell>
          <cell r="X53">
            <v>5.3</v>
          </cell>
          <cell r="Y53">
            <v>3.8</v>
          </cell>
          <cell r="Z53">
            <v>2.5</v>
          </cell>
          <cell r="AA53">
            <v>5.3</v>
          </cell>
          <cell r="AB53">
            <v>3.9</v>
          </cell>
          <cell r="AC53">
            <v>1.3</v>
          </cell>
          <cell r="AD53">
            <v>3</v>
          </cell>
          <cell r="AE53">
            <v>1.5</v>
          </cell>
          <cell r="AF53">
            <v>3</v>
          </cell>
          <cell r="AI53">
            <v>4627</v>
          </cell>
          <cell r="AJ53">
            <v>1531</v>
          </cell>
          <cell r="AK53">
            <v>206</v>
          </cell>
          <cell r="AL53">
            <v>1738</v>
          </cell>
          <cell r="AM53">
            <v>142</v>
          </cell>
          <cell r="AN53">
            <v>1880</v>
          </cell>
          <cell r="AO53">
            <v>199</v>
          </cell>
          <cell r="AP53">
            <v>328</v>
          </cell>
          <cell r="AQ53">
            <v>2406</v>
          </cell>
          <cell r="AR53">
            <v>1578</v>
          </cell>
          <cell r="AS53">
            <v>8611</v>
          </cell>
          <cell r="AT53">
            <v>730</v>
          </cell>
          <cell r="AU53">
            <v>-57</v>
          </cell>
          <cell r="AV53">
            <v>9285</v>
          </cell>
          <cell r="AY53">
            <v>4</v>
          </cell>
          <cell r="AZ53">
            <v>3</v>
          </cell>
          <cell r="BA53">
            <v>0.4</v>
          </cell>
          <cell r="BB53">
            <v>2.7</v>
          </cell>
          <cell r="BC53">
            <v>5.2</v>
          </cell>
          <cell r="BD53">
            <v>2.9</v>
          </cell>
          <cell r="BE53">
            <v>2.5</v>
          </cell>
          <cell r="BF53">
            <v>4.9000000000000004</v>
          </cell>
          <cell r="BG53">
            <v>3.1</v>
          </cell>
          <cell r="BH53">
            <v>-2</v>
          </cell>
          <cell r="BI53">
            <v>2.6</v>
          </cell>
          <cell r="BJ53">
            <v>-1.1000000000000001</v>
          </cell>
          <cell r="BK53">
            <v>2.5</v>
          </cell>
          <cell r="BN53">
            <v>4252</v>
          </cell>
          <cell r="BO53">
            <v>1346</v>
          </cell>
          <cell r="BP53">
            <v>179</v>
          </cell>
          <cell r="BQ53">
            <v>1525</v>
          </cell>
          <cell r="BR53">
            <v>142</v>
          </cell>
          <cell r="BS53">
            <v>1667</v>
          </cell>
          <cell r="BT53">
            <v>199</v>
          </cell>
          <cell r="BU53">
            <v>320</v>
          </cell>
          <cell r="BV53">
            <v>2186</v>
          </cell>
          <cell r="BW53">
            <v>1637</v>
          </cell>
          <cell r="BX53">
            <v>8075</v>
          </cell>
          <cell r="BY53">
            <v>713</v>
          </cell>
          <cell r="BZ53">
            <v>79</v>
          </cell>
          <cell r="CA53">
            <v>8868</v>
          </cell>
          <cell r="CB53">
            <v>0</v>
          </cell>
          <cell r="CC53">
            <v>0</v>
          </cell>
          <cell r="CD53">
            <v>1</v>
          </cell>
          <cell r="CE53">
            <v>0</v>
          </cell>
          <cell r="CF53">
            <v>0</v>
          </cell>
          <cell r="CG53">
            <v>-1</v>
          </cell>
          <cell r="CH53">
            <v>0</v>
          </cell>
          <cell r="CI53">
            <v>0</v>
          </cell>
          <cell r="CJ53">
            <v>0</v>
          </cell>
          <cell r="CK53">
            <v>0</v>
          </cell>
          <cell r="CL53">
            <v>-3</v>
          </cell>
          <cell r="CM53">
            <v>-2</v>
          </cell>
        </row>
        <row r="54">
          <cell r="A54">
            <v>25720</v>
          </cell>
          <cell r="D54">
            <v>4726</v>
          </cell>
          <cell r="E54">
            <v>1582</v>
          </cell>
          <cell r="F54">
            <v>211</v>
          </cell>
          <cell r="G54">
            <v>1793</v>
          </cell>
          <cell r="H54">
            <v>147</v>
          </cell>
          <cell r="I54">
            <v>1940</v>
          </cell>
          <cell r="J54">
            <v>205</v>
          </cell>
          <cell r="K54">
            <v>340</v>
          </cell>
          <cell r="L54">
            <v>2484</v>
          </cell>
          <cell r="M54">
            <v>1610</v>
          </cell>
          <cell r="N54">
            <v>8821</v>
          </cell>
          <cell r="O54">
            <v>750</v>
          </cell>
          <cell r="P54">
            <v>-18</v>
          </cell>
          <cell r="Q54">
            <v>9553</v>
          </cell>
          <cell r="T54">
            <v>2.7</v>
          </cell>
          <cell r="U54">
            <v>2.2000000000000002</v>
          </cell>
          <cell r="V54">
            <v>1.9</v>
          </cell>
          <cell r="W54">
            <v>2.1</v>
          </cell>
          <cell r="X54">
            <v>3.4</v>
          </cell>
          <cell r="Y54">
            <v>2.2000000000000002</v>
          </cell>
          <cell r="Z54">
            <v>2.7</v>
          </cell>
          <cell r="AA54">
            <v>4</v>
          </cell>
          <cell r="AB54">
            <v>2.5</v>
          </cell>
          <cell r="AC54">
            <v>-0.7</v>
          </cell>
          <cell r="AD54">
            <v>2</v>
          </cell>
          <cell r="AE54">
            <v>1</v>
          </cell>
          <cell r="AF54">
            <v>2.2999999999999998</v>
          </cell>
          <cell r="AI54">
            <v>4743</v>
          </cell>
          <cell r="AJ54">
            <v>1608</v>
          </cell>
          <cell r="AK54">
            <v>209</v>
          </cell>
          <cell r="AL54">
            <v>1816</v>
          </cell>
          <cell r="AM54">
            <v>147</v>
          </cell>
          <cell r="AN54">
            <v>1963</v>
          </cell>
          <cell r="AO54">
            <v>205</v>
          </cell>
          <cell r="AP54">
            <v>339</v>
          </cell>
          <cell r="AQ54">
            <v>2507</v>
          </cell>
          <cell r="AR54">
            <v>1684</v>
          </cell>
          <cell r="AS54">
            <v>8935</v>
          </cell>
          <cell r="AT54">
            <v>758</v>
          </cell>
          <cell r="AU54">
            <v>-42</v>
          </cell>
          <cell r="AV54">
            <v>9651</v>
          </cell>
          <cell r="AY54">
            <v>2.5</v>
          </cell>
          <cell r="AZ54">
            <v>5</v>
          </cell>
          <cell r="BA54">
            <v>1.2</v>
          </cell>
          <cell r="BB54">
            <v>4.5</v>
          </cell>
          <cell r="BC54">
            <v>3.5</v>
          </cell>
          <cell r="BD54">
            <v>4.4000000000000004</v>
          </cell>
          <cell r="BE54">
            <v>2.8</v>
          </cell>
          <cell r="BF54">
            <v>3.6</v>
          </cell>
          <cell r="BG54">
            <v>4.2</v>
          </cell>
          <cell r="BH54">
            <v>6.7</v>
          </cell>
          <cell r="BI54">
            <v>3.8</v>
          </cell>
          <cell r="BJ54">
            <v>3.9</v>
          </cell>
          <cell r="BK54">
            <v>3.9</v>
          </cell>
          <cell r="BN54">
            <v>4715</v>
          </cell>
          <cell r="BO54">
            <v>1542</v>
          </cell>
          <cell r="BP54">
            <v>180</v>
          </cell>
          <cell r="BQ54">
            <v>1721</v>
          </cell>
          <cell r="BR54">
            <v>147</v>
          </cell>
          <cell r="BS54">
            <v>1868</v>
          </cell>
          <cell r="BT54">
            <v>205</v>
          </cell>
          <cell r="BU54">
            <v>292</v>
          </cell>
          <cell r="BV54">
            <v>2365</v>
          </cell>
          <cell r="BW54">
            <v>1385</v>
          </cell>
          <cell r="BX54">
            <v>8465</v>
          </cell>
          <cell r="BY54">
            <v>798</v>
          </cell>
          <cell r="BZ54">
            <v>145</v>
          </cell>
          <cell r="CA54">
            <v>9408</v>
          </cell>
          <cell r="CB54">
            <v>0</v>
          </cell>
          <cell r="CC54">
            <v>0</v>
          </cell>
          <cell r="CD54">
            <v>0</v>
          </cell>
          <cell r="CE54">
            <v>0</v>
          </cell>
          <cell r="CF54">
            <v>0</v>
          </cell>
          <cell r="CG54">
            <v>0</v>
          </cell>
          <cell r="CH54">
            <v>0</v>
          </cell>
          <cell r="CI54">
            <v>0</v>
          </cell>
          <cell r="CJ54">
            <v>0</v>
          </cell>
          <cell r="CK54">
            <v>0</v>
          </cell>
          <cell r="CL54">
            <v>7</v>
          </cell>
          <cell r="CM54">
            <v>7</v>
          </cell>
        </row>
        <row r="55">
          <cell r="A55">
            <v>25812</v>
          </cell>
          <cell r="D55">
            <v>4880</v>
          </cell>
          <cell r="E55">
            <v>1586</v>
          </cell>
          <cell r="F55">
            <v>215</v>
          </cell>
          <cell r="G55">
            <v>1801</v>
          </cell>
          <cell r="H55">
            <v>151</v>
          </cell>
          <cell r="I55">
            <v>1952</v>
          </cell>
          <cell r="J55">
            <v>210</v>
          </cell>
          <cell r="K55">
            <v>351</v>
          </cell>
          <cell r="L55">
            <v>2513</v>
          </cell>
          <cell r="M55">
            <v>1577</v>
          </cell>
          <cell r="N55">
            <v>8970</v>
          </cell>
          <cell r="O55">
            <v>760</v>
          </cell>
          <cell r="P55">
            <v>2</v>
          </cell>
          <cell r="Q55">
            <v>9732</v>
          </cell>
          <cell r="T55">
            <v>3.2</v>
          </cell>
          <cell r="U55">
            <v>0.3</v>
          </cell>
          <cell r="V55">
            <v>2</v>
          </cell>
          <cell r="W55">
            <v>0.5</v>
          </cell>
          <cell r="X55">
            <v>2.8</v>
          </cell>
          <cell r="Y55">
            <v>0.6</v>
          </cell>
          <cell r="Z55">
            <v>2.8</v>
          </cell>
          <cell r="AA55">
            <v>3.2</v>
          </cell>
          <cell r="AB55">
            <v>1.2</v>
          </cell>
          <cell r="AC55">
            <v>-2.1</v>
          </cell>
          <cell r="AD55">
            <v>1.7</v>
          </cell>
          <cell r="AE55">
            <v>1.4</v>
          </cell>
          <cell r="AF55">
            <v>1.9</v>
          </cell>
          <cell r="AI55">
            <v>4837</v>
          </cell>
          <cell r="AJ55">
            <v>1593</v>
          </cell>
          <cell r="AK55">
            <v>218</v>
          </cell>
          <cell r="AL55">
            <v>1812</v>
          </cell>
          <cell r="AM55">
            <v>150</v>
          </cell>
          <cell r="AN55">
            <v>1962</v>
          </cell>
          <cell r="AO55">
            <v>210</v>
          </cell>
          <cell r="AP55">
            <v>354</v>
          </cell>
          <cell r="AQ55">
            <v>2526</v>
          </cell>
          <cell r="AR55">
            <v>1529</v>
          </cell>
          <cell r="AS55">
            <v>8892</v>
          </cell>
          <cell r="AT55">
            <v>763</v>
          </cell>
          <cell r="AU55">
            <v>76</v>
          </cell>
          <cell r="AV55">
            <v>9730</v>
          </cell>
          <cell r="AY55">
            <v>2</v>
          </cell>
          <cell r="AZ55">
            <v>-0.9</v>
          </cell>
          <cell r="BA55">
            <v>4.5999999999999996</v>
          </cell>
          <cell r="BB55">
            <v>-0.3</v>
          </cell>
          <cell r="BC55">
            <v>2.1</v>
          </cell>
          <cell r="BD55">
            <v>-0.1</v>
          </cell>
          <cell r="BE55">
            <v>2.8</v>
          </cell>
          <cell r="BF55">
            <v>4.4000000000000004</v>
          </cell>
          <cell r="BG55">
            <v>0.8</v>
          </cell>
          <cell r="BH55">
            <v>-9.1999999999999993</v>
          </cell>
          <cell r="BI55">
            <v>-0.5</v>
          </cell>
          <cell r="BJ55">
            <v>0.6</v>
          </cell>
          <cell r="BK55">
            <v>0.8</v>
          </cell>
          <cell r="BN55">
            <v>4965</v>
          </cell>
          <cell r="BO55">
            <v>1631</v>
          </cell>
          <cell r="BP55">
            <v>241</v>
          </cell>
          <cell r="BQ55">
            <v>1872</v>
          </cell>
          <cell r="BR55">
            <v>150</v>
          </cell>
          <cell r="BS55">
            <v>2022</v>
          </cell>
          <cell r="BT55">
            <v>210</v>
          </cell>
          <cell r="BU55">
            <v>382</v>
          </cell>
          <cell r="BV55">
            <v>2614</v>
          </cell>
          <cell r="BW55">
            <v>1492</v>
          </cell>
          <cell r="BX55">
            <v>9071</v>
          </cell>
          <cell r="BY55">
            <v>743</v>
          </cell>
          <cell r="BZ55">
            <v>-124</v>
          </cell>
          <cell r="CA55">
            <v>9690</v>
          </cell>
          <cell r="CB55">
            <v>0</v>
          </cell>
          <cell r="CC55">
            <v>0</v>
          </cell>
          <cell r="CD55">
            <v>0</v>
          </cell>
          <cell r="CE55">
            <v>0</v>
          </cell>
          <cell r="CF55">
            <v>0</v>
          </cell>
          <cell r="CG55">
            <v>0</v>
          </cell>
          <cell r="CH55">
            <v>0</v>
          </cell>
          <cell r="CI55">
            <v>0</v>
          </cell>
          <cell r="CJ55">
            <v>0</v>
          </cell>
          <cell r="CK55">
            <v>0</v>
          </cell>
          <cell r="CL55">
            <v>24</v>
          </cell>
          <cell r="CM55">
            <v>24</v>
          </cell>
        </row>
        <row r="56">
          <cell r="A56">
            <v>25903</v>
          </cell>
          <cell r="D56">
            <v>5087</v>
          </cell>
          <cell r="E56">
            <v>1576</v>
          </cell>
          <cell r="F56">
            <v>213</v>
          </cell>
          <cell r="G56">
            <v>1789</v>
          </cell>
          <cell r="H56">
            <v>155</v>
          </cell>
          <cell r="I56">
            <v>1944</v>
          </cell>
          <cell r="J56">
            <v>216</v>
          </cell>
          <cell r="K56">
            <v>367</v>
          </cell>
          <cell r="L56">
            <v>2526</v>
          </cell>
          <cell r="M56">
            <v>1549</v>
          </cell>
          <cell r="N56">
            <v>9162</v>
          </cell>
          <cell r="O56">
            <v>776</v>
          </cell>
          <cell r="P56">
            <v>-16</v>
          </cell>
          <cell r="Q56">
            <v>9923</v>
          </cell>
          <cell r="T56">
            <v>4.2</v>
          </cell>
          <cell r="U56">
            <v>-0.6</v>
          </cell>
          <cell r="V56">
            <v>-1</v>
          </cell>
          <cell r="W56">
            <v>-0.7</v>
          </cell>
          <cell r="X56">
            <v>2.6</v>
          </cell>
          <cell r="Y56">
            <v>-0.4</v>
          </cell>
          <cell r="Z56">
            <v>2.7</v>
          </cell>
          <cell r="AA56">
            <v>4.5</v>
          </cell>
          <cell r="AB56">
            <v>0.5</v>
          </cell>
          <cell r="AC56">
            <v>-1.8</v>
          </cell>
          <cell r="AD56">
            <v>2.1</v>
          </cell>
          <cell r="AE56">
            <v>2.1</v>
          </cell>
          <cell r="AF56">
            <v>2</v>
          </cell>
          <cell r="AI56">
            <v>5068</v>
          </cell>
          <cell r="AJ56">
            <v>1555</v>
          </cell>
          <cell r="AK56">
            <v>213</v>
          </cell>
          <cell r="AL56">
            <v>1768</v>
          </cell>
          <cell r="AM56">
            <v>155</v>
          </cell>
          <cell r="AN56">
            <v>1923</v>
          </cell>
          <cell r="AO56">
            <v>216</v>
          </cell>
          <cell r="AP56">
            <v>361</v>
          </cell>
          <cell r="AQ56">
            <v>2500</v>
          </cell>
          <cell r="AR56">
            <v>1563</v>
          </cell>
          <cell r="AS56">
            <v>9130</v>
          </cell>
          <cell r="AT56">
            <v>764</v>
          </cell>
          <cell r="AU56">
            <v>-77</v>
          </cell>
          <cell r="AV56">
            <v>9817</v>
          </cell>
          <cell r="AY56">
            <v>4.8</v>
          </cell>
          <cell r="AZ56">
            <v>-2.4</v>
          </cell>
          <cell r="BA56">
            <v>-2.4</v>
          </cell>
          <cell r="BB56">
            <v>-2.4</v>
          </cell>
          <cell r="BC56">
            <v>3.3</v>
          </cell>
          <cell r="BD56">
            <v>-2</v>
          </cell>
          <cell r="BE56">
            <v>2.6</v>
          </cell>
          <cell r="BF56">
            <v>1.8</v>
          </cell>
          <cell r="BG56">
            <v>-1.1000000000000001</v>
          </cell>
          <cell r="BH56">
            <v>2.2000000000000002</v>
          </cell>
          <cell r="BI56">
            <v>2.7</v>
          </cell>
          <cell r="BJ56">
            <v>0.1</v>
          </cell>
          <cell r="BK56">
            <v>0.9</v>
          </cell>
          <cell r="BN56">
            <v>5350</v>
          </cell>
          <cell r="BO56">
            <v>1779</v>
          </cell>
          <cell r="BP56">
            <v>246</v>
          </cell>
          <cell r="BQ56">
            <v>2025</v>
          </cell>
          <cell r="BR56">
            <v>155</v>
          </cell>
          <cell r="BS56">
            <v>2180</v>
          </cell>
          <cell r="BT56">
            <v>216</v>
          </cell>
          <cell r="BU56">
            <v>393</v>
          </cell>
          <cell r="BV56">
            <v>2789</v>
          </cell>
          <cell r="BW56">
            <v>1771</v>
          </cell>
          <cell r="BX56">
            <v>9910</v>
          </cell>
          <cell r="BY56">
            <v>769</v>
          </cell>
          <cell r="BZ56">
            <v>-90</v>
          </cell>
          <cell r="CA56">
            <v>10589</v>
          </cell>
          <cell r="CB56">
            <v>-1</v>
          </cell>
          <cell r="CC56">
            <v>0</v>
          </cell>
          <cell r="CD56">
            <v>0</v>
          </cell>
          <cell r="CE56">
            <v>0</v>
          </cell>
          <cell r="CF56">
            <v>0</v>
          </cell>
          <cell r="CG56">
            <v>0</v>
          </cell>
          <cell r="CH56">
            <v>0</v>
          </cell>
          <cell r="CI56">
            <v>0</v>
          </cell>
          <cell r="CJ56">
            <v>0</v>
          </cell>
          <cell r="CK56">
            <v>0</v>
          </cell>
          <cell r="CL56">
            <v>-52</v>
          </cell>
          <cell r="CM56">
            <v>-52</v>
          </cell>
        </row>
        <row r="57">
          <cell r="A57">
            <v>25993</v>
          </cell>
          <cell r="D57">
            <v>5320</v>
          </cell>
          <cell r="E57">
            <v>1588</v>
          </cell>
          <cell r="F57">
            <v>213</v>
          </cell>
          <cell r="G57">
            <v>1800</v>
          </cell>
          <cell r="H57">
            <v>158</v>
          </cell>
          <cell r="I57">
            <v>1958</v>
          </cell>
          <cell r="J57">
            <v>222</v>
          </cell>
          <cell r="K57">
            <v>387</v>
          </cell>
          <cell r="L57">
            <v>2567</v>
          </cell>
          <cell r="M57">
            <v>1565</v>
          </cell>
          <cell r="N57">
            <v>9451</v>
          </cell>
          <cell r="O57">
            <v>798</v>
          </cell>
          <cell r="P57">
            <v>-41</v>
          </cell>
          <cell r="Q57">
            <v>10209</v>
          </cell>
          <cell r="T57">
            <v>4.5999999999999996</v>
          </cell>
          <cell r="U57">
            <v>0.7</v>
          </cell>
          <cell r="V57">
            <v>-0.1</v>
          </cell>
          <cell r="W57">
            <v>0.6</v>
          </cell>
          <cell r="X57">
            <v>2.1</v>
          </cell>
          <cell r="Y57">
            <v>0.8</v>
          </cell>
          <cell r="Z57">
            <v>2.7</v>
          </cell>
          <cell r="AA57">
            <v>5.4</v>
          </cell>
          <cell r="AB57">
            <v>1.6</v>
          </cell>
          <cell r="AC57">
            <v>1</v>
          </cell>
          <cell r="AD57">
            <v>3.2</v>
          </cell>
          <cell r="AE57">
            <v>2.8</v>
          </cell>
          <cell r="AF57">
            <v>2.9</v>
          </cell>
          <cell r="AI57">
            <v>5365</v>
          </cell>
          <cell r="AJ57">
            <v>1583</v>
          </cell>
          <cell r="AK57">
            <v>219</v>
          </cell>
          <cell r="AL57">
            <v>1802</v>
          </cell>
          <cell r="AM57">
            <v>158</v>
          </cell>
          <cell r="AN57">
            <v>1960</v>
          </cell>
          <cell r="AO57">
            <v>222</v>
          </cell>
          <cell r="AP57">
            <v>384</v>
          </cell>
          <cell r="AQ57">
            <v>2566</v>
          </cell>
          <cell r="AR57">
            <v>1543</v>
          </cell>
          <cell r="AS57">
            <v>9474</v>
          </cell>
          <cell r="AT57">
            <v>805</v>
          </cell>
          <cell r="AU57">
            <v>-9</v>
          </cell>
          <cell r="AV57">
            <v>10270</v>
          </cell>
          <cell r="AY57">
            <v>5.9</v>
          </cell>
          <cell r="AZ57">
            <v>1.8</v>
          </cell>
          <cell r="BA57">
            <v>2.8</v>
          </cell>
          <cell r="BB57">
            <v>1.9</v>
          </cell>
          <cell r="BC57">
            <v>1.9</v>
          </cell>
          <cell r="BD57">
            <v>1.9</v>
          </cell>
          <cell r="BE57">
            <v>2.7</v>
          </cell>
          <cell r="BF57">
            <v>6.5</v>
          </cell>
          <cell r="BG57">
            <v>2.7</v>
          </cell>
          <cell r="BH57">
            <v>-1.3</v>
          </cell>
          <cell r="BI57">
            <v>3.8</v>
          </cell>
          <cell r="BJ57">
            <v>5.4</v>
          </cell>
          <cell r="BK57">
            <v>4.5999999999999996</v>
          </cell>
          <cell r="BN57">
            <v>4986</v>
          </cell>
          <cell r="BO57">
            <v>1388</v>
          </cell>
          <cell r="BP57">
            <v>190</v>
          </cell>
          <cell r="BQ57">
            <v>1577</v>
          </cell>
          <cell r="BR57">
            <v>158</v>
          </cell>
          <cell r="BS57">
            <v>1735</v>
          </cell>
          <cell r="BT57">
            <v>222</v>
          </cell>
          <cell r="BU57">
            <v>373</v>
          </cell>
          <cell r="BV57">
            <v>2331</v>
          </cell>
          <cell r="BW57">
            <v>1610</v>
          </cell>
          <cell r="BX57">
            <v>8927</v>
          </cell>
          <cell r="BY57">
            <v>783</v>
          </cell>
          <cell r="BZ57">
            <v>38</v>
          </cell>
          <cell r="CA57">
            <v>9748</v>
          </cell>
          <cell r="CB57">
            <v>0</v>
          </cell>
          <cell r="CC57">
            <v>0</v>
          </cell>
          <cell r="CD57">
            <v>0</v>
          </cell>
          <cell r="CE57">
            <v>0</v>
          </cell>
          <cell r="CF57">
            <v>0</v>
          </cell>
          <cell r="CG57">
            <v>0</v>
          </cell>
          <cell r="CH57">
            <v>0</v>
          </cell>
          <cell r="CI57">
            <v>0</v>
          </cell>
          <cell r="CJ57">
            <v>0</v>
          </cell>
          <cell r="CK57">
            <v>0</v>
          </cell>
          <cell r="CL57">
            <v>22</v>
          </cell>
          <cell r="CM57">
            <v>23</v>
          </cell>
        </row>
        <row r="58">
          <cell r="A58">
            <v>26085</v>
          </cell>
          <cell r="D58">
            <v>5502</v>
          </cell>
          <cell r="E58">
            <v>1637</v>
          </cell>
          <cell r="F58">
            <v>221</v>
          </cell>
          <cell r="G58">
            <v>1857</v>
          </cell>
          <cell r="H58">
            <v>160</v>
          </cell>
          <cell r="I58">
            <v>2017</v>
          </cell>
          <cell r="J58">
            <v>228</v>
          </cell>
          <cell r="K58">
            <v>405</v>
          </cell>
          <cell r="L58">
            <v>2649</v>
          </cell>
          <cell r="M58">
            <v>1627</v>
          </cell>
          <cell r="N58">
            <v>9778</v>
          </cell>
          <cell r="O58">
            <v>818</v>
          </cell>
          <cell r="P58">
            <v>-52</v>
          </cell>
          <cell r="Q58">
            <v>10544</v>
          </cell>
          <cell r="T58">
            <v>3.4</v>
          </cell>
          <cell r="U58">
            <v>3.1</v>
          </cell>
          <cell r="V58">
            <v>3.6</v>
          </cell>
          <cell r="W58">
            <v>3.2</v>
          </cell>
          <cell r="X58">
            <v>1.1000000000000001</v>
          </cell>
          <cell r="Y58">
            <v>3</v>
          </cell>
          <cell r="Z58">
            <v>2.6</v>
          </cell>
          <cell r="AA58">
            <v>4.7</v>
          </cell>
          <cell r="AB58">
            <v>3.2</v>
          </cell>
          <cell r="AC58">
            <v>4</v>
          </cell>
          <cell r="AD58">
            <v>3.5</v>
          </cell>
          <cell r="AE58">
            <v>2.5</v>
          </cell>
          <cell r="AF58">
            <v>3.3</v>
          </cell>
          <cell r="AI58">
            <v>5501</v>
          </cell>
          <cell r="AJ58">
            <v>1633</v>
          </cell>
          <cell r="AK58">
            <v>199</v>
          </cell>
          <cell r="AL58">
            <v>1832</v>
          </cell>
          <cell r="AM58">
            <v>161</v>
          </cell>
          <cell r="AN58">
            <v>1993</v>
          </cell>
          <cell r="AO58">
            <v>228</v>
          </cell>
          <cell r="AP58">
            <v>416</v>
          </cell>
          <cell r="AQ58">
            <v>2637</v>
          </cell>
          <cell r="AR58">
            <v>1632</v>
          </cell>
          <cell r="AS58">
            <v>9770</v>
          </cell>
          <cell r="AT58">
            <v>822</v>
          </cell>
          <cell r="AU58">
            <v>-91</v>
          </cell>
          <cell r="AV58">
            <v>10501</v>
          </cell>
          <cell r="AY58">
            <v>2.5</v>
          </cell>
          <cell r="AZ58">
            <v>3.2</v>
          </cell>
          <cell r="BA58">
            <v>-9.1999999999999993</v>
          </cell>
          <cell r="BB58">
            <v>1.7</v>
          </cell>
          <cell r="BC58">
            <v>1.8</v>
          </cell>
          <cell r="BD58">
            <v>1.7</v>
          </cell>
          <cell r="BE58">
            <v>2.8</v>
          </cell>
          <cell r="BF58">
            <v>8.4</v>
          </cell>
          <cell r="BG58">
            <v>2.8</v>
          </cell>
          <cell r="BH58">
            <v>5.8</v>
          </cell>
          <cell r="BI58">
            <v>3.1</v>
          </cell>
          <cell r="BJ58">
            <v>2.1</v>
          </cell>
          <cell r="BK58">
            <v>2.2000000000000002</v>
          </cell>
          <cell r="BN58">
            <v>5526</v>
          </cell>
          <cell r="BO58">
            <v>1555</v>
          </cell>
          <cell r="BP58">
            <v>173</v>
          </cell>
          <cell r="BQ58">
            <v>1728</v>
          </cell>
          <cell r="BR58">
            <v>161</v>
          </cell>
          <cell r="BS58">
            <v>1889</v>
          </cell>
          <cell r="BT58">
            <v>228</v>
          </cell>
          <cell r="BU58">
            <v>360</v>
          </cell>
          <cell r="BV58">
            <v>2476</v>
          </cell>
          <cell r="BW58">
            <v>1395</v>
          </cell>
          <cell r="BX58">
            <v>9397</v>
          </cell>
          <cell r="BY58">
            <v>855</v>
          </cell>
          <cell r="BZ58">
            <v>41</v>
          </cell>
          <cell r="CA58">
            <v>10293</v>
          </cell>
          <cell r="CB58">
            <v>0</v>
          </cell>
          <cell r="CC58">
            <v>0</v>
          </cell>
          <cell r="CD58">
            <v>0</v>
          </cell>
          <cell r="CE58">
            <v>0</v>
          </cell>
          <cell r="CF58">
            <v>0</v>
          </cell>
          <cell r="CG58">
            <v>0</v>
          </cell>
          <cell r="CH58">
            <v>1</v>
          </cell>
          <cell r="CI58">
            <v>0</v>
          </cell>
          <cell r="CJ58">
            <v>0</v>
          </cell>
          <cell r="CK58">
            <v>0</v>
          </cell>
          <cell r="CL58">
            <v>22</v>
          </cell>
          <cell r="CM58">
            <v>21</v>
          </cell>
        </row>
        <row r="59">
          <cell r="A59">
            <v>26177</v>
          </cell>
          <cell r="D59">
            <v>5614</v>
          </cell>
          <cell r="E59">
            <v>1677</v>
          </cell>
          <cell r="F59">
            <v>235</v>
          </cell>
          <cell r="G59">
            <v>1911</v>
          </cell>
          <cell r="H59">
            <v>161</v>
          </cell>
          <cell r="I59">
            <v>2072</v>
          </cell>
          <cell r="J59">
            <v>233</v>
          </cell>
          <cell r="K59">
            <v>417</v>
          </cell>
          <cell r="L59">
            <v>2723</v>
          </cell>
          <cell r="M59">
            <v>1677</v>
          </cell>
          <cell r="N59">
            <v>10014</v>
          </cell>
          <cell r="O59">
            <v>834</v>
          </cell>
          <cell r="P59">
            <v>-61</v>
          </cell>
          <cell r="Q59">
            <v>10787</v>
          </cell>
          <cell r="T59">
            <v>2</v>
          </cell>
          <cell r="U59">
            <v>2.4</v>
          </cell>
          <cell r="V59">
            <v>6.3</v>
          </cell>
          <cell r="W59">
            <v>2.9</v>
          </cell>
          <cell r="X59">
            <v>0.6</v>
          </cell>
          <cell r="Y59">
            <v>2.7</v>
          </cell>
          <cell r="Z59">
            <v>2.5</v>
          </cell>
          <cell r="AA59">
            <v>3.1</v>
          </cell>
          <cell r="AB59">
            <v>2.8</v>
          </cell>
          <cell r="AC59">
            <v>3.1</v>
          </cell>
          <cell r="AD59">
            <v>2.4</v>
          </cell>
          <cell r="AE59">
            <v>1.9</v>
          </cell>
          <cell r="AF59">
            <v>2.2999999999999998</v>
          </cell>
          <cell r="AI59">
            <v>5627</v>
          </cell>
          <cell r="AJ59">
            <v>1690</v>
          </cell>
          <cell r="AK59">
            <v>256</v>
          </cell>
          <cell r="AL59">
            <v>1946</v>
          </cell>
          <cell r="AM59">
            <v>160</v>
          </cell>
          <cell r="AN59">
            <v>2106</v>
          </cell>
          <cell r="AO59">
            <v>233</v>
          </cell>
          <cell r="AP59">
            <v>411</v>
          </cell>
          <cell r="AQ59">
            <v>2750</v>
          </cell>
          <cell r="AR59">
            <v>1695</v>
          </cell>
          <cell r="AS59">
            <v>10072</v>
          </cell>
          <cell r="AT59">
            <v>840</v>
          </cell>
          <cell r="AU59">
            <v>-12</v>
          </cell>
          <cell r="AV59">
            <v>10900</v>
          </cell>
          <cell r="AY59">
            <v>2.2999999999999998</v>
          </cell>
          <cell r="AZ59">
            <v>3.5</v>
          </cell>
          <cell r="BA59">
            <v>28.7</v>
          </cell>
          <cell r="BB59">
            <v>6.2</v>
          </cell>
          <cell r="BC59">
            <v>-0.7</v>
          </cell>
          <cell r="BD59">
            <v>5.6</v>
          </cell>
          <cell r="BE59">
            <v>2.4</v>
          </cell>
          <cell r="BF59">
            <v>-1.3</v>
          </cell>
          <cell r="BG59">
            <v>4.3</v>
          </cell>
          <cell r="BH59">
            <v>3.9</v>
          </cell>
          <cell r="BI59">
            <v>3.1</v>
          </cell>
          <cell r="BJ59">
            <v>2.2000000000000002</v>
          </cell>
          <cell r="BK59">
            <v>3.8</v>
          </cell>
          <cell r="BN59">
            <v>5571</v>
          </cell>
          <cell r="BO59">
            <v>1729</v>
          </cell>
          <cell r="BP59">
            <v>283</v>
          </cell>
          <cell r="BQ59">
            <v>2011</v>
          </cell>
          <cell r="BR59">
            <v>160</v>
          </cell>
          <cell r="BS59">
            <v>2171</v>
          </cell>
          <cell r="BT59">
            <v>233</v>
          </cell>
          <cell r="BU59">
            <v>443</v>
          </cell>
          <cell r="BV59">
            <v>2847</v>
          </cell>
          <cell r="BW59">
            <v>1647</v>
          </cell>
          <cell r="BX59">
            <v>10065</v>
          </cell>
          <cell r="BY59">
            <v>821</v>
          </cell>
          <cell r="BZ59">
            <v>-110</v>
          </cell>
          <cell r="CA59">
            <v>10776</v>
          </cell>
          <cell r="CB59">
            <v>0</v>
          </cell>
          <cell r="CC59">
            <v>0</v>
          </cell>
          <cell r="CD59">
            <v>0</v>
          </cell>
          <cell r="CE59">
            <v>0</v>
          </cell>
          <cell r="CF59">
            <v>0</v>
          </cell>
          <cell r="CG59">
            <v>0</v>
          </cell>
          <cell r="CH59">
            <v>0</v>
          </cell>
          <cell r="CI59">
            <v>0</v>
          </cell>
          <cell r="CJ59">
            <v>0</v>
          </cell>
          <cell r="CK59">
            <v>0</v>
          </cell>
          <cell r="CL59">
            <v>11</v>
          </cell>
          <cell r="CM59">
            <v>11</v>
          </cell>
        </row>
        <row r="60">
          <cell r="A60">
            <v>26268</v>
          </cell>
          <cell r="D60">
            <v>5718</v>
          </cell>
          <cell r="E60">
            <v>1689</v>
          </cell>
          <cell r="F60">
            <v>245</v>
          </cell>
          <cell r="G60">
            <v>1935</v>
          </cell>
          <cell r="H60">
            <v>163</v>
          </cell>
          <cell r="I60">
            <v>2097</v>
          </cell>
          <cell r="J60">
            <v>240</v>
          </cell>
          <cell r="K60">
            <v>429</v>
          </cell>
          <cell r="L60">
            <v>2766</v>
          </cell>
          <cell r="M60">
            <v>1707</v>
          </cell>
          <cell r="N60">
            <v>10191</v>
          </cell>
          <cell r="O60">
            <v>864</v>
          </cell>
          <cell r="P60">
            <v>-88</v>
          </cell>
          <cell r="Q60">
            <v>10967</v>
          </cell>
          <cell r="T60">
            <v>1.8</v>
          </cell>
          <cell r="U60">
            <v>0.8</v>
          </cell>
          <cell r="V60">
            <v>4.5999999999999996</v>
          </cell>
          <cell r="W60">
            <v>1.2</v>
          </cell>
          <cell r="X60">
            <v>1.2</v>
          </cell>
          <cell r="Y60">
            <v>1.2</v>
          </cell>
          <cell r="Z60">
            <v>2.7</v>
          </cell>
          <cell r="AA60">
            <v>2.8</v>
          </cell>
          <cell r="AB60">
            <v>1.6</v>
          </cell>
          <cell r="AC60">
            <v>1.8</v>
          </cell>
          <cell r="AD60">
            <v>1.8</v>
          </cell>
          <cell r="AE60">
            <v>3.6</v>
          </cell>
          <cell r="AF60">
            <v>1.7</v>
          </cell>
          <cell r="AI60">
            <v>5685</v>
          </cell>
          <cell r="AJ60">
            <v>1713</v>
          </cell>
          <cell r="AK60">
            <v>239</v>
          </cell>
          <cell r="AL60">
            <v>1952</v>
          </cell>
          <cell r="AM60">
            <v>163</v>
          </cell>
          <cell r="AN60">
            <v>2115</v>
          </cell>
          <cell r="AO60">
            <v>239</v>
          </cell>
          <cell r="AP60">
            <v>428</v>
          </cell>
          <cell r="AQ60">
            <v>2783</v>
          </cell>
          <cell r="AR60">
            <v>1711</v>
          </cell>
          <cell r="AS60">
            <v>10179</v>
          </cell>
          <cell r="AT60">
            <v>840</v>
          </cell>
          <cell r="AU60">
            <v>-109</v>
          </cell>
          <cell r="AV60">
            <v>10910</v>
          </cell>
          <cell r="AY60">
            <v>1</v>
          </cell>
          <cell r="AZ60">
            <v>1.4</v>
          </cell>
          <cell r="BA60">
            <v>-6.5</v>
          </cell>
          <cell r="BB60">
            <v>0.3</v>
          </cell>
          <cell r="BC60">
            <v>1.8</v>
          </cell>
          <cell r="BD60">
            <v>0.5</v>
          </cell>
          <cell r="BE60">
            <v>2.6</v>
          </cell>
          <cell r="BF60">
            <v>4.2</v>
          </cell>
          <cell r="BG60">
            <v>1.2</v>
          </cell>
          <cell r="BH60">
            <v>0.9</v>
          </cell>
          <cell r="BI60">
            <v>1.1000000000000001</v>
          </cell>
          <cell r="BJ60">
            <v>0</v>
          </cell>
          <cell r="BK60">
            <v>0.1</v>
          </cell>
          <cell r="BN60">
            <v>6082</v>
          </cell>
          <cell r="BO60">
            <v>1979</v>
          </cell>
          <cell r="BP60">
            <v>274</v>
          </cell>
          <cell r="BQ60">
            <v>2253</v>
          </cell>
          <cell r="BR60">
            <v>163</v>
          </cell>
          <cell r="BS60">
            <v>2416</v>
          </cell>
          <cell r="BT60">
            <v>239</v>
          </cell>
          <cell r="BU60">
            <v>465</v>
          </cell>
          <cell r="BV60">
            <v>3121</v>
          </cell>
          <cell r="BW60">
            <v>1975</v>
          </cell>
          <cell r="BX60">
            <v>11178</v>
          </cell>
          <cell r="BY60">
            <v>848</v>
          </cell>
          <cell r="BZ60">
            <v>-227</v>
          </cell>
          <cell r="CA60">
            <v>11799</v>
          </cell>
          <cell r="CB60">
            <v>0</v>
          </cell>
          <cell r="CC60">
            <v>0</v>
          </cell>
          <cell r="CD60">
            <v>0</v>
          </cell>
          <cell r="CE60">
            <v>0</v>
          </cell>
          <cell r="CF60">
            <v>0</v>
          </cell>
          <cell r="CG60">
            <v>0</v>
          </cell>
          <cell r="CH60">
            <v>0</v>
          </cell>
          <cell r="CI60">
            <v>0</v>
          </cell>
          <cell r="CJ60">
            <v>0</v>
          </cell>
          <cell r="CK60">
            <v>0</v>
          </cell>
          <cell r="CL60">
            <v>6</v>
          </cell>
          <cell r="CM60">
            <v>6</v>
          </cell>
        </row>
        <row r="61">
          <cell r="A61">
            <v>26359</v>
          </cell>
          <cell r="D61">
            <v>5851</v>
          </cell>
          <cell r="E61">
            <v>1692</v>
          </cell>
          <cell r="F61">
            <v>252</v>
          </cell>
          <cell r="G61">
            <v>1944</v>
          </cell>
          <cell r="H61">
            <v>168</v>
          </cell>
          <cell r="I61">
            <v>2112</v>
          </cell>
          <cell r="J61">
            <v>247</v>
          </cell>
          <cell r="K61">
            <v>445</v>
          </cell>
          <cell r="L61">
            <v>2804</v>
          </cell>
          <cell r="M61">
            <v>1720</v>
          </cell>
          <cell r="N61">
            <v>10375</v>
          </cell>
          <cell r="O61">
            <v>904</v>
          </cell>
          <cell r="P61">
            <v>-108</v>
          </cell>
          <cell r="Q61">
            <v>11170</v>
          </cell>
          <cell r="T61">
            <v>2.2999999999999998</v>
          </cell>
          <cell r="U61">
            <v>0.2</v>
          </cell>
          <cell r="V61">
            <v>2.8</v>
          </cell>
          <cell r="W61">
            <v>0.5</v>
          </cell>
          <cell r="X61">
            <v>3.3</v>
          </cell>
          <cell r="Y61">
            <v>0.7</v>
          </cell>
          <cell r="Z61">
            <v>2.9</v>
          </cell>
          <cell r="AA61">
            <v>3.6</v>
          </cell>
          <cell r="AB61">
            <v>1.4</v>
          </cell>
          <cell r="AC61">
            <v>0.7</v>
          </cell>
          <cell r="AD61">
            <v>1.8</v>
          </cell>
          <cell r="AE61">
            <v>4.5999999999999996</v>
          </cell>
          <cell r="AF61">
            <v>1.9</v>
          </cell>
          <cell r="AI61">
            <v>5852</v>
          </cell>
          <cell r="AJ61">
            <v>1652</v>
          </cell>
          <cell r="AK61">
            <v>252</v>
          </cell>
          <cell r="AL61">
            <v>1904</v>
          </cell>
          <cell r="AM61">
            <v>168</v>
          </cell>
          <cell r="AN61">
            <v>2071</v>
          </cell>
          <cell r="AO61">
            <v>247</v>
          </cell>
          <cell r="AP61">
            <v>443</v>
          </cell>
          <cell r="AQ61">
            <v>2761</v>
          </cell>
          <cell r="AR61">
            <v>1703</v>
          </cell>
          <cell r="AS61">
            <v>10317</v>
          </cell>
          <cell r="AT61">
            <v>911</v>
          </cell>
          <cell r="AU61">
            <v>-128</v>
          </cell>
          <cell r="AV61">
            <v>11100</v>
          </cell>
          <cell r="AY61">
            <v>2.9</v>
          </cell>
          <cell r="AZ61">
            <v>-3.6</v>
          </cell>
          <cell r="BA61">
            <v>5.3</v>
          </cell>
          <cell r="BB61">
            <v>-2.5</v>
          </cell>
          <cell r="BC61">
            <v>3.1</v>
          </cell>
          <cell r="BD61">
            <v>-2.1</v>
          </cell>
          <cell r="BE61">
            <v>3</v>
          </cell>
          <cell r="BF61">
            <v>3.5</v>
          </cell>
          <cell r="BG61">
            <v>-0.8</v>
          </cell>
          <cell r="BH61">
            <v>-0.4</v>
          </cell>
          <cell r="BI61">
            <v>1.4</v>
          </cell>
          <cell r="BJ61">
            <v>8.5</v>
          </cell>
          <cell r="BK61">
            <v>1.7</v>
          </cell>
          <cell r="BN61">
            <v>5559</v>
          </cell>
          <cell r="BO61">
            <v>1442</v>
          </cell>
          <cell r="BP61">
            <v>218</v>
          </cell>
          <cell r="BQ61">
            <v>1660</v>
          </cell>
          <cell r="BR61">
            <v>168</v>
          </cell>
          <cell r="BS61">
            <v>1827</v>
          </cell>
          <cell r="BT61">
            <v>247</v>
          </cell>
          <cell r="BU61">
            <v>430</v>
          </cell>
          <cell r="BV61">
            <v>2504</v>
          </cell>
          <cell r="BW61">
            <v>1743</v>
          </cell>
          <cell r="BX61">
            <v>9805</v>
          </cell>
          <cell r="BY61">
            <v>888</v>
          </cell>
          <cell r="BZ61">
            <v>-89</v>
          </cell>
          <cell r="CA61">
            <v>10604</v>
          </cell>
          <cell r="CB61">
            <v>1</v>
          </cell>
          <cell r="CC61">
            <v>0</v>
          </cell>
          <cell r="CD61">
            <v>0</v>
          </cell>
          <cell r="CE61">
            <v>0</v>
          </cell>
          <cell r="CF61">
            <v>0</v>
          </cell>
          <cell r="CG61">
            <v>0</v>
          </cell>
          <cell r="CH61">
            <v>0</v>
          </cell>
          <cell r="CI61">
            <v>0</v>
          </cell>
          <cell r="CJ61">
            <v>0</v>
          </cell>
          <cell r="CK61">
            <v>1</v>
          </cell>
          <cell r="CL61">
            <v>-2</v>
          </cell>
          <cell r="CM61">
            <v>-3</v>
          </cell>
        </row>
        <row r="62">
          <cell r="A62">
            <v>26451</v>
          </cell>
          <cell r="D62">
            <v>6002</v>
          </cell>
          <cell r="E62">
            <v>1716</v>
          </cell>
          <cell r="F62">
            <v>261</v>
          </cell>
          <cell r="G62">
            <v>1977</v>
          </cell>
          <cell r="H62">
            <v>177</v>
          </cell>
          <cell r="I62">
            <v>2154</v>
          </cell>
          <cell r="J62">
            <v>254</v>
          </cell>
          <cell r="K62">
            <v>463</v>
          </cell>
          <cell r="L62">
            <v>2872</v>
          </cell>
          <cell r="M62">
            <v>1738</v>
          </cell>
          <cell r="N62">
            <v>10612</v>
          </cell>
          <cell r="O62">
            <v>941</v>
          </cell>
          <cell r="P62">
            <v>-138</v>
          </cell>
          <cell r="Q62">
            <v>11415</v>
          </cell>
          <cell r="T62">
            <v>2.6</v>
          </cell>
          <cell r="U62">
            <v>1.4</v>
          </cell>
          <cell r="V62">
            <v>3.5</v>
          </cell>
          <cell r="W62">
            <v>1.7</v>
          </cell>
          <cell r="X62">
            <v>5.6</v>
          </cell>
          <cell r="Y62">
            <v>2</v>
          </cell>
          <cell r="Z62">
            <v>3</v>
          </cell>
          <cell r="AA62">
            <v>4.2</v>
          </cell>
          <cell r="AB62">
            <v>2.4</v>
          </cell>
          <cell r="AC62">
            <v>1.1000000000000001</v>
          </cell>
          <cell r="AD62">
            <v>2.2999999999999998</v>
          </cell>
          <cell r="AE62">
            <v>4.0999999999999996</v>
          </cell>
          <cell r="AF62">
            <v>2.2000000000000002</v>
          </cell>
          <cell r="AI62">
            <v>6026</v>
          </cell>
          <cell r="AJ62">
            <v>1739</v>
          </cell>
          <cell r="AK62">
            <v>255</v>
          </cell>
          <cell r="AL62">
            <v>1994</v>
          </cell>
          <cell r="AM62">
            <v>176</v>
          </cell>
          <cell r="AN62">
            <v>2170</v>
          </cell>
          <cell r="AO62">
            <v>255</v>
          </cell>
          <cell r="AP62">
            <v>468</v>
          </cell>
          <cell r="AQ62">
            <v>2893</v>
          </cell>
          <cell r="AR62">
            <v>1752</v>
          </cell>
          <cell r="AS62">
            <v>10672</v>
          </cell>
          <cell r="AT62">
            <v>967</v>
          </cell>
          <cell r="AU62">
            <v>-110</v>
          </cell>
          <cell r="AV62">
            <v>11528</v>
          </cell>
          <cell r="AY62">
            <v>3</v>
          </cell>
          <cell r="AZ62">
            <v>5.3</v>
          </cell>
          <cell r="BA62">
            <v>1.2</v>
          </cell>
          <cell r="BB62">
            <v>4.8</v>
          </cell>
          <cell r="BC62">
            <v>4.8</v>
          </cell>
          <cell r="BD62">
            <v>4.8</v>
          </cell>
          <cell r="BE62">
            <v>3.3</v>
          </cell>
          <cell r="BF62">
            <v>5.7</v>
          </cell>
          <cell r="BG62">
            <v>4.8</v>
          </cell>
          <cell r="BH62">
            <v>2.9</v>
          </cell>
          <cell r="BI62">
            <v>3.4</v>
          </cell>
          <cell r="BJ62">
            <v>6.1</v>
          </cell>
          <cell r="BK62">
            <v>3.9</v>
          </cell>
          <cell r="BN62">
            <v>6057</v>
          </cell>
          <cell r="BO62">
            <v>1648</v>
          </cell>
          <cell r="BP62">
            <v>225</v>
          </cell>
          <cell r="BQ62">
            <v>1872</v>
          </cell>
          <cell r="BR62">
            <v>176</v>
          </cell>
          <cell r="BS62">
            <v>2048</v>
          </cell>
          <cell r="BT62">
            <v>255</v>
          </cell>
          <cell r="BU62">
            <v>406</v>
          </cell>
          <cell r="BV62">
            <v>2709</v>
          </cell>
          <cell r="BW62">
            <v>1500</v>
          </cell>
          <cell r="BX62">
            <v>10266</v>
          </cell>
          <cell r="BY62">
            <v>994</v>
          </cell>
          <cell r="BZ62">
            <v>52</v>
          </cell>
          <cell r="CA62">
            <v>11313</v>
          </cell>
          <cell r="CB62">
            <v>0</v>
          </cell>
          <cell r="CC62">
            <v>0</v>
          </cell>
          <cell r="CD62">
            <v>0</v>
          </cell>
          <cell r="CE62">
            <v>0</v>
          </cell>
          <cell r="CF62">
            <v>0</v>
          </cell>
          <cell r="CG62">
            <v>0</v>
          </cell>
          <cell r="CH62">
            <v>0</v>
          </cell>
          <cell r="CI62">
            <v>0</v>
          </cell>
          <cell r="CJ62">
            <v>0</v>
          </cell>
          <cell r="CK62">
            <v>0</v>
          </cell>
          <cell r="CL62">
            <v>2</v>
          </cell>
          <cell r="CM62">
            <v>1</v>
          </cell>
        </row>
        <row r="63">
          <cell r="A63">
            <v>26543</v>
          </cell>
          <cell r="D63">
            <v>6159</v>
          </cell>
          <cell r="E63">
            <v>1791</v>
          </cell>
          <cell r="F63">
            <v>273</v>
          </cell>
          <cell r="G63">
            <v>2065</v>
          </cell>
          <cell r="H63">
            <v>188</v>
          </cell>
          <cell r="I63">
            <v>2253</v>
          </cell>
          <cell r="J63">
            <v>262</v>
          </cell>
          <cell r="K63">
            <v>479</v>
          </cell>
          <cell r="L63">
            <v>2994</v>
          </cell>
          <cell r="M63">
            <v>1798</v>
          </cell>
          <cell r="N63">
            <v>10951</v>
          </cell>
          <cell r="O63">
            <v>970</v>
          </cell>
          <cell r="P63">
            <v>-188</v>
          </cell>
          <cell r="Q63">
            <v>11734</v>
          </cell>
          <cell r="T63">
            <v>2.6</v>
          </cell>
          <cell r="U63">
            <v>4.4000000000000004</v>
          </cell>
          <cell r="V63">
            <v>4.8</v>
          </cell>
          <cell r="W63">
            <v>4.5</v>
          </cell>
          <cell r="X63">
            <v>6.2</v>
          </cell>
          <cell r="Y63">
            <v>4.5999999999999996</v>
          </cell>
          <cell r="Z63">
            <v>3</v>
          </cell>
          <cell r="AA63">
            <v>3.3</v>
          </cell>
          <cell r="AB63">
            <v>4.3</v>
          </cell>
          <cell r="AC63">
            <v>3.4</v>
          </cell>
          <cell r="AD63">
            <v>3.2</v>
          </cell>
          <cell r="AE63">
            <v>3.2</v>
          </cell>
          <cell r="AF63">
            <v>2.8</v>
          </cell>
          <cell r="AI63">
            <v>6157</v>
          </cell>
          <cell r="AJ63">
            <v>1773</v>
          </cell>
          <cell r="AK63">
            <v>279</v>
          </cell>
          <cell r="AL63">
            <v>2052</v>
          </cell>
          <cell r="AM63">
            <v>190</v>
          </cell>
          <cell r="AN63">
            <v>2242</v>
          </cell>
          <cell r="AO63">
            <v>262</v>
          </cell>
          <cell r="AP63">
            <v>475</v>
          </cell>
          <cell r="AQ63">
            <v>2979</v>
          </cell>
          <cell r="AR63">
            <v>1789</v>
          </cell>
          <cell r="AS63">
            <v>10925</v>
          </cell>
          <cell r="AT63">
            <v>935</v>
          </cell>
          <cell r="AU63">
            <v>-170</v>
          </cell>
          <cell r="AV63">
            <v>11690</v>
          </cell>
          <cell r="AY63">
            <v>2.2000000000000002</v>
          </cell>
          <cell r="AZ63">
            <v>1.9</v>
          </cell>
          <cell r="BA63">
            <v>9.5</v>
          </cell>
          <cell r="BB63">
            <v>2.9</v>
          </cell>
          <cell r="BC63">
            <v>8.1</v>
          </cell>
          <cell r="BD63">
            <v>3.3</v>
          </cell>
          <cell r="BE63">
            <v>2.8</v>
          </cell>
          <cell r="BF63">
            <v>1.5</v>
          </cell>
          <cell r="BG63">
            <v>3</v>
          </cell>
          <cell r="BH63">
            <v>2.1</v>
          </cell>
          <cell r="BI63">
            <v>2.4</v>
          </cell>
          <cell r="BJ63">
            <v>-3.2</v>
          </cell>
          <cell r="BK63">
            <v>1.4</v>
          </cell>
          <cell r="BN63">
            <v>6104</v>
          </cell>
          <cell r="BO63">
            <v>1807</v>
          </cell>
          <cell r="BP63">
            <v>307</v>
          </cell>
          <cell r="BQ63">
            <v>2115</v>
          </cell>
          <cell r="BR63">
            <v>190</v>
          </cell>
          <cell r="BS63">
            <v>2305</v>
          </cell>
          <cell r="BT63">
            <v>262</v>
          </cell>
          <cell r="BU63">
            <v>513</v>
          </cell>
          <cell r="BV63">
            <v>3079</v>
          </cell>
          <cell r="BW63">
            <v>1810</v>
          </cell>
          <cell r="BX63">
            <v>10992</v>
          </cell>
          <cell r="BY63">
            <v>923</v>
          </cell>
          <cell r="BZ63">
            <v>-245</v>
          </cell>
          <cell r="CA63">
            <v>11670</v>
          </cell>
          <cell r="CB63">
            <v>-1</v>
          </cell>
          <cell r="CC63">
            <v>0</v>
          </cell>
          <cell r="CD63">
            <v>0</v>
          </cell>
          <cell r="CE63">
            <v>0</v>
          </cell>
          <cell r="CF63">
            <v>0</v>
          </cell>
          <cell r="CG63">
            <v>0</v>
          </cell>
          <cell r="CH63">
            <v>0</v>
          </cell>
          <cell r="CI63">
            <v>0</v>
          </cell>
          <cell r="CJ63">
            <v>0</v>
          </cell>
          <cell r="CK63">
            <v>0</v>
          </cell>
          <cell r="CL63">
            <v>3</v>
          </cell>
          <cell r="CM63">
            <v>3</v>
          </cell>
        </row>
        <row r="64">
          <cell r="A64">
            <v>26634</v>
          </cell>
          <cell r="D64">
            <v>6350</v>
          </cell>
          <cell r="E64">
            <v>1895</v>
          </cell>
          <cell r="F64">
            <v>282</v>
          </cell>
          <cell r="G64">
            <v>2177</v>
          </cell>
          <cell r="H64">
            <v>198</v>
          </cell>
          <cell r="I64">
            <v>2375</v>
          </cell>
          <cell r="J64">
            <v>271</v>
          </cell>
          <cell r="K64">
            <v>494</v>
          </cell>
          <cell r="L64">
            <v>3139</v>
          </cell>
          <cell r="M64">
            <v>1863</v>
          </cell>
          <cell r="N64">
            <v>11353</v>
          </cell>
          <cell r="O64">
            <v>985</v>
          </cell>
          <cell r="P64">
            <v>-214</v>
          </cell>
          <cell r="Q64">
            <v>12124</v>
          </cell>
          <cell r="T64">
            <v>3.1</v>
          </cell>
          <cell r="U64">
            <v>5.8</v>
          </cell>
          <cell r="V64">
            <v>3</v>
          </cell>
          <cell r="W64">
            <v>5.4</v>
          </cell>
          <cell r="X64">
            <v>5.2</v>
          </cell>
          <cell r="Y64">
            <v>5.4</v>
          </cell>
          <cell r="Z64">
            <v>3.4</v>
          </cell>
          <cell r="AA64">
            <v>3.2</v>
          </cell>
          <cell r="AB64">
            <v>4.9000000000000004</v>
          </cell>
          <cell r="AC64">
            <v>3.6</v>
          </cell>
          <cell r="AD64">
            <v>3.7</v>
          </cell>
          <cell r="AE64">
            <v>1.5</v>
          </cell>
          <cell r="AF64">
            <v>3.3</v>
          </cell>
          <cell r="AI64">
            <v>6340</v>
          </cell>
          <cell r="AJ64">
            <v>1888</v>
          </cell>
          <cell r="AK64">
            <v>285</v>
          </cell>
          <cell r="AL64">
            <v>2173</v>
          </cell>
          <cell r="AM64">
            <v>198</v>
          </cell>
          <cell r="AN64">
            <v>2371</v>
          </cell>
          <cell r="AO64">
            <v>270</v>
          </cell>
          <cell r="AP64">
            <v>497</v>
          </cell>
          <cell r="AQ64">
            <v>3138</v>
          </cell>
          <cell r="AR64">
            <v>1852</v>
          </cell>
          <cell r="AS64">
            <v>11330</v>
          </cell>
          <cell r="AT64">
            <v>1008</v>
          </cell>
          <cell r="AU64">
            <v>-257</v>
          </cell>
          <cell r="AV64">
            <v>12081</v>
          </cell>
          <cell r="AY64">
            <v>3</v>
          </cell>
          <cell r="AZ64">
            <v>6.5</v>
          </cell>
          <cell r="BA64">
            <v>2.1</v>
          </cell>
          <cell r="BB64">
            <v>5.9</v>
          </cell>
          <cell r="BC64">
            <v>4.3</v>
          </cell>
          <cell r="BD64">
            <v>5.8</v>
          </cell>
          <cell r="BE64">
            <v>3.1</v>
          </cell>
          <cell r="BF64">
            <v>4.5</v>
          </cell>
          <cell r="BG64">
            <v>5.3</v>
          </cell>
          <cell r="BH64">
            <v>3.5</v>
          </cell>
          <cell r="BI64">
            <v>3.7</v>
          </cell>
          <cell r="BJ64">
            <v>7.7</v>
          </cell>
          <cell r="BK64">
            <v>3.3</v>
          </cell>
          <cell r="BN64">
            <v>6708</v>
          </cell>
          <cell r="BO64">
            <v>2205</v>
          </cell>
          <cell r="BP64">
            <v>326</v>
          </cell>
          <cell r="BQ64">
            <v>2531</v>
          </cell>
          <cell r="BR64">
            <v>198</v>
          </cell>
          <cell r="BS64">
            <v>2729</v>
          </cell>
          <cell r="BT64">
            <v>270</v>
          </cell>
          <cell r="BU64">
            <v>539</v>
          </cell>
          <cell r="BV64">
            <v>3537</v>
          </cell>
          <cell r="BW64">
            <v>2287</v>
          </cell>
          <cell r="BX64">
            <v>12533</v>
          </cell>
          <cell r="BY64">
            <v>1021</v>
          </cell>
          <cell r="BZ64">
            <v>-420</v>
          </cell>
          <cell r="CA64">
            <v>13134</v>
          </cell>
          <cell r="CB64">
            <v>0</v>
          </cell>
          <cell r="CC64">
            <v>0</v>
          </cell>
          <cell r="CD64">
            <v>0</v>
          </cell>
          <cell r="CE64">
            <v>0</v>
          </cell>
          <cell r="CF64">
            <v>0</v>
          </cell>
          <cell r="CG64">
            <v>0</v>
          </cell>
          <cell r="CH64">
            <v>0</v>
          </cell>
          <cell r="CI64">
            <v>0</v>
          </cell>
          <cell r="CJ64">
            <v>0</v>
          </cell>
          <cell r="CK64">
            <v>-1</v>
          </cell>
          <cell r="CL64">
            <v>3</v>
          </cell>
          <cell r="CM64">
            <v>4</v>
          </cell>
        </row>
        <row r="65">
          <cell r="A65">
            <v>26724</v>
          </cell>
          <cell r="D65">
            <v>6612</v>
          </cell>
          <cell r="E65">
            <v>2014</v>
          </cell>
          <cell r="F65">
            <v>287</v>
          </cell>
          <cell r="G65">
            <v>2301</v>
          </cell>
          <cell r="H65">
            <v>202</v>
          </cell>
          <cell r="I65">
            <v>2503</v>
          </cell>
          <cell r="J65">
            <v>280</v>
          </cell>
          <cell r="K65">
            <v>511</v>
          </cell>
          <cell r="L65">
            <v>3294</v>
          </cell>
          <cell r="M65">
            <v>1985</v>
          </cell>
          <cell r="N65">
            <v>11892</v>
          </cell>
          <cell r="O65">
            <v>1002</v>
          </cell>
          <cell r="P65">
            <v>-259</v>
          </cell>
          <cell r="Q65">
            <v>12635</v>
          </cell>
          <cell r="T65">
            <v>4.0999999999999996</v>
          </cell>
          <cell r="U65">
            <v>6.3</v>
          </cell>
          <cell r="V65">
            <v>1.9</v>
          </cell>
          <cell r="W65">
            <v>5.7</v>
          </cell>
          <cell r="X65">
            <v>2.1</v>
          </cell>
          <cell r="Y65">
            <v>5.4</v>
          </cell>
          <cell r="Z65">
            <v>3.6</v>
          </cell>
          <cell r="AA65">
            <v>3.4</v>
          </cell>
          <cell r="AB65">
            <v>4.9000000000000004</v>
          </cell>
          <cell r="AC65">
            <v>6.5</v>
          </cell>
          <cell r="AD65">
            <v>4.7</v>
          </cell>
          <cell r="AE65">
            <v>1.7</v>
          </cell>
          <cell r="AF65">
            <v>4.2</v>
          </cell>
          <cell r="AI65">
            <v>6584</v>
          </cell>
          <cell r="AJ65">
            <v>2043</v>
          </cell>
          <cell r="AK65">
            <v>275</v>
          </cell>
          <cell r="AL65">
            <v>2319</v>
          </cell>
          <cell r="AM65">
            <v>203</v>
          </cell>
          <cell r="AN65">
            <v>2522</v>
          </cell>
          <cell r="AO65">
            <v>280</v>
          </cell>
          <cell r="AP65">
            <v>508</v>
          </cell>
          <cell r="AQ65">
            <v>3310</v>
          </cell>
          <cell r="AR65">
            <v>2042</v>
          </cell>
          <cell r="AS65">
            <v>11937</v>
          </cell>
          <cell r="AT65">
            <v>1016</v>
          </cell>
          <cell r="AU65">
            <v>-270</v>
          </cell>
          <cell r="AV65">
            <v>12683</v>
          </cell>
          <cell r="AY65">
            <v>3.9</v>
          </cell>
          <cell r="AZ65">
            <v>8.1999999999999993</v>
          </cell>
          <cell r="BA65">
            <v>-3.5</v>
          </cell>
          <cell r="BB65">
            <v>6.7</v>
          </cell>
          <cell r="BC65">
            <v>2.5</v>
          </cell>
          <cell r="BD65">
            <v>6.4</v>
          </cell>
          <cell r="BE65">
            <v>3.8</v>
          </cell>
          <cell r="BF65">
            <v>2.2000000000000002</v>
          </cell>
          <cell r="BG65">
            <v>5.5</v>
          </cell>
          <cell r="BH65">
            <v>10.3</v>
          </cell>
          <cell r="BI65">
            <v>5.4</v>
          </cell>
          <cell r="BJ65">
            <v>0.8</v>
          </cell>
          <cell r="BK65">
            <v>5</v>
          </cell>
          <cell r="BN65">
            <v>6181</v>
          </cell>
          <cell r="BO65">
            <v>1770</v>
          </cell>
          <cell r="BP65">
            <v>238</v>
          </cell>
          <cell r="BQ65">
            <v>2008</v>
          </cell>
          <cell r="BR65">
            <v>203</v>
          </cell>
          <cell r="BS65">
            <v>2211</v>
          </cell>
          <cell r="BT65">
            <v>280</v>
          </cell>
          <cell r="BU65">
            <v>492</v>
          </cell>
          <cell r="BV65">
            <v>2983</v>
          </cell>
          <cell r="BW65">
            <v>1889</v>
          </cell>
          <cell r="BX65">
            <v>11054</v>
          </cell>
          <cell r="BY65">
            <v>1005</v>
          </cell>
          <cell r="BZ65">
            <v>-136</v>
          </cell>
          <cell r="CA65">
            <v>11922</v>
          </cell>
          <cell r="CB65">
            <v>1</v>
          </cell>
          <cell r="CC65">
            <v>0</v>
          </cell>
          <cell r="CD65">
            <v>1</v>
          </cell>
          <cell r="CE65">
            <v>0</v>
          </cell>
          <cell r="CF65">
            <v>0</v>
          </cell>
          <cell r="CG65">
            <v>0</v>
          </cell>
          <cell r="CH65">
            <v>0</v>
          </cell>
          <cell r="CI65">
            <v>1</v>
          </cell>
          <cell r="CJ65">
            <v>0</v>
          </cell>
          <cell r="CK65">
            <v>0</v>
          </cell>
          <cell r="CL65">
            <v>3</v>
          </cell>
          <cell r="CM65">
            <v>3</v>
          </cell>
        </row>
        <row r="66">
          <cell r="A66">
            <v>26816</v>
          </cell>
          <cell r="D66">
            <v>6932</v>
          </cell>
          <cell r="E66">
            <v>2124</v>
          </cell>
          <cell r="F66">
            <v>286</v>
          </cell>
          <cell r="G66">
            <v>2410</v>
          </cell>
          <cell r="H66">
            <v>200</v>
          </cell>
          <cell r="I66">
            <v>2610</v>
          </cell>
          <cell r="J66">
            <v>290</v>
          </cell>
          <cell r="K66">
            <v>532</v>
          </cell>
          <cell r="L66">
            <v>3431</v>
          </cell>
          <cell r="M66">
            <v>2175</v>
          </cell>
          <cell r="N66">
            <v>12539</v>
          </cell>
          <cell r="O66">
            <v>1047</v>
          </cell>
          <cell r="P66">
            <v>-274</v>
          </cell>
          <cell r="Q66">
            <v>13312</v>
          </cell>
          <cell r="T66">
            <v>4.8</v>
          </cell>
          <cell r="U66">
            <v>5.4</v>
          </cell>
          <cell r="V66">
            <v>-0.3</v>
          </cell>
          <cell r="W66">
            <v>4.7</v>
          </cell>
          <cell r="X66">
            <v>-1.1000000000000001</v>
          </cell>
          <cell r="Y66">
            <v>4.3</v>
          </cell>
          <cell r="Z66">
            <v>3.5</v>
          </cell>
          <cell r="AA66">
            <v>4.0999999999999996</v>
          </cell>
          <cell r="AB66">
            <v>4.2</v>
          </cell>
          <cell r="AC66">
            <v>9.6</v>
          </cell>
          <cell r="AD66">
            <v>5.4</v>
          </cell>
          <cell r="AE66">
            <v>4.5</v>
          </cell>
          <cell r="AF66">
            <v>5.4</v>
          </cell>
          <cell r="AI66">
            <v>6975</v>
          </cell>
          <cell r="AJ66">
            <v>2077</v>
          </cell>
          <cell r="AK66">
            <v>298</v>
          </cell>
          <cell r="AL66">
            <v>2375</v>
          </cell>
          <cell r="AM66">
            <v>203</v>
          </cell>
          <cell r="AN66">
            <v>2578</v>
          </cell>
          <cell r="AO66">
            <v>292</v>
          </cell>
          <cell r="AP66">
            <v>533</v>
          </cell>
          <cell r="AQ66">
            <v>3403</v>
          </cell>
          <cell r="AR66">
            <v>2012</v>
          </cell>
          <cell r="AS66">
            <v>12391</v>
          </cell>
          <cell r="AT66">
            <v>1008</v>
          </cell>
          <cell r="AU66">
            <v>-122</v>
          </cell>
          <cell r="AV66">
            <v>13276</v>
          </cell>
          <cell r="AY66">
            <v>5.9</v>
          </cell>
          <cell r="AZ66">
            <v>1.6</v>
          </cell>
          <cell r="BA66">
            <v>8</v>
          </cell>
          <cell r="BB66">
            <v>2.4</v>
          </cell>
          <cell r="BC66">
            <v>0</v>
          </cell>
          <cell r="BD66">
            <v>2.2000000000000002</v>
          </cell>
          <cell r="BE66">
            <v>4.4000000000000004</v>
          </cell>
          <cell r="BF66">
            <v>5</v>
          </cell>
          <cell r="BG66">
            <v>2.8</v>
          </cell>
          <cell r="BH66">
            <v>-1.5</v>
          </cell>
          <cell r="BI66">
            <v>3.8</v>
          </cell>
          <cell r="BJ66">
            <v>-0.8</v>
          </cell>
          <cell r="BK66">
            <v>4.7</v>
          </cell>
          <cell r="BN66">
            <v>6968</v>
          </cell>
          <cell r="BO66">
            <v>1971</v>
          </cell>
          <cell r="BP66">
            <v>263</v>
          </cell>
          <cell r="BQ66">
            <v>2234</v>
          </cell>
          <cell r="BR66">
            <v>203</v>
          </cell>
          <cell r="BS66">
            <v>2437</v>
          </cell>
          <cell r="BT66">
            <v>292</v>
          </cell>
          <cell r="BU66">
            <v>463</v>
          </cell>
          <cell r="BV66">
            <v>3192</v>
          </cell>
          <cell r="BW66">
            <v>1716</v>
          </cell>
          <cell r="BX66">
            <v>11876</v>
          </cell>
          <cell r="BY66">
            <v>1015</v>
          </cell>
          <cell r="BZ66">
            <v>138</v>
          </cell>
          <cell r="CA66">
            <v>13029</v>
          </cell>
          <cell r="CB66">
            <v>0</v>
          </cell>
          <cell r="CC66">
            <v>0</v>
          </cell>
          <cell r="CD66">
            <v>0</v>
          </cell>
          <cell r="CE66">
            <v>0</v>
          </cell>
          <cell r="CF66">
            <v>0</v>
          </cell>
          <cell r="CG66">
            <v>0</v>
          </cell>
          <cell r="CH66">
            <v>1</v>
          </cell>
          <cell r="CI66">
            <v>0</v>
          </cell>
          <cell r="CJ66">
            <v>0</v>
          </cell>
          <cell r="CK66">
            <v>0</v>
          </cell>
          <cell r="CL66">
            <v>0</v>
          </cell>
          <cell r="CM66">
            <v>-1</v>
          </cell>
        </row>
        <row r="67">
          <cell r="A67">
            <v>26908</v>
          </cell>
          <cell r="D67">
            <v>7290</v>
          </cell>
          <cell r="E67">
            <v>2205</v>
          </cell>
          <cell r="F67">
            <v>284</v>
          </cell>
          <cell r="G67">
            <v>2488</v>
          </cell>
          <cell r="H67">
            <v>196</v>
          </cell>
          <cell r="I67">
            <v>2684</v>
          </cell>
          <cell r="J67">
            <v>300</v>
          </cell>
          <cell r="K67">
            <v>553</v>
          </cell>
          <cell r="L67">
            <v>3536</v>
          </cell>
          <cell r="M67">
            <v>2328</v>
          </cell>
          <cell r="N67">
            <v>13155</v>
          </cell>
          <cell r="O67">
            <v>1122</v>
          </cell>
          <cell r="P67">
            <v>-184</v>
          </cell>
          <cell r="Q67">
            <v>14092</v>
          </cell>
          <cell r="T67">
            <v>5.2</v>
          </cell>
          <cell r="U67">
            <v>3.8</v>
          </cell>
          <cell r="V67">
            <v>-0.8</v>
          </cell>
          <cell r="W67">
            <v>3.3</v>
          </cell>
          <cell r="X67">
            <v>-2.2999999999999998</v>
          </cell>
          <cell r="Y67">
            <v>2.8</v>
          </cell>
          <cell r="Z67">
            <v>3.4</v>
          </cell>
          <cell r="AA67">
            <v>4</v>
          </cell>
          <cell r="AB67">
            <v>3.1</v>
          </cell>
          <cell r="AC67">
            <v>7</v>
          </cell>
          <cell r="AD67">
            <v>4.9000000000000004</v>
          </cell>
          <cell r="AE67">
            <v>7.2</v>
          </cell>
          <cell r="AF67">
            <v>5.9</v>
          </cell>
          <cell r="AI67">
            <v>7282</v>
          </cell>
          <cell r="AJ67">
            <v>2250</v>
          </cell>
          <cell r="AK67">
            <v>284</v>
          </cell>
          <cell r="AL67">
            <v>2533</v>
          </cell>
          <cell r="AM67">
            <v>193</v>
          </cell>
          <cell r="AN67">
            <v>2726</v>
          </cell>
          <cell r="AO67">
            <v>299</v>
          </cell>
          <cell r="AP67">
            <v>552</v>
          </cell>
          <cell r="AQ67">
            <v>3577</v>
          </cell>
          <cell r="AR67">
            <v>2504</v>
          </cell>
          <cell r="AS67">
            <v>13363</v>
          </cell>
          <cell r="AT67">
            <v>1126</v>
          </cell>
          <cell r="AU67">
            <v>-470</v>
          </cell>
          <cell r="AV67">
            <v>14019</v>
          </cell>
          <cell r="AY67">
            <v>4.4000000000000004</v>
          </cell>
          <cell r="AZ67">
            <v>8.3000000000000007</v>
          </cell>
          <cell r="BA67">
            <v>-4.7</v>
          </cell>
          <cell r="BB67">
            <v>6.7</v>
          </cell>
          <cell r="BC67">
            <v>-5</v>
          </cell>
          <cell r="BD67">
            <v>5.8</v>
          </cell>
          <cell r="BE67">
            <v>2.2999999999999998</v>
          </cell>
          <cell r="BF67">
            <v>3.4</v>
          </cell>
          <cell r="BG67">
            <v>5.0999999999999996</v>
          </cell>
          <cell r="BH67">
            <v>24.4</v>
          </cell>
          <cell r="BI67">
            <v>7.8</v>
          </cell>
          <cell r="BJ67">
            <v>11.7</v>
          </cell>
          <cell r="BK67">
            <v>5.6</v>
          </cell>
          <cell r="BN67">
            <v>7235</v>
          </cell>
          <cell r="BO67">
            <v>2278</v>
          </cell>
          <cell r="BP67">
            <v>312</v>
          </cell>
          <cell r="BQ67">
            <v>2590</v>
          </cell>
          <cell r="BR67">
            <v>193</v>
          </cell>
          <cell r="BS67">
            <v>2783</v>
          </cell>
          <cell r="BT67">
            <v>299</v>
          </cell>
          <cell r="BU67">
            <v>597</v>
          </cell>
          <cell r="BV67">
            <v>3679</v>
          </cell>
          <cell r="BW67">
            <v>2293</v>
          </cell>
          <cell r="BX67">
            <v>13207</v>
          </cell>
          <cell r="BY67">
            <v>1106</v>
          </cell>
          <cell r="BZ67">
            <v>-435</v>
          </cell>
          <cell r="CA67">
            <v>13877</v>
          </cell>
          <cell r="CB67">
            <v>0</v>
          </cell>
          <cell r="CC67">
            <v>0</v>
          </cell>
          <cell r="CD67">
            <v>0</v>
          </cell>
          <cell r="CE67">
            <v>0</v>
          </cell>
          <cell r="CF67">
            <v>0</v>
          </cell>
          <cell r="CG67">
            <v>0</v>
          </cell>
          <cell r="CH67">
            <v>0</v>
          </cell>
          <cell r="CI67">
            <v>0</v>
          </cell>
          <cell r="CJ67">
            <v>0</v>
          </cell>
          <cell r="CK67">
            <v>0</v>
          </cell>
          <cell r="CL67">
            <v>-3</v>
          </cell>
          <cell r="CM67">
            <v>-4</v>
          </cell>
        </row>
        <row r="68">
          <cell r="A68">
            <v>26999</v>
          </cell>
          <cell r="D68">
            <v>7659</v>
          </cell>
          <cell r="E68">
            <v>2194</v>
          </cell>
          <cell r="F68">
            <v>288</v>
          </cell>
          <cell r="G68">
            <v>2482</v>
          </cell>
          <cell r="H68">
            <v>194</v>
          </cell>
          <cell r="I68">
            <v>2675</v>
          </cell>
          <cell r="J68">
            <v>312</v>
          </cell>
          <cell r="K68">
            <v>575</v>
          </cell>
          <cell r="L68">
            <v>3563</v>
          </cell>
          <cell r="M68">
            <v>2436</v>
          </cell>
          <cell r="N68">
            <v>13658</v>
          </cell>
          <cell r="O68">
            <v>1208</v>
          </cell>
          <cell r="P68">
            <v>-61</v>
          </cell>
          <cell r="Q68">
            <v>14805</v>
          </cell>
          <cell r="T68">
            <v>5.0999999999999996</v>
          </cell>
          <cell r="U68">
            <v>-0.5</v>
          </cell>
          <cell r="V68">
            <v>1.5</v>
          </cell>
          <cell r="W68">
            <v>-0.3</v>
          </cell>
          <cell r="X68">
            <v>-0.8</v>
          </cell>
          <cell r="Y68">
            <v>-0.3</v>
          </cell>
          <cell r="Z68">
            <v>4.2</v>
          </cell>
          <cell r="AA68">
            <v>4</v>
          </cell>
          <cell r="AB68">
            <v>0.7</v>
          </cell>
          <cell r="AC68">
            <v>4.5999999999999996</v>
          </cell>
          <cell r="AD68">
            <v>3.8</v>
          </cell>
          <cell r="AE68">
            <v>7.6</v>
          </cell>
          <cell r="AF68">
            <v>5.0999999999999996</v>
          </cell>
          <cell r="AI68">
            <v>7665</v>
          </cell>
          <cell r="AJ68">
            <v>2175</v>
          </cell>
          <cell r="AK68">
            <v>274</v>
          </cell>
          <cell r="AL68">
            <v>2448</v>
          </cell>
          <cell r="AM68">
            <v>194</v>
          </cell>
          <cell r="AN68">
            <v>2642</v>
          </cell>
          <cell r="AO68">
            <v>311</v>
          </cell>
          <cell r="AP68">
            <v>580</v>
          </cell>
          <cell r="AQ68">
            <v>3534</v>
          </cell>
          <cell r="AR68">
            <v>2417</v>
          </cell>
          <cell r="AS68">
            <v>13615</v>
          </cell>
          <cell r="AT68">
            <v>1241</v>
          </cell>
          <cell r="AU68">
            <v>89</v>
          </cell>
          <cell r="AV68">
            <v>14946</v>
          </cell>
          <cell r="AY68">
            <v>5.3</v>
          </cell>
          <cell r="AZ68">
            <v>-3.3</v>
          </cell>
          <cell r="BA68">
            <v>-3.6</v>
          </cell>
          <cell r="BB68">
            <v>-3.4</v>
          </cell>
          <cell r="BC68">
            <v>0.5</v>
          </cell>
          <cell r="BD68">
            <v>-3.1</v>
          </cell>
          <cell r="BE68">
            <v>4.0999999999999996</v>
          </cell>
          <cell r="BF68">
            <v>5.2</v>
          </cell>
          <cell r="BG68">
            <v>-1.2</v>
          </cell>
          <cell r="BH68">
            <v>-3.5</v>
          </cell>
          <cell r="BI68">
            <v>1.9</v>
          </cell>
          <cell r="BJ68">
            <v>10.3</v>
          </cell>
          <cell r="BK68">
            <v>6.6</v>
          </cell>
          <cell r="BN68">
            <v>8128</v>
          </cell>
          <cell r="BO68">
            <v>2565</v>
          </cell>
          <cell r="BP68">
            <v>311</v>
          </cell>
          <cell r="BQ68">
            <v>2877</v>
          </cell>
          <cell r="BR68">
            <v>194</v>
          </cell>
          <cell r="BS68">
            <v>3070</v>
          </cell>
          <cell r="BT68">
            <v>311</v>
          </cell>
          <cell r="BU68">
            <v>628</v>
          </cell>
          <cell r="BV68">
            <v>4010</v>
          </cell>
          <cell r="BW68">
            <v>3032</v>
          </cell>
          <cell r="BX68">
            <v>15170</v>
          </cell>
          <cell r="BY68">
            <v>1266</v>
          </cell>
          <cell r="BZ68">
            <v>-98</v>
          </cell>
          <cell r="CA68">
            <v>16338</v>
          </cell>
          <cell r="CB68">
            <v>0</v>
          </cell>
          <cell r="CC68">
            <v>0</v>
          </cell>
          <cell r="CD68">
            <v>0</v>
          </cell>
          <cell r="CE68">
            <v>0</v>
          </cell>
          <cell r="CF68">
            <v>1</v>
          </cell>
          <cell r="CG68">
            <v>0</v>
          </cell>
          <cell r="CH68">
            <v>0</v>
          </cell>
          <cell r="CI68">
            <v>-1</v>
          </cell>
          <cell r="CJ68">
            <v>0</v>
          </cell>
          <cell r="CK68">
            <v>0</v>
          </cell>
          <cell r="CL68">
            <v>-8</v>
          </cell>
          <cell r="CM68">
            <v>-8</v>
          </cell>
        </row>
        <row r="69">
          <cell r="A69">
            <v>27089</v>
          </cell>
          <cell r="D69">
            <v>8149</v>
          </cell>
          <cell r="E69">
            <v>2092</v>
          </cell>
          <cell r="F69">
            <v>291</v>
          </cell>
          <cell r="G69">
            <v>2383</v>
          </cell>
          <cell r="H69">
            <v>201</v>
          </cell>
          <cell r="I69">
            <v>2585</v>
          </cell>
          <cell r="J69">
            <v>332</v>
          </cell>
          <cell r="K69">
            <v>603</v>
          </cell>
          <cell r="L69">
            <v>3519</v>
          </cell>
          <cell r="M69">
            <v>2451</v>
          </cell>
          <cell r="N69">
            <v>14120</v>
          </cell>
          <cell r="O69">
            <v>1284</v>
          </cell>
          <cell r="P69">
            <v>-16</v>
          </cell>
          <cell r="Q69">
            <v>15388</v>
          </cell>
          <cell r="T69">
            <v>6.4</v>
          </cell>
          <cell r="U69">
            <v>-4.5999999999999996</v>
          </cell>
          <cell r="V69">
            <v>1.2</v>
          </cell>
          <cell r="W69">
            <v>-4</v>
          </cell>
          <cell r="X69">
            <v>3.8</v>
          </cell>
          <cell r="Y69">
            <v>-3.4</v>
          </cell>
          <cell r="Z69">
            <v>6.4</v>
          </cell>
          <cell r="AA69">
            <v>4.8</v>
          </cell>
          <cell r="AB69">
            <v>-1.2</v>
          </cell>
          <cell r="AC69">
            <v>0.6</v>
          </cell>
          <cell r="AD69">
            <v>3.4</v>
          </cell>
          <cell r="AE69">
            <v>6.3</v>
          </cell>
          <cell r="AF69">
            <v>3.9</v>
          </cell>
          <cell r="AI69">
            <v>8161</v>
          </cell>
          <cell r="AJ69">
            <v>2191</v>
          </cell>
          <cell r="AK69">
            <v>298</v>
          </cell>
          <cell r="AL69">
            <v>2489</v>
          </cell>
          <cell r="AM69">
            <v>201</v>
          </cell>
          <cell r="AN69">
            <v>2689</v>
          </cell>
          <cell r="AO69">
            <v>331</v>
          </cell>
          <cell r="AP69">
            <v>595</v>
          </cell>
          <cell r="AQ69">
            <v>3616</v>
          </cell>
          <cell r="AR69">
            <v>2312</v>
          </cell>
          <cell r="AS69">
            <v>14088</v>
          </cell>
          <cell r="AT69">
            <v>1273</v>
          </cell>
          <cell r="AU69">
            <v>110</v>
          </cell>
          <cell r="AV69">
            <v>15472</v>
          </cell>
          <cell r="AY69">
            <v>6.5</v>
          </cell>
          <cell r="AZ69">
            <v>0.7</v>
          </cell>
          <cell r="BA69">
            <v>8.9</v>
          </cell>
          <cell r="BB69">
            <v>1.6</v>
          </cell>
          <cell r="BC69">
            <v>3.6</v>
          </cell>
          <cell r="BD69">
            <v>1.8</v>
          </cell>
          <cell r="BE69">
            <v>6.3</v>
          </cell>
          <cell r="BF69">
            <v>2.6</v>
          </cell>
          <cell r="BG69">
            <v>2.2999999999999998</v>
          </cell>
          <cell r="BH69">
            <v>-4.3</v>
          </cell>
          <cell r="BI69">
            <v>3.5</v>
          </cell>
          <cell r="BJ69">
            <v>2.5</v>
          </cell>
          <cell r="BK69">
            <v>3.5</v>
          </cell>
          <cell r="BN69">
            <v>7587</v>
          </cell>
          <cell r="BO69">
            <v>1880</v>
          </cell>
          <cell r="BP69">
            <v>259</v>
          </cell>
          <cell r="BQ69">
            <v>2138</v>
          </cell>
          <cell r="BR69">
            <v>201</v>
          </cell>
          <cell r="BS69">
            <v>2339</v>
          </cell>
          <cell r="BT69">
            <v>331</v>
          </cell>
          <cell r="BU69">
            <v>577</v>
          </cell>
          <cell r="BV69">
            <v>3247</v>
          </cell>
          <cell r="BW69">
            <v>2539</v>
          </cell>
          <cell r="BX69">
            <v>13373</v>
          </cell>
          <cell r="BY69">
            <v>1261</v>
          </cell>
          <cell r="BZ69">
            <v>155</v>
          </cell>
          <cell r="CA69">
            <v>14789</v>
          </cell>
          <cell r="CB69">
            <v>-1</v>
          </cell>
          <cell r="CC69">
            <v>0</v>
          </cell>
          <cell r="CD69">
            <v>0</v>
          </cell>
          <cell r="CE69">
            <v>0</v>
          </cell>
          <cell r="CF69">
            <v>0</v>
          </cell>
          <cell r="CG69">
            <v>0</v>
          </cell>
          <cell r="CH69">
            <v>0</v>
          </cell>
          <cell r="CI69">
            <v>0</v>
          </cell>
          <cell r="CJ69">
            <v>0</v>
          </cell>
          <cell r="CK69">
            <v>0</v>
          </cell>
          <cell r="CL69">
            <v>-8</v>
          </cell>
          <cell r="CM69">
            <v>-7</v>
          </cell>
        </row>
        <row r="70">
          <cell r="A70">
            <v>27181</v>
          </cell>
          <cell r="D70">
            <v>8822</v>
          </cell>
          <cell r="E70">
            <v>2018</v>
          </cell>
          <cell r="F70">
            <v>291</v>
          </cell>
          <cell r="G70">
            <v>2309</v>
          </cell>
          <cell r="H70">
            <v>218</v>
          </cell>
          <cell r="I70">
            <v>2527</v>
          </cell>
          <cell r="J70">
            <v>360</v>
          </cell>
          <cell r="K70">
            <v>634</v>
          </cell>
          <cell r="L70">
            <v>3522</v>
          </cell>
          <cell r="M70">
            <v>2374</v>
          </cell>
          <cell r="N70">
            <v>14718</v>
          </cell>
          <cell r="O70">
            <v>1360</v>
          </cell>
          <cell r="P70">
            <v>-90</v>
          </cell>
          <cell r="Q70">
            <v>15987</v>
          </cell>
          <cell r="T70">
            <v>8.3000000000000007</v>
          </cell>
          <cell r="U70">
            <v>-3.5</v>
          </cell>
          <cell r="V70">
            <v>-0.1</v>
          </cell>
          <cell r="W70">
            <v>-3.1</v>
          </cell>
          <cell r="X70">
            <v>8.4</v>
          </cell>
          <cell r="Y70">
            <v>-2.2000000000000002</v>
          </cell>
          <cell r="Z70">
            <v>8.5</v>
          </cell>
          <cell r="AA70">
            <v>5.2</v>
          </cell>
          <cell r="AB70">
            <v>0.1</v>
          </cell>
          <cell r="AC70">
            <v>-3.2</v>
          </cell>
          <cell r="AD70">
            <v>4.2</v>
          </cell>
          <cell r="AE70">
            <v>5.9</v>
          </cell>
          <cell r="AF70">
            <v>3.9</v>
          </cell>
          <cell r="AI70">
            <v>8653</v>
          </cell>
          <cell r="AJ70">
            <v>1877</v>
          </cell>
          <cell r="AK70">
            <v>310</v>
          </cell>
          <cell r="AL70">
            <v>2187</v>
          </cell>
          <cell r="AM70">
            <v>215</v>
          </cell>
          <cell r="AN70">
            <v>2401</v>
          </cell>
          <cell r="AO70">
            <v>359</v>
          </cell>
          <cell r="AP70">
            <v>635</v>
          </cell>
          <cell r="AQ70">
            <v>3394</v>
          </cell>
          <cell r="AR70">
            <v>2596</v>
          </cell>
          <cell r="AS70">
            <v>14643</v>
          </cell>
          <cell r="AT70">
            <v>1328</v>
          </cell>
          <cell r="AU70">
            <v>-228</v>
          </cell>
          <cell r="AV70">
            <v>15743</v>
          </cell>
          <cell r="AY70">
            <v>6</v>
          </cell>
          <cell r="AZ70">
            <v>-14.3</v>
          </cell>
          <cell r="BA70">
            <v>4.0999999999999996</v>
          </cell>
          <cell r="BB70">
            <v>-12.1</v>
          </cell>
          <cell r="BC70">
            <v>7</v>
          </cell>
          <cell r="BD70">
            <v>-10.7</v>
          </cell>
          <cell r="BE70">
            <v>8.1999999999999993</v>
          </cell>
          <cell r="BF70">
            <v>6.6</v>
          </cell>
          <cell r="BG70">
            <v>-6.1</v>
          </cell>
          <cell r="BH70">
            <v>12.3</v>
          </cell>
          <cell r="BI70">
            <v>3.9</v>
          </cell>
          <cell r="BJ70">
            <v>4.3</v>
          </cell>
          <cell r="BK70">
            <v>1.8</v>
          </cell>
          <cell r="BN70">
            <v>8816</v>
          </cell>
          <cell r="BO70">
            <v>1791</v>
          </cell>
          <cell r="BP70">
            <v>273</v>
          </cell>
          <cell r="BQ70">
            <v>2064</v>
          </cell>
          <cell r="BR70">
            <v>215</v>
          </cell>
          <cell r="BS70">
            <v>2279</v>
          </cell>
          <cell r="BT70">
            <v>359</v>
          </cell>
          <cell r="BU70">
            <v>549</v>
          </cell>
          <cell r="BV70">
            <v>3186</v>
          </cell>
          <cell r="BW70">
            <v>1983</v>
          </cell>
          <cell r="BX70">
            <v>13985</v>
          </cell>
          <cell r="BY70">
            <v>1332</v>
          </cell>
          <cell r="BZ70">
            <v>-40</v>
          </cell>
          <cell r="CA70">
            <v>15277</v>
          </cell>
          <cell r="CB70">
            <v>0</v>
          </cell>
          <cell r="CC70">
            <v>0</v>
          </cell>
          <cell r="CD70">
            <v>0</v>
          </cell>
          <cell r="CE70">
            <v>0</v>
          </cell>
          <cell r="CF70">
            <v>-1</v>
          </cell>
          <cell r="CG70">
            <v>-1</v>
          </cell>
          <cell r="CH70">
            <v>0</v>
          </cell>
          <cell r="CI70">
            <v>0</v>
          </cell>
          <cell r="CJ70">
            <v>0</v>
          </cell>
          <cell r="CK70">
            <v>0</v>
          </cell>
          <cell r="CL70">
            <v>-8</v>
          </cell>
          <cell r="CM70">
            <v>-9</v>
          </cell>
        </row>
        <row r="71">
          <cell r="A71">
            <v>27273</v>
          </cell>
          <cell r="D71">
            <v>9557</v>
          </cell>
          <cell r="E71">
            <v>2027</v>
          </cell>
          <cell r="F71">
            <v>287</v>
          </cell>
          <cell r="G71">
            <v>2313</v>
          </cell>
          <cell r="H71">
            <v>238</v>
          </cell>
          <cell r="I71">
            <v>2552</v>
          </cell>
          <cell r="J71">
            <v>392</v>
          </cell>
          <cell r="K71">
            <v>671</v>
          </cell>
          <cell r="L71">
            <v>3614</v>
          </cell>
          <cell r="M71">
            <v>2291</v>
          </cell>
          <cell r="N71">
            <v>15462</v>
          </cell>
          <cell r="O71">
            <v>1435</v>
          </cell>
          <cell r="P71">
            <v>-212</v>
          </cell>
          <cell r="Q71">
            <v>16685</v>
          </cell>
          <cell r="T71">
            <v>8.3000000000000007</v>
          </cell>
          <cell r="U71">
            <v>0.4</v>
          </cell>
          <cell r="V71">
            <v>-1.5</v>
          </cell>
          <cell r="W71">
            <v>0.2</v>
          </cell>
          <cell r="X71">
            <v>9.1999999999999993</v>
          </cell>
          <cell r="Y71">
            <v>1</v>
          </cell>
          <cell r="Z71">
            <v>8.8000000000000007</v>
          </cell>
          <cell r="AA71">
            <v>5.8</v>
          </cell>
          <cell r="AB71">
            <v>2.6</v>
          </cell>
          <cell r="AC71">
            <v>-3.5</v>
          </cell>
          <cell r="AD71">
            <v>5.0999999999999996</v>
          </cell>
          <cell r="AE71">
            <v>5.5</v>
          </cell>
          <cell r="AF71">
            <v>4.4000000000000004</v>
          </cell>
          <cell r="AI71">
            <v>9705</v>
          </cell>
          <cell r="AJ71">
            <v>2042</v>
          </cell>
          <cell r="AK71">
            <v>261</v>
          </cell>
          <cell r="AL71">
            <v>2304</v>
          </cell>
          <cell r="AM71">
            <v>242</v>
          </cell>
          <cell r="AN71">
            <v>2546</v>
          </cell>
          <cell r="AO71">
            <v>395</v>
          </cell>
          <cell r="AP71">
            <v>680</v>
          </cell>
          <cell r="AQ71">
            <v>3621</v>
          </cell>
          <cell r="AR71">
            <v>2151</v>
          </cell>
          <cell r="AS71">
            <v>15477</v>
          </cell>
          <cell r="AT71">
            <v>1469</v>
          </cell>
          <cell r="AU71">
            <v>-215</v>
          </cell>
          <cell r="AV71">
            <v>16732</v>
          </cell>
          <cell r="AY71">
            <v>12.2</v>
          </cell>
          <cell r="AZ71">
            <v>8.8000000000000007</v>
          </cell>
          <cell r="BA71">
            <v>-15.7</v>
          </cell>
          <cell r="BB71">
            <v>5.4</v>
          </cell>
          <cell r="BC71">
            <v>12.6</v>
          </cell>
          <cell r="BD71">
            <v>6</v>
          </cell>
          <cell r="BE71">
            <v>10.1</v>
          </cell>
          <cell r="BF71">
            <v>7.2</v>
          </cell>
          <cell r="BG71">
            <v>6.7</v>
          </cell>
          <cell r="BH71">
            <v>-17.100000000000001</v>
          </cell>
          <cell r="BI71">
            <v>5.7</v>
          </cell>
          <cell r="BJ71">
            <v>10.6</v>
          </cell>
          <cell r="BK71">
            <v>6.3</v>
          </cell>
          <cell r="BN71">
            <v>9534</v>
          </cell>
          <cell r="BO71">
            <v>2057</v>
          </cell>
          <cell r="BP71">
            <v>290</v>
          </cell>
          <cell r="BQ71">
            <v>2346</v>
          </cell>
          <cell r="BR71">
            <v>242</v>
          </cell>
          <cell r="BS71">
            <v>2588</v>
          </cell>
          <cell r="BT71">
            <v>395</v>
          </cell>
          <cell r="BU71">
            <v>739</v>
          </cell>
          <cell r="BV71">
            <v>3722</v>
          </cell>
          <cell r="BW71">
            <v>1943</v>
          </cell>
          <cell r="BX71">
            <v>15198</v>
          </cell>
          <cell r="BY71">
            <v>1451</v>
          </cell>
          <cell r="BZ71">
            <v>-215</v>
          </cell>
          <cell r="CA71">
            <v>16434</v>
          </cell>
          <cell r="CB71">
            <v>0</v>
          </cell>
          <cell r="CC71">
            <v>0</v>
          </cell>
          <cell r="CD71">
            <v>1</v>
          </cell>
          <cell r="CE71">
            <v>0</v>
          </cell>
          <cell r="CF71">
            <v>0</v>
          </cell>
          <cell r="CG71">
            <v>0</v>
          </cell>
          <cell r="CH71">
            <v>0</v>
          </cell>
          <cell r="CI71">
            <v>0</v>
          </cell>
          <cell r="CJ71">
            <v>0</v>
          </cell>
          <cell r="CK71">
            <v>0</v>
          </cell>
          <cell r="CL71">
            <v>-6</v>
          </cell>
          <cell r="CM71">
            <v>-6</v>
          </cell>
        </row>
        <row r="72">
          <cell r="A72">
            <v>27364</v>
          </cell>
          <cell r="D72">
            <v>10140</v>
          </cell>
          <cell r="E72">
            <v>2152</v>
          </cell>
          <cell r="F72">
            <v>291</v>
          </cell>
          <cell r="G72">
            <v>2442</v>
          </cell>
          <cell r="H72">
            <v>256</v>
          </cell>
          <cell r="I72">
            <v>2699</v>
          </cell>
          <cell r="J72">
            <v>422</v>
          </cell>
          <cell r="K72">
            <v>713</v>
          </cell>
          <cell r="L72">
            <v>3833</v>
          </cell>
          <cell r="M72">
            <v>2220</v>
          </cell>
          <cell r="N72">
            <v>16192</v>
          </cell>
          <cell r="O72">
            <v>1499</v>
          </cell>
          <cell r="P72">
            <v>-242</v>
          </cell>
          <cell r="Q72">
            <v>17449</v>
          </cell>
          <cell r="T72">
            <v>6.1</v>
          </cell>
          <cell r="U72">
            <v>6.2</v>
          </cell>
          <cell r="V72">
            <v>1.5</v>
          </cell>
          <cell r="W72">
            <v>5.6</v>
          </cell>
          <cell r="X72">
            <v>7.4</v>
          </cell>
          <cell r="Y72">
            <v>5.8</v>
          </cell>
          <cell r="Z72">
            <v>7.6</v>
          </cell>
          <cell r="AA72">
            <v>6.2</v>
          </cell>
          <cell r="AB72">
            <v>6.1</v>
          </cell>
          <cell r="AC72">
            <v>-3.1</v>
          </cell>
          <cell r="AD72">
            <v>4.7</v>
          </cell>
          <cell r="AE72">
            <v>4.4000000000000004</v>
          </cell>
          <cell r="AF72">
            <v>4.5999999999999996</v>
          </cell>
          <cell r="AI72">
            <v>10189</v>
          </cell>
          <cell r="AJ72">
            <v>2245</v>
          </cell>
          <cell r="AK72">
            <v>297</v>
          </cell>
          <cell r="AL72">
            <v>2542</v>
          </cell>
          <cell r="AM72">
            <v>256</v>
          </cell>
          <cell r="AN72">
            <v>2798</v>
          </cell>
          <cell r="AO72">
            <v>422</v>
          </cell>
          <cell r="AP72">
            <v>697</v>
          </cell>
          <cell r="AQ72">
            <v>3918</v>
          </cell>
          <cell r="AR72">
            <v>2210</v>
          </cell>
          <cell r="AS72">
            <v>16317</v>
          </cell>
          <cell r="AT72">
            <v>1513</v>
          </cell>
          <cell r="AU72">
            <v>-204</v>
          </cell>
          <cell r="AV72">
            <v>17625</v>
          </cell>
          <cell r="AY72">
            <v>5</v>
          </cell>
          <cell r="AZ72">
            <v>9.9</v>
          </cell>
          <cell r="BA72">
            <v>13.7</v>
          </cell>
          <cell r="BB72">
            <v>10.4</v>
          </cell>
          <cell r="BC72">
            <v>5.8</v>
          </cell>
          <cell r="BD72">
            <v>9.9</v>
          </cell>
          <cell r="BE72">
            <v>6.9</v>
          </cell>
          <cell r="BF72">
            <v>2.5</v>
          </cell>
          <cell r="BG72">
            <v>8.1999999999999993</v>
          </cell>
          <cell r="BH72">
            <v>2.7</v>
          </cell>
          <cell r="BI72">
            <v>5.4</v>
          </cell>
          <cell r="BJ72">
            <v>3</v>
          </cell>
          <cell r="BK72">
            <v>5.3</v>
          </cell>
          <cell r="BN72">
            <v>10819</v>
          </cell>
          <cell r="BO72">
            <v>2662</v>
          </cell>
          <cell r="BP72">
            <v>336</v>
          </cell>
          <cell r="BQ72">
            <v>2999</v>
          </cell>
          <cell r="BR72">
            <v>256</v>
          </cell>
          <cell r="BS72">
            <v>3255</v>
          </cell>
          <cell r="BT72">
            <v>422</v>
          </cell>
          <cell r="BU72">
            <v>752</v>
          </cell>
          <cell r="BV72">
            <v>4429</v>
          </cell>
          <cell r="BW72">
            <v>2948</v>
          </cell>
          <cell r="BX72">
            <v>18196</v>
          </cell>
          <cell r="BY72">
            <v>1542</v>
          </cell>
          <cell r="BZ72">
            <v>-348</v>
          </cell>
          <cell r="CA72">
            <v>19390</v>
          </cell>
          <cell r="CB72">
            <v>0</v>
          </cell>
          <cell r="CC72">
            <v>0</v>
          </cell>
          <cell r="CD72">
            <v>0</v>
          </cell>
          <cell r="CE72">
            <v>0</v>
          </cell>
          <cell r="CF72">
            <v>0</v>
          </cell>
          <cell r="CG72">
            <v>0</v>
          </cell>
          <cell r="CH72">
            <v>-1</v>
          </cell>
          <cell r="CI72">
            <v>0</v>
          </cell>
          <cell r="CJ72">
            <v>0</v>
          </cell>
          <cell r="CK72">
            <v>0</v>
          </cell>
          <cell r="CL72">
            <v>-2</v>
          </cell>
          <cell r="CM72">
            <v>-3</v>
          </cell>
        </row>
        <row r="73">
          <cell r="A73">
            <v>27454</v>
          </cell>
          <cell r="D73">
            <v>10492</v>
          </cell>
          <cell r="E73">
            <v>2324</v>
          </cell>
          <cell r="F73">
            <v>304</v>
          </cell>
          <cell r="G73">
            <v>2627</v>
          </cell>
          <cell r="H73">
            <v>263</v>
          </cell>
          <cell r="I73">
            <v>2890</v>
          </cell>
          <cell r="J73">
            <v>448</v>
          </cell>
          <cell r="K73">
            <v>757</v>
          </cell>
          <cell r="L73">
            <v>4095</v>
          </cell>
          <cell r="M73">
            <v>2218</v>
          </cell>
          <cell r="N73">
            <v>16805</v>
          </cell>
          <cell r="O73">
            <v>1552</v>
          </cell>
          <cell r="P73">
            <v>-231</v>
          </cell>
          <cell r="Q73">
            <v>18126</v>
          </cell>
          <cell r="T73">
            <v>3.5</v>
          </cell>
          <cell r="U73">
            <v>8</v>
          </cell>
          <cell r="V73">
            <v>4.4000000000000004</v>
          </cell>
          <cell r="W73">
            <v>7.6</v>
          </cell>
          <cell r="X73">
            <v>2.6</v>
          </cell>
          <cell r="Y73">
            <v>7.1</v>
          </cell>
          <cell r="Z73">
            <v>6.2</v>
          </cell>
          <cell r="AA73">
            <v>6.2</v>
          </cell>
          <cell r="AB73">
            <v>6.8</v>
          </cell>
          <cell r="AC73">
            <v>-0.1</v>
          </cell>
          <cell r="AD73">
            <v>3.8</v>
          </cell>
          <cell r="AE73">
            <v>3.6</v>
          </cell>
          <cell r="AF73">
            <v>3.9</v>
          </cell>
          <cell r="AI73">
            <v>10494</v>
          </cell>
          <cell r="AJ73">
            <v>2160</v>
          </cell>
          <cell r="AK73">
            <v>307</v>
          </cell>
          <cell r="AL73">
            <v>2467</v>
          </cell>
          <cell r="AM73">
            <v>263</v>
          </cell>
          <cell r="AN73">
            <v>2730</v>
          </cell>
          <cell r="AO73">
            <v>448</v>
          </cell>
          <cell r="AP73">
            <v>768</v>
          </cell>
          <cell r="AQ73">
            <v>3946</v>
          </cell>
          <cell r="AR73">
            <v>2258</v>
          </cell>
          <cell r="AS73">
            <v>16698</v>
          </cell>
          <cell r="AT73">
            <v>1519</v>
          </cell>
          <cell r="AU73">
            <v>-236</v>
          </cell>
          <cell r="AV73">
            <v>17981</v>
          </cell>
          <cell r="AY73">
            <v>3</v>
          </cell>
          <cell r="AZ73">
            <v>-3.8</v>
          </cell>
          <cell r="BA73">
            <v>3.4</v>
          </cell>
          <cell r="BB73">
            <v>-3</v>
          </cell>
          <cell r="BC73">
            <v>2.8</v>
          </cell>
          <cell r="BD73">
            <v>-2.4</v>
          </cell>
          <cell r="BE73">
            <v>6.1</v>
          </cell>
          <cell r="BF73">
            <v>10.199999999999999</v>
          </cell>
          <cell r="BG73">
            <v>0.7</v>
          </cell>
          <cell r="BH73">
            <v>2.2000000000000002</v>
          </cell>
          <cell r="BI73">
            <v>2.2999999999999998</v>
          </cell>
          <cell r="BJ73">
            <v>0.4</v>
          </cell>
          <cell r="BK73">
            <v>2</v>
          </cell>
          <cell r="BN73">
            <v>9804</v>
          </cell>
          <cell r="BO73">
            <v>1840</v>
          </cell>
          <cell r="BP73">
            <v>268</v>
          </cell>
          <cell r="BQ73">
            <v>2109</v>
          </cell>
          <cell r="BR73">
            <v>263</v>
          </cell>
          <cell r="BS73">
            <v>2372</v>
          </cell>
          <cell r="BT73">
            <v>448</v>
          </cell>
          <cell r="BU73">
            <v>746</v>
          </cell>
          <cell r="BV73">
            <v>3566</v>
          </cell>
          <cell r="BW73">
            <v>2264</v>
          </cell>
          <cell r="BX73">
            <v>15634</v>
          </cell>
          <cell r="BY73">
            <v>1506</v>
          </cell>
          <cell r="BZ73">
            <v>-166</v>
          </cell>
          <cell r="CA73">
            <v>16974</v>
          </cell>
          <cell r="CB73">
            <v>0</v>
          </cell>
          <cell r="CC73">
            <v>0</v>
          </cell>
          <cell r="CD73">
            <v>0</v>
          </cell>
          <cell r="CE73">
            <v>0</v>
          </cell>
          <cell r="CF73">
            <v>0</v>
          </cell>
          <cell r="CG73">
            <v>0</v>
          </cell>
          <cell r="CH73">
            <v>0</v>
          </cell>
          <cell r="CI73">
            <v>0</v>
          </cell>
          <cell r="CJ73">
            <v>0</v>
          </cell>
          <cell r="CK73">
            <v>0</v>
          </cell>
          <cell r="CL73">
            <v>2</v>
          </cell>
          <cell r="CM73">
            <v>1</v>
          </cell>
        </row>
        <row r="74">
          <cell r="A74">
            <v>27546</v>
          </cell>
          <cell r="D74">
            <v>10760</v>
          </cell>
          <cell r="E74">
            <v>2451</v>
          </cell>
          <cell r="F74">
            <v>319</v>
          </cell>
          <cell r="G74">
            <v>2770</v>
          </cell>
          <cell r="H74">
            <v>256</v>
          </cell>
          <cell r="I74">
            <v>3026</v>
          </cell>
          <cell r="J74">
            <v>473</v>
          </cell>
          <cell r="K74">
            <v>803</v>
          </cell>
          <cell r="L74">
            <v>4302</v>
          </cell>
          <cell r="M74">
            <v>2290</v>
          </cell>
          <cell r="N74">
            <v>17352</v>
          </cell>
          <cell r="O74">
            <v>1631</v>
          </cell>
          <cell r="P74">
            <v>-247</v>
          </cell>
          <cell r="Q74">
            <v>18736</v>
          </cell>
          <cell r="T74">
            <v>2.6</v>
          </cell>
          <cell r="U74">
            <v>5.5</v>
          </cell>
          <cell r="V74">
            <v>5.2</v>
          </cell>
          <cell r="W74">
            <v>5.4</v>
          </cell>
          <cell r="X74">
            <v>-2.5</v>
          </cell>
          <cell r="Y74">
            <v>4.7</v>
          </cell>
          <cell r="Z74">
            <v>5.5</v>
          </cell>
          <cell r="AA74">
            <v>6.1</v>
          </cell>
          <cell r="AB74">
            <v>5.0999999999999996</v>
          </cell>
          <cell r="AC74">
            <v>3.3</v>
          </cell>
          <cell r="AD74">
            <v>3.3</v>
          </cell>
          <cell r="AE74">
            <v>5</v>
          </cell>
          <cell r="AF74">
            <v>3.4</v>
          </cell>
          <cell r="AI74">
            <v>10676</v>
          </cell>
          <cell r="AJ74">
            <v>2627</v>
          </cell>
          <cell r="AK74">
            <v>325</v>
          </cell>
          <cell r="AL74">
            <v>2952</v>
          </cell>
          <cell r="AM74">
            <v>264</v>
          </cell>
          <cell r="AN74">
            <v>3216</v>
          </cell>
          <cell r="AO74">
            <v>472</v>
          </cell>
          <cell r="AP74">
            <v>801</v>
          </cell>
          <cell r="AQ74">
            <v>4489</v>
          </cell>
          <cell r="AR74">
            <v>2286</v>
          </cell>
          <cell r="AS74">
            <v>17451</v>
          </cell>
          <cell r="AT74">
            <v>1645</v>
          </cell>
          <cell r="AU74">
            <v>-279</v>
          </cell>
          <cell r="AV74">
            <v>18817</v>
          </cell>
          <cell r="AY74">
            <v>1.7</v>
          </cell>
          <cell r="AZ74">
            <v>21.6</v>
          </cell>
          <cell r="BA74">
            <v>5.8</v>
          </cell>
          <cell r="BB74">
            <v>19.7</v>
          </cell>
          <cell r="BC74">
            <v>0.4</v>
          </cell>
          <cell r="BD74">
            <v>17.8</v>
          </cell>
          <cell r="BE74">
            <v>5.4</v>
          </cell>
          <cell r="BF74">
            <v>4.3</v>
          </cell>
          <cell r="BG74">
            <v>13.8</v>
          </cell>
          <cell r="BH74">
            <v>1.2</v>
          </cell>
          <cell r="BI74">
            <v>4.5</v>
          </cell>
          <cell r="BJ74">
            <v>8.3000000000000007</v>
          </cell>
          <cell r="BK74">
            <v>4.5999999999999996</v>
          </cell>
          <cell r="BN74">
            <v>10825</v>
          </cell>
          <cell r="BO74">
            <v>2527</v>
          </cell>
          <cell r="BP74">
            <v>283</v>
          </cell>
          <cell r="BQ74">
            <v>2810</v>
          </cell>
          <cell r="BR74">
            <v>264</v>
          </cell>
          <cell r="BS74">
            <v>3074</v>
          </cell>
          <cell r="BT74">
            <v>472</v>
          </cell>
          <cell r="BU74">
            <v>691</v>
          </cell>
          <cell r="BV74">
            <v>4236</v>
          </cell>
          <cell r="BW74">
            <v>1752</v>
          </cell>
          <cell r="BX74">
            <v>16814</v>
          </cell>
          <cell r="BY74">
            <v>1646</v>
          </cell>
          <cell r="BZ74">
            <v>-88</v>
          </cell>
          <cell r="CA74">
            <v>18372</v>
          </cell>
          <cell r="CB74">
            <v>0</v>
          </cell>
          <cell r="CC74">
            <v>0</v>
          </cell>
          <cell r="CD74">
            <v>0</v>
          </cell>
          <cell r="CE74">
            <v>0</v>
          </cell>
          <cell r="CF74">
            <v>0</v>
          </cell>
          <cell r="CG74">
            <v>0</v>
          </cell>
          <cell r="CH74">
            <v>0</v>
          </cell>
          <cell r="CI74">
            <v>0</v>
          </cell>
          <cell r="CJ74">
            <v>0</v>
          </cell>
          <cell r="CK74">
            <v>0</v>
          </cell>
          <cell r="CL74">
            <v>10</v>
          </cell>
          <cell r="CM74">
            <v>10</v>
          </cell>
        </row>
        <row r="75">
          <cell r="A75">
            <v>27638</v>
          </cell>
          <cell r="D75">
            <v>11116</v>
          </cell>
          <cell r="E75">
            <v>2526</v>
          </cell>
          <cell r="F75">
            <v>335</v>
          </cell>
          <cell r="G75">
            <v>2860</v>
          </cell>
          <cell r="H75">
            <v>246</v>
          </cell>
          <cell r="I75">
            <v>3106</v>
          </cell>
          <cell r="J75">
            <v>498</v>
          </cell>
          <cell r="K75">
            <v>854</v>
          </cell>
          <cell r="L75">
            <v>4457</v>
          </cell>
          <cell r="M75">
            <v>2374</v>
          </cell>
          <cell r="N75">
            <v>17948</v>
          </cell>
          <cell r="O75">
            <v>1770</v>
          </cell>
          <cell r="P75">
            <v>-254</v>
          </cell>
          <cell r="Q75">
            <v>19463</v>
          </cell>
          <cell r="T75">
            <v>3.3</v>
          </cell>
          <cell r="U75">
            <v>3.1</v>
          </cell>
          <cell r="V75">
            <v>4.8</v>
          </cell>
          <cell r="W75">
            <v>3.3</v>
          </cell>
          <cell r="X75">
            <v>-4.2</v>
          </cell>
          <cell r="Y75">
            <v>2.6</v>
          </cell>
          <cell r="Z75">
            <v>5.3</v>
          </cell>
          <cell r="AA75">
            <v>6.3</v>
          </cell>
          <cell r="AB75">
            <v>3.6</v>
          </cell>
          <cell r="AC75">
            <v>3.7</v>
          </cell>
          <cell r="AD75">
            <v>3.4</v>
          </cell>
          <cell r="AE75">
            <v>8.6</v>
          </cell>
          <cell r="AF75">
            <v>3.9</v>
          </cell>
          <cell r="AI75">
            <v>11119</v>
          </cell>
          <cell r="AJ75">
            <v>2464</v>
          </cell>
          <cell r="AK75">
            <v>318</v>
          </cell>
          <cell r="AL75">
            <v>2781</v>
          </cell>
          <cell r="AM75">
            <v>240</v>
          </cell>
          <cell r="AN75">
            <v>3021</v>
          </cell>
          <cell r="AO75">
            <v>498</v>
          </cell>
          <cell r="AP75">
            <v>848</v>
          </cell>
          <cell r="AQ75">
            <v>4367</v>
          </cell>
          <cell r="AR75">
            <v>2352</v>
          </cell>
          <cell r="AS75">
            <v>17838</v>
          </cell>
          <cell r="AT75">
            <v>1752</v>
          </cell>
          <cell r="AU75">
            <v>-196</v>
          </cell>
          <cell r="AV75">
            <v>19394</v>
          </cell>
          <cell r="AY75">
            <v>4.0999999999999996</v>
          </cell>
          <cell r="AZ75">
            <v>-6.2</v>
          </cell>
          <cell r="BA75">
            <v>-2.4</v>
          </cell>
          <cell r="BB75">
            <v>-5.8</v>
          </cell>
          <cell r="BC75">
            <v>-9.1</v>
          </cell>
          <cell r="BD75">
            <v>-6.1</v>
          </cell>
          <cell r="BE75">
            <v>5.5</v>
          </cell>
          <cell r="BF75">
            <v>5.8</v>
          </cell>
          <cell r="BG75">
            <v>-2.7</v>
          </cell>
          <cell r="BH75">
            <v>2.9</v>
          </cell>
          <cell r="BI75">
            <v>2.2000000000000002</v>
          </cell>
          <cell r="BJ75">
            <v>6.5</v>
          </cell>
          <cell r="BK75">
            <v>3.1</v>
          </cell>
          <cell r="BN75">
            <v>10968</v>
          </cell>
          <cell r="BO75">
            <v>2467</v>
          </cell>
          <cell r="BP75">
            <v>357</v>
          </cell>
          <cell r="BQ75">
            <v>2824</v>
          </cell>
          <cell r="BR75">
            <v>240</v>
          </cell>
          <cell r="BS75">
            <v>3064</v>
          </cell>
          <cell r="BT75">
            <v>498</v>
          </cell>
          <cell r="BU75">
            <v>925</v>
          </cell>
          <cell r="BV75">
            <v>4487</v>
          </cell>
          <cell r="BW75">
            <v>2158</v>
          </cell>
          <cell r="BX75">
            <v>17613</v>
          </cell>
          <cell r="BY75">
            <v>1732</v>
          </cell>
          <cell r="BZ75">
            <v>-305</v>
          </cell>
          <cell r="CA75">
            <v>19040</v>
          </cell>
          <cell r="CB75">
            <v>0</v>
          </cell>
          <cell r="CC75">
            <v>0</v>
          </cell>
          <cell r="CD75">
            <v>-1</v>
          </cell>
          <cell r="CE75">
            <v>0</v>
          </cell>
          <cell r="CF75">
            <v>0</v>
          </cell>
          <cell r="CG75">
            <v>0</v>
          </cell>
          <cell r="CH75">
            <v>0</v>
          </cell>
          <cell r="CI75">
            <v>0</v>
          </cell>
          <cell r="CJ75">
            <v>0</v>
          </cell>
          <cell r="CK75">
            <v>0</v>
          </cell>
          <cell r="CL75">
            <v>15</v>
          </cell>
          <cell r="CM75">
            <v>16</v>
          </cell>
        </row>
        <row r="76">
          <cell r="A76">
            <v>27729</v>
          </cell>
          <cell r="D76">
            <v>11554</v>
          </cell>
          <cell r="E76">
            <v>2600</v>
          </cell>
          <cell r="F76">
            <v>355</v>
          </cell>
          <cell r="G76">
            <v>2955</v>
          </cell>
          <cell r="H76">
            <v>242</v>
          </cell>
          <cell r="I76">
            <v>3197</v>
          </cell>
          <cell r="J76">
            <v>522</v>
          </cell>
          <cell r="K76">
            <v>894</v>
          </cell>
          <cell r="L76">
            <v>4613</v>
          </cell>
          <cell r="M76">
            <v>2498</v>
          </cell>
          <cell r="N76">
            <v>18665</v>
          </cell>
          <cell r="O76">
            <v>1933</v>
          </cell>
          <cell r="P76">
            <v>-262</v>
          </cell>
          <cell r="Q76">
            <v>20335</v>
          </cell>
          <cell r="T76">
            <v>3.9</v>
          </cell>
          <cell r="U76">
            <v>2.9</v>
          </cell>
          <cell r="V76">
            <v>6.1</v>
          </cell>
          <cell r="W76">
            <v>3.3</v>
          </cell>
          <cell r="X76">
            <v>-1.4</v>
          </cell>
          <cell r="Y76">
            <v>2.9</v>
          </cell>
          <cell r="Z76">
            <v>4.8</v>
          </cell>
          <cell r="AA76">
            <v>4.7</v>
          </cell>
          <cell r="AB76">
            <v>3.5</v>
          </cell>
          <cell r="AC76">
            <v>5.2</v>
          </cell>
          <cell r="AD76">
            <v>4</v>
          </cell>
          <cell r="AE76">
            <v>9.1999999999999993</v>
          </cell>
          <cell r="AF76">
            <v>4.5</v>
          </cell>
          <cell r="AI76">
            <v>11598</v>
          </cell>
          <cell r="AJ76">
            <v>2603</v>
          </cell>
          <cell r="AK76">
            <v>372</v>
          </cell>
          <cell r="AL76">
            <v>2974</v>
          </cell>
          <cell r="AM76">
            <v>241</v>
          </cell>
          <cell r="AN76">
            <v>3215</v>
          </cell>
          <cell r="AO76">
            <v>522</v>
          </cell>
          <cell r="AP76">
            <v>897</v>
          </cell>
          <cell r="AQ76">
            <v>4634</v>
          </cell>
          <cell r="AR76">
            <v>2489</v>
          </cell>
          <cell r="AS76">
            <v>18721</v>
          </cell>
          <cell r="AT76">
            <v>1924</v>
          </cell>
          <cell r="AU76">
            <v>-325</v>
          </cell>
          <cell r="AV76">
            <v>20320</v>
          </cell>
          <cell r="AY76">
            <v>4.3</v>
          </cell>
          <cell r="AZ76">
            <v>5.7</v>
          </cell>
          <cell r="BA76">
            <v>17</v>
          </cell>
          <cell r="BB76">
            <v>7</v>
          </cell>
          <cell r="BC76">
            <v>0.4</v>
          </cell>
          <cell r="BD76">
            <v>6.4</v>
          </cell>
          <cell r="BE76">
            <v>4.8</v>
          </cell>
          <cell r="BF76">
            <v>5.8</v>
          </cell>
          <cell r="BG76">
            <v>6.1</v>
          </cell>
          <cell r="BH76">
            <v>5.9</v>
          </cell>
          <cell r="BI76">
            <v>5</v>
          </cell>
          <cell r="BJ76">
            <v>9.8000000000000007</v>
          </cell>
          <cell r="BK76">
            <v>4.8</v>
          </cell>
          <cell r="BN76">
            <v>12484</v>
          </cell>
          <cell r="BO76">
            <v>3093</v>
          </cell>
          <cell r="BP76">
            <v>418</v>
          </cell>
          <cell r="BQ76">
            <v>3511</v>
          </cell>
          <cell r="BR76">
            <v>241</v>
          </cell>
          <cell r="BS76">
            <v>3752</v>
          </cell>
          <cell r="BT76">
            <v>522</v>
          </cell>
          <cell r="BU76">
            <v>964</v>
          </cell>
          <cell r="BV76">
            <v>5238</v>
          </cell>
          <cell r="BW76">
            <v>3475</v>
          </cell>
          <cell r="BX76">
            <v>21197</v>
          </cell>
          <cell r="BY76">
            <v>1957</v>
          </cell>
          <cell r="BZ76">
            <v>-622</v>
          </cell>
          <cell r="CA76">
            <v>22532</v>
          </cell>
          <cell r="CB76">
            <v>0</v>
          </cell>
          <cell r="CC76">
            <v>0</v>
          </cell>
          <cell r="CD76">
            <v>0</v>
          </cell>
          <cell r="CE76">
            <v>0</v>
          </cell>
          <cell r="CF76">
            <v>0</v>
          </cell>
          <cell r="CG76">
            <v>0</v>
          </cell>
          <cell r="CH76">
            <v>0</v>
          </cell>
          <cell r="CI76">
            <v>0</v>
          </cell>
          <cell r="CJ76">
            <v>0</v>
          </cell>
          <cell r="CK76">
            <v>0</v>
          </cell>
          <cell r="CL76">
            <v>10</v>
          </cell>
          <cell r="CM76">
            <v>10</v>
          </cell>
        </row>
        <row r="77">
          <cell r="A77">
            <v>27820</v>
          </cell>
          <cell r="D77">
            <v>12026</v>
          </cell>
          <cell r="E77">
            <v>2734</v>
          </cell>
          <cell r="F77">
            <v>390</v>
          </cell>
          <cell r="G77">
            <v>3123</v>
          </cell>
          <cell r="H77">
            <v>263</v>
          </cell>
          <cell r="I77">
            <v>3386</v>
          </cell>
          <cell r="J77">
            <v>542</v>
          </cell>
          <cell r="K77">
            <v>927</v>
          </cell>
          <cell r="L77">
            <v>4855</v>
          </cell>
          <cell r="M77">
            <v>2607</v>
          </cell>
          <cell r="N77">
            <v>19489</v>
          </cell>
          <cell r="O77">
            <v>2071</v>
          </cell>
          <cell r="P77">
            <v>-295</v>
          </cell>
          <cell r="Q77">
            <v>21265</v>
          </cell>
          <cell r="T77">
            <v>4.0999999999999996</v>
          </cell>
          <cell r="U77">
            <v>5.0999999999999996</v>
          </cell>
          <cell r="V77">
            <v>9.6999999999999993</v>
          </cell>
          <cell r="W77">
            <v>5.7</v>
          </cell>
          <cell r="X77">
            <v>8.4</v>
          </cell>
          <cell r="Y77">
            <v>5.9</v>
          </cell>
          <cell r="Z77">
            <v>3.9</v>
          </cell>
          <cell r="AA77">
            <v>3.7</v>
          </cell>
          <cell r="AB77">
            <v>5.3</v>
          </cell>
          <cell r="AC77">
            <v>4.4000000000000004</v>
          </cell>
          <cell r="AD77">
            <v>4.4000000000000004</v>
          </cell>
          <cell r="AE77">
            <v>7.2</v>
          </cell>
          <cell r="AF77">
            <v>4.5999999999999996</v>
          </cell>
          <cell r="AI77">
            <v>11967</v>
          </cell>
          <cell r="AJ77">
            <v>2651</v>
          </cell>
          <cell r="AK77">
            <v>381</v>
          </cell>
          <cell r="AL77">
            <v>3032</v>
          </cell>
          <cell r="AM77">
            <v>261</v>
          </cell>
          <cell r="AN77">
            <v>3293</v>
          </cell>
          <cell r="AO77">
            <v>543</v>
          </cell>
          <cell r="AP77">
            <v>949</v>
          </cell>
          <cell r="AQ77">
            <v>4784</v>
          </cell>
          <cell r="AR77">
            <v>2660</v>
          </cell>
          <cell r="AS77">
            <v>19411</v>
          </cell>
          <cell r="AT77">
            <v>2114</v>
          </cell>
          <cell r="AU77">
            <v>-236</v>
          </cell>
          <cell r="AV77">
            <v>21289</v>
          </cell>
          <cell r="AY77">
            <v>3.2</v>
          </cell>
          <cell r="AZ77">
            <v>1.8</v>
          </cell>
          <cell r="BA77">
            <v>2.5</v>
          </cell>
          <cell r="BB77">
            <v>1.9</v>
          </cell>
          <cell r="BC77">
            <v>8.3000000000000007</v>
          </cell>
          <cell r="BD77">
            <v>2.4</v>
          </cell>
          <cell r="BE77">
            <v>4</v>
          </cell>
          <cell r="BF77">
            <v>5.9</v>
          </cell>
          <cell r="BG77">
            <v>3.2</v>
          </cell>
          <cell r="BH77">
            <v>6.8</v>
          </cell>
          <cell r="BI77">
            <v>3.7</v>
          </cell>
          <cell r="BJ77">
            <v>9.9</v>
          </cell>
          <cell r="BK77">
            <v>4.8</v>
          </cell>
          <cell r="BN77">
            <v>11510</v>
          </cell>
          <cell r="BO77">
            <v>2249</v>
          </cell>
          <cell r="BP77">
            <v>335</v>
          </cell>
          <cell r="BQ77">
            <v>2584</v>
          </cell>
          <cell r="BR77">
            <v>261</v>
          </cell>
          <cell r="BS77">
            <v>2845</v>
          </cell>
          <cell r="BT77">
            <v>543</v>
          </cell>
          <cell r="BU77">
            <v>924</v>
          </cell>
          <cell r="BV77">
            <v>4312</v>
          </cell>
          <cell r="BW77">
            <v>2412</v>
          </cell>
          <cell r="BX77">
            <v>18234</v>
          </cell>
          <cell r="BY77">
            <v>2106</v>
          </cell>
          <cell r="BZ77">
            <v>-309</v>
          </cell>
          <cell r="CA77">
            <v>20030</v>
          </cell>
          <cell r="CB77">
            <v>0</v>
          </cell>
          <cell r="CC77">
            <v>0</v>
          </cell>
          <cell r="CD77">
            <v>0</v>
          </cell>
          <cell r="CE77">
            <v>0</v>
          </cell>
          <cell r="CF77">
            <v>0</v>
          </cell>
          <cell r="CG77">
            <v>0</v>
          </cell>
          <cell r="CH77">
            <v>0</v>
          </cell>
          <cell r="CI77">
            <v>0</v>
          </cell>
          <cell r="CJ77">
            <v>0</v>
          </cell>
          <cell r="CK77">
            <v>0</v>
          </cell>
          <cell r="CL77">
            <v>16</v>
          </cell>
          <cell r="CM77">
            <v>16</v>
          </cell>
        </row>
        <row r="78">
          <cell r="A78">
            <v>27912</v>
          </cell>
          <cell r="D78">
            <v>12468</v>
          </cell>
          <cell r="E78">
            <v>2942</v>
          </cell>
          <cell r="F78">
            <v>424</v>
          </cell>
          <cell r="G78">
            <v>3366</v>
          </cell>
          <cell r="H78">
            <v>309</v>
          </cell>
          <cell r="I78">
            <v>3674</v>
          </cell>
          <cell r="J78">
            <v>559</v>
          </cell>
          <cell r="K78">
            <v>963</v>
          </cell>
          <cell r="L78">
            <v>5196</v>
          </cell>
          <cell r="M78">
            <v>2695</v>
          </cell>
          <cell r="N78">
            <v>20359</v>
          </cell>
          <cell r="O78">
            <v>2150</v>
          </cell>
          <cell r="P78">
            <v>-316</v>
          </cell>
          <cell r="Q78">
            <v>22193</v>
          </cell>
          <cell r="T78">
            <v>3.7</v>
          </cell>
          <cell r="U78">
            <v>7.6</v>
          </cell>
          <cell r="V78">
            <v>8.6999999999999993</v>
          </cell>
          <cell r="W78">
            <v>7.8</v>
          </cell>
          <cell r="X78">
            <v>17.5</v>
          </cell>
          <cell r="Y78">
            <v>8.5</v>
          </cell>
          <cell r="Z78">
            <v>3.1</v>
          </cell>
          <cell r="AA78">
            <v>3.8</v>
          </cell>
          <cell r="AB78">
            <v>7</v>
          </cell>
          <cell r="AC78">
            <v>3.4</v>
          </cell>
          <cell r="AD78">
            <v>4.5</v>
          </cell>
          <cell r="AE78">
            <v>3.8</v>
          </cell>
          <cell r="AF78">
            <v>4.4000000000000004</v>
          </cell>
          <cell r="AI78">
            <v>12506</v>
          </cell>
          <cell r="AJ78">
            <v>3022</v>
          </cell>
          <cell r="AK78">
            <v>410</v>
          </cell>
          <cell r="AL78">
            <v>3433</v>
          </cell>
          <cell r="AM78">
            <v>299</v>
          </cell>
          <cell r="AN78">
            <v>3732</v>
          </cell>
          <cell r="AO78">
            <v>560</v>
          </cell>
          <cell r="AP78">
            <v>929</v>
          </cell>
          <cell r="AQ78">
            <v>5221</v>
          </cell>
          <cell r="AR78">
            <v>2681</v>
          </cell>
          <cell r="AS78">
            <v>20408</v>
          </cell>
          <cell r="AT78">
            <v>2132</v>
          </cell>
          <cell r="AU78">
            <v>-333</v>
          </cell>
          <cell r="AV78">
            <v>22207</v>
          </cell>
          <cell r="AY78">
            <v>4.5</v>
          </cell>
          <cell r="AZ78">
            <v>14</v>
          </cell>
          <cell r="BA78">
            <v>7.7</v>
          </cell>
          <cell r="BB78">
            <v>13.2</v>
          </cell>
          <cell r="BC78">
            <v>14.6</v>
          </cell>
          <cell r="BD78">
            <v>13.3</v>
          </cell>
          <cell r="BE78">
            <v>3.2</v>
          </cell>
          <cell r="BF78">
            <v>-2.1</v>
          </cell>
          <cell r="BG78">
            <v>9.1</v>
          </cell>
          <cell r="BH78">
            <v>0.8</v>
          </cell>
          <cell r="BI78">
            <v>5.0999999999999996</v>
          </cell>
          <cell r="BJ78">
            <v>0.9</v>
          </cell>
          <cell r="BK78">
            <v>4.3</v>
          </cell>
          <cell r="BN78">
            <v>12382</v>
          </cell>
          <cell r="BO78">
            <v>2930</v>
          </cell>
          <cell r="BP78">
            <v>350</v>
          </cell>
          <cell r="BQ78">
            <v>3280</v>
          </cell>
          <cell r="BR78">
            <v>299</v>
          </cell>
          <cell r="BS78">
            <v>3579</v>
          </cell>
          <cell r="BT78">
            <v>560</v>
          </cell>
          <cell r="BU78">
            <v>799</v>
          </cell>
          <cell r="BV78">
            <v>4938</v>
          </cell>
          <cell r="BW78">
            <v>2136</v>
          </cell>
          <cell r="BX78">
            <v>19456</v>
          </cell>
          <cell r="BY78">
            <v>2123</v>
          </cell>
          <cell r="BZ78">
            <v>67</v>
          </cell>
          <cell r="CA78">
            <v>21646</v>
          </cell>
          <cell r="CB78">
            <v>0</v>
          </cell>
          <cell r="CC78">
            <v>0</v>
          </cell>
          <cell r="CD78">
            <v>0</v>
          </cell>
          <cell r="CE78">
            <v>0</v>
          </cell>
          <cell r="CF78">
            <v>0</v>
          </cell>
          <cell r="CG78">
            <v>0</v>
          </cell>
          <cell r="CH78">
            <v>0</v>
          </cell>
          <cell r="CI78">
            <v>0</v>
          </cell>
          <cell r="CJ78">
            <v>0</v>
          </cell>
          <cell r="CK78">
            <v>0</v>
          </cell>
          <cell r="CL78">
            <v>-6</v>
          </cell>
          <cell r="CM78">
            <v>-6</v>
          </cell>
        </row>
        <row r="79">
          <cell r="A79">
            <v>28004</v>
          </cell>
          <cell r="D79">
            <v>12851</v>
          </cell>
          <cell r="E79">
            <v>3078</v>
          </cell>
          <cell r="F79">
            <v>448</v>
          </cell>
          <cell r="G79">
            <v>3526</v>
          </cell>
          <cell r="H79">
            <v>364</v>
          </cell>
          <cell r="I79">
            <v>3890</v>
          </cell>
          <cell r="J79">
            <v>574</v>
          </cell>
          <cell r="K79">
            <v>1013</v>
          </cell>
          <cell r="L79">
            <v>5477</v>
          </cell>
          <cell r="M79">
            <v>2791</v>
          </cell>
          <cell r="N79">
            <v>21120</v>
          </cell>
          <cell r="O79">
            <v>2180</v>
          </cell>
          <cell r="P79">
            <v>-311</v>
          </cell>
          <cell r="Q79">
            <v>22989</v>
          </cell>
          <cell r="T79">
            <v>3.1</v>
          </cell>
          <cell r="U79">
            <v>4.5999999999999996</v>
          </cell>
          <cell r="V79">
            <v>5.7</v>
          </cell>
          <cell r="W79">
            <v>4.8</v>
          </cell>
          <cell r="X79">
            <v>17.899999999999999</v>
          </cell>
          <cell r="Y79">
            <v>5.9</v>
          </cell>
          <cell r="Z79">
            <v>2.7</v>
          </cell>
          <cell r="AA79">
            <v>5.2</v>
          </cell>
          <cell r="AB79">
            <v>5.4</v>
          </cell>
          <cell r="AC79">
            <v>3.6</v>
          </cell>
          <cell r="AD79">
            <v>3.7</v>
          </cell>
          <cell r="AE79">
            <v>1.4</v>
          </cell>
          <cell r="AF79">
            <v>3.6</v>
          </cell>
          <cell r="AI79">
            <v>12885</v>
          </cell>
          <cell r="AJ79">
            <v>3084</v>
          </cell>
          <cell r="AK79">
            <v>484</v>
          </cell>
          <cell r="AL79">
            <v>3568</v>
          </cell>
          <cell r="AM79">
            <v>374</v>
          </cell>
          <cell r="AN79">
            <v>3942</v>
          </cell>
          <cell r="AO79">
            <v>573</v>
          </cell>
          <cell r="AP79">
            <v>1025</v>
          </cell>
          <cell r="AQ79">
            <v>5540</v>
          </cell>
          <cell r="AR79">
            <v>2729</v>
          </cell>
          <cell r="AS79">
            <v>21155</v>
          </cell>
          <cell r="AT79">
            <v>2199</v>
          </cell>
          <cell r="AU79">
            <v>-356</v>
          </cell>
          <cell r="AV79">
            <v>22997</v>
          </cell>
          <cell r="AY79">
            <v>3</v>
          </cell>
          <cell r="AZ79">
            <v>2</v>
          </cell>
          <cell r="BA79">
            <v>18</v>
          </cell>
          <cell r="BB79">
            <v>4</v>
          </cell>
          <cell r="BC79">
            <v>25.1</v>
          </cell>
          <cell r="BD79">
            <v>5.6</v>
          </cell>
          <cell r="BE79">
            <v>2.4</v>
          </cell>
          <cell r="BF79">
            <v>10.3</v>
          </cell>
          <cell r="BG79">
            <v>6.1</v>
          </cell>
          <cell r="BH79">
            <v>1.8</v>
          </cell>
          <cell r="BI79">
            <v>3.7</v>
          </cell>
          <cell r="BJ79">
            <v>3.1</v>
          </cell>
          <cell r="BK79">
            <v>3.6</v>
          </cell>
          <cell r="BN79">
            <v>13065</v>
          </cell>
          <cell r="BO79">
            <v>3076</v>
          </cell>
          <cell r="BP79">
            <v>551</v>
          </cell>
          <cell r="BQ79">
            <v>3627</v>
          </cell>
          <cell r="BR79">
            <v>374</v>
          </cell>
          <cell r="BS79">
            <v>4001</v>
          </cell>
          <cell r="BT79">
            <v>573</v>
          </cell>
          <cell r="BU79">
            <v>1060</v>
          </cell>
          <cell r="BV79">
            <v>5634</v>
          </cell>
          <cell r="BW79">
            <v>2638</v>
          </cell>
          <cell r="BX79">
            <v>21337</v>
          </cell>
          <cell r="BY79">
            <v>2178</v>
          </cell>
          <cell r="BZ79">
            <v>-619</v>
          </cell>
          <cell r="CA79">
            <v>22895</v>
          </cell>
          <cell r="CB79">
            <v>0</v>
          </cell>
          <cell r="CC79">
            <v>0</v>
          </cell>
          <cell r="CD79">
            <v>0</v>
          </cell>
          <cell r="CE79">
            <v>0</v>
          </cell>
          <cell r="CF79">
            <v>0</v>
          </cell>
          <cell r="CG79">
            <v>0</v>
          </cell>
          <cell r="CH79">
            <v>0</v>
          </cell>
          <cell r="CI79">
            <v>0</v>
          </cell>
          <cell r="CJ79">
            <v>1</v>
          </cell>
          <cell r="CK79">
            <v>0</v>
          </cell>
          <cell r="CL79">
            <v>7</v>
          </cell>
          <cell r="CM79">
            <v>7</v>
          </cell>
        </row>
        <row r="80">
          <cell r="A80">
            <v>28095</v>
          </cell>
          <cell r="D80">
            <v>13202</v>
          </cell>
          <cell r="E80">
            <v>3125</v>
          </cell>
          <cell r="F80">
            <v>456</v>
          </cell>
          <cell r="G80">
            <v>3582</v>
          </cell>
          <cell r="H80">
            <v>410</v>
          </cell>
          <cell r="I80">
            <v>3991</v>
          </cell>
          <cell r="J80">
            <v>590</v>
          </cell>
          <cell r="K80">
            <v>1074</v>
          </cell>
          <cell r="L80">
            <v>5656</v>
          </cell>
          <cell r="M80">
            <v>2893</v>
          </cell>
          <cell r="N80">
            <v>21751</v>
          </cell>
          <cell r="O80">
            <v>2213</v>
          </cell>
          <cell r="P80">
            <v>-261</v>
          </cell>
          <cell r="Q80">
            <v>23703</v>
          </cell>
          <cell r="T80">
            <v>2.7</v>
          </cell>
          <cell r="U80">
            <v>1.5</v>
          </cell>
          <cell r="V80">
            <v>1.9</v>
          </cell>
          <cell r="W80">
            <v>1.6</v>
          </cell>
          <cell r="X80">
            <v>12.6</v>
          </cell>
          <cell r="Y80">
            <v>2.6</v>
          </cell>
          <cell r="Z80">
            <v>2.8</v>
          </cell>
          <cell r="AA80">
            <v>6</v>
          </cell>
          <cell r="AB80">
            <v>3.3</v>
          </cell>
          <cell r="AC80">
            <v>3.6</v>
          </cell>
          <cell r="AD80">
            <v>3</v>
          </cell>
          <cell r="AE80">
            <v>1.5</v>
          </cell>
          <cell r="AF80">
            <v>3.1</v>
          </cell>
          <cell r="AI80">
            <v>13165</v>
          </cell>
          <cell r="AJ80">
            <v>3130</v>
          </cell>
          <cell r="AK80">
            <v>427</v>
          </cell>
          <cell r="AL80">
            <v>3558</v>
          </cell>
          <cell r="AM80">
            <v>412</v>
          </cell>
          <cell r="AN80">
            <v>3970</v>
          </cell>
          <cell r="AO80">
            <v>590</v>
          </cell>
          <cell r="AP80">
            <v>1080</v>
          </cell>
          <cell r="AQ80">
            <v>5640</v>
          </cell>
          <cell r="AR80">
            <v>2946</v>
          </cell>
          <cell r="AS80">
            <v>21751</v>
          </cell>
          <cell r="AT80">
            <v>2173</v>
          </cell>
          <cell r="AU80">
            <v>-193</v>
          </cell>
          <cell r="AV80">
            <v>23731</v>
          </cell>
          <cell r="AY80">
            <v>2.2000000000000002</v>
          </cell>
          <cell r="AZ80">
            <v>1.5</v>
          </cell>
          <cell r="BA80">
            <v>-11.7</v>
          </cell>
          <cell r="BB80">
            <v>-0.3</v>
          </cell>
          <cell r="BC80">
            <v>10.199999999999999</v>
          </cell>
          <cell r="BD80">
            <v>0.7</v>
          </cell>
          <cell r="BE80">
            <v>3</v>
          </cell>
          <cell r="BF80">
            <v>5.4</v>
          </cell>
          <cell r="BG80">
            <v>1.8</v>
          </cell>
          <cell r="BH80">
            <v>7.9</v>
          </cell>
          <cell r="BI80">
            <v>2.8</v>
          </cell>
          <cell r="BJ80">
            <v>-1.2</v>
          </cell>
          <cell r="BK80">
            <v>3.2</v>
          </cell>
          <cell r="BN80">
            <v>13907</v>
          </cell>
          <cell r="BO80">
            <v>3716</v>
          </cell>
          <cell r="BP80">
            <v>480</v>
          </cell>
          <cell r="BQ80">
            <v>4196</v>
          </cell>
          <cell r="BR80">
            <v>412</v>
          </cell>
          <cell r="BS80">
            <v>4608</v>
          </cell>
          <cell r="BT80">
            <v>590</v>
          </cell>
          <cell r="BU80">
            <v>1159</v>
          </cell>
          <cell r="BV80">
            <v>6357</v>
          </cell>
          <cell r="BW80">
            <v>3668</v>
          </cell>
          <cell r="BX80">
            <v>23932</v>
          </cell>
          <cell r="BY80">
            <v>2204</v>
          </cell>
          <cell r="BZ80">
            <v>-374</v>
          </cell>
          <cell r="CA80">
            <v>25762</v>
          </cell>
          <cell r="CB80">
            <v>0</v>
          </cell>
          <cell r="CC80">
            <v>0</v>
          </cell>
          <cell r="CD80">
            <v>0</v>
          </cell>
          <cell r="CE80">
            <v>0</v>
          </cell>
          <cell r="CF80">
            <v>0</v>
          </cell>
          <cell r="CG80">
            <v>0</v>
          </cell>
          <cell r="CH80">
            <v>0</v>
          </cell>
          <cell r="CI80">
            <v>0</v>
          </cell>
          <cell r="CJ80">
            <v>0</v>
          </cell>
          <cell r="CK80">
            <v>0</v>
          </cell>
          <cell r="CL80">
            <v>6</v>
          </cell>
          <cell r="CM80">
            <v>6</v>
          </cell>
        </row>
        <row r="81">
          <cell r="A81">
            <v>28185</v>
          </cell>
          <cell r="D81">
            <v>13527</v>
          </cell>
          <cell r="E81">
            <v>3131</v>
          </cell>
          <cell r="F81">
            <v>460</v>
          </cell>
          <cell r="G81">
            <v>3591</v>
          </cell>
          <cell r="H81">
            <v>432</v>
          </cell>
          <cell r="I81">
            <v>4023</v>
          </cell>
          <cell r="J81">
            <v>608</v>
          </cell>
          <cell r="K81">
            <v>1133</v>
          </cell>
          <cell r="L81">
            <v>5764</v>
          </cell>
          <cell r="M81">
            <v>2966</v>
          </cell>
          <cell r="N81">
            <v>22257</v>
          </cell>
          <cell r="O81">
            <v>2272</v>
          </cell>
          <cell r="P81">
            <v>-157</v>
          </cell>
          <cell r="Q81">
            <v>24372</v>
          </cell>
          <cell r="T81">
            <v>2.5</v>
          </cell>
          <cell r="U81">
            <v>0.2</v>
          </cell>
          <cell r="V81">
            <v>0.8</v>
          </cell>
          <cell r="W81">
            <v>0.3</v>
          </cell>
          <cell r="X81">
            <v>5.5</v>
          </cell>
          <cell r="Y81">
            <v>0.8</v>
          </cell>
          <cell r="Z81">
            <v>3</v>
          </cell>
          <cell r="AA81">
            <v>5.5</v>
          </cell>
          <cell r="AB81">
            <v>1.9</v>
          </cell>
          <cell r="AC81">
            <v>2.5</v>
          </cell>
          <cell r="AD81">
            <v>2.2999999999999998</v>
          </cell>
          <cell r="AE81">
            <v>2.7</v>
          </cell>
          <cell r="AF81">
            <v>2.8</v>
          </cell>
          <cell r="AI81">
            <v>13490</v>
          </cell>
          <cell r="AJ81">
            <v>3091</v>
          </cell>
          <cell r="AK81">
            <v>475</v>
          </cell>
          <cell r="AL81">
            <v>3567</v>
          </cell>
          <cell r="AM81">
            <v>433</v>
          </cell>
          <cell r="AN81">
            <v>4000</v>
          </cell>
          <cell r="AO81">
            <v>609</v>
          </cell>
          <cell r="AP81">
            <v>1131</v>
          </cell>
          <cell r="AQ81">
            <v>5739</v>
          </cell>
          <cell r="AR81">
            <v>2989</v>
          </cell>
          <cell r="AS81">
            <v>22218</v>
          </cell>
          <cell r="AT81">
            <v>2283</v>
          </cell>
          <cell r="AU81">
            <v>-245</v>
          </cell>
          <cell r="AV81">
            <v>24256</v>
          </cell>
          <cell r="AY81">
            <v>2.5</v>
          </cell>
          <cell r="AZ81">
            <v>-1.2</v>
          </cell>
          <cell r="BA81">
            <v>11.2</v>
          </cell>
          <cell r="BB81">
            <v>0.3</v>
          </cell>
          <cell r="BC81">
            <v>5.0999999999999996</v>
          </cell>
          <cell r="BD81">
            <v>0.8</v>
          </cell>
          <cell r="BE81">
            <v>3.1</v>
          </cell>
          <cell r="BF81">
            <v>4.7</v>
          </cell>
          <cell r="BG81">
            <v>1.8</v>
          </cell>
          <cell r="BH81">
            <v>1.5</v>
          </cell>
          <cell r="BI81">
            <v>2.1</v>
          </cell>
          <cell r="BJ81">
            <v>5</v>
          </cell>
          <cell r="BK81">
            <v>2.2000000000000002</v>
          </cell>
          <cell r="BN81">
            <v>12695</v>
          </cell>
          <cell r="BO81">
            <v>2621</v>
          </cell>
          <cell r="BP81">
            <v>421</v>
          </cell>
          <cell r="BQ81">
            <v>3042</v>
          </cell>
          <cell r="BR81">
            <v>433</v>
          </cell>
          <cell r="BS81">
            <v>3475</v>
          </cell>
          <cell r="BT81">
            <v>609</v>
          </cell>
          <cell r="BU81">
            <v>1102</v>
          </cell>
          <cell r="BV81">
            <v>5185</v>
          </cell>
          <cell r="BW81">
            <v>2866</v>
          </cell>
          <cell r="BX81">
            <v>20746</v>
          </cell>
          <cell r="BY81">
            <v>2283</v>
          </cell>
          <cell r="BZ81">
            <v>-153</v>
          </cell>
          <cell r="CA81">
            <v>22876</v>
          </cell>
          <cell r="CB81">
            <v>0</v>
          </cell>
          <cell r="CC81">
            <v>0</v>
          </cell>
          <cell r="CD81">
            <v>0</v>
          </cell>
          <cell r="CE81">
            <v>0</v>
          </cell>
          <cell r="CF81">
            <v>-1</v>
          </cell>
          <cell r="CG81">
            <v>0</v>
          </cell>
          <cell r="CH81">
            <v>0</v>
          </cell>
          <cell r="CI81">
            <v>0</v>
          </cell>
          <cell r="CJ81">
            <v>0</v>
          </cell>
          <cell r="CK81">
            <v>0</v>
          </cell>
          <cell r="CL81">
            <v>2</v>
          </cell>
          <cell r="CM81">
            <v>3</v>
          </cell>
        </row>
        <row r="82">
          <cell r="A82">
            <v>28277</v>
          </cell>
          <cell r="D82">
            <v>13839</v>
          </cell>
          <cell r="E82">
            <v>3141</v>
          </cell>
          <cell r="F82">
            <v>472</v>
          </cell>
          <cell r="G82">
            <v>3613</v>
          </cell>
          <cell r="H82">
            <v>435</v>
          </cell>
          <cell r="I82">
            <v>4048</v>
          </cell>
          <cell r="J82">
            <v>628</v>
          </cell>
          <cell r="K82">
            <v>1185</v>
          </cell>
          <cell r="L82">
            <v>5861</v>
          </cell>
          <cell r="M82">
            <v>2977</v>
          </cell>
          <cell r="N82">
            <v>22677</v>
          </cell>
          <cell r="O82">
            <v>2315</v>
          </cell>
          <cell r="P82">
            <v>-62</v>
          </cell>
          <cell r="Q82">
            <v>24929</v>
          </cell>
          <cell r="T82">
            <v>2.2999999999999998</v>
          </cell>
          <cell r="U82">
            <v>0.3</v>
          </cell>
          <cell r="V82">
            <v>2.8</v>
          </cell>
          <cell r="W82">
            <v>0.6</v>
          </cell>
          <cell r="X82">
            <v>0.7</v>
          </cell>
          <cell r="Y82">
            <v>0.6</v>
          </cell>
          <cell r="Z82">
            <v>3.2</v>
          </cell>
          <cell r="AA82">
            <v>4.5999999999999996</v>
          </cell>
          <cell r="AB82">
            <v>1.7</v>
          </cell>
          <cell r="AC82">
            <v>0.4</v>
          </cell>
          <cell r="AD82">
            <v>1.9</v>
          </cell>
          <cell r="AE82">
            <v>1.9</v>
          </cell>
          <cell r="AF82">
            <v>2.2999999999999998</v>
          </cell>
          <cell r="AI82">
            <v>13940</v>
          </cell>
          <cell r="AJ82">
            <v>3166</v>
          </cell>
          <cell r="AK82">
            <v>450</v>
          </cell>
          <cell r="AL82">
            <v>3616</v>
          </cell>
          <cell r="AM82">
            <v>437</v>
          </cell>
          <cell r="AN82">
            <v>4053</v>
          </cell>
          <cell r="AO82">
            <v>627</v>
          </cell>
          <cell r="AP82">
            <v>1184</v>
          </cell>
          <cell r="AQ82">
            <v>5864</v>
          </cell>
          <cell r="AR82">
            <v>2944</v>
          </cell>
          <cell r="AS82">
            <v>22748</v>
          </cell>
          <cell r="AT82">
            <v>2329</v>
          </cell>
          <cell r="AU82">
            <v>0</v>
          </cell>
          <cell r="AV82">
            <v>25077</v>
          </cell>
          <cell r="AY82">
            <v>3.3</v>
          </cell>
          <cell r="AZ82">
            <v>2.4</v>
          </cell>
          <cell r="BA82">
            <v>-5.2</v>
          </cell>
          <cell r="BB82">
            <v>1.4</v>
          </cell>
          <cell r="BC82">
            <v>0.9</v>
          </cell>
          <cell r="BD82">
            <v>1.3</v>
          </cell>
          <cell r="BE82">
            <v>3.1</v>
          </cell>
          <cell r="BF82">
            <v>4.7</v>
          </cell>
          <cell r="BG82">
            <v>2.2000000000000002</v>
          </cell>
          <cell r="BH82">
            <v>-1.5</v>
          </cell>
          <cell r="BI82">
            <v>2.4</v>
          </cell>
          <cell r="BJ82">
            <v>2</v>
          </cell>
          <cell r="BK82">
            <v>3.4</v>
          </cell>
          <cell r="BN82">
            <v>13729</v>
          </cell>
          <cell r="BO82">
            <v>3089</v>
          </cell>
          <cell r="BP82">
            <v>377</v>
          </cell>
          <cell r="BQ82">
            <v>3466</v>
          </cell>
          <cell r="BR82">
            <v>437</v>
          </cell>
          <cell r="BS82">
            <v>3903</v>
          </cell>
          <cell r="BT82">
            <v>627</v>
          </cell>
          <cell r="BU82">
            <v>1081</v>
          </cell>
          <cell r="BV82">
            <v>5612</v>
          </cell>
          <cell r="BW82">
            <v>2439</v>
          </cell>
          <cell r="BX82">
            <v>21780</v>
          </cell>
          <cell r="BY82">
            <v>2312</v>
          </cell>
          <cell r="BZ82">
            <v>466</v>
          </cell>
          <cell r="CA82">
            <v>24557</v>
          </cell>
          <cell r="CB82">
            <v>0</v>
          </cell>
          <cell r="CC82">
            <v>0</v>
          </cell>
          <cell r="CD82">
            <v>0</v>
          </cell>
          <cell r="CE82">
            <v>0</v>
          </cell>
          <cell r="CF82">
            <v>0</v>
          </cell>
          <cell r="CG82">
            <v>0</v>
          </cell>
          <cell r="CH82">
            <v>0</v>
          </cell>
          <cell r="CI82">
            <v>0</v>
          </cell>
          <cell r="CJ82">
            <v>0</v>
          </cell>
          <cell r="CK82">
            <v>0</v>
          </cell>
          <cell r="CL82">
            <v>1</v>
          </cell>
          <cell r="CM82">
            <v>1</v>
          </cell>
        </row>
        <row r="83">
          <cell r="A83">
            <v>28369</v>
          </cell>
          <cell r="D83">
            <v>14161</v>
          </cell>
          <cell r="E83">
            <v>3163</v>
          </cell>
          <cell r="F83">
            <v>485</v>
          </cell>
          <cell r="G83">
            <v>3648</v>
          </cell>
          <cell r="H83">
            <v>433</v>
          </cell>
          <cell r="I83">
            <v>4081</v>
          </cell>
          <cell r="J83">
            <v>648</v>
          </cell>
          <cell r="K83">
            <v>1247</v>
          </cell>
          <cell r="L83">
            <v>5976</v>
          </cell>
          <cell r="M83">
            <v>2979</v>
          </cell>
          <cell r="N83">
            <v>23116</v>
          </cell>
          <cell r="O83">
            <v>2314</v>
          </cell>
          <cell r="P83">
            <v>-42</v>
          </cell>
          <cell r="Q83">
            <v>25388</v>
          </cell>
          <cell r="T83">
            <v>2.2999999999999998</v>
          </cell>
          <cell r="U83">
            <v>0.7</v>
          </cell>
          <cell r="V83">
            <v>2.7</v>
          </cell>
          <cell r="W83">
            <v>1</v>
          </cell>
          <cell r="X83">
            <v>-0.6</v>
          </cell>
          <cell r="Y83">
            <v>0.8</v>
          </cell>
          <cell r="Z83">
            <v>3.2</v>
          </cell>
          <cell r="AA83">
            <v>5.3</v>
          </cell>
          <cell r="AB83">
            <v>2</v>
          </cell>
          <cell r="AC83">
            <v>0.1</v>
          </cell>
          <cell r="AD83">
            <v>1.9</v>
          </cell>
          <cell r="AE83">
            <v>0</v>
          </cell>
          <cell r="AF83">
            <v>1.8</v>
          </cell>
          <cell r="AI83">
            <v>14080</v>
          </cell>
          <cell r="AJ83">
            <v>3196</v>
          </cell>
          <cell r="AK83">
            <v>512</v>
          </cell>
          <cell r="AL83">
            <v>3708</v>
          </cell>
          <cell r="AM83">
            <v>427</v>
          </cell>
          <cell r="AN83">
            <v>4135</v>
          </cell>
          <cell r="AO83">
            <v>649</v>
          </cell>
          <cell r="AP83">
            <v>1244</v>
          </cell>
          <cell r="AQ83">
            <v>6028</v>
          </cell>
          <cell r="AR83">
            <v>2992</v>
          </cell>
          <cell r="AS83">
            <v>23100</v>
          </cell>
          <cell r="AT83">
            <v>2342</v>
          </cell>
          <cell r="AU83">
            <v>-23</v>
          </cell>
          <cell r="AV83">
            <v>25418</v>
          </cell>
          <cell r="AY83">
            <v>1</v>
          </cell>
          <cell r="AZ83">
            <v>1</v>
          </cell>
          <cell r="BA83">
            <v>13.8</v>
          </cell>
          <cell r="BB83">
            <v>2.6</v>
          </cell>
          <cell r="BC83">
            <v>-2.2999999999999998</v>
          </cell>
          <cell r="BD83">
            <v>2</v>
          </cell>
          <cell r="BE83">
            <v>3.4</v>
          </cell>
          <cell r="BF83">
            <v>5</v>
          </cell>
          <cell r="BG83">
            <v>2.8</v>
          </cell>
          <cell r="BH83">
            <v>1.6</v>
          </cell>
          <cell r="BI83">
            <v>1.5</v>
          </cell>
          <cell r="BJ83">
            <v>0.6</v>
          </cell>
          <cell r="BK83">
            <v>1.4</v>
          </cell>
          <cell r="BN83">
            <v>14456</v>
          </cell>
          <cell r="BO83">
            <v>3174</v>
          </cell>
          <cell r="BP83">
            <v>590</v>
          </cell>
          <cell r="BQ83">
            <v>3764</v>
          </cell>
          <cell r="BR83">
            <v>427</v>
          </cell>
          <cell r="BS83">
            <v>4192</v>
          </cell>
          <cell r="BT83">
            <v>649</v>
          </cell>
          <cell r="BU83">
            <v>1289</v>
          </cell>
          <cell r="BV83">
            <v>6128</v>
          </cell>
          <cell r="BW83">
            <v>2927</v>
          </cell>
          <cell r="BX83">
            <v>23511</v>
          </cell>
          <cell r="BY83">
            <v>2324</v>
          </cell>
          <cell r="BZ83">
            <v>-458</v>
          </cell>
          <cell r="CA83">
            <v>25377</v>
          </cell>
          <cell r="CB83">
            <v>0</v>
          </cell>
          <cell r="CC83">
            <v>0</v>
          </cell>
          <cell r="CD83">
            <v>0</v>
          </cell>
          <cell r="CE83">
            <v>0</v>
          </cell>
          <cell r="CF83">
            <v>0</v>
          </cell>
          <cell r="CG83">
            <v>0</v>
          </cell>
          <cell r="CH83">
            <v>0</v>
          </cell>
          <cell r="CI83">
            <v>0</v>
          </cell>
          <cell r="CJ83">
            <v>0</v>
          </cell>
          <cell r="CK83">
            <v>0</v>
          </cell>
          <cell r="CL83">
            <v>3</v>
          </cell>
          <cell r="CM83">
            <v>3</v>
          </cell>
        </row>
        <row r="84">
          <cell r="A84">
            <v>28460</v>
          </cell>
          <cell r="D84">
            <v>14487</v>
          </cell>
          <cell r="E84">
            <v>3230</v>
          </cell>
          <cell r="F84">
            <v>494</v>
          </cell>
          <cell r="G84">
            <v>3725</v>
          </cell>
          <cell r="H84">
            <v>430</v>
          </cell>
          <cell r="I84">
            <v>4155</v>
          </cell>
          <cell r="J84">
            <v>668</v>
          </cell>
          <cell r="K84">
            <v>1314</v>
          </cell>
          <cell r="L84">
            <v>6137</v>
          </cell>
          <cell r="M84">
            <v>2983</v>
          </cell>
          <cell r="N84">
            <v>23607</v>
          </cell>
          <cell r="O84">
            <v>2303</v>
          </cell>
          <cell r="P84">
            <v>-45</v>
          </cell>
          <cell r="Q84">
            <v>25865</v>
          </cell>
          <cell r="T84">
            <v>2.2999999999999998</v>
          </cell>
          <cell r="U84">
            <v>2.1</v>
          </cell>
          <cell r="V84">
            <v>2</v>
          </cell>
          <cell r="W84">
            <v>2.1</v>
          </cell>
          <cell r="X84">
            <v>-0.5</v>
          </cell>
          <cell r="Y84">
            <v>1.8</v>
          </cell>
          <cell r="Z84">
            <v>3</v>
          </cell>
          <cell r="AA84">
            <v>5.4</v>
          </cell>
          <cell r="AB84">
            <v>2.7</v>
          </cell>
          <cell r="AC84">
            <v>0.1</v>
          </cell>
          <cell r="AD84">
            <v>2.1</v>
          </cell>
          <cell r="AE84">
            <v>-0.4</v>
          </cell>
          <cell r="AF84">
            <v>1.9</v>
          </cell>
          <cell r="AI84">
            <v>14455</v>
          </cell>
          <cell r="AJ84">
            <v>3149</v>
          </cell>
          <cell r="AK84">
            <v>489</v>
          </cell>
          <cell r="AL84">
            <v>3638</v>
          </cell>
          <cell r="AM84">
            <v>431</v>
          </cell>
          <cell r="AN84">
            <v>4069</v>
          </cell>
          <cell r="AO84">
            <v>668</v>
          </cell>
          <cell r="AP84">
            <v>1314</v>
          </cell>
          <cell r="AQ84">
            <v>6051</v>
          </cell>
          <cell r="AR84">
            <v>2986</v>
          </cell>
          <cell r="AS84">
            <v>23492</v>
          </cell>
          <cell r="AT84">
            <v>2269</v>
          </cell>
          <cell r="AU84">
            <v>-54</v>
          </cell>
          <cell r="AV84">
            <v>25707</v>
          </cell>
          <cell r="AY84">
            <v>2.7</v>
          </cell>
          <cell r="AZ84">
            <v>-1.5</v>
          </cell>
          <cell r="BA84">
            <v>-4.5999999999999996</v>
          </cell>
          <cell r="BB84">
            <v>-1.9</v>
          </cell>
          <cell r="BC84">
            <v>0.9</v>
          </cell>
          <cell r="BD84">
            <v>-1.6</v>
          </cell>
          <cell r="BE84">
            <v>2.9</v>
          </cell>
          <cell r="BF84">
            <v>5.7</v>
          </cell>
          <cell r="BG84">
            <v>0.4</v>
          </cell>
          <cell r="BH84">
            <v>-0.2</v>
          </cell>
          <cell r="BI84">
            <v>1.7</v>
          </cell>
          <cell r="BJ84">
            <v>-3.1</v>
          </cell>
          <cell r="BK84">
            <v>1.1000000000000001</v>
          </cell>
          <cell r="BN84">
            <v>14933</v>
          </cell>
          <cell r="BO84">
            <v>3727</v>
          </cell>
          <cell r="BP84">
            <v>549</v>
          </cell>
          <cell r="BQ84">
            <v>4276</v>
          </cell>
          <cell r="BR84">
            <v>431</v>
          </cell>
          <cell r="BS84">
            <v>4707</v>
          </cell>
          <cell r="BT84">
            <v>668</v>
          </cell>
          <cell r="BU84">
            <v>1406</v>
          </cell>
          <cell r="BV84">
            <v>6781</v>
          </cell>
          <cell r="BW84">
            <v>3783</v>
          </cell>
          <cell r="BX84">
            <v>25497</v>
          </cell>
          <cell r="BY84">
            <v>2298</v>
          </cell>
          <cell r="BZ84">
            <v>-45</v>
          </cell>
          <cell r="CA84">
            <v>27750</v>
          </cell>
          <cell r="CB84">
            <v>0</v>
          </cell>
          <cell r="CC84">
            <v>0</v>
          </cell>
          <cell r="CD84">
            <v>0</v>
          </cell>
          <cell r="CE84">
            <v>0</v>
          </cell>
          <cell r="CF84">
            <v>-1</v>
          </cell>
          <cell r="CG84">
            <v>0</v>
          </cell>
          <cell r="CH84">
            <v>0</v>
          </cell>
          <cell r="CI84">
            <v>0</v>
          </cell>
          <cell r="CJ84">
            <v>-1</v>
          </cell>
          <cell r="CK84">
            <v>0</v>
          </cell>
          <cell r="CL84">
            <v>4</v>
          </cell>
          <cell r="CM84">
            <v>4</v>
          </cell>
        </row>
        <row r="85">
          <cell r="A85">
            <v>28550</v>
          </cell>
          <cell r="D85">
            <v>14808</v>
          </cell>
          <cell r="E85">
            <v>3352</v>
          </cell>
          <cell r="F85">
            <v>521</v>
          </cell>
          <cell r="G85">
            <v>3874</v>
          </cell>
          <cell r="H85">
            <v>430</v>
          </cell>
          <cell r="I85">
            <v>4304</v>
          </cell>
          <cell r="J85">
            <v>685</v>
          </cell>
          <cell r="K85">
            <v>1376</v>
          </cell>
          <cell r="L85">
            <v>6364</v>
          </cell>
          <cell r="M85">
            <v>3066</v>
          </cell>
          <cell r="N85">
            <v>24239</v>
          </cell>
          <cell r="O85">
            <v>2343</v>
          </cell>
          <cell r="P85">
            <v>-70</v>
          </cell>
          <cell r="Q85">
            <v>26512</v>
          </cell>
          <cell r="T85">
            <v>2.2000000000000002</v>
          </cell>
          <cell r="U85">
            <v>3.8</v>
          </cell>
          <cell r="V85">
            <v>5.4</v>
          </cell>
          <cell r="W85">
            <v>4</v>
          </cell>
          <cell r="X85">
            <v>0</v>
          </cell>
          <cell r="Y85">
            <v>3.6</v>
          </cell>
          <cell r="Z85">
            <v>2.5</v>
          </cell>
          <cell r="AA85">
            <v>4.7</v>
          </cell>
          <cell r="AB85">
            <v>3.7</v>
          </cell>
          <cell r="AC85">
            <v>2.8</v>
          </cell>
          <cell r="AD85">
            <v>2.7</v>
          </cell>
          <cell r="AE85">
            <v>1.7</v>
          </cell>
          <cell r="AF85">
            <v>2.5</v>
          </cell>
          <cell r="AI85">
            <v>14904</v>
          </cell>
          <cell r="AJ85">
            <v>3398</v>
          </cell>
          <cell r="AK85">
            <v>494</v>
          </cell>
          <cell r="AL85">
            <v>3892</v>
          </cell>
          <cell r="AM85">
            <v>431</v>
          </cell>
          <cell r="AN85">
            <v>4323</v>
          </cell>
          <cell r="AO85">
            <v>685</v>
          </cell>
          <cell r="AP85">
            <v>1386</v>
          </cell>
          <cell r="AQ85">
            <v>6394</v>
          </cell>
          <cell r="AR85">
            <v>3105</v>
          </cell>
          <cell r="AS85">
            <v>24404</v>
          </cell>
          <cell r="AT85">
            <v>2319</v>
          </cell>
          <cell r="AU85">
            <v>-166</v>
          </cell>
          <cell r="AV85">
            <v>26557</v>
          </cell>
          <cell r="AY85">
            <v>3.1</v>
          </cell>
          <cell r="AZ85">
            <v>7.9</v>
          </cell>
          <cell r="BA85">
            <v>1.1000000000000001</v>
          </cell>
          <cell r="BB85">
            <v>7</v>
          </cell>
          <cell r="BC85">
            <v>0</v>
          </cell>
          <cell r="BD85">
            <v>6.3</v>
          </cell>
          <cell r="BE85">
            <v>2.6</v>
          </cell>
          <cell r="BF85">
            <v>5.5</v>
          </cell>
          <cell r="BG85">
            <v>5.7</v>
          </cell>
          <cell r="BH85">
            <v>4</v>
          </cell>
          <cell r="BI85">
            <v>3.9</v>
          </cell>
          <cell r="BJ85">
            <v>2.2000000000000002</v>
          </cell>
          <cell r="BK85">
            <v>3.3</v>
          </cell>
          <cell r="BN85">
            <v>14279</v>
          </cell>
          <cell r="BO85">
            <v>2895</v>
          </cell>
          <cell r="BP85">
            <v>440</v>
          </cell>
          <cell r="BQ85">
            <v>3336</v>
          </cell>
          <cell r="BR85">
            <v>431</v>
          </cell>
          <cell r="BS85">
            <v>3767</v>
          </cell>
          <cell r="BT85">
            <v>685</v>
          </cell>
          <cell r="BU85">
            <v>1350</v>
          </cell>
          <cell r="BV85">
            <v>5802</v>
          </cell>
          <cell r="BW85">
            <v>2766</v>
          </cell>
          <cell r="BX85">
            <v>22846</v>
          </cell>
          <cell r="BY85">
            <v>2331</v>
          </cell>
          <cell r="BZ85">
            <v>-271</v>
          </cell>
          <cell r="CA85">
            <v>24907</v>
          </cell>
          <cell r="CB85">
            <v>0</v>
          </cell>
          <cell r="CC85">
            <v>0</v>
          </cell>
          <cell r="CD85">
            <v>0</v>
          </cell>
          <cell r="CE85">
            <v>0</v>
          </cell>
          <cell r="CF85">
            <v>0</v>
          </cell>
          <cell r="CG85">
            <v>0</v>
          </cell>
          <cell r="CH85">
            <v>0</v>
          </cell>
          <cell r="CI85">
            <v>0</v>
          </cell>
          <cell r="CJ85">
            <v>0</v>
          </cell>
          <cell r="CK85">
            <v>0</v>
          </cell>
          <cell r="CL85">
            <v>5</v>
          </cell>
          <cell r="CM85">
            <v>5</v>
          </cell>
        </row>
        <row r="86">
          <cell r="A86">
            <v>28642</v>
          </cell>
          <cell r="D86">
            <v>15042</v>
          </cell>
          <cell r="E86">
            <v>3528</v>
          </cell>
          <cell r="F86">
            <v>559</v>
          </cell>
          <cell r="G86">
            <v>4087</v>
          </cell>
          <cell r="H86">
            <v>430</v>
          </cell>
          <cell r="I86">
            <v>4517</v>
          </cell>
          <cell r="J86">
            <v>698</v>
          </cell>
          <cell r="K86">
            <v>1428</v>
          </cell>
          <cell r="L86">
            <v>6644</v>
          </cell>
          <cell r="M86">
            <v>3290</v>
          </cell>
          <cell r="N86">
            <v>24976</v>
          </cell>
          <cell r="O86">
            <v>2447</v>
          </cell>
          <cell r="P86">
            <v>-109</v>
          </cell>
          <cell r="Q86">
            <v>27314</v>
          </cell>
          <cell r="T86">
            <v>1.6</v>
          </cell>
          <cell r="U86">
            <v>5.2</v>
          </cell>
          <cell r="V86">
            <v>7.3</v>
          </cell>
          <cell r="W86">
            <v>5.5</v>
          </cell>
          <cell r="X86">
            <v>0</v>
          </cell>
          <cell r="Y86">
            <v>5</v>
          </cell>
          <cell r="Z86">
            <v>2</v>
          </cell>
          <cell r="AA86">
            <v>3.8</v>
          </cell>
          <cell r="AB86">
            <v>4.4000000000000004</v>
          </cell>
          <cell r="AC86">
            <v>7.3</v>
          </cell>
          <cell r="AD86">
            <v>3</v>
          </cell>
          <cell r="AE86">
            <v>4.4000000000000004</v>
          </cell>
          <cell r="AF86">
            <v>3</v>
          </cell>
          <cell r="AI86">
            <v>15020</v>
          </cell>
          <cell r="AJ86">
            <v>3527</v>
          </cell>
          <cell r="AK86">
            <v>583</v>
          </cell>
          <cell r="AL86">
            <v>4111</v>
          </cell>
          <cell r="AM86">
            <v>429</v>
          </cell>
          <cell r="AN86">
            <v>4539</v>
          </cell>
          <cell r="AO86">
            <v>700</v>
          </cell>
          <cell r="AP86">
            <v>1424</v>
          </cell>
          <cell r="AQ86">
            <v>6664</v>
          </cell>
          <cell r="AR86">
            <v>3107</v>
          </cell>
          <cell r="AS86">
            <v>24790</v>
          </cell>
          <cell r="AT86">
            <v>2482</v>
          </cell>
          <cell r="AU86">
            <v>62</v>
          </cell>
          <cell r="AV86">
            <v>27334</v>
          </cell>
          <cell r="AY86">
            <v>0.8</v>
          </cell>
          <cell r="AZ86">
            <v>3.8</v>
          </cell>
          <cell r="BA86">
            <v>18</v>
          </cell>
          <cell r="BB86">
            <v>5.6</v>
          </cell>
          <cell r="BC86">
            <v>-0.5</v>
          </cell>
          <cell r="BD86">
            <v>5</v>
          </cell>
          <cell r="BE86">
            <v>2.2999999999999998</v>
          </cell>
          <cell r="BF86">
            <v>2.7</v>
          </cell>
          <cell r="BG86">
            <v>4.2</v>
          </cell>
          <cell r="BH86">
            <v>0</v>
          </cell>
          <cell r="BI86">
            <v>1.6</v>
          </cell>
          <cell r="BJ86">
            <v>7</v>
          </cell>
          <cell r="BK86">
            <v>2.9</v>
          </cell>
          <cell r="BN86">
            <v>14847</v>
          </cell>
          <cell r="BO86">
            <v>3443</v>
          </cell>
          <cell r="BP86">
            <v>480</v>
          </cell>
          <cell r="BQ86">
            <v>3924</v>
          </cell>
          <cell r="BR86">
            <v>429</v>
          </cell>
          <cell r="BS86">
            <v>4353</v>
          </cell>
          <cell r="BT86">
            <v>700</v>
          </cell>
          <cell r="BU86">
            <v>1303</v>
          </cell>
          <cell r="BV86">
            <v>6356</v>
          </cell>
          <cell r="BW86">
            <v>2718</v>
          </cell>
          <cell r="BX86">
            <v>23922</v>
          </cell>
          <cell r="BY86">
            <v>2447</v>
          </cell>
          <cell r="BZ86">
            <v>535</v>
          </cell>
          <cell r="CA86">
            <v>26904</v>
          </cell>
          <cell r="CB86">
            <v>0</v>
          </cell>
          <cell r="CC86">
            <v>0</v>
          </cell>
          <cell r="CD86">
            <v>0</v>
          </cell>
          <cell r="CE86">
            <v>0</v>
          </cell>
          <cell r="CF86">
            <v>0</v>
          </cell>
          <cell r="CG86">
            <v>0</v>
          </cell>
          <cell r="CH86">
            <v>0</v>
          </cell>
          <cell r="CI86">
            <v>0</v>
          </cell>
          <cell r="CJ86">
            <v>0</v>
          </cell>
          <cell r="CK86">
            <v>-1</v>
          </cell>
          <cell r="CL86">
            <v>-8</v>
          </cell>
          <cell r="CM86">
            <v>-7</v>
          </cell>
        </row>
        <row r="87">
          <cell r="A87">
            <v>28734</v>
          </cell>
          <cell r="D87">
            <v>15264</v>
          </cell>
          <cell r="E87">
            <v>3730</v>
          </cell>
          <cell r="F87">
            <v>603</v>
          </cell>
          <cell r="G87">
            <v>4333</v>
          </cell>
          <cell r="H87">
            <v>428</v>
          </cell>
          <cell r="I87">
            <v>4761</v>
          </cell>
          <cell r="J87">
            <v>710</v>
          </cell>
          <cell r="K87">
            <v>1479</v>
          </cell>
          <cell r="L87">
            <v>6950</v>
          </cell>
          <cell r="M87">
            <v>3582</v>
          </cell>
          <cell r="N87">
            <v>25795</v>
          </cell>
          <cell r="O87">
            <v>2588</v>
          </cell>
          <cell r="P87">
            <v>-145</v>
          </cell>
          <cell r="Q87">
            <v>28238</v>
          </cell>
          <cell r="T87">
            <v>1.5</v>
          </cell>
          <cell r="U87">
            <v>5.7</v>
          </cell>
          <cell r="V87">
            <v>7.9</v>
          </cell>
          <cell r="W87">
            <v>6</v>
          </cell>
          <cell r="X87">
            <v>-0.5</v>
          </cell>
          <cell r="Y87">
            <v>5.4</v>
          </cell>
          <cell r="Z87">
            <v>1.6</v>
          </cell>
          <cell r="AA87">
            <v>3.5</v>
          </cell>
          <cell r="AB87">
            <v>4.5999999999999996</v>
          </cell>
          <cell r="AC87">
            <v>8.9</v>
          </cell>
          <cell r="AD87">
            <v>3.3</v>
          </cell>
          <cell r="AE87">
            <v>5.8</v>
          </cell>
          <cell r="AF87">
            <v>3.4</v>
          </cell>
          <cell r="AI87">
            <v>15286</v>
          </cell>
          <cell r="AJ87">
            <v>3703</v>
          </cell>
          <cell r="AK87">
            <v>605</v>
          </cell>
          <cell r="AL87">
            <v>4307</v>
          </cell>
          <cell r="AM87">
            <v>428</v>
          </cell>
          <cell r="AN87">
            <v>4735</v>
          </cell>
          <cell r="AO87">
            <v>709</v>
          </cell>
          <cell r="AP87">
            <v>1478</v>
          </cell>
          <cell r="AQ87">
            <v>6922</v>
          </cell>
          <cell r="AR87">
            <v>3748</v>
          </cell>
          <cell r="AS87">
            <v>25956</v>
          </cell>
          <cell r="AT87">
            <v>2561</v>
          </cell>
          <cell r="AU87">
            <v>-245</v>
          </cell>
          <cell r="AV87">
            <v>28271</v>
          </cell>
          <cell r="AY87">
            <v>1.8</v>
          </cell>
          <cell r="AZ87">
            <v>5</v>
          </cell>
          <cell r="BA87">
            <v>3.7</v>
          </cell>
          <cell r="BB87">
            <v>4.8</v>
          </cell>
          <cell r="BC87">
            <v>-0.3</v>
          </cell>
          <cell r="BD87">
            <v>4.3</v>
          </cell>
          <cell r="BE87">
            <v>1.3</v>
          </cell>
          <cell r="BF87">
            <v>3.8</v>
          </cell>
          <cell r="BG87">
            <v>3.9</v>
          </cell>
          <cell r="BH87">
            <v>20.6</v>
          </cell>
          <cell r="BI87">
            <v>4.7</v>
          </cell>
          <cell r="BJ87">
            <v>3.2</v>
          </cell>
          <cell r="BK87">
            <v>3.4</v>
          </cell>
          <cell r="BN87">
            <v>15187</v>
          </cell>
          <cell r="BO87">
            <v>3680</v>
          </cell>
          <cell r="BP87">
            <v>701</v>
          </cell>
          <cell r="BQ87">
            <v>4381</v>
          </cell>
          <cell r="BR87">
            <v>428</v>
          </cell>
          <cell r="BS87">
            <v>4809</v>
          </cell>
          <cell r="BT87">
            <v>709</v>
          </cell>
          <cell r="BU87">
            <v>1532</v>
          </cell>
          <cell r="BV87">
            <v>7050</v>
          </cell>
          <cell r="BW87">
            <v>3348</v>
          </cell>
          <cell r="BX87">
            <v>25585</v>
          </cell>
          <cell r="BY87">
            <v>2543</v>
          </cell>
          <cell r="BZ87">
            <v>-379</v>
          </cell>
          <cell r="CA87">
            <v>27748</v>
          </cell>
          <cell r="CB87">
            <v>0</v>
          </cell>
          <cell r="CC87">
            <v>0</v>
          </cell>
          <cell r="CD87">
            <v>0</v>
          </cell>
          <cell r="CE87">
            <v>0</v>
          </cell>
          <cell r="CF87">
            <v>0</v>
          </cell>
          <cell r="CG87">
            <v>0</v>
          </cell>
          <cell r="CH87">
            <v>0</v>
          </cell>
          <cell r="CI87">
            <v>0</v>
          </cell>
          <cell r="CJ87">
            <v>0</v>
          </cell>
          <cell r="CK87">
            <v>-1</v>
          </cell>
          <cell r="CL87">
            <v>16</v>
          </cell>
          <cell r="CM87">
            <v>16</v>
          </cell>
        </row>
        <row r="88">
          <cell r="A88">
            <v>28825</v>
          </cell>
          <cell r="D88">
            <v>15557</v>
          </cell>
          <cell r="E88">
            <v>3892</v>
          </cell>
          <cell r="F88">
            <v>630</v>
          </cell>
          <cell r="G88">
            <v>4522</v>
          </cell>
          <cell r="H88">
            <v>425</v>
          </cell>
          <cell r="I88">
            <v>4946</v>
          </cell>
          <cell r="J88">
            <v>726</v>
          </cell>
          <cell r="K88">
            <v>1540</v>
          </cell>
          <cell r="L88">
            <v>7212</v>
          </cell>
          <cell r="M88">
            <v>3853</v>
          </cell>
          <cell r="N88">
            <v>26622</v>
          </cell>
          <cell r="O88">
            <v>2706</v>
          </cell>
          <cell r="P88">
            <v>-122</v>
          </cell>
          <cell r="Q88">
            <v>29206</v>
          </cell>
          <cell r="T88">
            <v>1.9</v>
          </cell>
          <cell r="U88">
            <v>4.4000000000000004</v>
          </cell>
          <cell r="V88">
            <v>4.4000000000000004</v>
          </cell>
          <cell r="W88">
            <v>4.4000000000000004</v>
          </cell>
          <cell r="X88">
            <v>-0.8</v>
          </cell>
          <cell r="Y88">
            <v>3.9</v>
          </cell>
          <cell r="Z88">
            <v>2.2000000000000002</v>
          </cell>
          <cell r="AA88">
            <v>4.0999999999999996</v>
          </cell>
          <cell r="AB88">
            <v>3.8</v>
          </cell>
          <cell r="AC88">
            <v>7.6</v>
          </cell>
          <cell r="AD88">
            <v>3.2</v>
          </cell>
          <cell r="AE88">
            <v>4.5</v>
          </cell>
          <cell r="AF88">
            <v>3.4</v>
          </cell>
          <cell r="AI88">
            <v>15393</v>
          </cell>
          <cell r="AJ88">
            <v>3915</v>
          </cell>
          <cell r="AK88">
            <v>621</v>
          </cell>
          <cell r="AL88">
            <v>4537</v>
          </cell>
          <cell r="AM88">
            <v>425</v>
          </cell>
          <cell r="AN88">
            <v>4961</v>
          </cell>
          <cell r="AO88">
            <v>725</v>
          </cell>
          <cell r="AP88">
            <v>1536</v>
          </cell>
          <cell r="AQ88">
            <v>7222</v>
          </cell>
          <cell r="AR88">
            <v>3874</v>
          </cell>
          <cell r="AS88">
            <v>26489</v>
          </cell>
          <cell r="AT88">
            <v>2728</v>
          </cell>
          <cell r="AU88">
            <v>-196</v>
          </cell>
          <cell r="AV88">
            <v>29021</v>
          </cell>
          <cell r="AY88">
            <v>0.7</v>
          </cell>
          <cell r="AZ88">
            <v>5.7</v>
          </cell>
          <cell r="BA88">
            <v>2.8</v>
          </cell>
          <cell r="BB88">
            <v>5.3</v>
          </cell>
          <cell r="BC88">
            <v>-0.7</v>
          </cell>
          <cell r="BD88">
            <v>4.8</v>
          </cell>
          <cell r="BE88">
            <v>2.2000000000000002</v>
          </cell>
          <cell r="BF88">
            <v>3.9</v>
          </cell>
          <cell r="BG88">
            <v>4.3</v>
          </cell>
          <cell r="BH88">
            <v>3.4</v>
          </cell>
          <cell r="BI88">
            <v>2.1</v>
          </cell>
          <cell r="BJ88">
            <v>6.6</v>
          </cell>
          <cell r="BK88">
            <v>2.7</v>
          </cell>
          <cell r="BN88">
            <v>16009</v>
          </cell>
          <cell r="BO88">
            <v>4604</v>
          </cell>
          <cell r="BP88">
            <v>700</v>
          </cell>
          <cell r="BQ88">
            <v>5304</v>
          </cell>
          <cell r="BR88">
            <v>425</v>
          </cell>
          <cell r="BS88">
            <v>5729</v>
          </cell>
          <cell r="BT88">
            <v>725</v>
          </cell>
          <cell r="BU88">
            <v>1641</v>
          </cell>
          <cell r="BV88">
            <v>8095</v>
          </cell>
          <cell r="BW88">
            <v>4739</v>
          </cell>
          <cell r="BX88">
            <v>28843</v>
          </cell>
          <cell r="BY88">
            <v>2775</v>
          </cell>
          <cell r="BZ88">
            <v>-211</v>
          </cell>
          <cell r="CA88">
            <v>31408</v>
          </cell>
          <cell r="CB88">
            <v>0</v>
          </cell>
          <cell r="CC88">
            <v>0</v>
          </cell>
          <cell r="CD88">
            <v>1</v>
          </cell>
          <cell r="CE88">
            <v>0</v>
          </cell>
          <cell r="CF88">
            <v>0</v>
          </cell>
          <cell r="CG88">
            <v>0</v>
          </cell>
          <cell r="CH88">
            <v>0</v>
          </cell>
          <cell r="CI88">
            <v>0</v>
          </cell>
          <cell r="CJ88">
            <v>0</v>
          </cell>
          <cell r="CK88">
            <v>0</v>
          </cell>
          <cell r="CL88">
            <v>19</v>
          </cell>
          <cell r="CM88">
            <v>19</v>
          </cell>
        </row>
        <row r="89">
          <cell r="A89">
            <v>28915</v>
          </cell>
          <cell r="D89">
            <v>15914</v>
          </cell>
          <cell r="E89">
            <v>4028</v>
          </cell>
          <cell r="F89">
            <v>648</v>
          </cell>
          <cell r="G89">
            <v>4676</v>
          </cell>
          <cell r="H89">
            <v>417</v>
          </cell>
          <cell r="I89">
            <v>5093</v>
          </cell>
          <cell r="J89">
            <v>748</v>
          </cell>
          <cell r="K89">
            <v>1610</v>
          </cell>
          <cell r="L89">
            <v>7451</v>
          </cell>
          <cell r="M89">
            <v>4065</v>
          </cell>
          <cell r="N89">
            <v>27430</v>
          </cell>
          <cell r="O89">
            <v>2818</v>
          </cell>
          <cell r="P89">
            <v>-94</v>
          </cell>
          <cell r="Q89">
            <v>30154</v>
          </cell>
          <cell r="T89">
            <v>2.2999999999999998</v>
          </cell>
          <cell r="U89">
            <v>3.5</v>
          </cell>
          <cell r="V89">
            <v>2.8</v>
          </cell>
          <cell r="W89">
            <v>3.4</v>
          </cell>
          <cell r="X89">
            <v>-1.7</v>
          </cell>
          <cell r="Y89">
            <v>3</v>
          </cell>
          <cell r="Z89">
            <v>3.1</v>
          </cell>
          <cell r="AA89">
            <v>4.5999999999999996</v>
          </cell>
          <cell r="AB89">
            <v>3.3</v>
          </cell>
          <cell r="AC89">
            <v>5.5</v>
          </cell>
          <cell r="AD89">
            <v>3</v>
          </cell>
          <cell r="AE89">
            <v>4.0999999999999996</v>
          </cell>
          <cell r="AF89">
            <v>3.2</v>
          </cell>
          <cell r="AI89">
            <v>16141</v>
          </cell>
          <cell r="AJ89">
            <v>4089</v>
          </cell>
          <cell r="AK89">
            <v>664</v>
          </cell>
          <cell r="AL89">
            <v>4753</v>
          </cell>
          <cell r="AM89">
            <v>418</v>
          </cell>
          <cell r="AN89">
            <v>5170</v>
          </cell>
          <cell r="AO89">
            <v>747</v>
          </cell>
          <cell r="AP89">
            <v>1610</v>
          </cell>
          <cell r="AQ89">
            <v>7527</v>
          </cell>
          <cell r="AR89">
            <v>3938</v>
          </cell>
          <cell r="AS89">
            <v>27607</v>
          </cell>
          <cell r="AT89">
            <v>2836</v>
          </cell>
          <cell r="AU89">
            <v>16</v>
          </cell>
          <cell r="AV89">
            <v>30459</v>
          </cell>
          <cell r="AY89">
            <v>4.9000000000000004</v>
          </cell>
          <cell r="AZ89">
            <v>4.4000000000000004</v>
          </cell>
          <cell r="BA89">
            <v>6.8</v>
          </cell>
          <cell r="BB89">
            <v>4.8</v>
          </cell>
          <cell r="BC89">
            <v>-1.6</v>
          </cell>
          <cell r="BD89">
            <v>4.2</v>
          </cell>
          <cell r="BE89">
            <v>3.1</v>
          </cell>
          <cell r="BF89">
            <v>4.8</v>
          </cell>
          <cell r="BG89">
            <v>4.2</v>
          </cell>
          <cell r="BH89">
            <v>1.7</v>
          </cell>
          <cell r="BI89">
            <v>4.2</v>
          </cell>
          <cell r="BJ89">
            <v>3.9</v>
          </cell>
          <cell r="BK89">
            <v>5</v>
          </cell>
          <cell r="BN89">
            <v>15452</v>
          </cell>
          <cell r="BO89">
            <v>3512</v>
          </cell>
          <cell r="BP89">
            <v>594</v>
          </cell>
          <cell r="BQ89">
            <v>4106</v>
          </cell>
          <cell r="BR89">
            <v>418</v>
          </cell>
          <cell r="BS89">
            <v>4524</v>
          </cell>
          <cell r="BT89">
            <v>747</v>
          </cell>
          <cell r="BU89">
            <v>1566</v>
          </cell>
          <cell r="BV89">
            <v>6837</v>
          </cell>
          <cell r="BW89">
            <v>4202</v>
          </cell>
          <cell r="BX89">
            <v>26491</v>
          </cell>
          <cell r="BY89">
            <v>2853</v>
          </cell>
          <cell r="BZ89">
            <v>-237</v>
          </cell>
          <cell r="CA89">
            <v>29107</v>
          </cell>
          <cell r="CB89">
            <v>0</v>
          </cell>
          <cell r="CC89">
            <v>0</v>
          </cell>
          <cell r="CD89">
            <v>0</v>
          </cell>
          <cell r="CE89">
            <v>0</v>
          </cell>
          <cell r="CF89">
            <v>0</v>
          </cell>
          <cell r="CG89">
            <v>0</v>
          </cell>
          <cell r="CH89">
            <v>0</v>
          </cell>
          <cell r="CI89">
            <v>1</v>
          </cell>
          <cell r="CJ89">
            <v>0</v>
          </cell>
          <cell r="CK89">
            <v>0</v>
          </cell>
          <cell r="CL89">
            <v>6</v>
          </cell>
          <cell r="CM89">
            <v>7</v>
          </cell>
        </row>
        <row r="90">
          <cell r="A90">
            <v>29007</v>
          </cell>
          <cell r="D90">
            <v>16297</v>
          </cell>
          <cell r="E90">
            <v>4174</v>
          </cell>
          <cell r="F90">
            <v>692</v>
          </cell>
          <cell r="G90">
            <v>4866</v>
          </cell>
          <cell r="H90">
            <v>405</v>
          </cell>
          <cell r="I90">
            <v>5271</v>
          </cell>
          <cell r="J90">
            <v>777</v>
          </cell>
          <cell r="K90">
            <v>1680</v>
          </cell>
          <cell r="L90">
            <v>7728</v>
          </cell>
          <cell r="M90">
            <v>4205</v>
          </cell>
          <cell r="N90">
            <v>28230</v>
          </cell>
          <cell r="O90">
            <v>2907</v>
          </cell>
          <cell r="P90">
            <v>-43</v>
          </cell>
          <cell r="Q90">
            <v>31093</v>
          </cell>
          <cell r="T90">
            <v>2.4</v>
          </cell>
          <cell r="U90">
            <v>3.6</v>
          </cell>
          <cell r="V90">
            <v>6.8</v>
          </cell>
          <cell r="W90">
            <v>4.0999999999999996</v>
          </cell>
          <cell r="X90">
            <v>-3</v>
          </cell>
          <cell r="Y90">
            <v>3.5</v>
          </cell>
          <cell r="Z90">
            <v>3.9</v>
          </cell>
          <cell r="AA90">
            <v>4.4000000000000004</v>
          </cell>
          <cell r="AB90">
            <v>3.7</v>
          </cell>
          <cell r="AC90">
            <v>3.4</v>
          </cell>
          <cell r="AD90">
            <v>2.9</v>
          </cell>
          <cell r="AE90">
            <v>3.2</v>
          </cell>
          <cell r="AF90">
            <v>3.1</v>
          </cell>
          <cell r="AI90">
            <v>16175</v>
          </cell>
          <cell r="AJ90">
            <v>4065</v>
          </cell>
          <cell r="AK90">
            <v>668</v>
          </cell>
          <cell r="AL90">
            <v>4733</v>
          </cell>
          <cell r="AM90">
            <v>407</v>
          </cell>
          <cell r="AN90">
            <v>5140</v>
          </cell>
          <cell r="AO90">
            <v>776</v>
          </cell>
          <cell r="AP90">
            <v>1686</v>
          </cell>
          <cell r="AQ90">
            <v>7602</v>
          </cell>
          <cell r="AR90">
            <v>4310</v>
          </cell>
          <cell r="AS90">
            <v>28088</v>
          </cell>
          <cell r="AT90">
            <v>2858</v>
          </cell>
          <cell r="AU90">
            <v>-18</v>
          </cell>
          <cell r="AV90">
            <v>30927</v>
          </cell>
          <cell r="AY90">
            <v>0.2</v>
          </cell>
          <cell r="AZ90">
            <v>-0.6</v>
          </cell>
          <cell r="BA90">
            <v>0.6</v>
          </cell>
          <cell r="BB90">
            <v>-0.4</v>
          </cell>
          <cell r="BC90">
            <v>-2.6</v>
          </cell>
          <cell r="BD90">
            <v>-0.6</v>
          </cell>
          <cell r="BE90">
            <v>3.9</v>
          </cell>
          <cell r="BF90">
            <v>4.7</v>
          </cell>
          <cell r="BG90">
            <v>1</v>
          </cell>
          <cell r="BH90">
            <v>9.4</v>
          </cell>
          <cell r="BI90">
            <v>1.7</v>
          </cell>
          <cell r="BJ90">
            <v>0.8</v>
          </cell>
          <cell r="BK90">
            <v>1.5</v>
          </cell>
          <cell r="BN90">
            <v>16218</v>
          </cell>
          <cell r="BO90">
            <v>3967</v>
          </cell>
          <cell r="BP90">
            <v>545</v>
          </cell>
          <cell r="BQ90">
            <v>4513</v>
          </cell>
          <cell r="BR90">
            <v>407</v>
          </cell>
          <cell r="BS90">
            <v>4920</v>
          </cell>
          <cell r="BT90">
            <v>776</v>
          </cell>
          <cell r="BU90">
            <v>1547</v>
          </cell>
          <cell r="BV90">
            <v>7242</v>
          </cell>
          <cell r="BW90">
            <v>3595</v>
          </cell>
          <cell r="BX90">
            <v>27056</v>
          </cell>
          <cell r="BY90">
            <v>2807</v>
          </cell>
          <cell r="BZ90">
            <v>481</v>
          </cell>
          <cell r="CA90">
            <v>30345</v>
          </cell>
          <cell r="CB90">
            <v>0</v>
          </cell>
          <cell r="CC90">
            <v>0</v>
          </cell>
          <cell r="CD90">
            <v>0</v>
          </cell>
          <cell r="CE90">
            <v>0</v>
          </cell>
          <cell r="CF90">
            <v>0</v>
          </cell>
          <cell r="CG90">
            <v>0</v>
          </cell>
          <cell r="CH90">
            <v>0</v>
          </cell>
          <cell r="CI90">
            <v>0</v>
          </cell>
          <cell r="CJ90">
            <v>0</v>
          </cell>
          <cell r="CK90">
            <v>0</v>
          </cell>
          <cell r="CL90">
            <v>5</v>
          </cell>
          <cell r="CM90">
            <v>4</v>
          </cell>
        </row>
        <row r="91">
          <cell r="A91">
            <v>29099</v>
          </cell>
          <cell r="D91">
            <v>16717</v>
          </cell>
          <cell r="E91">
            <v>4361</v>
          </cell>
          <cell r="F91">
            <v>750</v>
          </cell>
          <cell r="G91">
            <v>5111</v>
          </cell>
          <cell r="H91">
            <v>390</v>
          </cell>
          <cell r="I91">
            <v>5501</v>
          </cell>
          <cell r="J91">
            <v>809</v>
          </cell>
          <cell r="K91">
            <v>1738</v>
          </cell>
          <cell r="L91">
            <v>8048</v>
          </cell>
          <cell r="M91">
            <v>4342</v>
          </cell>
          <cell r="N91">
            <v>29107</v>
          </cell>
          <cell r="O91">
            <v>3035</v>
          </cell>
          <cell r="P91">
            <v>-49</v>
          </cell>
          <cell r="Q91">
            <v>32093</v>
          </cell>
          <cell r="T91">
            <v>2.6</v>
          </cell>
          <cell r="U91">
            <v>4.5</v>
          </cell>
          <cell r="V91">
            <v>8.5</v>
          </cell>
          <cell r="W91">
            <v>5</v>
          </cell>
          <cell r="X91">
            <v>-3.7</v>
          </cell>
          <cell r="Y91">
            <v>4.4000000000000004</v>
          </cell>
          <cell r="Z91">
            <v>4.0999999999999996</v>
          </cell>
          <cell r="AA91">
            <v>3.4</v>
          </cell>
          <cell r="AB91">
            <v>4.0999999999999996</v>
          </cell>
          <cell r="AC91">
            <v>3.3</v>
          </cell>
          <cell r="AD91">
            <v>3.1</v>
          </cell>
          <cell r="AE91">
            <v>4.4000000000000004</v>
          </cell>
          <cell r="AF91">
            <v>3.2</v>
          </cell>
          <cell r="AI91">
            <v>16698</v>
          </cell>
          <cell r="AJ91">
            <v>4396</v>
          </cell>
          <cell r="AK91">
            <v>742</v>
          </cell>
          <cell r="AL91">
            <v>5139</v>
          </cell>
          <cell r="AM91">
            <v>388</v>
          </cell>
          <cell r="AN91">
            <v>5527</v>
          </cell>
          <cell r="AO91">
            <v>811</v>
          </cell>
          <cell r="AP91">
            <v>1739</v>
          </cell>
          <cell r="AQ91">
            <v>8076</v>
          </cell>
          <cell r="AR91">
            <v>4355</v>
          </cell>
          <cell r="AS91">
            <v>29130</v>
          </cell>
          <cell r="AT91">
            <v>3101</v>
          </cell>
          <cell r="AU91">
            <v>-239</v>
          </cell>
          <cell r="AV91">
            <v>31992</v>
          </cell>
          <cell r="AY91">
            <v>3.2</v>
          </cell>
          <cell r="AZ91">
            <v>8.1</v>
          </cell>
          <cell r="BA91">
            <v>11.1</v>
          </cell>
          <cell r="BB91">
            <v>8.6</v>
          </cell>
          <cell r="BC91">
            <v>-4.5999999999999996</v>
          </cell>
          <cell r="BD91">
            <v>7.5</v>
          </cell>
          <cell r="BE91">
            <v>4.4000000000000004</v>
          </cell>
          <cell r="BF91">
            <v>3.2</v>
          </cell>
          <cell r="BG91">
            <v>6.2</v>
          </cell>
          <cell r="BH91">
            <v>1</v>
          </cell>
          <cell r="BI91">
            <v>3.7</v>
          </cell>
          <cell r="BJ91">
            <v>8.5</v>
          </cell>
          <cell r="BK91">
            <v>3.4</v>
          </cell>
          <cell r="BN91">
            <v>16890</v>
          </cell>
          <cell r="BO91">
            <v>4369</v>
          </cell>
          <cell r="BP91">
            <v>860</v>
          </cell>
          <cell r="BQ91">
            <v>5228</v>
          </cell>
          <cell r="BR91">
            <v>388</v>
          </cell>
          <cell r="BS91">
            <v>5616</v>
          </cell>
          <cell r="BT91">
            <v>811</v>
          </cell>
          <cell r="BU91">
            <v>1806</v>
          </cell>
          <cell r="BV91">
            <v>8232</v>
          </cell>
          <cell r="BW91">
            <v>4022</v>
          </cell>
          <cell r="BX91">
            <v>29145</v>
          </cell>
          <cell r="BY91">
            <v>3064</v>
          </cell>
          <cell r="BZ91">
            <v>-638</v>
          </cell>
          <cell r="CA91">
            <v>31570</v>
          </cell>
          <cell r="CB91">
            <v>0</v>
          </cell>
          <cell r="CC91">
            <v>0</v>
          </cell>
          <cell r="CD91">
            <v>0</v>
          </cell>
          <cell r="CE91">
            <v>0</v>
          </cell>
          <cell r="CF91">
            <v>0</v>
          </cell>
          <cell r="CG91">
            <v>0</v>
          </cell>
          <cell r="CH91">
            <v>1</v>
          </cell>
          <cell r="CI91">
            <v>0</v>
          </cell>
          <cell r="CJ91">
            <v>0</v>
          </cell>
          <cell r="CK91">
            <v>0</v>
          </cell>
          <cell r="CL91">
            <v>-2</v>
          </cell>
          <cell r="CM91">
            <v>-3</v>
          </cell>
        </row>
        <row r="92">
          <cell r="A92">
            <v>29190</v>
          </cell>
          <cell r="D92">
            <v>17196</v>
          </cell>
          <cell r="E92">
            <v>4597</v>
          </cell>
          <cell r="F92">
            <v>807</v>
          </cell>
          <cell r="G92">
            <v>5404</v>
          </cell>
          <cell r="H92">
            <v>378</v>
          </cell>
          <cell r="I92">
            <v>5782</v>
          </cell>
          <cell r="J92">
            <v>840</v>
          </cell>
          <cell r="K92">
            <v>1793</v>
          </cell>
          <cell r="L92">
            <v>8415</v>
          </cell>
          <cell r="M92">
            <v>4481</v>
          </cell>
          <cell r="N92">
            <v>30093</v>
          </cell>
          <cell r="O92">
            <v>3185</v>
          </cell>
          <cell r="P92">
            <v>-161</v>
          </cell>
          <cell r="Q92">
            <v>33117</v>
          </cell>
          <cell r="T92">
            <v>2.9</v>
          </cell>
          <cell r="U92">
            <v>5.4</v>
          </cell>
          <cell r="V92">
            <v>7.6</v>
          </cell>
          <cell r="W92">
            <v>5.7</v>
          </cell>
          <cell r="X92">
            <v>-3.1</v>
          </cell>
          <cell r="Y92">
            <v>5.0999999999999996</v>
          </cell>
          <cell r="Z92">
            <v>3.9</v>
          </cell>
          <cell r="AA92">
            <v>3.2</v>
          </cell>
          <cell r="AB92">
            <v>4.5999999999999996</v>
          </cell>
          <cell r="AC92">
            <v>3.2</v>
          </cell>
          <cell r="AD92">
            <v>3.4</v>
          </cell>
          <cell r="AE92">
            <v>5</v>
          </cell>
          <cell r="AF92">
            <v>3.2</v>
          </cell>
          <cell r="AI92">
            <v>17258</v>
          </cell>
          <cell r="AJ92">
            <v>4625</v>
          </cell>
          <cell r="AK92">
            <v>845</v>
          </cell>
          <cell r="AL92">
            <v>5470</v>
          </cell>
          <cell r="AM92">
            <v>376</v>
          </cell>
          <cell r="AN92">
            <v>5846</v>
          </cell>
          <cell r="AO92">
            <v>840</v>
          </cell>
          <cell r="AP92">
            <v>1798</v>
          </cell>
          <cell r="AQ92">
            <v>8483</v>
          </cell>
          <cell r="AR92">
            <v>4369</v>
          </cell>
          <cell r="AS92">
            <v>30109</v>
          </cell>
          <cell r="AT92">
            <v>3057</v>
          </cell>
          <cell r="AU92">
            <v>99</v>
          </cell>
          <cell r="AV92">
            <v>33266</v>
          </cell>
          <cell r="AY92">
            <v>3.4</v>
          </cell>
          <cell r="AZ92">
            <v>5.2</v>
          </cell>
          <cell r="BA92">
            <v>13.9</v>
          </cell>
          <cell r="BB92">
            <v>6.4</v>
          </cell>
          <cell r="BC92">
            <v>-3.1</v>
          </cell>
          <cell r="BD92">
            <v>5.8</v>
          </cell>
          <cell r="BE92">
            <v>3.6</v>
          </cell>
          <cell r="BF92">
            <v>3.3</v>
          </cell>
          <cell r="BG92">
            <v>5</v>
          </cell>
          <cell r="BH92">
            <v>0.3</v>
          </cell>
          <cell r="BI92">
            <v>3.4</v>
          </cell>
          <cell r="BJ92">
            <v>-1.4</v>
          </cell>
          <cell r="BK92">
            <v>4</v>
          </cell>
          <cell r="BN92">
            <v>17646</v>
          </cell>
          <cell r="BO92">
            <v>5410</v>
          </cell>
          <cell r="BP92">
            <v>955</v>
          </cell>
          <cell r="BQ92">
            <v>6365</v>
          </cell>
          <cell r="BR92">
            <v>376</v>
          </cell>
          <cell r="BS92">
            <v>6741</v>
          </cell>
          <cell r="BT92">
            <v>840</v>
          </cell>
          <cell r="BU92">
            <v>1916</v>
          </cell>
          <cell r="BV92">
            <v>9496</v>
          </cell>
          <cell r="BW92">
            <v>6036</v>
          </cell>
          <cell r="BX92">
            <v>33178</v>
          </cell>
          <cell r="BY92">
            <v>3133</v>
          </cell>
          <cell r="BZ92">
            <v>16</v>
          </cell>
          <cell r="CA92">
            <v>36328</v>
          </cell>
          <cell r="CB92">
            <v>0</v>
          </cell>
          <cell r="CC92">
            <v>0</v>
          </cell>
          <cell r="CD92">
            <v>0</v>
          </cell>
          <cell r="CE92">
            <v>0</v>
          </cell>
          <cell r="CF92">
            <v>0</v>
          </cell>
          <cell r="CG92">
            <v>0</v>
          </cell>
          <cell r="CH92">
            <v>0</v>
          </cell>
          <cell r="CI92">
            <v>0</v>
          </cell>
          <cell r="CJ92">
            <v>1</v>
          </cell>
          <cell r="CK92">
            <v>0</v>
          </cell>
          <cell r="CL92">
            <v>-8</v>
          </cell>
          <cell r="CM92">
            <v>-7</v>
          </cell>
        </row>
        <row r="93">
          <cell r="A93">
            <v>29281</v>
          </cell>
          <cell r="D93">
            <v>17762</v>
          </cell>
          <cell r="E93">
            <v>4776</v>
          </cell>
          <cell r="F93">
            <v>833</v>
          </cell>
          <cell r="G93">
            <v>5609</v>
          </cell>
          <cell r="H93">
            <v>368</v>
          </cell>
          <cell r="I93">
            <v>5977</v>
          </cell>
          <cell r="J93">
            <v>871</v>
          </cell>
          <cell r="K93">
            <v>1862</v>
          </cell>
          <cell r="L93">
            <v>8710</v>
          </cell>
          <cell r="M93">
            <v>4598</v>
          </cell>
          <cell r="N93">
            <v>31069</v>
          </cell>
          <cell r="O93">
            <v>3316</v>
          </cell>
          <cell r="P93">
            <v>-290</v>
          </cell>
          <cell r="Q93">
            <v>34095</v>
          </cell>
          <cell r="T93">
            <v>3.3</v>
          </cell>
          <cell r="U93">
            <v>3.9</v>
          </cell>
          <cell r="V93">
            <v>3.2</v>
          </cell>
          <cell r="W93">
            <v>3.8</v>
          </cell>
          <cell r="X93">
            <v>-2.5</v>
          </cell>
          <cell r="Y93">
            <v>3.4</v>
          </cell>
          <cell r="Z93">
            <v>3.6</v>
          </cell>
          <cell r="AA93">
            <v>3.8</v>
          </cell>
          <cell r="AB93">
            <v>3.5</v>
          </cell>
          <cell r="AC93">
            <v>2.6</v>
          </cell>
          <cell r="AD93">
            <v>3.2</v>
          </cell>
          <cell r="AE93">
            <v>4.0999999999999996</v>
          </cell>
          <cell r="AF93">
            <v>3</v>
          </cell>
          <cell r="AI93">
            <v>17743</v>
          </cell>
          <cell r="AJ93">
            <v>4752</v>
          </cell>
          <cell r="AK93">
            <v>808</v>
          </cell>
          <cell r="AL93">
            <v>5560</v>
          </cell>
          <cell r="AM93">
            <v>368</v>
          </cell>
          <cell r="AN93">
            <v>5928</v>
          </cell>
          <cell r="AO93">
            <v>870</v>
          </cell>
          <cell r="AP93">
            <v>1838</v>
          </cell>
          <cell r="AQ93">
            <v>8636</v>
          </cell>
          <cell r="AR93">
            <v>4652</v>
          </cell>
          <cell r="AS93">
            <v>31030</v>
          </cell>
          <cell r="AT93">
            <v>3499</v>
          </cell>
          <cell r="AU93">
            <v>-360</v>
          </cell>
          <cell r="AV93">
            <v>34169</v>
          </cell>
          <cell r="AY93">
            <v>2.8</v>
          </cell>
          <cell r="AZ93">
            <v>2.7</v>
          </cell>
          <cell r="BA93">
            <v>-4.4000000000000004</v>
          </cell>
          <cell r="BB93">
            <v>1.6</v>
          </cell>
          <cell r="BC93">
            <v>-2.1</v>
          </cell>
          <cell r="BD93">
            <v>1.4</v>
          </cell>
          <cell r="BE93">
            <v>3.6</v>
          </cell>
          <cell r="BF93">
            <v>2.2000000000000002</v>
          </cell>
          <cell r="BG93">
            <v>1.8</v>
          </cell>
          <cell r="BH93">
            <v>6.5</v>
          </cell>
          <cell r="BI93">
            <v>3.1</v>
          </cell>
          <cell r="BJ93">
            <v>14.5</v>
          </cell>
          <cell r="BK93">
            <v>2.7</v>
          </cell>
          <cell r="BN93">
            <v>17427</v>
          </cell>
          <cell r="BO93">
            <v>4106</v>
          </cell>
          <cell r="BP93">
            <v>728</v>
          </cell>
          <cell r="BQ93">
            <v>4835</v>
          </cell>
          <cell r="BR93">
            <v>368</v>
          </cell>
          <cell r="BS93">
            <v>5203</v>
          </cell>
          <cell r="BT93">
            <v>870</v>
          </cell>
          <cell r="BU93">
            <v>1786</v>
          </cell>
          <cell r="BV93">
            <v>7858</v>
          </cell>
          <cell r="BW93">
            <v>4175</v>
          </cell>
          <cell r="BX93">
            <v>29461</v>
          </cell>
          <cell r="BY93">
            <v>3518</v>
          </cell>
          <cell r="BZ93">
            <v>-616</v>
          </cell>
          <cell r="CA93">
            <v>32362</v>
          </cell>
          <cell r="CB93">
            <v>0</v>
          </cell>
          <cell r="CC93">
            <v>0</v>
          </cell>
          <cell r="CD93">
            <v>0</v>
          </cell>
          <cell r="CE93">
            <v>0</v>
          </cell>
          <cell r="CF93">
            <v>0</v>
          </cell>
          <cell r="CG93">
            <v>0</v>
          </cell>
          <cell r="CH93">
            <v>0</v>
          </cell>
          <cell r="CI93">
            <v>-1</v>
          </cell>
          <cell r="CJ93">
            <v>0</v>
          </cell>
          <cell r="CK93">
            <v>0</v>
          </cell>
          <cell r="CL93">
            <v>-2</v>
          </cell>
          <cell r="CM93">
            <v>-2</v>
          </cell>
        </row>
        <row r="94">
          <cell r="A94">
            <v>29373</v>
          </cell>
          <cell r="D94">
            <v>18372</v>
          </cell>
          <cell r="E94">
            <v>4918</v>
          </cell>
          <cell r="F94">
            <v>829</v>
          </cell>
          <cell r="G94">
            <v>5746</v>
          </cell>
          <cell r="H94">
            <v>357</v>
          </cell>
          <cell r="I94">
            <v>6103</v>
          </cell>
          <cell r="J94">
            <v>901</v>
          </cell>
          <cell r="K94">
            <v>1941</v>
          </cell>
          <cell r="L94">
            <v>8945</v>
          </cell>
          <cell r="M94">
            <v>4693</v>
          </cell>
          <cell r="N94">
            <v>32010</v>
          </cell>
          <cell r="O94">
            <v>3439</v>
          </cell>
          <cell r="P94">
            <v>-365</v>
          </cell>
          <cell r="Q94">
            <v>35083</v>
          </cell>
          <cell r="T94">
            <v>3.4</v>
          </cell>
          <cell r="U94">
            <v>3</v>
          </cell>
          <cell r="V94">
            <v>-0.6</v>
          </cell>
          <cell r="W94">
            <v>2.4</v>
          </cell>
          <cell r="X94">
            <v>-3</v>
          </cell>
          <cell r="Y94">
            <v>2.1</v>
          </cell>
          <cell r="Z94">
            <v>3.5</v>
          </cell>
          <cell r="AA94">
            <v>4.3</v>
          </cell>
          <cell r="AB94">
            <v>2.7</v>
          </cell>
          <cell r="AC94">
            <v>2.1</v>
          </cell>
          <cell r="AD94">
            <v>3</v>
          </cell>
          <cell r="AE94">
            <v>3.7</v>
          </cell>
          <cell r="AF94">
            <v>2.9</v>
          </cell>
          <cell r="AI94">
            <v>18351</v>
          </cell>
          <cell r="AJ94">
            <v>5014</v>
          </cell>
          <cell r="AK94">
            <v>856</v>
          </cell>
          <cell r="AL94">
            <v>5869</v>
          </cell>
          <cell r="AM94">
            <v>363</v>
          </cell>
          <cell r="AN94">
            <v>6233</v>
          </cell>
          <cell r="AO94">
            <v>902</v>
          </cell>
          <cell r="AP94">
            <v>1963</v>
          </cell>
          <cell r="AQ94">
            <v>9097</v>
          </cell>
          <cell r="AR94">
            <v>4783</v>
          </cell>
          <cell r="AS94">
            <v>32231</v>
          </cell>
          <cell r="AT94">
            <v>3299</v>
          </cell>
          <cell r="AU94">
            <v>-590</v>
          </cell>
          <cell r="AV94">
            <v>34940</v>
          </cell>
          <cell r="AY94">
            <v>3.4</v>
          </cell>
          <cell r="AZ94">
            <v>5.5</v>
          </cell>
          <cell r="BA94">
            <v>5.9</v>
          </cell>
          <cell r="BB94">
            <v>5.6</v>
          </cell>
          <cell r="BC94">
            <v>-1.4</v>
          </cell>
          <cell r="BD94">
            <v>5.0999999999999996</v>
          </cell>
          <cell r="BE94">
            <v>3.6</v>
          </cell>
          <cell r="BF94">
            <v>6.8</v>
          </cell>
          <cell r="BG94">
            <v>5.3</v>
          </cell>
          <cell r="BH94">
            <v>2.8</v>
          </cell>
          <cell r="BI94">
            <v>3.9</v>
          </cell>
          <cell r="BJ94">
            <v>-5.7</v>
          </cell>
          <cell r="BK94">
            <v>2.2999999999999998</v>
          </cell>
          <cell r="BN94">
            <v>18027</v>
          </cell>
          <cell r="BO94">
            <v>4897</v>
          </cell>
          <cell r="BP94">
            <v>692</v>
          </cell>
          <cell r="BQ94">
            <v>5589</v>
          </cell>
          <cell r="BR94">
            <v>363</v>
          </cell>
          <cell r="BS94">
            <v>5952</v>
          </cell>
          <cell r="BT94">
            <v>902</v>
          </cell>
          <cell r="BU94">
            <v>1805</v>
          </cell>
          <cell r="BV94">
            <v>8659</v>
          </cell>
          <cell r="BW94">
            <v>3932</v>
          </cell>
          <cell r="BX94">
            <v>30618</v>
          </cell>
          <cell r="BY94">
            <v>3232</v>
          </cell>
          <cell r="BZ94">
            <v>336</v>
          </cell>
          <cell r="CA94">
            <v>34186</v>
          </cell>
          <cell r="CB94">
            <v>0</v>
          </cell>
          <cell r="CC94">
            <v>0</v>
          </cell>
          <cell r="CD94">
            <v>0</v>
          </cell>
          <cell r="CE94">
            <v>0</v>
          </cell>
          <cell r="CF94">
            <v>0</v>
          </cell>
          <cell r="CG94">
            <v>0</v>
          </cell>
          <cell r="CH94">
            <v>0</v>
          </cell>
          <cell r="CI94">
            <v>0</v>
          </cell>
          <cell r="CJ94">
            <v>0</v>
          </cell>
          <cell r="CK94">
            <v>-1</v>
          </cell>
          <cell r="CL94">
            <v>-9</v>
          </cell>
          <cell r="CM94">
            <v>-9</v>
          </cell>
        </row>
        <row r="95">
          <cell r="A95">
            <v>29465</v>
          </cell>
          <cell r="D95">
            <v>19065</v>
          </cell>
          <cell r="E95">
            <v>5163</v>
          </cell>
          <cell r="F95">
            <v>836</v>
          </cell>
          <cell r="G95">
            <v>5999</v>
          </cell>
          <cell r="H95">
            <v>345</v>
          </cell>
          <cell r="I95">
            <v>6344</v>
          </cell>
          <cell r="J95">
            <v>932</v>
          </cell>
          <cell r="K95">
            <v>2020</v>
          </cell>
          <cell r="L95">
            <v>9296</v>
          </cell>
          <cell r="M95">
            <v>4724</v>
          </cell>
          <cell r="N95">
            <v>33085</v>
          </cell>
          <cell r="O95">
            <v>3546</v>
          </cell>
          <cell r="P95">
            <v>-418</v>
          </cell>
          <cell r="Q95">
            <v>36214</v>
          </cell>
          <cell r="T95">
            <v>3.8</v>
          </cell>
          <cell r="U95">
            <v>5</v>
          </cell>
          <cell r="V95">
            <v>1</v>
          </cell>
          <cell r="W95">
            <v>4.4000000000000004</v>
          </cell>
          <cell r="X95">
            <v>-3.4</v>
          </cell>
          <cell r="Y95">
            <v>3.9</v>
          </cell>
          <cell r="Z95">
            <v>3.5</v>
          </cell>
          <cell r="AA95">
            <v>4</v>
          </cell>
          <cell r="AB95">
            <v>3.9</v>
          </cell>
          <cell r="AC95">
            <v>0.7</v>
          </cell>
          <cell r="AD95">
            <v>3.4</v>
          </cell>
          <cell r="AE95">
            <v>3.1</v>
          </cell>
          <cell r="AF95">
            <v>3.2</v>
          </cell>
          <cell r="AI95">
            <v>19059</v>
          </cell>
          <cell r="AJ95">
            <v>4955</v>
          </cell>
          <cell r="AK95">
            <v>805</v>
          </cell>
          <cell r="AL95">
            <v>5760</v>
          </cell>
          <cell r="AM95">
            <v>343</v>
          </cell>
          <cell r="AN95">
            <v>6103</v>
          </cell>
          <cell r="AO95">
            <v>932</v>
          </cell>
          <cell r="AP95">
            <v>2021</v>
          </cell>
          <cell r="AQ95">
            <v>9056</v>
          </cell>
          <cell r="AR95">
            <v>4587</v>
          </cell>
          <cell r="AS95">
            <v>32702</v>
          </cell>
          <cell r="AT95">
            <v>3570</v>
          </cell>
          <cell r="AU95">
            <v>-176</v>
          </cell>
          <cell r="AV95">
            <v>36096</v>
          </cell>
          <cell r="AY95">
            <v>3.9</v>
          </cell>
          <cell r="AZ95">
            <v>-1.2</v>
          </cell>
          <cell r="BA95">
            <v>-5.9</v>
          </cell>
          <cell r="BB95">
            <v>-1.9</v>
          </cell>
          <cell r="BC95">
            <v>-5.5</v>
          </cell>
          <cell r="BD95">
            <v>-2.1</v>
          </cell>
          <cell r="BE95">
            <v>3.4</v>
          </cell>
          <cell r="BF95">
            <v>3</v>
          </cell>
          <cell r="BG95">
            <v>-0.4</v>
          </cell>
          <cell r="BH95">
            <v>-4.0999999999999996</v>
          </cell>
          <cell r="BI95">
            <v>1.5</v>
          </cell>
          <cell r="BJ95">
            <v>8.1999999999999993</v>
          </cell>
          <cell r="BK95">
            <v>3.3</v>
          </cell>
          <cell r="BN95">
            <v>19357</v>
          </cell>
          <cell r="BO95">
            <v>4933</v>
          </cell>
          <cell r="BP95">
            <v>931</v>
          </cell>
          <cell r="BQ95">
            <v>5864</v>
          </cell>
          <cell r="BR95">
            <v>343</v>
          </cell>
          <cell r="BS95">
            <v>6208</v>
          </cell>
          <cell r="BT95">
            <v>932</v>
          </cell>
          <cell r="BU95">
            <v>2099</v>
          </cell>
          <cell r="BV95">
            <v>9239</v>
          </cell>
          <cell r="BW95">
            <v>4376</v>
          </cell>
          <cell r="BX95">
            <v>32973</v>
          </cell>
          <cell r="BY95">
            <v>3512</v>
          </cell>
          <cell r="BZ95">
            <v>-608</v>
          </cell>
          <cell r="CA95">
            <v>35878</v>
          </cell>
          <cell r="CB95">
            <v>0</v>
          </cell>
          <cell r="CC95">
            <v>0</v>
          </cell>
          <cell r="CD95">
            <v>0</v>
          </cell>
          <cell r="CE95">
            <v>0</v>
          </cell>
          <cell r="CF95">
            <v>0</v>
          </cell>
          <cell r="CG95">
            <v>0</v>
          </cell>
          <cell r="CH95">
            <v>0</v>
          </cell>
          <cell r="CI95">
            <v>0</v>
          </cell>
          <cell r="CJ95">
            <v>0</v>
          </cell>
          <cell r="CK95">
            <v>0</v>
          </cell>
          <cell r="CL95">
            <v>-4</v>
          </cell>
          <cell r="CM95">
            <v>-5</v>
          </cell>
        </row>
        <row r="96">
          <cell r="A96">
            <v>29556</v>
          </cell>
          <cell r="D96">
            <v>19845</v>
          </cell>
          <cell r="E96">
            <v>5435</v>
          </cell>
          <cell r="F96">
            <v>877</v>
          </cell>
          <cell r="G96">
            <v>6313</v>
          </cell>
          <cell r="H96">
            <v>344</v>
          </cell>
          <cell r="I96">
            <v>6656</v>
          </cell>
          <cell r="J96">
            <v>964</v>
          </cell>
          <cell r="K96">
            <v>2097</v>
          </cell>
          <cell r="L96">
            <v>9718</v>
          </cell>
          <cell r="M96">
            <v>4700</v>
          </cell>
          <cell r="N96">
            <v>34262</v>
          </cell>
          <cell r="O96">
            <v>3645</v>
          </cell>
          <cell r="P96">
            <v>-496</v>
          </cell>
          <cell r="Q96">
            <v>37410</v>
          </cell>
          <cell r="T96">
            <v>4.0999999999999996</v>
          </cell>
          <cell r="U96">
            <v>5.3</v>
          </cell>
          <cell r="V96">
            <v>4.9000000000000004</v>
          </cell>
          <cell r="W96">
            <v>5.2</v>
          </cell>
          <cell r="X96">
            <v>-0.4</v>
          </cell>
          <cell r="Y96">
            <v>4.9000000000000004</v>
          </cell>
          <cell r="Z96">
            <v>3.5</v>
          </cell>
          <cell r="AA96">
            <v>3.8</v>
          </cell>
          <cell r="AB96">
            <v>4.5</v>
          </cell>
          <cell r="AC96">
            <v>-0.5</v>
          </cell>
          <cell r="AD96">
            <v>3.6</v>
          </cell>
          <cell r="AE96">
            <v>2.8</v>
          </cell>
          <cell r="AF96">
            <v>3.3</v>
          </cell>
          <cell r="AI96">
            <v>19873</v>
          </cell>
          <cell r="AJ96">
            <v>5549</v>
          </cell>
          <cell r="AK96">
            <v>875</v>
          </cell>
          <cell r="AL96">
            <v>6424</v>
          </cell>
          <cell r="AM96">
            <v>338</v>
          </cell>
          <cell r="AN96">
            <v>6762</v>
          </cell>
          <cell r="AO96">
            <v>964</v>
          </cell>
          <cell r="AP96">
            <v>2087</v>
          </cell>
          <cell r="AQ96">
            <v>9813</v>
          </cell>
          <cell r="AR96">
            <v>4791</v>
          </cell>
          <cell r="AS96">
            <v>34477</v>
          </cell>
          <cell r="AT96">
            <v>3725</v>
          </cell>
          <cell r="AU96">
            <v>-444</v>
          </cell>
          <cell r="AV96">
            <v>37758</v>
          </cell>
          <cell r="AY96">
            <v>4.3</v>
          </cell>
          <cell r="AZ96">
            <v>12</v>
          </cell>
          <cell r="BA96">
            <v>8.6999999999999993</v>
          </cell>
          <cell r="BB96">
            <v>11.5</v>
          </cell>
          <cell r="BC96">
            <v>-1.5</v>
          </cell>
          <cell r="BD96">
            <v>10.8</v>
          </cell>
          <cell r="BE96">
            <v>3.4</v>
          </cell>
          <cell r="BF96">
            <v>3.3</v>
          </cell>
          <cell r="BG96">
            <v>8.4</v>
          </cell>
          <cell r="BH96">
            <v>4.5</v>
          </cell>
          <cell r="BI96">
            <v>5.4</v>
          </cell>
          <cell r="BJ96">
            <v>4.3</v>
          </cell>
          <cell r="BK96">
            <v>4.5999999999999996</v>
          </cell>
          <cell r="BN96">
            <v>21208</v>
          </cell>
          <cell r="BO96">
            <v>6437</v>
          </cell>
          <cell r="BP96">
            <v>993</v>
          </cell>
          <cell r="BQ96">
            <v>7430</v>
          </cell>
          <cell r="BR96">
            <v>338</v>
          </cell>
          <cell r="BS96">
            <v>7768</v>
          </cell>
          <cell r="BT96">
            <v>964</v>
          </cell>
          <cell r="BU96">
            <v>2220</v>
          </cell>
          <cell r="BV96">
            <v>10951</v>
          </cell>
          <cell r="BW96">
            <v>6265</v>
          </cell>
          <cell r="BX96">
            <v>38424</v>
          </cell>
          <cell r="BY96">
            <v>3841</v>
          </cell>
          <cell r="BZ96">
            <v>-1024</v>
          </cell>
          <cell r="CA96">
            <v>41241</v>
          </cell>
          <cell r="CB96">
            <v>0</v>
          </cell>
          <cell r="CC96">
            <v>0</v>
          </cell>
          <cell r="CD96">
            <v>0</v>
          </cell>
          <cell r="CE96">
            <v>0</v>
          </cell>
          <cell r="CF96">
            <v>0</v>
          </cell>
          <cell r="CG96">
            <v>0</v>
          </cell>
          <cell r="CH96">
            <v>0</v>
          </cell>
          <cell r="CI96">
            <v>0</v>
          </cell>
          <cell r="CJ96">
            <v>0</v>
          </cell>
          <cell r="CK96">
            <v>0</v>
          </cell>
          <cell r="CL96">
            <v>-1</v>
          </cell>
          <cell r="CM96">
            <v>-1</v>
          </cell>
        </row>
        <row r="97">
          <cell r="A97">
            <v>29646</v>
          </cell>
          <cell r="D97">
            <v>20634</v>
          </cell>
          <cell r="E97">
            <v>5691</v>
          </cell>
          <cell r="F97">
            <v>936</v>
          </cell>
          <cell r="G97">
            <v>6627</v>
          </cell>
          <cell r="H97">
            <v>355</v>
          </cell>
          <cell r="I97">
            <v>6982</v>
          </cell>
          <cell r="J97">
            <v>998</v>
          </cell>
          <cell r="K97">
            <v>2179</v>
          </cell>
          <cell r="L97">
            <v>10159</v>
          </cell>
          <cell r="M97">
            <v>4715</v>
          </cell>
          <cell r="N97">
            <v>35508</v>
          </cell>
          <cell r="O97">
            <v>3754</v>
          </cell>
          <cell r="P97">
            <v>-549</v>
          </cell>
          <cell r="Q97">
            <v>38713</v>
          </cell>
          <cell r="T97">
            <v>4</v>
          </cell>
          <cell r="U97">
            <v>4.7</v>
          </cell>
          <cell r="V97">
            <v>6.7</v>
          </cell>
          <cell r="W97">
            <v>5</v>
          </cell>
          <cell r="X97">
            <v>3.2</v>
          </cell>
          <cell r="Y97">
            <v>4.9000000000000004</v>
          </cell>
          <cell r="Z97">
            <v>3.5</v>
          </cell>
          <cell r="AA97">
            <v>3.9</v>
          </cell>
          <cell r="AB97">
            <v>4.5</v>
          </cell>
          <cell r="AC97">
            <v>0.3</v>
          </cell>
          <cell r="AD97">
            <v>3.6</v>
          </cell>
          <cell r="AE97">
            <v>3</v>
          </cell>
          <cell r="AF97">
            <v>3.5</v>
          </cell>
          <cell r="AI97">
            <v>20576</v>
          </cell>
          <cell r="AJ97">
            <v>5808</v>
          </cell>
          <cell r="AK97">
            <v>952</v>
          </cell>
          <cell r="AL97">
            <v>6761</v>
          </cell>
          <cell r="AM97">
            <v>352</v>
          </cell>
          <cell r="AN97">
            <v>7112</v>
          </cell>
          <cell r="AO97">
            <v>998</v>
          </cell>
          <cell r="AP97">
            <v>2180</v>
          </cell>
          <cell r="AQ97">
            <v>10290</v>
          </cell>
          <cell r="AR97">
            <v>4710</v>
          </cell>
          <cell r="AS97">
            <v>35576</v>
          </cell>
          <cell r="AT97">
            <v>3654</v>
          </cell>
          <cell r="AU97">
            <v>-714</v>
          </cell>
          <cell r="AV97">
            <v>38516</v>
          </cell>
          <cell r="AY97">
            <v>3.5</v>
          </cell>
          <cell r="AZ97">
            <v>4.7</v>
          </cell>
          <cell r="BA97">
            <v>8.8000000000000007</v>
          </cell>
          <cell r="BB97">
            <v>5.2</v>
          </cell>
          <cell r="BC97">
            <v>4.0999999999999996</v>
          </cell>
          <cell r="BD97">
            <v>5.2</v>
          </cell>
          <cell r="BE97">
            <v>3.5</v>
          </cell>
          <cell r="BF97">
            <v>4.4000000000000004</v>
          </cell>
          <cell r="BG97">
            <v>4.9000000000000004</v>
          </cell>
          <cell r="BH97">
            <v>-1.7</v>
          </cell>
          <cell r="BI97">
            <v>3.2</v>
          </cell>
          <cell r="BJ97">
            <v>-1.9</v>
          </cell>
          <cell r="BK97">
            <v>2</v>
          </cell>
          <cell r="BN97">
            <v>19127</v>
          </cell>
          <cell r="BO97">
            <v>5049</v>
          </cell>
          <cell r="BP97">
            <v>860</v>
          </cell>
          <cell r="BQ97">
            <v>5908</v>
          </cell>
          <cell r="BR97">
            <v>352</v>
          </cell>
          <cell r="BS97">
            <v>6260</v>
          </cell>
          <cell r="BT97">
            <v>998</v>
          </cell>
          <cell r="BU97">
            <v>2116</v>
          </cell>
          <cell r="BV97">
            <v>9374</v>
          </cell>
          <cell r="BW97">
            <v>4140</v>
          </cell>
          <cell r="BX97">
            <v>32641</v>
          </cell>
          <cell r="BY97">
            <v>3669</v>
          </cell>
          <cell r="BZ97">
            <v>-462</v>
          </cell>
          <cell r="CA97">
            <v>35848</v>
          </cell>
          <cell r="CB97">
            <v>0</v>
          </cell>
          <cell r="CC97">
            <v>0</v>
          </cell>
          <cell r="CD97">
            <v>0</v>
          </cell>
          <cell r="CE97">
            <v>0</v>
          </cell>
          <cell r="CF97">
            <v>0</v>
          </cell>
          <cell r="CG97">
            <v>0</v>
          </cell>
          <cell r="CH97">
            <v>0</v>
          </cell>
          <cell r="CI97">
            <v>0</v>
          </cell>
          <cell r="CJ97">
            <v>0</v>
          </cell>
          <cell r="CK97">
            <v>0</v>
          </cell>
          <cell r="CL97">
            <v>3</v>
          </cell>
          <cell r="CM97">
            <v>3</v>
          </cell>
        </row>
        <row r="98">
          <cell r="A98">
            <v>29738</v>
          </cell>
          <cell r="D98">
            <v>21347</v>
          </cell>
          <cell r="E98">
            <v>5916</v>
          </cell>
          <cell r="F98">
            <v>986</v>
          </cell>
          <cell r="G98">
            <v>6902</v>
          </cell>
          <cell r="H98">
            <v>369</v>
          </cell>
          <cell r="I98">
            <v>7270</v>
          </cell>
          <cell r="J98">
            <v>1033</v>
          </cell>
          <cell r="K98">
            <v>2279</v>
          </cell>
          <cell r="L98">
            <v>10582</v>
          </cell>
          <cell r="M98">
            <v>4774</v>
          </cell>
          <cell r="N98">
            <v>36702</v>
          </cell>
          <cell r="O98">
            <v>3855</v>
          </cell>
          <cell r="P98">
            <v>-346</v>
          </cell>
          <cell r="Q98">
            <v>40212</v>
          </cell>
          <cell r="T98">
            <v>3.5</v>
          </cell>
          <cell r="U98">
            <v>4</v>
          </cell>
          <cell r="V98">
            <v>5.3</v>
          </cell>
          <cell r="W98">
            <v>4.0999999999999996</v>
          </cell>
          <cell r="X98">
            <v>4</v>
          </cell>
          <cell r="Y98">
            <v>4.0999999999999996</v>
          </cell>
          <cell r="Z98">
            <v>3.5</v>
          </cell>
          <cell r="AA98">
            <v>4.5999999999999996</v>
          </cell>
          <cell r="AB98">
            <v>4.2</v>
          </cell>
          <cell r="AC98">
            <v>1.2</v>
          </cell>
          <cell r="AD98">
            <v>3.4</v>
          </cell>
          <cell r="AE98">
            <v>2.7</v>
          </cell>
          <cell r="AF98">
            <v>3.9</v>
          </cell>
          <cell r="AI98">
            <v>21480</v>
          </cell>
          <cell r="AJ98">
            <v>5659</v>
          </cell>
          <cell r="AK98">
            <v>986</v>
          </cell>
          <cell r="AL98">
            <v>6645</v>
          </cell>
          <cell r="AM98">
            <v>386</v>
          </cell>
          <cell r="AN98">
            <v>7031</v>
          </cell>
          <cell r="AO98">
            <v>1034</v>
          </cell>
          <cell r="AP98">
            <v>2282</v>
          </cell>
          <cell r="AQ98">
            <v>10347</v>
          </cell>
          <cell r="AR98">
            <v>4672</v>
          </cell>
          <cell r="AS98">
            <v>36499</v>
          </cell>
          <cell r="AT98">
            <v>3918</v>
          </cell>
          <cell r="AU98">
            <v>-466</v>
          </cell>
          <cell r="AV98">
            <v>39952</v>
          </cell>
          <cell r="AY98">
            <v>4.4000000000000004</v>
          </cell>
          <cell r="AZ98">
            <v>-2.6</v>
          </cell>
          <cell r="BA98">
            <v>3.6</v>
          </cell>
          <cell r="BB98">
            <v>-1.7</v>
          </cell>
          <cell r="BC98">
            <v>9.6</v>
          </cell>
          <cell r="BD98">
            <v>-1.1000000000000001</v>
          </cell>
          <cell r="BE98">
            <v>3.6</v>
          </cell>
          <cell r="BF98">
            <v>4.7</v>
          </cell>
          <cell r="BG98">
            <v>0.6</v>
          </cell>
          <cell r="BH98">
            <v>-0.8</v>
          </cell>
          <cell r="BI98">
            <v>2.6</v>
          </cell>
          <cell r="BJ98">
            <v>7.2</v>
          </cell>
          <cell r="BK98">
            <v>3.7</v>
          </cell>
          <cell r="BN98">
            <v>21204</v>
          </cell>
          <cell r="BO98">
            <v>5552</v>
          </cell>
          <cell r="BP98">
            <v>792</v>
          </cell>
          <cell r="BQ98">
            <v>6345</v>
          </cell>
          <cell r="BR98">
            <v>386</v>
          </cell>
          <cell r="BS98">
            <v>6731</v>
          </cell>
          <cell r="BT98">
            <v>1034</v>
          </cell>
          <cell r="BU98">
            <v>2102</v>
          </cell>
          <cell r="BV98">
            <v>9866</v>
          </cell>
          <cell r="BW98">
            <v>3981</v>
          </cell>
          <cell r="BX98">
            <v>35051</v>
          </cell>
          <cell r="BY98">
            <v>3837</v>
          </cell>
          <cell r="BZ98">
            <v>313</v>
          </cell>
          <cell r="CA98">
            <v>39200</v>
          </cell>
          <cell r="CB98">
            <v>0</v>
          </cell>
          <cell r="CC98">
            <v>0</v>
          </cell>
          <cell r="CD98">
            <v>0</v>
          </cell>
          <cell r="CE98">
            <v>0</v>
          </cell>
          <cell r="CF98">
            <v>0</v>
          </cell>
          <cell r="CG98">
            <v>0</v>
          </cell>
          <cell r="CH98">
            <v>0</v>
          </cell>
          <cell r="CI98">
            <v>0</v>
          </cell>
          <cell r="CJ98">
            <v>0</v>
          </cell>
          <cell r="CK98">
            <v>0</v>
          </cell>
          <cell r="CL98">
            <v>7</v>
          </cell>
          <cell r="CM98">
            <v>8</v>
          </cell>
        </row>
        <row r="99">
          <cell r="A99">
            <v>29830</v>
          </cell>
          <cell r="D99">
            <v>22052</v>
          </cell>
          <cell r="E99">
            <v>6005</v>
          </cell>
          <cell r="F99">
            <v>1022</v>
          </cell>
          <cell r="G99">
            <v>7027</v>
          </cell>
          <cell r="H99">
            <v>384</v>
          </cell>
          <cell r="I99">
            <v>7411</v>
          </cell>
          <cell r="J99">
            <v>1067</v>
          </cell>
          <cell r="K99">
            <v>2377</v>
          </cell>
          <cell r="L99">
            <v>10856</v>
          </cell>
          <cell r="M99">
            <v>4835</v>
          </cell>
          <cell r="N99">
            <v>37743</v>
          </cell>
          <cell r="O99">
            <v>4008</v>
          </cell>
          <cell r="P99">
            <v>35</v>
          </cell>
          <cell r="Q99">
            <v>41786</v>
          </cell>
          <cell r="T99">
            <v>3.3</v>
          </cell>
          <cell r="U99">
            <v>1.5</v>
          </cell>
          <cell r="V99">
            <v>3.7</v>
          </cell>
          <cell r="W99">
            <v>1.8</v>
          </cell>
          <cell r="X99">
            <v>4.0999999999999996</v>
          </cell>
          <cell r="Y99">
            <v>1.9</v>
          </cell>
          <cell r="Z99">
            <v>3.4</v>
          </cell>
          <cell r="AA99">
            <v>4.3</v>
          </cell>
          <cell r="AB99">
            <v>2.6</v>
          </cell>
          <cell r="AC99">
            <v>1.3</v>
          </cell>
          <cell r="AD99">
            <v>2.8</v>
          </cell>
          <cell r="AE99">
            <v>4</v>
          </cell>
          <cell r="AF99">
            <v>3.9</v>
          </cell>
          <cell r="AI99">
            <v>22010</v>
          </cell>
          <cell r="AJ99">
            <v>6183</v>
          </cell>
          <cell r="AK99">
            <v>1031</v>
          </cell>
          <cell r="AL99">
            <v>7214</v>
          </cell>
          <cell r="AM99">
            <v>381</v>
          </cell>
          <cell r="AN99">
            <v>7595</v>
          </cell>
          <cell r="AO99">
            <v>1067</v>
          </cell>
          <cell r="AP99">
            <v>2370</v>
          </cell>
          <cell r="AQ99">
            <v>11032</v>
          </cell>
          <cell r="AR99">
            <v>4934</v>
          </cell>
          <cell r="AS99">
            <v>37977</v>
          </cell>
          <cell r="AT99">
            <v>3957</v>
          </cell>
          <cell r="AU99">
            <v>191</v>
          </cell>
          <cell r="AV99">
            <v>42125</v>
          </cell>
          <cell r="AY99">
            <v>2.5</v>
          </cell>
          <cell r="AZ99">
            <v>9.3000000000000007</v>
          </cell>
          <cell r="BA99">
            <v>4.5</v>
          </cell>
          <cell r="BB99">
            <v>8.6</v>
          </cell>
          <cell r="BC99">
            <v>-1.3</v>
          </cell>
          <cell r="BD99">
            <v>8</v>
          </cell>
          <cell r="BE99">
            <v>3.3</v>
          </cell>
          <cell r="BF99">
            <v>3.8</v>
          </cell>
          <cell r="BG99">
            <v>6.6</v>
          </cell>
          <cell r="BH99">
            <v>5.6</v>
          </cell>
          <cell r="BI99">
            <v>4</v>
          </cell>
          <cell r="BJ99">
            <v>1</v>
          </cell>
          <cell r="BK99">
            <v>5.4</v>
          </cell>
          <cell r="BN99">
            <v>22450</v>
          </cell>
          <cell r="BO99">
            <v>6161</v>
          </cell>
          <cell r="BP99">
            <v>1197</v>
          </cell>
          <cell r="BQ99">
            <v>7358</v>
          </cell>
          <cell r="BR99">
            <v>381</v>
          </cell>
          <cell r="BS99">
            <v>7738</v>
          </cell>
          <cell r="BT99">
            <v>1067</v>
          </cell>
          <cell r="BU99">
            <v>2464</v>
          </cell>
          <cell r="BV99">
            <v>11270</v>
          </cell>
          <cell r="BW99">
            <v>4393</v>
          </cell>
          <cell r="BX99">
            <v>38114</v>
          </cell>
          <cell r="BY99">
            <v>3879</v>
          </cell>
          <cell r="BZ99">
            <v>-461</v>
          </cell>
          <cell r="CA99">
            <v>41531</v>
          </cell>
          <cell r="CB99">
            <v>0</v>
          </cell>
          <cell r="CC99">
            <v>0</v>
          </cell>
          <cell r="CD99">
            <v>0</v>
          </cell>
          <cell r="CE99">
            <v>0</v>
          </cell>
          <cell r="CF99">
            <v>1</v>
          </cell>
          <cell r="CG99">
            <v>0</v>
          </cell>
          <cell r="CH99">
            <v>1</v>
          </cell>
          <cell r="CI99">
            <v>0</v>
          </cell>
          <cell r="CJ99">
            <v>0</v>
          </cell>
          <cell r="CK99">
            <v>1</v>
          </cell>
          <cell r="CL99">
            <v>15</v>
          </cell>
          <cell r="CM99">
            <v>14</v>
          </cell>
        </row>
        <row r="100">
          <cell r="A100">
            <v>29921</v>
          </cell>
          <cell r="D100">
            <v>22865</v>
          </cell>
          <cell r="E100">
            <v>6001</v>
          </cell>
          <cell r="F100">
            <v>1070</v>
          </cell>
          <cell r="G100">
            <v>7071</v>
          </cell>
          <cell r="H100">
            <v>416</v>
          </cell>
          <cell r="I100">
            <v>7488</v>
          </cell>
          <cell r="J100">
            <v>1104</v>
          </cell>
          <cell r="K100">
            <v>2464</v>
          </cell>
          <cell r="L100">
            <v>11055</v>
          </cell>
          <cell r="M100">
            <v>4916</v>
          </cell>
          <cell r="N100">
            <v>38836</v>
          </cell>
          <cell r="O100">
            <v>4176</v>
          </cell>
          <cell r="P100">
            <v>284</v>
          </cell>
          <cell r="Q100">
            <v>43296</v>
          </cell>
          <cell r="T100">
            <v>3.7</v>
          </cell>
          <cell r="U100">
            <v>-0.1</v>
          </cell>
          <cell r="V100">
            <v>4.7</v>
          </cell>
          <cell r="W100">
            <v>0.6</v>
          </cell>
          <cell r="X100">
            <v>8.4</v>
          </cell>
          <cell r="Y100">
            <v>1</v>
          </cell>
          <cell r="Z100">
            <v>3.4</v>
          </cell>
          <cell r="AA100">
            <v>3.6</v>
          </cell>
          <cell r="AB100">
            <v>1.8</v>
          </cell>
          <cell r="AC100">
            <v>1.7</v>
          </cell>
          <cell r="AD100">
            <v>2.9</v>
          </cell>
          <cell r="AE100">
            <v>4.2</v>
          </cell>
          <cell r="AF100">
            <v>3.6</v>
          </cell>
          <cell r="AI100">
            <v>22733</v>
          </cell>
          <cell r="AJ100">
            <v>6083</v>
          </cell>
          <cell r="AK100">
            <v>1032</v>
          </cell>
          <cell r="AL100">
            <v>7115</v>
          </cell>
          <cell r="AM100">
            <v>414</v>
          </cell>
          <cell r="AN100">
            <v>7528</v>
          </cell>
          <cell r="AO100">
            <v>1104</v>
          </cell>
          <cell r="AP100">
            <v>2483</v>
          </cell>
          <cell r="AQ100">
            <v>11115</v>
          </cell>
          <cell r="AR100">
            <v>4876</v>
          </cell>
          <cell r="AS100">
            <v>38723</v>
          </cell>
          <cell r="AT100">
            <v>4210</v>
          </cell>
          <cell r="AU100">
            <v>392</v>
          </cell>
          <cell r="AV100">
            <v>43326</v>
          </cell>
          <cell r="AY100">
            <v>3.3</v>
          </cell>
          <cell r="AZ100">
            <v>-1.6</v>
          </cell>
          <cell r="BA100">
            <v>0.1</v>
          </cell>
          <cell r="BB100">
            <v>-1.4</v>
          </cell>
          <cell r="BC100">
            <v>8.6</v>
          </cell>
          <cell r="BD100">
            <v>-0.9</v>
          </cell>
          <cell r="BE100">
            <v>3.4</v>
          </cell>
          <cell r="BF100">
            <v>4.8</v>
          </cell>
          <cell r="BG100">
            <v>0.7</v>
          </cell>
          <cell r="BH100">
            <v>-1.2</v>
          </cell>
          <cell r="BI100">
            <v>2</v>
          </cell>
          <cell r="BJ100">
            <v>6.4</v>
          </cell>
          <cell r="BK100">
            <v>2.9</v>
          </cell>
          <cell r="BN100">
            <v>24090</v>
          </cell>
          <cell r="BO100">
            <v>6984</v>
          </cell>
          <cell r="BP100">
            <v>1168</v>
          </cell>
          <cell r="BQ100">
            <v>8152</v>
          </cell>
          <cell r="BR100">
            <v>414</v>
          </cell>
          <cell r="BS100">
            <v>8566</v>
          </cell>
          <cell r="BT100">
            <v>1104</v>
          </cell>
          <cell r="BU100">
            <v>2636</v>
          </cell>
          <cell r="BV100">
            <v>12306</v>
          </cell>
          <cell r="BW100">
            <v>6993</v>
          </cell>
          <cell r="BX100">
            <v>43389</v>
          </cell>
          <cell r="BY100">
            <v>4364</v>
          </cell>
          <cell r="BZ100">
            <v>111</v>
          </cell>
          <cell r="CA100">
            <v>47865</v>
          </cell>
          <cell r="CB100">
            <v>0</v>
          </cell>
          <cell r="CC100">
            <v>0</v>
          </cell>
          <cell r="CD100">
            <v>0</v>
          </cell>
          <cell r="CE100">
            <v>0</v>
          </cell>
          <cell r="CF100">
            <v>-1</v>
          </cell>
          <cell r="CG100">
            <v>0</v>
          </cell>
          <cell r="CH100">
            <v>0</v>
          </cell>
          <cell r="CI100">
            <v>0</v>
          </cell>
          <cell r="CJ100">
            <v>0</v>
          </cell>
          <cell r="CK100">
            <v>0</v>
          </cell>
          <cell r="CL100">
            <v>15</v>
          </cell>
          <cell r="CM100">
            <v>16</v>
          </cell>
        </row>
        <row r="101">
          <cell r="A101">
            <v>30011</v>
          </cell>
          <cell r="D101">
            <v>23894</v>
          </cell>
          <cell r="E101">
            <v>5862</v>
          </cell>
          <cell r="F101">
            <v>1120</v>
          </cell>
          <cell r="G101">
            <v>6982</v>
          </cell>
          <cell r="H101">
            <v>512</v>
          </cell>
          <cell r="I101">
            <v>7495</v>
          </cell>
          <cell r="J101">
            <v>1145</v>
          </cell>
          <cell r="K101">
            <v>2547</v>
          </cell>
          <cell r="L101">
            <v>11186</v>
          </cell>
          <cell r="M101">
            <v>4887</v>
          </cell>
          <cell r="N101">
            <v>39968</v>
          </cell>
          <cell r="O101">
            <v>4305</v>
          </cell>
          <cell r="P101">
            <v>279</v>
          </cell>
          <cell r="Q101">
            <v>44552</v>
          </cell>
          <cell r="T101">
            <v>4.5</v>
          </cell>
          <cell r="U101">
            <v>-2.2999999999999998</v>
          </cell>
          <cell r="V101">
            <v>4.5999999999999996</v>
          </cell>
          <cell r="W101">
            <v>-1.3</v>
          </cell>
          <cell r="X101">
            <v>23.1</v>
          </cell>
          <cell r="Y101">
            <v>0.1</v>
          </cell>
          <cell r="Z101">
            <v>3.7</v>
          </cell>
          <cell r="AA101">
            <v>3.4</v>
          </cell>
          <cell r="AB101">
            <v>1.2</v>
          </cell>
          <cell r="AC101">
            <v>-0.6</v>
          </cell>
          <cell r="AD101">
            <v>2.9</v>
          </cell>
          <cell r="AE101">
            <v>3.1</v>
          </cell>
          <cell r="AF101">
            <v>2.9</v>
          </cell>
          <cell r="AI101">
            <v>23946</v>
          </cell>
          <cell r="AJ101">
            <v>5673</v>
          </cell>
          <cell r="AK101">
            <v>1162</v>
          </cell>
          <cell r="AL101">
            <v>6835</v>
          </cell>
          <cell r="AM101">
            <v>505</v>
          </cell>
          <cell r="AN101">
            <v>7339</v>
          </cell>
          <cell r="AO101">
            <v>1144</v>
          </cell>
          <cell r="AP101">
            <v>2532</v>
          </cell>
          <cell r="AQ101">
            <v>11015</v>
          </cell>
          <cell r="AR101">
            <v>4854</v>
          </cell>
          <cell r="AS101">
            <v>39815</v>
          </cell>
          <cell r="AT101">
            <v>4311</v>
          </cell>
          <cell r="AU101">
            <v>122</v>
          </cell>
          <cell r="AV101">
            <v>44249</v>
          </cell>
          <cell r="AY101">
            <v>5.3</v>
          </cell>
          <cell r="AZ101">
            <v>-6.7</v>
          </cell>
          <cell r="BA101">
            <v>12.6</v>
          </cell>
          <cell r="BB101">
            <v>-3.9</v>
          </cell>
          <cell r="BC101">
            <v>22</v>
          </cell>
          <cell r="BD101">
            <v>-2.5</v>
          </cell>
          <cell r="BE101">
            <v>3.7</v>
          </cell>
          <cell r="BF101">
            <v>2</v>
          </cell>
          <cell r="BG101">
            <v>-0.9</v>
          </cell>
          <cell r="BH101">
            <v>-0.5</v>
          </cell>
          <cell r="BI101">
            <v>2.8</v>
          </cell>
          <cell r="BJ101">
            <v>2.4</v>
          </cell>
          <cell r="BK101">
            <v>2.1</v>
          </cell>
          <cell r="BN101">
            <v>22212</v>
          </cell>
          <cell r="BO101">
            <v>4972</v>
          </cell>
          <cell r="BP101">
            <v>1055</v>
          </cell>
          <cell r="BQ101">
            <v>6027</v>
          </cell>
          <cell r="BR101">
            <v>505</v>
          </cell>
          <cell r="BS101">
            <v>6532</v>
          </cell>
          <cell r="BT101">
            <v>1144</v>
          </cell>
          <cell r="BU101">
            <v>2456</v>
          </cell>
          <cell r="BV101">
            <v>10132</v>
          </cell>
          <cell r="BW101">
            <v>4233</v>
          </cell>
          <cell r="BX101">
            <v>36577</v>
          </cell>
          <cell r="BY101">
            <v>4325</v>
          </cell>
          <cell r="BZ101">
            <v>306</v>
          </cell>
          <cell r="CA101">
            <v>41208</v>
          </cell>
          <cell r="CB101">
            <v>0</v>
          </cell>
          <cell r="CC101">
            <v>0</v>
          </cell>
          <cell r="CD101">
            <v>0</v>
          </cell>
          <cell r="CE101">
            <v>0</v>
          </cell>
          <cell r="CF101">
            <v>0</v>
          </cell>
          <cell r="CG101">
            <v>0</v>
          </cell>
          <cell r="CH101">
            <v>0</v>
          </cell>
          <cell r="CI101">
            <v>0</v>
          </cell>
          <cell r="CJ101">
            <v>0</v>
          </cell>
          <cell r="CK101">
            <v>0</v>
          </cell>
          <cell r="CL101">
            <v>16</v>
          </cell>
          <cell r="CM101">
            <v>17</v>
          </cell>
        </row>
        <row r="102">
          <cell r="A102">
            <v>30103</v>
          </cell>
          <cell r="D102">
            <v>24986</v>
          </cell>
          <cell r="E102">
            <v>5684</v>
          </cell>
          <cell r="F102">
            <v>1184</v>
          </cell>
          <cell r="G102">
            <v>6868</v>
          </cell>
          <cell r="H102">
            <v>689</v>
          </cell>
          <cell r="I102">
            <v>7558</v>
          </cell>
          <cell r="J102">
            <v>1193</v>
          </cell>
          <cell r="K102">
            <v>2628</v>
          </cell>
          <cell r="L102">
            <v>11379</v>
          </cell>
          <cell r="M102">
            <v>4694</v>
          </cell>
          <cell r="N102">
            <v>41059</v>
          </cell>
          <cell r="O102">
            <v>4435</v>
          </cell>
          <cell r="P102">
            <v>144</v>
          </cell>
          <cell r="Q102">
            <v>45637</v>
          </cell>
          <cell r="T102">
            <v>4.5999999999999996</v>
          </cell>
          <cell r="U102">
            <v>-3</v>
          </cell>
          <cell r="V102">
            <v>5.7</v>
          </cell>
          <cell r="W102">
            <v>-1.6</v>
          </cell>
          <cell r="X102">
            <v>34.5</v>
          </cell>
          <cell r="Y102">
            <v>0.8</v>
          </cell>
          <cell r="Z102">
            <v>4.2</v>
          </cell>
          <cell r="AA102">
            <v>3.2</v>
          </cell>
          <cell r="AB102">
            <v>1.7</v>
          </cell>
          <cell r="AC102">
            <v>-4</v>
          </cell>
          <cell r="AD102">
            <v>2.7</v>
          </cell>
          <cell r="AE102">
            <v>3</v>
          </cell>
          <cell r="AF102">
            <v>2.4</v>
          </cell>
          <cell r="AI102">
            <v>24897</v>
          </cell>
          <cell r="AJ102">
            <v>5848</v>
          </cell>
          <cell r="AK102">
            <v>1171</v>
          </cell>
          <cell r="AL102">
            <v>7019</v>
          </cell>
          <cell r="AM102">
            <v>653</v>
          </cell>
          <cell r="AN102">
            <v>7671</v>
          </cell>
          <cell r="AO102">
            <v>1189</v>
          </cell>
          <cell r="AP102">
            <v>2625</v>
          </cell>
          <cell r="AQ102">
            <v>11485</v>
          </cell>
          <cell r="AR102">
            <v>4858</v>
          </cell>
          <cell r="AS102">
            <v>41241</v>
          </cell>
          <cell r="AT102">
            <v>4440</v>
          </cell>
          <cell r="AU102">
            <v>233</v>
          </cell>
          <cell r="AV102">
            <v>45915</v>
          </cell>
          <cell r="AY102">
            <v>4</v>
          </cell>
          <cell r="AZ102">
            <v>3.1</v>
          </cell>
          <cell r="BA102">
            <v>0.7</v>
          </cell>
          <cell r="BB102">
            <v>2.7</v>
          </cell>
          <cell r="BC102">
            <v>29.3</v>
          </cell>
          <cell r="BD102">
            <v>4.5</v>
          </cell>
          <cell r="BE102">
            <v>4</v>
          </cell>
          <cell r="BF102">
            <v>3.7</v>
          </cell>
          <cell r="BG102">
            <v>4.3</v>
          </cell>
          <cell r="BH102">
            <v>0.1</v>
          </cell>
          <cell r="BI102">
            <v>3.6</v>
          </cell>
          <cell r="BJ102">
            <v>3</v>
          </cell>
          <cell r="BK102">
            <v>3.8</v>
          </cell>
          <cell r="BN102">
            <v>25036</v>
          </cell>
          <cell r="BO102">
            <v>5744</v>
          </cell>
          <cell r="BP102">
            <v>931</v>
          </cell>
          <cell r="BQ102">
            <v>6676</v>
          </cell>
          <cell r="BR102">
            <v>653</v>
          </cell>
          <cell r="BS102">
            <v>7329</v>
          </cell>
          <cell r="BT102">
            <v>1189</v>
          </cell>
          <cell r="BU102">
            <v>2422</v>
          </cell>
          <cell r="BV102">
            <v>10940</v>
          </cell>
          <cell r="BW102">
            <v>3897</v>
          </cell>
          <cell r="BX102">
            <v>39873</v>
          </cell>
          <cell r="BY102">
            <v>4353</v>
          </cell>
          <cell r="BZ102">
            <v>815</v>
          </cell>
          <cell r="CA102">
            <v>45041</v>
          </cell>
          <cell r="CB102">
            <v>0</v>
          </cell>
          <cell r="CC102">
            <v>0</v>
          </cell>
          <cell r="CD102">
            <v>0</v>
          </cell>
          <cell r="CE102">
            <v>0</v>
          </cell>
          <cell r="CF102">
            <v>0</v>
          </cell>
          <cell r="CG102">
            <v>0</v>
          </cell>
          <cell r="CH102">
            <v>0</v>
          </cell>
          <cell r="CI102">
            <v>1</v>
          </cell>
          <cell r="CJ102">
            <v>0</v>
          </cell>
          <cell r="CK102">
            <v>0</v>
          </cell>
          <cell r="CL102">
            <v>-13</v>
          </cell>
          <cell r="CM102">
            <v>-12</v>
          </cell>
        </row>
        <row r="103">
          <cell r="A103">
            <v>30195</v>
          </cell>
          <cell r="D103">
            <v>25817</v>
          </cell>
          <cell r="E103">
            <v>5631</v>
          </cell>
          <cell r="F103">
            <v>1250</v>
          </cell>
          <cell r="G103">
            <v>6880</v>
          </cell>
          <cell r="H103">
            <v>900</v>
          </cell>
          <cell r="I103">
            <v>7781</v>
          </cell>
          <cell r="J103">
            <v>1243</v>
          </cell>
          <cell r="K103">
            <v>2715</v>
          </cell>
          <cell r="L103">
            <v>11739</v>
          </cell>
          <cell r="M103">
            <v>4425</v>
          </cell>
          <cell r="N103">
            <v>41980</v>
          </cell>
          <cell r="O103">
            <v>4588</v>
          </cell>
          <cell r="P103">
            <v>-22</v>
          </cell>
          <cell r="Q103">
            <v>46546</v>
          </cell>
          <cell r="T103">
            <v>3.3</v>
          </cell>
          <cell r="U103">
            <v>-0.9</v>
          </cell>
          <cell r="V103">
            <v>5.5</v>
          </cell>
          <cell r="W103">
            <v>0.2</v>
          </cell>
          <cell r="X103">
            <v>30.6</v>
          </cell>
          <cell r="Y103">
            <v>2.9</v>
          </cell>
          <cell r="Z103">
            <v>4.2</v>
          </cell>
          <cell r="AA103">
            <v>3.3</v>
          </cell>
          <cell r="AB103">
            <v>3.2</v>
          </cell>
          <cell r="AC103">
            <v>-5.7</v>
          </cell>
          <cell r="AD103">
            <v>2.2000000000000002</v>
          </cell>
          <cell r="AE103">
            <v>3.4</v>
          </cell>
          <cell r="AF103">
            <v>2</v>
          </cell>
          <cell r="AI103">
            <v>26008</v>
          </cell>
          <cell r="AJ103">
            <v>5540</v>
          </cell>
          <cell r="AK103">
            <v>1200</v>
          </cell>
          <cell r="AL103">
            <v>6740</v>
          </cell>
          <cell r="AM103">
            <v>934</v>
          </cell>
          <cell r="AN103">
            <v>7674</v>
          </cell>
          <cell r="AO103">
            <v>1246</v>
          </cell>
          <cell r="AP103">
            <v>2730</v>
          </cell>
          <cell r="AQ103">
            <v>11651</v>
          </cell>
          <cell r="AR103">
            <v>4325</v>
          </cell>
          <cell r="AS103">
            <v>41983</v>
          </cell>
          <cell r="AT103">
            <v>4528</v>
          </cell>
          <cell r="AU103">
            <v>-35</v>
          </cell>
          <cell r="AV103">
            <v>46477</v>
          </cell>
          <cell r="AY103">
            <v>4.5</v>
          </cell>
          <cell r="AZ103">
            <v>-5.3</v>
          </cell>
          <cell r="BA103">
            <v>2.5</v>
          </cell>
          <cell r="BB103">
            <v>-4</v>
          </cell>
          <cell r="BC103">
            <v>43.1</v>
          </cell>
          <cell r="BD103">
            <v>0</v>
          </cell>
          <cell r="BE103">
            <v>4.8</v>
          </cell>
          <cell r="BF103">
            <v>4</v>
          </cell>
          <cell r="BG103">
            <v>1.4</v>
          </cell>
          <cell r="BH103">
            <v>-11</v>
          </cell>
          <cell r="BI103">
            <v>1.8</v>
          </cell>
          <cell r="BJ103">
            <v>2</v>
          </cell>
          <cell r="BK103">
            <v>1.2</v>
          </cell>
          <cell r="BN103">
            <v>25739</v>
          </cell>
          <cell r="BO103">
            <v>5548</v>
          </cell>
          <cell r="BP103">
            <v>1414</v>
          </cell>
          <cell r="BQ103">
            <v>6962</v>
          </cell>
          <cell r="BR103">
            <v>934</v>
          </cell>
          <cell r="BS103">
            <v>7896</v>
          </cell>
          <cell r="BT103">
            <v>1246</v>
          </cell>
          <cell r="BU103">
            <v>2840</v>
          </cell>
          <cell r="BV103">
            <v>11982</v>
          </cell>
          <cell r="BW103">
            <v>4035</v>
          </cell>
          <cell r="BX103">
            <v>41756</v>
          </cell>
          <cell r="BY103">
            <v>4435</v>
          </cell>
          <cell r="BZ103">
            <v>-157</v>
          </cell>
          <cell r="CA103">
            <v>46034</v>
          </cell>
          <cell r="CB103">
            <v>0</v>
          </cell>
          <cell r="CC103">
            <v>0</v>
          </cell>
          <cell r="CD103">
            <v>0</v>
          </cell>
          <cell r="CE103">
            <v>0</v>
          </cell>
          <cell r="CF103">
            <v>0</v>
          </cell>
          <cell r="CG103">
            <v>0</v>
          </cell>
          <cell r="CH103">
            <v>0</v>
          </cell>
          <cell r="CI103">
            <v>0</v>
          </cell>
          <cell r="CJ103">
            <v>1</v>
          </cell>
          <cell r="CK103">
            <v>0</v>
          </cell>
          <cell r="CL103">
            <v>-14</v>
          </cell>
          <cell r="CM103">
            <v>-13</v>
          </cell>
        </row>
        <row r="104">
          <cell r="A104">
            <v>30286</v>
          </cell>
          <cell r="D104">
            <v>26093</v>
          </cell>
          <cell r="E104">
            <v>5759</v>
          </cell>
          <cell r="F104">
            <v>1256</v>
          </cell>
          <cell r="G104">
            <v>7015</v>
          </cell>
          <cell r="H104">
            <v>1070</v>
          </cell>
          <cell r="I104">
            <v>8084</v>
          </cell>
          <cell r="J104">
            <v>1290</v>
          </cell>
          <cell r="K104">
            <v>2802</v>
          </cell>
          <cell r="L104">
            <v>12177</v>
          </cell>
          <cell r="M104">
            <v>4141</v>
          </cell>
          <cell r="N104">
            <v>42411</v>
          </cell>
          <cell r="O104">
            <v>4754</v>
          </cell>
          <cell r="P104">
            <v>-124</v>
          </cell>
          <cell r="Q104">
            <v>47041</v>
          </cell>
          <cell r="T104">
            <v>1.1000000000000001</v>
          </cell>
          <cell r="U104">
            <v>2.2999999999999998</v>
          </cell>
          <cell r="V104">
            <v>0.5</v>
          </cell>
          <cell r="W104">
            <v>2</v>
          </cell>
          <cell r="X104">
            <v>18.8</v>
          </cell>
          <cell r="Y104">
            <v>3.9</v>
          </cell>
          <cell r="Z104">
            <v>3.8</v>
          </cell>
          <cell r="AA104">
            <v>3.2</v>
          </cell>
          <cell r="AB104">
            <v>3.7</v>
          </cell>
          <cell r="AC104">
            <v>-6.4</v>
          </cell>
          <cell r="AD104">
            <v>1</v>
          </cell>
          <cell r="AE104">
            <v>3.6</v>
          </cell>
          <cell r="AF104">
            <v>1.1000000000000001</v>
          </cell>
          <cell r="AI104">
            <v>26109</v>
          </cell>
          <cell r="AJ104">
            <v>5760</v>
          </cell>
          <cell r="AK104">
            <v>1357</v>
          </cell>
          <cell r="AL104">
            <v>7116</v>
          </cell>
          <cell r="AM104">
            <v>1082</v>
          </cell>
          <cell r="AN104">
            <v>8198</v>
          </cell>
          <cell r="AO104">
            <v>1291</v>
          </cell>
          <cell r="AP104">
            <v>2782</v>
          </cell>
          <cell r="AQ104">
            <v>12272</v>
          </cell>
          <cell r="AR104">
            <v>4150</v>
          </cell>
          <cell r="AS104">
            <v>42531</v>
          </cell>
          <cell r="AT104">
            <v>4805</v>
          </cell>
          <cell r="AU104">
            <v>-134</v>
          </cell>
          <cell r="AV104">
            <v>47202</v>
          </cell>
          <cell r="AY104">
            <v>0.4</v>
          </cell>
          <cell r="AZ104">
            <v>4</v>
          </cell>
          <cell r="BA104">
            <v>13</v>
          </cell>
          <cell r="BB104">
            <v>5.6</v>
          </cell>
          <cell r="BC104">
            <v>15.9</v>
          </cell>
          <cell r="BD104">
            <v>6.8</v>
          </cell>
          <cell r="BE104">
            <v>3.6</v>
          </cell>
          <cell r="BF104">
            <v>1.9</v>
          </cell>
          <cell r="BG104">
            <v>5.3</v>
          </cell>
          <cell r="BH104">
            <v>-4</v>
          </cell>
          <cell r="BI104">
            <v>1.3</v>
          </cell>
          <cell r="BJ104">
            <v>6.1</v>
          </cell>
          <cell r="BK104">
            <v>1.6</v>
          </cell>
          <cell r="BN104">
            <v>27908</v>
          </cell>
          <cell r="BO104">
            <v>6524</v>
          </cell>
          <cell r="BP104">
            <v>1517</v>
          </cell>
          <cell r="BQ104">
            <v>8041</v>
          </cell>
          <cell r="BR104">
            <v>1082</v>
          </cell>
          <cell r="BS104">
            <v>9123</v>
          </cell>
          <cell r="BT104">
            <v>1291</v>
          </cell>
          <cell r="BU104">
            <v>2950</v>
          </cell>
          <cell r="BV104">
            <v>13364</v>
          </cell>
          <cell r="BW104">
            <v>5642</v>
          </cell>
          <cell r="BX104">
            <v>46914</v>
          </cell>
          <cell r="BY104">
            <v>4988</v>
          </cell>
          <cell r="BZ104">
            <v>-541</v>
          </cell>
          <cell r="CA104">
            <v>51361</v>
          </cell>
          <cell r="CB104">
            <v>0</v>
          </cell>
          <cell r="CC104">
            <v>0</v>
          </cell>
          <cell r="CD104">
            <v>0</v>
          </cell>
          <cell r="CE104">
            <v>0</v>
          </cell>
          <cell r="CF104">
            <v>0</v>
          </cell>
          <cell r="CG104">
            <v>0</v>
          </cell>
          <cell r="CH104">
            <v>0</v>
          </cell>
          <cell r="CI104">
            <v>0</v>
          </cell>
          <cell r="CJ104">
            <v>0</v>
          </cell>
          <cell r="CK104">
            <v>0</v>
          </cell>
          <cell r="CL104">
            <v>-28</v>
          </cell>
          <cell r="CM104">
            <v>-28</v>
          </cell>
        </row>
        <row r="105">
          <cell r="A105">
            <v>30376</v>
          </cell>
          <cell r="D105">
            <v>25970</v>
          </cell>
          <cell r="E105">
            <v>6126</v>
          </cell>
          <cell r="F105">
            <v>1242</v>
          </cell>
          <cell r="G105">
            <v>7368</v>
          </cell>
          <cell r="H105">
            <v>1148</v>
          </cell>
          <cell r="I105">
            <v>8517</v>
          </cell>
          <cell r="J105">
            <v>1329</v>
          </cell>
          <cell r="K105">
            <v>2874</v>
          </cell>
          <cell r="L105">
            <v>12720</v>
          </cell>
          <cell r="M105">
            <v>4187</v>
          </cell>
          <cell r="N105">
            <v>42877</v>
          </cell>
          <cell r="O105">
            <v>4912</v>
          </cell>
          <cell r="P105">
            <v>-189</v>
          </cell>
          <cell r="Q105">
            <v>47600</v>
          </cell>
          <cell r="T105">
            <v>-0.5</v>
          </cell>
          <cell r="U105">
            <v>6.4</v>
          </cell>
          <cell r="V105">
            <v>-1.1000000000000001</v>
          </cell>
          <cell r="W105">
            <v>5</v>
          </cell>
          <cell r="X105">
            <v>7.4</v>
          </cell>
          <cell r="Y105">
            <v>5.4</v>
          </cell>
          <cell r="Z105">
            <v>3</v>
          </cell>
          <cell r="AA105">
            <v>2.6</v>
          </cell>
          <cell r="AB105">
            <v>4.5</v>
          </cell>
          <cell r="AC105">
            <v>1.1000000000000001</v>
          </cell>
          <cell r="AD105">
            <v>1.1000000000000001</v>
          </cell>
          <cell r="AE105">
            <v>3.3</v>
          </cell>
          <cell r="AF105">
            <v>1.2</v>
          </cell>
          <cell r="AI105">
            <v>26119</v>
          </cell>
          <cell r="AJ105">
            <v>6036</v>
          </cell>
          <cell r="AK105">
            <v>1232</v>
          </cell>
          <cell r="AL105">
            <v>7268</v>
          </cell>
          <cell r="AM105">
            <v>1154</v>
          </cell>
          <cell r="AN105">
            <v>8422</v>
          </cell>
          <cell r="AO105">
            <v>1330</v>
          </cell>
          <cell r="AP105">
            <v>2897</v>
          </cell>
          <cell r="AQ105">
            <v>12648</v>
          </cell>
          <cell r="AR105">
            <v>4200</v>
          </cell>
          <cell r="AS105">
            <v>42967</v>
          </cell>
          <cell r="AT105">
            <v>4939</v>
          </cell>
          <cell r="AU105">
            <v>-302</v>
          </cell>
          <cell r="AV105">
            <v>47603</v>
          </cell>
          <cell r="AY105">
            <v>0</v>
          </cell>
          <cell r="AZ105">
            <v>4.8</v>
          </cell>
          <cell r="BA105">
            <v>-9.1999999999999993</v>
          </cell>
          <cell r="BB105">
            <v>2.1</v>
          </cell>
          <cell r="BC105">
            <v>6.7</v>
          </cell>
          <cell r="BD105">
            <v>2.7</v>
          </cell>
          <cell r="BE105">
            <v>3</v>
          </cell>
          <cell r="BF105">
            <v>4.0999999999999996</v>
          </cell>
          <cell r="BG105">
            <v>3.1</v>
          </cell>
          <cell r="BH105">
            <v>1.2</v>
          </cell>
          <cell r="BI105">
            <v>1</v>
          </cell>
          <cell r="BJ105">
            <v>2.8</v>
          </cell>
          <cell r="BK105">
            <v>0.8</v>
          </cell>
          <cell r="BN105">
            <v>24109</v>
          </cell>
          <cell r="BO105">
            <v>5345</v>
          </cell>
          <cell r="BP105">
            <v>1121</v>
          </cell>
          <cell r="BQ105">
            <v>6466</v>
          </cell>
          <cell r="BR105">
            <v>1154</v>
          </cell>
          <cell r="BS105">
            <v>7620</v>
          </cell>
          <cell r="BT105">
            <v>1330</v>
          </cell>
          <cell r="BU105">
            <v>2809</v>
          </cell>
          <cell r="BV105">
            <v>11758</v>
          </cell>
          <cell r="BW105">
            <v>3725</v>
          </cell>
          <cell r="BX105">
            <v>39593</v>
          </cell>
          <cell r="BY105">
            <v>4953</v>
          </cell>
          <cell r="BZ105">
            <v>-202</v>
          </cell>
          <cell r="CA105">
            <v>44344</v>
          </cell>
          <cell r="CB105">
            <v>0</v>
          </cell>
          <cell r="CC105">
            <v>0</v>
          </cell>
          <cell r="CD105">
            <v>0</v>
          </cell>
          <cell r="CE105">
            <v>0</v>
          </cell>
          <cell r="CF105">
            <v>0</v>
          </cell>
          <cell r="CG105">
            <v>0</v>
          </cell>
          <cell r="CH105">
            <v>0</v>
          </cell>
          <cell r="CI105">
            <v>0</v>
          </cell>
          <cell r="CJ105">
            <v>0</v>
          </cell>
          <cell r="CK105">
            <v>0</v>
          </cell>
          <cell r="CL105">
            <v>-27</v>
          </cell>
          <cell r="CM105">
            <v>-27</v>
          </cell>
        </row>
        <row r="106">
          <cell r="A106">
            <v>30468</v>
          </cell>
          <cell r="D106">
            <v>25887</v>
          </cell>
          <cell r="E106">
            <v>6603</v>
          </cell>
          <cell r="F106">
            <v>1284</v>
          </cell>
          <cell r="G106">
            <v>7888</v>
          </cell>
          <cell r="H106">
            <v>1157</v>
          </cell>
          <cell r="I106">
            <v>9044</v>
          </cell>
          <cell r="J106">
            <v>1361</v>
          </cell>
          <cell r="K106">
            <v>2939</v>
          </cell>
          <cell r="L106">
            <v>13345</v>
          </cell>
          <cell r="M106">
            <v>4601</v>
          </cell>
          <cell r="N106">
            <v>43833</v>
          </cell>
          <cell r="O106">
            <v>5028</v>
          </cell>
          <cell r="P106">
            <v>-129</v>
          </cell>
          <cell r="Q106">
            <v>48732</v>
          </cell>
          <cell r="T106">
            <v>-0.3</v>
          </cell>
          <cell r="U106">
            <v>7.8</v>
          </cell>
          <cell r="V106">
            <v>3.4</v>
          </cell>
          <cell r="W106">
            <v>7</v>
          </cell>
          <cell r="X106">
            <v>0.7</v>
          </cell>
          <cell r="Y106">
            <v>6.2</v>
          </cell>
          <cell r="Z106">
            <v>2.4</v>
          </cell>
          <cell r="AA106">
            <v>2.2999999999999998</v>
          </cell>
          <cell r="AB106">
            <v>4.9000000000000004</v>
          </cell>
          <cell r="AC106">
            <v>9.9</v>
          </cell>
          <cell r="AD106">
            <v>2.2000000000000002</v>
          </cell>
          <cell r="AE106">
            <v>2.4</v>
          </cell>
          <cell r="AF106">
            <v>2.4</v>
          </cell>
          <cell r="AI106">
            <v>25540</v>
          </cell>
          <cell r="AJ106">
            <v>6723</v>
          </cell>
          <cell r="AK106">
            <v>1157</v>
          </cell>
          <cell r="AL106">
            <v>7880</v>
          </cell>
          <cell r="AM106">
            <v>1149</v>
          </cell>
          <cell r="AN106">
            <v>9029</v>
          </cell>
          <cell r="AO106">
            <v>1361</v>
          </cell>
          <cell r="AP106">
            <v>2934</v>
          </cell>
          <cell r="AQ106">
            <v>13325</v>
          </cell>
          <cell r="AR106">
            <v>4271</v>
          </cell>
          <cell r="AS106">
            <v>43136</v>
          </cell>
          <cell r="AT106">
            <v>4972</v>
          </cell>
          <cell r="AU106">
            <v>53</v>
          </cell>
          <cell r="AV106">
            <v>48161</v>
          </cell>
          <cell r="AY106">
            <v>-2.2000000000000002</v>
          </cell>
          <cell r="AZ106">
            <v>11.4</v>
          </cell>
          <cell r="BA106">
            <v>-6</v>
          </cell>
          <cell r="BB106">
            <v>8.4</v>
          </cell>
          <cell r="BC106">
            <v>-0.4</v>
          </cell>
          <cell r="BD106">
            <v>7.2</v>
          </cell>
          <cell r="BE106">
            <v>2.4</v>
          </cell>
          <cell r="BF106">
            <v>1.3</v>
          </cell>
          <cell r="BG106">
            <v>5.4</v>
          </cell>
          <cell r="BH106">
            <v>1.7</v>
          </cell>
          <cell r="BI106">
            <v>0.4</v>
          </cell>
          <cell r="BJ106">
            <v>0.7</v>
          </cell>
          <cell r="BK106">
            <v>1.2</v>
          </cell>
          <cell r="BN106">
            <v>26153</v>
          </cell>
          <cell r="BO106">
            <v>6613</v>
          </cell>
          <cell r="BP106">
            <v>922</v>
          </cell>
          <cell r="BQ106">
            <v>7535</v>
          </cell>
          <cell r="BR106">
            <v>1149</v>
          </cell>
          <cell r="BS106">
            <v>8684</v>
          </cell>
          <cell r="BT106">
            <v>1361</v>
          </cell>
          <cell r="BU106">
            <v>2712</v>
          </cell>
          <cell r="BV106">
            <v>12758</v>
          </cell>
          <cell r="BW106">
            <v>3536</v>
          </cell>
          <cell r="BX106">
            <v>42448</v>
          </cell>
          <cell r="BY106">
            <v>4874</v>
          </cell>
          <cell r="BZ106">
            <v>128</v>
          </cell>
          <cell r="CA106">
            <v>47450</v>
          </cell>
          <cell r="CB106">
            <v>0</v>
          </cell>
          <cell r="CC106">
            <v>0</v>
          </cell>
          <cell r="CD106">
            <v>1</v>
          </cell>
          <cell r="CE106">
            <v>0</v>
          </cell>
          <cell r="CF106">
            <v>0</v>
          </cell>
          <cell r="CG106">
            <v>0</v>
          </cell>
          <cell r="CH106">
            <v>0</v>
          </cell>
          <cell r="CI106">
            <v>0</v>
          </cell>
          <cell r="CJ106">
            <v>-1</v>
          </cell>
          <cell r="CK106">
            <v>0</v>
          </cell>
          <cell r="CL106">
            <v>-16</v>
          </cell>
          <cell r="CM106">
            <v>-16</v>
          </cell>
        </row>
        <row r="107">
          <cell r="A107">
            <v>30560</v>
          </cell>
          <cell r="B107">
            <v>24060</v>
          </cell>
          <cell r="C107">
            <v>2169</v>
          </cell>
          <cell r="D107">
            <v>26221</v>
          </cell>
          <cell r="E107">
            <v>7128</v>
          </cell>
          <cell r="F107">
            <v>1403</v>
          </cell>
          <cell r="G107">
            <v>8531</v>
          </cell>
          <cell r="H107">
            <v>1144</v>
          </cell>
          <cell r="I107">
            <v>9675</v>
          </cell>
          <cell r="J107">
            <v>1391</v>
          </cell>
          <cell r="K107">
            <v>3023</v>
          </cell>
          <cell r="L107">
            <v>14089</v>
          </cell>
          <cell r="M107">
            <v>5120</v>
          </cell>
          <cell r="N107">
            <v>45430</v>
          </cell>
          <cell r="O107">
            <v>5187</v>
          </cell>
          <cell r="P107">
            <v>-116</v>
          </cell>
          <cell r="Q107">
            <v>50501</v>
          </cell>
          <cell r="T107">
            <v>1.3</v>
          </cell>
          <cell r="U107">
            <v>7.9</v>
          </cell>
          <cell r="V107">
            <v>9.3000000000000007</v>
          </cell>
          <cell r="W107">
            <v>8.1999999999999993</v>
          </cell>
          <cell r="X107">
            <v>-1.1000000000000001</v>
          </cell>
          <cell r="Y107">
            <v>7</v>
          </cell>
          <cell r="Z107">
            <v>2.2000000000000002</v>
          </cell>
          <cell r="AA107">
            <v>2.8</v>
          </cell>
          <cell r="AB107">
            <v>5.6</v>
          </cell>
          <cell r="AC107">
            <v>11.3</v>
          </cell>
          <cell r="AD107">
            <v>3.6</v>
          </cell>
          <cell r="AE107">
            <v>3.2</v>
          </cell>
          <cell r="AF107">
            <v>3.6</v>
          </cell>
          <cell r="AG107">
            <v>24121</v>
          </cell>
          <cell r="AH107">
            <v>2178</v>
          </cell>
          <cell r="AI107">
            <v>26300</v>
          </cell>
          <cell r="AJ107">
            <v>7194</v>
          </cell>
          <cell r="AK107">
            <v>1478</v>
          </cell>
          <cell r="AL107">
            <v>8672</v>
          </cell>
          <cell r="AM107">
            <v>1128</v>
          </cell>
          <cell r="AN107">
            <v>9800</v>
          </cell>
          <cell r="AO107">
            <v>1390</v>
          </cell>
          <cell r="AP107">
            <v>2999</v>
          </cell>
          <cell r="AQ107">
            <v>14188</v>
          </cell>
          <cell r="AR107">
            <v>5563</v>
          </cell>
          <cell r="AS107">
            <v>46050</v>
          </cell>
          <cell r="AT107">
            <v>5247</v>
          </cell>
          <cell r="AU107">
            <v>-343</v>
          </cell>
          <cell r="AV107">
            <v>50954</v>
          </cell>
          <cell r="AY107">
            <v>3</v>
          </cell>
          <cell r="AZ107">
            <v>7</v>
          </cell>
          <cell r="BA107">
            <v>27.7</v>
          </cell>
          <cell r="BB107">
            <v>10</v>
          </cell>
          <cell r="BC107">
            <v>-1.8</v>
          </cell>
          <cell r="BD107">
            <v>8.5</v>
          </cell>
          <cell r="BE107">
            <v>2.1</v>
          </cell>
          <cell r="BF107">
            <v>2.2000000000000002</v>
          </cell>
          <cell r="BG107">
            <v>6.5</v>
          </cell>
          <cell r="BH107">
            <v>30.3</v>
          </cell>
          <cell r="BI107">
            <v>6.8</v>
          </cell>
          <cell r="BJ107">
            <v>5.5</v>
          </cell>
          <cell r="BK107">
            <v>5.8</v>
          </cell>
          <cell r="BL107">
            <v>23609</v>
          </cell>
          <cell r="BM107">
            <v>2151</v>
          </cell>
          <cell r="BN107">
            <v>25760</v>
          </cell>
          <cell r="BO107">
            <v>7217</v>
          </cell>
          <cell r="BP107">
            <v>1764</v>
          </cell>
          <cell r="BQ107">
            <v>8980</v>
          </cell>
          <cell r="BR107">
            <v>1128</v>
          </cell>
          <cell r="BS107">
            <v>10109</v>
          </cell>
          <cell r="BT107">
            <v>1390</v>
          </cell>
          <cell r="BU107">
            <v>3119</v>
          </cell>
          <cell r="BV107">
            <v>14617</v>
          </cell>
          <cell r="BW107">
            <v>4682</v>
          </cell>
          <cell r="BX107">
            <v>45059</v>
          </cell>
          <cell r="BY107">
            <v>5135</v>
          </cell>
          <cell r="BZ107">
            <v>-489</v>
          </cell>
          <cell r="CA107">
            <v>49705</v>
          </cell>
          <cell r="CB107">
            <v>0</v>
          </cell>
          <cell r="CC107">
            <v>0</v>
          </cell>
          <cell r="CD107">
            <v>0</v>
          </cell>
          <cell r="CE107">
            <v>0</v>
          </cell>
          <cell r="CF107">
            <v>0</v>
          </cell>
          <cell r="CG107">
            <v>-1</v>
          </cell>
          <cell r="CH107">
            <v>0</v>
          </cell>
          <cell r="CI107">
            <v>0</v>
          </cell>
          <cell r="CJ107">
            <v>0</v>
          </cell>
          <cell r="CK107">
            <v>0</v>
          </cell>
          <cell r="CL107">
            <v>5</v>
          </cell>
          <cell r="CM107">
            <v>5</v>
          </cell>
        </row>
        <row r="108">
          <cell r="A108">
            <v>30651</v>
          </cell>
          <cell r="B108">
            <v>24815</v>
          </cell>
          <cell r="C108">
            <v>2243</v>
          </cell>
          <cell r="D108">
            <v>26975</v>
          </cell>
          <cell r="E108">
            <v>7710</v>
          </cell>
          <cell r="F108">
            <v>1535</v>
          </cell>
          <cell r="G108">
            <v>9245</v>
          </cell>
          <cell r="H108">
            <v>1119</v>
          </cell>
          <cell r="I108">
            <v>10364</v>
          </cell>
          <cell r="J108">
            <v>1422</v>
          </cell>
          <cell r="K108">
            <v>3098</v>
          </cell>
          <cell r="L108">
            <v>14883</v>
          </cell>
          <cell r="M108">
            <v>5514</v>
          </cell>
          <cell r="N108">
            <v>47373</v>
          </cell>
          <cell r="O108">
            <v>5439</v>
          </cell>
          <cell r="P108">
            <v>-229</v>
          </cell>
          <cell r="Q108">
            <v>52582</v>
          </cell>
          <cell r="R108">
            <v>3.1</v>
          </cell>
          <cell r="S108">
            <v>3.4</v>
          </cell>
          <cell r="T108">
            <v>2.9</v>
          </cell>
          <cell r="U108">
            <v>8.1999999999999993</v>
          </cell>
          <cell r="V108">
            <v>9.4</v>
          </cell>
          <cell r="W108">
            <v>8.4</v>
          </cell>
          <cell r="X108">
            <v>-2.2000000000000002</v>
          </cell>
          <cell r="Y108">
            <v>7.1</v>
          </cell>
          <cell r="Z108">
            <v>2.2000000000000002</v>
          </cell>
          <cell r="AA108">
            <v>2.5</v>
          </cell>
          <cell r="AB108">
            <v>5.6</v>
          </cell>
          <cell r="AC108">
            <v>7.7</v>
          </cell>
          <cell r="AD108">
            <v>4.3</v>
          </cell>
          <cell r="AE108">
            <v>4.8</v>
          </cell>
          <cell r="AF108">
            <v>4.0999999999999996</v>
          </cell>
          <cell r="AG108">
            <v>24758</v>
          </cell>
          <cell r="AH108">
            <v>2234</v>
          </cell>
          <cell r="AI108">
            <v>26992</v>
          </cell>
          <cell r="AJ108">
            <v>7400</v>
          </cell>
          <cell r="AK108">
            <v>1582</v>
          </cell>
          <cell r="AL108">
            <v>8982</v>
          </cell>
          <cell r="AM108">
            <v>1123</v>
          </cell>
          <cell r="AN108">
            <v>10105</v>
          </cell>
          <cell r="AO108">
            <v>1421</v>
          </cell>
          <cell r="AP108">
            <v>3106</v>
          </cell>
          <cell r="AQ108">
            <v>14632</v>
          </cell>
          <cell r="AR108">
            <v>5360</v>
          </cell>
          <cell r="AS108">
            <v>46985</v>
          </cell>
          <cell r="AT108">
            <v>5295</v>
          </cell>
          <cell r="AU108">
            <v>80</v>
          </cell>
          <cell r="AV108">
            <v>52360</v>
          </cell>
          <cell r="AW108">
            <v>2.6</v>
          </cell>
          <cell r="AX108">
            <v>2.6</v>
          </cell>
          <cell r="AY108">
            <v>2.6</v>
          </cell>
          <cell r="AZ108">
            <v>2.9</v>
          </cell>
          <cell r="BA108">
            <v>7</v>
          </cell>
          <cell r="BB108">
            <v>3.6</v>
          </cell>
          <cell r="BC108">
            <v>-0.4</v>
          </cell>
          <cell r="BD108">
            <v>3.1</v>
          </cell>
          <cell r="BE108">
            <v>2.2999999999999998</v>
          </cell>
          <cell r="BF108">
            <v>3.6</v>
          </cell>
          <cell r="BG108">
            <v>3.1</v>
          </cell>
          <cell r="BH108">
            <v>-3.6</v>
          </cell>
          <cell r="BI108">
            <v>2</v>
          </cell>
          <cell r="BJ108">
            <v>0.9</v>
          </cell>
          <cell r="BK108">
            <v>2.8</v>
          </cell>
          <cell r="BL108">
            <v>25713</v>
          </cell>
          <cell r="BM108">
            <v>2306</v>
          </cell>
          <cell r="BN108">
            <v>28019</v>
          </cell>
          <cell r="BO108">
            <v>8303</v>
          </cell>
          <cell r="BP108">
            <v>1740</v>
          </cell>
          <cell r="BQ108">
            <v>10043</v>
          </cell>
          <cell r="BR108">
            <v>1123</v>
          </cell>
          <cell r="BS108">
            <v>11166</v>
          </cell>
          <cell r="BT108">
            <v>1421</v>
          </cell>
          <cell r="BU108">
            <v>3288</v>
          </cell>
          <cell r="BV108">
            <v>15875</v>
          </cell>
          <cell r="BW108">
            <v>7726</v>
          </cell>
          <cell r="BX108">
            <v>51620</v>
          </cell>
          <cell r="BY108">
            <v>5493</v>
          </cell>
          <cell r="BZ108">
            <v>301</v>
          </cell>
          <cell r="CA108">
            <v>57413</v>
          </cell>
          <cell r="CB108">
            <v>0</v>
          </cell>
          <cell r="CC108">
            <v>0</v>
          </cell>
          <cell r="CD108">
            <v>0</v>
          </cell>
          <cell r="CE108">
            <v>0</v>
          </cell>
          <cell r="CF108">
            <v>0</v>
          </cell>
          <cell r="CG108">
            <v>-1</v>
          </cell>
          <cell r="CH108">
            <v>0</v>
          </cell>
          <cell r="CI108">
            <v>1</v>
          </cell>
          <cell r="CJ108">
            <v>0</v>
          </cell>
          <cell r="CK108">
            <v>0</v>
          </cell>
          <cell r="CL108">
            <v>10</v>
          </cell>
          <cell r="CM108">
            <v>11</v>
          </cell>
        </row>
        <row r="109">
          <cell r="A109">
            <v>30742</v>
          </cell>
          <cell r="B109">
            <v>25609</v>
          </cell>
          <cell r="C109">
            <v>2322</v>
          </cell>
          <cell r="D109">
            <v>27932</v>
          </cell>
          <cell r="E109">
            <v>8265</v>
          </cell>
          <cell r="F109">
            <v>1592</v>
          </cell>
          <cell r="G109">
            <v>9856</v>
          </cell>
          <cell r="H109">
            <v>1049</v>
          </cell>
          <cell r="I109">
            <v>10905</v>
          </cell>
          <cell r="J109">
            <v>1449</v>
          </cell>
          <cell r="K109">
            <v>3153</v>
          </cell>
          <cell r="L109">
            <v>15507</v>
          </cell>
          <cell r="M109">
            <v>5679</v>
          </cell>
          <cell r="N109">
            <v>49119</v>
          </cell>
          <cell r="O109">
            <v>5692</v>
          </cell>
          <cell r="P109">
            <v>-455</v>
          </cell>
          <cell r="Q109">
            <v>54356</v>
          </cell>
          <cell r="R109">
            <v>3.2</v>
          </cell>
          <cell r="S109">
            <v>3.5</v>
          </cell>
          <cell r="T109">
            <v>3.5</v>
          </cell>
          <cell r="U109">
            <v>7.2</v>
          </cell>
          <cell r="V109">
            <v>3.7</v>
          </cell>
          <cell r="W109">
            <v>6.6</v>
          </cell>
          <cell r="X109">
            <v>-6.3</v>
          </cell>
          <cell r="Y109">
            <v>5.2</v>
          </cell>
          <cell r="Z109">
            <v>1.9</v>
          </cell>
          <cell r="AA109">
            <v>1.8</v>
          </cell>
          <cell r="AB109">
            <v>4.2</v>
          </cell>
          <cell r="AC109">
            <v>3</v>
          </cell>
          <cell r="AD109">
            <v>3.7</v>
          </cell>
          <cell r="AE109">
            <v>4.7</v>
          </cell>
          <cell r="AF109">
            <v>3.4</v>
          </cell>
          <cell r="AG109">
            <v>25559</v>
          </cell>
          <cell r="AH109">
            <v>2317</v>
          </cell>
          <cell r="AI109">
            <v>27876</v>
          </cell>
          <cell r="AJ109">
            <v>8570</v>
          </cell>
          <cell r="AK109">
            <v>1555</v>
          </cell>
          <cell r="AL109">
            <v>10125</v>
          </cell>
          <cell r="AM109">
            <v>1060</v>
          </cell>
          <cell r="AN109">
            <v>11185</v>
          </cell>
          <cell r="AO109">
            <v>1449</v>
          </cell>
          <cell r="AP109">
            <v>3207</v>
          </cell>
          <cell r="AQ109">
            <v>15841</v>
          </cell>
          <cell r="AR109">
            <v>5667</v>
          </cell>
          <cell r="AS109">
            <v>49384</v>
          </cell>
          <cell r="AT109">
            <v>5838</v>
          </cell>
          <cell r="AU109">
            <v>-679</v>
          </cell>
          <cell r="AV109">
            <v>54543</v>
          </cell>
          <cell r="AW109">
            <v>3.2</v>
          </cell>
          <cell r="AX109">
            <v>3.7</v>
          </cell>
          <cell r="AY109">
            <v>3.3</v>
          </cell>
          <cell r="AZ109">
            <v>15.8</v>
          </cell>
          <cell r="BA109">
            <v>-1.7</v>
          </cell>
          <cell r="BB109">
            <v>12.7</v>
          </cell>
          <cell r="BC109">
            <v>-5.6</v>
          </cell>
          <cell r="BD109">
            <v>10.7</v>
          </cell>
          <cell r="BE109">
            <v>2</v>
          </cell>
          <cell r="BF109">
            <v>3.3</v>
          </cell>
          <cell r="BG109">
            <v>8.3000000000000007</v>
          </cell>
          <cell r="BH109">
            <v>5.7</v>
          </cell>
          <cell r="BI109">
            <v>5.0999999999999996</v>
          </cell>
          <cell r="BJ109">
            <v>10.3</v>
          </cell>
          <cell r="BK109">
            <v>4.2</v>
          </cell>
          <cell r="BL109">
            <v>24661</v>
          </cell>
          <cell r="BM109">
            <v>2244</v>
          </cell>
          <cell r="BN109">
            <v>26905</v>
          </cell>
          <cell r="BO109">
            <v>7660</v>
          </cell>
          <cell r="BP109">
            <v>1420</v>
          </cell>
          <cell r="BQ109">
            <v>9080</v>
          </cell>
          <cell r="BR109">
            <v>1060</v>
          </cell>
          <cell r="BS109">
            <v>10140</v>
          </cell>
          <cell r="BT109">
            <v>1449</v>
          </cell>
          <cell r="BU109">
            <v>3110</v>
          </cell>
          <cell r="BV109">
            <v>14699</v>
          </cell>
          <cell r="BW109">
            <v>5365</v>
          </cell>
          <cell r="BX109">
            <v>46969</v>
          </cell>
          <cell r="BY109">
            <v>5861</v>
          </cell>
          <cell r="BZ109">
            <v>-1201</v>
          </cell>
          <cell r="CA109">
            <v>51630</v>
          </cell>
          <cell r="CB109">
            <v>0</v>
          </cell>
          <cell r="CC109">
            <v>0</v>
          </cell>
          <cell r="CD109">
            <v>0</v>
          </cell>
          <cell r="CE109">
            <v>0</v>
          </cell>
          <cell r="CF109">
            <v>0</v>
          </cell>
          <cell r="CG109">
            <v>0</v>
          </cell>
          <cell r="CH109">
            <v>0</v>
          </cell>
          <cell r="CI109">
            <v>0</v>
          </cell>
          <cell r="CJ109">
            <v>0</v>
          </cell>
          <cell r="CK109">
            <v>0</v>
          </cell>
          <cell r="CL109">
            <v>14</v>
          </cell>
          <cell r="CM109">
            <v>14</v>
          </cell>
        </row>
        <row r="110">
          <cell r="A110">
            <v>30834</v>
          </cell>
          <cell r="B110">
            <v>26410</v>
          </cell>
          <cell r="C110">
            <v>2404</v>
          </cell>
          <cell r="D110">
            <v>28814</v>
          </cell>
          <cell r="E110">
            <v>8671</v>
          </cell>
          <cell r="F110">
            <v>1628</v>
          </cell>
          <cell r="G110">
            <v>10299</v>
          </cell>
          <cell r="H110">
            <v>914</v>
          </cell>
          <cell r="I110">
            <v>11212</v>
          </cell>
          <cell r="J110">
            <v>1468</v>
          </cell>
          <cell r="K110">
            <v>3191</v>
          </cell>
          <cell r="L110">
            <v>15871</v>
          </cell>
          <cell r="M110">
            <v>5724</v>
          </cell>
          <cell r="N110">
            <v>50409</v>
          </cell>
          <cell r="O110">
            <v>5852</v>
          </cell>
          <cell r="P110">
            <v>-744</v>
          </cell>
          <cell r="Q110">
            <v>55517</v>
          </cell>
          <cell r="R110">
            <v>3.1</v>
          </cell>
          <cell r="S110">
            <v>3.5</v>
          </cell>
          <cell r="T110">
            <v>3.2</v>
          </cell>
          <cell r="U110">
            <v>4.9000000000000004</v>
          </cell>
          <cell r="V110">
            <v>2.2999999999999998</v>
          </cell>
          <cell r="W110">
            <v>4.5</v>
          </cell>
          <cell r="X110">
            <v>-12.9</v>
          </cell>
          <cell r="Y110">
            <v>2.8</v>
          </cell>
          <cell r="Z110">
            <v>1.4</v>
          </cell>
          <cell r="AA110">
            <v>1.2</v>
          </cell>
          <cell r="AB110">
            <v>2.2999999999999998</v>
          </cell>
          <cell r="AC110">
            <v>0.8</v>
          </cell>
          <cell r="AD110">
            <v>2.6</v>
          </cell>
          <cell r="AE110">
            <v>2.8</v>
          </cell>
          <cell r="AF110">
            <v>2.1</v>
          </cell>
          <cell r="AG110">
            <v>26481</v>
          </cell>
          <cell r="AH110">
            <v>2412</v>
          </cell>
          <cell r="AI110">
            <v>28893</v>
          </cell>
          <cell r="AJ110">
            <v>8643</v>
          </cell>
          <cell r="AK110">
            <v>1622</v>
          </cell>
          <cell r="AL110">
            <v>10265</v>
          </cell>
          <cell r="AM110">
            <v>938</v>
          </cell>
          <cell r="AN110">
            <v>11203</v>
          </cell>
          <cell r="AO110">
            <v>1474</v>
          </cell>
          <cell r="AP110">
            <v>3125</v>
          </cell>
          <cell r="AQ110">
            <v>15802</v>
          </cell>
          <cell r="AR110">
            <v>5788</v>
          </cell>
          <cell r="AS110">
            <v>50482</v>
          </cell>
          <cell r="AT110">
            <v>5857</v>
          </cell>
          <cell r="AU110">
            <v>-624</v>
          </cell>
          <cell r="AV110">
            <v>55716</v>
          </cell>
          <cell r="AW110">
            <v>3.6</v>
          </cell>
          <cell r="AX110">
            <v>4.0999999999999996</v>
          </cell>
          <cell r="AY110">
            <v>3.6</v>
          </cell>
          <cell r="AZ110">
            <v>0.9</v>
          </cell>
          <cell r="BA110">
            <v>4.3</v>
          </cell>
          <cell r="BB110">
            <v>1.4</v>
          </cell>
          <cell r="BC110">
            <v>-11.5</v>
          </cell>
          <cell r="BD110">
            <v>0.2</v>
          </cell>
          <cell r="BE110">
            <v>1.7</v>
          </cell>
          <cell r="BF110">
            <v>-2.6</v>
          </cell>
          <cell r="BG110">
            <v>-0.3</v>
          </cell>
          <cell r="BH110">
            <v>2.1</v>
          </cell>
          <cell r="BI110">
            <v>2.2000000000000002</v>
          </cell>
          <cell r="BJ110">
            <v>0.3</v>
          </cell>
          <cell r="BK110">
            <v>2.1</v>
          </cell>
          <cell r="BL110">
            <v>26888</v>
          </cell>
          <cell r="BM110">
            <v>2432</v>
          </cell>
          <cell r="BN110">
            <v>29320</v>
          </cell>
          <cell r="BO110">
            <v>8486</v>
          </cell>
          <cell r="BP110">
            <v>1297</v>
          </cell>
          <cell r="BQ110">
            <v>9784</v>
          </cell>
          <cell r="BR110">
            <v>938</v>
          </cell>
          <cell r="BS110">
            <v>10722</v>
          </cell>
          <cell r="BT110">
            <v>1474</v>
          </cell>
          <cell r="BU110">
            <v>2893</v>
          </cell>
          <cell r="BV110">
            <v>15089</v>
          </cell>
          <cell r="BW110">
            <v>4590</v>
          </cell>
          <cell r="BX110">
            <v>48999</v>
          </cell>
          <cell r="BY110">
            <v>5740</v>
          </cell>
          <cell r="BZ110">
            <v>-73</v>
          </cell>
          <cell r="CA110">
            <v>54666</v>
          </cell>
          <cell r="CB110">
            <v>0</v>
          </cell>
          <cell r="CC110">
            <v>0</v>
          </cell>
          <cell r="CD110">
            <v>0</v>
          </cell>
          <cell r="CE110">
            <v>0</v>
          </cell>
          <cell r="CF110">
            <v>0</v>
          </cell>
          <cell r="CG110">
            <v>0</v>
          </cell>
          <cell r="CH110">
            <v>0</v>
          </cell>
          <cell r="CI110">
            <v>0</v>
          </cell>
          <cell r="CJ110">
            <v>0</v>
          </cell>
          <cell r="CK110">
            <v>1</v>
          </cell>
          <cell r="CL110">
            <v>9</v>
          </cell>
          <cell r="CM110">
            <v>9</v>
          </cell>
        </row>
        <row r="111">
          <cell r="A111">
            <v>30926</v>
          </cell>
          <cell r="B111">
            <v>27031</v>
          </cell>
          <cell r="C111">
            <v>2474</v>
          </cell>
          <cell r="D111">
            <v>29504</v>
          </cell>
          <cell r="E111">
            <v>8890</v>
          </cell>
          <cell r="F111">
            <v>1730</v>
          </cell>
          <cell r="G111">
            <v>10621</v>
          </cell>
          <cell r="H111">
            <v>745</v>
          </cell>
          <cell r="I111">
            <v>11366</v>
          </cell>
          <cell r="J111">
            <v>1485</v>
          </cell>
          <cell r="K111">
            <v>3231</v>
          </cell>
          <cell r="L111">
            <v>16081</v>
          </cell>
          <cell r="M111">
            <v>5851</v>
          </cell>
          <cell r="N111">
            <v>51436</v>
          </cell>
          <cell r="O111">
            <v>5935</v>
          </cell>
          <cell r="P111">
            <v>-925</v>
          </cell>
          <cell r="Q111">
            <v>56446</v>
          </cell>
          <cell r="R111">
            <v>2.4</v>
          </cell>
          <cell r="S111">
            <v>2.9</v>
          </cell>
          <cell r="T111">
            <v>2.4</v>
          </cell>
          <cell r="U111">
            <v>2.5</v>
          </cell>
          <cell r="V111">
            <v>6.3</v>
          </cell>
          <cell r="W111">
            <v>3.1</v>
          </cell>
          <cell r="X111">
            <v>-18.5</v>
          </cell>
          <cell r="Y111">
            <v>1.4</v>
          </cell>
          <cell r="Z111">
            <v>1.1000000000000001</v>
          </cell>
          <cell r="AA111">
            <v>1.3</v>
          </cell>
          <cell r="AB111">
            <v>1.3</v>
          </cell>
          <cell r="AC111">
            <v>2.2000000000000002</v>
          </cell>
          <cell r="AD111">
            <v>2</v>
          </cell>
          <cell r="AE111">
            <v>1.4</v>
          </cell>
          <cell r="AF111">
            <v>1.7</v>
          </cell>
          <cell r="AG111">
            <v>27081</v>
          </cell>
          <cell r="AH111">
            <v>2478</v>
          </cell>
          <cell r="AI111">
            <v>29559</v>
          </cell>
          <cell r="AJ111">
            <v>8864</v>
          </cell>
          <cell r="AK111">
            <v>1702</v>
          </cell>
          <cell r="AL111">
            <v>10566</v>
          </cell>
          <cell r="AM111">
            <v>717</v>
          </cell>
          <cell r="AN111">
            <v>11283</v>
          </cell>
          <cell r="AO111">
            <v>1481</v>
          </cell>
          <cell r="AP111">
            <v>3260</v>
          </cell>
          <cell r="AQ111">
            <v>16023</v>
          </cell>
          <cell r="AR111">
            <v>5789</v>
          </cell>
          <cell r="AS111">
            <v>51371</v>
          </cell>
          <cell r="AT111">
            <v>5921</v>
          </cell>
          <cell r="AU111">
            <v>-919</v>
          </cell>
          <cell r="AV111">
            <v>56374</v>
          </cell>
          <cell r="AW111">
            <v>2.2999999999999998</v>
          </cell>
          <cell r="AX111">
            <v>2.7</v>
          </cell>
          <cell r="AY111">
            <v>2.2999999999999998</v>
          </cell>
          <cell r="AZ111">
            <v>2.6</v>
          </cell>
          <cell r="BA111">
            <v>4.9000000000000004</v>
          </cell>
          <cell r="BB111">
            <v>2.9</v>
          </cell>
          <cell r="BC111">
            <v>-23.6</v>
          </cell>
          <cell r="BD111">
            <v>0.7</v>
          </cell>
          <cell r="BE111">
            <v>0.5</v>
          </cell>
          <cell r="BF111">
            <v>4.3</v>
          </cell>
          <cell r="BG111">
            <v>1.4</v>
          </cell>
          <cell r="BH111">
            <v>0</v>
          </cell>
          <cell r="BI111">
            <v>1.8</v>
          </cell>
          <cell r="BJ111">
            <v>1.1000000000000001</v>
          </cell>
          <cell r="BK111">
            <v>1.2</v>
          </cell>
          <cell r="BL111">
            <v>26508</v>
          </cell>
          <cell r="BM111">
            <v>2446</v>
          </cell>
          <cell r="BN111">
            <v>28954</v>
          </cell>
          <cell r="BO111">
            <v>8913</v>
          </cell>
          <cell r="BP111">
            <v>2064</v>
          </cell>
          <cell r="BQ111">
            <v>10977</v>
          </cell>
          <cell r="BR111">
            <v>717</v>
          </cell>
          <cell r="BS111">
            <v>11694</v>
          </cell>
          <cell r="BT111">
            <v>1481</v>
          </cell>
          <cell r="BU111">
            <v>3388</v>
          </cell>
          <cell r="BV111">
            <v>16562</v>
          </cell>
          <cell r="BW111">
            <v>5096</v>
          </cell>
          <cell r="BX111">
            <v>50612</v>
          </cell>
          <cell r="BY111">
            <v>5814</v>
          </cell>
          <cell r="BZ111">
            <v>-905</v>
          </cell>
          <cell r="CA111">
            <v>55522</v>
          </cell>
          <cell r="CB111">
            <v>0</v>
          </cell>
          <cell r="CC111">
            <v>0</v>
          </cell>
          <cell r="CD111">
            <v>0</v>
          </cell>
          <cell r="CE111">
            <v>0</v>
          </cell>
          <cell r="CF111">
            <v>0</v>
          </cell>
          <cell r="CG111">
            <v>0</v>
          </cell>
          <cell r="CH111">
            <v>0</v>
          </cell>
          <cell r="CI111">
            <v>0</v>
          </cell>
          <cell r="CJ111">
            <v>0</v>
          </cell>
          <cell r="CK111">
            <v>0</v>
          </cell>
          <cell r="CL111">
            <v>-15</v>
          </cell>
          <cell r="CM111">
            <v>-15</v>
          </cell>
        </row>
        <row r="112">
          <cell r="A112">
            <v>31017</v>
          </cell>
          <cell r="B112">
            <v>27462</v>
          </cell>
          <cell r="C112">
            <v>2530</v>
          </cell>
          <cell r="D112">
            <v>29992</v>
          </cell>
          <cell r="E112">
            <v>9082</v>
          </cell>
          <cell r="F112">
            <v>1836</v>
          </cell>
          <cell r="G112">
            <v>10918</v>
          </cell>
          <cell r="H112">
            <v>605</v>
          </cell>
          <cell r="I112">
            <v>11524</v>
          </cell>
          <cell r="J112">
            <v>1507</v>
          </cell>
          <cell r="K112">
            <v>3311</v>
          </cell>
          <cell r="L112">
            <v>16342</v>
          </cell>
          <cell r="M112">
            <v>5977</v>
          </cell>
          <cell r="N112">
            <v>52311</v>
          </cell>
          <cell r="O112">
            <v>6128</v>
          </cell>
          <cell r="P112">
            <v>-772</v>
          </cell>
          <cell r="Q112">
            <v>57667</v>
          </cell>
          <cell r="R112">
            <v>1.6</v>
          </cell>
          <cell r="S112">
            <v>2.2999999999999998</v>
          </cell>
          <cell r="T112">
            <v>1.7</v>
          </cell>
          <cell r="U112">
            <v>2.2000000000000002</v>
          </cell>
          <cell r="V112">
            <v>6.1</v>
          </cell>
          <cell r="W112">
            <v>2.8</v>
          </cell>
          <cell r="X112">
            <v>-18.7</v>
          </cell>
          <cell r="Y112">
            <v>1.4</v>
          </cell>
          <cell r="Z112">
            <v>1.5</v>
          </cell>
          <cell r="AA112">
            <v>2.5</v>
          </cell>
          <cell r="AB112">
            <v>1.6</v>
          </cell>
          <cell r="AC112">
            <v>2.2000000000000002</v>
          </cell>
          <cell r="AD112">
            <v>1.7</v>
          </cell>
          <cell r="AE112">
            <v>3.3</v>
          </cell>
          <cell r="AF112">
            <v>2.2000000000000002</v>
          </cell>
          <cell r="AG112">
            <v>27497</v>
          </cell>
          <cell r="AH112">
            <v>2530</v>
          </cell>
          <cell r="AI112">
            <v>30027</v>
          </cell>
          <cell r="AJ112">
            <v>9048</v>
          </cell>
          <cell r="AK112">
            <v>1868</v>
          </cell>
          <cell r="AL112">
            <v>10916</v>
          </cell>
          <cell r="AM112">
            <v>595</v>
          </cell>
          <cell r="AN112">
            <v>11511</v>
          </cell>
          <cell r="AO112">
            <v>1505</v>
          </cell>
          <cell r="AP112">
            <v>3318</v>
          </cell>
          <cell r="AQ112">
            <v>16334</v>
          </cell>
          <cell r="AR112">
            <v>5941</v>
          </cell>
          <cell r="AS112">
            <v>52302</v>
          </cell>
          <cell r="AT112">
            <v>6063</v>
          </cell>
          <cell r="AU112">
            <v>-1062</v>
          </cell>
          <cell r="AV112">
            <v>57304</v>
          </cell>
          <cell r="AW112">
            <v>1.5</v>
          </cell>
          <cell r="AX112">
            <v>2.1</v>
          </cell>
          <cell r="AY112">
            <v>1.6</v>
          </cell>
          <cell r="AZ112">
            <v>2.1</v>
          </cell>
          <cell r="BA112">
            <v>9.8000000000000007</v>
          </cell>
          <cell r="BB112">
            <v>3.3</v>
          </cell>
          <cell r="BC112">
            <v>-17</v>
          </cell>
          <cell r="BD112">
            <v>2</v>
          </cell>
          <cell r="BE112">
            <v>1.7</v>
          </cell>
          <cell r="BF112">
            <v>1.8</v>
          </cell>
          <cell r="BG112">
            <v>1.9</v>
          </cell>
          <cell r="BH112">
            <v>2.6</v>
          </cell>
          <cell r="BI112">
            <v>1.8</v>
          </cell>
          <cell r="BJ112">
            <v>2.4</v>
          </cell>
          <cell r="BK112">
            <v>1.6</v>
          </cell>
          <cell r="BL112">
            <v>28555</v>
          </cell>
          <cell r="BM112">
            <v>2612</v>
          </cell>
          <cell r="BN112">
            <v>31168</v>
          </cell>
          <cell r="BO112">
            <v>10085</v>
          </cell>
          <cell r="BP112">
            <v>2012</v>
          </cell>
          <cell r="BQ112">
            <v>12097</v>
          </cell>
          <cell r="BR112">
            <v>595</v>
          </cell>
          <cell r="BS112">
            <v>12692</v>
          </cell>
          <cell r="BT112">
            <v>1505</v>
          </cell>
          <cell r="BU112">
            <v>3510</v>
          </cell>
          <cell r="BV112">
            <v>17708</v>
          </cell>
          <cell r="BW112">
            <v>8531</v>
          </cell>
          <cell r="BX112">
            <v>57407</v>
          </cell>
          <cell r="BY112">
            <v>6245</v>
          </cell>
          <cell r="BZ112">
            <v>-941</v>
          </cell>
          <cell r="CA112">
            <v>62712</v>
          </cell>
          <cell r="CB112">
            <v>0</v>
          </cell>
          <cell r="CC112">
            <v>0</v>
          </cell>
          <cell r="CD112">
            <v>0</v>
          </cell>
          <cell r="CE112">
            <v>0</v>
          </cell>
          <cell r="CF112">
            <v>0</v>
          </cell>
          <cell r="CG112">
            <v>0</v>
          </cell>
          <cell r="CH112">
            <v>0</v>
          </cell>
          <cell r="CI112">
            <v>0</v>
          </cell>
          <cell r="CJ112">
            <v>0</v>
          </cell>
          <cell r="CK112">
            <v>0</v>
          </cell>
          <cell r="CL112">
            <v>-22</v>
          </cell>
          <cell r="CM112">
            <v>-23</v>
          </cell>
        </row>
        <row r="113">
          <cell r="A113">
            <v>31107</v>
          </cell>
          <cell r="B113">
            <v>27860</v>
          </cell>
          <cell r="C113">
            <v>2589</v>
          </cell>
          <cell r="D113">
            <v>30449</v>
          </cell>
          <cell r="E113">
            <v>9614</v>
          </cell>
          <cell r="F113">
            <v>1897</v>
          </cell>
          <cell r="G113">
            <v>11512</v>
          </cell>
          <cell r="H113">
            <v>512</v>
          </cell>
          <cell r="I113">
            <v>12024</v>
          </cell>
          <cell r="J113">
            <v>1546</v>
          </cell>
          <cell r="K113">
            <v>3432</v>
          </cell>
          <cell r="L113">
            <v>17002</v>
          </cell>
          <cell r="M113">
            <v>6121</v>
          </cell>
          <cell r="N113">
            <v>53572</v>
          </cell>
          <cell r="O113">
            <v>6525</v>
          </cell>
          <cell r="P113">
            <v>-586</v>
          </cell>
          <cell r="Q113">
            <v>59511</v>
          </cell>
          <cell r="R113">
            <v>1.5</v>
          </cell>
          <cell r="S113">
            <v>2.2999999999999998</v>
          </cell>
          <cell r="T113">
            <v>1.5</v>
          </cell>
          <cell r="U113">
            <v>5.9</v>
          </cell>
          <cell r="V113">
            <v>3.3</v>
          </cell>
          <cell r="W113">
            <v>5.4</v>
          </cell>
          <cell r="X113">
            <v>-15.4</v>
          </cell>
          <cell r="Y113">
            <v>4.3</v>
          </cell>
          <cell r="Z113">
            <v>2.6</v>
          </cell>
          <cell r="AA113">
            <v>3.7</v>
          </cell>
          <cell r="AB113">
            <v>4</v>
          </cell>
          <cell r="AC113">
            <v>2.4</v>
          </cell>
          <cell r="AD113">
            <v>2.4</v>
          </cell>
          <cell r="AE113">
            <v>6.5</v>
          </cell>
          <cell r="AF113">
            <v>3.2</v>
          </cell>
          <cell r="AG113">
            <v>27733</v>
          </cell>
          <cell r="AH113">
            <v>2579</v>
          </cell>
          <cell r="AI113">
            <v>30312</v>
          </cell>
          <cell r="AJ113">
            <v>9521</v>
          </cell>
          <cell r="AK113">
            <v>1933</v>
          </cell>
          <cell r="AL113">
            <v>11454</v>
          </cell>
          <cell r="AM113">
            <v>511</v>
          </cell>
          <cell r="AN113">
            <v>11965</v>
          </cell>
          <cell r="AO113">
            <v>1544</v>
          </cell>
          <cell r="AP113">
            <v>3392</v>
          </cell>
          <cell r="AQ113">
            <v>16901</v>
          </cell>
          <cell r="AR113">
            <v>6226</v>
          </cell>
          <cell r="AS113">
            <v>53439</v>
          </cell>
          <cell r="AT113">
            <v>6421</v>
          </cell>
          <cell r="AU113">
            <v>-341</v>
          </cell>
          <cell r="AV113">
            <v>59519</v>
          </cell>
          <cell r="AW113">
            <v>0.9</v>
          </cell>
          <cell r="AX113">
            <v>1.9</v>
          </cell>
          <cell r="AY113">
            <v>0.9</v>
          </cell>
          <cell r="AZ113">
            <v>5.2</v>
          </cell>
          <cell r="BA113">
            <v>3.5</v>
          </cell>
          <cell r="BB113">
            <v>4.9000000000000004</v>
          </cell>
          <cell r="BC113">
            <v>-14.1</v>
          </cell>
          <cell r="BD113">
            <v>3.9</v>
          </cell>
          <cell r="BE113">
            <v>2.6</v>
          </cell>
          <cell r="BF113">
            <v>2.2000000000000002</v>
          </cell>
          <cell r="BG113">
            <v>3.5</v>
          </cell>
          <cell r="BH113">
            <v>4.8</v>
          </cell>
          <cell r="BI113">
            <v>2.2000000000000002</v>
          </cell>
          <cell r="BJ113">
            <v>5.9</v>
          </cell>
          <cell r="BK113">
            <v>3.9</v>
          </cell>
          <cell r="BL113">
            <v>26760</v>
          </cell>
          <cell r="BM113">
            <v>2498</v>
          </cell>
          <cell r="BN113">
            <v>29258</v>
          </cell>
          <cell r="BO113">
            <v>8576</v>
          </cell>
          <cell r="BP113">
            <v>1763</v>
          </cell>
          <cell r="BQ113">
            <v>10339</v>
          </cell>
          <cell r="BR113">
            <v>511</v>
          </cell>
          <cell r="BS113">
            <v>10850</v>
          </cell>
          <cell r="BT113">
            <v>1544</v>
          </cell>
          <cell r="BU113">
            <v>3290</v>
          </cell>
          <cell r="BV113">
            <v>15684</v>
          </cell>
          <cell r="BW113">
            <v>5369</v>
          </cell>
          <cell r="BX113">
            <v>50311</v>
          </cell>
          <cell r="BY113">
            <v>6474</v>
          </cell>
          <cell r="BZ113">
            <v>-743</v>
          </cell>
          <cell r="CA113">
            <v>56042</v>
          </cell>
          <cell r="CB113">
            <v>0</v>
          </cell>
          <cell r="CC113">
            <v>0</v>
          </cell>
          <cell r="CD113">
            <v>0</v>
          </cell>
          <cell r="CE113">
            <v>0</v>
          </cell>
          <cell r="CF113">
            <v>0</v>
          </cell>
          <cell r="CG113">
            <v>0</v>
          </cell>
          <cell r="CH113">
            <v>0</v>
          </cell>
          <cell r="CI113">
            <v>0</v>
          </cell>
          <cell r="CJ113">
            <v>0</v>
          </cell>
          <cell r="CK113">
            <v>0</v>
          </cell>
          <cell r="CL113">
            <v>41</v>
          </cell>
          <cell r="CM113">
            <v>41</v>
          </cell>
        </row>
        <row r="114">
          <cell r="A114">
            <v>31199</v>
          </cell>
          <cell r="B114">
            <v>28396</v>
          </cell>
          <cell r="C114">
            <v>2660</v>
          </cell>
          <cell r="D114">
            <v>31056</v>
          </cell>
          <cell r="E114">
            <v>10151</v>
          </cell>
          <cell r="F114">
            <v>1902</v>
          </cell>
          <cell r="G114">
            <v>12053</v>
          </cell>
          <cell r="H114">
            <v>437</v>
          </cell>
          <cell r="I114">
            <v>12490</v>
          </cell>
          <cell r="J114">
            <v>1600</v>
          </cell>
          <cell r="K114">
            <v>3561</v>
          </cell>
          <cell r="L114">
            <v>17651</v>
          </cell>
          <cell r="M114">
            <v>6296</v>
          </cell>
          <cell r="N114">
            <v>55003</v>
          </cell>
          <cell r="O114">
            <v>6921</v>
          </cell>
          <cell r="P114">
            <v>-377</v>
          </cell>
          <cell r="Q114">
            <v>61548</v>
          </cell>
          <cell r="R114">
            <v>1.9</v>
          </cell>
          <cell r="S114">
            <v>2.7</v>
          </cell>
          <cell r="T114">
            <v>2</v>
          </cell>
          <cell r="U114">
            <v>5.6</v>
          </cell>
          <cell r="V114">
            <v>0.2</v>
          </cell>
          <cell r="W114">
            <v>4.7</v>
          </cell>
          <cell r="X114">
            <v>-14.7</v>
          </cell>
          <cell r="Y114">
            <v>3.9</v>
          </cell>
          <cell r="Z114">
            <v>3.5</v>
          </cell>
          <cell r="AA114">
            <v>3.8</v>
          </cell>
          <cell r="AB114">
            <v>3.8</v>
          </cell>
          <cell r="AC114">
            <v>2.9</v>
          </cell>
          <cell r="AD114">
            <v>2.7</v>
          </cell>
          <cell r="AE114">
            <v>6.1</v>
          </cell>
          <cell r="AF114">
            <v>3.4</v>
          </cell>
          <cell r="AG114">
            <v>28467</v>
          </cell>
          <cell r="AH114">
            <v>2669</v>
          </cell>
          <cell r="AI114">
            <v>31137</v>
          </cell>
          <cell r="AJ114">
            <v>10053</v>
          </cell>
          <cell r="AK114">
            <v>1855</v>
          </cell>
          <cell r="AL114">
            <v>11907</v>
          </cell>
          <cell r="AM114">
            <v>467</v>
          </cell>
          <cell r="AN114">
            <v>12374</v>
          </cell>
          <cell r="AO114">
            <v>1598</v>
          </cell>
          <cell r="AP114">
            <v>3596</v>
          </cell>
          <cell r="AQ114">
            <v>17568</v>
          </cell>
          <cell r="AR114">
            <v>6235</v>
          </cell>
          <cell r="AS114">
            <v>54939</v>
          </cell>
          <cell r="AT114">
            <v>7118</v>
          </cell>
          <cell r="AU114">
            <v>-230</v>
          </cell>
          <cell r="AV114">
            <v>61827</v>
          </cell>
          <cell r="AW114">
            <v>2.6</v>
          </cell>
          <cell r="AX114">
            <v>3.5</v>
          </cell>
          <cell r="AY114">
            <v>2.7</v>
          </cell>
          <cell r="AZ114">
            <v>5.6</v>
          </cell>
          <cell r="BA114">
            <v>-4.0999999999999996</v>
          </cell>
          <cell r="BB114">
            <v>4</v>
          </cell>
          <cell r="BC114">
            <v>-8.6</v>
          </cell>
          <cell r="BD114">
            <v>3.4</v>
          </cell>
          <cell r="BE114">
            <v>3.5</v>
          </cell>
          <cell r="BF114">
            <v>6</v>
          </cell>
          <cell r="BG114">
            <v>3.9</v>
          </cell>
          <cell r="BH114">
            <v>0.1</v>
          </cell>
          <cell r="BI114">
            <v>2.8</v>
          </cell>
          <cell r="BJ114">
            <v>10.9</v>
          </cell>
          <cell r="BK114">
            <v>3.9</v>
          </cell>
          <cell r="BL114">
            <v>28903</v>
          </cell>
          <cell r="BM114">
            <v>2692</v>
          </cell>
          <cell r="BN114">
            <v>31594</v>
          </cell>
          <cell r="BO114">
            <v>9842</v>
          </cell>
          <cell r="BP114">
            <v>1508</v>
          </cell>
          <cell r="BQ114">
            <v>11350</v>
          </cell>
          <cell r="BR114">
            <v>467</v>
          </cell>
          <cell r="BS114">
            <v>11817</v>
          </cell>
          <cell r="BT114">
            <v>1598</v>
          </cell>
          <cell r="BU114">
            <v>3332</v>
          </cell>
          <cell r="BV114">
            <v>16747</v>
          </cell>
          <cell r="BW114">
            <v>5179</v>
          </cell>
          <cell r="BX114">
            <v>53520</v>
          </cell>
          <cell r="BY114">
            <v>6984</v>
          </cell>
          <cell r="BZ114">
            <v>233</v>
          </cell>
          <cell r="CA114">
            <v>60737</v>
          </cell>
          <cell r="CB114">
            <v>1</v>
          </cell>
          <cell r="CC114">
            <v>0</v>
          </cell>
          <cell r="CD114">
            <v>0</v>
          </cell>
          <cell r="CE114">
            <v>0</v>
          </cell>
          <cell r="CF114">
            <v>0</v>
          </cell>
          <cell r="CG114">
            <v>0</v>
          </cell>
          <cell r="CH114">
            <v>0</v>
          </cell>
          <cell r="CI114">
            <v>0</v>
          </cell>
          <cell r="CJ114">
            <v>1</v>
          </cell>
          <cell r="CK114">
            <v>0</v>
          </cell>
          <cell r="CL114">
            <v>38</v>
          </cell>
          <cell r="CM114">
            <v>38</v>
          </cell>
        </row>
        <row r="115">
          <cell r="A115">
            <v>31291</v>
          </cell>
          <cell r="B115">
            <v>29170</v>
          </cell>
          <cell r="C115">
            <v>2753</v>
          </cell>
          <cell r="D115">
            <v>31923</v>
          </cell>
          <cell r="E115">
            <v>10438</v>
          </cell>
          <cell r="F115">
            <v>1910</v>
          </cell>
          <cell r="G115">
            <v>12349</v>
          </cell>
          <cell r="H115">
            <v>362</v>
          </cell>
          <cell r="I115">
            <v>12710</v>
          </cell>
          <cell r="J115">
            <v>1661</v>
          </cell>
          <cell r="K115">
            <v>3695</v>
          </cell>
          <cell r="L115">
            <v>18066</v>
          </cell>
          <cell r="M115">
            <v>6490</v>
          </cell>
          <cell r="N115">
            <v>56479</v>
          </cell>
          <cell r="O115">
            <v>7141</v>
          </cell>
          <cell r="P115">
            <v>-360</v>
          </cell>
          <cell r="Q115">
            <v>63260</v>
          </cell>
          <cell r="R115">
            <v>2.7</v>
          </cell>
          <cell r="S115">
            <v>3.5</v>
          </cell>
          <cell r="T115">
            <v>2.8</v>
          </cell>
          <cell r="U115">
            <v>2.8</v>
          </cell>
          <cell r="V115">
            <v>0.4</v>
          </cell>
          <cell r="W115">
            <v>2.5</v>
          </cell>
          <cell r="X115">
            <v>-17.2</v>
          </cell>
          <cell r="Y115">
            <v>1.8</v>
          </cell>
          <cell r="Z115">
            <v>3.8</v>
          </cell>
          <cell r="AA115">
            <v>3.7</v>
          </cell>
          <cell r="AB115">
            <v>2.2999999999999998</v>
          </cell>
          <cell r="AC115">
            <v>3.1</v>
          </cell>
          <cell r="AD115">
            <v>2.7</v>
          </cell>
          <cell r="AE115">
            <v>3.2</v>
          </cell>
          <cell r="AF115">
            <v>2.8</v>
          </cell>
          <cell r="AG115">
            <v>29085</v>
          </cell>
          <cell r="AH115">
            <v>2745</v>
          </cell>
          <cell r="AI115">
            <v>31830</v>
          </cell>
          <cell r="AJ115">
            <v>10988</v>
          </cell>
          <cell r="AK115">
            <v>1959</v>
          </cell>
          <cell r="AL115">
            <v>12947</v>
          </cell>
          <cell r="AM115">
            <v>357</v>
          </cell>
          <cell r="AN115">
            <v>13304</v>
          </cell>
          <cell r="AO115">
            <v>1666</v>
          </cell>
          <cell r="AP115">
            <v>3711</v>
          </cell>
          <cell r="AQ115">
            <v>18681</v>
          </cell>
          <cell r="AR115">
            <v>6409</v>
          </cell>
          <cell r="AS115">
            <v>56920</v>
          </cell>
          <cell r="AT115">
            <v>7109</v>
          </cell>
          <cell r="AU115">
            <v>-787</v>
          </cell>
          <cell r="AV115">
            <v>63242</v>
          </cell>
          <cell r="AW115">
            <v>2.2000000000000002</v>
          </cell>
          <cell r="AX115">
            <v>2.8</v>
          </cell>
          <cell r="AY115">
            <v>2.2000000000000002</v>
          </cell>
          <cell r="AZ115">
            <v>9.3000000000000007</v>
          </cell>
          <cell r="BA115">
            <v>5.6</v>
          </cell>
          <cell r="BB115">
            <v>8.6999999999999993</v>
          </cell>
          <cell r="BC115">
            <v>-23.6</v>
          </cell>
          <cell r="BD115">
            <v>7.5</v>
          </cell>
          <cell r="BE115">
            <v>4.3</v>
          </cell>
          <cell r="BF115">
            <v>3.2</v>
          </cell>
          <cell r="BG115">
            <v>6.3</v>
          </cell>
          <cell r="BH115">
            <v>2.8</v>
          </cell>
          <cell r="BI115">
            <v>3.6</v>
          </cell>
          <cell r="BJ115">
            <v>-0.1</v>
          </cell>
          <cell r="BK115">
            <v>2.2999999999999998</v>
          </cell>
          <cell r="BL115">
            <v>28471</v>
          </cell>
          <cell r="BM115">
            <v>2709</v>
          </cell>
          <cell r="BN115">
            <v>31180</v>
          </cell>
          <cell r="BO115">
            <v>11048</v>
          </cell>
          <cell r="BP115">
            <v>2395</v>
          </cell>
          <cell r="BQ115">
            <v>13443</v>
          </cell>
          <cell r="BR115">
            <v>357</v>
          </cell>
          <cell r="BS115">
            <v>13800</v>
          </cell>
          <cell r="BT115">
            <v>1666</v>
          </cell>
          <cell r="BU115">
            <v>3853</v>
          </cell>
          <cell r="BV115">
            <v>19319</v>
          </cell>
          <cell r="BW115">
            <v>5880</v>
          </cell>
          <cell r="BX115">
            <v>56379</v>
          </cell>
          <cell r="BY115">
            <v>7002</v>
          </cell>
          <cell r="BZ115">
            <v>-707</v>
          </cell>
          <cell r="CA115">
            <v>62674</v>
          </cell>
          <cell r="CB115">
            <v>0</v>
          </cell>
          <cell r="CC115">
            <v>0</v>
          </cell>
          <cell r="CD115">
            <v>0</v>
          </cell>
          <cell r="CE115">
            <v>0</v>
          </cell>
          <cell r="CF115">
            <v>0</v>
          </cell>
          <cell r="CG115">
            <v>0</v>
          </cell>
          <cell r="CH115">
            <v>0</v>
          </cell>
          <cell r="CI115">
            <v>0</v>
          </cell>
          <cell r="CJ115">
            <v>0</v>
          </cell>
          <cell r="CK115">
            <v>0</v>
          </cell>
          <cell r="CL115">
            <v>-17</v>
          </cell>
          <cell r="CM115">
            <v>-17</v>
          </cell>
        </row>
        <row r="116">
          <cell r="A116">
            <v>31382</v>
          </cell>
          <cell r="B116">
            <v>30045</v>
          </cell>
          <cell r="C116">
            <v>2853</v>
          </cell>
          <cell r="D116">
            <v>32898</v>
          </cell>
          <cell r="E116">
            <v>10413</v>
          </cell>
          <cell r="F116">
            <v>2039</v>
          </cell>
          <cell r="G116">
            <v>12452</v>
          </cell>
          <cell r="H116">
            <v>328</v>
          </cell>
          <cell r="I116">
            <v>12780</v>
          </cell>
          <cell r="J116">
            <v>1719</v>
          </cell>
          <cell r="K116">
            <v>3851</v>
          </cell>
          <cell r="L116">
            <v>18350</v>
          </cell>
          <cell r="M116">
            <v>6689</v>
          </cell>
          <cell r="N116">
            <v>57938</v>
          </cell>
          <cell r="O116">
            <v>7111</v>
          </cell>
          <cell r="P116">
            <v>-489</v>
          </cell>
          <cell r="Q116">
            <v>64560</v>
          </cell>
          <cell r="R116">
            <v>3</v>
          </cell>
          <cell r="S116">
            <v>3.7</v>
          </cell>
          <cell r="T116">
            <v>3.1</v>
          </cell>
          <cell r="U116">
            <v>-0.2</v>
          </cell>
          <cell r="V116">
            <v>6.7</v>
          </cell>
          <cell r="W116">
            <v>0.8</v>
          </cell>
          <cell r="X116">
            <v>-9.1999999999999993</v>
          </cell>
          <cell r="Y116">
            <v>0.5</v>
          </cell>
          <cell r="Z116">
            <v>3.5</v>
          </cell>
          <cell r="AA116">
            <v>4.2</v>
          </cell>
          <cell r="AB116">
            <v>1.6</v>
          </cell>
          <cell r="AC116">
            <v>3.1</v>
          </cell>
          <cell r="AD116">
            <v>2.6</v>
          </cell>
          <cell r="AE116">
            <v>-0.4</v>
          </cell>
          <cell r="AF116">
            <v>2.1</v>
          </cell>
          <cell r="AG116">
            <v>30010</v>
          </cell>
          <cell r="AH116">
            <v>2847</v>
          </cell>
          <cell r="AI116">
            <v>32856</v>
          </cell>
          <cell r="AJ116">
            <v>9911</v>
          </cell>
          <cell r="AK116">
            <v>1931</v>
          </cell>
          <cell r="AL116">
            <v>11843</v>
          </cell>
          <cell r="AM116">
            <v>313</v>
          </cell>
          <cell r="AN116">
            <v>12156</v>
          </cell>
          <cell r="AO116">
            <v>1719</v>
          </cell>
          <cell r="AP116">
            <v>3811</v>
          </cell>
          <cell r="AQ116">
            <v>17686</v>
          </cell>
          <cell r="AR116">
            <v>6821</v>
          </cell>
          <cell r="AS116">
            <v>57363</v>
          </cell>
          <cell r="AT116">
            <v>7104</v>
          </cell>
          <cell r="AU116">
            <v>45</v>
          </cell>
          <cell r="AV116">
            <v>64512</v>
          </cell>
          <cell r="AW116">
            <v>3.2</v>
          </cell>
          <cell r="AX116">
            <v>3.7</v>
          </cell>
          <cell r="AY116">
            <v>3.2</v>
          </cell>
          <cell r="AZ116">
            <v>-9.8000000000000007</v>
          </cell>
          <cell r="BA116">
            <v>-1.4</v>
          </cell>
          <cell r="BB116">
            <v>-8.5</v>
          </cell>
          <cell r="BC116">
            <v>-12.3</v>
          </cell>
          <cell r="BD116">
            <v>-8.6</v>
          </cell>
          <cell r="BE116">
            <v>3.2</v>
          </cell>
          <cell r="BF116">
            <v>2.7</v>
          </cell>
          <cell r="BG116">
            <v>-5.3</v>
          </cell>
          <cell r="BH116">
            <v>6.4</v>
          </cell>
          <cell r="BI116">
            <v>0.8</v>
          </cell>
          <cell r="BJ116">
            <v>-0.1</v>
          </cell>
          <cell r="BK116">
            <v>2</v>
          </cell>
          <cell r="BL116">
            <v>31163</v>
          </cell>
          <cell r="BM116">
            <v>2940</v>
          </cell>
          <cell r="BN116">
            <v>34103</v>
          </cell>
          <cell r="BO116">
            <v>11039</v>
          </cell>
          <cell r="BP116">
            <v>2042</v>
          </cell>
          <cell r="BQ116">
            <v>13080</v>
          </cell>
          <cell r="BR116">
            <v>313</v>
          </cell>
          <cell r="BS116">
            <v>13393</v>
          </cell>
          <cell r="BT116">
            <v>1719</v>
          </cell>
          <cell r="BU116">
            <v>4032</v>
          </cell>
          <cell r="BV116">
            <v>19145</v>
          </cell>
          <cell r="BW116">
            <v>9213</v>
          </cell>
          <cell r="BX116">
            <v>62460</v>
          </cell>
          <cell r="BY116">
            <v>7282</v>
          </cell>
          <cell r="BZ116">
            <v>-154</v>
          </cell>
          <cell r="CA116">
            <v>69587</v>
          </cell>
          <cell r="CB116">
            <v>0</v>
          </cell>
          <cell r="CC116">
            <v>0</v>
          </cell>
          <cell r="CD116">
            <v>1</v>
          </cell>
          <cell r="CE116">
            <v>0</v>
          </cell>
          <cell r="CF116">
            <v>0</v>
          </cell>
          <cell r="CG116">
            <v>0</v>
          </cell>
          <cell r="CH116">
            <v>0</v>
          </cell>
          <cell r="CI116">
            <v>0</v>
          </cell>
          <cell r="CJ116">
            <v>0</v>
          </cell>
          <cell r="CK116">
            <v>0</v>
          </cell>
          <cell r="CL116">
            <v>6</v>
          </cell>
          <cell r="CM116">
            <v>6</v>
          </cell>
        </row>
        <row r="117">
          <cell r="A117">
            <v>31472</v>
          </cell>
          <cell r="B117">
            <v>30859</v>
          </cell>
          <cell r="C117">
            <v>2955</v>
          </cell>
          <cell r="D117">
            <v>33814</v>
          </cell>
          <cell r="E117">
            <v>10216</v>
          </cell>
          <cell r="F117">
            <v>2187</v>
          </cell>
          <cell r="G117">
            <v>12402</v>
          </cell>
          <cell r="H117">
            <v>389</v>
          </cell>
          <cell r="I117">
            <v>12791</v>
          </cell>
          <cell r="J117">
            <v>1773</v>
          </cell>
          <cell r="K117">
            <v>4036</v>
          </cell>
          <cell r="L117">
            <v>18600</v>
          </cell>
          <cell r="M117">
            <v>6797</v>
          </cell>
          <cell r="N117">
            <v>59211</v>
          </cell>
          <cell r="O117">
            <v>7009</v>
          </cell>
          <cell r="P117">
            <v>-546</v>
          </cell>
          <cell r="Q117">
            <v>65673</v>
          </cell>
          <cell r="R117">
            <v>2.7</v>
          </cell>
          <cell r="S117">
            <v>3.6</v>
          </cell>
          <cell r="T117">
            <v>2.8</v>
          </cell>
          <cell r="U117">
            <v>-1.9</v>
          </cell>
          <cell r="V117">
            <v>7.2</v>
          </cell>
          <cell r="W117">
            <v>-0.4</v>
          </cell>
          <cell r="X117">
            <v>18.600000000000001</v>
          </cell>
          <cell r="Y117">
            <v>0.1</v>
          </cell>
          <cell r="Z117">
            <v>3.1</v>
          </cell>
          <cell r="AA117">
            <v>4.8</v>
          </cell>
          <cell r="AB117">
            <v>1.4</v>
          </cell>
          <cell r="AC117">
            <v>1.6</v>
          </cell>
          <cell r="AD117">
            <v>2.2000000000000002</v>
          </cell>
          <cell r="AE117">
            <v>-1.4</v>
          </cell>
          <cell r="AF117">
            <v>1.7</v>
          </cell>
          <cell r="AG117">
            <v>31061</v>
          </cell>
          <cell r="AH117">
            <v>2979</v>
          </cell>
          <cell r="AI117">
            <v>34041</v>
          </cell>
          <cell r="AJ117">
            <v>10438</v>
          </cell>
          <cell r="AK117">
            <v>2208</v>
          </cell>
          <cell r="AL117">
            <v>12645</v>
          </cell>
          <cell r="AM117">
            <v>375</v>
          </cell>
          <cell r="AN117">
            <v>13020</v>
          </cell>
          <cell r="AO117">
            <v>1772</v>
          </cell>
          <cell r="AP117">
            <v>4015</v>
          </cell>
          <cell r="AQ117">
            <v>18808</v>
          </cell>
          <cell r="AR117">
            <v>6763</v>
          </cell>
          <cell r="AS117">
            <v>59611</v>
          </cell>
          <cell r="AT117">
            <v>7061</v>
          </cell>
          <cell r="AU117">
            <v>-938</v>
          </cell>
          <cell r="AV117">
            <v>65734</v>
          </cell>
          <cell r="AW117">
            <v>3.5</v>
          </cell>
          <cell r="AX117">
            <v>4.7</v>
          </cell>
          <cell r="AY117">
            <v>3.6</v>
          </cell>
          <cell r="AZ117">
            <v>5.3</v>
          </cell>
          <cell r="BA117">
            <v>14.3</v>
          </cell>
          <cell r="BB117">
            <v>6.8</v>
          </cell>
          <cell r="BC117">
            <v>19.8</v>
          </cell>
          <cell r="BD117">
            <v>7.1</v>
          </cell>
          <cell r="BE117">
            <v>3.1</v>
          </cell>
          <cell r="BF117">
            <v>5.4</v>
          </cell>
          <cell r="BG117">
            <v>6.3</v>
          </cell>
          <cell r="BH117">
            <v>-0.8</v>
          </cell>
          <cell r="BI117">
            <v>3.9</v>
          </cell>
          <cell r="BJ117">
            <v>-0.6</v>
          </cell>
          <cell r="BK117">
            <v>1.9</v>
          </cell>
          <cell r="BL117">
            <v>29983</v>
          </cell>
          <cell r="BM117">
            <v>2884</v>
          </cell>
          <cell r="BN117">
            <v>32867</v>
          </cell>
          <cell r="BO117">
            <v>9443</v>
          </cell>
          <cell r="BP117">
            <v>2005</v>
          </cell>
          <cell r="BQ117">
            <v>11448</v>
          </cell>
          <cell r="BR117">
            <v>375</v>
          </cell>
          <cell r="BS117">
            <v>11823</v>
          </cell>
          <cell r="BT117">
            <v>1772</v>
          </cell>
          <cell r="BU117">
            <v>3897</v>
          </cell>
          <cell r="BV117">
            <v>17491</v>
          </cell>
          <cell r="BW117">
            <v>5938</v>
          </cell>
          <cell r="BX117">
            <v>56297</v>
          </cell>
          <cell r="BY117">
            <v>7122</v>
          </cell>
          <cell r="BZ117">
            <v>-1165</v>
          </cell>
          <cell r="CA117">
            <v>62253</v>
          </cell>
          <cell r="CB117">
            <v>1</v>
          </cell>
          <cell r="CC117">
            <v>0</v>
          </cell>
          <cell r="CD117">
            <v>0</v>
          </cell>
          <cell r="CE117">
            <v>0</v>
          </cell>
          <cell r="CF117">
            <v>0</v>
          </cell>
          <cell r="CG117">
            <v>0</v>
          </cell>
          <cell r="CH117">
            <v>0</v>
          </cell>
          <cell r="CI117">
            <v>0</v>
          </cell>
          <cell r="CJ117">
            <v>0</v>
          </cell>
          <cell r="CK117">
            <v>0</v>
          </cell>
          <cell r="CL117">
            <v>25</v>
          </cell>
          <cell r="CM117">
            <v>24</v>
          </cell>
        </row>
        <row r="118">
          <cell r="A118">
            <v>31564</v>
          </cell>
          <cell r="B118">
            <v>31534</v>
          </cell>
          <cell r="C118">
            <v>3053</v>
          </cell>
          <cell r="D118">
            <v>34587</v>
          </cell>
          <cell r="E118">
            <v>10203</v>
          </cell>
          <cell r="F118">
            <v>2245</v>
          </cell>
          <cell r="G118">
            <v>12447</v>
          </cell>
          <cell r="H118">
            <v>544</v>
          </cell>
          <cell r="I118">
            <v>12991</v>
          </cell>
          <cell r="J118">
            <v>1826</v>
          </cell>
          <cell r="K118">
            <v>4225</v>
          </cell>
          <cell r="L118">
            <v>19043</v>
          </cell>
          <cell r="M118">
            <v>6825</v>
          </cell>
          <cell r="N118">
            <v>60455</v>
          </cell>
          <cell r="O118">
            <v>7037</v>
          </cell>
          <cell r="P118">
            <v>-577</v>
          </cell>
          <cell r="Q118">
            <v>66915</v>
          </cell>
          <cell r="R118">
            <v>2.2000000000000002</v>
          </cell>
          <cell r="S118">
            <v>3.3</v>
          </cell>
          <cell r="T118">
            <v>2.2999999999999998</v>
          </cell>
          <cell r="U118">
            <v>-0.1</v>
          </cell>
          <cell r="V118">
            <v>2.7</v>
          </cell>
          <cell r="W118">
            <v>0.4</v>
          </cell>
          <cell r="X118">
            <v>39.6</v>
          </cell>
          <cell r="Y118">
            <v>1.6</v>
          </cell>
          <cell r="Z118">
            <v>3</v>
          </cell>
          <cell r="AA118">
            <v>4.7</v>
          </cell>
          <cell r="AB118">
            <v>2.4</v>
          </cell>
          <cell r="AC118">
            <v>0.4</v>
          </cell>
          <cell r="AD118">
            <v>2.1</v>
          </cell>
          <cell r="AE118">
            <v>0.4</v>
          </cell>
          <cell r="AF118">
            <v>1.9</v>
          </cell>
          <cell r="AG118">
            <v>31377</v>
          </cell>
          <cell r="AH118">
            <v>3025</v>
          </cell>
          <cell r="AI118">
            <v>34403</v>
          </cell>
          <cell r="AJ118">
            <v>10209</v>
          </cell>
          <cell r="AK118">
            <v>2442</v>
          </cell>
          <cell r="AL118">
            <v>12651</v>
          </cell>
          <cell r="AM118">
            <v>541</v>
          </cell>
          <cell r="AN118">
            <v>13192</v>
          </cell>
          <cell r="AO118">
            <v>1824</v>
          </cell>
          <cell r="AP118">
            <v>4294</v>
          </cell>
          <cell r="AQ118">
            <v>19310</v>
          </cell>
          <cell r="AR118">
            <v>6861</v>
          </cell>
          <cell r="AS118">
            <v>60573</v>
          </cell>
          <cell r="AT118">
            <v>6885</v>
          </cell>
          <cell r="AU118">
            <v>-534</v>
          </cell>
          <cell r="AV118">
            <v>66924</v>
          </cell>
          <cell r="AW118">
            <v>1</v>
          </cell>
          <cell r="AX118">
            <v>1.5</v>
          </cell>
          <cell r="AY118">
            <v>1.1000000000000001</v>
          </cell>
          <cell r="AZ118">
            <v>-2.2000000000000002</v>
          </cell>
          <cell r="BA118">
            <v>10.6</v>
          </cell>
          <cell r="BB118">
            <v>0</v>
          </cell>
          <cell r="BC118">
            <v>44.3</v>
          </cell>
          <cell r="BD118">
            <v>1.3</v>
          </cell>
          <cell r="BE118">
            <v>2.9</v>
          </cell>
          <cell r="BF118">
            <v>6.9</v>
          </cell>
          <cell r="BG118">
            <v>2.7</v>
          </cell>
          <cell r="BH118">
            <v>1.4</v>
          </cell>
          <cell r="BI118">
            <v>1.6</v>
          </cell>
          <cell r="BJ118">
            <v>-2.5</v>
          </cell>
          <cell r="BK118">
            <v>1.8</v>
          </cell>
          <cell r="BL118">
            <v>31857</v>
          </cell>
          <cell r="BM118">
            <v>3053</v>
          </cell>
          <cell r="BN118">
            <v>34910</v>
          </cell>
          <cell r="BO118">
            <v>9938</v>
          </cell>
          <cell r="BP118">
            <v>2028</v>
          </cell>
          <cell r="BQ118">
            <v>11967</v>
          </cell>
          <cell r="BR118">
            <v>541</v>
          </cell>
          <cell r="BS118">
            <v>12508</v>
          </cell>
          <cell r="BT118">
            <v>1824</v>
          </cell>
          <cell r="BU118">
            <v>3980</v>
          </cell>
          <cell r="BV118">
            <v>18312</v>
          </cell>
          <cell r="BW118">
            <v>5805</v>
          </cell>
          <cell r="BX118">
            <v>59027</v>
          </cell>
          <cell r="BY118">
            <v>6700</v>
          </cell>
          <cell r="BZ118">
            <v>43</v>
          </cell>
          <cell r="CA118">
            <v>65771</v>
          </cell>
          <cell r="CB118">
            <v>0</v>
          </cell>
          <cell r="CC118">
            <v>0</v>
          </cell>
          <cell r="CD118">
            <v>0</v>
          </cell>
          <cell r="CE118">
            <v>0</v>
          </cell>
          <cell r="CF118">
            <v>0</v>
          </cell>
          <cell r="CG118">
            <v>0</v>
          </cell>
          <cell r="CH118">
            <v>0</v>
          </cell>
          <cell r="CI118">
            <v>0</v>
          </cell>
          <cell r="CJ118">
            <v>0</v>
          </cell>
          <cell r="CK118">
            <v>0</v>
          </cell>
          <cell r="CL118">
            <v>37</v>
          </cell>
          <cell r="CM118">
            <v>37</v>
          </cell>
        </row>
        <row r="119">
          <cell r="A119">
            <v>31656</v>
          </cell>
          <cell r="B119">
            <v>32044</v>
          </cell>
          <cell r="C119">
            <v>3136</v>
          </cell>
          <cell r="D119">
            <v>35180</v>
          </cell>
          <cell r="E119">
            <v>10491</v>
          </cell>
          <cell r="F119">
            <v>2248</v>
          </cell>
          <cell r="G119">
            <v>12738</v>
          </cell>
          <cell r="H119">
            <v>738</v>
          </cell>
          <cell r="I119">
            <v>13476</v>
          </cell>
          <cell r="J119">
            <v>1882</v>
          </cell>
          <cell r="K119">
            <v>4372</v>
          </cell>
          <cell r="L119">
            <v>19730</v>
          </cell>
          <cell r="M119">
            <v>6870</v>
          </cell>
          <cell r="N119">
            <v>61780</v>
          </cell>
          <cell r="O119">
            <v>7202</v>
          </cell>
          <cell r="P119">
            <v>-587</v>
          </cell>
          <cell r="Q119">
            <v>68396</v>
          </cell>
          <cell r="R119">
            <v>1.6</v>
          </cell>
          <cell r="S119">
            <v>2.7</v>
          </cell>
          <cell r="T119">
            <v>1.7</v>
          </cell>
          <cell r="U119">
            <v>2.8</v>
          </cell>
          <cell r="V119">
            <v>0.1</v>
          </cell>
          <cell r="W119">
            <v>2.2999999999999998</v>
          </cell>
          <cell r="X119">
            <v>35.799999999999997</v>
          </cell>
          <cell r="Y119">
            <v>3.7</v>
          </cell>
          <cell r="Z119">
            <v>3</v>
          </cell>
          <cell r="AA119">
            <v>3.5</v>
          </cell>
          <cell r="AB119">
            <v>3.6</v>
          </cell>
          <cell r="AC119">
            <v>0.7</v>
          </cell>
          <cell r="AD119">
            <v>2.2000000000000002</v>
          </cell>
          <cell r="AE119">
            <v>2.4</v>
          </cell>
          <cell r="AF119">
            <v>2.2000000000000002</v>
          </cell>
          <cell r="AG119">
            <v>32143</v>
          </cell>
          <cell r="AH119">
            <v>3157</v>
          </cell>
          <cell r="AI119">
            <v>35299</v>
          </cell>
          <cell r="AJ119">
            <v>10219</v>
          </cell>
          <cell r="AK119">
            <v>2052</v>
          </cell>
          <cell r="AL119">
            <v>12270</v>
          </cell>
          <cell r="AM119">
            <v>767</v>
          </cell>
          <cell r="AN119">
            <v>13037</v>
          </cell>
          <cell r="AO119">
            <v>1883</v>
          </cell>
          <cell r="AP119">
            <v>4339</v>
          </cell>
          <cell r="AQ119">
            <v>19259</v>
          </cell>
          <cell r="AR119">
            <v>6761</v>
          </cell>
          <cell r="AS119">
            <v>61320</v>
          </cell>
          <cell r="AT119">
            <v>7277</v>
          </cell>
          <cell r="AU119">
            <v>-414</v>
          </cell>
          <cell r="AV119">
            <v>68183</v>
          </cell>
          <cell r="AW119">
            <v>2.4</v>
          </cell>
          <cell r="AX119">
            <v>4.3</v>
          </cell>
          <cell r="AY119">
            <v>2.6</v>
          </cell>
          <cell r="AZ119">
            <v>0.1</v>
          </cell>
          <cell r="BA119">
            <v>-16</v>
          </cell>
          <cell r="BB119">
            <v>-3</v>
          </cell>
          <cell r="BC119">
            <v>41.8</v>
          </cell>
          <cell r="BD119">
            <v>-1.2</v>
          </cell>
          <cell r="BE119">
            <v>3.2</v>
          </cell>
          <cell r="BF119">
            <v>1.1000000000000001</v>
          </cell>
          <cell r="BG119">
            <v>-0.3</v>
          </cell>
          <cell r="BH119">
            <v>-1.4</v>
          </cell>
          <cell r="BI119">
            <v>1.2</v>
          </cell>
          <cell r="BJ119">
            <v>5.7</v>
          </cell>
          <cell r="BK119">
            <v>1.9</v>
          </cell>
          <cell r="BL119">
            <v>31464</v>
          </cell>
          <cell r="BM119">
            <v>3110</v>
          </cell>
          <cell r="BN119">
            <v>34574</v>
          </cell>
          <cell r="BO119">
            <v>10299</v>
          </cell>
          <cell r="BP119">
            <v>2522</v>
          </cell>
          <cell r="BQ119">
            <v>12821</v>
          </cell>
          <cell r="BR119">
            <v>767</v>
          </cell>
          <cell r="BS119">
            <v>13588</v>
          </cell>
          <cell r="BT119">
            <v>1883</v>
          </cell>
          <cell r="BU119">
            <v>4326</v>
          </cell>
          <cell r="BV119">
            <v>19797</v>
          </cell>
          <cell r="BW119">
            <v>6342</v>
          </cell>
          <cell r="BX119">
            <v>60712</v>
          </cell>
          <cell r="BY119">
            <v>7231</v>
          </cell>
          <cell r="BZ119">
            <v>-113</v>
          </cell>
          <cell r="CA119">
            <v>67831</v>
          </cell>
          <cell r="CB119">
            <v>0</v>
          </cell>
          <cell r="CC119">
            <v>0</v>
          </cell>
          <cell r="CD119">
            <v>0</v>
          </cell>
          <cell r="CE119">
            <v>0</v>
          </cell>
          <cell r="CF119">
            <v>-1</v>
          </cell>
          <cell r="CG119">
            <v>0</v>
          </cell>
          <cell r="CH119">
            <v>0</v>
          </cell>
          <cell r="CI119">
            <v>0</v>
          </cell>
          <cell r="CJ119">
            <v>1</v>
          </cell>
          <cell r="CK119">
            <v>0</v>
          </cell>
          <cell r="CL119">
            <v>40</v>
          </cell>
          <cell r="CM119">
            <v>41</v>
          </cell>
        </row>
        <row r="120">
          <cell r="A120">
            <v>31747</v>
          </cell>
          <cell r="B120">
            <v>32518</v>
          </cell>
          <cell r="C120">
            <v>3211</v>
          </cell>
          <cell r="D120">
            <v>35729</v>
          </cell>
          <cell r="E120">
            <v>10926</v>
          </cell>
          <cell r="F120">
            <v>2279</v>
          </cell>
          <cell r="G120">
            <v>13205</v>
          </cell>
          <cell r="H120">
            <v>937</v>
          </cell>
          <cell r="I120">
            <v>14142</v>
          </cell>
          <cell r="J120">
            <v>1934</v>
          </cell>
          <cell r="K120">
            <v>4468</v>
          </cell>
          <cell r="L120">
            <v>20544</v>
          </cell>
          <cell r="M120">
            <v>7037</v>
          </cell>
          <cell r="N120">
            <v>63310</v>
          </cell>
          <cell r="O120">
            <v>7471</v>
          </cell>
          <cell r="P120">
            <v>-539</v>
          </cell>
          <cell r="Q120">
            <v>70243</v>
          </cell>
          <cell r="R120">
            <v>1.5</v>
          </cell>
          <cell r="S120">
            <v>2.4</v>
          </cell>
          <cell r="T120">
            <v>1.6</v>
          </cell>
          <cell r="U120">
            <v>4.0999999999999996</v>
          </cell>
          <cell r="V120">
            <v>1.4</v>
          </cell>
          <cell r="W120">
            <v>3.7</v>
          </cell>
          <cell r="X120">
            <v>27</v>
          </cell>
          <cell r="Y120">
            <v>4.9000000000000004</v>
          </cell>
          <cell r="Z120">
            <v>2.8</v>
          </cell>
          <cell r="AA120">
            <v>2.2000000000000002</v>
          </cell>
          <cell r="AB120">
            <v>4.0999999999999996</v>
          </cell>
          <cell r="AC120">
            <v>2.4</v>
          </cell>
          <cell r="AD120">
            <v>2.5</v>
          </cell>
          <cell r="AE120">
            <v>3.7</v>
          </cell>
          <cell r="AF120">
            <v>2.7</v>
          </cell>
          <cell r="AG120">
            <v>32535</v>
          </cell>
          <cell r="AH120">
            <v>3211</v>
          </cell>
          <cell r="AI120">
            <v>35746</v>
          </cell>
          <cell r="AJ120">
            <v>11156</v>
          </cell>
          <cell r="AK120">
            <v>2309</v>
          </cell>
          <cell r="AL120">
            <v>13465</v>
          </cell>
          <cell r="AM120">
            <v>933</v>
          </cell>
          <cell r="AN120">
            <v>14398</v>
          </cell>
          <cell r="AO120">
            <v>1935</v>
          </cell>
          <cell r="AP120">
            <v>4476</v>
          </cell>
          <cell r="AQ120">
            <v>20808</v>
          </cell>
          <cell r="AR120">
            <v>7130</v>
          </cell>
          <cell r="AS120">
            <v>63684</v>
          </cell>
          <cell r="AT120">
            <v>7496</v>
          </cell>
          <cell r="AU120">
            <v>-711</v>
          </cell>
          <cell r="AV120">
            <v>70469</v>
          </cell>
          <cell r="AW120">
            <v>1.2</v>
          </cell>
          <cell r="AX120">
            <v>1.7</v>
          </cell>
          <cell r="AY120">
            <v>1.3</v>
          </cell>
          <cell r="AZ120">
            <v>9.1999999999999993</v>
          </cell>
          <cell r="BA120">
            <v>12.5</v>
          </cell>
          <cell r="BB120">
            <v>9.6999999999999993</v>
          </cell>
          <cell r="BC120">
            <v>21.6</v>
          </cell>
          <cell r="BD120">
            <v>10.4</v>
          </cell>
          <cell r="BE120">
            <v>2.8</v>
          </cell>
          <cell r="BF120">
            <v>3.2</v>
          </cell>
          <cell r="BG120">
            <v>8</v>
          </cell>
          <cell r="BH120">
            <v>5.4</v>
          </cell>
          <cell r="BI120">
            <v>3.9</v>
          </cell>
          <cell r="BJ120">
            <v>3</v>
          </cell>
          <cell r="BK120">
            <v>3.4</v>
          </cell>
          <cell r="BL120">
            <v>33773</v>
          </cell>
          <cell r="BM120">
            <v>3320</v>
          </cell>
          <cell r="BN120">
            <v>37094</v>
          </cell>
          <cell r="BO120">
            <v>12432</v>
          </cell>
          <cell r="BP120">
            <v>2393</v>
          </cell>
          <cell r="BQ120">
            <v>14825</v>
          </cell>
          <cell r="BR120">
            <v>933</v>
          </cell>
          <cell r="BS120">
            <v>15758</v>
          </cell>
          <cell r="BT120">
            <v>1935</v>
          </cell>
          <cell r="BU120">
            <v>4428</v>
          </cell>
          <cell r="BV120">
            <v>22120</v>
          </cell>
          <cell r="BW120">
            <v>9205</v>
          </cell>
          <cell r="BX120">
            <v>68419</v>
          </cell>
          <cell r="BY120">
            <v>7566</v>
          </cell>
          <cell r="BZ120">
            <v>-525</v>
          </cell>
          <cell r="CA120">
            <v>75460</v>
          </cell>
          <cell r="CB120">
            <v>0</v>
          </cell>
          <cell r="CC120">
            <v>0</v>
          </cell>
          <cell r="CD120">
            <v>0</v>
          </cell>
          <cell r="CE120">
            <v>0</v>
          </cell>
          <cell r="CF120">
            <v>0</v>
          </cell>
          <cell r="CG120">
            <v>0</v>
          </cell>
          <cell r="CH120">
            <v>0</v>
          </cell>
          <cell r="CI120">
            <v>0</v>
          </cell>
          <cell r="CJ120">
            <v>0</v>
          </cell>
          <cell r="CK120">
            <v>0</v>
          </cell>
          <cell r="CL120">
            <v>46</v>
          </cell>
          <cell r="CM120">
            <v>47</v>
          </cell>
        </row>
        <row r="121">
          <cell r="A121">
            <v>31837</v>
          </cell>
          <cell r="B121">
            <v>33155</v>
          </cell>
          <cell r="C121">
            <v>3287</v>
          </cell>
          <cell r="D121">
            <v>36441</v>
          </cell>
          <cell r="E121">
            <v>11439</v>
          </cell>
          <cell r="F121">
            <v>2492</v>
          </cell>
          <cell r="G121">
            <v>13931</v>
          </cell>
          <cell r="H121">
            <v>1156</v>
          </cell>
          <cell r="I121">
            <v>15087</v>
          </cell>
          <cell r="J121">
            <v>1979</v>
          </cell>
          <cell r="K121">
            <v>4567</v>
          </cell>
          <cell r="L121">
            <v>21633</v>
          </cell>
          <cell r="M121">
            <v>7265</v>
          </cell>
          <cell r="N121">
            <v>65339</v>
          </cell>
          <cell r="O121">
            <v>7785</v>
          </cell>
          <cell r="P121">
            <v>-667</v>
          </cell>
          <cell r="Q121">
            <v>72457</v>
          </cell>
          <cell r="R121">
            <v>2</v>
          </cell>
          <cell r="S121">
            <v>2.4</v>
          </cell>
          <cell r="T121">
            <v>2</v>
          </cell>
          <cell r="U121">
            <v>4.7</v>
          </cell>
          <cell r="V121">
            <v>9.4</v>
          </cell>
          <cell r="W121">
            <v>5.5</v>
          </cell>
          <cell r="X121">
            <v>23.3</v>
          </cell>
          <cell r="Y121">
            <v>6.7</v>
          </cell>
          <cell r="Z121">
            <v>2.2999999999999998</v>
          </cell>
          <cell r="AA121">
            <v>2.2000000000000002</v>
          </cell>
          <cell r="AB121">
            <v>5.3</v>
          </cell>
          <cell r="AC121">
            <v>3.2</v>
          </cell>
          <cell r="AD121">
            <v>3.2</v>
          </cell>
          <cell r="AE121">
            <v>4.2</v>
          </cell>
          <cell r="AF121">
            <v>3.2</v>
          </cell>
          <cell r="AG121">
            <v>33043</v>
          </cell>
          <cell r="AH121">
            <v>3273</v>
          </cell>
          <cell r="AI121">
            <v>36316</v>
          </cell>
          <cell r="AJ121">
            <v>11378</v>
          </cell>
          <cell r="AK121">
            <v>2515</v>
          </cell>
          <cell r="AL121">
            <v>13894</v>
          </cell>
          <cell r="AM121">
            <v>1145</v>
          </cell>
          <cell r="AN121">
            <v>15039</v>
          </cell>
          <cell r="AO121">
            <v>1980</v>
          </cell>
          <cell r="AP121">
            <v>4577</v>
          </cell>
          <cell r="AQ121">
            <v>21596</v>
          </cell>
          <cell r="AR121">
            <v>7157</v>
          </cell>
          <cell r="AS121">
            <v>65068</v>
          </cell>
          <cell r="AT121">
            <v>7748</v>
          </cell>
          <cell r="AU121">
            <v>-580</v>
          </cell>
          <cell r="AV121">
            <v>72236</v>
          </cell>
          <cell r="AW121">
            <v>1.6</v>
          </cell>
          <cell r="AX121">
            <v>1.9</v>
          </cell>
          <cell r="AY121">
            <v>1.6</v>
          </cell>
          <cell r="AZ121">
            <v>2</v>
          </cell>
          <cell r="BA121">
            <v>9</v>
          </cell>
          <cell r="BB121">
            <v>3.2</v>
          </cell>
          <cell r="BC121">
            <v>22.7</v>
          </cell>
          <cell r="BD121">
            <v>4.4000000000000004</v>
          </cell>
          <cell r="BE121">
            <v>2.2999999999999998</v>
          </cell>
          <cell r="BF121">
            <v>2.2999999999999998</v>
          </cell>
          <cell r="BG121">
            <v>3.8</v>
          </cell>
          <cell r="BH121">
            <v>0.4</v>
          </cell>
          <cell r="BI121">
            <v>2.2000000000000002</v>
          </cell>
          <cell r="BJ121">
            <v>3.4</v>
          </cell>
          <cell r="BK121">
            <v>2.5</v>
          </cell>
          <cell r="BL121">
            <v>31923</v>
          </cell>
          <cell r="BM121">
            <v>3169</v>
          </cell>
          <cell r="BN121">
            <v>35092</v>
          </cell>
          <cell r="BO121">
            <v>10311</v>
          </cell>
          <cell r="BP121">
            <v>2279</v>
          </cell>
          <cell r="BQ121">
            <v>12590</v>
          </cell>
          <cell r="BR121">
            <v>1145</v>
          </cell>
          <cell r="BS121">
            <v>13735</v>
          </cell>
          <cell r="BT121">
            <v>1980</v>
          </cell>
          <cell r="BU121">
            <v>4584</v>
          </cell>
          <cell r="BV121">
            <v>20298</v>
          </cell>
          <cell r="BW121">
            <v>6626</v>
          </cell>
          <cell r="BX121">
            <v>62017</v>
          </cell>
          <cell r="BY121">
            <v>7844</v>
          </cell>
          <cell r="BZ121">
            <v>-1215</v>
          </cell>
          <cell r="CA121">
            <v>68646</v>
          </cell>
          <cell r="CB121">
            <v>0</v>
          </cell>
          <cell r="CC121">
            <v>0</v>
          </cell>
          <cell r="CD121">
            <v>0</v>
          </cell>
          <cell r="CE121">
            <v>0</v>
          </cell>
          <cell r="CF121">
            <v>-1</v>
          </cell>
          <cell r="CG121">
            <v>1</v>
          </cell>
          <cell r="CH121">
            <v>0</v>
          </cell>
          <cell r="CI121">
            <v>0</v>
          </cell>
          <cell r="CJ121">
            <v>0</v>
          </cell>
          <cell r="CK121">
            <v>0</v>
          </cell>
          <cell r="CL121">
            <v>54</v>
          </cell>
          <cell r="CM121">
            <v>54</v>
          </cell>
        </row>
        <row r="122">
          <cell r="A122">
            <v>31929</v>
          </cell>
          <cell r="B122">
            <v>33981</v>
          </cell>
          <cell r="C122">
            <v>3365</v>
          </cell>
          <cell r="D122">
            <v>37346</v>
          </cell>
          <cell r="E122">
            <v>11846</v>
          </cell>
          <cell r="F122">
            <v>2791</v>
          </cell>
          <cell r="G122">
            <v>14637</v>
          </cell>
          <cell r="H122">
            <v>1417</v>
          </cell>
          <cell r="I122">
            <v>16054</v>
          </cell>
          <cell r="J122">
            <v>2016</v>
          </cell>
          <cell r="K122">
            <v>4709</v>
          </cell>
          <cell r="L122">
            <v>22779</v>
          </cell>
          <cell r="M122">
            <v>7417</v>
          </cell>
          <cell r="N122">
            <v>67542</v>
          </cell>
          <cell r="O122">
            <v>8147</v>
          </cell>
          <cell r="P122">
            <v>-840</v>
          </cell>
          <cell r="Q122">
            <v>74849</v>
          </cell>
          <cell r="R122">
            <v>2.5</v>
          </cell>
          <cell r="S122">
            <v>2.4</v>
          </cell>
          <cell r="T122">
            <v>2.5</v>
          </cell>
          <cell r="U122">
            <v>3.6</v>
          </cell>
          <cell r="V122">
            <v>12</v>
          </cell>
          <cell r="W122">
            <v>5.0999999999999996</v>
          </cell>
          <cell r="X122">
            <v>22.5</v>
          </cell>
          <cell r="Y122">
            <v>6.4</v>
          </cell>
          <cell r="Z122">
            <v>1.9</v>
          </cell>
          <cell r="AA122">
            <v>3.1</v>
          </cell>
          <cell r="AB122">
            <v>5.3</v>
          </cell>
          <cell r="AC122">
            <v>2.1</v>
          </cell>
          <cell r="AD122">
            <v>3.4</v>
          </cell>
          <cell r="AE122">
            <v>4.7</v>
          </cell>
          <cell r="AF122">
            <v>3.3</v>
          </cell>
          <cell r="AG122">
            <v>33912</v>
          </cell>
          <cell r="AH122">
            <v>3365</v>
          </cell>
          <cell r="AI122">
            <v>37277</v>
          </cell>
          <cell r="AJ122">
            <v>11916</v>
          </cell>
          <cell r="AK122">
            <v>2694</v>
          </cell>
          <cell r="AL122">
            <v>14609</v>
          </cell>
          <cell r="AM122">
            <v>1401</v>
          </cell>
          <cell r="AN122">
            <v>16010</v>
          </cell>
          <cell r="AO122">
            <v>2017</v>
          </cell>
          <cell r="AP122">
            <v>4670</v>
          </cell>
          <cell r="AQ122">
            <v>22698</v>
          </cell>
          <cell r="AR122">
            <v>7586</v>
          </cell>
          <cell r="AS122">
            <v>67561</v>
          </cell>
          <cell r="AT122">
            <v>8116</v>
          </cell>
          <cell r="AU122">
            <v>-710</v>
          </cell>
          <cell r="AV122">
            <v>74967</v>
          </cell>
          <cell r="AW122">
            <v>2.6</v>
          </cell>
          <cell r="AX122">
            <v>2.8</v>
          </cell>
          <cell r="AY122">
            <v>2.6</v>
          </cell>
          <cell r="AZ122">
            <v>4.7</v>
          </cell>
          <cell r="BA122">
            <v>7.1</v>
          </cell>
          <cell r="BB122">
            <v>5.2</v>
          </cell>
          <cell r="BC122">
            <v>22.4</v>
          </cell>
          <cell r="BD122">
            <v>6.5</v>
          </cell>
          <cell r="BE122">
            <v>1.9</v>
          </cell>
          <cell r="BF122">
            <v>2</v>
          </cell>
          <cell r="BG122">
            <v>5.0999999999999996</v>
          </cell>
          <cell r="BH122">
            <v>6</v>
          </cell>
          <cell r="BI122">
            <v>3.8</v>
          </cell>
          <cell r="BJ122">
            <v>4.7</v>
          </cell>
          <cell r="BK122">
            <v>3.8</v>
          </cell>
          <cell r="BL122">
            <v>34420</v>
          </cell>
          <cell r="BM122">
            <v>3398</v>
          </cell>
          <cell r="BN122">
            <v>37818</v>
          </cell>
          <cell r="BO122">
            <v>11551</v>
          </cell>
          <cell r="BP122">
            <v>2293</v>
          </cell>
          <cell r="BQ122">
            <v>13843</v>
          </cell>
          <cell r="BR122">
            <v>1401</v>
          </cell>
          <cell r="BS122">
            <v>15244</v>
          </cell>
          <cell r="BT122">
            <v>2017</v>
          </cell>
          <cell r="BU122">
            <v>4728</v>
          </cell>
          <cell r="BV122">
            <v>21990</v>
          </cell>
          <cell r="BW122">
            <v>6449</v>
          </cell>
          <cell r="BX122">
            <v>66256</v>
          </cell>
          <cell r="BY122">
            <v>8012</v>
          </cell>
          <cell r="BZ122">
            <v>-450</v>
          </cell>
          <cell r="CA122">
            <v>73818</v>
          </cell>
          <cell r="CB122">
            <v>-1</v>
          </cell>
          <cell r="CC122">
            <v>0</v>
          </cell>
          <cell r="CD122">
            <v>0</v>
          </cell>
          <cell r="CE122">
            <v>0</v>
          </cell>
          <cell r="CF122">
            <v>0</v>
          </cell>
          <cell r="CG122">
            <v>0</v>
          </cell>
          <cell r="CH122">
            <v>0</v>
          </cell>
          <cell r="CI122">
            <v>0</v>
          </cell>
          <cell r="CJ122">
            <v>-1</v>
          </cell>
          <cell r="CK122">
            <v>0</v>
          </cell>
          <cell r="CL122">
            <v>67</v>
          </cell>
          <cell r="CM122">
            <v>67</v>
          </cell>
        </row>
        <row r="123">
          <cell r="A123">
            <v>32021</v>
          </cell>
          <cell r="B123">
            <v>34907</v>
          </cell>
          <cell r="C123">
            <v>3434</v>
          </cell>
          <cell r="D123">
            <v>38342</v>
          </cell>
          <cell r="E123">
            <v>12155</v>
          </cell>
          <cell r="F123">
            <v>3004</v>
          </cell>
          <cell r="G123">
            <v>15160</v>
          </cell>
          <cell r="H123">
            <v>1705</v>
          </cell>
          <cell r="I123">
            <v>16864</v>
          </cell>
          <cell r="J123">
            <v>2050</v>
          </cell>
          <cell r="K123">
            <v>4880</v>
          </cell>
          <cell r="L123">
            <v>23794</v>
          </cell>
          <cell r="M123">
            <v>7595</v>
          </cell>
          <cell r="N123">
            <v>69731</v>
          </cell>
          <cell r="O123">
            <v>8505</v>
          </cell>
          <cell r="P123">
            <v>-875</v>
          </cell>
          <cell r="Q123">
            <v>77361</v>
          </cell>
          <cell r="R123">
            <v>2.7</v>
          </cell>
          <cell r="S123">
            <v>2.1</v>
          </cell>
          <cell r="T123">
            <v>2.7</v>
          </cell>
          <cell r="U123">
            <v>2.6</v>
          </cell>
          <cell r="V123">
            <v>7.6</v>
          </cell>
          <cell r="W123">
            <v>3.6</v>
          </cell>
          <cell r="X123">
            <v>20.3</v>
          </cell>
          <cell r="Y123">
            <v>5</v>
          </cell>
          <cell r="Z123">
            <v>1.7</v>
          </cell>
          <cell r="AA123">
            <v>3.6</v>
          </cell>
          <cell r="AB123">
            <v>4.5</v>
          </cell>
          <cell r="AC123">
            <v>2.4</v>
          </cell>
          <cell r="AD123">
            <v>3.2</v>
          </cell>
          <cell r="AE123">
            <v>4.4000000000000004</v>
          </cell>
          <cell r="AF123">
            <v>3.4</v>
          </cell>
          <cell r="AG123">
            <v>35091</v>
          </cell>
          <cell r="AH123">
            <v>3447</v>
          </cell>
          <cell r="AI123">
            <v>38539</v>
          </cell>
          <cell r="AJ123">
            <v>12036</v>
          </cell>
          <cell r="AK123">
            <v>3182</v>
          </cell>
          <cell r="AL123">
            <v>15218</v>
          </cell>
          <cell r="AM123">
            <v>1724</v>
          </cell>
          <cell r="AN123">
            <v>16942</v>
          </cell>
          <cell r="AO123">
            <v>2048</v>
          </cell>
          <cell r="AP123">
            <v>4898</v>
          </cell>
          <cell r="AQ123">
            <v>23888</v>
          </cell>
          <cell r="AR123">
            <v>7554</v>
          </cell>
          <cell r="AS123">
            <v>69980</v>
          </cell>
          <cell r="AT123">
            <v>8533</v>
          </cell>
          <cell r="AU123">
            <v>-1101</v>
          </cell>
          <cell r="AV123">
            <v>77412</v>
          </cell>
          <cell r="AW123">
            <v>3.5</v>
          </cell>
          <cell r="AX123">
            <v>2.4</v>
          </cell>
          <cell r="AY123">
            <v>3.4</v>
          </cell>
          <cell r="AZ123">
            <v>1</v>
          </cell>
          <cell r="BA123">
            <v>18.100000000000001</v>
          </cell>
          <cell r="BB123">
            <v>4.2</v>
          </cell>
          <cell r="BC123">
            <v>23.1</v>
          </cell>
          <cell r="BD123">
            <v>5.8</v>
          </cell>
          <cell r="BE123">
            <v>1.5</v>
          </cell>
          <cell r="BF123">
            <v>4.9000000000000004</v>
          </cell>
          <cell r="BG123">
            <v>5.2</v>
          </cell>
          <cell r="BH123">
            <v>-0.4</v>
          </cell>
          <cell r="BI123">
            <v>3.6</v>
          </cell>
          <cell r="BJ123">
            <v>5.0999999999999996</v>
          </cell>
          <cell r="BK123">
            <v>3.3</v>
          </cell>
          <cell r="BL123">
            <v>34337</v>
          </cell>
          <cell r="BM123">
            <v>3391</v>
          </cell>
          <cell r="BN123">
            <v>37728</v>
          </cell>
          <cell r="BO123">
            <v>12134</v>
          </cell>
          <cell r="BP123">
            <v>3892</v>
          </cell>
          <cell r="BQ123">
            <v>16026</v>
          </cell>
          <cell r="BR123">
            <v>1724</v>
          </cell>
          <cell r="BS123">
            <v>17750</v>
          </cell>
          <cell r="BT123">
            <v>2048</v>
          </cell>
          <cell r="BU123">
            <v>4878</v>
          </cell>
          <cell r="BV123">
            <v>24675</v>
          </cell>
          <cell r="BW123">
            <v>7322</v>
          </cell>
          <cell r="BX123">
            <v>69725</v>
          </cell>
          <cell r="BY123">
            <v>8422</v>
          </cell>
          <cell r="BZ123">
            <v>-857</v>
          </cell>
          <cell r="CA123">
            <v>77289</v>
          </cell>
          <cell r="CB123">
            <v>1</v>
          </cell>
          <cell r="CC123">
            <v>0</v>
          </cell>
          <cell r="CD123">
            <v>0</v>
          </cell>
          <cell r="CE123">
            <v>0</v>
          </cell>
          <cell r="CF123">
            <v>0</v>
          </cell>
          <cell r="CG123">
            <v>0</v>
          </cell>
          <cell r="CH123">
            <v>-1</v>
          </cell>
          <cell r="CI123">
            <v>0</v>
          </cell>
          <cell r="CJ123">
            <v>0</v>
          </cell>
          <cell r="CK123">
            <v>0</v>
          </cell>
          <cell r="CL123">
            <v>76</v>
          </cell>
          <cell r="CM123">
            <v>77</v>
          </cell>
        </row>
        <row r="124">
          <cell r="A124">
            <v>32112</v>
          </cell>
          <cell r="B124">
            <v>35805</v>
          </cell>
          <cell r="C124">
            <v>3490</v>
          </cell>
          <cell r="D124">
            <v>39295</v>
          </cell>
          <cell r="E124">
            <v>12446</v>
          </cell>
          <cell r="F124">
            <v>3140</v>
          </cell>
          <cell r="G124">
            <v>15586</v>
          </cell>
          <cell r="H124">
            <v>1967</v>
          </cell>
          <cell r="I124">
            <v>17553</v>
          </cell>
          <cell r="J124">
            <v>2086</v>
          </cell>
          <cell r="K124">
            <v>5056</v>
          </cell>
          <cell r="L124">
            <v>24695</v>
          </cell>
          <cell r="M124">
            <v>7852</v>
          </cell>
          <cell r="N124">
            <v>71842</v>
          </cell>
          <cell r="O124">
            <v>8759</v>
          </cell>
          <cell r="P124">
            <v>-725</v>
          </cell>
          <cell r="Q124">
            <v>79876</v>
          </cell>
          <cell r="R124">
            <v>2.6</v>
          </cell>
          <cell r="S124">
            <v>1.6</v>
          </cell>
          <cell r="T124">
            <v>2.5</v>
          </cell>
          <cell r="U124">
            <v>2.4</v>
          </cell>
          <cell r="V124">
            <v>4.5</v>
          </cell>
          <cell r="W124">
            <v>2.8</v>
          </cell>
          <cell r="X124">
            <v>15.4</v>
          </cell>
          <cell r="Y124">
            <v>4.0999999999999996</v>
          </cell>
          <cell r="Z124">
            <v>1.7</v>
          </cell>
          <cell r="AA124">
            <v>3.6</v>
          </cell>
          <cell r="AB124">
            <v>3.8</v>
          </cell>
          <cell r="AC124">
            <v>3.4</v>
          </cell>
          <cell r="AD124">
            <v>3</v>
          </cell>
          <cell r="AE124">
            <v>3</v>
          </cell>
          <cell r="AF124">
            <v>3.3</v>
          </cell>
          <cell r="AG124">
            <v>35759</v>
          </cell>
          <cell r="AH124">
            <v>3493</v>
          </cell>
          <cell r="AI124">
            <v>39253</v>
          </cell>
          <cell r="AJ124">
            <v>12596</v>
          </cell>
          <cell r="AK124">
            <v>3044</v>
          </cell>
          <cell r="AL124">
            <v>15640</v>
          </cell>
          <cell r="AM124">
            <v>1981</v>
          </cell>
          <cell r="AN124">
            <v>17621</v>
          </cell>
          <cell r="AO124">
            <v>2085</v>
          </cell>
          <cell r="AP124">
            <v>5069</v>
          </cell>
          <cell r="AQ124">
            <v>24776</v>
          </cell>
          <cell r="AR124">
            <v>7625</v>
          </cell>
          <cell r="AS124">
            <v>71654</v>
          </cell>
          <cell r="AT124">
            <v>8876</v>
          </cell>
          <cell r="AU124">
            <v>-800</v>
          </cell>
          <cell r="AV124">
            <v>79730</v>
          </cell>
          <cell r="AW124">
            <v>1.9</v>
          </cell>
          <cell r="AX124">
            <v>1.3</v>
          </cell>
          <cell r="AY124">
            <v>1.9</v>
          </cell>
          <cell r="AZ124">
            <v>4.7</v>
          </cell>
          <cell r="BA124">
            <v>-4.3</v>
          </cell>
          <cell r="BB124">
            <v>2.8</v>
          </cell>
          <cell r="BC124">
            <v>14.9</v>
          </cell>
          <cell r="BD124">
            <v>4</v>
          </cell>
          <cell r="BE124">
            <v>1.8</v>
          </cell>
          <cell r="BF124">
            <v>3.5</v>
          </cell>
          <cell r="BG124">
            <v>3.7</v>
          </cell>
          <cell r="BH124">
            <v>0.9</v>
          </cell>
          <cell r="BI124">
            <v>2.4</v>
          </cell>
          <cell r="BJ124">
            <v>4</v>
          </cell>
          <cell r="BK124">
            <v>3</v>
          </cell>
          <cell r="BL124">
            <v>37109</v>
          </cell>
          <cell r="BM124">
            <v>3615</v>
          </cell>
          <cell r="BN124">
            <v>40725</v>
          </cell>
          <cell r="BO124">
            <v>14086</v>
          </cell>
          <cell r="BP124">
            <v>3124</v>
          </cell>
          <cell r="BQ124">
            <v>17210</v>
          </cell>
          <cell r="BR124">
            <v>1981</v>
          </cell>
          <cell r="BS124">
            <v>19191</v>
          </cell>
          <cell r="BT124">
            <v>2085</v>
          </cell>
          <cell r="BU124">
            <v>5022</v>
          </cell>
          <cell r="BV124">
            <v>26297</v>
          </cell>
          <cell r="BW124">
            <v>10121</v>
          </cell>
          <cell r="BX124">
            <v>77143</v>
          </cell>
          <cell r="BY124">
            <v>9045</v>
          </cell>
          <cell r="BZ124">
            <v>-1086</v>
          </cell>
          <cell r="CA124">
            <v>85103</v>
          </cell>
          <cell r="CB124">
            <v>0</v>
          </cell>
          <cell r="CC124">
            <v>0</v>
          </cell>
          <cell r="CD124">
            <v>0</v>
          </cell>
          <cell r="CE124">
            <v>0</v>
          </cell>
          <cell r="CF124">
            <v>0</v>
          </cell>
          <cell r="CG124">
            <v>0</v>
          </cell>
          <cell r="CH124">
            <v>0</v>
          </cell>
          <cell r="CI124">
            <v>1</v>
          </cell>
          <cell r="CJ124">
            <v>-1</v>
          </cell>
          <cell r="CK124">
            <v>0</v>
          </cell>
          <cell r="CL124">
            <v>68</v>
          </cell>
          <cell r="CM124">
            <v>68</v>
          </cell>
        </row>
        <row r="125">
          <cell r="A125">
            <v>32203</v>
          </cell>
          <cell r="B125">
            <v>36578</v>
          </cell>
          <cell r="C125">
            <v>3527</v>
          </cell>
          <cell r="D125">
            <v>40105</v>
          </cell>
          <cell r="E125">
            <v>12761</v>
          </cell>
          <cell r="F125">
            <v>3193</v>
          </cell>
          <cell r="G125">
            <v>15954</v>
          </cell>
          <cell r="H125">
            <v>2215</v>
          </cell>
          <cell r="I125">
            <v>18170</v>
          </cell>
          <cell r="J125">
            <v>2123</v>
          </cell>
          <cell r="K125">
            <v>5209</v>
          </cell>
          <cell r="L125">
            <v>25501</v>
          </cell>
          <cell r="M125">
            <v>8239</v>
          </cell>
          <cell r="N125">
            <v>73845</v>
          </cell>
          <cell r="O125">
            <v>8937</v>
          </cell>
          <cell r="P125">
            <v>-463</v>
          </cell>
          <cell r="Q125">
            <v>82319</v>
          </cell>
          <cell r="R125">
            <v>2.2000000000000002</v>
          </cell>
          <cell r="S125">
            <v>1.1000000000000001</v>
          </cell>
          <cell r="T125">
            <v>2.1</v>
          </cell>
          <cell r="U125">
            <v>2.5</v>
          </cell>
          <cell r="V125">
            <v>1.7</v>
          </cell>
          <cell r="W125">
            <v>2.4</v>
          </cell>
          <cell r="X125">
            <v>12.6</v>
          </cell>
          <cell r="Y125">
            <v>3.5</v>
          </cell>
          <cell r="Z125">
            <v>1.8</v>
          </cell>
          <cell r="AA125">
            <v>3</v>
          </cell>
          <cell r="AB125">
            <v>3.3</v>
          </cell>
          <cell r="AC125">
            <v>4.9000000000000004</v>
          </cell>
          <cell r="AD125">
            <v>2.8</v>
          </cell>
          <cell r="AE125">
            <v>2</v>
          </cell>
          <cell r="AF125">
            <v>3.1</v>
          </cell>
          <cell r="AG125">
            <v>36532</v>
          </cell>
          <cell r="AH125">
            <v>3499</v>
          </cell>
          <cell r="AI125">
            <v>40031</v>
          </cell>
          <cell r="AJ125">
            <v>12639</v>
          </cell>
          <cell r="AK125">
            <v>3188</v>
          </cell>
          <cell r="AL125">
            <v>15827</v>
          </cell>
          <cell r="AM125">
            <v>2215</v>
          </cell>
          <cell r="AN125">
            <v>18042</v>
          </cell>
          <cell r="AO125">
            <v>2124</v>
          </cell>
          <cell r="AP125">
            <v>5218</v>
          </cell>
          <cell r="AQ125">
            <v>25383</v>
          </cell>
          <cell r="AR125">
            <v>8558</v>
          </cell>
          <cell r="AS125">
            <v>73972</v>
          </cell>
          <cell r="AT125">
            <v>8804</v>
          </cell>
          <cell r="AU125">
            <v>-183</v>
          </cell>
          <cell r="AV125">
            <v>82594</v>
          </cell>
          <cell r="AW125">
            <v>2.2000000000000002</v>
          </cell>
          <cell r="AX125">
            <v>0.2</v>
          </cell>
          <cell r="AY125">
            <v>2</v>
          </cell>
          <cell r="AZ125">
            <v>0.3</v>
          </cell>
          <cell r="BA125">
            <v>4.7</v>
          </cell>
          <cell r="BB125">
            <v>1.2</v>
          </cell>
          <cell r="BC125">
            <v>11.8</v>
          </cell>
          <cell r="BD125">
            <v>2.4</v>
          </cell>
          <cell r="BE125">
            <v>1.8</v>
          </cell>
          <cell r="BF125">
            <v>2.9</v>
          </cell>
          <cell r="BG125">
            <v>2.5</v>
          </cell>
          <cell r="BH125">
            <v>12.2</v>
          </cell>
          <cell r="BI125">
            <v>3.2</v>
          </cell>
          <cell r="BJ125">
            <v>-0.8</v>
          </cell>
          <cell r="BK125">
            <v>3.6</v>
          </cell>
          <cell r="BL125">
            <v>35322</v>
          </cell>
          <cell r="BM125">
            <v>3391</v>
          </cell>
          <cell r="BN125">
            <v>38714</v>
          </cell>
          <cell r="BO125">
            <v>11452</v>
          </cell>
          <cell r="BP125">
            <v>2877</v>
          </cell>
          <cell r="BQ125">
            <v>14329</v>
          </cell>
          <cell r="BR125">
            <v>2215</v>
          </cell>
          <cell r="BS125">
            <v>16544</v>
          </cell>
          <cell r="BT125">
            <v>2124</v>
          </cell>
          <cell r="BU125">
            <v>5231</v>
          </cell>
          <cell r="BV125">
            <v>23899</v>
          </cell>
          <cell r="BW125">
            <v>7440</v>
          </cell>
          <cell r="BX125">
            <v>70052</v>
          </cell>
          <cell r="BY125">
            <v>8925</v>
          </cell>
          <cell r="BZ125">
            <v>-554</v>
          </cell>
          <cell r="CA125">
            <v>78423</v>
          </cell>
          <cell r="CB125">
            <v>-1</v>
          </cell>
          <cell r="CC125">
            <v>0</v>
          </cell>
          <cell r="CD125">
            <v>-1</v>
          </cell>
          <cell r="CE125">
            <v>0</v>
          </cell>
          <cell r="CF125">
            <v>0</v>
          </cell>
          <cell r="CG125">
            <v>0</v>
          </cell>
          <cell r="CH125">
            <v>0</v>
          </cell>
          <cell r="CI125">
            <v>0</v>
          </cell>
          <cell r="CJ125">
            <v>-1</v>
          </cell>
          <cell r="CK125">
            <v>1</v>
          </cell>
          <cell r="CL125">
            <v>61</v>
          </cell>
          <cell r="CM125">
            <v>60</v>
          </cell>
        </row>
        <row r="126">
          <cell r="A126">
            <v>32295</v>
          </cell>
          <cell r="B126">
            <v>37426</v>
          </cell>
          <cell r="C126">
            <v>3561</v>
          </cell>
          <cell r="D126">
            <v>40988</v>
          </cell>
          <cell r="E126">
            <v>13051</v>
          </cell>
          <cell r="F126">
            <v>3246</v>
          </cell>
          <cell r="G126">
            <v>16297</v>
          </cell>
          <cell r="H126">
            <v>2491</v>
          </cell>
          <cell r="I126">
            <v>18788</v>
          </cell>
          <cell r="J126">
            <v>2161</v>
          </cell>
          <cell r="K126">
            <v>5361</v>
          </cell>
          <cell r="L126">
            <v>26308</v>
          </cell>
          <cell r="M126">
            <v>8670</v>
          </cell>
          <cell r="N126">
            <v>75967</v>
          </cell>
          <cell r="O126">
            <v>9142</v>
          </cell>
          <cell r="P126">
            <v>-248</v>
          </cell>
          <cell r="Q126">
            <v>84861</v>
          </cell>
          <cell r="R126">
            <v>2.2999999999999998</v>
          </cell>
          <cell r="S126">
            <v>1</v>
          </cell>
          <cell r="T126">
            <v>2.2000000000000002</v>
          </cell>
          <cell r="U126">
            <v>2.2999999999999998</v>
          </cell>
          <cell r="V126">
            <v>1.6</v>
          </cell>
          <cell r="W126">
            <v>2.1</v>
          </cell>
          <cell r="X126">
            <v>12.4</v>
          </cell>
          <cell r="Y126">
            <v>3.4</v>
          </cell>
          <cell r="Z126">
            <v>1.8</v>
          </cell>
          <cell r="AA126">
            <v>2.9</v>
          </cell>
          <cell r="AB126">
            <v>3.2</v>
          </cell>
          <cell r="AC126">
            <v>5.2</v>
          </cell>
          <cell r="AD126">
            <v>2.9</v>
          </cell>
          <cell r="AE126">
            <v>2.2999999999999998</v>
          </cell>
          <cell r="AF126">
            <v>3.1</v>
          </cell>
          <cell r="AG126">
            <v>37609</v>
          </cell>
          <cell r="AH126">
            <v>3606</v>
          </cell>
          <cell r="AI126">
            <v>41216</v>
          </cell>
          <cell r="AJ126">
            <v>13026</v>
          </cell>
          <cell r="AK126">
            <v>3290</v>
          </cell>
          <cell r="AL126">
            <v>16316</v>
          </cell>
          <cell r="AM126">
            <v>2428</v>
          </cell>
          <cell r="AN126">
            <v>18744</v>
          </cell>
          <cell r="AO126">
            <v>2163</v>
          </cell>
          <cell r="AP126">
            <v>5346</v>
          </cell>
          <cell r="AQ126">
            <v>26253</v>
          </cell>
          <cell r="AR126">
            <v>8407</v>
          </cell>
          <cell r="AS126">
            <v>75876</v>
          </cell>
          <cell r="AT126">
            <v>9161</v>
          </cell>
          <cell r="AU126">
            <v>-443</v>
          </cell>
          <cell r="AV126">
            <v>84595</v>
          </cell>
          <cell r="AW126">
            <v>2.9</v>
          </cell>
          <cell r="AX126">
            <v>3.1</v>
          </cell>
          <cell r="AY126">
            <v>3</v>
          </cell>
          <cell r="AZ126">
            <v>3.1</v>
          </cell>
          <cell r="BA126">
            <v>3.2</v>
          </cell>
          <cell r="BB126">
            <v>3.1</v>
          </cell>
          <cell r="BC126">
            <v>9.6</v>
          </cell>
          <cell r="BD126">
            <v>3.9</v>
          </cell>
          <cell r="BE126">
            <v>1.8</v>
          </cell>
          <cell r="BF126">
            <v>2.5</v>
          </cell>
          <cell r="BG126">
            <v>3.4</v>
          </cell>
          <cell r="BH126">
            <v>-1.8</v>
          </cell>
          <cell r="BI126">
            <v>2.6</v>
          </cell>
          <cell r="BJ126">
            <v>4.0999999999999996</v>
          </cell>
          <cell r="BK126">
            <v>2.4</v>
          </cell>
          <cell r="BL126">
            <v>38171</v>
          </cell>
          <cell r="BM126">
            <v>3639</v>
          </cell>
          <cell r="BN126">
            <v>41810</v>
          </cell>
          <cell r="BO126">
            <v>12558</v>
          </cell>
          <cell r="BP126">
            <v>2863</v>
          </cell>
          <cell r="BQ126">
            <v>15421</v>
          </cell>
          <cell r="BR126">
            <v>2428</v>
          </cell>
          <cell r="BS126">
            <v>17849</v>
          </cell>
          <cell r="BT126">
            <v>2163</v>
          </cell>
          <cell r="BU126">
            <v>5402</v>
          </cell>
          <cell r="BV126">
            <v>25413</v>
          </cell>
          <cell r="BW126">
            <v>7235</v>
          </cell>
          <cell r="BX126">
            <v>74458</v>
          </cell>
          <cell r="BY126">
            <v>8976</v>
          </cell>
          <cell r="BZ126">
            <v>-303</v>
          </cell>
          <cell r="CA126">
            <v>83131</v>
          </cell>
          <cell r="CB126">
            <v>1</v>
          </cell>
          <cell r="CC126">
            <v>0</v>
          </cell>
          <cell r="CD126">
            <v>0</v>
          </cell>
          <cell r="CE126">
            <v>0</v>
          </cell>
          <cell r="CF126">
            <v>-1</v>
          </cell>
          <cell r="CG126">
            <v>0</v>
          </cell>
          <cell r="CH126">
            <v>0</v>
          </cell>
          <cell r="CI126">
            <v>0</v>
          </cell>
          <cell r="CJ126">
            <v>0</v>
          </cell>
          <cell r="CK126">
            <v>1</v>
          </cell>
          <cell r="CL126">
            <v>23</v>
          </cell>
          <cell r="CM126">
            <v>23</v>
          </cell>
        </row>
        <row r="127">
          <cell r="A127">
            <v>32387</v>
          </cell>
          <cell r="B127">
            <v>38578</v>
          </cell>
          <cell r="C127">
            <v>3603</v>
          </cell>
          <cell r="D127">
            <v>42181</v>
          </cell>
          <cell r="E127">
            <v>13275</v>
          </cell>
          <cell r="F127">
            <v>3292</v>
          </cell>
          <cell r="G127">
            <v>16567</v>
          </cell>
          <cell r="H127">
            <v>2783</v>
          </cell>
          <cell r="I127">
            <v>19349</v>
          </cell>
          <cell r="J127">
            <v>2194</v>
          </cell>
          <cell r="K127">
            <v>5561</v>
          </cell>
          <cell r="L127">
            <v>27103</v>
          </cell>
          <cell r="M127">
            <v>9060</v>
          </cell>
          <cell r="N127">
            <v>78347</v>
          </cell>
          <cell r="O127">
            <v>9423</v>
          </cell>
          <cell r="P127">
            <v>-292</v>
          </cell>
          <cell r="Q127">
            <v>87478</v>
          </cell>
          <cell r="R127">
            <v>3.1</v>
          </cell>
          <cell r="S127">
            <v>1.2</v>
          </cell>
          <cell r="T127">
            <v>2.9</v>
          </cell>
          <cell r="U127">
            <v>1.7</v>
          </cell>
          <cell r="V127">
            <v>1.4</v>
          </cell>
          <cell r="W127">
            <v>1.7</v>
          </cell>
          <cell r="X127">
            <v>11.7</v>
          </cell>
          <cell r="Y127">
            <v>3</v>
          </cell>
          <cell r="Z127">
            <v>1.5</v>
          </cell>
          <cell r="AA127">
            <v>3.7</v>
          </cell>
          <cell r="AB127">
            <v>3</v>
          </cell>
          <cell r="AC127">
            <v>4.5</v>
          </cell>
          <cell r="AD127">
            <v>3.1</v>
          </cell>
          <cell r="AE127">
            <v>3.1</v>
          </cell>
          <cell r="AF127">
            <v>3.1</v>
          </cell>
          <cell r="AG127">
            <v>38226</v>
          </cell>
          <cell r="AH127">
            <v>3561</v>
          </cell>
          <cell r="AI127">
            <v>41788</v>
          </cell>
          <cell r="AJ127">
            <v>13529</v>
          </cell>
          <cell r="AK127">
            <v>3242</v>
          </cell>
          <cell r="AL127">
            <v>16771</v>
          </cell>
          <cell r="AM127">
            <v>2809</v>
          </cell>
          <cell r="AN127">
            <v>19580</v>
          </cell>
          <cell r="AO127">
            <v>2194</v>
          </cell>
          <cell r="AP127">
            <v>5555</v>
          </cell>
          <cell r="AQ127">
            <v>27329</v>
          </cell>
          <cell r="AR127">
            <v>9276</v>
          </cell>
          <cell r="AS127">
            <v>78393</v>
          </cell>
          <cell r="AT127">
            <v>9438</v>
          </cell>
          <cell r="AU127">
            <v>-263</v>
          </cell>
          <cell r="AV127">
            <v>87568</v>
          </cell>
          <cell r="AW127">
            <v>1.6</v>
          </cell>
          <cell r="AX127">
            <v>-1.3</v>
          </cell>
          <cell r="AY127">
            <v>1.4</v>
          </cell>
          <cell r="AZ127">
            <v>3.9</v>
          </cell>
          <cell r="BA127">
            <v>-1.5</v>
          </cell>
          <cell r="BB127">
            <v>2.8</v>
          </cell>
          <cell r="BC127">
            <v>15.7</v>
          </cell>
          <cell r="BD127">
            <v>4.5</v>
          </cell>
          <cell r="BE127">
            <v>1.5</v>
          </cell>
          <cell r="BF127">
            <v>3.9</v>
          </cell>
          <cell r="BG127">
            <v>4.0999999999999996</v>
          </cell>
          <cell r="BH127">
            <v>10.3</v>
          </cell>
          <cell r="BI127">
            <v>3.3</v>
          </cell>
          <cell r="BJ127">
            <v>3</v>
          </cell>
          <cell r="BK127">
            <v>3.5</v>
          </cell>
          <cell r="BL127">
            <v>37392</v>
          </cell>
          <cell r="BM127">
            <v>3500</v>
          </cell>
          <cell r="BN127">
            <v>40893</v>
          </cell>
          <cell r="BO127">
            <v>13682</v>
          </cell>
          <cell r="BP127">
            <v>3938</v>
          </cell>
          <cell r="BQ127">
            <v>17620</v>
          </cell>
          <cell r="BR127">
            <v>2809</v>
          </cell>
          <cell r="BS127">
            <v>20429</v>
          </cell>
          <cell r="BT127">
            <v>2194</v>
          </cell>
          <cell r="BU127">
            <v>5530</v>
          </cell>
          <cell r="BV127">
            <v>28150</v>
          </cell>
          <cell r="BW127">
            <v>8677</v>
          </cell>
          <cell r="BX127">
            <v>77719</v>
          </cell>
          <cell r="BY127">
            <v>9311</v>
          </cell>
          <cell r="BZ127">
            <v>142</v>
          </cell>
          <cell r="CA127">
            <v>87172</v>
          </cell>
          <cell r="CB127">
            <v>1</v>
          </cell>
          <cell r="CC127">
            <v>0</v>
          </cell>
          <cell r="CD127">
            <v>0</v>
          </cell>
          <cell r="CE127">
            <v>0</v>
          </cell>
          <cell r="CF127">
            <v>0</v>
          </cell>
          <cell r="CG127">
            <v>0</v>
          </cell>
          <cell r="CH127">
            <v>0</v>
          </cell>
          <cell r="CI127">
            <v>0</v>
          </cell>
          <cell r="CJ127">
            <v>1</v>
          </cell>
          <cell r="CK127">
            <v>0</v>
          </cell>
          <cell r="CL127">
            <v>-25</v>
          </cell>
          <cell r="CM127">
            <v>-25</v>
          </cell>
        </row>
        <row r="128">
          <cell r="A128">
            <v>32478</v>
          </cell>
          <cell r="B128">
            <v>40005</v>
          </cell>
          <cell r="C128">
            <v>3662</v>
          </cell>
          <cell r="D128">
            <v>43667</v>
          </cell>
          <cell r="E128">
            <v>13562</v>
          </cell>
          <cell r="F128">
            <v>3348</v>
          </cell>
          <cell r="G128">
            <v>16909</v>
          </cell>
          <cell r="H128">
            <v>3003</v>
          </cell>
          <cell r="I128">
            <v>19913</v>
          </cell>
          <cell r="J128">
            <v>2232</v>
          </cell>
          <cell r="K128">
            <v>5869</v>
          </cell>
          <cell r="L128">
            <v>28012</v>
          </cell>
          <cell r="M128">
            <v>9468</v>
          </cell>
          <cell r="N128">
            <v>81148</v>
          </cell>
          <cell r="O128">
            <v>9739</v>
          </cell>
          <cell r="P128">
            <v>-546</v>
          </cell>
          <cell r="Q128">
            <v>90342</v>
          </cell>
          <cell r="R128">
            <v>3.7</v>
          </cell>
          <cell r="S128">
            <v>1.6</v>
          </cell>
          <cell r="T128">
            <v>3.5</v>
          </cell>
          <cell r="U128">
            <v>2.2000000000000002</v>
          </cell>
          <cell r="V128">
            <v>1.7</v>
          </cell>
          <cell r="W128">
            <v>2.1</v>
          </cell>
          <cell r="X128">
            <v>7.9</v>
          </cell>
          <cell r="Y128">
            <v>2.9</v>
          </cell>
          <cell r="Z128">
            <v>1.7</v>
          </cell>
          <cell r="AA128">
            <v>5.5</v>
          </cell>
          <cell r="AB128">
            <v>3.4</v>
          </cell>
          <cell r="AC128">
            <v>4.5</v>
          </cell>
          <cell r="AD128">
            <v>3.6</v>
          </cell>
          <cell r="AE128">
            <v>3.4</v>
          </cell>
          <cell r="AF128">
            <v>3.3</v>
          </cell>
          <cell r="AG128">
            <v>40146</v>
          </cell>
          <cell r="AH128">
            <v>3680</v>
          </cell>
          <cell r="AI128">
            <v>43826</v>
          </cell>
          <cell r="AJ128">
            <v>13294</v>
          </cell>
          <cell r="AK128">
            <v>3431</v>
          </cell>
          <cell r="AL128">
            <v>16725</v>
          </cell>
          <cell r="AM128">
            <v>3021</v>
          </cell>
          <cell r="AN128">
            <v>19746</v>
          </cell>
          <cell r="AO128">
            <v>2233</v>
          </cell>
          <cell r="AP128">
            <v>5842</v>
          </cell>
          <cell r="AQ128">
            <v>27820</v>
          </cell>
          <cell r="AR128">
            <v>9258</v>
          </cell>
          <cell r="AS128">
            <v>80904</v>
          </cell>
          <cell r="AT128">
            <v>9735</v>
          </cell>
          <cell r="AU128">
            <v>-259</v>
          </cell>
          <cell r="AV128">
            <v>90381</v>
          </cell>
          <cell r="AW128">
            <v>5</v>
          </cell>
          <cell r="AX128">
            <v>3.3</v>
          </cell>
          <cell r="AY128">
            <v>4.9000000000000004</v>
          </cell>
          <cell r="AZ128">
            <v>-1.7</v>
          </cell>
          <cell r="BA128">
            <v>5.8</v>
          </cell>
          <cell r="BB128">
            <v>-0.3</v>
          </cell>
          <cell r="BC128">
            <v>7.5</v>
          </cell>
          <cell r="BD128">
            <v>0.8</v>
          </cell>
          <cell r="BE128">
            <v>1.8</v>
          </cell>
          <cell r="BF128">
            <v>5.2</v>
          </cell>
          <cell r="BG128">
            <v>1.8</v>
          </cell>
          <cell r="BH128">
            <v>-0.2</v>
          </cell>
          <cell r="BI128">
            <v>3.2</v>
          </cell>
          <cell r="BJ128">
            <v>3.1</v>
          </cell>
          <cell r="BK128">
            <v>3.2</v>
          </cell>
          <cell r="BL128">
            <v>41644</v>
          </cell>
          <cell r="BM128">
            <v>3810</v>
          </cell>
          <cell r="BN128">
            <v>45454</v>
          </cell>
          <cell r="BO128">
            <v>14874</v>
          </cell>
          <cell r="BP128">
            <v>3482</v>
          </cell>
          <cell r="BQ128">
            <v>18356</v>
          </cell>
          <cell r="BR128">
            <v>3021</v>
          </cell>
          <cell r="BS128">
            <v>21377</v>
          </cell>
          <cell r="BT128">
            <v>2233</v>
          </cell>
          <cell r="BU128">
            <v>5796</v>
          </cell>
          <cell r="BV128">
            <v>29402</v>
          </cell>
          <cell r="BW128">
            <v>12504</v>
          </cell>
          <cell r="BX128">
            <v>87360</v>
          </cell>
          <cell r="BY128">
            <v>9917</v>
          </cell>
          <cell r="BZ128">
            <v>-867</v>
          </cell>
          <cell r="CA128">
            <v>96410</v>
          </cell>
          <cell r="CB128">
            <v>0</v>
          </cell>
          <cell r="CC128">
            <v>0</v>
          </cell>
          <cell r="CD128">
            <v>0</v>
          </cell>
          <cell r="CE128">
            <v>0</v>
          </cell>
          <cell r="CF128">
            <v>0</v>
          </cell>
          <cell r="CG128">
            <v>0</v>
          </cell>
          <cell r="CH128">
            <v>0</v>
          </cell>
          <cell r="CI128">
            <v>0</v>
          </cell>
          <cell r="CJ128">
            <v>0</v>
          </cell>
          <cell r="CK128">
            <v>0</v>
          </cell>
          <cell r="CL128">
            <v>-51</v>
          </cell>
          <cell r="CM128">
            <v>-51</v>
          </cell>
        </row>
        <row r="129">
          <cell r="A129">
            <v>32568</v>
          </cell>
          <cell r="B129">
            <v>41556</v>
          </cell>
          <cell r="C129">
            <v>3742</v>
          </cell>
          <cell r="D129">
            <v>45299</v>
          </cell>
          <cell r="E129">
            <v>14025</v>
          </cell>
          <cell r="F129">
            <v>3468</v>
          </cell>
          <cell r="G129">
            <v>17493</v>
          </cell>
          <cell r="H129">
            <v>3019</v>
          </cell>
          <cell r="I129">
            <v>20512</v>
          </cell>
          <cell r="J129">
            <v>2280</v>
          </cell>
          <cell r="K129">
            <v>6181</v>
          </cell>
          <cell r="L129">
            <v>28974</v>
          </cell>
          <cell r="M129">
            <v>9834</v>
          </cell>
          <cell r="N129">
            <v>84106</v>
          </cell>
          <cell r="O129">
            <v>10029</v>
          </cell>
          <cell r="P129">
            <v>-755</v>
          </cell>
          <cell r="Q129">
            <v>93380</v>
          </cell>
          <cell r="R129">
            <v>3.9</v>
          </cell>
          <cell r="S129">
            <v>2.2000000000000002</v>
          </cell>
          <cell r="T129">
            <v>3.7</v>
          </cell>
          <cell r="U129">
            <v>3.4</v>
          </cell>
          <cell r="V129">
            <v>3.6</v>
          </cell>
          <cell r="W129">
            <v>3.5</v>
          </cell>
          <cell r="X129">
            <v>0.5</v>
          </cell>
          <cell r="Y129">
            <v>3</v>
          </cell>
          <cell r="Z129">
            <v>2.2000000000000002</v>
          </cell>
          <cell r="AA129">
            <v>5.3</v>
          </cell>
          <cell r="AB129">
            <v>3.4</v>
          </cell>
          <cell r="AC129">
            <v>3.9</v>
          </cell>
          <cell r="AD129">
            <v>3.6</v>
          </cell>
          <cell r="AE129">
            <v>3</v>
          </cell>
          <cell r="AF129">
            <v>3.4</v>
          </cell>
          <cell r="AG129">
            <v>41626</v>
          </cell>
          <cell r="AH129">
            <v>3731</v>
          </cell>
          <cell r="AI129">
            <v>45356</v>
          </cell>
          <cell r="AJ129">
            <v>14013</v>
          </cell>
          <cell r="AK129">
            <v>3294</v>
          </cell>
          <cell r="AL129">
            <v>17307</v>
          </cell>
          <cell r="AM129">
            <v>3043</v>
          </cell>
          <cell r="AN129">
            <v>20350</v>
          </cell>
          <cell r="AO129">
            <v>2279</v>
          </cell>
          <cell r="AP129">
            <v>6162</v>
          </cell>
          <cell r="AQ129">
            <v>28791</v>
          </cell>
          <cell r="AR129">
            <v>9951</v>
          </cell>
          <cell r="AS129">
            <v>84098</v>
          </cell>
          <cell r="AT129">
            <v>10006</v>
          </cell>
          <cell r="AU129">
            <v>-1072</v>
          </cell>
          <cell r="AV129">
            <v>93032</v>
          </cell>
          <cell r="AW129">
            <v>3.7</v>
          </cell>
          <cell r="AX129">
            <v>1.4</v>
          </cell>
          <cell r="AY129">
            <v>3.5</v>
          </cell>
          <cell r="AZ129">
            <v>5.4</v>
          </cell>
          <cell r="BA129">
            <v>-4</v>
          </cell>
          <cell r="BB129">
            <v>3.5</v>
          </cell>
          <cell r="BC129">
            <v>0.7</v>
          </cell>
          <cell r="BD129">
            <v>3.1</v>
          </cell>
          <cell r="BE129">
            <v>2.1</v>
          </cell>
          <cell r="BF129">
            <v>5.5</v>
          </cell>
          <cell r="BG129">
            <v>3.5</v>
          </cell>
          <cell r="BH129">
            <v>7.5</v>
          </cell>
          <cell r="BI129">
            <v>3.9</v>
          </cell>
          <cell r="BJ129">
            <v>2.8</v>
          </cell>
          <cell r="BK129">
            <v>2.9</v>
          </cell>
          <cell r="BL129">
            <v>40274</v>
          </cell>
          <cell r="BM129">
            <v>3620</v>
          </cell>
          <cell r="BN129">
            <v>43894</v>
          </cell>
          <cell r="BO129">
            <v>12726</v>
          </cell>
          <cell r="BP129">
            <v>2986</v>
          </cell>
          <cell r="BQ129">
            <v>15712</v>
          </cell>
          <cell r="BR129">
            <v>3043</v>
          </cell>
          <cell r="BS129">
            <v>18754</v>
          </cell>
          <cell r="BT129">
            <v>2279</v>
          </cell>
          <cell r="BU129">
            <v>6182</v>
          </cell>
          <cell r="BV129">
            <v>27216</v>
          </cell>
          <cell r="BW129">
            <v>8594</v>
          </cell>
          <cell r="BX129">
            <v>79704</v>
          </cell>
          <cell r="BY129">
            <v>10151</v>
          </cell>
          <cell r="BZ129">
            <v>-948</v>
          </cell>
          <cell r="CA129">
            <v>88907</v>
          </cell>
          <cell r="CB129">
            <v>-1</v>
          </cell>
          <cell r="CC129">
            <v>0</v>
          </cell>
          <cell r="CD129">
            <v>0</v>
          </cell>
          <cell r="CE129">
            <v>0</v>
          </cell>
          <cell r="CF129">
            <v>0</v>
          </cell>
          <cell r="CG129">
            <v>-1</v>
          </cell>
          <cell r="CH129">
            <v>0</v>
          </cell>
          <cell r="CI129">
            <v>0</v>
          </cell>
          <cell r="CJ129">
            <v>0</v>
          </cell>
          <cell r="CK129">
            <v>0</v>
          </cell>
          <cell r="CL129">
            <v>-54</v>
          </cell>
          <cell r="CM129">
            <v>-55</v>
          </cell>
        </row>
        <row r="130">
          <cell r="A130">
            <v>32660</v>
          </cell>
          <cell r="B130">
            <v>42955</v>
          </cell>
          <cell r="C130">
            <v>3829</v>
          </cell>
          <cell r="D130">
            <v>46784</v>
          </cell>
          <cell r="E130">
            <v>14651</v>
          </cell>
          <cell r="F130">
            <v>3610</v>
          </cell>
          <cell r="G130">
            <v>18261</v>
          </cell>
          <cell r="H130">
            <v>2812</v>
          </cell>
          <cell r="I130">
            <v>21073</v>
          </cell>
          <cell r="J130">
            <v>2343</v>
          </cell>
          <cell r="K130">
            <v>6418</v>
          </cell>
          <cell r="L130">
            <v>29835</v>
          </cell>
          <cell r="M130">
            <v>10032</v>
          </cell>
          <cell r="N130">
            <v>86650</v>
          </cell>
          <cell r="O130">
            <v>10240</v>
          </cell>
          <cell r="P130">
            <v>-716</v>
          </cell>
          <cell r="Q130">
            <v>96174</v>
          </cell>
          <cell r="R130">
            <v>3.4</v>
          </cell>
          <cell r="S130">
            <v>2.2999999999999998</v>
          </cell>
          <cell r="T130">
            <v>3.3</v>
          </cell>
          <cell r="U130">
            <v>4.5</v>
          </cell>
          <cell r="V130">
            <v>4.0999999999999996</v>
          </cell>
          <cell r="W130">
            <v>4.4000000000000004</v>
          </cell>
          <cell r="X130">
            <v>-6.8</v>
          </cell>
          <cell r="Y130">
            <v>2.7</v>
          </cell>
          <cell r="Z130">
            <v>2.7</v>
          </cell>
          <cell r="AA130">
            <v>3.8</v>
          </cell>
          <cell r="AB130">
            <v>3</v>
          </cell>
          <cell r="AC130">
            <v>2</v>
          </cell>
          <cell r="AD130">
            <v>3</v>
          </cell>
          <cell r="AE130">
            <v>2.1</v>
          </cell>
          <cell r="AF130">
            <v>3</v>
          </cell>
          <cell r="AG130">
            <v>42923</v>
          </cell>
          <cell r="AH130">
            <v>3842</v>
          </cell>
          <cell r="AI130">
            <v>46765</v>
          </cell>
          <cell r="AJ130">
            <v>14702</v>
          </cell>
          <cell r="AK130">
            <v>3768</v>
          </cell>
          <cell r="AL130">
            <v>18471</v>
          </cell>
          <cell r="AM130">
            <v>2874</v>
          </cell>
          <cell r="AN130">
            <v>21345</v>
          </cell>
          <cell r="AO130">
            <v>2334</v>
          </cell>
          <cell r="AP130">
            <v>6592</v>
          </cell>
          <cell r="AQ130">
            <v>30270</v>
          </cell>
          <cell r="AR130">
            <v>10128</v>
          </cell>
          <cell r="AS130">
            <v>87163</v>
          </cell>
          <cell r="AT130">
            <v>10292</v>
          </cell>
          <cell r="AU130">
            <v>-832</v>
          </cell>
          <cell r="AV130">
            <v>96623</v>
          </cell>
          <cell r="AW130">
            <v>3.1</v>
          </cell>
          <cell r="AX130">
            <v>3</v>
          </cell>
          <cell r="AY130">
            <v>3.1</v>
          </cell>
          <cell r="AZ130">
            <v>4.9000000000000004</v>
          </cell>
          <cell r="BA130">
            <v>14.4</v>
          </cell>
          <cell r="BB130">
            <v>6.7</v>
          </cell>
          <cell r="BC130">
            <v>-5.6</v>
          </cell>
          <cell r="BD130">
            <v>4.9000000000000004</v>
          </cell>
          <cell r="BE130">
            <v>2.4</v>
          </cell>
          <cell r="BF130">
            <v>7</v>
          </cell>
          <cell r="BG130">
            <v>5.0999999999999996</v>
          </cell>
          <cell r="BH130">
            <v>1.8</v>
          </cell>
          <cell r="BI130">
            <v>3.6</v>
          </cell>
          <cell r="BJ130">
            <v>2.9</v>
          </cell>
          <cell r="BK130">
            <v>3.9</v>
          </cell>
          <cell r="BL130">
            <v>43598</v>
          </cell>
          <cell r="BM130">
            <v>3875</v>
          </cell>
          <cell r="BN130">
            <v>47472</v>
          </cell>
          <cell r="BO130">
            <v>14088</v>
          </cell>
          <cell r="BP130">
            <v>3346</v>
          </cell>
          <cell r="BQ130">
            <v>17434</v>
          </cell>
          <cell r="BR130">
            <v>2874</v>
          </cell>
          <cell r="BS130">
            <v>20308</v>
          </cell>
          <cell r="BT130">
            <v>2334</v>
          </cell>
          <cell r="BU130">
            <v>6644</v>
          </cell>
          <cell r="BV130">
            <v>29292</v>
          </cell>
          <cell r="BW130">
            <v>8780</v>
          </cell>
          <cell r="BX130">
            <v>85544</v>
          </cell>
          <cell r="BY130">
            <v>10096</v>
          </cell>
          <cell r="BZ130">
            <v>-539</v>
          </cell>
          <cell r="CA130">
            <v>95102</v>
          </cell>
          <cell r="CB130">
            <v>-1</v>
          </cell>
          <cell r="CC130">
            <v>0</v>
          </cell>
          <cell r="CD130">
            <v>0</v>
          </cell>
          <cell r="CE130">
            <v>0</v>
          </cell>
          <cell r="CF130">
            <v>0</v>
          </cell>
          <cell r="CG130">
            <v>-1</v>
          </cell>
          <cell r="CH130">
            <v>0</v>
          </cell>
          <cell r="CI130">
            <v>0</v>
          </cell>
          <cell r="CJ130">
            <v>0</v>
          </cell>
          <cell r="CK130">
            <v>-1</v>
          </cell>
          <cell r="CL130">
            <v>-37</v>
          </cell>
          <cell r="CM130">
            <v>-37</v>
          </cell>
        </row>
        <row r="131">
          <cell r="A131">
            <v>32752</v>
          </cell>
          <cell r="B131">
            <v>44109</v>
          </cell>
          <cell r="C131">
            <v>3908</v>
          </cell>
          <cell r="D131">
            <v>48017</v>
          </cell>
          <cell r="E131">
            <v>15209</v>
          </cell>
          <cell r="F131">
            <v>3724</v>
          </cell>
          <cell r="G131">
            <v>18933</v>
          </cell>
          <cell r="H131">
            <v>2516</v>
          </cell>
          <cell r="I131">
            <v>21449</v>
          </cell>
          <cell r="J131">
            <v>2412</v>
          </cell>
          <cell r="K131">
            <v>6605</v>
          </cell>
          <cell r="L131">
            <v>30465</v>
          </cell>
          <cell r="M131">
            <v>10117</v>
          </cell>
          <cell r="N131">
            <v>88599</v>
          </cell>
          <cell r="O131">
            <v>10424</v>
          </cell>
          <cell r="P131">
            <v>-527</v>
          </cell>
          <cell r="Q131">
            <v>98497</v>
          </cell>
          <cell r="R131">
            <v>2.7</v>
          </cell>
          <cell r="S131">
            <v>2.1</v>
          </cell>
          <cell r="T131">
            <v>2.6</v>
          </cell>
          <cell r="U131">
            <v>3.8</v>
          </cell>
          <cell r="V131">
            <v>3.2</v>
          </cell>
          <cell r="W131">
            <v>3.7</v>
          </cell>
          <cell r="X131">
            <v>-10.5</v>
          </cell>
          <cell r="Y131">
            <v>1.8</v>
          </cell>
          <cell r="Z131">
            <v>2.9</v>
          </cell>
          <cell r="AA131">
            <v>2.9</v>
          </cell>
          <cell r="AB131">
            <v>2.1</v>
          </cell>
          <cell r="AC131">
            <v>0.8</v>
          </cell>
          <cell r="AD131">
            <v>2.2000000000000002</v>
          </cell>
          <cell r="AE131">
            <v>1.8</v>
          </cell>
          <cell r="AF131">
            <v>2.4</v>
          </cell>
          <cell r="AG131">
            <v>44207</v>
          </cell>
          <cell r="AH131">
            <v>3915</v>
          </cell>
          <cell r="AI131">
            <v>48122</v>
          </cell>
          <cell r="AJ131">
            <v>15302</v>
          </cell>
          <cell r="AK131">
            <v>3660</v>
          </cell>
          <cell r="AL131">
            <v>18963</v>
          </cell>
          <cell r="AM131">
            <v>2435</v>
          </cell>
          <cell r="AN131">
            <v>21398</v>
          </cell>
          <cell r="AO131">
            <v>2422</v>
          </cell>
          <cell r="AP131">
            <v>6419</v>
          </cell>
          <cell r="AQ131">
            <v>30238</v>
          </cell>
          <cell r="AR131">
            <v>9960</v>
          </cell>
          <cell r="AS131">
            <v>88320</v>
          </cell>
          <cell r="AT131">
            <v>10450</v>
          </cell>
          <cell r="AU131">
            <v>-285</v>
          </cell>
          <cell r="AV131">
            <v>98484</v>
          </cell>
          <cell r="AW131">
            <v>3</v>
          </cell>
          <cell r="AX131">
            <v>1.9</v>
          </cell>
          <cell r="AY131">
            <v>2.9</v>
          </cell>
          <cell r="AZ131">
            <v>4.0999999999999996</v>
          </cell>
          <cell r="BA131">
            <v>-2.9</v>
          </cell>
          <cell r="BB131">
            <v>2.7</v>
          </cell>
          <cell r="BC131">
            <v>-15.3</v>
          </cell>
          <cell r="BD131">
            <v>0.2</v>
          </cell>
          <cell r="BE131">
            <v>3.8</v>
          </cell>
          <cell r="BF131">
            <v>-2.6</v>
          </cell>
          <cell r="BG131">
            <v>-0.1</v>
          </cell>
          <cell r="BH131">
            <v>-1.7</v>
          </cell>
          <cell r="BI131">
            <v>1.3</v>
          </cell>
          <cell r="BJ131">
            <v>1.5</v>
          </cell>
          <cell r="BK131">
            <v>1.9</v>
          </cell>
          <cell r="BL131">
            <v>43210</v>
          </cell>
          <cell r="BM131">
            <v>3843</v>
          </cell>
          <cell r="BN131">
            <v>47053</v>
          </cell>
          <cell r="BO131">
            <v>15486</v>
          </cell>
          <cell r="BP131">
            <v>4498</v>
          </cell>
          <cell r="BQ131">
            <v>19985</v>
          </cell>
          <cell r="BR131">
            <v>2435</v>
          </cell>
          <cell r="BS131">
            <v>22420</v>
          </cell>
          <cell r="BT131">
            <v>2422</v>
          </cell>
          <cell r="BU131">
            <v>6390</v>
          </cell>
          <cell r="BV131">
            <v>31226</v>
          </cell>
          <cell r="BW131">
            <v>9566</v>
          </cell>
          <cell r="BX131">
            <v>87846</v>
          </cell>
          <cell r="BY131">
            <v>10305</v>
          </cell>
          <cell r="BZ131">
            <v>-59</v>
          </cell>
          <cell r="CA131">
            <v>98092</v>
          </cell>
          <cell r="CB131">
            <v>0</v>
          </cell>
          <cell r="CC131">
            <v>0</v>
          </cell>
          <cell r="CD131">
            <v>0</v>
          </cell>
          <cell r="CE131">
            <v>0</v>
          </cell>
          <cell r="CF131">
            <v>0</v>
          </cell>
          <cell r="CG131">
            <v>-1</v>
          </cell>
          <cell r="CH131">
            <v>0</v>
          </cell>
          <cell r="CI131">
            <v>0</v>
          </cell>
          <cell r="CJ131">
            <v>0</v>
          </cell>
          <cell r="CK131">
            <v>0</v>
          </cell>
          <cell r="CL131">
            <v>7</v>
          </cell>
          <cell r="CM131">
            <v>6</v>
          </cell>
        </row>
        <row r="132">
          <cell r="A132">
            <v>32843</v>
          </cell>
          <cell r="B132">
            <v>45272</v>
          </cell>
          <cell r="C132">
            <v>4008</v>
          </cell>
          <cell r="D132">
            <v>49279</v>
          </cell>
          <cell r="E132">
            <v>15561</v>
          </cell>
          <cell r="F132">
            <v>3675</v>
          </cell>
          <cell r="G132">
            <v>19236</v>
          </cell>
          <cell r="H132">
            <v>2279</v>
          </cell>
          <cell r="I132">
            <v>21515</v>
          </cell>
          <cell r="J132">
            <v>2476</v>
          </cell>
          <cell r="K132">
            <v>6808</v>
          </cell>
          <cell r="L132">
            <v>30799</v>
          </cell>
          <cell r="M132">
            <v>10154</v>
          </cell>
          <cell r="N132">
            <v>90232</v>
          </cell>
          <cell r="O132">
            <v>10604</v>
          </cell>
          <cell r="P132">
            <v>-331</v>
          </cell>
          <cell r="Q132">
            <v>100504</v>
          </cell>
          <cell r="R132">
            <v>2.6</v>
          </cell>
          <cell r="S132">
            <v>2.6</v>
          </cell>
          <cell r="T132">
            <v>2.6</v>
          </cell>
          <cell r="U132">
            <v>2.2999999999999998</v>
          </cell>
          <cell r="V132">
            <v>-1.3</v>
          </cell>
          <cell r="W132">
            <v>1.6</v>
          </cell>
          <cell r="X132">
            <v>-9.4</v>
          </cell>
          <cell r="Y132">
            <v>0.3</v>
          </cell>
          <cell r="Z132">
            <v>2.7</v>
          </cell>
          <cell r="AA132">
            <v>3.1</v>
          </cell>
          <cell r="AB132">
            <v>1.1000000000000001</v>
          </cell>
          <cell r="AC132">
            <v>0.4</v>
          </cell>
          <cell r="AD132">
            <v>1.8</v>
          </cell>
          <cell r="AE132">
            <v>1.7</v>
          </cell>
          <cell r="AF132">
            <v>2</v>
          </cell>
          <cell r="AG132">
            <v>45090</v>
          </cell>
          <cell r="AH132">
            <v>3980</v>
          </cell>
          <cell r="AI132">
            <v>49070</v>
          </cell>
          <cell r="AJ132">
            <v>15450</v>
          </cell>
          <cell r="AK132">
            <v>3709</v>
          </cell>
          <cell r="AL132">
            <v>19159</v>
          </cell>
          <cell r="AM132">
            <v>2266</v>
          </cell>
          <cell r="AN132">
            <v>21425</v>
          </cell>
          <cell r="AO132">
            <v>2477</v>
          </cell>
          <cell r="AP132">
            <v>6848</v>
          </cell>
          <cell r="AQ132">
            <v>30750</v>
          </cell>
          <cell r="AR132">
            <v>10233</v>
          </cell>
          <cell r="AS132">
            <v>90053</v>
          </cell>
          <cell r="AT132">
            <v>10416</v>
          </cell>
          <cell r="AU132">
            <v>-229</v>
          </cell>
          <cell r="AV132">
            <v>100240</v>
          </cell>
          <cell r="AW132">
            <v>2</v>
          </cell>
          <cell r="AX132">
            <v>1.7</v>
          </cell>
          <cell r="AY132">
            <v>2</v>
          </cell>
          <cell r="AZ132">
            <v>1</v>
          </cell>
          <cell r="BA132">
            <v>1.3</v>
          </cell>
          <cell r="BB132">
            <v>1</v>
          </cell>
          <cell r="BC132">
            <v>-6.9</v>
          </cell>
          <cell r="BD132">
            <v>0.1</v>
          </cell>
          <cell r="BE132">
            <v>2.2999999999999998</v>
          </cell>
          <cell r="BF132">
            <v>6.7</v>
          </cell>
          <cell r="BG132">
            <v>1.7</v>
          </cell>
          <cell r="BH132">
            <v>2.7</v>
          </cell>
          <cell r="BI132">
            <v>2</v>
          </cell>
          <cell r="BJ132">
            <v>-0.3</v>
          </cell>
          <cell r="BK132">
            <v>1.8</v>
          </cell>
          <cell r="BL132">
            <v>46762</v>
          </cell>
          <cell r="BM132">
            <v>4124</v>
          </cell>
          <cell r="BN132">
            <v>50885</v>
          </cell>
          <cell r="BO132">
            <v>17060</v>
          </cell>
          <cell r="BP132">
            <v>3765</v>
          </cell>
          <cell r="BQ132">
            <v>20825</v>
          </cell>
          <cell r="BR132">
            <v>2266</v>
          </cell>
          <cell r="BS132">
            <v>23091</v>
          </cell>
          <cell r="BT132">
            <v>2477</v>
          </cell>
          <cell r="BU132">
            <v>6809</v>
          </cell>
          <cell r="BV132">
            <v>32377</v>
          </cell>
          <cell r="BW132">
            <v>12907</v>
          </cell>
          <cell r="BX132">
            <v>96169</v>
          </cell>
          <cell r="BY132">
            <v>10581</v>
          </cell>
          <cell r="BZ132">
            <v>-693</v>
          </cell>
          <cell r="CA132">
            <v>106057</v>
          </cell>
          <cell r="CB132">
            <v>0</v>
          </cell>
          <cell r="CC132">
            <v>0</v>
          </cell>
          <cell r="CD132">
            <v>0</v>
          </cell>
          <cell r="CE132">
            <v>0</v>
          </cell>
          <cell r="CF132">
            <v>0</v>
          </cell>
          <cell r="CG132">
            <v>1</v>
          </cell>
          <cell r="CH132">
            <v>0</v>
          </cell>
          <cell r="CI132">
            <v>0</v>
          </cell>
          <cell r="CJ132">
            <v>1</v>
          </cell>
          <cell r="CK132">
            <v>1</v>
          </cell>
          <cell r="CL132">
            <v>19</v>
          </cell>
          <cell r="CM132">
            <v>19</v>
          </cell>
        </row>
        <row r="133">
          <cell r="A133">
            <v>32933</v>
          </cell>
          <cell r="B133">
            <v>46437</v>
          </cell>
          <cell r="C133">
            <v>4126</v>
          </cell>
          <cell r="D133">
            <v>50563</v>
          </cell>
          <cell r="E133">
            <v>15572</v>
          </cell>
          <cell r="F133">
            <v>3545</v>
          </cell>
          <cell r="G133">
            <v>19117</v>
          </cell>
          <cell r="H133">
            <v>2175</v>
          </cell>
          <cell r="I133">
            <v>21292</v>
          </cell>
          <cell r="J133">
            <v>2531</v>
          </cell>
          <cell r="K133">
            <v>7039</v>
          </cell>
          <cell r="L133">
            <v>30863</v>
          </cell>
          <cell r="M133">
            <v>10159</v>
          </cell>
          <cell r="N133">
            <v>91583</v>
          </cell>
          <cell r="O133">
            <v>10735</v>
          </cell>
          <cell r="P133">
            <v>-209</v>
          </cell>
          <cell r="Q133">
            <v>102109</v>
          </cell>
          <cell r="R133">
            <v>2.6</v>
          </cell>
          <cell r="S133">
            <v>2.9</v>
          </cell>
          <cell r="T133">
            <v>2.6</v>
          </cell>
          <cell r="U133">
            <v>0.1</v>
          </cell>
          <cell r="V133">
            <v>-3.5</v>
          </cell>
          <cell r="W133">
            <v>-0.6</v>
          </cell>
          <cell r="X133">
            <v>-4.5999999999999996</v>
          </cell>
          <cell r="Y133">
            <v>-1</v>
          </cell>
          <cell r="Z133">
            <v>2.2000000000000002</v>
          </cell>
          <cell r="AA133">
            <v>3.4</v>
          </cell>
          <cell r="AB133">
            <v>0.2</v>
          </cell>
          <cell r="AC133">
            <v>0.1</v>
          </cell>
          <cell r="AD133">
            <v>1.5</v>
          </cell>
          <cell r="AE133">
            <v>1.2</v>
          </cell>
          <cell r="AF133">
            <v>1.6</v>
          </cell>
          <cell r="AG133">
            <v>46396</v>
          </cell>
          <cell r="AH133">
            <v>4129</v>
          </cell>
          <cell r="AI133">
            <v>50525</v>
          </cell>
          <cell r="AJ133">
            <v>15644</v>
          </cell>
          <cell r="AK133">
            <v>3686</v>
          </cell>
          <cell r="AL133">
            <v>19330</v>
          </cell>
          <cell r="AM133">
            <v>2177</v>
          </cell>
          <cell r="AN133">
            <v>21507</v>
          </cell>
          <cell r="AO133">
            <v>2530</v>
          </cell>
          <cell r="AP133">
            <v>7072</v>
          </cell>
          <cell r="AQ133">
            <v>31109</v>
          </cell>
          <cell r="AR133">
            <v>10120</v>
          </cell>
          <cell r="AS133">
            <v>91754</v>
          </cell>
          <cell r="AT133">
            <v>10953</v>
          </cell>
          <cell r="AU133">
            <v>-667</v>
          </cell>
          <cell r="AV133">
            <v>102040</v>
          </cell>
          <cell r="AW133">
            <v>2.9</v>
          </cell>
          <cell r="AX133">
            <v>3.7</v>
          </cell>
          <cell r="AY133">
            <v>3</v>
          </cell>
          <cell r="AZ133">
            <v>1.3</v>
          </cell>
          <cell r="BA133">
            <v>-0.6</v>
          </cell>
          <cell r="BB133">
            <v>0.9</v>
          </cell>
          <cell r="BC133">
            <v>-3.9</v>
          </cell>
          <cell r="BD133">
            <v>0.4</v>
          </cell>
          <cell r="BE133">
            <v>2.1</v>
          </cell>
          <cell r="BF133">
            <v>3.3</v>
          </cell>
          <cell r="BG133">
            <v>1.2</v>
          </cell>
          <cell r="BH133">
            <v>-1.1000000000000001</v>
          </cell>
          <cell r="BI133">
            <v>1.9</v>
          </cell>
          <cell r="BJ133">
            <v>5.2</v>
          </cell>
          <cell r="BK133">
            <v>1.8</v>
          </cell>
          <cell r="BL133">
            <v>44896</v>
          </cell>
          <cell r="BM133">
            <v>4011</v>
          </cell>
          <cell r="BN133">
            <v>48907</v>
          </cell>
          <cell r="BO133">
            <v>14265</v>
          </cell>
          <cell r="BP133">
            <v>3360</v>
          </cell>
          <cell r="BQ133">
            <v>17625</v>
          </cell>
          <cell r="BR133">
            <v>2177</v>
          </cell>
          <cell r="BS133">
            <v>19802</v>
          </cell>
          <cell r="BT133">
            <v>2530</v>
          </cell>
          <cell r="BU133">
            <v>7094</v>
          </cell>
          <cell r="BV133">
            <v>29428</v>
          </cell>
          <cell r="BW133">
            <v>9065</v>
          </cell>
          <cell r="BX133">
            <v>87400</v>
          </cell>
          <cell r="BY133">
            <v>11106</v>
          </cell>
          <cell r="BZ133">
            <v>-854</v>
          </cell>
          <cell r="CA133">
            <v>97653</v>
          </cell>
          <cell r="CB133">
            <v>0</v>
          </cell>
          <cell r="CC133">
            <v>0</v>
          </cell>
          <cell r="CD133">
            <v>0</v>
          </cell>
          <cell r="CE133">
            <v>0</v>
          </cell>
          <cell r="CF133">
            <v>0</v>
          </cell>
          <cell r="CG133">
            <v>0</v>
          </cell>
          <cell r="CH133">
            <v>0</v>
          </cell>
          <cell r="CI133">
            <v>0</v>
          </cell>
          <cell r="CJ133">
            <v>0</v>
          </cell>
          <cell r="CK133">
            <v>0</v>
          </cell>
          <cell r="CL133">
            <v>2</v>
          </cell>
          <cell r="CM133">
            <v>2</v>
          </cell>
        </row>
        <row r="134">
          <cell r="A134">
            <v>33025</v>
          </cell>
          <cell r="B134">
            <v>47362</v>
          </cell>
          <cell r="C134">
            <v>4245</v>
          </cell>
          <cell r="D134">
            <v>51608</v>
          </cell>
          <cell r="E134">
            <v>15424</v>
          </cell>
          <cell r="F134">
            <v>3592</v>
          </cell>
          <cell r="G134">
            <v>19016</v>
          </cell>
          <cell r="H134">
            <v>2157</v>
          </cell>
          <cell r="I134">
            <v>21172</v>
          </cell>
          <cell r="J134">
            <v>2584</v>
          </cell>
          <cell r="K134">
            <v>7239</v>
          </cell>
          <cell r="L134">
            <v>30998</v>
          </cell>
          <cell r="M134">
            <v>10274</v>
          </cell>
          <cell r="N134">
            <v>92956</v>
          </cell>
          <cell r="O134">
            <v>10743</v>
          </cell>
          <cell r="P134">
            <v>-326</v>
          </cell>
          <cell r="Q134">
            <v>103372</v>
          </cell>
          <cell r="R134">
            <v>2</v>
          </cell>
          <cell r="S134">
            <v>2.9</v>
          </cell>
          <cell r="T134">
            <v>2.1</v>
          </cell>
          <cell r="U134">
            <v>-1</v>
          </cell>
          <cell r="V134">
            <v>1.3</v>
          </cell>
          <cell r="W134">
            <v>-0.5</v>
          </cell>
          <cell r="X134">
            <v>-0.8</v>
          </cell>
          <cell r="Y134">
            <v>-0.6</v>
          </cell>
          <cell r="Z134">
            <v>2.1</v>
          </cell>
          <cell r="AA134">
            <v>2.8</v>
          </cell>
          <cell r="AB134">
            <v>0.4</v>
          </cell>
          <cell r="AC134">
            <v>1.1000000000000001</v>
          </cell>
          <cell r="AD134">
            <v>1.5</v>
          </cell>
          <cell r="AE134">
            <v>0.1</v>
          </cell>
          <cell r="AF134">
            <v>1.2</v>
          </cell>
          <cell r="AG134">
            <v>47540</v>
          </cell>
          <cell r="AH134">
            <v>4263</v>
          </cell>
          <cell r="AI134">
            <v>51803</v>
          </cell>
          <cell r="AJ134">
            <v>15694</v>
          </cell>
          <cell r="AK134">
            <v>3245</v>
          </cell>
          <cell r="AL134">
            <v>18939</v>
          </cell>
          <cell r="AM134">
            <v>2166</v>
          </cell>
          <cell r="AN134">
            <v>21105</v>
          </cell>
          <cell r="AO134">
            <v>2580</v>
          </cell>
          <cell r="AP134">
            <v>7236</v>
          </cell>
          <cell r="AQ134">
            <v>30921</v>
          </cell>
          <cell r="AR134">
            <v>10346</v>
          </cell>
          <cell r="AS134">
            <v>93070</v>
          </cell>
          <cell r="AT134">
            <v>10704</v>
          </cell>
          <cell r="AU134">
            <v>179</v>
          </cell>
          <cell r="AV134">
            <v>103953</v>
          </cell>
          <cell r="AW134">
            <v>2.5</v>
          </cell>
          <cell r="AX134">
            <v>3.2</v>
          </cell>
          <cell r="AY134">
            <v>2.5</v>
          </cell>
          <cell r="AZ134">
            <v>0.3</v>
          </cell>
          <cell r="BA134">
            <v>-12</v>
          </cell>
          <cell r="BB134">
            <v>-2</v>
          </cell>
          <cell r="BC134">
            <v>-0.5</v>
          </cell>
          <cell r="BD134">
            <v>-1.9</v>
          </cell>
          <cell r="BE134">
            <v>2</v>
          </cell>
          <cell r="BF134">
            <v>2.2999999999999998</v>
          </cell>
          <cell r="BG134">
            <v>-0.6</v>
          </cell>
          <cell r="BH134">
            <v>2.2000000000000002</v>
          </cell>
          <cell r="BI134">
            <v>1.4</v>
          </cell>
          <cell r="BJ134">
            <v>-2.2999999999999998</v>
          </cell>
          <cell r="BK134">
            <v>1.9</v>
          </cell>
          <cell r="BL134">
            <v>48334</v>
          </cell>
          <cell r="BM134">
            <v>4299</v>
          </cell>
          <cell r="BN134">
            <v>52633</v>
          </cell>
          <cell r="BO134">
            <v>15178</v>
          </cell>
          <cell r="BP134">
            <v>2822</v>
          </cell>
          <cell r="BQ134">
            <v>18001</v>
          </cell>
          <cell r="BR134">
            <v>2166</v>
          </cell>
          <cell r="BS134">
            <v>20167</v>
          </cell>
          <cell r="BT134">
            <v>2580</v>
          </cell>
          <cell r="BU134">
            <v>7278</v>
          </cell>
          <cell r="BV134">
            <v>30028</v>
          </cell>
          <cell r="BW134">
            <v>9083</v>
          </cell>
          <cell r="BX134">
            <v>91744</v>
          </cell>
          <cell r="BY134">
            <v>10504</v>
          </cell>
          <cell r="BZ134">
            <v>-119</v>
          </cell>
          <cell r="CA134">
            <v>102130</v>
          </cell>
          <cell r="CB134">
            <v>0</v>
          </cell>
          <cell r="CC134">
            <v>0</v>
          </cell>
          <cell r="CD134">
            <v>0</v>
          </cell>
          <cell r="CE134">
            <v>0</v>
          </cell>
          <cell r="CF134">
            <v>0</v>
          </cell>
          <cell r="CG134">
            <v>0</v>
          </cell>
          <cell r="CH134">
            <v>0</v>
          </cell>
          <cell r="CI134">
            <v>0</v>
          </cell>
          <cell r="CJ134">
            <v>1</v>
          </cell>
          <cell r="CK134">
            <v>0</v>
          </cell>
          <cell r="CL134">
            <v>-44</v>
          </cell>
          <cell r="CM134">
            <v>-44</v>
          </cell>
        </row>
        <row r="135">
          <cell r="A135">
            <v>33117</v>
          </cell>
          <cell r="B135">
            <v>47796</v>
          </cell>
          <cell r="C135">
            <v>4333</v>
          </cell>
          <cell r="D135">
            <v>52129</v>
          </cell>
          <cell r="E135">
            <v>15401</v>
          </cell>
          <cell r="F135">
            <v>3788</v>
          </cell>
          <cell r="G135">
            <v>19189</v>
          </cell>
          <cell r="H135">
            <v>2152</v>
          </cell>
          <cell r="I135">
            <v>21341</v>
          </cell>
          <cell r="J135">
            <v>2639</v>
          </cell>
          <cell r="K135">
            <v>7336</v>
          </cell>
          <cell r="L135">
            <v>31317</v>
          </cell>
          <cell r="M135">
            <v>10233</v>
          </cell>
          <cell r="N135">
            <v>93673</v>
          </cell>
          <cell r="O135">
            <v>10693</v>
          </cell>
          <cell r="P135">
            <v>-436</v>
          </cell>
          <cell r="Q135">
            <v>103931</v>
          </cell>
          <cell r="R135">
            <v>0.9</v>
          </cell>
          <cell r="S135">
            <v>2.1</v>
          </cell>
          <cell r="T135">
            <v>1</v>
          </cell>
          <cell r="U135">
            <v>-0.1</v>
          </cell>
          <cell r="V135">
            <v>5.5</v>
          </cell>
          <cell r="W135">
            <v>0.9</v>
          </cell>
          <cell r="X135">
            <v>-0.2</v>
          </cell>
          <cell r="Y135">
            <v>0.8</v>
          </cell>
          <cell r="Z135">
            <v>2.1</v>
          </cell>
          <cell r="AA135">
            <v>1.3</v>
          </cell>
          <cell r="AB135">
            <v>1</v>
          </cell>
          <cell r="AC135">
            <v>-0.4</v>
          </cell>
          <cell r="AD135">
            <v>0.8</v>
          </cell>
          <cell r="AE135">
            <v>-0.5</v>
          </cell>
          <cell r="AF135">
            <v>0.5</v>
          </cell>
          <cell r="AG135">
            <v>47858</v>
          </cell>
          <cell r="AH135">
            <v>4325</v>
          </cell>
          <cell r="AI135">
            <v>52183</v>
          </cell>
          <cell r="AJ135">
            <v>14722</v>
          </cell>
          <cell r="AK135">
            <v>3943</v>
          </cell>
          <cell r="AL135">
            <v>18665</v>
          </cell>
          <cell r="AM135">
            <v>2168</v>
          </cell>
          <cell r="AN135">
            <v>20833</v>
          </cell>
          <cell r="AO135">
            <v>2641</v>
          </cell>
          <cell r="AP135">
            <v>7331</v>
          </cell>
          <cell r="AQ135">
            <v>30804</v>
          </cell>
          <cell r="AR135">
            <v>9943</v>
          </cell>
          <cell r="AS135">
            <v>92930</v>
          </cell>
          <cell r="AT135">
            <v>10654</v>
          </cell>
          <cell r="AU135">
            <v>-320</v>
          </cell>
          <cell r="AV135">
            <v>103264</v>
          </cell>
          <cell r="AW135">
            <v>0.7</v>
          </cell>
          <cell r="AX135">
            <v>1.5</v>
          </cell>
          <cell r="AY135">
            <v>0.7</v>
          </cell>
          <cell r="AZ135">
            <v>-6.2</v>
          </cell>
          <cell r="BA135">
            <v>21.5</v>
          </cell>
          <cell r="BB135">
            <v>-1.4</v>
          </cell>
          <cell r="BC135">
            <v>0.1</v>
          </cell>
          <cell r="BD135">
            <v>-1.3</v>
          </cell>
          <cell r="BE135">
            <v>2.2999999999999998</v>
          </cell>
          <cell r="BF135">
            <v>1.3</v>
          </cell>
          <cell r="BG135">
            <v>-0.4</v>
          </cell>
          <cell r="BH135">
            <v>-3.9</v>
          </cell>
          <cell r="BI135">
            <v>-0.2</v>
          </cell>
          <cell r="BJ135">
            <v>-0.5</v>
          </cell>
          <cell r="BK135">
            <v>-0.7</v>
          </cell>
          <cell r="BL135">
            <v>46769</v>
          </cell>
          <cell r="BM135">
            <v>4243</v>
          </cell>
          <cell r="BN135">
            <v>51012</v>
          </cell>
          <cell r="BO135">
            <v>14919</v>
          </cell>
          <cell r="BP135">
            <v>4741</v>
          </cell>
          <cell r="BQ135">
            <v>19660</v>
          </cell>
          <cell r="BR135">
            <v>2168</v>
          </cell>
          <cell r="BS135">
            <v>21828</v>
          </cell>
          <cell r="BT135">
            <v>2641</v>
          </cell>
          <cell r="BU135">
            <v>7304</v>
          </cell>
          <cell r="BV135">
            <v>31772</v>
          </cell>
          <cell r="BW135">
            <v>9693</v>
          </cell>
          <cell r="BX135">
            <v>92478</v>
          </cell>
          <cell r="BY135">
            <v>10491</v>
          </cell>
          <cell r="BZ135">
            <v>114</v>
          </cell>
          <cell r="CA135">
            <v>103083</v>
          </cell>
          <cell r="CB135">
            <v>0</v>
          </cell>
          <cell r="CC135">
            <v>0</v>
          </cell>
          <cell r="CD135">
            <v>0</v>
          </cell>
          <cell r="CE135">
            <v>0</v>
          </cell>
          <cell r="CF135">
            <v>0</v>
          </cell>
          <cell r="CG135">
            <v>0</v>
          </cell>
          <cell r="CH135">
            <v>0</v>
          </cell>
          <cell r="CI135">
            <v>0</v>
          </cell>
          <cell r="CJ135">
            <v>1</v>
          </cell>
          <cell r="CK135">
            <v>0</v>
          </cell>
          <cell r="CL135">
            <v>-109</v>
          </cell>
          <cell r="CM135">
            <v>-109</v>
          </cell>
        </row>
        <row r="136">
          <cell r="A136">
            <v>33208</v>
          </cell>
          <cell r="B136">
            <v>47697</v>
          </cell>
          <cell r="C136">
            <v>4366</v>
          </cell>
          <cell r="D136">
            <v>52063</v>
          </cell>
          <cell r="E136">
            <v>15320</v>
          </cell>
          <cell r="F136">
            <v>4014</v>
          </cell>
          <cell r="G136">
            <v>19334</v>
          </cell>
          <cell r="H136">
            <v>2169</v>
          </cell>
          <cell r="I136">
            <v>21503</v>
          </cell>
          <cell r="J136">
            <v>2690</v>
          </cell>
          <cell r="K136">
            <v>7403</v>
          </cell>
          <cell r="L136">
            <v>31596</v>
          </cell>
          <cell r="M136">
            <v>10152</v>
          </cell>
          <cell r="N136">
            <v>93427</v>
          </cell>
          <cell r="O136">
            <v>10705</v>
          </cell>
          <cell r="P136">
            <v>-333</v>
          </cell>
          <cell r="Q136">
            <v>103800</v>
          </cell>
          <cell r="R136">
            <v>-0.2</v>
          </cell>
          <cell r="S136">
            <v>0.7</v>
          </cell>
          <cell r="T136">
            <v>-0.1</v>
          </cell>
          <cell r="U136">
            <v>-0.5</v>
          </cell>
          <cell r="V136">
            <v>6</v>
          </cell>
          <cell r="W136">
            <v>0.8</v>
          </cell>
          <cell r="X136">
            <v>0.8</v>
          </cell>
          <cell r="Y136">
            <v>0.8</v>
          </cell>
          <cell r="Z136">
            <v>1.9</v>
          </cell>
          <cell r="AA136">
            <v>0.9</v>
          </cell>
          <cell r="AB136">
            <v>0.9</v>
          </cell>
          <cell r="AC136">
            <v>-0.8</v>
          </cell>
          <cell r="AD136">
            <v>-0.3</v>
          </cell>
          <cell r="AE136">
            <v>0.1</v>
          </cell>
          <cell r="AF136">
            <v>-0.1</v>
          </cell>
          <cell r="AG136">
            <v>47637</v>
          </cell>
          <cell r="AH136">
            <v>4376</v>
          </cell>
          <cell r="AI136">
            <v>52013</v>
          </cell>
          <cell r="AJ136">
            <v>15832</v>
          </cell>
          <cell r="AK136">
            <v>4144</v>
          </cell>
          <cell r="AL136">
            <v>19976</v>
          </cell>
          <cell r="AM136">
            <v>2158</v>
          </cell>
          <cell r="AN136">
            <v>22134</v>
          </cell>
          <cell r="AO136">
            <v>2691</v>
          </cell>
          <cell r="AP136">
            <v>7426</v>
          </cell>
          <cell r="AQ136">
            <v>32250</v>
          </cell>
          <cell r="AR136">
            <v>10804</v>
          </cell>
          <cell r="AS136">
            <v>95067</v>
          </cell>
          <cell r="AT136">
            <v>10597</v>
          </cell>
          <cell r="AU136">
            <v>-1160</v>
          </cell>
          <cell r="AV136">
            <v>104505</v>
          </cell>
          <cell r="AW136">
            <v>-0.5</v>
          </cell>
          <cell r="AX136">
            <v>1.2</v>
          </cell>
          <cell r="AY136">
            <v>-0.3</v>
          </cell>
          <cell r="AZ136">
            <v>7.5</v>
          </cell>
          <cell r="BA136">
            <v>5.0999999999999996</v>
          </cell>
          <cell r="BB136">
            <v>7</v>
          </cell>
          <cell r="BC136">
            <v>-0.5</v>
          </cell>
          <cell r="BD136">
            <v>6.2</v>
          </cell>
          <cell r="BE136">
            <v>1.9</v>
          </cell>
          <cell r="BF136">
            <v>1.3</v>
          </cell>
          <cell r="BG136">
            <v>4.7</v>
          </cell>
          <cell r="BH136">
            <v>8.6999999999999993</v>
          </cell>
          <cell r="BI136">
            <v>2.2999999999999998</v>
          </cell>
          <cell r="BJ136">
            <v>-0.5</v>
          </cell>
          <cell r="BK136">
            <v>1.2</v>
          </cell>
          <cell r="BL136">
            <v>49372</v>
          </cell>
          <cell r="BM136">
            <v>4531</v>
          </cell>
          <cell r="BN136">
            <v>53903</v>
          </cell>
          <cell r="BO136">
            <v>17487</v>
          </cell>
          <cell r="BP136">
            <v>4282</v>
          </cell>
          <cell r="BQ136">
            <v>21769</v>
          </cell>
          <cell r="BR136">
            <v>2158</v>
          </cell>
          <cell r="BS136">
            <v>23927</v>
          </cell>
          <cell r="BT136">
            <v>2691</v>
          </cell>
          <cell r="BU136">
            <v>7395</v>
          </cell>
          <cell r="BV136">
            <v>34013</v>
          </cell>
          <cell r="BW136">
            <v>12717</v>
          </cell>
          <cell r="BX136">
            <v>100632</v>
          </cell>
          <cell r="BY136">
            <v>10850</v>
          </cell>
          <cell r="BZ136">
            <v>-1471</v>
          </cell>
          <cell r="CA136">
            <v>110011</v>
          </cell>
          <cell r="CB136">
            <v>0</v>
          </cell>
          <cell r="CC136">
            <v>0</v>
          </cell>
          <cell r="CD136">
            <v>0</v>
          </cell>
          <cell r="CE136">
            <v>0</v>
          </cell>
          <cell r="CF136">
            <v>0</v>
          </cell>
          <cell r="CG136">
            <v>0</v>
          </cell>
          <cell r="CH136">
            <v>1</v>
          </cell>
          <cell r="CI136">
            <v>0</v>
          </cell>
          <cell r="CJ136">
            <v>0</v>
          </cell>
          <cell r="CK136">
            <v>0</v>
          </cell>
          <cell r="CL136">
            <v>-136</v>
          </cell>
          <cell r="CM136">
            <v>-136</v>
          </cell>
        </row>
        <row r="137">
          <cell r="A137">
            <v>33298</v>
          </cell>
          <cell r="B137">
            <v>47368</v>
          </cell>
          <cell r="C137">
            <v>4363</v>
          </cell>
          <cell r="D137">
            <v>51731</v>
          </cell>
          <cell r="E137">
            <v>13919</v>
          </cell>
          <cell r="F137">
            <v>4100</v>
          </cell>
          <cell r="G137">
            <v>18019</v>
          </cell>
          <cell r="H137">
            <v>2225</v>
          </cell>
          <cell r="I137">
            <v>20244</v>
          </cell>
          <cell r="J137">
            <v>2728</v>
          </cell>
          <cell r="K137">
            <v>7484</v>
          </cell>
          <cell r="L137">
            <v>30455</v>
          </cell>
          <cell r="M137">
            <v>9982</v>
          </cell>
          <cell r="N137">
            <v>92564</v>
          </cell>
          <cell r="O137">
            <v>10751</v>
          </cell>
          <cell r="P137">
            <v>147</v>
          </cell>
          <cell r="Q137">
            <v>103462</v>
          </cell>
          <cell r="R137">
            <v>-0.7</v>
          </cell>
          <cell r="S137">
            <v>-0.1</v>
          </cell>
          <cell r="T137">
            <v>-0.6</v>
          </cell>
          <cell r="U137">
            <v>-9.1</v>
          </cell>
          <cell r="V137">
            <v>2.1</v>
          </cell>
          <cell r="W137">
            <v>-6.8</v>
          </cell>
          <cell r="X137">
            <v>2.6</v>
          </cell>
          <cell r="Y137">
            <v>-5.9</v>
          </cell>
          <cell r="Z137">
            <v>1.4</v>
          </cell>
          <cell r="AA137">
            <v>1.1000000000000001</v>
          </cell>
          <cell r="AB137">
            <v>-3.6</v>
          </cell>
          <cell r="AC137">
            <v>-1.7</v>
          </cell>
          <cell r="AD137">
            <v>-0.9</v>
          </cell>
          <cell r="AE137">
            <v>0.4</v>
          </cell>
          <cell r="AF137">
            <v>-0.3</v>
          </cell>
          <cell r="AG137">
            <v>47421</v>
          </cell>
          <cell r="AH137">
            <v>4377</v>
          </cell>
          <cell r="AI137">
            <v>51798</v>
          </cell>
          <cell r="AJ137">
            <v>14142</v>
          </cell>
          <cell r="AK137">
            <v>3976</v>
          </cell>
          <cell r="AL137">
            <v>18118</v>
          </cell>
          <cell r="AM137">
            <v>2213</v>
          </cell>
          <cell r="AN137">
            <v>20331</v>
          </cell>
          <cell r="AO137">
            <v>2729</v>
          </cell>
          <cell r="AP137">
            <v>7453</v>
          </cell>
          <cell r="AQ137">
            <v>30513</v>
          </cell>
          <cell r="AR137">
            <v>9151</v>
          </cell>
          <cell r="AS137">
            <v>91461</v>
          </cell>
          <cell r="AT137">
            <v>10906</v>
          </cell>
          <cell r="AU137">
            <v>764</v>
          </cell>
          <cell r="AV137">
            <v>103130</v>
          </cell>
          <cell r="AW137">
            <v>-0.5</v>
          </cell>
          <cell r="AX137">
            <v>0</v>
          </cell>
          <cell r="AY137">
            <v>-0.4</v>
          </cell>
          <cell r="AZ137">
            <v>-10.7</v>
          </cell>
          <cell r="BA137">
            <v>-4.0999999999999996</v>
          </cell>
          <cell r="BB137">
            <v>-9.3000000000000007</v>
          </cell>
          <cell r="BC137">
            <v>2.5</v>
          </cell>
          <cell r="BD137">
            <v>-8.1</v>
          </cell>
          <cell r="BE137">
            <v>1.4</v>
          </cell>
          <cell r="BF137">
            <v>0.4</v>
          </cell>
          <cell r="BG137">
            <v>-5.4</v>
          </cell>
          <cell r="BH137">
            <v>-15.3</v>
          </cell>
          <cell r="BI137">
            <v>-3.8</v>
          </cell>
          <cell r="BJ137">
            <v>2.9</v>
          </cell>
          <cell r="BK137">
            <v>-1.3</v>
          </cell>
          <cell r="BL137">
            <v>46277</v>
          </cell>
          <cell r="BM137">
            <v>4258</v>
          </cell>
          <cell r="BN137">
            <v>50535</v>
          </cell>
          <cell r="BO137">
            <v>12970</v>
          </cell>
          <cell r="BP137">
            <v>3322</v>
          </cell>
          <cell r="BQ137">
            <v>16291</v>
          </cell>
          <cell r="BR137">
            <v>2213</v>
          </cell>
          <cell r="BS137">
            <v>18504</v>
          </cell>
          <cell r="BT137">
            <v>2729</v>
          </cell>
          <cell r="BU137">
            <v>7470</v>
          </cell>
          <cell r="BV137">
            <v>28704</v>
          </cell>
          <cell r="BW137">
            <v>8259</v>
          </cell>
          <cell r="BX137">
            <v>87498</v>
          </cell>
          <cell r="BY137">
            <v>11036</v>
          </cell>
          <cell r="BZ137">
            <v>751</v>
          </cell>
          <cell r="CA137">
            <v>99285</v>
          </cell>
          <cell r="CB137">
            <v>0</v>
          </cell>
          <cell r="CC137">
            <v>0</v>
          </cell>
          <cell r="CD137">
            <v>-1</v>
          </cell>
          <cell r="CE137">
            <v>0</v>
          </cell>
          <cell r="CF137">
            <v>0</v>
          </cell>
          <cell r="CG137">
            <v>0</v>
          </cell>
          <cell r="CH137">
            <v>-1</v>
          </cell>
          <cell r="CI137">
            <v>0</v>
          </cell>
          <cell r="CJ137">
            <v>-1</v>
          </cell>
          <cell r="CK137">
            <v>-1</v>
          </cell>
          <cell r="CL137">
            <v>-91</v>
          </cell>
          <cell r="CM137">
            <v>-92</v>
          </cell>
        </row>
        <row r="138">
          <cell r="A138">
            <v>33390</v>
          </cell>
          <cell r="B138">
            <v>47215</v>
          </cell>
          <cell r="C138">
            <v>4360</v>
          </cell>
          <cell r="D138">
            <v>51575</v>
          </cell>
          <cell r="E138">
            <v>13954</v>
          </cell>
          <cell r="F138">
            <v>4015</v>
          </cell>
          <cell r="G138">
            <v>17969</v>
          </cell>
          <cell r="H138">
            <v>2323</v>
          </cell>
          <cell r="I138">
            <v>20291</v>
          </cell>
          <cell r="J138">
            <v>2751</v>
          </cell>
          <cell r="K138">
            <v>7607</v>
          </cell>
          <cell r="L138">
            <v>30649</v>
          </cell>
          <cell r="M138">
            <v>9701</v>
          </cell>
          <cell r="N138">
            <v>91931</v>
          </cell>
          <cell r="O138">
            <v>10724</v>
          </cell>
          <cell r="P138">
            <v>774</v>
          </cell>
          <cell r="Q138">
            <v>103429</v>
          </cell>
          <cell r="R138">
            <v>-0.3</v>
          </cell>
          <cell r="S138">
            <v>-0.1</v>
          </cell>
          <cell r="T138">
            <v>-0.3</v>
          </cell>
          <cell r="U138">
            <v>0.3</v>
          </cell>
          <cell r="V138">
            <v>-2.1</v>
          </cell>
          <cell r="W138">
            <v>-0.3</v>
          </cell>
          <cell r="X138">
            <v>4.4000000000000004</v>
          </cell>
          <cell r="Y138">
            <v>0.2</v>
          </cell>
          <cell r="Z138">
            <v>0.9</v>
          </cell>
          <cell r="AA138">
            <v>1.6</v>
          </cell>
          <cell r="AB138">
            <v>0.6</v>
          </cell>
          <cell r="AC138">
            <v>-2.8</v>
          </cell>
          <cell r="AD138">
            <v>-0.7</v>
          </cell>
          <cell r="AE138">
            <v>-0.2</v>
          </cell>
          <cell r="AF138">
            <v>0</v>
          </cell>
          <cell r="AG138">
            <v>47099</v>
          </cell>
          <cell r="AH138">
            <v>4327</v>
          </cell>
          <cell r="AI138">
            <v>51426</v>
          </cell>
          <cell r="AJ138">
            <v>13272</v>
          </cell>
          <cell r="AK138">
            <v>4106</v>
          </cell>
          <cell r="AL138">
            <v>17378</v>
          </cell>
          <cell r="AM138">
            <v>2334</v>
          </cell>
          <cell r="AN138">
            <v>19712</v>
          </cell>
          <cell r="AO138">
            <v>2755</v>
          </cell>
          <cell r="AP138">
            <v>7582</v>
          </cell>
          <cell r="AQ138">
            <v>30048</v>
          </cell>
          <cell r="AR138">
            <v>10414</v>
          </cell>
          <cell r="AS138">
            <v>91888</v>
          </cell>
          <cell r="AT138">
            <v>10740</v>
          </cell>
          <cell r="AU138">
            <v>600</v>
          </cell>
          <cell r="AV138">
            <v>103228</v>
          </cell>
          <cell r="AW138">
            <v>-0.7</v>
          </cell>
          <cell r="AX138">
            <v>-1.1000000000000001</v>
          </cell>
          <cell r="AY138">
            <v>-0.7</v>
          </cell>
          <cell r="AZ138">
            <v>-6.2</v>
          </cell>
          <cell r="BA138">
            <v>3.3</v>
          </cell>
          <cell r="BB138">
            <v>-4.0999999999999996</v>
          </cell>
          <cell r="BC138">
            <v>5.5</v>
          </cell>
          <cell r="BD138">
            <v>-3</v>
          </cell>
          <cell r="BE138">
            <v>0.9</v>
          </cell>
          <cell r="BF138">
            <v>1.7</v>
          </cell>
          <cell r="BG138">
            <v>-1.5</v>
          </cell>
          <cell r="BH138">
            <v>13.8</v>
          </cell>
          <cell r="BI138">
            <v>0.5</v>
          </cell>
          <cell r="BJ138">
            <v>-1.5</v>
          </cell>
          <cell r="BK138">
            <v>0.1</v>
          </cell>
          <cell r="BL138">
            <v>47550</v>
          </cell>
          <cell r="BM138">
            <v>4360</v>
          </cell>
          <cell r="BN138">
            <v>51910</v>
          </cell>
          <cell r="BO138">
            <v>12770</v>
          </cell>
          <cell r="BP138">
            <v>3920</v>
          </cell>
          <cell r="BQ138">
            <v>16690</v>
          </cell>
          <cell r="BR138">
            <v>2334</v>
          </cell>
          <cell r="BS138">
            <v>19024</v>
          </cell>
          <cell r="BT138">
            <v>2755</v>
          </cell>
          <cell r="BU138">
            <v>7615</v>
          </cell>
          <cell r="BV138">
            <v>29394</v>
          </cell>
          <cell r="BW138">
            <v>9583</v>
          </cell>
          <cell r="BX138">
            <v>90887</v>
          </cell>
          <cell r="BY138">
            <v>10505</v>
          </cell>
          <cell r="BZ138">
            <v>767</v>
          </cell>
          <cell r="CA138">
            <v>102158</v>
          </cell>
          <cell r="CB138">
            <v>0</v>
          </cell>
          <cell r="CC138">
            <v>0</v>
          </cell>
          <cell r="CD138">
            <v>0</v>
          </cell>
          <cell r="CE138">
            <v>0</v>
          </cell>
          <cell r="CF138">
            <v>0</v>
          </cell>
          <cell r="CG138">
            <v>0</v>
          </cell>
          <cell r="CH138">
            <v>0</v>
          </cell>
          <cell r="CI138">
            <v>0</v>
          </cell>
          <cell r="CJ138">
            <v>0</v>
          </cell>
          <cell r="CK138">
            <v>0</v>
          </cell>
          <cell r="CL138">
            <v>-59</v>
          </cell>
          <cell r="CM138">
            <v>-58</v>
          </cell>
        </row>
        <row r="139">
          <cell r="A139">
            <v>33482</v>
          </cell>
          <cell r="B139">
            <v>47356</v>
          </cell>
          <cell r="C139">
            <v>4377</v>
          </cell>
          <cell r="D139">
            <v>51733</v>
          </cell>
          <cell r="E139">
            <v>14247</v>
          </cell>
          <cell r="F139">
            <v>4080</v>
          </cell>
          <cell r="G139">
            <v>18327</v>
          </cell>
          <cell r="H139">
            <v>2444</v>
          </cell>
          <cell r="I139">
            <v>20771</v>
          </cell>
          <cell r="J139">
            <v>2769</v>
          </cell>
          <cell r="K139">
            <v>7749</v>
          </cell>
          <cell r="L139">
            <v>31289</v>
          </cell>
          <cell r="M139">
            <v>9439</v>
          </cell>
          <cell r="N139">
            <v>92381</v>
          </cell>
          <cell r="O139">
            <v>10627</v>
          </cell>
          <cell r="P139">
            <v>1012</v>
          </cell>
          <cell r="Q139">
            <v>104020</v>
          </cell>
          <cell r="R139">
            <v>0.3</v>
          </cell>
          <cell r="S139">
            <v>0.4</v>
          </cell>
          <cell r="T139">
            <v>0.3</v>
          </cell>
          <cell r="U139">
            <v>2.1</v>
          </cell>
          <cell r="V139">
            <v>1.6</v>
          </cell>
          <cell r="W139">
            <v>2</v>
          </cell>
          <cell r="X139">
            <v>5.2</v>
          </cell>
          <cell r="Y139">
            <v>2.4</v>
          </cell>
          <cell r="Z139">
            <v>0.6</v>
          </cell>
          <cell r="AA139">
            <v>1.9</v>
          </cell>
          <cell r="AB139">
            <v>2.1</v>
          </cell>
          <cell r="AC139">
            <v>-2.7</v>
          </cell>
          <cell r="AD139">
            <v>0.5</v>
          </cell>
          <cell r="AE139">
            <v>-0.9</v>
          </cell>
          <cell r="AF139">
            <v>0.6</v>
          </cell>
          <cell r="AG139">
            <v>47246</v>
          </cell>
          <cell r="AH139">
            <v>4383</v>
          </cell>
          <cell r="AI139">
            <v>51629</v>
          </cell>
          <cell r="AJ139">
            <v>14580</v>
          </cell>
          <cell r="AK139">
            <v>4036</v>
          </cell>
          <cell r="AL139">
            <v>18616</v>
          </cell>
          <cell r="AM139">
            <v>2456</v>
          </cell>
          <cell r="AN139">
            <v>21072</v>
          </cell>
          <cell r="AO139">
            <v>2764</v>
          </cell>
          <cell r="AP139">
            <v>7787</v>
          </cell>
          <cell r="AQ139">
            <v>31622</v>
          </cell>
          <cell r="AR139">
            <v>9155</v>
          </cell>
          <cell r="AS139">
            <v>92407</v>
          </cell>
          <cell r="AT139">
            <v>10482</v>
          </cell>
          <cell r="AU139">
            <v>1180</v>
          </cell>
          <cell r="AV139">
            <v>104069</v>
          </cell>
          <cell r="AW139">
            <v>0.3</v>
          </cell>
          <cell r="AX139">
            <v>1.3</v>
          </cell>
          <cell r="AY139">
            <v>0.4</v>
          </cell>
          <cell r="AZ139">
            <v>9.9</v>
          </cell>
          <cell r="BA139">
            <v>-1.7</v>
          </cell>
          <cell r="BB139">
            <v>7.1</v>
          </cell>
          <cell r="BC139">
            <v>5.2</v>
          </cell>
          <cell r="BD139">
            <v>6.9</v>
          </cell>
          <cell r="BE139">
            <v>0.3</v>
          </cell>
          <cell r="BF139">
            <v>2.7</v>
          </cell>
          <cell r="BG139">
            <v>5.2</v>
          </cell>
          <cell r="BH139">
            <v>-12.1</v>
          </cell>
          <cell r="BI139">
            <v>0.6</v>
          </cell>
          <cell r="BJ139">
            <v>-2.4</v>
          </cell>
          <cell r="BK139">
            <v>0.8</v>
          </cell>
          <cell r="BL139">
            <v>46536</v>
          </cell>
          <cell r="BM139">
            <v>4302</v>
          </cell>
          <cell r="BN139">
            <v>50837</v>
          </cell>
          <cell r="BO139">
            <v>14804</v>
          </cell>
          <cell r="BP139">
            <v>4681</v>
          </cell>
          <cell r="BQ139">
            <v>19485</v>
          </cell>
          <cell r="BR139">
            <v>2456</v>
          </cell>
          <cell r="BS139">
            <v>21941</v>
          </cell>
          <cell r="BT139">
            <v>2764</v>
          </cell>
          <cell r="BU139">
            <v>7763</v>
          </cell>
          <cell r="BV139">
            <v>32468</v>
          </cell>
          <cell r="BW139">
            <v>8566</v>
          </cell>
          <cell r="BX139">
            <v>91871</v>
          </cell>
          <cell r="BY139">
            <v>10340</v>
          </cell>
          <cell r="BZ139">
            <v>1596</v>
          </cell>
          <cell r="CA139">
            <v>103807</v>
          </cell>
          <cell r="CB139">
            <v>0</v>
          </cell>
          <cell r="CC139">
            <v>0</v>
          </cell>
          <cell r="CD139">
            <v>0</v>
          </cell>
          <cell r="CE139">
            <v>0</v>
          </cell>
          <cell r="CF139">
            <v>0</v>
          </cell>
          <cell r="CG139">
            <v>0</v>
          </cell>
          <cell r="CH139">
            <v>0</v>
          </cell>
          <cell r="CI139">
            <v>0</v>
          </cell>
          <cell r="CJ139">
            <v>1</v>
          </cell>
          <cell r="CK139">
            <v>0</v>
          </cell>
          <cell r="CL139">
            <v>-7</v>
          </cell>
          <cell r="CM139">
            <v>-6</v>
          </cell>
        </row>
        <row r="140">
          <cell r="A140">
            <v>33573</v>
          </cell>
          <cell r="B140">
            <v>47719</v>
          </cell>
          <cell r="C140">
            <v>4405</v>
          </cell>
          <cell r="D140">
            <v>52124</v>
          </cell>
          <cell r="E140">
            <v>14748</v>
          </cell>
          <cell r="F140">
            <v>4335</v>
          </cell>
          <cell r="G140">
            <v>19083</v>
          </cell>
          <cell r="H140">
            <v>2582</v>
          </cell>
          <cell r="I140">
            <v>21665</v>
          </cell>
          <cell r="J140">
            <v>2790</v>
          </cell>
          <cell r="K140">
            <v>7863</v>
          </cell>
          <cell r="L140">
            <v>32318</v>
          </cell>
          <cell r="M140">
            <v>9327</v>
          </cell>
          <cell r="N140">
            <v>93769</v>
          </cell>
          <cell r="O140">
            <v>10544</v>
          </cell>
          <cell r="P140">
            <v>881</v>
          </cell>
          <cell r="Q140">
            <v>105193</v>
          </cell>
          <cell r="R140">
            <v>0.8</v>
          </cell>
          <cell r="S140">
            <v>0.6</v>
          </cell>
          <cell r="T140">
            <v>0.8</v>
          </cell>
          <cell r="U140">
            <v>3.5</v>
          </cell>
          <cell r="V140">
            <v>6.2</v>
          </cell>
          <cell r="W140">
            <v>4.0999999999999996</v>
          </cell>
          <cell r="X140">
            <v>5.6</v>
          </cell>
          <cell r="Y140">
            <v>4.3</v>
          </cell>
          <cell r="Z140">
            <v>0.8</v>
          </cell>
          <cell r="AA140">
            <v>1.5</v>
          </cell>
          <cell r="AB140">
            <v>3.3</v>
          </cell>
          <cell r="AC140">
            <v>-1.2</v>
          </cell>
          <cell r="AD140">
            <v>1.5</v>
          </cell>
          <cell r="AE140">
            <v>-0.8</v>
          </cell>
          <cell r="AF140">
            <v>1.1000000000000001</v>
          </cell>
          <cell r="AG140">
            <v>47935</v>
          </cell>
          <cell r="AH140">
            <v>4429</v>
          </cell>
          <cell r="AI140">
            <v>52363</v>
          </cell>
          <cell r="AJ140">
            <v>14760</v>
          </cell>
          <cell r="AK140">
            <v>4115</v>
          </cell>
          <cell r="AL140">
            <v>18875</v>
          </cell>
          <cell r="AM140">
            <v>2577</v>
          </cell>
          <cell r="AN140">
            <v>21452</v>
          </cell>
          <cell r="AO140">
            <v>2789</v>
          </cell>
          <cell r="AP140">
            <v>7866</v>
          </cell>
          <cell r="AQ140">
            <v>32107</v>
          </cell>
          <cell r="AR140">
            <v>9186</v>
          </cell>
          <cell r="AS140">
            <v>93657</v>
          </cell>
          <cell r="AT140">
            <v>10696</v>
          </cell>
          <cell r="AU140">
            <v>744</v>
          </cell>
          <cell r="AV140">
            <v>105097</v>
          </cell>
          <cell r="AW140">
            <v>1.5</v>
          </cell>
          <cell r="AX140">
            <v>1</v>
          </cell>
          <cell r="AY140">
            <v>1.4</v>
          </cell>
          <cell r="AZ140">
            <v>1.2</v>
          </cell>
          <cell r="BA140">
            <v>1.9</v>
          </cell>
          <cell r="BB140">
            <v>1.4</v>
          </cell>
          <cell r="BC140">
            <v>4.9000000000000004</v>
          </cell>
          <cell r="BD140">
            <v>1.8</v>
          </cell>
          <cell r="BE140">
            <v>0.9</v>
          </cell>
          <cell r="BF140">
            <v>1</v>
          </cell>
          <cell r="BG140">
            <v>1.5</v>
          </cell>
          <cell r="BH140">
            <v>0.3</v>
          </cell>
          <cell r="BI140">
            <v>1.4</v>
          </cell>
          <cell r="BJ140">
            <v>2</v>
          </cell>
          <cell r="BK140">
            <v>1</v>
          </cell>
          <cell r="BL140">
            <v>49290</v>
          </cell>
          <cell r="BM140">
            <v>4584</v>
          </cell>
          <cell r="BN140">
            <v>53874</v>
          </cell>
          <cell r="BO140">
            <v>16350</v>
          </cell>
          <cell r="BP140">
            <v>4092</v>
          </cell>
          <cell r="BQ140">
            <v>20442</v>
          </cell>
          <cell r="BR140">
            <v>2577</v>
          </cell>
          <cell r="BS140">
            <v>23019</v>
          </cell>
          <cell r="BT140">
            <v>2789</v>
          </cell>
          <cell r="BU140">
            <v>7847</v>
          </cell>
          <cell r="BV140">
            <v>33655</v>
          </cell>
          <cell r="BW140">
            <v>11392</v>
          </cell>
          <cell r="BX140">
            <v>98921</v>
          </cell>
          <cell r="BY140">
            <v>10926</v>
          </cell>
          <cell r="BZ140">
            <v>719</v>
          </cell>
          <cell r="CA140">
            <v>110566</v>
          </cell>
          <cell r="CB140">
            <v>-1</v>
          </cell>
          <cell r="CC140">
            <v>0</v>
          </cell>
          <cell r="CD140">
            <v>0</v>
          </cell>
          <cell r="CE140">
            <v>0</v>
          </cell>
          <cell r="CF140">
            <v>0</v>
          </cell>
          <cell r="CG140">
            <v>0</v>
          </cell>
          <cell r="CH140">
            <v>0</v>
          </cell>
          <cell r="CI140">
            <v>0</v>
          </cell>
          <cell r="CJ140">
            <v>0</v>
          </cell>
          <cell r="CK140">
            <v>0</v>
          </cell>
          <cell r="CL140">
            <v>17</v>
          </cell>
          <cell r="CM140">
            <v>16</v>
          </cell>
        </row>
        <row r="141">
          <cell r="A141">
            <v>33664</v>
          </cell>
          <cell r="B141">
            <v>48215</v>
          </cell>
          <cell r="C141">
            <v>4452</v>
          </cell>
          <cell r="D141">
            <v>52667</v>
          </cell>
          <cell r="E141">
            <v>14859</v>
          </cell>
          <cell r="F141">
            <v>4588</v>
          </cell>
          <cell r="G141">
            <v>19447</v>
          </cell>
          <cell r="H141">
            <v>2773</v>
          </cell>
          <cell r="I141">
            <v>22220</v>
          </cell>
          <cell r="J141">
            <v>2819</v>
          </cell>
          <cell r="K141">
            <v>7928</v>
          </cell>
          <cell r="L141">
            <v>32967</v>
          </cell>
          <cell r="M141">
            <v>9363</v>
          </cell>
          <cell r="N141">
            <v>94997</v>
          </cell>
          <cell r="O141">
            <v>10556</v>
          </cell>
          <cell r="P141">
            <v>664</v>
          </cell>
          <cell r="Q141">
            <v>106218</v>
          </cell>
          <cell r="R141">
            <v>1</v>
          </cell>
          <cell r="S141">
            <v>1.1000000000000001</v>
          </cell>
          <cell r="T141">
            <v>1</v>
          </cell>
          <cell r="U141">
            <v>0.8</v>
          </cell>
          <cell r="V141">
            <v>5.8</v>
          </cell>
          <cell r="W141">
            <v>1.9</v>
          </cell>
          <cell r="X141">
            <v>7.4</v>
          </cell>
          <cell r="Y141">
            <v>2.6</v>
          </cell>
          <cell r="Z141">
            <v>1</v>
          </cell>
          <cell r="AA141">
            <v>0.8</v>
          </cell>
          <cell r="AB141">
            <v>2</v>
          </cell>
          <cell r="AC141">
            <v>0.4</v>
          </cell>
          <cell r="AD141">
            <v>1.3</v>
          </cell>
          <cell r="AE141">
            <v>0.1</v>
          </cell>
          <cell r="AF141">
            <v>1</v>
          </cell>
          <cell r="AG141">
            <v>48092</v>
          </cell>
          <cell r="AH141">
            <v>4441</v>
          </cell>
          <cell r="AI141">
            <v>52533</v>
          </cell>
          <cell r="AJ141">
            <v>15052</v>
          </cell>
          <cell r="AK141">
            <v>4869</v>
          </cell>
          <cell r="AL141">
            <v>19921</v>
          </cell>
          <cell r="AM141">
            <v>2762</v>
          </cell>
          <cell r="AN141">
            <v>22683</v>
          </cell>
          <cell r="AO141">
            <v>2819</v>
          </cell>
          <cell r="AP141">
            <v>7919</v>
          </cell>
          <cell r="AQ141">
            <v>33421</v>
          </cell>
          <cell r="AR141">
            <v>9567</v>
          </cell>
          <cell r="AS141">
            <v>95520</v>
          </cell>
          <cell r="AT141">
            <v>10443</v>
          </cell>
          <cell r="AU141">
            <v>664</v>
          </cell>
          <cell r="AV141">
            <v>106628</v>
          </cell>
          <cell r="AW141">
            <v>0.3</v>
          </cell>
          <cell r="AX141">
            <v>0.3</v>
          </cell>
          <cell r="AY141">
            <v>0.3</v>
          </cell>
          <cell r="AZ141">
            <v>2</v>
          </cell>
          <cell r="BA141">
            <v>18.3</v>
          </cell>
          <cell r="BB141">
            <v>5.5</v>
          </cell>
          <cell r="BC141">
            <v>7.2</v>
          </cell>
          <cell r="BD141">
            <v>5.7</v>
          </cell>
          <cell r="BE141">
            <v>1.1000000000000001</v>
          </cell>
          <cell r="BF141">
            <v>0.7</v>
          </cell>
          <cell r="BG141">
            <v>4.0999999999999996</v>
          </cell>
          <cell r="BH141">
            <v>4.0999999999999996</v>
          </cell>
          <cell r="BI141">
            <v>2</v>
          </cell>
          <cell r="BJ141">
            <v>-2.4</v>
          </cell>
          <cell r="BK141">
            <v>1.5</v>
          </cell>
          <cell r="BL141">
            <v>47182</v>
          </cell>
          <cell r="BM141">
            <v>4362</v>
          </cell>
          <cell r="BN141">
            <v>51544</v>
          </cell>
          <cell r="BO141">
            <v>13738</v>
          </cell>
          <cell r="BP141">
            <v>4604</v>
          </cell>
          <cell r="BQ141">
            <v>18342</v>
          </cell>
          <cell r="BR141">
            <v>2762</v>
          </cell>
          <cell r="BS141">
            <v>21104</v>
          </cell>
          <cell r="BT141">
            <v>2819</v>
          </cell>
          <cell r="BU141">
            <v>7930</v>
          </cell>
          <cell r="BV141">
            <v>31853</v>
          </cell>
          <cell r="BW141">
            <v>8730</v>
          </cell>
          <cell r="BX141">
            <v>92127</v>
          </cell>
          <cell r="BY141">
            <v>10530</v>
          </cell>
          <cell r="BZ141">
            <v>-61</v>
          </cell>
          <cell r="CA141">
            <v>102596</v>
          </cell>
          <cell r="CB141">
            <v>0</v>
          </cell>
          <cell r="CC141">
            <v>0</v>
          </cell>
          <cell r="CD141">
            <v>0</v>
          </cell>
          <cell r="CE141">
            <v>0</v>
          </cell>
          <cell r="CF141">
            <v>0</v>
          </cell>
          <cell r="CG141">
            <v>0</v>
          </cell>
          <cell r="CH141">
            <v>0</v>
          </cell>
          <cell r="CI141">
            <v>0</v>
          </cell>
          <cell r="CJ141">
            <v>0</v>
          </cell>
          <cell r="CK141">
            <v>0</v>
          </cell>
          <cell r="CL141">
            <v>51</v>
          </cell>
          <cell r="CM141">
            <v>51</v>
          </cell>
        </row>
        <row r="142">
          <cell r="A142">
            <v>33756</v>
          </cell>
          <cell r="B142">
            <v>48766</v>
          </cell>
          <cell r="C142">
            <v>4534</v>
          </cell>
          <cell r="D142">
            <v>53299</v>
          </cell>
          <cell r="E142">
            <v>14811</v>
          </cell>
          <cell r="F142">
            <v>4697</v>
          </cell>
          <cell r="G142">
            <v>19508</v>
          </cell>
          <cell r="H142">
            <v>3036</v>
          </cell>
          <cell r="I142">
            <v>22544</v>
          </cell>
          <cell r="J142">
            <v>2853</v>
          </cell>
          <cell r="K142">
            <v>7974</v>
          </cell>
          <cell r="L142">
            <v>33371</v>
          </cell>
          <cell r="M142">
            <v>9722</v>
          </cell>
          <cell r="N142">
            <v>96392</v>
          </cell>
          <cell r="O142">
            <v>10627</v>
          </cell>
          <cell r="P142">
            <v>124</v>
          </cell>
          <cell r="Q142">
            <v>107143</v>
          </cell>
          <cell r="R142">
            <v>1.1000000000000001</v>
          </cell>
          <cell r="S142">
            <v>1.8</v>
          </cell>
          <cell r="T142">
            <v>1.2</v>
          </cell>
          <cell r="U142">
            <v>-0.3</v>
          </cell>
          <cell r="V142">
            <v>2.4</v>
          </cell>
          <cell r="W142">
            <v>0.3</v>
          </cell>
          <cell r="X142">
            <v>9.5</v>
          </cell>
          <cell r="Y142">
            <v>1.5</v>
          </cell>
          <cell r="Z142">
            <v>1.2</v>
          </cell>
          <cell r="AA142">
            <v>0.6</v>
          </cell>
          <cell r="AB142">
            <v>1.2</v>
          </cell>
          <cell r="AC142">
            <v>3.8</v>
          </cell>
          <cell r="AD142">
            <v>1.5</v>
          </cell>
          <cell r="AE142">
            <v>0.7</v>
          </cell>
          <cell r="AF142">
            <v>0.9</v>
          </cell>
          <cell r="AG142">
            <v>48709</v>
          </cell>
          <cell r="AH142">
            <v>4497</v>
          </cell>
          <cell r="AI142">
            <v>53206</v>
          </cell>
          <cell r="AJ142">
            <v>14749</v>
          </cell>
          <cell r="AK142">
            <v>4702</v>
          </cell>
          <cell r="AL142">
            <v>19451</v>
          </cell>
          <cell r="AM142">
            <v>3011</v>
          </cell>
          <cell r="AN142">
            <v>22462</v>
          </cell>
          <cell r="AO142">
            <v>2853</v>
          </cell>
          <cell r="AP142">
            <v>7966</v>
          </cell>
          <cell r="AQ142">
            <v>33281</v>
          </cell>
          <cell r="AR142">
            <v>9524</v>
          </cell>
          <cell r="AS142">
            <v>96011</v>
          </cell>
          <cell r="AT142">
            <v>10645</v>
          </cell>
          <cell r="AU142">
            <v>368</v>
          </cell>
          <cell r="AV142">
            <v>107024</v>
          </cell>
          <cell r="AW142">
            <v>1.3</v>
          </cell>
          <cell r="AX142">
            <v>1.3</v>
          </cell>
          <cell r="AY142">
            <v>1.3</v>
          </cell>
          <cell r="AZ142">
            <v>-2</v>
          </cell>
          <cell r="BA142">
            <v>-3.4</v>
          </cell>
          <cell r="BB142">
            <v>-2.4</v>
          </cell>
          <cell r="BC142">
            <v>9</v>
          </cell>
          <cell r="BD142">
            <v>-1</v>
          </cell>
          <cell r="BE142">
            <v>1.2</v>
          </cell>
          <cell r="BF142">
            <v>0.6</v>
          </cell>
          <cell r="BG142">
            <v>-0.4</v>
          </cell>
          <cell r="BH142">
            <v>-0.4</v>
          </cell>
          <cell r="BI142">
            <v>0.5</v>
          </cell>
          <cell r="BJ142">
            <v>1.9</v>
          </cell>
          <cell r="BK142">
            <v>0.4</v>
          </cell>
          <cell r="BL142">
            <v>49389</v>
          </cell>
          <cell r="BM142">
            <v>4564</v>
          </cell>
          <cell r="BN142">
            <v>53953</v>
          </cell>
          <cell r="BO142">
            <v>14150</v>
          </cell>
          <cell r="BP142">
            <v>4333</v>
          </cell>
          <cell r="BQ142">
            <v>18483</v>
          </cell>
          <cell r="BR142">
            <v>3011</v>
          </cell>
          <cell r="BS142">
            <v>21494</v>
          </cell>
          <cell r="BT142">
            <v>2853</v>
          </cell>
          <cell r="BU142">
            <v>7991</v>
          </cell>
          <cell r="BV142">
            <v>32339</v>
          </cell>
          <cell r="BW142">
            <v>8732</v>
          </cell>
          <cell r="BX142">
            <v>95024</v>
          </cell>
          <cell r="BY142">
            <v>10449</v>
          </cell>
          <cell r="BZ142">
            <v>-4</v>
          </cell>
          <cell r="CA142">
            <v>105469</v>
          </cell>
          <cell r="CB142">
            <v>0</v>
          </cell>
          <cell r="CC142">
            <v>0</v>
          </cell>
          <cell r="CD142">
            <v>0</v>
          </cell>
          <cell r="CE142">
            <v>0</v>
          </cell>
          <cell r="CF142">
            <v>0</v>
          </cell>
          <cell r="CG142">
            <v>1</v>
          </cell>
          <cell r="CH142">
            <v>0</v>
          </cell>
          <cell r="CI142">
            <v>0</v>
          </cell>
          <cell r="CJ142">
            <v>0</v>
          </cell>
          <cell r="CK142">
            <v>0</v>
          </cell>
          <cell r="CL142">
            <v>29</v>
          </cell>
          <cell r="CM142">
            <v>29</v>
          </cell>
        </row>
        <row r="143">
          <cell r="A143">
            <v>33848</v>
          </cell>
          <cell r="B143">
            <v>49268</v>
          </cell>
          <cell r="C143">
            <v>4648</v>
          </cell>
          <cell r="D143">
            <v>53915</v>
          </cell>
          <cell r="E143">
            <v>15101</v>
          </cell>
          <cell r="F143">
            <v>4591</v>
          </cell>
          <cell r="G143">
            <v>19692</v>
          </cell>
          <cell r="H143">
            <v>3333</v>
          </cell>
          <cell r="I143">
            <v>23024</v>
          </cell>
          <cell r="J143">
            <v>2888</v>
          </cell>
          <cell r="K143">
            <v>8018</v>
          </cell>
          <cell r="L143">
            <v>33930</v>
          </cell>
          <cell r="M143">
            <v>10024</v>
          </cell>
          <cell r="N143">
            <v>97869</v>
          </cell>
          <cell r="O143">
            <v>10699</v>
          </cell>
          <cell r="P143">
            <v>-208</v>
          </cell>
          <cell r="Q143">
            <v>108360</v>
          </cell>
          <cell r="R143">
            <v>1</v>
          </cell>
          <cell r="S143">
            <v>2.5</v>
          </cell>
          <cell r="T143">
            <v>1.2</v>
          </cell>
          <cell r="U143">
            <v>2</v>
          </cell>
          <cell r="V143">
            <v>-2.2999999999999998</v>
          </cell>
          <cell r="W143">
            <v>0.9</v>
          </cell>
          <cell r="X143">
            <v>9.8000000000000007</v>
          </cell>
          <cell r="Y143">
            <v>2.1</v>
          </cell>
          <cell r="Z143">
            <v>1.2</v>
          </cell>
          <cell r="AA143">
            <v>0.6</v>
          </cell>
          <cell r="AB143">
            <v>1.7</v>
          </cell>
          <cell r="AC143">
            <v>3.1</v>
          </cell>
          <cell r="AD143">
            <v>1.5</v>
          </cell>
          <cell r="AE143">
            <v>0.7</v>
          </cell>
          <cell r="AF143">
            <v>1.1000000000000001</v>
          </cell>
          <cell r="AG143">
            <v>49398</v>
          </cell>
          <cell r="AH143">
            <v>4681</v>
          </cell>
          <cell r="AI143">
            <v>54079</v>
          </cell>
          <cell r="AJ143">
            <v>14634</v>
          </cell>
          <cell r="AK143">
            <v>4469</v>
          </cell>
          <cell r="AL143">
            <v>19103</v>
          </cell>
          <cell r="AM143">
            <v>3362</v>
          </cell>
          <cell r="AN143">
            <v>22465</v>
          </cell>
          <cell r="AO143">
            <v>2889</v>
          </cell>
          <cell r="AP143">
            <v>8023</v>
          </cell>
          <cell r="AQ143">
            <v>33377</v>
          </cell>
          <cell r="AR143">
            <v>10144</v>
          </cell>
          <cell r="AS143">
            <v>97600</v>
          </cell>
          <cell r="AT143">
            <v>10737</v>
          </cell>
          <cell r="AU143">
            <v>-344</v>
          </cell>
          <cell r="AV143">
            <v>107993</v>
          </cell>
          <cell r="AW143">
            <v>1.4</v>
          </cell>
          <cell r="AX143">
            <v>4.0999999999999996</v>
          </cell>
          <cell r="AY143">
            <v>1.6</v>
          </cell>
          <cell r="AZ143">
            <v>-0.8</v>
          </cell>
          <cell r="BA143">
            <v>-5</v>
          </cell>
          <cell r="BB143">
            <v>-1.8</v>
          </cell>
          <cell r="BC143">
            <v>11.7</v>
          </cell>
          <cell r="BD143">
            <v>0</v>
          </cell>
          <cell r="BE143">
            <v>1.3</v>
          </cell>
          <cell r="BF143">
            <v>0.7</v>
          </cell>
          <cell r="BG143">
            <v>0.3</v>
          </cell>
          <cell r="BH143">
            <v>6.5</v>
          </cell>
          <cell r="BI143">
            <v>1.7</v>
          </cell>
          <cell r="BJ143">
            <v>0.9</v>
          </cell>
          <cell r="BK143">
            <v>0.9</v>
          </cell>
          <cell r="BL143">
            <v>48883</v>
          </cell>
          <cell r="BM143">
            <v>4630</v>
          </cell>
          <cell r="BN143">
            <v>53512</v>
          </cell>
          <cell r="BO143">
            <v>14941</v>
          </cell>
          <cell r="BP143">
            <v>5096</v>
          </cell>
          <cell r="BQ143">
            <v>20038</v>
          </cell>
          <cell r="BR143">
            <v>3362</v>
          </cell>
          <cell r="BS143">
            <v>23399</v>
          </cell>
          <cell r="BT143">
            <v>2889</v>
          </cell>
          <cell r="BU143">
            <v>8006</v>
          </cell>
          <cell r="BV143">
            <v>34295</v>
          </cell>
          <cell r="BW143">
            <v>9335</v>
          </cell>
          <cell r="BX143">
            <v>97142</v>
          </cell>
          <cell r="BY143">
            <v>10613</v>
          </cell>
          <cell r="BZ143">
            <v>-66</v>
          </cell>
          <cell r="CA143">
            <v>107689</v>
          </cell>
          <cell r="CB143">
            <v>0</v>
          </cell>
          <cell r="CC143">
            <v>0</v>
          </cell>
          <cell r="CD143">
            <v>0</v>
          </cell>
          <cell r="CE143">
            <v>0</v>
          </cell>
          <cell r="CF143">
            <v>0</v>
          </cell>
          <cell r="CG143">
            <v>1</v>
          </cell>
          <cell r="CH143">
            <v>0</v>
          </cell>
          <cell r="CI143">
            <v>0</v>
          </cell>
          <cell r="CJ143">
            <v>0</v>
          </cell>
          <cell r="CK143">
            <v>0</v>
          </cell>
          <cell r="CL143">
            <v>-26</v>
          </cell>
          <cell r="CM143">
            <v>-26</v>
          </cell>
        </row>
        <row r="144">
          <cell r="A144">
            <v>33939</v>
          </cell>
          <cell r="B144">
            <v>49713</v>
          </cell>
          <cell r="C144">
            <v>4761</v>
          </cell>
          <cell r="D144">
            <v>54475</v>
          </cell>
          <cell r="E144">
            <v>15803</v>
          </cell>
          <cell r="F144">
            <v>4478</v>
          </cell>
          <cell r="G144">
            <v>20282</v>
          </cell>
          <cell r="H144">
            <v>3608</v>
          </cell>
          <cell r="I144">
            <v>23889</v>
          </cell>
          <cell r="J144">
            <v>2923</v>
          </cell>
          <cell r="K144">
            <v>8047</v>
          </cell>
          <cell r="L144">
            <v>34860</v>
          </cell>
          <cell r="M144">
            <v>10185</v>
          </cell>
          <cell r="N144">
            <v>99519</v>
          </cell>
          <cell r="O144">
            <v>10776</v>
          </cell>
          <cell r="P144">
            <v>-209</v>
          </cell>
          <cell r="Q144">
            <v>110086</v>
          </cell>
          <cell r="R144">
            <v>0.9</v>
          </cell>
          <cell r="S144">
            <v>2.4</v>
          </cell>
          <cell r="T144">
            <v>1</v>
          </cell>
          <cell r="U144">
            <v>4.7</v>
          </cell>
          <cell r="V144">
            <v>-2.5</v>
          </cell>
          <cell r="W144">
            <v>3</v>
          </cell>
          <cell r="X144">
            <v>8.3000000000000007</v>
          </cell>
          <cell r="Y144">
            <v>3.8</v>
          </cell>
          <cell r="Z144">
            <v>1.2</v>
          </cell>
          <cell r="AA144">
            <v>0.4</v>
          </cell>
          <cell r="AB144">
            <v>2.7</v>
          </cell>
          <cell r="AC144">
            <v>1.6</v>
          </cell>
          <cell r="AD144">
            <v>1.7</v>
          </cell>
          <cell r="AE144">
            <v>0.7</v>
          </cell>
          <cell r="AF144">
            <v>1.6</v>
          </cell>
          <cell r="AG144">
            <v>49745</v>
          </cell>
          <cell r="AH144">
            <v>4763</v>
          </cell>
          <cell r="AI144">
            <v>54508</v>
          </cell>
          <cell r="AJ144">
            <v>16249</v>
          </cell>
          <cell r="AK144">
            <v>4577</v>
          </cell>
          <cell r="AL144">
            <v>20826</v>
          </cell>
          <cell r="AM144">
            <v>3611</v>
          </cell>
          <cell r="AN144">
            <v>24437</v>
          </cell>
          <cell r="AO144">
            <v>2923</v>
          </cell>
          <cell r="AP144">
            <v>8055</v>
          </cell>
          <cell r="AQ144">
            <v>35415</v>
          </cell>
          <cell r="AR144">
            <v>10231</v>
          </cell>
          <cell r="AS144">
            <v>100154</v>
          </cell>
          <cell r="AT144">
            <v>10828</v>
          </cell>
          <cell r="AU144">
            <v>-844</v>
          </cell>
          <cell r="AV144">
            <v>110138</v>
          </cell>
          <cell r="AW144">
            <v>0.7</v>
          </cell>
          <cell r="AX144">
            <v>1.8</v>
          </cell>
          <cell r="AY144">
            <v>0.8</v>
          </cell>
          <cell r="AZ144">
            <v>11</v>
          </cell>
          <cell r="BA144">
            <v>2.4</v>
          </cell>
          <cell r="BB144">
            <v>9</v>
          </cell>
          <cell r="BC144">
            <v>7.4</v>
          </cell>
          <cell r="BD144">
            <v>8.8000000000000007</v>
          </cell>
          <cell r="BE144">
            <v>1.2</v>
          </cell>
          <cell r="BF144">
            <v>0.4</v>
          </cell>
          <cell r="BG144">
            <v>6.1</v>
          </cell>
          <cell r="BH144">
            <v>0.9</v>
          </cell>
          <cell r="BI144">
            <v>2.6</v>
          </cell>
          <cell r="BJ144">
            <v>0.9</v>
          </cell>
          <cell r="BK144">
            <v>2</v>
          </cell>
          <cell r="BL144">
            <v>50522</v>
          </cell>
          <cell r="BM144">
            <v>4832</v>
          </cell>
          <cell r="BN144">
            <v>55354</v>
          </cell>
          <cell r="BO144">
            <v>17996</v>
          </cell>
          <cell r="BP144">
            <v>4508</v>
          </cell>
          <cell r="BQ144">
            <v>22504</v>
          </cell>
          <cell r="BR144">
            <v>3611</v>
          </cell>
          <cell r="BS144">
            <v>26115</v>
          </cell>
          <cell r="BT144">
            <v>2923</v>
          </cell>
          <cell r="BU144">
            <v>8043</v>
          </cell>
          <cell r="BV144">
            <v>37080</v>
          </cell>
          <cell r="BW144">
            <v>12156</v>
          </cell>
          <cell r="BX144">
            <v>104590</v>
          </cell>
          <cell r="BY144">
            <v>11104</v>
          </cell>
          <cell r="BZ144">
            <v>27</v>
          </cell>
          <cell r="CA144">
            <v>115721</v>
          </cell>
          <cell r="CB144">
            <v>0</v>
          </cell>
          <cell r="CC144">
            <v>0</v>
          </cell>
          <cell r="CD144">
            <v>0</v>
          </cell>
          <cell r="CE144">
            <v>0</v>
          </cell>
          <cell r="CF144">
            <v>0</v>
          </cell>
          <cell r="CG144">
            <v>0</v>
          </cell>
          <cell r="CH144">
            <v>0</v>
          </cell>
          <cell r="CI144">
            <v>0</v>
          </cell>
          <cell r="CJ144">
            <v>0</v>
          </cell>
          <cell r="CK144">
            <v>0</v>
          </cell>
          <cell r="CL144">
            <v>-25</v>
          </cell>
          <cell r="CM144">
            <v>-25</v>
          </cell>
        </row>
        <row r="145">
          <cell r="A145">
            <v>34029</v>
          </cell>
          <cell r="B145">
            <v>50004</v>
          </cell>
          <cell r="C145">
            <v>4836</v>
          </cell>
          <cell r="D145">
            <v>54840</v>
          </cell>
          <cell r="E145">
            <v>16563</v>
          </cell>
          <cell r="F145">
            <v>4560</v>
          </cell>
          <cell r="G145">
            <v>21124</v>
          </cell>
          <cell r="H145">
            <v>3822</v>
          </cell>
          <cell r="I145">
            <v>24946</v>
          </cell>
          <cell r="J145">
            <v>2960</v>
          </cell>
          <cell r="K145">
            <v>8062</v>
          </cell>
          <cell r="L145">
            <v>35968</v>
          </cell>
          <cell r="M145">
            <v>10164</v>
          </cell>
          <cell r="N145">
            <v>100971</v>
          </cell>
          <cell r="O145">
            <v>10916</v>
          </cell>
          <cell r="P145">
            <v>-175</v>
          </cell>
          <cell r="Q145">
            <v>111712</v>
          </cell>
          <cell r="R145">
            <v>0.6</v>
          </cell>
          <cell r="S145">
            <v>1.6</v>
          </cell>
          <cell r="T145">
            <v>0.7</v>
          </cell>
          <cell r="U145">
            <v>4.8</v>
          </cell>
          <cell r="V145">
            <v>1.8</v>
          </cell>
          <cell r="W145">
            <v>4.2</v>
          </cell>
          <cell r="X145">
            <v>5.9</v>
          </cell>
          <cell r="Y145">
            <v>4.4000000000000004</v>
          </cell>
          <cell r="Z145">
            <v>1.3</v>
          </cell>
          <cell r="AA145">
            <v>0.2</v>
          </cell>
          <cell r="AB145">
            <v>3.2</v>
          </cell>
          <cell r="AC145">
            <v>-0.2</v>
          </cell>
          <cell r="AD145">
            <v>1.5</v>
          </cell>
          <cell r="AE145">
            <v>1.3</v>
          </cell>
          <cell r="AF145">
            <v>1.5</v>
          </cell>
          <cell r="AG145">
            <v>49830</v>
          </cell>
          <cell r="AH145">
            <v>4825</v>
          </cell>
          <cell r="AI145">
            <v>54655</v>
          </cell>
          <cell r="AJ145">
            <v>16305</v>
          </cell>
          <cell r="AK145">
            <v>4411</v>
          </cell>
          <cell r="AL145">
            <v>20716</v>
          </cell>
          <cell r="AM145">
            <v>3823</v>
          </cell>
          <cell r="AN145">
            <v>24539</v>
          </cell>
          <cell r="AO145">
            <v>2959</v>
          </cell>
          <cell r="AP145">
            <v>8057</v>
          </cell>
          <cell r="AQ145">
            <v>35556</v>
          </cell>
          <cell r="AR145">
            <v>10204</v>
          </cell>
          <cell r="AS145">
            <v>100414</v>
          </cell>
          <cell r="AT145">
            <v>10802</v>
          </cell>
          <cell r="AU145">
            <v>789</v>
          </cell>
          <cell r="AV145">
            <v>112006</v>
          </cell>
          <cell r="AW145">
            <v>0.2</v>
          </cell>
          <cell r="AX145">
            <v>1.3</v>
          </cell>
          <cell r="AY145">
            <v>0.3</v>
          </cell>
          <cell r="AZ145">
            <v>0.3</v>
          </cell>
          <cell r="BA145">
            <v>-3.6</v>
          </cell>
          <cell r="BB145">
            <v>-0.5</v>
          </cell>
          <cell r="BC145">
            <v>5.9</v>
          </cell>
          <cell r="BD145">
            <v>0.4</v>
          </cell>
          <cell r="BE145">
            <v>1.2</v>
          </cell>
          <cell r="BF145">
            <v>0</v>
          </cell>
          <cell r="BG145">
            <v>0.4</v>
          </cell>
          <cell r="BH145">
            <v>-0.3</v>
          </cell>
          <cell r="BI145">
            <v>0.3</v>
          </cell>
          <cell r="BJ145">
            <v>-0.2</v>
          </cell>
          <cell r="BK145">
            <v>1.7</v>
          </cell>
          <cell r="BL145">
            <v>48920</v>
          </cell>
          <cell r="BM145">
            <v>4740</v>
          </cell>
          <cell r="BN145">
            <v>53659</v>
          </cell>
          <cell r="BO145">
            <v>14845</v>
          </cell>
          <cell r="BP145">
            <v>4250</v>
          </cell>
          <cell r="BQ145">
            <v>19094</v>
          </cell>
          <cell r="BR145">
            <v>3823</v>
          </cell>
          <cell r="BS145">
            <v>22917</v>
          </cell>
          <cell r="BT145">
            <v>2959</v>
          </cell>
          <cell r="BU145">
            <v>8063</v>
          </cell>
          <cell r="BV145">
            <v>33939</v>
          </cell>
          <cell r="BW145">
            <v>9937</v>
          </cell>
          <cell r="BX145">
            <v>97535</v>
          </cell>
          <cell r="BY145">
            <v>10831</v>
          </cell>
          <cell r="BZ145">
            <v>-490</v>
          </cell>
          <cell r="CA145">
            <v>107876</v>
          </cell>
          <cell r="CB145">
            <v>0</v>
          </cell>
          <cell r="CC145">
            <v>0</v>
          </cell>
          <cell r="CD145">
            <v>0</v>
          </cell>
          <cell r="CE145">
            <v>0</v>
          </cell>
          <cell r="CF145">
            <v>0</v>
          </cell>
          <cell r="CG145">
            <v>0</v>
          </cell>
          <cell r="CH145">
            <v>-1</v>
          </cell>
          <cell r="CI145">
            <v>0</v>
          </cell>
          <cell r="CJ145">
            <v>0</v>
          </cell>
          <cell r="CK145">
            <v>0</v>
          </cell>
          <cell r="CL145">
            <v>-29</v>
          </cell>
          <cell r="CM145">
            <v>-28</v>
          </cell>
        </row>
        <row r="146">
          <cell r="A146">
            <v>34121</v>
          </cell>
          <cell r="B146">
            <v>50185</v>
          </cell>
          <cell r="C146">
            <v>4864</v>
          </cell>
          <cell r="D146">
            <v>55049</v>
          </cell>
          <cell r="E146">
            <v>16919</v>
          </cell>
          <cell r="F146">
            <v>4716</v>
          </cell>
          <cell r="G146">
            <v>21635</v>
          </cell>
          <cell r="H146">
            <v>3983</v>
          </cell>
          <cell r="I146">
            <v>25618</v>
          </cell>
          <cell r="J146">
            <v>2999</v>
          </cell>
          <cell r="K146">
            <v>8082</v>
          </cell>
          <cell r="L146">
            <v>36699</v>
          </cell>
          <cell r="M146">
            <v>10097</v>
          </cell>
          <cell r="N146">
            <v>101845</v>
          </cell>
          <cell r="O146">
            <v>11218</v>
          </cell>
          <cell r="P146">
            <v>-278</v>
          </cell>
          <cell r="Q146">
            <v>112785</v>
          </cell>
          <cell r="R146">
            <v>0.4</v>
          </cell>
          <cell r="S146">
            <v>0.6</v>
          </cell>
          <cell r="T146">
            <v>0.4</v>
          </cell>
          <cell r="U146">
            <v>2.1</v>
          </cell>
          <cell r="V146">
            <v>3.4</v>
          </cell>
          <cell r="W146">
            <v>2.4</v>
          </cell>
          <cell r="X146">
            <v>4.2</v>
          </cell>
          <cell r="Y146">
            <v>2.7</v>
          </cell>
          <cell r="Z146">
            <v>1.3</v>
          </cell>
          <cell r="AA146">
            <v>0.2</v>
          </cell>
          <cell r="AB146">
            <v>2</v>
          </cell>
          <cell r="AC146">
            <v>-0.7</v>
          </cell>
          <cell r="AD146">
            <v>0.9</v>
          </cell>
          <cell r="AE146">
            <v>2.8</v>
          </cell>
          <cell r="AF146">
            <v>1</v>
          </cell>
          <cell r="AG146">
            <v>50496</v>
          </cell>
          <cell r="AH146">
            <v>4895</v>
          </cell>
          <cell r="AI146">
            <v>55391</v>
          </cell>
          <cell r="AJ146">
            <v>17303</v>
          </cell>
          <cell r="AK146">
            <v>4793</v>
          </cell>
          <cell r="AL146">
            <v>22095</v>
          </cell>
          <cell r="AM146">
            <v>3998</v>
          </cell>
          <cell r="AN146">
            <v>26093</v>
          </cell>
          <cell r="AO146">
            <v>2998</v>
          </cell>
          <cell r="AP146">
            <v>8079</v>
          </cell>
          <cell r="AQ146">
            <v>37169</v>
          </cell>
          <cell r="AR146">
            <v>9961</v>
          </cell>
          <cell r="AS146">
            <v>102521</v>
          </cell>
          <cell r="AT146">
            <v>11196</v>
          </cell>
          <cell r="AU146">
            <v>-553</v>
          </cell>
          <cell r="AV146">
            <v>113164</v>
          </cell>
          <cell r="AW146">
            <v>1.3</v>
          </cell>
          <cell r="AX146">
            <v>1.5</v>
          </cell>
          <cell r="AY146">
            <v>1.3</v>
          </cell>
          <cell r="AZ146">
            <v>6.1</v>
          </cell>
          <cell r="BA146">
            <v>8.6</v>
          </cell>
          <cell r="BB146">
            <v>6.7</v>
          </cell>
          <cell r="BC146">
            <v>4.5999999999999996</v>
          </cell>
          <cell r="BD146">
            <v>6.3</v>
          </cell>
          <cell r="BE146">
            <v>1.3</v>
          </cell>
          <cell r="BF146">
            <v>0.3</v>
          </cell>
          <cell r="BG146">
            <v>4.5</v>
          </cell>
          <cell r="BH146">
            <v>-2.4</v>
          </cell>
          <cell r="BI146">
            <v>2.1</v>
          </cell>
          <cell r="BJ146">
            <v>3.6</v>
          </cell>
          <cell r="BK146">
            <v>1</v>
          </cell>
          <cell r="BL146">
            <v>51173</v>
          </cell>
          <cell r="BM146">
            <v>4964</v>
          </cell>
          <cell r="BN146">
            <v>56138</v>
          </cell>
          <cell r="BO146">
            <v>16580</v>
          </cell>
          <cell r="BP146">
            <v>4424</v>
          </cell>
          <cell r="BQ146">
            <v>21003</v>
          </cell>
          <cell r="BR146">
            <v>3998</v>
          </cell>
          <cell r="BS146">
            <v>25001</v>
          </cell>
          <cell r="BT146">
            <v>2998</v>
          </cell>
          <cell r="BU146">
            <v>8097</v>
          </cell>
          <cell r="BV146">
            <v>36095</v>
          </cell>
          <cell r="BW146">
            <v>9120</v>
          </cell>
          <cell r="BX146">
            <v>101353</v>
          </cell>
          <cell r="BY146">
            <v>10988</v>
          </cell>
          <cell r="BZ146">
            <v>-258</v>
          </cell>
          <cell r="CA146">
            <v>112083</v>
          </cell>
          <cell r="CB146">
            <v>0</v>
          </cell>
          <cell r="CC146">
            <v>0</v>
          </cell>
          <cell r="CD146">
            <v>-1</v>
          </cell>
          <cell r="CE146">
            <v>0</v>
          </cell>
          <cell r="CF146">
            <v>0</v>
          </cell>
          <cell r="CG146">
            <v>0</v>
          </cell>
          <cell r="CH146">
            <v>1</v>
          </cell>
          <cell r="CI146">
            <v>0</v>
          </cell>
          <cell r="CJ146">
            <v>0</v>
          </cell>
          <cell r="CK146">
            <v>0</v>
          </cell>
          <cell r="CL146">
            <v>-29</v>
          </cell>
          <cell r="CM146">
            <v>-29</v>
          </cell>
        </row>
        <row r="147">
          <cell r="A147">
            <v>34213</v>
          </cell>
          <cell r="B147">
            <v>50496</v>
          </cell>
          <cell r="C147">
            <v>4891</v>
          </cell>
          <cell r="D147">
            <v>55387</v>
          </cell>
          <cell r="E147">
            <v>17031</v>
          </cell>
          <cell r="F147">
            <v>4895</v>
          </cell>
          <cell r="G147">
            <v>21926</v>
          </cell>
          <cell r="H147">
            <v>4129</v>
          </cell>
          <cell r="I147">
            <v>26055</v>
          </cell>
          <cell r="J147">
            <v>3041</v>
          </cell>
          <cell r="K147">
            <v>8124</v>
          </cell>
          <cell r="L147">
            <v>37220</v>
          </cell>
          <cell r="M147">
            <v>10121</v>
          </cell>
          <cell r="N147">
            <v>102727</v>
          </cell>
          <cell r="O147">
            <v>11610</v>
          </cell>
          <cell r="P147">
            <v>-518</v>
          </cell>
          <cell r="Q147">
            <v>113819</v>
          </cell>
          <cell r="R147">
            <v>0.6</v>
          </cell>
          <cell r="S147">
            <v>0.6</v>
          </cell>
          <cell r="T147">
            <v>0.6</v>
          </cell>
          <cell r="U147">
            <v>0.7</v>
          </cell>
          <cell r="V147">
            <v>3.8</v>
          </cell>
          <cell r="W147">
            <v>1.3</v>
          </cell>
          <cell r="X147">
            <v>3.7</v>
          </cell>
          <cell r="Y147">
            <v>1.7</v>
          </cell>
          <cell r="Z147">
            <v>1.4</v>
          </cell>
          <cell r="AA147">
            <v>0.5</v>
          </cell>
          <cell r="AB147">
            <v>1.4</v>
          </cell>
          <cell r="AC147">
            <v>0.2</v>
          </cell>
          <cell r="AD147">
            <v>0.9</v>
          </cell>
          <cell r="AE147">
            <v>3.5</v>
          </cell>
          <cell r="AF147">
            <v>0.9</v>
          </cell>
          <cell r="AG147">
            <v>50341</v>
          </cell>
          <cell r="AH147">
            <v>4880</v>
          </cell>
          <cell r="AI147">
            <v>55221</v>
          </cell>
          <cell r="AJ147">
            <v>16794</v>
          </cell>
          <cell r="AK147">
            <v>4937</v>
          </cell>
          <cell r="AL147">
            <v>21730</v>
          </cell>
          <cell r="AM147">
            <v>4112</v>
          </cell>
          <cell r="AN147">
            <v>25842</v>
          </cell>
          <cell r="AO147">
            <v>3042</v>
          </cell>
          <cell r="AP147">
            <v>8115</v>
          </cell>
          <cell r="AQ147">
            <v>36999</v>
          </cell>
          <cell r="AR147">
            <v>10127</v>
          </cell>
          <cell r="AS147">
            <v>102348</v>
          </cell>
          <cell r="AT147">
            <v>11703</v>
          </cell>
          <cell r="AU147">
            <v>-993</v>
          </cell>
          <cell r="AV147">
            <v>113058</v>
          </cell>
          <cell r="AW147">
            <v>-0.3</v>
          </cell>
          <cell r="AX147">
            <v>-0.3</v>
          </cell>
          <cell r="AY147">
            <v>-0.3</v>
          </cell>
          <cell r="AZ147">
            <v>-2.9</v>
          </cell>
          <cell r="BA147">
            <v>3</v>
          </cell>
          <cell r="BB147">
            <v>-1.7</v>
          </cell>
          <cell r="BC147">
            <v>2.9</v>
          </cell>
          <cell r="BD147">
            <v>-1</v>
          </cell>
          <cell r="BE147">
            <v>1.5</v>
          </cell>
          <cell r="BF147">
            <v>0.4</v>
          </cell>
          <cell r="BG147">
            <v>-0.5</v>
          </cell>
          <cell r="BH147">
            <v>1.7</v>
          </cell>
          <cell r="BI147">
            <v>-0.2</v>
          </cell>
          <cell r="BJ147">
            <v>4.5</v>
          </cell>
          <cell r="BK147">
            <v>-0.1</v>
          </cell>
          <cell r="BL147">
            <v>49832</v>
          </cell>
          <cell r="BM147">
            <v>4830</v>
          </cell>
          <cell r="BN147">
            <v>54662</v>
          </cell>
          <cell r="BO147">
            <v>17219</v>
          </cell>
          <cell r="BP147">
            <v>5575</v>
          </cell>
          <cell r="BQ147">
            <v>22793</v>
          </cell>
          <cell r="BR147">
            <v>4112</v>
          </cell>
          <cell r="BS147">
            <v>26905</v>
          </cell>
          <cell r="BT147">
            <v>3042</v>
          </cell>
          <cell r="BU147">
            <v>8104</v>
          </cell>
          <cell r="BV147">
            <v>38051</v>
          </cell>
          <cell r="BW147">
            <v>9399</v>
          </cell>
          <cell r="BX147">
            <v>102112</v>
          </cell>
          <cell r="BY147">
            <v>11592</v>
          </cell>
          <cell r="BZ147">
            <v>-935</v>
          </cell>
          <cell r="CA147">
            <v>112769</v>
          </cell>
          <cell r="CB147">
            <v>0</v>
          </cell>
          <cell r="CC147">
            <v>0</v>
          </cell>
          <cell r="CD147">
            <v>0</v>
          </cell>
          <cell r="CE147">
            <v>0</v>
          </cell>
          <cell r="CF147">
            <v>0</v>
          </cell>
          <cell r="CG147">
            <v>0</v>
          </cell>
          <cell r="CH147">
            <v>1</v>
          </cell>
          <cell r="CI147">
            <v>0</v>
          </cell>
          <cell r="CJ147">
            <v>-1</v>
          </cell>
          <cell r="CK147">
            <v>0</v>
          </cell>
          <cell r="CL147">
            <v>-5</v>
          </cell>
          <cell r="CM147">
            <v>-5</v>
          </cell>
        </row>
        <row r="148">
          <cell r="A148">
            <v>34304</v>
          </cell>
          <cell r="B148">
            <v>51297</v>
          </cell>
          <cell r="C148">
            <v>4962</v>
          </cell>
          <cell r="D148">
            <v>56259</v>
          </cell>
          <cell r="E148">
            <v>17123</v>
          </cell>
          <cell r="F148">
            <v>5016</v>
          </cell>
          <cell r="G148">
            <v>22138</v>
          </cell>
          <cell r="H148">
            <v>4285</v>
          </cell>
          <cell r="I148">
            <v>26424</v>
          </cell>
          <cell r="J148">
            <v>3081</v>
          </cell>
          <cell r="K148">
            <v>8177</v>
          </cell>
          <cell r="L148">
            <v>37681</v>
          </cell>
          <cell r="M148">
            <v>10220</v>
          </cell>
          <cell r="N148">
            <v>104160</v>
          </cell>
          <cell r="O148">
            <v>11956</v>
          </cell>
          <cell r="P148">
            <v>-812</v>
          </cell>
          <cell r="Q148">
            <v>115304</v>
          </cell>
          <cell r="R148">
            <v>1.6</v>
          </cell>
          <cell r="S148">
            <v>1.5</v>
          </cell>
          <cell r="T148">
            <v>1.6</v>
          </cell>
          <cell r="U148">
            <v>0.5</v>
          </cell>
          <cell r="V148">
            <v>2.5</v>
          </cell>
          <cell r="W148">
            <v>1</v>
          </cell>
          <cell r="X148">
            <v>3.8</v>
          </cell>
          <cell r="Y148">
            <v>1.4</v>
          </cell>
          <cell r="Z148">
            <v>1.3</v>
          </cell>
          <cell r="AA148">
            <v>0.7</v>
          </cell>
          <cell r="AB148">
            <v>1.2</v>
          </cell>
          <cell r="AC148">
            <v>1</v>
          </cell>
          <cell r="AD148">
            <v>1.4</v>
          </cell>
          <cell r="AE148">
            <v>3</v>
          </cell>
          <cell r="AF148">
            <v>1.3</v>
          </cell>
          <cell r="AG148">
            <v>50966</v>
          </cell>
          <cell r="AH148">
            <v>4921</v>
          </cell>
          <cell r="AI148">
            <v>55887</v>
          </cell>
          <cell r="AJ148">
            <v>16991</v>
          </cell>
          <cell r="AK148">
            <v>4904</v>
          </cell>
          <cell r="AL148">
            <v>21895</v>
          </cell>
          <cell r="AM148">
            <v>4287</v>
          </cell>
          <cell r="AN148">
            <v>26182</v>
          </cell>
          <cell r="AO148">
            <v>3081</v>
          </cell>
          <cell r="AP148">
            <v>8186</v>
          </cell>
          <cell r="AQ148">
            <v>37449</v>
          </cell>
          <cell r="AR148">
            <v>10349</v>
          </cell>
          <cell r="AS148">
            <v>103685</v>
          </cell>
          <cell r="AT148">
            <v>11956</v>
          </cell>
          <cell r="AU148">
            <v>-160</v>
          </cell>
          <cell r="AV148">
            <v>115481</v>
          </cell>
          <cell r="AW148">
            <v>1.2</v>
          </cell>
          <cell r="AX148">
            <v>0.8</v>
          </cell>
          <cell r="AY148">
            <v>1.2</v>
          </cell>
          <cell r="AZ148">
            <v>1.2</v>
          </cell>
          <cell r="BA148">
            <v>-0.7</v>
          </cell>
          <cell r="BB148">
            <v>0.8</v>
          </cell>
          <cell r="BC148">
            <v>4.3</v>
          </cell>
          <cell r="BD148">
            <v>1.3</v>
          </cell>
          <cell r="BE148">
            <v>1.3</v>
          </cell>
          <cell r="BF148">
            <v>0.9</v>
          </cell>
          <cell r="BG148">
            <v>1.2</v>
          </cell>
          <cell r="BH148">
            <v>2.2000000000000002</v>
          </cell>
          <cell r="BI148">
            <v>1.3</v>
          </cell>
          <cell r="BJ148">
            <v>2.2000000000000002</v>
          </cell>
          <cell r="BK148">
            <v>2.1</v>
          </cell>
          <cell r="BL148">
            <v>51763</v>
          </cell>
          <cell r="BM148">
            <v>4991</v>
          </cell>
          <cell r="BN148">
            <v>56754</v>
          </cell>
          <cell r="BO148">
            <v>18745</v>
          </cell>
          <cell r="BP148">
            <v>4805</v>
          </cell>
          <cell r="BQ148">
            <v>23551</v>
          </cell>
          <cell r="BR148">
            <v>4287</v>
          </cell>
          <cell r="BS148">
            <v>27837</v>
          </cell>
          <cell r="BT148">
            <v>3081</v>
          </cell>
          <cell r="BU148">
            <v>8179</v>
          </cell>
          <cell r="BV148">
            <v>39097</v>
          </cell>
          <cell r="BW148">
            <v>12854</v>
          </cell>
          <cell r="BX148">
            <v>108705</v>
          </cell>
          <cell r="BY148">
            <v>12277</v>
          </cell>
          <cell r="BZ148">
            <v>610</v>
          </cell>
          <cell r="CA148">
            <v>121592</v>
          </cell>
          <cell r="CB148">
            <v>0</v>
          </cell>
          <cell r="CC148">
            <v>0</v>
          </cell>
          <cell r="CD148">
            <v>0</v>
          </cell>
          <cell r="CE148">
            <v>0</v>
          </cell>
          <cell r="CF148">
            <v>0</v>
          </cell>
          <cell r="CG148">
            <v>0</v>
          </cell>
          <cell r="CH148">
            <v>0</v>
          </cell>
          <cell r="CI148">
            <v>0</v>
          </cell>
          <cell r="CJ148">
            <v>1</v>
          </cell>
          <cell r="CK148">
            <v>0</v>
          </cell>
          <cell r="CL148">
            <v>-17</v>
          </cell>
          <cell r="CM148">
            <v>-18</v>
          </cell>
        </row>
        <row r="149">
          <cell r="A149">
            <v>34394</v>
          </cell>
          <cell r="B149">
            <v>52390</v>
          </cell>
          <cell r="C149">
            <v>5087</v>
          </cell>
          <cell r="D149">
            <v>57477</v>
          </cell>
          <cell r="E149">
            <v>17287</v>
          </cell>
          <cell r="F149">
            <v>4946</v>
          </cell>
          <cell r="G149">
            <v>22233</v>
          </cell>
          <cell r="H149">
            <v>4485</v>
          </cell>
          <cell r="I149">
            <v>26718</v>
          </cell>
          <cell r="J149">
            <v>3115</v>
          </cell>
          <cell r="K149">
            <v>8231</v>
          </cell>
          <cell r="L149">
            <v>38064</v>
          </cell>
          <cell r="M149">
            <v>10329</v>
          </cell>
          <cell r="N149">
            <v>105870</v>
          </cell>
          <cell r="O149">
            <v>12281</v>
          </cell>
          <cell r="P149">
            <v>-568</v>
          </cell>
          <cell r="Q149">
            <v>117583</v>
          </cell>
          <cell r="R149">
            <v>2.1</v>
          </cell>
          <cell r="S149">
            <v>2.5</v>
          </cell>
          <cell r="T149">
            <v>2.2000000000000002</v>
          </cell>
          <cell r="U149">
            <v>1</v>
          </cell>
          <cell r="V149">
            <v>-1.4</v>
          </cell>
          <cell r="W149">
            <v>0.4</v>
          </cell>
          <cell r="X149">
            <v>4.7</v>
          </cell>
          <cell r="Y149">
            <v>1.1000000000000001</v>
          </cell>
          <cell r="Z149">
            <v>1.1000000000000001</v>
          </cell>
          <cell r="AA149">
            <v>0.7</v>
          </cell>
          <cell r="AB149">
            <v>1</v>
          </cell>
          <cell r="AC149">
            <v>1.1000000000000001</v>
          </cell>
          <cell r="AD149">
            <v>1.6</v>
          </cell>
          <cell r="AE149">
            <v>2.7</v>
          </cell>
          <cell r="AF149">
            <v>2</v>
          </cell>
          <cell r="AG149">
            <v>52502</v>
          </cell>
          <cell r="AH149">
            <v>5104</v>
          </cell>
          <cell r="AI149">
            <v>57605</v>
          </cell>
          <cell r="AJ149">
            <v>17606</v>
          </cell>
          <cell r="AK149">
            <v>5132</v>
          </cell>
          <cell r="AL149">
            <v>22738</v>
          </cell>
          <cell r="AM149">
            <v>4485</v>
          </cell>
          <cell r="AN149">
            <v>27223</v>
          </cell>
          <cell r="AO149">
            <v>3115</v>
          </cell>
          <cell r="AP149">
            <v>8241</v>
          </cell>
          <cell r="AQ149">
            <v>38579</v>
          </cell>
          <cell r="AR149">
            <v>10158</v>
          </cell>
          <cell r="AS149">
            <v>106343</v>
          </cell>
          <cell r="AT149">
            <v>12251</v>
          </cell>
          <cell r="AU149">
            <v>-833</v>
          </cell>
          <cell r="AV149">
            <v>117760</v>
          </cell>
          <cell r="AW149">
            <v>3</v>
          </cell>
          <cell r="AX149">
            <v>3.7</v>
          </cell>
          <cell r="AY149">
            <v>3.1</v>
          </cell>
          <cell r="AZ149">
            <v>3.6</v>
          </cell>
          <cell r="BA149">
            <v>4.7</v>
          </cell>
          <cell r="BB149">
            <v>3.9</v>
          </cell>
          <cell r="BC149">
            <v>4.5999999999999996</v>
          </cell>
          <cell r="BD149">
            <v>4</v>
          </cell>
          <cell r="BE149">
            <v>1.1000000000000001</v>
          </cell>
          <cell r="BF149">
            <v>0.7</v>
          </cell>
          <cell r="BG149">
            <v>3</v>
          </cell>
          <cell r="BH149">
            <v>-1.8</v>
          </cell>
          <cell r="BI149">
            <v>2.6</v>
          </cell>
          <cell r="BJ149">
            <v>2.5</v>
          </cell>
          <cell r="BK149">
            <v>2</v>
          </cell>
          <cell r="BL149">
            <v>51541</v>
          </cell>
          <cell r="BM149">
            <v>5015</v>
          </cell>
          <cell r="BN149">
            <v>56556</v>
          </cell>
          <cell r="BO149">
            <v>16017</v>
          </cell>
          <cell r="BP149">
            <v>4997</v>
          </cell>
          <cell r="BQ149">
            <v>21014</v>
          </cell>
          <cell r="BR149">
            <v>4485</v>
          </cell>
          <cell r="BS149">
            <v>25499</v>
          </cell>
          <cell r="BT149">
            <v>3115</v>
          </cell>
          <cell r="BU149">
            <v>8242</v>
          </cell>
          <cell r="BV149">
            <v>36856</v>
          </cell>
          <cell r="BW149">
            <v>9257</v>
          </cell>
          <cell r="BX149">
            <v>102669</v>
          </cell>
          <cell r="BY149">
            <v>12212</v>
          </cell>
          <cell r="BZ149">
            <v>-1624</v>
          </cell>
          <cell r="CA149">
            <v>113258</v>
          </cell>
          <cell r="CB149">
            <v>0</v>
          </cell>
          <cell r="CC149">
            <v>0</v>
          </cell>
          <cell r="CD149">
            <v>0</v>
          </cell>
          <cell r="CE149">
            <v>0</v>
          </cell>
          <cell r="CF149">
            <v>0</v>
          </cell>
          <cell r="CG149">
            <v>0</v>
          </cell>
          <cell r="CH149">
            <v>0</v>
          </cell>
          <cell r="CI149">
            <v>0</v>
          </cell>
          <cell r="CJ149">
            <v>0</v>
          </cell>
          <cell r="CK149">
            <v>0</v>
          </cell>
          <cell r="CL149">
            <v>169</v>
          </cell>
          <cell r="CM149">
            <v>169</v>
          </cell>
        </row>
        <row r="150">
          <cell r="A150">
            <v>34486</v>
          </cell>
          <cell r="B150">
            <v>53288</v>
          </cell>
          <cell r="C150">
            <v>5228</v>
          </cell>
          <cell r="D150">
            <v>58516</v>
          </cell>
          <cell r="E150">
            <v>17534</v>
          </cell>
          <cell r="F150">
            <v>4828</v>
          </cell>
          <cell r="G150">
            <v>22362</v>
          </cell>
          <cell r="H150">
            <v>4734</v>
          </cell>
          <cell r="I150">
            <v>27096</v>
          </cell>
          <cell r="J150">
            <v>3143</v>
          </cell>
          <cell r="K150">
            <v>8292</v>
          </cell>
          <cell r="L150">
            <v>38531</v>
          </cell>
          <cell r="M150">
            <v>10388</v>
          </cell>
          <cell r="N150">
            <v>107435</v>
          </cell>
          <cell r="O150">
            <v>12649</v>
          </cell>
          <cell r="P150">
            <v>-201</v>
          </cell>
          <cell r="Q150">
            <v>119883</v>
          </cell>
          <cell r="R150">
            <v>1.7</v>
          </cell>
          <cell r="S150">
            <v>2.8</v>
          </cell>
          <cell r="T150">
            <v>1.8</v>
          </cell>
          <cell r="U150">
            <v>1.4</v>
          </cell>
          <cell r="V150">
            <v>-2.4</v>
          </cell>
          <cell r="W150">
            <v>0.6</v>
          </cell>
          <cell r="X150">
            <v>5.6</v>
          </cell>
          <cell r="Y150">
            <v>1.4</v>
          </cell>
          <cell r="Z150">
            <v>0.9</v>
          </cell>
          <cell r="AA150">
            <v>0.7</v>
          </cell>
          <cell r="AB150">
            <v>1.2</v>
          </cell>
          <cell r="AC150">
            <v>0.6</v>
          </cell>
          <cell r="AD150">
            <v>1.5</v>
          </cell>
          <cell r="AE150">
            <v>3</v>
          </cell>
          <cell r="AF150">
            <v>2</v>
          </cell>
          <cell r="AG150">
            <v>53849</v>
          </cell>
          <cell r="AH150">
            <v>5259</v>
          </cell>
          <cell r="AI150">
            <v>59108</v>
          </cell>
          <cell r="AJ150">
            <v>17150</v>
          </cell>
          <cell r="AK150">
            <v>4798</v>
          </cell>
          <cell r="AL150">
            <v>21947</v>
          </cell>
          <cell r="AM150">
            <v>4706</v>
          </cell>
          <cell r="AN150">
            <v>26653</v>
          </cell>
          <cell r="AO150">
            <v>3146</v>
          </cell>
          <cell r="AP150">
            <v>8270</v>
          </cell>
          <cell r="AQ150">
            <v>38069</v>
          </cell>
          <cell r="AR150">
            <v>10517</v>
          </cell>
          <cell r="AS150">
            <v>107694</v>
          </cell>
          <cell r="AT150">
            <v>12544</v>
          </cell>
          <cell r="AU150">
            <v>-924</v>
          </cell>
          <cell r="AV150">
            <v>119313</v>
          </cell>
          <cell r="AW150">
            <v>2.6</v>
          </cell>
          <cell r="AX150">
            <v>3</v>
          </cell>
          <cell r="AY150">
            <v>2.6</v>
          </cell>
          <cell r="AZ150">
            <v>-2.6</v>
          </cell>
          <cell r="BA150">
            <v>-6.5</v>
          </cell>
          <cell r="BB150">
            <v>-3.5</v>
          </cell>
          <cell r="BC150">
            <v>4.9000000000000004</v>
          </cell>
          <cell r="BD150">
            <v>-2.1</v>
          </cell>
          <cell r="BE150">
            <v>1</v>
          </cell>
          <cell r="BF150">
            <v>0.4</v>
          </cell>
          <cell r="BG150">
            <v>-1.3</v>
          </cell>
          <cell r="BH150">
            <v>3.5</v>
          </cell>
          <cell r="BI150">
            <v>1.3</v>
          </cell>
          <cell r="BJ150">
            <v>2.4</v>
          </cell>
          <cell r="BK150">
            <v>1.3</v>
          </cell>
          <cell r="BL150">
            <v>54554</v>
          </cell>
          <cell r="BM150">
            <v>5330</v>
          </cell>
          <cell r="BN150">
            <v>59885</v>
          </cell>
          <cell r="BO150">
            <v>16468</v>
          </cell>
          <cell r="BP150">
            <v>4447</v>
          </cell>
          <cell r="BQ150">
            <v>20915</v>
          </cell>
          <cell r="BR150">
            <v>4706</v>
          </cell>
          <cell r="BS150">
            <v>25621</v>
          </cell>
          <cell r="BT150">
            <v>3146</v>
          </cell>
          <cell r="BU150">
            <v>8287</v>
          </cell>
          <cell r="BV150">
            <v>37053</v>
          </cell>
          <cell r="BW150">
            <v>9646</v>
          </cell>
          <cell r="BX150">
            <v>106585</v>
          </cell>
          <cell r="BY150">
            <v>12359</v>
          </cell>
          <cell r="BZ150">
            <v>-819</v>
          </cell>
          <cell r="CA150">
            <v>118125</v>
          </cell>
          <cell r="CB150">
            <v>0</v>
          </cell>
          <cell r="CC150">
            <v>0</v>
          </cell>
          <cell r="CD150">
            <v>-1</v>
          </cell>
          <cell r="CE150">
            <v>0</v>
          </cell>
          <cell r="CF150">
            <v>0</v>
          </cell>
          <cell r="CG150">
            <v>0</v>
          </cell>
          <cell r="CH150">
            <v>0</v>
          </cell>
          <cell r="CI150">
            <v>0</v>
          </cell>
          <cell r="CJ150">
            <v>-1</v>
          </cell>
          <cell r="CK150">
            <v>0</v>
          </cell>
          <cell r="CL150">
            <v>-73</v>
          </cell>
          <cell r="CM150">
            <v>-74</v>
          </cell>
        </row>
        <row r="151">
          <cell r="A151">
            <v>34578</v>
          </cell>
          <cell r="B151">
            <v>53855</v>
          </cell>
          <cell r="C151">
            <v>5364</v>
          </cell>
          <cell r="D151">
            <v>59219</v>
          </cell>
          <cell r="E151">
            <v>17651</v>
          </cell>
          <cell r="F151">
            <v>4831</v>
          </cell>
          <cell r="G151">
            <v>22482</v>
          </cell>
          <cell r="H151">
            <v>4999</v>
          </cell>
          <cell r="I151">
            <v>27481</v>
          </cell>
          <cell r="J151">
            <v>3170</v>
          </cell>
          <cell r="K151">
            <v>8359</v>
          </cell>
          <cell r="L151">
            <v>39010</v>
          </cell>
          <cell r="M151">
            <v>10439</v>
          </cell>
          <cell r="N151">
            <v>108669</v>
          </cell>
          <cell r="O151">
            <v>12963</v>
          </cell>
          <cell r="P151">
            <v>-64</v>
          </cell>
          <cell r="Q151">
            <v>121568</v>
          </cell>
          <cell r="R151">
            <v>1.1000000000000001</v>
          </cell>
          <cell r="S151">
            <v>2.6</v>
          </cell>
          <cell r="T151">
            <v>1.2</v>
          </cell>
          <cell r="U151">
            <v>0.7</v>
          </cell>
          <cell r="V151">
            <v>0.1</v>
          </cell>
          <cell r="W151">
            <v>0.5</v>
          </cell>
          <cell r="X151">
            <v>5.6</v>
          </cell>
          <cell r="Y151">
            <v>1.4</v>
          </cell>
          <cell r="Z151">
            <v>0.8</v>
          </cell>
          <cell r="AA151">
            <v>0.8</v>
          </cell>
          <cell r="AB151">
            <v>1.2</v>
          </cell>
          <cell r="AC151">
            <v>0.5</v>
          </cell>
          <cell r="AD151">
            <v>1.1000000000000001</v>
          </cell>
          <cell r="AE151">
            <v>2.5</v>
          </cell>
          <cell r="AF151">
            <v>1.4</v>
          </cell>
          <cell r="AG151">
            <v>53438</v>
          </cell>
          <cell r="AH151">
            <v>5340</v>
          </cell>
          <cell r="AI151">
            <v>58778</v>
          </cell>
          <cell r="AJ151">
            <v>17994</v>
          </cell>
          <cell r="AK151">
            <v>4580</v>
          </cell>
          <cell r="AL151">
            <v>22574</v>
          </cell>
          <cell r="AM151">
            <v>5019</v>
          </cell>
          <cell r="AN151">
            <v>27593</v>
          </cell>
          <cell r="AO151">
            <v>3168</v>
          </cell>
          <cell r="AP151">
            <v>8369</v>
          </cell>
          <cell r="AQ151">
            <v>39130</v>
          </cell>
          <cell r="AR151">
            <v>10405</v>
          </cell>
          <cell r="AS151">
            <v>108313</v>
          </cell>
          <cell r="AT151">
            <v>13148</v>
          </cell>
          <cell r="AU151">
            <v>1297</v>
          </cell>
          <cell r="AV151">
            <v>122758</v>
          </cell>
          <cell r="AW151">
            <v>-0.8</v>
          </cell>
          <cell r="AX151">
            <v>1.5</v>
          </cell>
          <cell r="AY151">
            <v>-0.6</v>
          </cell>
          <cell r="AZ151">
            <v>4.9000000000000004</v>
          </cell>
          <cell r="BA151">
            <v>-4.5</v>
          </cell>
          <cell r="BB151">
            <v>2.9</v>
          </cell>
          <cell r="BC151">
            <v>6.7</v>
          </cell>
          <cell r="BD151">
            <v>3.5</v>
          </cell>
          <cell r="BE151">
            <v>0.7</v>
          </cell>
          <cell r="BF151">
            <v>1.2</v>
          </cell>
          <cell r="BG151">
            <v>2.8</v>
          </cell>
          <cell r="BH151">
            <v>-1.1000000000000001</v>
          </cell>
          <cell r="BI151">
            <v>0.6</v>
          </cell>
          <cell r="BJ151">
            <v>4.8</v>
          </cell>
          <cell r="BK151">
            <v>2.9</v>
          </cell>
          <cell r="BL151">
            <v>52921</v>
          </cell>
          <cell r="BM151">
            <v>5288</v>
          </cell>
          <cell r="BN151">
            <v>58209</v>
          </cell>
          <cell r="BO151">
            <v>18515</v>
          </cell>
          <cell r="BP151">
            <v>5142</v>
          </cell>
          <cell r="BQ151">
            <v>23657</v>
          </cell>
          <cell r="BR151">
            <v>5019</v>
          </cell>
          <cell r="BS151">
            <v>28676</v>
          </cell>
          <cell r="BT151">
            <v>3168</v>
          </cell>
          <cell r="BU151">
            <v>8359</v>
          </cell>
          <cell r="BV151">
            <v>40203</v>
          </cell>
          <cell r="BW151">
            <v>9937</v>
          </cell>
          <cell r="BX151">
            <v>108349</v>
          </cell>
          <cell r="BY151">
            <v>13027</v>
          </cell>
          <cell r="BZ151">
            <v>368</v>
          </cell>
          <cell r="CA151">
            <v>121744</v>
          </cell>
          <cell r="CB151">
            <v>0</v>
          </cell>
          <cell r="CC151">
            <v>0</v>
          </cell>
          <cell r="CD151">
            <v>0</v>
          </cell>
          <cell r="CE151">
            <v>0</v>
          </cell>
          <cell r="CF151">
            <v>0</v>
          </cell>
          <cell r="CG151">
            <v>0</v>
          </cell>
          <cell r="CH151">
            <v>0</v>
          </cell>
          <cell r="CI151">
            <v>0</v>
          </cell>
          <cell r="CJ151">
            <v>0</v>
          </cell>
          <cell r="CK151">
            <v>0</v>
          </cell>
          <cell r="CL151">
            <v>-17</v>
          </cell>
          <cell r="CM151">
            <v>-17</v>
          </cell>
        </row>
        <row r="152">
          <cell r="A152">
            <v>34669</v>
          </cell>
          <cell r="B152">
            <v>54414</v>
          </cell>
          <cell r="C152">
            <v>5496</v>
          </cell>
          <cell r="D152">
            <v>59910</v>
          </cell>
          <cell r="E152">
            <v>17644</v>
          </cell>
          <cell r="F152">
            <v>4915</v>
          </cell>
          <cell r="G152">
            <v>22559</v>
          </cell>
          <cell r="H152">
            <v>5231</v>
          </cell>
          <cell r="I152">
            <v>27790</v>
          </cell>
          <cell r="J152">
            <v>3198</v>
          </cell>
          <cell r="K152">
            <v>8443</v>
          </cell>
          <cell r="L152">
            <v>39432</v>
          </cell>
          <cell r="M152">
            <v>10423</v>
          </cell>
          <cell r="N152">
            <v>109764</v>
          </cell>
          <cell r="O152">
            <v>13137</v>
          </cell>
          <cell r="P152">
            <v>-85</v>
          </cell>
          <cell r="Q152">
            <v>122817</v>
          </cell>
          <cell r="R152">
            <v>1</v>
          </cell>
          <cell r="S152">
            <v>2.4</v>
          </cell>
          <cell r="T152">
            <v>1.2</v>
          </cell>
          <cell r="U152">
            <v>0</v>
          </cell>
          <cell r="V152">
            <v>1.7</v>
          </cell>
          <cell r="W152">
            <v>0.3</v>
          </cell>
          <cell r="X152">
            <v>4.7</v>
          </cell>
          <cell r="Y152">
            <v>1.1000000000000001</v>
          </cell>
          <cell r="Z152">
            <v>0.9</v>
          </cell>
          <cell r="AA152">
            <v>1</v>
          </cell>
          <cell r="AB152">
            <v>1.1000000000000001</v>
          </cell>
          <cell r="AC152">
            <v>-0.2</v>
          </cell>
          <cell r="AD152">
            <v>1</v>
          </cell>
          <cell r="AE152">
            <v>1.3</v>
          </cell>
          <cell r="AF152">
            <v>1</v>
          </cell>
          <cell r="AG152">
            <v>54242</v>
          </cell>
          <cell r="AH152">
            <v>5478</v>
          </cell>
          <cell r="AI152">
            <v>59720</v>
          </cell>
          <cell r="AJ152">
            <v>17560</v>
          </cell>
          <cell r="AK152">
            <v>5078</v>
          </cell>
          <cell r="AL152">
            <v>22638</v>
          </cell>
          <cell r="AM152">
            <v>5240</v>
          </cell>
          <cell r="AN152">
            <v>27878</v>
          </cell>
          <cell r="AO152">
            <v>3198</v>
          </cell>
          <cell r="AP152">
            <v>8443</v>
          </cell>
          <cell r="AQ152">
            <v>39520</v>
          </cell>
          <cell r="AR152">
            <v>10415</v>
          </cell>
          <cell r="AS152">
            <v>109654</v>
          </cell>
          <cell r="AT152">
            <v>13131</v>
          </cell>
          <cell r="AU152">
            <v>-752</v>
          </cell>
          <cell r="AV152">
            <v>122032</v>
          </cell>
          <cell r="AW152">
            <v>1.5</v>
          </cell>
          <cell r="AX152">
            <v>2.6</v>
          </cell>
          <cell r="AY152">
            <v>1.6</v>
          </cell>
          <cell r="AZ152">
            <v>-2.4</v>
          </cell>
          <cell r="BA152">
            <v>10.9</v>
          </cell>
          <cell r="BB152">
            <v>0.3</v>
          </cell>
          <cell r="BC152">
            <v>4.4000000000000004</v>
          </cell>
          <cell r="BD152">
            <v>1</v>
          </cell>
          <cell r="BE152">
            <v>1</v>
          </cell>
          <cell r="BF152">
            <v>0.9</v>
          </cell>
          <cell r="BG152">
            <v>1</v>
          </cell>
          <cell r="BH152">
            <v>0.1</v>
          </cell>
          <cell r="BI152">
            <v>1.2</v>
          </cell>
          <cell r="BJ152">
            <v>-0.1</v>
          </cell>
          <cell r="BK152">
            <v>-0.6</v>
          </cell>
          <cell r="BL152">
            <v>55107</v>
          </cell>
          <cell r="BM152">
            <v>5560</v>
          </cell>
          <cell r="BN152">
            <v>60667</v>
          </cell>
          <cell r="BO152">
            <v>19387</v>
          </cell>
          <cell r="BP152">
            <v>4942</v>
          </cell>
          <cell r="BQ152">
            <v>24329</v>
          </cell>
          <cell r="BR152">
            <v>5240</v>
          </cell>
          <cell r="BS152">
            <v>29569</v>
          </cell>
          <cell r="BT152">
            <v>3198</v>
          </cell>
          <cell r="BU152">
            <v>8437</v>
          </cell>
          <cell r="BV152">
            <v>41204</v>
          </cell>
          <cell r="BW152">
            <v>12833</v>
          </cell>
          <cell r="BX152">
            <v>114704</v>
          </cell>
          <cell r="BY152">
            <v>13474</v>
          </cell>
          <cell r="BZ152">
            <v>354</v>
          </cell>
          <cell r="CA152">
            <v>128532</v>
          </cell>
          <cell r="CB152">
            <v>0</v>
          </cell>
          <cell r="CC152">
            <v>0</v>
          </cell>
          <cell r="CD152">
            <v>0</v>
          </cell>
          <cell r="CE152">
            <v>0</v>
          </cell>
          <cell r="CF152">
            <v>0</v>
          </cell>
          <cell r="CG152">
            <v>0</v>
          </cell>
          <cell r="CH152">
            <v>0</v>
          </cell>
          <cell r="CI152">
            <v>0</v>
          </cell>
          <cell r="CJ152">
            <v>0</v>
          </cell>
          <cell r="CK152">
            <v>0</v>
          </cell>
          <cell r="CL152">
            <v>-42</v>
          </cell>
          <cell r="CM152">
            <v>-42</v>
          </cell>
        </row>
        <row r="153">
          <cell r="A153">
            <v>34759</v>
          </cell>
          <cell r="B153">
            <v>55266</v>
          </cell>
          <cell r="C153">
            <v>5628</v>
          </cell>
          <cell r="D153">
            <v>60894</v>
          </cell>
          <cell r="E153">
            <v>17683</v>
          </cell>
          <cell r="F153">
            <v>4972</v>
          </cell>
          <cell r="G153">
            <v>22655</v>
          </cell>
          <cell r="H153">
            <v>5385</v>
          </cell>
          <cell r="I153">
            <v>28040</v>
          </cell>
          <cell r="J153">
            <v>3233</v>
          </cell>
          <cell r="K153">
            <v>8514</v>
          </cell>
          <cell r="L153">
            <v>39787</v>
          </cell>
          <cell r="M153">
            <v>10411</v>
          </cell>
          <cell r="N153">
            <v>111092</v>
          </cell>
          <cell r="O153">
            <v>13263</v>
          </cell>
          <cell r="P153">
            <v>-230</v>
          </cell>
          <cell r="Q153">
            <v>124125</v>
          </cell>
          <cell r="R153">
            <v>1.6</v>
          </cell>
          <cell r="S153">
            <v>2.4</v>
          </cell>
          <cell r="T153">
            <v>1.6</v>
          </cell>
          <cell r="U153">
            <v>0.2</v>
          </cell>
          <cell r="V153">
            <v>1.1000000000000001</v>
          </cell>
          <cell r="W153">
            <v>0.4</v>
          </cell>
          <cell r="X153">
            <v>2.9</v>
          </cell>
          <cell r="Y153">
            <v>0.9</v>
          </cell>
          <cell r="Z153">
            <v>1.1000000000000001</v>
          </cell>
          <cell r="AA153">
            <v>0.8</v>
          </cell>
          <cell r="AB153">
            <v>0.9</v>
          </cell>
          <cell r="AC153">
            <v>-0.1</v>
          </cell>
          <cell r="AD153">
            <v>1.2</v>
          </cell>
          <cell r="AE153">
            <v>1</v>
          </cell>
          <cell r="AF153">
            <v>1.1000000000000001</v>
          </cell>
          <cell r="AG153">
            <v>55626</v>
          </cell>
          <cell r="AH153">
            <v>5674</v>
          </cell>
          <cell r="AI153">
            <v>61300</v>
          </cell>
          <cell r="AJ153">
            <v>17710</v>
          </cell>
          <cell r="AK153">
            <v>5117</v>
          </cell>
          <cell r="AL153">
            <v>22827</v>
          </cell>
          <cell r="AM153">
            <v>5392</v>
          </cell>
          <cell r="AN153">
            <v>28219</v>
          </cell>
          <cell r="AO153">
            <v>3233</v>
          </cell>
          <cell r="AP153">
            <v>8500</v>
          </cell>
          <cell r="AQ153">
            <v>39952</v>
          </cell>
          <cell r="AR153">
            <v>10487</v>
          </cell>
          <cell r="AS153">
            <v>111738</v>
          </cell>
          <cell r="AT153">
            <v>13149</v>
          </cell>
          <cell r="AU153">
            <v>-674</v>
          </cell>
          <cell r="AV153">
            <v>124214</v>
          </cell>
          <cell r="AW153">
            <v>2.6</v>
          </cell>
          <cell r="AX153">
            <v>3.6</v>
          </cell>
          <cell r="AY153">
            <v>2.6</v>
          </cell>
          <cell r="AZ153">
            <v>0.9</v>
          </cell>
          <cell r="BA153">
            <v>0.8</v>
          </cell>
          <cell r="BB153">
            <v>0.8</v>
          </cell>
          <cell r="BC153">
            <v>2.9</v>
          </cell>
          <cell r="BD153">
            <v>1.2</v>
          </cell>
          <cell r="BE153">
            <v>1.1000000000000001</v>
          </cell>
          <cell r="BF153">
            <v>0.7</v>
          </cell>
          <cell r="BG153">
            <v>1.1000000000000001</v>
          </cell>
          <cell r="BH153">
            <v>0.7</v>
          </cell>
          <cell r="BI153">
            <v>1.9</v>
          </cell>
          <cell r="BJ153">
            <v>0.1</v>
          </cell>
          <cell r="BK153">
            <v>1.8</v>
          </cell>
          <cell r="BL153">
            <v>54589</v>
          </cell>
          <cell r="BM153">
            <v>5570</v>
          </cell>
          <cell r="BN153">
            <v>60159</v>
          </cell>
          <cell r="BO153">
            <v>16050</v>
          </cell>
          <cell r="BP153">
            <v>5036</v>
          </cell>
          <cell r="BQ153">
            <v>21087</v>
          </cell>
          <cell r="BR153">
            <v>5392</v>
          </cell>
          <cell r="BS153">
            <v>26479</v>
          </cell>
          <cell r="BT153">
            <v>3233</v>
          </cell>
          <cell r="BU153">
            <v>8499</v>
          </cell>
          <cell r="BV153">
            <v>38211</v>
          </cell>
          <cell r="BW153">
            <v>9336</v>
          </cell>
          <cell r="BX153">
            <v>107706</v>
          </cell>
          <cell r="BY153">
            <v>13070</v>
          </cell>
          <cell r="BZ153">
            <v>-1305</v>
          </cell>
          <cell r="CA153">
            <v>119470</v>
          </cell>
          <cell r="CB153">
            <v>0</v>
          </cell>
          <cell r="CC153">
            <v>0</v>
          </cell>
          <cell r="CD153">
            <v>0</v>
          </cell>
          <cell r="CE153">
            <v>0</v>
          </cell>
          <cell r="CF153">
            <v>0</v>
          </cell>
          <cell r="CG153">
            <v>0</v>
          </cell>
          <cell r="CH153">
            <v>0</v>
          </cell>
          <cell r="CI153">
            <v>0</v>
          </cell>
          <cell r="CJ153">
            <v>0</v>
          </cell>
          <cell r="CK153">
            <v>0</v>
          </cell>
          <cell r="CL153">
            <v>-30</v>
          </cell>
          <cell r="CM153">
            <v>-29</v>
          </cell>
        </row>
        <row r="154">
          <cell r="A154">
            <v>34851</v>
          </cell>
          <cell r="B154">
            <v>56394</v>
          </cell>
          <cell r="C154">
            <v>5755</v>
          </cell>
          <cell r="D154">
            <v>62149</v>
          </cell>
          <cell r="E154">
            <v>17994</v>
          </cell>
          <cell r="F154">
            <v>4880</v>
          </cell>
          <cell r="G154">
            <v>22873</v>
          </cell>
          <cell r="H154">
            <v>5466</v>
          </cell>
          <cell r="I154">
            <v>28339</v>
          </cell>
          <cell r="J154">
            <v>3276</v>
          </cell>
          <cell r="K154">
            <v>8549</v>
          </cell>
          <cell r="L154">
            <v>40165</v>
          </cell>
          <cell r="M154">
            <v>10507</v>
          </cell>
          <cell r="N154">
            <v>112820</v>
          </cell>
          <cell r="O154">
            <v>13463</v>
          </cell>
          <cell r="P154">
            <v>-218</v>
          </cell>
          <cell r="Q154">
            <v>126066</v>
          </cell>
          <cell r="R154">
            <v>2</v>
          </cell>
          <cell r="S154">
            <v>2.2999999999999998</v>
          </cell>
          <cell r="T154">
            <v>2.1</v>
          </cell>
          <cell r="U154">
            <v>1.8</v>
          </cell>
          <cell r="V154">
            <v>-1.9</v>
          </cell>
          <cell r="W154">
            <v>1</v>
          </cell>
          <cell r="X154">
            <v>1.5</v>
          </cell>
          <cell r="Y154">
            <v>1.1000000000000001</v>
          </cell>
          <cell r="Z154">
            <v>1.3</v>
          </cell>
          <cell r="AA154">
            <v>0.4</v>
          </cell>
          <cell r="AB154">
            <v>0.9</v>
          </cell>
          <cell r="AC154">
            <v>0.9</v>
          </cell>
          <cell r="AD154">
            <v>1.6</v>
          </cell>
          <cell r="AE154">
            <v>1.5</v>
          </cell>
          <cell r="AF154">
            <v>1.6</v>
          </cell>
          <cell r="AG154">
            <v>56135</v>
          </cell>
          <cell r="AH154">
            <v>5727</v>
          </cell>
          <cell r="AI154">
            <v>61862</v>
          </cell>
          <cell r="AJ154">
            <v>17769</v>
          </cell>
          <cell r="AK154">
            <v>4651</v>
          </cell>
          <cell r="AL154">
            <v>22420</v>
          </cell>
          <cell r="AM154">
            <v>5475</v>
          </cell>
          <cell r="AN154">
            <v>27895</v>
          </cell>
          <cell r="AO154">
            <v>3272</v>
          </cell>
          <cell r="AP154">
            <v>8600</v>
          </cell>
          <cell r="AQ154">
            <v>39767</v>
          </cell>
          <cell r="AR154">
            <v>10320</v>
          </cell>
          <cell r="AS154">
            <v>111949</v>
          </cell>
          <cell r="AT154">
            <v>13481</v>
          </cell>
          <cell r="AU154">
            <v>472</v>
          </cell>
          <cell r="AV154">
            <v>125903</v>
          </cell>
          <cell r="AW154">
            <v>0.9</v>
          </cell>
          <cell r="AX154">
            <v>0.9</v>
          </cell>
          <cell r="AY154">
            <v>0.9</v>
          </cell>
          <cell r="AZ154">
            <v>0.3</v>
          </cell>
          <cell r="BA154">
            <v>-9.1</v>
          </cell>
          <cell r="BB154">
            <v>-1.8</v>
          </cell>
          <cell r="BC154">
            <v>1.5</v>
          </cell>
          <cell r="BD154">
            <v>-1.1000000000000001</v>
          </cell>
          <cell r="BE154">
            <v>1.2</v>
          </cell>
          <cell r="BF154">
            <v>1.2</v>
          </cell>
          <cell r="BG154">
            <v>-0.5</v>
          </cell>
          <cell r="BH154">
            <v>-1.6</v>
          </cell>
          <cell r="BI154">
            <v>0.2</v>
          </cell>
          <cell r="BJ154">
            <v>2.5</v>
          </cell>
          <cell r="BK154">
            <v>1.4</v>
          </cell>
          <cell r="BL154">
            <v>56832</v>
          </cell>
          <cell r="BM154">
            <v>5801</v>
          </cell>
          <cell r="BN154">
            <v>62632</v>
          </cell>
          <cell r="BO154">
            <v>17089</v>
          </cell>
          <cell r="BP154">
            <v>4322</v>
          </cell>
          <cell r="BQ154">
            <v>21412</v>
          </cell>
          <cell r="BR154">
            <v>5475</v>
          </cell>
          <cell r="BS154">
            <v>26887</v>
          </cell>
          <cell r="BT154">
            <v>3272</v>
          </cell>
          <cell r="BU154">
            <v>8618</v>
          </cell>
          <cell r="BV154">
            <v>38776</v>
          </cell>
          <cell r="BW154">
            <v>9515</v>
          </cell>
          <cell r="BX154">
            <v>110923</v>
          </cell>
          <cell r="BY154">
            <v>13315</v>
          </cell>
          <cell r="BZ154">
            <v>583</v>
          </cell>
          <cell r="CA154">
            <v>124821</v>
          </cell>
          <cell r="CB154">
            <v>0</v>
          </cell>
          <cell r="CC154">
            <v>0</v>
          </cell>
          <cell r="CD154">
            <v>0</v>
          </cell>
          <cell r="CE154">
            <v>0</v>
          </cell>
          <cell r="CF154">
            <v>0</v>
          </cell>
          <cell r="CG154">
            <v>0</v>
          </cell>
          <cell r="CH154">
            <v>0</v>
          </cell>
          <cell r="CI154">
            <v>0</v>
          </cell>
          <cell r="CJ154">
            <v>0</v>
          </cell>
          <cell r="CK154">
            <v>0</v>
          </cell>
          <cell r="CL154">
            <v>2</v>
          </cell>
          <cell r="CM154">
            <v>3</v>
          </cell>
        </row>
        <row r="155">
          <cell r="A155">
            <v>34943</v>
          </cell>
          <cell r="B155">
            <v>57488</v>
          </cell>
          <cell r="C155">
            <v>5871</v>
          </cell>
          <cell r="D155">
            <v>63359</v>
          </cell>
          <cell r="E155">
            <v>18797</v>
          </cell>
          <cell r="F155">
            <v>4652</v>
          </cell>
          <cell r="G155">
            <v>23449</v>
          </cell>
          <cell r="H155">
            <v>5521</v>
          </cell>
          <cell r="I155">
            <v>28970</v>
          </cell>
          <cell r="J155">
            <v>3321</v>
          </cell>
          <cell r="K155">
            <v>8572</v>
          </cell>
          <cell r="L155">
            <v>40863</v>
          </cell>
          <cell r="M155">
            <v>10688</v>
          </cell>
          <cell r="N155">
            <v>114910</v>
          </cell>
          <cell r="O155">
            <v>13792</v>
          </cell>
          <cell r="P155">
            <v>-133</v>
          </cell>
          <cell r="Q155">
            <v>128570</v>
          </cell>
          <cell r="R155">
            <v>1.9</v>
          </cell>
          <cell r="S155">
            <v>2</v>
          </cell>
          <cell r="T155">
            <v>1.9</v>
          </cell>
          <cell r="U155">
            <v>4.5</v>
          </cell>
          <cell r="V155">
            <v>-4.7</v>
          </cell>
          <cell r="W155">
            <v>2.5</v>
          </cell>
          <cell r="X155">
            <v>1</v>
          </cell>
          <cell r="Y155">
            <v>2.2000000000000002</v>
          </cell>
          <cell r="Z155">
            <v>1.4</v>
          </cell>
          <cell r="AA155">
            <v>0.3</v>
          </cell>
          <cell r="AB155">
            <v>1.7</v>
          </cell>
          <cell r="AC155">
            <v>1.7</v>
          </cell>
          <cell r="AD155">
            <v>1.9</v>
          </cell>
          <cell r="AE155">
            <v>2.4</v>
          </cell>
          <cell r="AF155">
            <v>2</v>
          </cell>
          <cell r="AG155">
            <v>57452</v>
          </cell>
          <cell r="AH155">
            <v>5867</v>
          </cell>
          <cell r="AI155">
            <v>63319</v>
          </cell>
          <cell r="AJ155">
            <v>18809</v>
          </cell>
          <cell r="AK155">
            <v>4791</v>
          </cell>
          <cell r="AL155">
            <v>23600</v>
          </cell>
          <cell r="AM155">
            <v>5498</v>
          </cell>
          <cell r="AN155">
            <v>29098</v>
          </cell>
          <cell r="AO155">
            <v>3324</v>
          </cell>
          <cell r="AP155">
            <v>8545</v>
          </cell>
          <cell r="AQ155">
            <v>40967</v>
          </cell>
          <cell r="AR155">
            <v>10855</v>
          </cell>
          <cell r="AS155">
            <v>115141</v>
          </cell>
          <cell r="AT155">
            <v>13839</v>
          </cell>
          <cell r="AU155">
            <v>-347</v>
          </cell>
          <cell r="AV155">
            <v>128633</v>
          </cell>
          <cell r="AW155">
            <v>2.2999999999999998</v>
          </cell>
          <cell r="AX155">
            <v>2.5</v>
          </cell>
          <cell r="AY155">
            <v>2.4</v>
          </cell>
          <cell r="AZ155">
            <v>5.9</v>
          </cell>
          <cell r="BA155">
            <v>3</v>
          </cell>
          <cell r="BB155">
            <v>5.3</v>
          </cell>
          <cell r="BC155">
            <v>0.4</v>
          </cell>
          <cell r="BD155">
            <v>4.3</v>
          </cell>
          <cell r="BE155">
            <v>1.6</v>
          </cell>
          <cell r="BF155">
            <v>-0.6</v>
          </cell>
          <cell r="BG155">
            <v>3</v>
          </cell>
          <cell r="BH155">
            <v>5.2</v>
          </cell>
          <cell r="BI155">
            <v>2.9</v>
          </cell>
          <cell r="BJ155">
            <v>2.7</v>
          </cell>
          <cell r="BK155">
            <v>2.2000000000000002</v>
          </cell>
          <cell r="BL155">
            <v>56959</v>
          </cell>
          <cell r="BM155">
            <v>5817</v>
          </cell>
          <cell r="BN155">
            <v>62775</v>
          </cell>
          <cell r="BO155">
            <v>19364</v>
          </cell>
          <cell r="BP155">
            <v>5346</v>
          </cell>
          <cell r="BQ155">
            <v>24710</v>
          </cell>
          <cell r="BR155">
            <v>5498</v>
          </cell>
          <cell r="BS155">
            <v>30208</v>
          </cell>
          <cell r="BT155">
            <v>3324</v>
          </cell>
          <cell r="BU155">
            <v>8533</v>
          </cell>
          <cell r="BV155">
            <v>42066</v>
          </cell>
          <cell r="BW155">
            <v>9629</v>
          </cell>
          <cell r="BX155">
            <v>114469</v>
          </cell>
          <cell r="BY155">
            <v>13724</v>
          </cell>
          <cell r="BZ155">
            <v>-355</v>
          </cell>
          <cell r="CA155">
            <v>127838</v>
          </cell>
          <cell r="CB155">
            <v>0</v>
          </cell>
          <cell r="CC155">
            <v>0</v>
          </cell>
          <cell r="CD155">
            <v>0</v>
          </cell>
          <cell r="CE155">
            <v>0</v>
          </cell>
          <cell r="CF155">
            <v>0</v>
          </cell>
          <cell r="CG155">
            <v>0</v>
          </cell>
          <cell r="CH155">
            <v>0</v>
          </cell>
          <cell r="CI155">
            <v>0</v>
          </cell>
          <cell r="CJ155">
            <v>0</v>
          </cell>
          <cell r="CK155">
            <v>0</v>
          </cell>
          <cell r="CL155">
            <v>21</v>
          </cell>
          <cell r="CM155">
            <v>21</v>
          </cell>
        </row>
        <row r="156">
          <cell r="A156">
            <v>35034</v>
          </cell>
          <cell r="B156">
            <v>58490</v>
          </cell>
          <cell r="C156">
            <v>5986</v>
          </cell>
          <cell r="D156">
            <v>64476</v>
          </cell>
          <cell r="E156">
            <v>19620</v>
          </cell>
          <cell r="F156">
            <v>4457</v>
          </cell>
          <cell r="G156">
            <v>24077</v>
          </cell>
          <cell r="H156">
            <v>5582</v>
          </cell>
          <cell r="I156">
            <v>29659</v>
          </cell>
          <cell r="J156">
            <v>3363</v>
          </cell>
          <cell r="K156">
            <v>8630</v>
          </cell>
          <cell r="L156">
            <v>41652</v>
          </cell>
          <cell r="M156">
            <v>10964</v>
          </cell>
          <cell r="N156">
            <v>117092</v>
          </cell>
          <cell r="O156">
            <v>14157</v>
          </cell>
          <cell r="P156">
            <v>-291</v>
          </cell>
          <cell r="Q156">
            <v>130958</v>
          </cell>
          <cell r="R156">
            <v>1.7</v>
          </cell>
          <cell r="S156">
            <v>2</v>
          </cell>
          <cell r="T156">
            <v>1.8</v>
          </cell>
          <cell r="U156">
            <v>4.4000000000000004</v>
          </cell>
          <cell r="V156">
            <v>-4.2</v>
          </cell>
          <cell r="W156">
            <v>2.7</v>
          </cell>
          <cell r="X156">
            <v>1.1000000000000001</v>
          </cell>
          <cell r="Y156">
            <v>2.4</v>
          </cell>
          <cell r="Z156">
            <v>1.3</v>
          </cell>
          <cell r="AA156">
            <v>0.7</v>
          </cell>
          <cell r="AB156">
            <v>1.9</v>
          </cell>
          <cell r="AC156">
            <v>2.6</v>
          </cell>
          <cell r="AD156">
            <v>1.9</v>
          </cell>
          <cell r="AE156">
            <v>2.6</v>
          </cell>
          <cell r="AF156">
            <v>1.9</v>
          </cell>
          <cell r="AG156">
            <v>58801</v>
          </cell>
          <cell r="AH156">
            <v>6012</v>
          </cell>
          <cell r="AI156">
            <v>64813</v>
          </cell>
          <cell r="AJ156">
            <v>19659</v>
          </cell>
          <cell r="AK156">
            <v>4519</v>
          </cell>
          <cell r="AL156">
            <v>24179</v>
          </cell>
          <cell r="AM156">
            <v>5581</v>
          </cell>
          <cell r="AN156">
            <v>29760</v>
          </cell>
          <cell r="AO156">
            <v>3363</v>
          </cell>
          <cell r="AP156">
            <v>8620</v>
          </cell>
          <cell r="AQ156">
            <v>41742</v>
          </cell>
          <cell r="AR156">
            <v>10848</v>
          </cell>
          <cell r="AS156">
            <v>117403</v>
          </cell>
          <cell r="AT156">
            <v>14074</v>
          </cell>
          <cell r="AU156">
            <v>-343</v>
          </cell>
          <cell r="AV156">
            <v>131133</v>
          </cell>
          <cell r="AW156">
            <v>2.2999999999999998</v>
          </cell>
          <cell r="AX156">
            <v>2.5</v>
          </cell>
          <cell r="AY156">
            <v>2.4</v>
          </cell>
          <cell r="AZ156">
            <v>4.5</v>
          </cell>
          <cell r="BA156">
            <v>-5.7</v>
          </cell>
          <cell r="BB156">
            <v>2.5</v>
          </cell>
          <cell r="BC156">
            <v>1.5</v>
          </cell>
          <cell r="BD156">
            <v>2.2999999999999998</v>
          </cell>
          <cell r="BE156">
            <v>1.2</v>
          </cell>
          <cell r="BF156">
            <v>0.9</v>
          </cell>
          <cell r="BG156">
            <v>1.9</v>
          </cell>
          <cell r="BH156">
            <v>-0.1</v>
          </cell>
          <cell r="BI156">
            <v>2</v>
          </cell>
          <cell r="BJ156">
            <v>1.7</v>
          </cell>
          <cell r="BK156">
            <v>1.9</v>
          </cell>
          <cell r="BL156">
            <v>59733</v>
          </cell>
          <cell r="BM156">
            <v>6103</v>
          </cell>
          <cell r="BN156">
            <v>65836</v>
          </cell>
          <cell r="BO156">
            <v>21507</v>
          </cell>
          <cell r="BP156">
            <v>4381</v>
          </cell>
          <cell r="BQ156">
            <v>25887</v>
          </cell>
          <cell r="BR156">
            <v>5581</v>
          </cell>
          <cell r="BS156">
            <v>31468</v>
          </cell>
          <cell r="BT156">
            <v>3363</v>
          </cell>
          <cell r="BU156">
            <v>8615</v>
          </cell>
          <cell r="BV156">
            <v>43446</v>
          </cell>
          <cell r="BW156">
            <v>14719</v>
          </cell>
          <cell r="BX156">
            <v>124002</v>
          </cell>
          <cell r="BY156">
            <v>14423</v>
          </cell>
          <cell r="BZ156">
            <v>136</v>
          </cell>
          <cell r="CA156">
            <v>138560</v>
          </cell>
          <cell r="CB156">
            <v>0</v>
          </cell>
          <cell r="CC156">
            <v>0</v>
          </cell>
          <cell r="CD156">
            <v>0</v>
          </cell>
          <cell r="CE156">
            <v>0</v>
          </cell>
          <cell r="CF156">
            <v>0</v>
          </cell>
          <cell r="CG156">
            <v>-1</v>
          </cell>
          <cell r="CH156">
            <v>0</v>
          </cell>
          <cell r="CI156">
            <v>0</v>
          </cell>
          <cell r="CJ156">
            <v>0</v>
          </cell>
          <cell r="CK156">
            <v>0</v>
          </cell>
          <cell r="CL156">
            <v>17</v>
          </cell>
          <cell r="CM156">
            <v>17</v>
          </cell>
        </row>
        <row r="157">
          <cell r="A157">
            <v>35125</v>
          </cell>
          <cell r="B157">
            <v>59407</v>
          </cell>
          <cell r="C157">
            <v>6121</v>
          </cell>
          <cell r="D157">
            <v>65529</v>
          </cell>
          <cell r="E157">
            <v>20020</v>
          </cell>
          <cell r="F157">
            <v>4400</v>
          </cell>
          <cell r="G157">
            <v>24420</v>
          </cell>
          <cell r="H157">
            <v>5650</v>
          </cell>
          <cell r="I157">
            <v>30070</v>
          </cell>
          <cell r="J157">
            <v>3391</v>
          </cell>
          <cell r="K157">
            <v>8781</v>
          </cell>
          <cell r="L157">
            <v>42242</v>
          </cell>
          <cell r="M157">
            <v>11135</v>
          </cell>
          <cell r="N157">
            <v>118906</v>
          </cell>
          <cell r="O157">
            <v>14439</v>
          </cell>
          <cell r="P157">
            <v>-344</v>
          </cell>
          <cell r="Q157">
            <v>133001</v>
          </cell>
          <cell r="R157">
            <v>1.6</v>
          </cell>
          <cell r="S157">
            <v>2.2999999999999998</v>
          </cell>
          <cell r="T157">
            <v>1.6</v>
          </cell>
          <cell r="U157">
            <v>2</v>
          </cell>
          <cell r="V157">
            <v>-1.3</v>
          </cell>
          <cell r="W157">
            <v>1.4</v>
          </cell>
          <cell r="X157">
            <v>1.2</v>
          </cell>
          <cell r="Y157">
            <v>1.4</v>
          </cell>
          <cell r="Z157">
            <v>0.8</v>
          </cell>
          <cell r="AA157">
            <v>1.7</v>
          </cell>
          <cell r="AB157">
            <v>1.4</v>
          </cell>
          <cell r="AC157">
            <v>1.6</v>
          </cell>
          <cell r="AD157">
            <v>1.5</v>
          </cell>
          <cell r="AE157">
            <v>2</v>
          </cell>
          <cell r="AF157">
            <v>1.6</v>
          </cell>
          <cell r="AG157">
            <v>59243</v>
          </cell>
          <cell r="AH157">
            <v>6104</v>
          </cell>
          <cell r="AI157">
            <v>65348</v>
          </cell>
          <cell r="AJ157">
            <v>20309</v>
          </cell>
          <cell r="AK157">
            <v>4156</v>
          </cell>
          <cell r="AL157">
            <v>24465</v>
          </cell>
          <cell r="AM157">
            <v>5655</v>
          </cell>
          <cell r="AN157">
            <v>30120</v>
          </cell>
          <cell r="AO157">
            <v>3392</v>
          </cell>
          <cell r="AP157">
            <v>8776</v>
          </cell>
          <cell r="AQ157">
            <v>42288</v>
          </cell>
          <cell r="AR157">
            <v>11185</v>
          </cell>
          <cell r="AS157">
            <v>118821</v>
          </cell>
          <cell r="AT157">
            <v>14491</v>
          </cell>
          <cell r="AU157">
            <v>-470</v>
          </cell>
          <cell r="AV157">
            <v>132841</v>
          </cell>
          <cell r="AW157">
            <v>0.8</v>
          </cell>
          <cell r="AX157">
            <v>1.5</v>
          </cell>
          <cell r="AY157">
            <v>0.8</v>
          </cell>
          <cell r="AZ157">
            <v>3.3</v>
          </cell>
          <cell r="BA157">
            <v>-8</v>
          </cell>
          <cell r="BB157">
            <v>1.2</v>
          </cell>
          <cell r="BC157">
            <v>1.3</v>
          </cell>
          <cell r="BD157">
            <v>1.2</v>
          </cell>
          <cell r="BE157">
            <v>0.9</v>
          </cell>
          <cell r="BF157">
            <v>1.8</v>
          </cell>
          <cell r="BG157">
            <v>1.3</v>
          </cell>
          <cell r="BH157">
            <v>3.1</v>
          </cell>
          <cell r="BI157">
            <v>1.2</v>
          </cell>
          <cell r="BJ157">
            <v>3</v>
          </cell>
          <cell r="BK157">
            <v>1.3</v>
          </cell>
          <cell r="BL157">
            <v>58118</v>
          </cell>
          <cell r="BM157">
            <v>5991</v>
          </cell>
          <cell r="BN157">
            <v>64109</v>
          </cell>
          <cell r="BO157">
            <v>18381</v>
          </cell>
          <cell r="BP157">
            <v>4123</v>
          </cell>
          <cell r="BQ157">
            <v>22504</v>
          </cell>
          <cell r="BR157">
            <v>5655</v>
          </cell>
          <cell r="BS157">
            <v>28159</v>
          </cell>
          <cell r="BT157">
            <v>3392</v>
          </cell>
          <cell r="BU157">
            <v>8774</v>
          </cell>
          <cell r="BV157">
            <v>40326</v>
          </cell>
          <cell r="BW157">
            <v>9925</v>
          </cell>
          <cell r="BX157">
            <v>114360</v>
          </cell>
          <cell r="BY157">
            <v>14393</v>
          </cell>
          <cell r="BZ157">
            <v>-1016</v>
          </cell>
          <cell r="CA157">
            <v>127738</v>
          </cell>
          <cell r="CB157">
            <v>-1</v>
          </cell>
          <cell r="CC157">
            <v>0</v>
          </cell>
          <cell r="CD157">
            <v>0</v>
          </cell>
          <cell r="CE157">
            <v>0</v>
          </cell>
          <cell r="CF157">
            <v>0</v>
          </cell>
          <cell r="CG157">
            <v>0</v>
          </cell>
          <cell r="CH157">
            <v>1</v>
          </cell>
          <cell r="CI157">
            <v>0</v>
          </cell>
          <cell r="CJ157">
            <v>0</v>
          </cell>
          <cell r="CK157">
            <v>0</v>
          </cell>
          <cell r="CL157">
            <v>-18</v>
          </cell>
          <cell r="CM157">
            <v>-19</v>
          </cell>
        </row>
        <row r="158">
          <cell r="A158">
            <v>35217</v>
          </cell>
          <cell r="B158">
            <v>60329</v>
          </cell>
          <cell r="C158">
            <v>6281</v>
          </cell>
          <cell r="D158">
            <v>66610</v>
          </cell>
          <cell r="E158">
            <v>19879</v>
          </cell>
          <cell r="F158">
            <v>4416</v>
          </cell>
          <cell r="G158">
            <v>24295</v>
          </cell>
          <cell r="H158">
            <v>5706</v>
          </cell>
          <cell r="I158">
            <v>30001</v>
          </cell>
          <cell r="J158">
            <v>3405</v>
          </cell>
          <cell r="K158">
            <v>9031</v>
          </cell>
          <cell r="L158">
            <v>42437</v>
          </cell>
          <cell r="M158">
            <v>11196</v>
          </cell>
          <cell r="N158">
            <v>120243</v>
          </cell>
          <cell r="O158">
            <v>14569</v>
          </cell>
          <cell r="P158">
            <v>-206</v>
          </cell>
          <cell r="Q158">
            <v>134606</v>
          </cell>
          <cell r="R158">
            <v>1.6</v>
          </cell>
          <cell r="S158">
            <v>2.6</v>
          </cell>
          <cell r="T158">
            <v>1.6</v>
          </cell>
          <cell r="U158">
            <v>-0.7</v>
          </cell>
          <cell r="V158">
            <v>0.4</v>
          </cell>
          <cell r="W158">
            <v>-0.5</v>
          </cell>
          <cell r="X158">
            <v>1</v>
          </cell>
          <cell r="Y158">
            <v>-0.2</v>
          </cell>
          <cell r="Z158">
            <v>0.4</v>
          </cell>
          <cell r="AA158">
            <v>2.9</v>
          </cell>
          <cell r="AB158">
            <v>0.5</v>
          </cell>
          <cell r="AC158">
            <v>0.5</v>
          </cell>
          <cell r="AD158">
            <v>1.1000000000000001</v>
          </cell>
          <cell r="AE158">
            <v>0.9</v>
          </cell>
          <cell r="AF158">
            <v>1.2</v>
          </cell>
          <cell r="AG158">
            <v>60173</v>
          </cell>
          <cell r="AH158">
            <v>6253</v>
          </cell>
          <cell r="AI158">
            <v>66425</v>
          </cell>
          <cell r="AJ158">
            <v>19718</v>
          </cell>
          <cell r="AK158">
            <v>4505</v>
          </cell>
          <cell r="AL158">
            <v>24222</v>
          </cell>
          <cell r="AM158">
            <v>5721</v>
          </cell>
          <cell r="AN158">
            <v>29943</v>
          </cell>
          <cell r="AO158">
            <v>3412</v>
          </cell>
          <cell r="AP158">
            <v>9013</v>
          </cell>
          <cell r="AQ158">
            <v>42368</v>
          </cell>
          <cell r="AR158">
            <v>11388</v>
          </cell>
          <cell r="AS158">
            <v>120181</v>
          </cell>
          <cell r="AT158">
            <v>14689</v>
          </cell>
          <cell r="AU158">
            <v>72</v>
          </cell>
          <cell r="AV158">
            <v>134943</v>
          </cell>
          <cell r="AW158">
            <v>1.6</v>
          </cell>
          <cell r="AX158">
            <v>2.4</v>
          </cell>
          <cell r="AY158">
            <v>1.6</v>
          </cell>
          <cell r="AZ158">
            <v>-2.9</v>
          </cell>
          <cell r="BA158">
            <v>8.4</v>
          </cell>
          <cell r="BB158">
            <v>-1</v>
          </cell>
          <cell r="BC158">
            <v>1.2</v>
          </cell>
          <cell r="BD158">
            <v>-0.6</v>
          </cell>
          <cell r="BE158">
            <v>0.6</v>
          </cell>
          <cell r="BF158">
            <v>2.7</v>
          </cell>
          <cell r="BG158">
            <v>0.2</v>
          </cell>
          <cell r="BH158">
            <v>1.8</v>
          </cell>
          <cell r="BI158">
            <v>1.1000000000000001</v>
          </cell>
          <cell r="BJ158">
            <v>1.4</v>
          </cell>
          <cell r="BK158">
            <v>1.6</v>
          </cell>
          <cell r="BL158">
            <v>59985</v>
          </cell>
          <cell r="BM158">
            <v>6243</v>
          </cell>
          <cell r="BN158">
            <v>66228</v>
          </cell>
          <cell r="BO158">
            <v>19088</v>
          </cell>
          <cell r="BP158">
            <v>4197</v>
          </cell>
          <cell r="BQ158">
            <v>23285</v>
          </cell>
          <cell r="BR158">
            <v>5721</v>
          </cell>
          <cell r="BS158">
            <v>29006</v>
          </cell>
          <cell r="BT158">
            <v>3412</v>
          </cell>
          <cell r="BU158">
            <v>9033</v>
          </cell>
          <cell r="BV158">
            <v>41450</v>
          </cell>
          <cell r="BW158">
            <v>10031</v>
          </cell>
          <cell r="BX158">
            <v>117709</v>
          </cell>
          <cell r="BY158">
            <v>14518</v>
          </cell>
          <cell r="BZ158">
            <v>1236</v>
          </cell>
          <cell r="CA158">
            <v>133463</v>
          </cell>
          <cell r="CB158">
            <v>0</v>
          </cell>
          <cell r="CC158">
            <v>0</v>
          </cell>
          <cell r="CD158">
            <v>-1</v>
          </cell>
          <cell r="CE158">
            <v>0</v>
          </cell>
          <cell r="CF158">
            <v>-1</v>
          </cell>
          <cell r="CG158">
            <v>0</v>
          </cell>
          <cell r="CH158">
            <v>0</v>
          </cell>
          <cell r="CI158">
            <v>0</v>
          </cell>
          <cell r="CJ158">
            <v>0</v>
          </cell>
          <cell r="CK158">
            <v>0</v>
          </cell>
          <cell r="CL158">
            <v>36</v>
          </cell>
          <cell r="CM158">
            <v>36</v>
          </cell>
        </row>
        <row r="159">
          <cell r="A159">
            <v>35309</v>
          </cell>
          <cell r="B159">
            <v>61278</v>
          </cell>
          <cell r="C159">
            <v>6447</v>
          </cell>
          <cell r="D159">
            <v>67725</v>
          </cell>
          <cell r="E159">
            <v>19467</v>
          </cell>
          <cell r="F159">
            <v>4402</v>
          </cell>
          <cell r="G159">
            <v>23869</v>
          </cell>
          <cell r="H159">
            <v>5750</v>
          </cell>
          <cell r="I159">
            <v>29619</v>
          </cell>
          <cell r="J159">
            <v>3414</v>
          </cell>
          <cell r="K159">
            <v>9319</v>
          </cell>
          <cell r="L159">
            <v>42352</v>
          </cell>
          <cell r="M159">
            <v>11291</v>
          </cell>
          <cell r="N159">
            <v>121367</v>
          </cell>
          <cell r="O159">
            <v>14604</v>
          </cell>
          <cell r="P159">
            <v>-59</v>
          </cell>
          <cell r="Q159">
            <v>135913</v>
          </cell>
          <cell r="R159">
            <v>1.6</v>
          </cell>
          <cell r="S159">
            <v>2.6</v>
          </cell>
          <cell r="T159">
            <v>1.7</v>
          </cell>
          <cell r="U159">
            <v>-2.1</v>
          </cell>
          <cell r="V159">
            <v>-0.3</v>
          </cell>
          <cell r="W159">
            <v>-1.8</v>
          </cell>
          <cell r="X159">
            <v>0.8</v>
          </cell>
          <cell r="Y159">
            <v>-1.3</v>
          </cell>
          <cell r="Z159">
            <v>0.2</v>
          </cell>
          <cell r="AA159">
            <v>3.2</v>
          </cell>
          <cell r="AB159">
            <v>-0.2</v>
          </cell>
          <cell r="AC159">
            <v>0.8</v>
          </cell>
          <cell r="AD159">
            <v>0.9</v>
          </cell>
          <cell r="AE159">
            <v>0.2</v>
          </cell>
          <cell r="AF159">
            <v>1</v>
          </cell>
          <cell r="AG159">
            <v>61442</v>
          </cell>
          <cell r="AH159">
            <v>6479</v>
          </cell>
          <cell r="AI159">
            <v>67920</v>
          </cell>
          <cell r="AJ159">
            <v>19452</v>
          </cell>
          <cell r="AK159">
            <v>4639</v>
          </cell>
          <cell r="AL159">
            <v>24091</v>
          </cell>
          <cell r="AM159">
            <v>5740</v>
          </cell>
          <cell r="AN159">
            <v>29831</v>
          </cell>
          <cell r="AO159">
            <v>3408</v>
          </cell>
          <cell r="AP159">
            <v>9338</v>
          </cell>
          <cell r="AQ159">
            <v>42577</v>
          </cell>
          <cell r="AR159">
            <v>10966</v>
          </cell>
          <cell r="AS159">
            <v>121463</v>
          </cell>
          <cell r="AT159">
            <v>14516</v>
          </cell>
          <cell r="AU159">
            <v>-330</v>
          </cell>
          <cell r="AV159">
            <v>135649</v>
          </cell>
          <cell r="AW159">
            <v>2.1</v>
          </cell>
          <cell r="AX159">
            <v>3.6</v>
          </cell>
          <cell r="AY159">
            <v>2.2999999999999998</v>
          </cell>
          <cell r="AZ159">
            <v>-1.3</v>
          </cell>
          <cell r="BA159">
            <v>3</v>
          </cell>
          <cell r="BB159">
            <v>-0.5</v>
          </cell>
          <cell r="BC159">
            <v>0.3</v>
          </cell>
          <cell r="BD159">
            <v>-0.4</v>
          </cell>
          <cell r="BE159">
            <v>-0.1</v>
          </cell>
          <cell r="BF159">
            <v>3.6</v>
          </cell>
          <cell r="BG159">
            <v>0.5</v>
          </cell>
          <cell r="BH159">
            <v>-3.7</v>
          </cell>
          <cell r="BI159">
            <v>1.1000000000000001</v>
          </cell>
          <cell r="BJ159">
            <v>-1.2</v>
          </cell>
          <cell r="BK159">
            <v>0.5</v>
          </cell>
          <cell r="BL159">
            <v>60965</v>
          </cell>
          <cell r="BM159">
            <v>6431</v>
          </cell>
          <cell r="BN159">
            <v>67396</v>
          </cell>
          <cell r="BO159">
            <v>20002</v>
          </cell>
          <cell r="BP159">
            <v>5141</v>
          </cell>
          <cell r="BQ159">
            <v>25143</v>
          </cell>
          <cell r="BR159">
            <v>5740</v>
          </cell>
          <cell r="BS159">
            <v>30883</v>
          </cell>
          <cell r="BT159">
            <v>3408</v>
          </cell>
          <cell r="BU159">
            <v>9324</v>
          </cell>
          <cell r="BV159">
            <v>43615</v>
          </cell>
          <cell r="BW159">
            <v>9713</v>
          </cell>
          <cell r="BX159">
            <v>120724</v>
          </cell>
          <cell r="BY159">
            <v>14417</v>
          </cell>
          <cell r="BZ159">
            <v>-256</v>
          </cell>
          <cell r="CA159">
            <v>134885</v>
          </cell>
          <cell r="CB159">
            <v>0</v>
          </cell>
          <cell r="CC159">
            <v>0</v>
          </cell>
          <cell r="CD159">
            <v>0</v>
          </cell>
          <cell r="CE159">
            <v>0</v>
          </cell>
          <cell r="CF159">
            <v>0</v>
          </cell>
          <cell r="CG159">
            <v>0</v>
          </cell>
          <cell r="CH159">
            <v>0</v>
          </cell>
          <cell r="CI159">
            <v>0</v>
          </cell>
          <cell r="CJ159">
            <v>0</v>
          </cell>
          <cell r="CK159">
            <v>0</v>
          </cell>
          <cell r="CL159">
            <v>16</v>
          </cell>
          <cell r="CM159">
            <v>16</v>
          </cell>
        </row>
        <row r="160">
          <cell r="A160">
            <v>35400</v>
          </cell>
          <cell r="B160">
            <v>62297</v>
          </cell>
          <cell r="C160">
            <v>6595</v>
          </cell>
          <cell r="D160">
            <v>68892</v>
          </cell>
          <cell r="E160">
            <v>19119</v>
          </cell>
          <cell r="F160">
            <v>4406</v>
          </cell>
          <cell r="G160">
            <v>23525</v>
          </cell>
          <cell r="H160">
            <v>5809</v>
          </cell>
          <cell r="I160">
            <v>29334</v>
          </cell>
          <cell r="J160">
            <v>3429</v>
          </cell>
          <cell r="K160">
            <v>9593</v>
          </cell>
          <cell r="L160">
            <v>42356</v>
          </cell>
          <cell r="M160">
            <v>11489</v>
          </cell>
          <cell r="N160">
            <v>122736</v>
          </cell>
          <cell r="O160">
            <v>14777</v>
          </cell>
          <cell r="P160">
            <v>-40</v>
          </cell>
          <cell r="Q160">
            <v>137473</v>
          </cell>
          <cell r="R160">
            <v>1.7</v>
          </cell>
          <cell r="S160">
            <v>2.2999999999999998</v>
          </cell>
          <cell r="T160">
            <v>1.7</v>
          </cell>
          <cell r="U160">
            <v>-1.8</v>
          </cell>
          <cell r="V160">
            <v>0.1</v>
          </cell>
          <cell r="W160">
            <v>-1.4</v>
          </cell>
          <cell r="X160">
            <v>1</v>
          </cell>
          <cell r="Y160">
            <v>-1</v>
          </cell>
          <cell r="Z160">
            <v>0.4</v>
          </cell>
          <cell r="AA160">
            <v>2.9</v>
          </cell>
          <cell r="AB160">
            <v>0</v>
          </cell>
          <cell r="AC160">
            <v>1.8</v>
          </cell>
          <cell r="AD160">
            <v>1.1000000000000001</v>
          </cell>
          <cell r="AE160">
            <v>1.2</v>
          </cell>
          <cell r="AF160">
            <v>1.1000000000000001</v>
          </cell>
          <cell r="AG160">
            <v>62400</v>
          </cell>
          <cell r="AH160">
            <v>6606</v>
          </cell>
          <cell r="AI160">
            <v>69006</v>
          </cell>
          <cell r="AJ160">
            <v>19217</v>
          </cell>
          <cell r="AK160">
            <v>4178</v>
          </cell>
          <cell r="AL160">
            <v>23395</v>
          </cell>
          <cell r="AM160">
            <v>5805</v>
          </cell>
          <cell r="AN160">
            <v>29200</v>
          </cell>
          <cell r="AO160">
            <v>3427</v>
          </cell>
          <cell r="AP160">
            <v>9603</v>
          </cell>
          <cell r="AQ160">
            <v>42230</v>
          </cell>
          <cell r="AR160">
            <v>11678</v>
          </cell>
          <cell r="AS160">
            <v>122914</v>
          </cell>
          <cell r="AT160">
            <v>14660</v>
          </cell>
          <cell r="AU160">
            <v>45</v>
          </cell>
          <cell r="AV160">
            <v>137620</v>
          </cell>
          <cell r="AW160">
            <v>1.6</v>
          </cell>
          <cell r="AX160">
            <v>2</v>
          </cell>
          <cell r="AY160">
            <v>1.6</v>
          </cell>
          <cell r="AZ160">
            <v>-1.2</v>
          </cell>
          <cell r="BA160">
            <v>-9.9</v>
          </cell>
          <cell r="BB160">
            <v>-2.9</v>
          </cell>
          <cell r="BC160">
            <v>1.1000000000000001</v>
          </cell>
          <cell r="BD160">
            <v>-2.1</v>
          </cell>
          <cell r="BE160">
            <v>0.6</v>
          </cell>
          <cell r="BF160">
            <v>2.8</v>
          </cell>
          <cell r="BG160">
            <v>-0.8</v>
          </cell>
          <cell r="BH160">
            <v>6.5</v>
          </cell>
          <cell r="BI160">
            <v>1.2</v>
          </cell>
          <cell r="BJ160">
            <v>1</v>
          </cell>
          <cell r="BK160">
            <v>1.5</v>
          </cell>
          <cell r="BL160">
            <v>64421</v>
          </cell>
          <cell r="BM160">
            <v>6813</v>
          </cell>
          <cell r="BN160">
            <v>71235</v>
          </cell>
          <cell r="BO160">
            <v>21010</v>
          </cell>
          <cell r="BP160">
            <v>4041</v>
          </cell>
          <cell r="BQ160">
            <v>25051</v>
          </cell>
          <cell r="BR160">
            <v>5805</v>
          </cell>
          <cell r="BS160">
            <v>30856</v>
          </cell>
          <cell r="BT160">
            <v>3427</v>
          </cell>
          <cell r="BU160">
            <v>9597</v>
          </cell>
          <cell r="BV160">
            <v>43880</v>
          </cell>
          <cell r="BW160">
            <v>15166</v>
          </cell>
          <cell r="BX160">
            <v>130281</v>
          </cell>
          <cell r="BY160">
            <v>15006</v>
          </cell>
          <cell r="BZ160">
            <v>348</v>
          </cell>
          <cell r="CA160">
            <v>145634</v>
          </cell>
          <cell r="CB160">
            <v>0</v>
          </cell>
          <cell r="CC160">
            <v>0</v>
          </cell>
          <cell r="CD160">
            <v>0</v>
          </cell>
          <cell r="CE160">
            <v>0</v>
          </cell>
          <cell r="CF160">
            <v>0</v>
          </cell>
          <cell r="CG160">
            <v>0</v>
          </cell>
          <cell r="CH160">
            <v>0</v>
          </cell>
          <cell r="CI160">
            <v>0</v>
          </cell>
          <cell r="CJ160">
            <v>0</v>
          </cell>
          <cell r="CK160">
            <v>1</v>
          </cell>
          <cell r="CL160">
            <v>-2</v>
          </cell>
          <cell r="CM160">
            <v>-2</v>
          </cell>
        </row>
        <row r="161">
          <cell r="A161">
            <v>35490</v>
          </cell>
          <cell r="B161">
            <v>63196</v>
          </cell>
          <cell r="C161">
            <v>6692</v>
          </cell>
          <cell r="D161">
            <v>69888</v>
          </cell>
          <cell r="E161">
            <v>19196</v>
          </cell>
          <cell r="F161">
            <v>4478</v>
          </cell>
          <cell r="G161">
            <v>23674</v>
          </cell>
          <cell r="H161">
            <v>5912</v>
          </cell>
          <cell r="I161">
            <v>29586</v>
          </cell>
          <cell r="J161">
            <v>3461</v>
          </cell>
          <cell r="K161">
            <v>9808</v>
          </cell>
          <cell r="L161">
            <v>42854</v>
          </cell>
          <cell r="M161">
            <v>11867</v>
          </cell>
          <cell r="N161">
            <v>124610</v>
          </cell>
          <cell r="O161">
            <v>15063</v>
          </cell>
          <cell r="P161">
            <v>-311</v>
          </cell>
          <cell r="Q161">
            <v>139361</v>
          </cell>
          <cell r="R161">
            <v>1.4</v>
          </cell>
          <cell r="S161">
            <v>1.5</v>
          </cell>
          <cell r="T161">
            <v>1.4</v>
          </cell>
          <cell r="U161">
            <v>0.4</v>
          </cell>
          <cell r="V161">
            <v>1.6</v>
          </cell>
          <cell r="W161">
            <v>0.6</v>
          </cell>
          <cell r="X161">
            <v>1.8</v>
          </cell>
          <cell r="Y161">
            <v>0.9</v>
          </cell>
          <cell r="Z161">
            <v>0.9</v>
          </cell>
          <cell r="AA161">
            <v>2.2000000000000002</v>
          </cell>
          <cell r="AB161">
            <v>1.2</v>
          </cell>
          <cell r="AC161">
            <v>3.3</v>
          </cell>
          <cell r="AD161">
            <v>1.5</v>
          </cell>
          <cell r="AE161">
            <v>1.9</v>
          </cell>
          <cell r="AF161">
            <v>1.4</v>
          </cell>
          <cell r="AG161">
            <v>62789</v>
          </cell>
          <cell r="AH161">
            <v>6655</v>
          </cell>
          <cell r="AI161">
            <v>69445</v>
          </cell>
          <cell r="AJ161">
            <v>18952</v>
          </cell>
          <cell r="AK161">
            <v>4340</v>
          </cell>
          <cell r="AL161">
            <v>23292</v>
          </cell>
          <cell r="AM161">
            <v>5908</v>
          </cell>
          <cell r="AN161">
            <v>29200</v>
          </cell>
          <cell r="AO161">
            <v>3460</v>
          </cell>
          <cell r="AP161">
            <v>9809</v>
          </cell>
          <cell r="AQ161">
            <v>42468</v>
          </cell>
          <cell r="AR161">
            <v>11817</v>
          </cell>
          <cell r="AS161">
            <v>123730</v>
          </cell>
          <cell r="AT161">
            <v>15084</v>
          </cell>
          <cell r="AU161">
            <v>59</v>
          </cell>
          <cell r="AV161">
            <v>138872</v>
          </cell>
          <cell r="AW161">
            <v>0.6</v>
          </cell>
          <cell r="AX161">
            <v>0.8</v>
          </cell>
          <cell r="AY161">
            <v>0.6</v>
          </cell>
          <cell r="AZ161">
            <v>-1.4</v>
          </cell>
          <cell r="BA161">
            <v>3.9</v>
          </cell>
          <cell r="BB161">
            <v>-0.4</v>
          </cell>
          <cell r="BC161">
            <v>1.8</v>
          </cell>
          <cell r="BD161">
            <v>0</v>
          </cell>
          <cell r="BE161">
            <v>1</v>
          </cell>
          <cell r="BF161">
            <v>2.1</v>
          </cell>
          <cell r="BG161">
            <v>0.6</v>
          </cell>
          <cell r="BH161">
            <v>1.2</v>
          </cell>
          <cell r="BI161">
            <v>0.7</v>
          </cell>
          <cell r="BJ161">
            <v>2.9</v>
          </cell>
          <cell r="BK161">
            <v>0.9</v>
          </cell>
          <cell r="BL161">
            <v>61364</v>
          </cell>
          <cell r="BM161">
            <v>6499</v>
          </cell>
          <cell r="BN161">
            <v>67864</v>
          </cell>
          <cell r="BO161">
            <v>17211</v>
          </cell>
          <cell r="BP161">
            <v>4335</v>
          </cell>
          <cell r="BQ161">
            <v>21546</v>
          </cell>
          <cell r="BR161">
            <v>5908</v>
          </cell>
          <cell r="BS161">
            <v>27454</v>
          </cell>
          <cell r="BT161">
            <v>3460</v>
          </cell>
          <cell r="BU161">
            <v>9807</v>
          </cell>
          <cell r="BV161">
            <v>40722</v>
          </cell>
          <cell r="BW161">
            <v>10411</v>
          </cell>
          <cell r="BX161">
            <v>118996</v>
          </cell>
          <cell r="BY161">
            <v>15003</v>
          </cell>
          <cell r="BZ161">
            <v>-641</v>
          </cell>
          <cell r="CA161">
            <v>133359</v>
          </cell>
          <cell r="CB161">
            <v>-1</v>
          </cell>
          <cell r="CC161">
            <v>0</v>
          </cell>
          <cell r="CD161">
            <v>0</v>
          </cell>
          <cell r="CE161">
            <v>0</v>
          </cell>
          <cell r="CF161">
            <v>0</v>
          </cell>
          <cell r="CG161">
            <v>-1</v>
          </cell>
          <cell r="CH161">
            <v>0</v>
          </cell>
          <cell r="CI161">
            <v>0</v>
          </cell>
          <cell r="CJ161">
            <v>0</v>
          </cell>
          <cell r="CK161">
            <v>0</v>
          </cell>
          <cell r="CL161">
            <v>-16</v>
          </cell>
          <cell r="CM161">
            <v>-16</v>
          </cell>
        </row>
        <row r="162">
          <cell r="A162">
            <v>35582</v>
          </cell>
          <cell r="B162">
            <v>63938</v>
          </cell>
          <cell r="C162">
            <v>6746</v>
          </cell>
          <cell r="D162">
            <v>70683</v>
          </cell>
          <cell r="E162">
            <v>19552</v>
          </cell>
          <cell r="F162">
            <v>4677</v>
          </cell>
          <cell r="G162">
            <v>24230</v>
          </cell>
          <cell r="H162">
            <v>6059</v>
          </cell>
          <cell r="I162">
            <v>30289</v>
          </cell>
          <cell r="J162">
            <v>3508</v>
          </cell>
          <cell r="K162">
            <v>9968</v>
          </cell>
          <cell r="L162">
            <v>43765</v>
          </cell>
          <cell r="M162">
            <v>12375</v>
          </cell>
          <cell r="N162">
            <v>126823</v>
          </cell>
          <cell r="O162">
            <v>15324</v>
          </cell>
          <cell r="P162">
            <v>-418</v>
          </cell>
          <cell r="Q162">
            <v>141729</v>
          </cell>
          <cell r="R162">
            <v>1.2</v>
          </cell>
          <cell r="S162">
            <v>0.8</v>
          </cell>
          <cell r="T162">
            <v>1.1000000000000001</v>
          </cell>
          <cell r="U162">
            <v>1.9</v>
          </cell>
          <cell r="V162">
            <v>4.5</v>
          </cell>
          <cell r="W162">
            <v>2.2999999999999998</v>
          </cell>
          <cell r="X162">
            <v>2.5</v>
          </cell>
          <cell r="Y162">
            <v>2.4</v>
          </cell>
          <cell r="Z162">
            <v>1.4</v>
          </cell>
          <cell r="AA162">
            <v>1.6</v>
          </cell>
          <cell r="AB162">
            <v>2.1</v>
          </cell>
          <cell r="AC162">
            <v>4.3</v>
          </cell>
          <cell r="AD162">
            <v>1.8</v>
          </cell>
          <cell r="AE162">
            <v>1.7</v>
          </cell>
          <cell r="AF162">
            <v>1.7</v>
          </cell>
          <cell r="AG162">
            <v>64460</v>
          </cell>
          <cell r="AH162">
            <v>6799</v>
          </cell>
          <cell r="AI162">
            <v>71259</v>
          </cell>
          <cell r="AJ162">
            <v>19503</v>
          </cell>
          <cell r="AK162">
            <v>5033</v>
          </cell>
          <cell r="AL162">
            <v>24536</v>
          </cell>
          <cell r="AM162">
            <v>6048</v>
          </cell>
          <cell r="AN162">
            <v>30584</v>
          </cell>
          <cell r="AO162">
            <v>3506</v>
          </cell>
          <cell r="AP162">
            <v>9981</v>
          </cell>
          <cell r="AQ162">
            <v>44071</v>
          </cell>
          <cell r="AR162">
            <v>12298</v>
          </cell>
          <cell r="AS162">
            <v>127629</v>
          </cell>
          <cell r="AT162">
            <v>15587</v>
          </cell>
          <cell r="AU162">
            <v>-800</v>
          </cell>
          <cell r="AV162">
            <v>142416</v>
          </cell>
          <cell r="AW162">
            <v>2.7</v>
          </cell>
          <cell r="AX162">
            <v>2.2000000000000002</v>
          </cell>
          <cell r="AY162">
            <v>2.6</v>
          </cell>
          <cell r="AZ162">
            <v>2.9</v>
          </cell>
          <cell r="BA162">
            <v>16</v>
          </cell>
          <cell r="BB162">
            <v>5.3</v>
          </cell>
          <cell r="BC162">
            <v>2.4</v>
          </cell>
          <cell r="BD162">
            <v>4.7</v>
          </cell>
          <cell r="BE162">
            <v>1.3</v>
          </cell>
          <cell r="BF162">
            <v>1.8</v>
          </cell>
          <cell r="BG162">
            <v>3.8</v>
          </cell>
          <cell r="BH162">
            <v>4.0999999999999996</v>
          </cell>
          <cell r="BI162">
            <v>3.2</v>
          </cell>
          <cell r="BJ162">
            <v>3.3</v>
          </cell>
          <cell r="BK162">
            <v>2.6</v>
          </cell>
          <cell r="BL162">
            <v>64038</v>
          </cell>
          <cell r="BM162">
            <v>6753</v>
          </cell>
          <cell r="BN162">
            <v>70791</v>
          </cell>
          <cell r="BO162">
            <v>18948</v>
          </cell>
          <cell r="BP162">
            <v>4702</v>
          </cell>
          <cell r="BQ162">
            <v>23651</v>
          </cell>
          <cell r="BR162">
            <v>6048</v>
          </cell>
          <cell r="BS162">
            <v>29699</v>
          </cell>
          <cell r="BT162">
            <v>3506</v>
          </cell>
          <cell r="BU162">
            <v>10006</v>
          </cell>
          <cell r="BV162">
            <v>43210</v>
          </cell>
          <cell r="BW162">
            <v>11461</v>
          </cell>
          <cell r="BX162">
            <v>125463</v>
          </cell>
          <cell r="BY162">
            <v>15401</v>
          </cell>
          <cell r="BZ162">
            <v>549</v>
          </cell>
          <cell r="CA162">
            <v>141413</v>
          </cell>
          <cell r="CB162">
            <v>0</v>
          </cell>
          <cell r="CC162">
            <v>0</v>
          </cell>
          <cell r="CD162">
            <v>0</v>
          </cell>
          <cell r="CE162">
            <v>0</v>
          </cell>
          <cell r="CF162">
            <v>0</v>
          </cell>
          <cell r="CG162">
            <v>0</v>
          </cell>
          <cell r="CH162">
            <v>0</v>
          </cell>
          <cell r="CI162">
            <v>0</v>
          </cell>
          <cell r="CJ162">
            <v>0</v>
          </cell>
          <cell r="CK162">
            <v>0</v>
          </cell>
          <cell r="CL162">
            <v>-20</v>
          </cell>
          <cell r="CM162">
            <v>-21</v>
          </cell>
        </row>
        <row r="163">
          <cell r="A163">
            <v>35674</v>
          </cell>
          <cell r="B163">
            <v>64536</v>
          </cell>
          <cell r="C163">
            <v>6776</v>
          </cell>
          <cell r="D163">
            <v>71312</v>
          </cell>
          <cell r="E163">
            <v>20032</v>
          </cell>
          <cell r="F163">
            <v>4903</v>
          </cell>
          <cell r="G163">
            <v>24934</v>
          </cell>
          <cell r="H163">
            <v>6223</v>
          </cell>
          <cell r="I163">
            <v>31157</v>
          </cell>
          <cell r="J163">
            <v>3559</v>
          </cell>
          <cell r="K163">
            <v>10111</v>
          </cell>
          <cell r="L163">
            <v>44827</v>
          </cell>
          <cell r="M163">
            <v>12816</v>
          </cell>
          <cell r="N163">
            <v>128955</v>
          </cell>
          <cell r="O163">
            <v>15513</v>
          </cell>
          <cell r="P163">
            <v>-207</v>
          </cell>
          <cell r="Q163">
            <v>144262</v>
          </cell>
          <cell r="R163">
            <v>0.9</v>
          </cell>
          <cell r="S163">
            <v>0.5</v>
          </cell>
          <cell r="T163">
            <v>0.9</v>
          </cell>
          <cell r="U163">
            <v>2.5</v>
          </cell>
          <cell r="V163">
            <v>4.8</v>
          </cell>
          <cell r="W163">
            <v>2.9</v>
          </cell>
          <cell r="X163">
            <v>2.7</v>
          </cell>
          <cell r="Y163">
            <v>2.9</v>
          </cell>
          <cell r="Z163">
            <v>1.5</v>
          </cell>
          <cell r="AA163">
            <v>1.4</v>
          </cell>
          <cell r="AB163">
            <v>2.4</v>
          </cell>
          <cell r="AC163">
            <v>3.6</v>
          </cell>
          <cell r="AD163">
            <v>1.7</v>
          </cell>
          <cell r="AE163">
            <v>1.2</v>
          </cell>
          <cell r="AF163">
            <v>1.8</v>
          </cell>
          <cell r="AG163">
            <v>64299</v>
          </cell>
          <cell r="AH163">
            <v>6749</v>
          </cell>
          <cell r="AI163">
            <v>71048</v>
          </cell>
          <cell r="AJ163">
            <v>20426</v>
          </cell>
          <cell r="AK163">
            <v>4620</v>
          </cell>
          <cell r="AL163">
            <v>25046</v>
          </cell>
          <cell r="AM163">
            <v>6238</v>
          </cell>
          <cell r="AN163">
            <v>31284</v>
          </cell>
          <cell r="AO163">
            <v>3563</v>
          </cell>
          <cell r="AP163">
            <v>10086</v>
          </cell>
          <cell r="AQ163">
            <v>44933</v>
          </cell>
          <cell r="AR163">
            <v>12862</v>
          </cell>
          <cell r="AS163">
            <v>128843</v>
          </cell>
          <cell r="AT163">
            <v>15197</v>
          </cell>
          <cell r="AU163">
            <v>-615</v>
          </cell>
          <cell r="AV163">
            <v>143426</v>
          </cell>
          <cell r="AW163">
            <v>-0.3</v>
          </cell>
          <cell r="AX163">
            <v>-0.7</v>
          </cell>
          <cell r="AY163">
            <v>-0.3</v>
          </cell>
          <cell r="AZ163">
            <v>4.7</v>
          </cell>
          <cell r="BA163">
            <v>-8.1999999999999993</v>
          </cell>
          <cell r="BB163">
            <v>2.1</v>
          </cell>
          <cell r="BC163">
            <v>3.1</v>
          </cell>
          <cell r="BD163">
            <v>2.2999999999999998</v>
          </cell>
          <cell r="BE163">
            <v>1.6</v>
          </cell>
          <cell r="BF163">
            <v>1</v>
          </cell>
          <cell r="BG163">
            <v>2</v>
          </cell>
          <cell r="BH163">
            <v>4.5999999999999996</v>
          </cell>
          <cell r="BI163">
            <v>1</v>
          </cell>
          <cell r="BJ163">
            <v>-2.5</v>
          </cell>
          <cell r="BK163">
            <v>0.7</v>
          </cell>
          <cell r="BL163">
            <v>64114</v>
          </cell>
          <cell r="BM163">
            <v>6746</v>
          </cell>
          <cell r="BN163">
            <v>70859</v>
          </cell>
          <cell r="BO163">
            <v>20949</v>
          </cell>
          <cell r="BP163">
            <v>5075</v>
          </cell>
          <cell r="BQ163">
            <v>26023</v>
          </cell>
          <cell r="BR163">
            <v>6238</v>
          </cell>
          <cell r="BS163">
            <v>32261</v>
          </cell>
          <cell r="BT163">
            <v>3563</v>
          </cell>
          <cell r="BU163">
            <v>10069</v>
          </cell>
          <cell r="BV163">
            <v>45894</v>
          </cell>
          <cell r="BW163">
            <v>11780</v>
          </cell>
          <cell r="BX163">
            <v>128534</v>
          </cell>
          <cell r="BY163">
            <v>15091</v>
          </cell>
          <cell r="BZ163">
            <v>-606</v>
          </cell>
          <cell r="CA163">
            <v>143019</v>
          </cell>
          <cell r="CB163">
            <v>0</v>
          </cell>
          <cell r="CC163">
            <v>0</v>
          </cell>
          <cell r="CD163">
            <v>0</v>
          </cell>
          <cell r="CE163">
            <v>0</v>
          </cell>
          <cell r="CF163">
            <v>0</v>
          </cell>
          <cell r="CG163">
            <v>0</v>
          </cell>
          <cell r="CH163">
            <v>0</v>
          </cell>
          <cell r="CI163">
            <v>0</v>
          </cell>
          <cell r="CJ163">
            <v>0</v>
          </cell>
          <cell r="CK163">
            <v>1</v>
          </cell>
          <cell r="CL163">
            <v>-18</v>
          </cell>
          <cell r="CM163">
            <v>-17</v>
          </cell>
        </row>
        <row r="164">
          <cell r="A164">
            <v>35765</v>
          </cell>
          <cell r="B164">
            <v>65020</v>
          </cell>
          <cell r="C164">
            <v>6806</v>
          </cell>
          <cell r="D164">
            <v>71827</v>
          </cell>
          <cell r="E164">
            <v>20407</v>
          </cell>
          <cell r="F164">
            <v>5013</v>
          </cell>
          <cell r="G164">
            <v>25420</v>
          </cell>
          <cell r="H164">
            <v>6378</v>
          </cell>
          <cell r="I164">
            <v>31798</v>
          </cell>
          <cell r="J164">
            <v>3609</v>
          </cell>
          <cell r="K164">
            <v>10256</v>
          </cell>
          <cell r="L164">
            <v>45663</v>
          </cell>
          <cell r="M164">
            <v>13169</v>
          </cell>
          <cell r="N164">
            <v>130659</v>
          </cell>
          <cell r="O164">
            <v>15632</v>
          </cell>
          <cell r="P164">
            <v>190</v>
          </cell>
          <cell r="Q164">
            <v>146481</v>
          </cell>
          <cell r="R164">
            <v>0.8</v>
          </cell>
          <cell r="S164">
            <v>0.4</v>
          </cell>
          <cell r="T164">
            <v>0.7</v>
          </cell>
          <cell r="U164">
            <v>1.9</v>
          </cell>
          <cell r="V164">
            <v>2.2999999999999998</v>
          </cell>
          <cell r="W164">
            <v>1.9</v>
          </cell>
          <cell r="X164">
            <v>2.5</v>
          </cell>
          <cell r="Y164">
            <v>2.1</v>
          </cell>
          <cell r="Z164">
            <v>1.4</v>
          </cell>
          <cell r="AA164">
            <v>1.4</v>
          </cell>
          <cell r="AB164">
            <v>1.9</v>
          </cell>
          <cell r="AC164">
            <v>2.7</v>
          </cell>
          <cell r="AD164">
            <v>1.3</v>
          </cell>
          <cell r="AE164">
            <v>0.8</v>
          </cell>
          <cell r="AF164">
            <v>1.5</v>
          </cell>
          <cell r="AG164">
            <v>65055</v>
          </cell>
          <cell r="AH164">
            <v>6812</v>
          </cell>
          <cell r="AI164">
            <v>71867</v>
          </cell>
          <cell r="AJ164">
            <v>20083</v>
          </cell>
          <cell r="AK164">
            <v>5061</v>
          </cell>
          <cell r="AL164">
            <v>25145</v>
          </cell>
          <cell r="AM164">
            <v>6378</v>
          </cell>
          <cell r="AN164">
            <v>31523</v>
          </cell>
          <cell r="AO164">
            <v>3609</v>
          </cell>
          <cell r="AP164">
            <v>10264</v>
          </cell>
          <cell r="AQ164">
            <v>45396</v>
          </cell>
          <cell r="AR164">
            <v>13298</v>
          </cell>
          <cell r="AS164">
            <v>130561</v>
          </cell>
          <cell r="AT164">
            <v>15778</v>
          </cell>
          <cell r="AU164">
            <v>922</v>
          </cell>
          <cell r="AV164">
            <v>147261</v>
          </cell>
          <cell r="AW164">
            <v>1.2</v>
          </cell>
          <cell r="AX164">
            <v>0.9</v>
          </cell>
          <cell r="AY164">
            <v>1.2</v>
          </cell>
          <cell r="AZ164">
            <v>-1.7</v>
          </cell>
          <cell r="BA164">
            <v>9.6</v>
          </cell>
          <cell r="BB164">
            <v>0.4</v>
          </cell>
          <cell r="BC164">
            <v>2.2000000000000002</v>
          </cell>
          <cell r="BD164">
            <v>0.8</v>
          </cell>
          <cell r="BE164">
            <v>1.3</v>
          </cell>
          <cell r="BF164">
            <v>1.8</v>
          </cell>
          <cell r="BG164">
            <v>1</v>
          </cell>
          <cell r="BH164">
            <v>3.4</v>
          </cell>
          <cell r="BI164">
            <v>1.3</v>
          </cell>
          <cell r="BJ164">
            <v>3.8</v>
          </cell>
          <cell r="BK164">
            <v>2.7</v>
          </cell>
          <cell r="BL164">
            <v>67116</v>
          </cell>
          <cell r="BM164">
            <v>7022</v>
          </cell>
          <cell r="BN164">
            <v>74138</v>
          </cell>
          <cell r="BO164">
            <v>21962</v>
          </cell>
          <cell r="BP164">
            <v>4901</v>
          </cell>
          <cell r="BQ164">
            <v>26864</v>
          </cell>
          <cell r="BR164">
            <v>6378</v>
          </cell>
          <cell r="BS164">
            <v>33242</v>
          </cell>
          <cell r="BT164">
            <v>3609</v>
          </cell>
          <cell r="BU164">
            <v>10255</v>
          </cell>
          <cell r="BV164">
            <v>47106</v>
          </cell>
          <cell r="BW164">
            <v>15982</v>
          </cell>
          <cell r="BX164">
            <v>137226</v>
          </cell>
          <cell r="BY164">
            <v>16127</v>
          </cell>
          <cell r="BZ164">
            <v>1132</v>
          </cell>
          <cell r="CA164">
            <v>154484</v>
          </cell>
          <cell r="CB164">
            <v>0</v>
          </cell>
          <cell r="CC164">
            <v>0</v>
          </cell>
          <cell r="CD164">
            <v>0</v>
          </cell>
          <cell r="CE164">
            <v>0</v>
          </cell>
          <cell r="CF164">
            <v>1</v>
          </cell>
          <cell r="CG164">
            <v>0</v>
          </cell>
          <cell r="CH164">
            <v>0</v>
          </cell>
          <cell r="CI164">
            <v>0</v>
          </cell>
          <cell r="CJ164">
            <v>0</v>
          </cell>
          <cell r="CK164">
            <v>0</v>
          </cell>
          <cell r="CL164">
            <v>-10</v>
          </cell>
          <cell r="CM164">
            <v>-9</v>
          </cell>
        </row>
        <row r="165">
          <cell r="A165">
            <v>35855</v>
          </cell>
          <cell r="B165">
            <v>65791</v>
          </cell>
          <cell r="C165">
            <v>6894</v>
          </cell>
          <cell r="D165">
            <v>72685</v>
          </cell>
          <cell r="E165">
            <v>20668</v>
          </cell>
          <cell r="F165">
            <v>4971</v>
          </cell>
          <cell r="G165">
            <v>25638</v>
          </cell>
          <cell r="H165">
            <v>6507</v>
          </cell>
          <cell r="I165">
            <v>32145</v>
          </cell>
          <cell r="J165">
            <v>3659</v>
          </cell>
          <cell r="K165">
            <v>10406</v>
          </cell>
          <cell r="L165">
            <v>46210</v>
          </cell>
          <cell r="M165">
            <v>13261</v>
          </cell>
          <cell r="N165">
            <v>132156</v>
          </cell>
          <cell r="O165">
            <v>15861</v>
          </cell>
          <cell r="P165">
            <v>178</v>
          </cell>
          <cell r="Q165">
            <v>148195</v>
          </cell>
          <cell r="R165">
            <v>1.2</v>
          </cell>
          <cell r="S165">
            <v>1.3</v>
          </cell>
          <cell r="T165">
            <v>1.2</v>
          </cell>
          <cell r="U165">
            <v>1.3</v>
          </cell>
          <cell r="V165">
            <v>-0.8</v>
          </cell>
          <cell r="W165">
            <v>0.9</v>
          </cell>
          <cell r="X165">
            <v>2</v>
          </cell>
          <cell r="Y165">
            <v>1.1000000000000001</v>
          </cell>
          <cell r="Z165">
            <v>1.4</v>
          </cell>
          <cell r="AA165">
            <v>1.5</v>
          </cell>
          <cell r="AB165">
            <v>1.2</v>
          </cell>
          <cell r="AC165">
            <v>0.7</v>
          </cell>
          <cell r="AD165">
            <v>1.1000000000000001</v>
          </cell>
          <cell r="AE165">
            <v>1.5</v>
          </cell>
          <cell r="AF165">
            <v>1.2</v>
          </cell>
          <cell r="AG165">
            <v>65750</v>
          </cell>
          <cell r="AH165">
            <v>6878</v>
          </cell>
          <cell r="AI165">
            <v>72628</v>
          </cell>
          <cell r="AJ165">
            <v>20870</v>
          </cell>
          <cell r="AK165">
            <v>5126</v>
          </cell>
          <cell r="AL165">
            <v>25995</v>
          </cell>
          <cell r="AM165">
            <v>6506</v>
          </cell>
          <cell r="AN165">
            <v>32501</v>
          </cell>
          <cell r="AO165">
            <v>3658</v>
          </cell>
          <cell r="AP165">
            <v>10407</v>
          </cell>
          <cell r="AQ165">
            <v>46566</v>
          </cell>
          <cell r="AR165">
            <v>13107</v>
          </cell>
          <cell r="AS165">
            <v>132301</v>
          </cell>
          <cell r="AT165">
            <v>15939</v>
          </cell>
          <cell r="AU165">
            <v>19</v>
          </cell>
          <cell r="AV165">
            <v>148260</v>
          </cell>
          <cell r="AW165">
            <v>1.1000000000000001</v>
          </cell>
          <cell r="AX165">
            <v>1</v>
          </cell>
          <cell r="AY165">
            <v>1.1000000000000001</v>
          </cell>
          <cell r="AZ165">
            <v>3.9</v>
          </cell>
          <cell r="BA165">
            <v>1.3</v>
          </cell>
          <cell r="BB165">
            <v>3.4</v>
          </cell>
          <cell r="BC165">
            <v>2</v>
          </cell>
          <cell r="BD165">
            <v>3.1</v>
          </cell>
          <cell r="BE165">
            <v>1.3</v>
          </cell>
          <cell r="BF165">
            <v>1.4</v>
          </cell>
          <cell r="BG165">
            <v>2.6</v>
          </cell>
          <cell r="BH165">
            <v>-1.4</v>
          </cell>
          <cell r="BI165">
            <v>1.3</v>
          </cell>
          <cell r="BJ165">
            <v>1</v>
          </cell>
          <cell r="BK165">
            <v>0.7</v>
          </cell>
          <cell r="BL165">
            <v>64243</v>
          </cell>
          <cell r="BM165">
            <v>6715</v>
          </cell>
          <cell r="BN165">
            <v>70959</v>
          </cell>
          <cell r="BO165">
            <v>18962</v>
          </cell>
          <cell r="BP165">
            <v>5146</v>
          </cell>
          <cell r="BQ165">
            <v>24108</v>
          </cell>
          <cell r="BR165">
            <v>6506</v>
          </cell>
          <cell r="BS165">
            <v>30614</v>
          </cell>
          <cell r="BT165">
            <v>3658</v>
          </cell>
          <cell r="BU165">
            <v>10408</v>
          </cell>
          <cell r="BV165">
            <v>44680</v>
          </cell>
          <cell r="BW165">
            <v>12163</v>
          </cell>
          <cell r="BX165">
            <v>127801</v>
          </cell>
          <cell r="BY165">
            <v>15870</v>
          </cell>
          <cell r="BZ165">
            <v>-1379</v>
          </cell>
          <cell r="CA165">
            <v>142292</v>
          </cell>
          <cell r="CB165">
            <v>0</v>
          </cell>
          <cell r="CC165">
            <v>0</v>
          </cell>
          <cell r="CD165">
            <v>0</v>
          </cell>
          <cell r="CE165">
            <v>0</v>
          </cell>
          <cell r="CF165">
            <v>-1</v>
          </cell>
          <cell r="CG165">
            <v>0</v>
          </cell>
          <cell r="CH165">
            <v>0</v>
          </cell>
          <cell r="CI165">
            <v>0</v>
          </cell>
          <cell r="CJ165">
            <v>0</v>
          </cell>
          <cell r="CK165">
            <v>0</v>
          </cell>
          <cell r="CL165">
            <v>-7</v>
          </cell>
          <cell r="CM165">
            <v>-6</v>
          </cell>
        </row>
        <row r="166">
          <cell r="A166">
            <v>35947</v>
          </cell>
          <cell r="B166">
            <v>67002</v>
          </cell>
          <cell r="C166">
            <v>7057</v>
          </cell>
          <cell r="D166">
            <v>74059</v>
          </cell>
          <cell r="E166">
            <v>21107</v>
          </cell>
          <cell r="F166">
            <v>4759</v>
          </cell>
          <cell r="G166">
            <v>25867</v>
          </cell>
          <cell r="H166">
            <v>6609</v>
          </cell>
          <cell r="I166">
            <v>32476</v>
          </cell>
          <cell r="J166">
            <v>3709</v>
          </cell>
          <cell r="K166">
            <v>10554</v>
          </cell>
          <cell r="L166">
            <v>46739</v>
          </cell>
          <cell r="M166">
            <v>13205</v>
          </cell>
          <cell r="N166">
            <v>134003</v>
          </cell>
          <cell r="O166">
            <v>16147</v>
          </cell>
          <cell r="P166">
            <v>-161</v>
          </cell>
          <cell r="Q166">
            <v>149988</v>
          </cell>
          <cell r="R166">
            <v>1.8</v>
          </cell>
          <cell r="S166">
            <v>2.4</v>
          </cell>
          <cell r="T166">
            <v>1.9</v>
          </cell>
          <cell r="U166">
            <v>2.1</v>
          </cell>
          <cell r="V166">
            <v>-4.3</v>
          </cell>
          <cell r="W166">
            <v>0.9</v>
          </cell>
          <cell r="X166">
            <v>1.6</v>
          </cell>
          <cell r="Y166">
            <v>1</v>
          </cell>
          <cell r="Z166">
            <v>1.4</v>
          </cell>
          <cell r="AA166">
            <v>1.4</v>
          </cell>
          <cell r="AB166">
            <v>1.1000000000000001</v>
          </cell>
          <cell r="AC166">
            <v>-0.4</v>
          </cell>
          <cell r="AD166">
            <v>1.4</v>
          </cell>
          <cell r="AE166">
            <v>1.8</v>
          </cell>
          <cell r="AF166">
            <v>1.2</v>
          </cell>
          <cell r="AG166">
            <v>66697</v>
          </cell>
          <cell r="AH166">
            <v>7025</v>
          </cell>
          <cell r="AI166">
            <v>73722</v>
          </cell>
          <cell r="AJ166">
            <v>20992</v>
          </cell>
          <cell r="AK166">
            <v>4745</v>
          </cell>
          <cell r="AL166">
            <v>25737</v>
          </cell>
          <cell r="AM166">
            <v>6622</v>
          </cell>
          <cell r="AN166">
            <v>32359</v>
          </cell>
          <cell r="AO166">
            <v>3708</v>
          </cell>
          <cell r="AP166">
            <v>10553</v>
          </cell>
          <cell r="AQ166">
            <v>46620</v>
          </cell>
          <cell r="AR166">
            <v>13378</v>
          </cell>
          <cell r="AS166">
            <v>133720</v>
          </cell>
          <cell r="AT166">
            <v>15830</v>
          </cell>
          <cell r="AU166">
            <v>-143</v>
          </cell>
          <cell r="AV166">
            <v>149407</v>
          </cell>
          <cell r="AW166">
            <v>1.4</v>
          </cell>
          <cell r="AX166">
            <v>2.1</v>
          </cell>
          <cell r="AY166">
            <v>1.5</v>
          </cell>
          <cell r="AZ166">
            <v>0.6</v>
          </cell>
          <cell r="BA166">
            <v>-7.4</v>
          </cell>
          <cell r="BB166">
            <v>-1</v>
          </cell>
          <cell r="BC166">
            <v>1.8</v>
          </cell>
          <cell r="BD166">
            <v>-0.4</v>
          </cell>
          <cell r="BE166">
            <v>1.4</v>
          </cell>
          <cell r="BF166">
            <v>1.4</v>
          </cell>
          <cell r="BG166">
            <v>0.1</v>
          </cell>
          <cell r="BH166">
            <v>2.1</v>
          </cell>
          <cell r="BI166">
            <v>1.1000000000000001</v>
          </cell>
          <cell r="BJ166">
            <v>-0.7</v>
          </cell>
          <cell r="BK166">
            <v>0.8</v>
          </cell>
          <cell r="BL166">
            <v>66280</v>
          </cell>
          <cell r="BM166">
            <v>6978</v>
          </cell>
          <cell r="BN166">
            <v>73258</v>
          </cell>
          <cell r="BO166">
            <v>20441</v>
          </cell>
          <cell r="BP166">
            <v>4443</v>
          </cell>
          <cell r="BQ166">
            <v>24884</v>
          </cell>
          <cell r="BR166">
            <v>6622</v>
          </cell>
          <cell r="BS166">
            <v>31506</v>
          </cell>
          <cell r="BT166">
            <v>3708</v>
          </cell>
          <cell r="BU166">
            <v>10582</v>
          </cell>
          <cell r="BV166">
            <v>45795</v>
          </cell>
          <cell r="BW166">
            <v>12762</v>
          </cell>
          <cell r="BX166">
            <v>131815</v>
          </cell>
          <cell r="BY166">
            <v>15634</v>
          </cell>
          <cell r="BZ166">
            <v>853</v>
          </cell>
          <cell r="CA166">
            <v>148302</v>
          </cell>
          <cell r="CB166">
            <v>0</v>
          </cell>
          <cell r="CC166">
            <v>0</v>
          </cell>
          <cell r="CD166">
            <v>0</v>
          </cell>
          <cell r="CE166">
            <v>0</v>
          </cell>
          <cell r="CF166">
            <v>0</v>
          </cell>
          <cell r="CG166">
            <v>0</v>
          </cell>
          <cell r="CH166">
            <v>0</v>
          </cell>
          <cell r="CI166">
            <v>0</v>
          </cell>
          <cell r="CJ166">
            <v>0</v>
          </cell>
          <cell r="CK166">
            <v>0</v>
          </cell>
          <cell r="CL166">
            <v>10</v>
          </cell>
          <cell r="CM166">
            <v>10</v>
          </cell>
        </row>
        <row r="167">
          <cell r="A167">
            <v>36039</v>
          </cell>
          <cell r="B167">
            <v>68169</v>
          </cell>
          <cell r="C167">
            <v>7229</v>
          </cell>
          <cell r="D167">
            <v>75398</v>
          </cell>
          <cell r="E167">
            <v>21917</v>
          </cell>
          <cell r="F167">
            <v>4496</v>
          </cell>
          <cell r="G167">
            <v>26413</v>
          </cell>
          <cell r="H167">
            <v>6705</v>
          </cell>
          <cell r="I167">
            <v>33118</v>
          </cell>
          <cell r="J167">
            <v>3762</v>
          </cell>
          <cell r="K167">
            <v>10690</v>
          </cell>
          <cell r="L167">
            <v>47569</v>
          </cell>
          <cell r="M167">
            <v>13132</v>
          </cell>
          <cell r="N167">
            <v>136099</v>
          </cell>
          <cell r="O167">
            <v>16315</v>
          </cell>
          <cell r="P167">
            <v>-308</v>
          </cell>
          <cell r="Q167">
            <v>152106</v>
          </cell>
          <cell r="R167">
            <v>1.7</v>
          </cell>
          <cell r="S167">
            <v>2.4</v>
          </cell>
          <cell r="T167">
            <v>1.8</v>
          </cell>
          <cell r="U167">
            <v>3.8</v>
          </cell>
          <cell r="V167">
            <v>-5.5</v>
          </cell>
          <cell r="W167">
            <v>2.1</v>
          </cell>
          <cell r="X167">
            <v>1.4</v>
          </cell>
          <cell r="Y167">
            <v>2</v>
          </cell>
          <cell r="Z167">
            <v>1.4</v>
          </cell>
          <cell r="AA167">
            <v>1.3</v>
          </cell>
          <cell r="AB167">
            <v>1.8</v>
          </cell>
          <cell r="AC167">
            <v>-0.6</v>
          </cell>
          <cell r="AD167">
            <v>1.6</v>
          </cell>
          <cell r="AE167">
            <v>1</v>
          </cell>
          <cell r="AF167">
            <v>1.4</v>
          </cell>
          <cell r="AG167">
            <v>68653</v>
          </cell>
          <cell r="AH167">
            <v>7281</v>
          </cell>
          <cell r="AI167">
            <v>75933</v>
          </cell>
          <cell r="AJ167">
            <v>21683</v>
          </cell>
          <cell r="AK167">
            <v>4373</v>
          </cell>
          <cell r="AL167">
            <v>26056</v>
          </cell>
          <cell r="AM167">
            <v>6695</v>
          </cell>
          <cell r="AN167">
            <v>32751</v>
          </cell>
          <cell r="AO167">
            <v>3764</v>
          </cell>
          <cell r="AP167">
            <v>10694</v>
          </cell>
          <cell r="AQ167">
            <v>47209</v>
          </cell>
          <cell r="AR167">
            <v>12925</v>
          </cell>
          <cell r="AS167">
            <v>136067</v>
          </cell>
          <cell r="AT167">
            <v>16712</v>
          </cell>
          <cell r="AU167">
            <v>-740</v>
          </cell>
          <cell r="AV167">
            <v>152039</v>
          </cell>
          <cell r="AW167">
            <v>2.9</v>
          </cell>
          <cell r="AX167">
            <v>3.6</v>
          </cell>
          <cell r="AY167">
            <v>3</v>
          </cell>
          <cell r="AZ167">
            <v>3.3</v>
          </cell>
          <cell r="BA167">
            <v>-7.8</v>
          </cell>
          <cell r="BB167">
            <v>1.2</v>
          </cell>
          <cell r="BC167">
            <v>1.1000000000000001</v>
          </cell>
          <cell r="BD167">
            <v>1.2</v>
          </cell>
          <cell r="BE167">
            <v>1.5</v>
          </cell>
          <cell r="BF167">
            <v>1.3</v>
          </cell>
          <cell r="BG167">
            <v>1.3</v>
          </cell>
          <cell r="BH167">
            <v>-3.4</v>
          </cell>
          <cell r="BI167">
            <v>1.8</v>
          </cell>
          <cell r="BJ167">
            <v>5.6</v>
          </cell>
          <cell r="BK167">
            <v>1.8</v>
          </cell>
          <cell r="BL167">
            <v>68499</v>
          </cell>
          <cell r="BM167">
            <v>7281</v>
          </cell>
          <cell r="BN167">
            <v>75779</v>
          </cell>
          <cell r="BO167">
            <v>22176</v>
          </cell>
          <cell r="BP167">
            <v>4759</v>
          </cell>
          <cell r="BQ167">
            <v>26935</v>
          </cell>
          <cell r="BR167">
            <v>6695</v>
          </cell>
          <cell r="BS167">
            <v>33630</v>
          </cell>
          <cell r="BT167">
            <v>3764</v>
          </cell>
          <cell r="BU167">
            <v>10673</v>
          </cell>
          <cell r="BV167">
            <v>48067</v>
          </cell>
          <cell r="BW167">
            <v>11737</v>
          </cell>
          <cell r="BX167">
            <v>135583</v>
          </cell>
          <cell r="BY167">
            <v>16566</v>
          </cell>
          <cell r="BZ167">
            <v>-1005</v>
          </cell>
          <cell r="CA167">
            <v>151144</v>
          </cell>
          <cell r="CB167">
            <v>1</v>
          </cell>
          <cell r="CC167">
            <v>0</v>
          </cell>
          <cell r="CD167">
            <v>0</v>
          </cell>
          <cell r="CE167">
            <v>0</v>
          </cell>
          <cell r="CF167">
            <v>0</v>
          </cell>
          <cell r="CG167">
            <v>0</v>
          </cell>
          <cell r="CH167">
            <v>0</v>
          </cell>
          <cell r="CI167">
            <v>0</v>
          </cell>
          <cell r="CJ167">
            <v>0</v>
          </cell>
          <cell r="CK167">
            <v>0</v>
          </cell>
          <cell r="CL167">
            <v>23</v>
          </cell>
          <cell r="CM167">
            <v>23</v>
          </cell>
        </row>
        <row r="168">
          <cell r="A168">
            <v>36130</v>
          </cell>
          <cell r="B168">
            <v>69148</v>
          </cell>
          <cell r="C168">
            <v>7370</v>
          </cell>
          <cell r="D168">
            <v>76518</v>
          </cell>
          <cell r="E168">
            <v>22548</v>
          </cell>
          <cell r="F168">
            <v>4429</v>
          </cell>
          <cell r="G168">
            <v>26977</v>
          </cell>
          <cell r="H168">
            <v>6812</v>
          </cell>
          <cell r="I168">
            <v>33789</v>
          </cell>
          <cell r="J168">
            <v>3814</v>
          </cell>
          <cell r="K168">
            <v>10822</v>
          </cell>
          <cell r="L168">
            <v>48425</v>
          </cell>
          <cell r="M168">
            <v>12998</v>
          </cell>
          <cell r="N168">
            <v>137942</v>
          </cell>
          <cell r="O168">
            <v>16399</v>
          </cell>
          <cell r="P168">
            <v>-4</v>
          </cell>
          <cell r="Q168">
            <v>154337</v>
          </cell>
          <cell r="R168">
            <v>1.4</v>
          </cell>
          <cell r="S168">
            <v>2</v>
          </cell>
          <cell r="T168">
            <v>1.5</v>
          </cell>
          <cell r="U168">
            <v>2.9</v>
          </cell>
          <cell r="V168">
            <v>-1.5</v>
          </cell>
          <cell r="W168">
            <v>2.1</v>
          </cell>
          <cell r="X168">
            <v>1.6</v>
          </cell>
          <cell r="Y168">
            <v>2</v>
          </cell>
          <cell r="Z168">
            <v>1.4</v>
          </cell>
          <cell r="AA168">
            <v>1.2</v>
          </cell>
          <cell r="AB168">
            <v>1.8</v>
          </cell>
          <cell r="AC168">
            <v>-1</v>
          </cell>
          <cell r="AD168">
            <v>1.4</v>
          </cell>
          <cell r="AE168">
            <v>0.5</v>
          </cell>
          <cell r="AF168">
            <v>1.5</v>
          </cell>
          <cell r="AG168">
            <v>69051</v>
          </cell>
          <cell r="AH168">
            <v>7367</v>
          </cell>
          <cell r="AI168">
            <v>76418</v>
          </cell>
          <cell r="AJ168">
            <v>22725</v>
          </cell>
          <cell r="AK168">
            <v>4375</v>
          </cell>
          <cell r="AL168">
            <v>27100</v>
          </cell>
          <cell r="AM168">
            <v>6810</v>
          </cell>
          <cell r="AN168">
            <v>33910</v>
          </cell>
          <cell r="AO168">
            <v>3814</v>
          </cell>
          <cell r="AP168">
            <v>10825</v>
          </cell>
          <cell r="AQ168">
            <v>48548</v>
          </cell>
          <cell r="AR168">
            <v>13172</v>
          </cell>
          <cell r="AS168">
            <v>138138</v>
          </cell>
          <cell r="AT168">
            <v>16306</v>
          </cell>
          <cell r="AU168">
            <v>443</v>
          </cell>
          <cell r="AV168">
            <v>154888</v>
          </cell>
          <cell r="AW168">
            <v>0.6</v>
          </cell>
          <cell r="AX168">
            <v>1.2</v>
          </cell>
          <cell r="AY168">
            <v>0.6</v>
          </cell>
          <cell r="AZ168">
            <v>4.8</v>
          </cell>
          <cell r="BA168">
            <v>0</v>
          </cell>
          <cell r="BB168">
            <v>4</v>
          </cell>
          <cell r="BC168">
            <v>1.7</v>
          </cell>
          <cell r="BD168">
            <v>3.5</v>
          </cell>
          <cell r="BE168">
            <v>1.3</v>
          </cell>
          <cell r="BF168">
            <v>1.2</v>
          </cell>
          <cell r="BG168">
            <v>2.8</v>
          </cell>
          <cell r="BH168">
            <v>1.9</v>
          </cell>
          <cell r="BI168">
            <v>1.5</v>
          </cell>
          <cell r="BJ168">
            <v>-2.4</v>
          </cell>
          <cell r="BK168">
            <v>1.9</v>
          </cell>
          <cell r="BL168">
            <v>71154</v>
          </cell>
          <cell r="BM168">
            <v>7589</v>
          </cell>
          <cell r="BN168">
            <v>78742</v>
          </cell>
          <cell r="BO168">
            <v>24742</v>
          </cell>
          <cell r="BP168">
            <v>4255</v>
          </cell>
          <cell r="BQ168">
            <v>28997</v>
          </cell>
          <cell r="BR168">
            <v>6810</v>
          </cell>
          <cell r="BS168">
            <v>35807</v>
          </cell>
          <cell r="BT168">
            <v>3814</v>
          </cell>
          <cell r="BU168">
            <v>10813</v>
          </cell>
          <cell r="BV168">
            <v>50433</v>
          </cell>
          <cell r="BW168">
            <v>15697</v>
          </cell>
          <cell r="BX168">
            <v>144872</v>
          </cell>
          <cell r="BY168">
            <v>16678</v>
          </cell>
          <cell r="BZ168">
            <v>357</v>
          </cell>
          <cell r="CA168">
            <v>161908</v>
          </cell>
          <cell r="CB168">
            <v>0</v>
          </cell>
          <cell r="CC168">
            <v>0</v>
          </cell>
          <cell r="CD168">
            <v>0</v>
          </cell>
          <cell r="CE168">
            <v>0</v>
          </cell>
          <cell r="CF168">
            <v>0</v>
          </cell>
          <cell r="CG168">
            <v>0</v>
          </cell>
          <cell r="CH168">
            <v>0</v>
          </cell>
          <cell r="CI168">
            <v>0</v>
          </cell>
          <cell r="CJ168">
            <v>1</v>
          </cell>
          <cell r="CK168">
            <v>0</v>
          </cell>
          <cell r="CL168">
            <v>25</v>
          </cell>
          <cell r="CM168">
            <v>25</v>
          </cell>
        </row>
        <row r="169">
          <cell r="A169">
            <v>36220</v>
          </cell>
          <cell r="B169">
            <v>69807</v>
          </cell>
          <cell r="C169">
            <v>7446</v>
          </cell>
          <cell r="D169">
            <v>77253</v>
          </cell>
          <cell r="E169">
            <v>22616</v>
          </cell>
          <cell r="F169">
            <v>4460</v>
          </cell>
          <cell r="G169">
            <v>27076</v>
          </cell>
          <cell r="H169">
            <v>6959</v>
          </cell>
          <cell r="I169">
            <v>34035</v>
          </cell>
          <cell r="J169">
            <v>3859</v>
          </cell>
          <cell r="K169">
            <v>10972</v>
          </cell>
          <cell r="L169">
            <v>48866</v>
          </cell>
          <cell r="M169">
            <v>12937</v>
          </cell>
          <cell r="N169">
            <v>139055</v>
          </cell>
          <cell r="O169">
            <v>16627</v>
          </cell>
          <cell r="P169">
            <v>427</v>
          </cell>
          <cell r="Q169">
            <v>156109</v>
          </cell>
          <cell r="R169">
            <v>1</v>
          </cell>
          <cell r="S169">
            <v>1</v>
          </cell>
          <cell r="T169">
            <v>1</v>
          </cell>
          <cell r="U169">
            <v>0.3</v>
          </cell>
          <cell r="V169">
            <v>0.7</v>
          </cell>
          <cell r="W169">
            <v>0.4</v>
          </cell>
          <cell r="X169">
            <v>2.2000000000000002</v>
          </cell>
          <cell r="Y169">
            <v>0.7</v>
          </cell>
          <cell r="Z169">
            <v>1.2</v>
          </cell>
          <cell r="AA169">
            <v>1.4</v>
          </cell>
          <cell r="AB169">
            <v>0.9</v>
          </cell>
          <cell r="AC169">
            <v>-0.5</v>
          </cell>
          <cell r="AD169">
            <v>0.8</v>
          </cell>
          <cell r="AE169">
            <v>1.4</v>
          </cell>
          <cell r="AF169">
            <v>1.1000000000000001</v>
          </cell>
          <cell r="AG169">
            <v>69650</v>
          </cell>
          <cell r="AH169">
            <v>7432</v>
          </cell>
          <cell r="AI169">
            <v>77081</v>
          </cell>
          <cell r="AJ169">
            <v>23264</v>
          </cell>
          <cell r="AK169">
            <v>4621</v>
          </cell>
          <cell r="AL169">
            <v>27885</v>
          </cell>
          <cell r="AM169">
            <v>6956</v>
          </cell>
          <cell r="AN169">
            <v>34841</v>
          </cell>
          <cell r="AO169">
            <v>3860</v>
          </cell>
          <cell r="AP169">
            <v>10967</v>
          </cell>
          <cell r="AQ169">
            <v>49667</v>
          </cell>
          <cell r="AR169">
            <v>12937</v>
          </cell>
          <cell r="AS169">
            <v>139685</v>
          </cell>
          <cell r="AT169">
            <v>16441</v>
          </cell>
          <cell r="AU169">
            <v>117</v>
          </cell>
          <cell r="AV169">
            <v>156243</v>
          </cell>
          <cell r="AW169">
            <v>0.9</v>
          </cell>
          <cell r="AX169">
            <v>0.9</v>
          </cell>
          <cell r="AY169">
            <v>0.9</v>
          </cell>
          <cell r="AZ169">
            <v>2.4</v>
          </cell>
          <cell r="BA169">
            <v>5.6</v>
          </cell>
          <cell r="BB169">
            <v>2.9</v>
          </cell>
          <cell r="BC169">
            <v>2.1</v>
          </cell>
          <cell r="BD169">
            <v>2.7</v>
          </cell>
          <cell r="BE169">
            <v>1.2</v>
          </cell>
          <cell r="BF169">
            <v>1.3</v>
          </cell>
          <cell r="BG169">
            <v>2.2999999999999998</v>
          </cell>
          <cell r="BH169">
            <v>-1.8</v>
          </cell>
          <cell r="BI169">
            <v>1.1000000000000001</v>
          </cell>
          <cell r="BJ169">
            <v>0.8</v>
          </cell>
          <cell r="BK169">
            <v>0.9</v>
          </cell>
          <cell r="BL169">
            <v>68083</v>
          </cell>
          <cell r="BM169">
            <v>7255</v>
          </cell>
          <cell r="BN169">
            <v>75338</v>
          </cell>
          <cell r="BO169">
            <v>21302</v>
          </cell>
          <cell r="BP169">
            <v>4653</v>
          </cell>
          <cell r="BQ169">
            <v>25955</v>
          </cell>
          <cell r="BR169">
            <v>6956</v>
          </cell>
          <cell r="BS169">
            <v>32911</v>
          </cell>
          <cell r="BT169">
            <v>3860</v>
          </cell>
          <cell r="BU169">
            <v>10971</v>
          </cell>
          <cell r="BV169">
            <v>47742</v>
          </cell>
          <cell r="BW169">
            <v>11991</v>
          </cell>
          <cell r="BX169">
            <v>135072</v>
          </cell>
          <cell r="BY169">
            <v>16388</v>
          </cell>
          <cell r="BZ169">
            <v>-820</v>
          </cell>
          <cell r="CA169">
            <v>150640</v>
          </cell>
          <cell r="CB169">
            <v>0</v>
          </cell>
          <cell r="CC169">
            <v>0</v>
          </cell>
          <cell r="CD169">
            <v>0</v>
          </cell>
          <cell r="CE169">
            <v>0</v>
          </cell>
          <cell r="CF169">
            <v>0</v>
          </cell>
          <cell r="CG169">
            <v>0</v>
          </cell>
          <cell r="CH169">
            <v>0</v>
          </cell>
          <cell r="CI169">
            <v>0</v>
          </cell>
          <cell r="CJ169">
            <v>0</v>
          </cell>
          <cell r="CK169">
            <v>0</v>
          </cell>
          <cell r="CL169">
            <v>22</v>
          </cell>
          <cell r="CM169">
            <v>22</v>
          </cell>
        </row>
        <row r="170">
          <cell r="A170">
            <v>36312</v>
          </cell>
          <cell r="B170">
            <v>70496</v>
          </cell>
          <cell r="C170">
            <v>7494</v>
          </cell>
          <cell r="D170">
            <v>77990</v>
          </cell>
          <cell r="E170">
            <v>22354</v>
          </cell>
          <cell r="F170">
            <v>4485</v>
          </cell>
          <cell r="G170">
            <v>26839</v>
          </cell>
          <cell r="H170">
            <v>7151</v>
          </cell>
          <cell r="I170">
            <v>33990</v>
          </cell>
          <cell r="J170">
            <v>3895</v>
          </cell>
          <cell r="K170">
            <v>11153</v>
          </cell>
          <cell r="L170">
            <v>49037</v>
          </cell>
          <cell r="M170">
            <v>13021</v>
          </cell>
          <cell r="N170">
            <v>140048</v>
          </cell>
          <cell r="O170">
            <v>17027</v>
          </cell>
          <cell r="P170">
            <v>602</v>
          </cell>
          <cell r="Q170">
            <v>157677</v>
          </cell>
          <cell r="R170">
            <v>1</v>
          </cell>
          <cell r="S170">
            <v>0.6</v>
          </cell>
          <cell r="T170">
            <v>1</v>
          </cell>
          <cell r="U170">
            <v>-1.2</v>
          </cell>
          <cell r="V170">
            <v>0.6</v>
          </cell>
          <cell r="W170">
            <v>-0.9</v>
          </cell>
          <cell r="X170">
            <v>2.8</v>
          </cell>
          <cell r="Y170">
            <v>-0.1</v>
          </cell>
          <cell r="Z170">
            <v>0.9</v>
          </cell>
          <cell r="AA170">
            <v>1.7</v>
          </cell>
          <cell r="AB170">
            <v>0.4</v>
          </cell>
          <cell r="AC170">
            <v>0.6</v>
          </cell>
          <cell r="AD170">
            <v>0.7</v>
          </cell>
          <cell r="AE170">
            <v>2.4</v>
          </cell>
          <cell r="AF170">
            <v>1</v>
          </cell>
          <cell r="AG170">
            <v>70790</v>
          </cell>
          <cell r="AH170">
            <v>7534</v>
          </cell>
          <cell r="AI170">
            <v>78324</v>
          </cell>
          <cell r="AJ170">
            <v>21820</v>
          </cell>
          <cell r="AK170">
            <v>4466</v>
          </cell>
          <cell r="AL170">
            <v>26286</v>
          </cell>
          <cell r="AM170">
            <v>7132</v>
          </cell>
          <cell r="AN170">
            <v>33418</v>
          </cell>
          <cell r="AO170">
            <v>3901</v>
          </cell>
          <cell r="AP170">
            <v>11133</v>
          </cell>
          <cell r="AQ170">
            <v>48452</v>
          </cell>
          <cell r="AR170">
            <v>12723</v>
          </cell>
          <cell r="AS170">
            <v>139499</v>
          </cell>
          <cell r="AT170">
            <v>16923</v>
          </cell>
          <cell r="AU170">
            <v>754</v>
          </cell>
          <cell r="AV170">
            <v>157176</v>
          </cell>
          <cell r="AW170">
            <v>1.6</v>
          </cell>
          <cell r="AX170">
            <v>1.4</v>
          </cell>
          <cell r="AY170">
            <v>1.6</v>
          </cell>
          <cell r="AZ170">
            <v>-6.2</v>
          </cell>
          <cell r="BA170">
            <v>-3.4</v>
          </cell>
          <cell r="BB170">
            <v>-5.7</v>
          </cell>
          <cell r="BC170">
            <v>2.5</v>
          </cell>
          <cell r="BD170">
            <v>-4.0999999999999996</v>
          </cell>
          <cell r="BE170">
            <v>1.1000000000000001</v>
          </cell>
          <cell r="BF170">
            <v>1.5</v>
          </cell>
          <cell r="BG170">
            <v>-2.4</v>
          </cell>
          <cell r="BH170">
            <v>-1.7</v>
          </cell>
          <cell r="BI170">
            <v>-0.1</v>
          </cell>
          <cell r="BJ170">
            <v>2.9</v>
          </cell>
          <cell r="BK170">
            <v>0.6</v>
          </cell>
          <cell r="BL170">
            <v>70363</v>
          </cell>
          <cell r="BM170">
            <v>7486</v>
          </cell>
          <cell r="BN170">
            <v>77849</v>
          </cell>
          <cell r="BO170">
            <v>21319</v>
          </cell>
          <cell r="BP170">
            <v>4185</v>
          </cell>
          <cell r="BQ170">
            <v>25504</v>
          </cell>
          <cell r="BR170">
            <v>7132</v>
          </cell>
          <cell r="BS170">
            <v>32636</v>
          </cell>
          <cell r="BT170">
            <v>3901</v>
          </cell>
          <cell r="BU170">
            <v>11166</v>
          </cell>
          <cell r="BV170">
            <v>47703</v>
          </cell>
          <cell r="BW170">
            <v>12367</v>
          </cell>
          <cell r="BX170">
            <v>137920</v>
          </cell>
          <cell r="BY170">
            <v>16722</v>
          </cell>
          <cell r="BZ170">
            <v>1468</v>
          </cell>
          <cell r="CA170">
            <v>156109</v>
          </cell>
          <cell r="CB170">
            <v>-1</v>
          </cell>
          <cell r="CC170">
            <v>0</v>
          </cell>
          <cell r="CD170">
            <v>0</v>
          </cell>
          <cell r="CE170">
            <v>0</v>
          </cell>
          <cell r="CF170">
            <v>1</v>
          </cell>
          <cell r="CG170">
            <v>0</v>
          </cell>
          <cell r="CH170">
            <v>0</v>
          </cell>
          <cell r="CI170">
            <v>0</v>
          </cell>
          <cell r="CJ170">
            <v>0</v>
          </cell>
          <cell r="CK170">
            <v>0</v>
          </cell>
          <cell r="CL170">
            <v>23</v>
          </cell>
          <cell r="CM170">
            <v>23</v>
          </cell>
        </row>
        <row r="171">
          <cell r="A171">
            <v>36404</v>
          </cell>
          <cell r="B171">
            <v>71573</v>
          </cell>
          <cell r="C171">
            <v>7574</v>
          </cell>
          <cell r="D171">
            <v>79147</v>
          </cell>
          <cell r="E171">
            <v>22773</v>
          </cell>
          <cell r="F171">
            <v>4524</v>
          </cell>
          <cell r="G171">
            <v>27297</v>
          </cell>
          <cell r="H171">
            <v>7360</v>
          </cell>
          <cell r="I171">
            <v>34657</v>
          </cell>
          <cell r="J171">
            <v>3926</v>
          </cell>
          <cell r="K171">
            <v>11355</v>
          </cell>
          <cell r="L171">
            <v>49938</v>
          </cell>
          <cell r="M171">
            <v>13211</v>
          </cell>
          <cell r="N171">
            <v>142295</v>
          </cell>
          <cell r="O171">
            <v>17489</v>
          </cell>
          <cell r="P171">
            <v>332</v>
          </cell>
          <cell r="Q171">
            <v>160116</v>
          </cell>
          <cell r="R171">
            <v>1.5</v>
          </cell>
          <cell r="S171">
            <v>1.1000000000000001</v>
          </cell>
          <cell r="T171">
            <v>1.5</v>
          </cell>
          <cell r="U171">
            <v>1.9</v>
          </cell>
          <cell r="V171">
            <v>0.9</v>
          </cell>
          <cell r="W171">
            <v>1.7</v>
          </cell>
          <cell r="X171">
            <v>2.9</v>
          </cell>
          <cell r="Y171">
            <v>2</v>
          </cell>
          <cell r="Z171">
            <v>0.8</v>
          </cell>
          <cell r="AA171">
            <v>1.8</v>
          </cell>
          <cell r="AB171">
            <v>1.8</v>
          </cell>
          <cell r="AC171">
            <v>1.5</v>
          </cell>
          <cell r="AD171">
            <v>1.6</v>
          </cell>
          <cell r="AE171">
            <v>2.7</v>
          </cell>
          <cell r="AF171">
            <v>1.5</v>
          </cell>
          <cell r="AG171">
            <v>71094</v>
          </cell>
          <cell r="AH171">
            <v>7511</v>
          </cell>
          <cell r="AI171">
            <v>78605</v>
          </cell>
          <cell r="AJ171">
            <v>22445</v>
          </cell>
          <cell r="AK171">
            <v>4382</v>
          </cell>
          <cell r="AL171">
            <v>26827</v>
          </cell>
          <cell r="AM171">
            <v>7377</v>
          </cell>
          <cell r="AN171">
            <v>34204</v>
          </cell>
          <cell r="AO171">
            <v>3922</v>
          </cell>
          <cell r="AP171">
            <v>11374</v>
          </cell>
          <cell r="AQ171">
            <v>49500</v>
          </cell>
          <cell r="AR171">
            <v>13540</v>
          </cell>
          <cell r="AS171">
            <v>141646</v>
          </cell>
          <cell r="AT171">
            <v>17933</v>
          </cell>
          <cell r="AU171">
            <v>648</v>
          </cell>
          <cell r="AV171">
            <v>160226</v>
          </cell>
          <cell r="AW171">
            <v>0.4</v>
          </cell>
          <cell r="AX171">
            <v>-0.3</v>
          </cell>
          <cell r="AY171">
            <v>0.4</v>
          </cell>
          <cell r="AZ171">
            <v>2.9</v>
          </cell>
          <cell r="BA171">
            <v>-1.9</v>
          </cell>
          <cell r="BB171">
            <v>2.1</v>
          </cell>
          <cell r="BC171">
            <v>3.4</v>
          </cell>
          <cell r="BD171">
            <v>2.4</v>
          </cell>
          <cell r="BE171">
            <v>0.5</v>
          </cell>
          <cell r="BF171">
            <v>2.2000000000000002</v>
          </cell>
          <cell r="BG171">
            <v>2.2000000000000002</v>
          </cell>
          <cell r="BH171">
            <v>6.4</v>
          </cell>
          <cell r="BI171">
            <v>1.5</v>
          </cell>
          <cell r="BJ171">
            <v>6</v>
          </cell>
          <cell r="BK171">
            <v>1.9</v>
          </cell>
          <cell r="BL171">
            <v>71012</v>
          </cell>
          <cell r="BM171">
            <v>7519</v>
          </cell>
          <cell r="BN171">
            <v>78530</v>
          </cell>
          <cell r="BO171">
            <v>23466</v>
          </cell>
          <cell r="BP171">
            <v>4731</v>
          </cell>
          <cell r="BQ171">
            <v>28197</v>
          </cell>
          <cell r="BR171">
            <v>7377</v>
          </cell>
          <cell r="BS171">
            <v>35574</v>
          </cell>
          <cell r="BT171">
            <v>3922</v>
          </cell>
          <cell r="BU171">
            <v>11348</v>
          </cell>
          <cell r="BV171">
            <v>50844</v>
          </cell>
          <cell r="BW171">
            <v>11835</v>
          </cell>
          <cell r="BX171">
            <v>141209</v>
          </cell>
          <cell r="BY171">
            <v>17747</v>
          </cell>
          <cell r="BZ171">
            <v>544</v>
          </cell>
          <cell r="CA171">
            <v>159501</v>
          </cell>
          <cell r="CB171">
            <v>0</v>
          </cell>
          <cell r="CC171">
            <v>0</v>
          </cell>
          <cell r="CD171">
            <v>-1</v>
          </cell>
          <cell r="CE171">
            <v>0</v>
          </cell>
          <cell r="CF171">
            <v>0</v>
          </cell>
          <cell r="CG171">
            <v>0</v>
          </cell>
          <cell r="CH171">
            <v>0</v>
          </cell>
          <cell r="CI171">
            <v>0</v>
          </cell>
          <cell r="CJ171">
            <v>0</v>
          </cell>
          <cell r="CK171">
            <v>0</v>
          </cell>
          <cell r="CL171">
            <v>9</v>
          </cell>
          <cell r="CM171">
            <v>9</v>
          </cell>
        </row>
        <row r="172">
          <cell r="A172">
            <v>36495</v>
          </cell>
          <cell r="B172">
            <v>72846</v>
          </cell>
          <cell r="C172">
            <v>7689</v>
          </cell>
          <cell r="D172">
            <v>80534</v>
          </cell>
          <cell r="E172">
            <v>24253</v>
          </cell>
          <cell r="F172">
            <v>4641</v>
          </cell>
          <cell r="G172">
            <v>28894</v>
          </cell>
          <cell r="H172">
            <v>7548</v>
          </cell>
          <cell r="I172">
            <v>36442</v>
          </cell>
          <cell r="J172">
            <v>3965</v>
          </cell>
          <cell r="K172">
            <v>11560</v>
          </cell>
          <cell r="L172">
            <v>51967</v>
          </cell>
          <cell r="M172">
            <v>13371</v>
          </cell>
          <cell r="N172">
            <v>145873</v>
          </cell>
          <cell r="O172">
            <v>17652</v>
          </cell>
          <cell r="P172">
            <v>-68</v>
          </cell>
          <cell r="Q172">
            <v>163457</v>
          </cell>
          <cell r="R172">
            <v>1.8</v>
          </cell>
          <cell r="S172">
            <v>1.5</v>
          </cell>
          <cell r="T172">
            <v>1.8</v>
          </cell>
          <cell r="U172">
            <v>6.5</v>
          </cell>
          <cell r="V172">
            <v>2.6</v>
          </cell>
          <cell r="W172">
            <v>5.8</v>
          </cell>
          <cell r="X172">
            <v>2.6</v>
          </cell>
          <cell r="Y172">
            <v>5.2</v>
          </cell>
          <cell r="Z172">
            <v>1</v>
          </cell>
          <cell r="AA172">
            <v>1.8</v>
          </cell>
          <cell r="AB172">
            <v>4.0999999999999996</v>
          </cell>
          <cell r="AC172">
            <v>1.2</v>
          </cell>
          <cell r="AD172">
            <v>2.5</v>
          </cell>
          <cell r="AE172">
            <v>0.9</v>
          </cell>
          <cell r="AF172">
            <v>2.1</v>
          </cell>
          <cell r="AG172">
            <v>73082</v>
          </cell>
          <cell r="AH172">
            <v>7712</v>
          </cell>
          <cell r="AI172">
            <v>80794</v>
          </cell>
          <cell r="AJ172">
            <v>24247</v>
          </cell>
          <cell r="AK172">
            <v>4744</v>
          </cell>
          <cell r="AL172">
            <v>28991</v>
          </cell>
          <cell r="AM172">
            <v>7553</v>
          </cell>
          <cell r="AN172">
            <v>36544</v>
          </cell>
          <cell r="AO172">
            <v>3964</v>
          </cell>
          <cell r="AP172">
            <v>11554</v>
          </cell>
          <cell r="AQ172">
            <v>52062</v>
          </cell>
          <cell r="AR172">
            <v>13197</v>
          </cell>
          <cell r="AS172">
            <v>146053</v>
          </cell>
          <cell r="AT172">
            <v>17389</v>
          </cell>
          <cell r="AU172">
            <v>-413</v>
          </cell>
          <cell r="AV172">
            <v>163029</v>
          </cell>
          <cell r="AW172">
            <v>2.8</v>
          </cell>
          <cell r="AX172">
            <v>2.7</v>
          </cell>
          <cell r="AY172">
            <v>2.8</v>
          </cell>
          <cell r="AZ172">
            <v>8</v>
          </cell>
          <cell r="BA172">
            <v>8.3000000000000007</v>
          </cell>
          <cell r="BB172">
            <v>8.1</v>
          </cell>
          <cell r="BC172">
            <v>2.4</v>
          </cell>
          <cell r="BD172">
            <v>6.8</v>
          </cell>
          <cell r="BE172">
            <v>1.1000000000000001</v>
          </cell>
          <cell r="BF172">
            <v>1.6</v>
          </cell>
          <cell r="BG172">
            <v>5.2</v>
          </cell>
          <cell r="BH172">
            <v>-2.5</v>
          </cell>
          <cell r="BI172">
            <v>3.1</v>
          </cell>
          <cell r="BJ172">
            <v>-3</v>
          </cell>
          <cell r="BK172">
            <v>1.7</v>
          </cell>
          <cell r="BL172">
            <v>75155</v>
          </cell>
          <cell r="BM172">
            <v>7931</v>
          </cell>
          <cell r="BN172">
            <v>83086</v>
          </cell>
          <cell r="BO172">
            <v>25861</v>
          </cell>
          <cell r="BP172">
            <v>4633</v>
          </cell>
          <cell r="BQ172">
            <v>30495</v>
          </cell>
          <cell r="BR172">
            <v>7553</v>
          </cell>
          <cell r="BS172">
            <v>38048</v>
          </cell>
          <cell r="BT172">
            <v>3964</v>
          </cell>
          <cell r="BU172">
            <v>11539</v>
          </cell>
          <cell r="BV172">
            <v>53550</v>
          </cell>
          <cell r="BW172">
            <v>15584</v>
          </cell>
          <cell r="BX172">
            <v>152220</v>
          </cell>
          <cell r="BY172">
            <v>17819</v>
          </cell>
          <cell r="BZ172">
            <v>242</v>
          </cell>
          <cell r="CA172">
            <v>170281</v>
          </cell>
          <cell r="CB172">
            <v>0</v>
          </cell>
          <cell r="CC172">
            <v>0</v>
          </cell>
          <cell r="CD172">
            <v>0</v>
          </cell>
          <cell r="CE172">
            <v>0</v>
          </cell>
          <cell r="CF172">
            <v>0</v>
          </cell>
          <cell r="CG172">
            <v>0</v>
          </cell>
          <cell r="CH172">
            <v>0</v>
          </cell>
          <cell r="CI172">
            <v>0</v>
          </cell>
          <cell r="CJ172">
            <v>0</v>
          </cell>
          <cell r="CK172">
            <v>-1</v>
          </cell>
          <cell r="CL172">
            <v>-3</v>
          </cell>
          <cell r="CM172">
            <v>-4</v>
          </cell>
        </row>
        <row r="173">
          <cell r="A173">
            <v>36586</v>
          </cell>
          <cell r="B173">
            <v>74162</v>
          </cell>
          <cell r="C173">
            <v>7835</v>
          </cell>
          <cell r="D173">
            <v>81998</v>
          </cell>
          <cell r="E173">
            <v>26244</v>
          </cell>
          <cell r="F173">
            <v>4775</v>
          </cell>
          <cell r="G173">
            <v>31019</v>
          </cell>
          <cell r="H173">
            <v>7688</v>
          </cell>
          <cell r="I173">
            <v>38707</v>
          </cell>
          <cell r="J173">
            <v>4025</v>
          </cell>
          <cell r="K173">
            <v>11732</v>
          </cell>
          <cell r="L173">
            <v>54464</v>
          </cell>
          <cell r="M173">
            <v>13410</v>
          </cell>
          <cell r="N173">
            <v>149871</v>
          </cell>
          <cell r="O173">
            <v>17675</v>
          </cell>
          <cell r="P173">
            <v>-231</v>
          </cell>
          <cell r="Q173">
            <v>167315</v>
          </cell>
          <cell r="R173">
            <v>1.8</v>
          </cell>
          <cell r="S173">
            <v>1.9</v>
          </cell>
          <cell r="T173">
            <v>1.8</v>
          </cell>
          <cell r="U173">
            <v>8.1999999999999993</v>
          </cell>
          <cell r="V173">
            <v>2.9</v>
          </cell>
          <cell r="W173">
            <v>7.4</v>
          </cell>
          <cell r="X173">
            <v>1.8</v>
          </cell>
          <cell r="Y173">
            <v>6.2</v>
          </cell>
          <cell r="Z173">
            <v>1.5</v>
          </cell>
          <cell r="AA173">
            <v>1.5</v>
          </cell>
          <cell r="AB173">
            <v>4.8</v>
          </cell>
          <cell r="AC173">
            <v>0.3</v>
          </cell>
          <cell r="AD173">
            <v>2.7</v>
          </cell>
          <cell r="AE173">
            <v>0.1</v>
          </cell>
          <cell r="AF173">
            <v>2.4</v>
          </cell>
          <cell r="AG173">
            <v>74304</v>
          </cell>
          <cell r="AH173">
            <v>7854</v>
          </cell>
          <cell r="AI173">
            <v>82158</v>
          </cell>
          <cell r="AJ173">
            <v>26541</v>
          </cell>
          <cell r="AK173">
            <v>4778</v>
          </cell>
          <cell r="AL173">
            <v>31319</v>
          </cell>
          <cell r="AM173">
            <v>7691</v>
          </cell>
          <cell r="AN173">
            <v>39010</v>
          </cell>
          <cell r="AO173">
            <v>4023</v>
          </cell>
          <cell r="AP173">
            <v>11725</v>
          </cell>
          <cell r="AQ173">
            <v>54758</v>
          </cell>
          <cell r="AR173">
            <v>13531</v>
          </cell>
          <cell r="AS173">
            <v>150447</v>
          </cell>
          <cell r="AT173">
            <v>17853</v>
          </cell>
          <cell r="AU173">
            <v>-361</v>
          </cell>
          <cell r="AV173">
            <v>167938</v>
          </cell>
          <cell r="AW173">
            <v>1.7</v>
          </cell>
          <cell r="AX173">
            <v>1.8</v>
          </cell>
          <cell r="AY173">
            <v>1.7</v>
          </cell>
          <cell r="AZ173">
            <v>9.5</v>
          </cell>
          <cell r="BA173">
            <v>0.7</v>
          </cell>
          <cell r="BB173">
            <v>8</v>
          </cell>
          <cell r="BC173">
            <v>1.8</v>
          </cell>
          <cell r="BD173">
            <v>6.7</v>
          </cell>
          <cell r="BE173">
            <v>1.5</v>
          </cell>
          <cell r="BF173">
            <v>1.5</v>
          </cell>
          <cell r="BG173">
            <v>5.2</v>
          </cell>
          <cell r="BH173">
            <v>2.5</v>
          </cell>
          <cell r="BI173">
            <v>3</v>
          </cell>
          <cell r="BJ173">
            <v>2.7</v>
          </cell>
          <cell r="BK173">
            <v>3</v>
          </cell>
          <cell r="BL173">
            <v>72677</v>
          </cell>
          <cell r="BM173">
            <v>7665</v>
          </cell>
          <cell r="BN173">
            <v>80342</v>
          </cell>
          <cell r="BO173">
            <v>24852</v>
          </cell>
          <cell r="BP173">
            <v>4830</v>
          </cell>
          <cell r="BQ173">
            <v>29682</v>
          </cell>
          <cell r="BR173">
            <v>7691</v>
          </cell>
          <cell r="BS173">
            <v>37373</v>
          </cell>
          <cell r="BT173">
            <v>4023</v>
          </cell>
          <cell r="BU173">
            <v>11734</v>
          </cell>
          <cell r="BV173">
            <v>53130</v>
          </cell>
          <cell r="BW173">
            <v>12893</v>
          </cell>
          <cell r="BX173">
            <v>146366</v>
          </cell>
          <cell r="BY173">
            <v>17781</v>
          </cell>
          <cell r="BZ173">
            <v>-1526</v>
          </cell>
          <cell r="CA173">
            <v>162620</v>
          </cell>
          <cell r="CB173">
            <v>0</v>
          </cell>
          <cell r="CC173">
            <v>0</v>
          </cell>
          <cell r="CD173">
            <v>0</v>
          </cell>
          <cell r="CE173">
            <v>0</v>
          </cell>
          <cell r="CF173">
            <v>0</v>
          </cell>
          <cell r="CG173">
            <v>0</v>
          </cell>
          <cell r="CH173">
            <v>0</v>
          </cell>
          <cell r="CI173">
            <v>0</v>
          </cell>
          <cell r="CJ173">
            <v>0</v>
          </cell>
          <cell r="CK173">
            <v>-1</v>
          </cell>
          <cell r="CL173">
            <v>-8</v>
          </cell>
          <cell r="CM173">
            <v>-8</v>
          </cell>
        </row>
        <row r="174">
          <cell r="A174">
            <v>36678</v>
          </cell>
          <cell r="B174">
            <v>75346</v>
          </cell>
          <cell r="C174">
            <v>7991</v>
          </cell>
          <cell r="D174">
            <v>83337</v>
          </cell>
          <cell r="E174">
            <v>27456</v>
          </cell>
          <cell r="F174">
            <v>4850</v>
          </cell>
          <cell r="G174">
            <v>32307</v>
          </cell>
          <cell r="H174">
            <v>7784</v>
          </cell>
          <cell r="I174">
            <v>40091</v>
          </cell>
          <cell r="J174">
            <v>4108</v>
          </cell>
          <cell r="K174">
            <v>11847</v>
          </cell>
          <cell r="L174">
            <v>56045</v>
          </cell>
          <cell r="M174">
            <v>13222</v>
          </cell>
          <cell r="N174">
            <v>152604</v>
          </cell>
          <cell r="O174">
            <v>18041</v>
          </cell>
          <cell r="P174">
            <v>-196</v>
          </cell>
          <cell r="Q174">
            <v>170449</v>
          </cell>
          <cell r="R174">
            <v>1.6</v>
          </cell>
          <cell r="S174">
            <v>2</v>
          </cell>
          <cell r="T174">
            <v>1.6</v>
          </cell>
          <cell r="U174">
            <v>4.5999999999999996</v>
          </cell>
          <cell r="V174">
            <v>1.6</v>
          </cell>
          <cell r="W174">
            <v>4.2</v>
          </cell>
          <cell r="X174">
            <v>1.3</v>
          </cell>
          <cell r="Y174">
            <v>3.6</v>
          </cell>
          <cell r="Z174">
            <v>2.1</v>
          </cell>
          <cell r="AA174">
            <v>1</v>
          </cell>
          <cell r="AB174">
            <v>2.9</v>
          </cell>
          <cell r="AC174">
            <v>-1.4</v>
          </cell>
          <cell r="AD174">
            <v>1.8</v>
          </cell>
          <cell r="AE174">
            <v>2.1</v>
          </cell>
          <cell r="AF174">
            <v>1.9</v>
          </cell>
          <cell r="AG174">
            <v>75178</v>
          </cell>
          <cell r="AH174">
            <v>7964</v>
          </cell>
          <cell r="AI174">
            <v>83141</v>
          </cell>
          <cell r="AJ174">
            <v>27381</v>
          </cell>
          <cell r="AK174">
            <v>4833</v>
          </cell>
          <cell r="AL174">
            <v>32213</v>
          </cell>
          <cell r="AM174">
            <v>7789</v>
          </cell>
          <cell r="AN174">
            <v>40002</v>
          </cell>
          <cell r="AO174">
            <v>4100</v>
          </cell>
          <cell r="AP174">
            <v>11887</v>
          </cell>
          <cell r="AQ174">
            <v>55990</v>
          </cell>
          <cell r="AR174">
            <v>13107</v>
          </cell>
          <cell r="AS174">
            <v>152238</v>
          </cell>
          <cell r="AT174">
            <v>17777</v>
          </cell>
          <cell r="AU174">
            <v>-87</v>
          </cell>
          <cell r="AV174">
            <v>169928</v>
          </cell>
          <cell r="AW174">
            <v>1.2</v>
          </cell>
          <cell r="AX174">
            <v>1.4</v>
          </cell>
          <cell r="AY174">
            <v>1.2</v>
          </cell>
          <cell r="AZ174">
            <v>3.2</v>
          </cell>
          <cell r="BA174">
            <v>1.1000000000000001</v>
          </cell>
          <cell r="BB174">
            <v>2.9</v>
          </cell>
          <cell r="BC174">
            <v>1.3</v>
          </cell>
          <cell r="BD174">
            <v>2.5</v>
          </cell>
          <cell r="BE174">
            <v>1.9</v>
          </cell>
          <cell r="BF174">
            <v>1.4</v>
          </cell>
          <cell r="BG174">
            <v>2.2999999999999998</v>
          </cell>
          <cell r="BH174">
            <v>-3.1</v>
          </cell>
          <cell r="BI174">
            <v>1.2</v>
          </cell>
          <cell r="BJ174">
            <v>-0.4</v>
          </cell>
          <cell r="BK174">
            <v>1.2</v>
          </cell>
          <cell r="BL174">
            <v>74780</v>
          </cell>
          <cell r="BM174">
            <v>7924</v>
          </cell>
          <cell r="BN174">
            <v>82704</v>
          </cell>
          <cell r="BO174">
            <v>26079</v>
          </cell>
          <cell r="BP174">
            <v>4516</v>
          </cell>
          <cell r="BQ174">
            <v>30596</v>
          </cell>
          <cell r="BR174">
            <v>7789</v>
          </cell>
          <cell r="BS174">
            <v>38385</v>
          </cell>
          <cell r="BT174">
            <v>4100</v>
          </cell>
          <cell r="BU174">
            <v>11925</v>
          </cell>
          <cell r="BV174">
            <v>54410</v>
          </cell>
          <cell r="BW174">
            <v>13023</v>
          </cell>
          <cell r="BX174">
            <v>150138</v>
          </cell>
          <cell r="BY174">
            <v>17580</v>
          </cell>
          <cell r="BZ174">
            <v>739</v>
          </cell>
          <cell r="CA174">
            <v>168457</v>
          </cell>
          <cell r="CB174">
            <v>0</v>
          </cell>
          <cell r="CC174">
            <v>0</v>
          </cell>
          <cell r="CD174">
            <v>0</v>
          </cell>
          <cell r="CE174">
            <v>0</v>
          </cell>
          <cell r="CF174">
            <v>0</v>
          </cell>
          <cell r="CG174">
            <v>0</v>
          </cell>
          <cell r="CH174">
            <v>0</v>
          </cell>
          <cell r="CI174">
            <v>0</v>
          </cell>
          <cell r="CJ174">
            <v>0</v>
          </cell>
          <cell r="CK174">
            <v>0</v>
          </cell>
          <cell r="CL174">
            <v>-9</v>
          </cell>
          <cell r="CM174">
            <v>-10</v>
          </cell>
        </row>
        <row r="175">
          <cell r="A175">
            <v>36770</v>
          </cell>
          <cell r="B175">
            <v>76413</v>
          </cell>
          <cell r="C175">
            <v>8150</v>
          </cell>
          <cell r="D175">
            <v>84564</v>
          </cell>
          <cell r="E175">
            <v>27823</v>
          </cell>
          <cell r="F175">
            <v>4797</v>
          </cell>
          <cell r="G175">
            <v>32620</v>
          </cell>
          <cell r="H175">
            <v>7867</v>
          </cell>
          <cell r="I175">
            <v>40487</v>
          </cell>
          <cell r="J175">
            <v>4199</v>
          </cell>
          <cell r="K175">
            <v>11921</v>
          </cell>
          <cell r="L175">
            <v>56607</v>
          </cell>
          <cell r="M175">
            <v>12973</v>
          </cell>
          <cell r="N175">
            <v>154144</v>
          </cell>
          <cell r="O175">
            <v>18902</v>
          </cell>
          <cell r="P175">
            <v>-264</v>
          </cell>
          <cell r="Q175">
            <v>172782</v>
          </cell>
          <cell r="R175">
            <v>1.4</v>
          </cell>
          <cell r="S175">
            <v>2</v>
          </cell>
          <cell r="T175">
            <v>1.5</v>
          </cell>
          <cell r="U175">
            <v>1.3</v>
          </cell>
          <cell r="V175">
            <v>-1.1000000000000001</v>
          </cell>
          <cell r="W175">
            <v>1</v>
          </cell>
          <cell r="X175">
            <v>1.1000000000000001</v>
          </cell>
          <cell r="Y175">
            <v>1</v>
          </cell>
          <cell r="Z175">
            <v>2.2000000000000002</v>
          </cell>
          <cell r="AA175">
            <v>0.6</v>
          </cell>
          <cell r="AB175">
            <v>1</v>
          </cell>
          <cell r="AC175">
            <v>-1.9</v>
          </cell>
          <cell r="AD175">
            <v>1</v>
          </cell>
          <cell r="AE175">
            <v>4.8</v>
          </cell>
          <cell r="AF175">
            <v>1.4</v>
          </cell>
          <cell r="AG175">
            <v>76514</v>
          </cell>
          <cell r="AH175">
            <v>8168</v>
          </cell>
          <cell r="AI175">
            <v>84683</v>
          </cell>
          <cell r="AJ175">
            <v>28301</v>
          </cell>
          <cell r="AK175">
            <v>4788</v>
          </cell>
          <cell r="AL175">
            <v>33089</v>
          </cell>
          <cell r="AM175">
            <v>7854</v>
          </cell>
          <cell r="AN175">
            <v>40943</v>
          </cell>
          <cell r="AO175">
            <v>4207</v>
          </cell>
          <cell r="AP175">
            <v>11905</v>
          </cell>
          <cell r="AQ175">
            <v>57055</v>
          </cell>
          <cell r="AR175">
            <v>13315</v>
          </cell>
          <cell r="AS175">
            <v>155053</v>
          </cell>
          <cell r="AT175">
            <v>18813</v>
          </cell>
          <cell r="AU175">
            <v>234</v>
          </cell>
          <cell r="AV175">
            <v>174099</v>
          </cell>
          <cell r="AW175">
            <v>1.8</v>
          </cell>
          <cell r="AX175">
            <v>2.6</v>
          </cell>
          <cell r="AY175">
            <v>1.9</v>
          </cell>
          <cell r="AZ175">
            <v>3.4</v>
          </cell>
          <cell r="BA175">
            <v>-0.9</v>
          </cell>
          <cell r="BB175">
            <v>2.7</v>
          </cell>
          <cell r="BC175">
            <v>0.8</v>
          </cell>
          <cell r="BD175">
            <v>2.4</v>
          </cell>
          <cell r="BE175">
            <v>2.6</v>
          </cell>
          <cell r="BF175">
            <v>0.1</v>
          </cell>
          <cell r="BG175">
            <v>1.9</v>
          </cell>
          <cell r="BH175">
            <v>1.6</v>
          </cell>
          <cell r="BI175">
            <v>1.8</v>
          </cell>
          <cell r="BJ175">
            <v>5.8</v>
          </cell>
          <cell r="BK175">
            <v>2.5</v>
          </cell>
          <cell r="BL175">
            <v>76467</v>
          </cell>
          <cell r="BM175">
            <v>8180</v>
          </cell>
          <cell r="BN175">
            <v>84647</v>
          </cell>
          <cell r="BO175">
            <v>29435</v>
          </cell>
          <cell r="BP175">
            <v>5155</v>
          </cell>
          <cell r="BQ175">
            <v>34590</v>
          </cell>
          <cell r="BR175">
            <v>7854</v>
          </cell>
          <cell r="BS175">
            <v>42444</v>
          </cell>
          <cell r="BT175">
            <v>4207</v>
          </cell>
          <cell r="BU175">
            <v>11872</v>
          </cell>
          <cell r="BV175">
            <v>58522</v>
          </cell>
          <cell r="BW175">
            <v>11374</v>
          </cell>
          <cell r="BX175">
            <v>154543</v>
          </cell>
          <cell r="BY175">
            <v>19070</v>
          </cell>
          <cell r="BZ175">
            <v>-347</v>
          </cell>
          <cell r="CA175">
            <v>173266</v>
          </cell>
          <cell r="CB175">
            <v>0</v>
          </cell>
          <cell r="CC175">
            <v>0</v>
          </cell>
          <cell r="CD175">
            <v>0</v>
          </cell>
          <cell r="CE175">
            <v>0</v>
          </cell>
          <cell r="CF175">
            <v>0</v>
          </cell>
          <cell r="CG175">
            <v>0</v>
          </cell>
          <cell r="CH175">
            <v>0</v>
          </cell>
          <cell r="CI175">
            <v>0</v>
          </cell>
          <cell r="CJ175">
            <v>0</v>
          </cell>
          <cell r="CK175">
            <v>0</v>
          </cell>
          <cell r="CL175">
            <v>-8</v>
          </cell>
          <cell r="CM175">
            <v>-9</v>
          </cell>
        </row>
        <row r="176">
          <cell r="A176">
            <v>36861</v>
          </cell>
          <cell r="B176">
            <v>77630</v>
          </cell>
          <cell r="C176">
            <v>8325</v>
          </cell>
          <cell r="D176">
            <v>85955</v>
          </cell>
          <cell r="E176">
            <v>27404</v>
          </cell>
          <cell r="F176">
            <v>4700</v>
          </cell>
          <cell r="G176">
            <v>32103</v>
          </cell>
          <cell r="H176">
            <v>7952</v>
          </cell>
          <cell r="I176">
            <v>40056</v>
          </cell>
          <cell r="J176">
            <v>4282</v>
          </cell>
          <cell r="K176">
            <v>11992</v>
          </cell>
          <cell r="L176">
            <v>56330</v>
          </cell>
          <cell r="M176">
            <v>12783</v>
          </cell>
          <cell r="N176">
            <v>155068</v>
          </cell>
          <cell r="O176">
            <v>19941</v>
          </cell>
          <cell r="P176">
            <v>-260</v>
          </cell>
          <cell r="Q176">
            <v>174749</v>
          </cell>
          <cell r="R176">
            <v>1.6</v>
          </cell>
          <cell r="S176">
            <v>2.1</v>
          </cell>
          <cell r="T176">
            <v>1.6</v>
          </cell>
          <cell r="U176">
            <v>-1.5</v>
          </cell>
          <cell r="V176">
            <v>-2</v>
          </cell>
          <cell r="W176">
            <v>-1.6</v>
          </cell>
          <cell r="X176">
            <v>1.1000000000000001</v>
          </cell>
          <cell r="Y176">
            <v>-1.1000000000000001</v>
          </cell>
          <cell r="Z176">
            <v>2</v>
          </cell>
          <cell r="AA176">
            <v>0.6</v>
          </cell>
          <cell r="AB176">
            <v>-0.5</v>
          </cell>
          <cell r="AC176">
            <v>-1.5</v>
          </cell>
          <cell r="AD176">
            <v>0.6</v>
          </cell>
          <cell r="AE176">
            <v>5.5</v>
          </cell>
          <cell r="AF176">
            <v>1.1000000000000001</v>
          </cell>
          <cell r="AG176">
            <v>77491</v>
          </cell>
          <cell r="AH176">
            <v>8301</v>
          </cell>
          <cell r="AI176">
            <v>85792</v>
          </cell>
          <cell r="AJ176">
            <v>26714</v>
          </cell>
          <cell r="AK176">
            <v>4861</v>
          </cell>
          <cell r="AL176">
            <v>31575</v>
          </cell>
          <cell r="AM176">
            <v>7953</v>
          </cell>
          <cell r="AN176">
            <v>39528</v>
          </cell>
          <cell r="AO176">
            <v>4284</v>
          </cell>
          <cell r="AP176">
            <v>11975</v>
          </cell>
          <cell r="AQ176">
            <v>55787</v>
          </cell>
          <cell r="AR176">
            <v>12406</v>
          </cell>
          <cell r="AS176">
            <v>153984</v>
          </cell>
          <cell r="AT176">
            <v>20151</v>
          </cell>
          <cell r="AU176">
            <v>-982</v>
          </cell>
          <cell r="AV176">
            <v>173153</v>
          </cell>
          <cell r="AW176">
            <v>1.3</v>
          </cell>
          <cell r="AX176">
            <v>1.6</v>
          </cell>
          <cell r="AY176">
            <v>1.3</v>
          </cell>
          <cell r="AZ176">
            <v>-5.6</v>
          </cell>
          <cell r="BA176">
            <v>1.5</v>
          </cell>
          <cell r="BB176">
            <v>-4.5999999999999996</v>
          </cell>
          <cell r="BC176">
            <v>1.3</v>
          </cell>
          <cell r="BD176">
            <v>-3.5</v>
          </cell>
          <cell r="BE176">
            <v>1.8</v>
          </cell>
          <cell r="BF176">
            <v>0.6</v>
          </cell>
          <cell r="BG176">
            <v>-2.2000000000000002</v>
          </cell>
          <cell r="BH176">
            <v>-6.8</v>
          </cell>
          <cell r="BI176">
            <v>-0.7</v>
          </cell>
          <cell r="BJ176">
            <v>7.1</v>
          </cell>
          <cell r="BK176">
            <v>-0.5</v>
          </cell>
          <cell r="BL176">
            <v>79544</v>
          </cell>
          <cell r="BM176">
            <v>8526</v>
          </cell>
          <cell r="BN176">
            <v>88070</v>
          </cell>
          <cell r="BO176">
            <v>28564</v>
          </cell>
          <cell r="BP176">
            <v>4760</v>
          </cell>
          <cell r="BQ176">
            <v>33324</v>
          </cell>
          <cell r="BR176">
            <v>7953</v>
          </cell>
          <cell r="BS176">
            <v>41277</v>
          </cell>
          <cell r="BT176">
            <v>4284</v>
          </cell>
          <cell r="BU176">
            <v>11957</v>
          </cell>
          <cell r="BV176">
            <v>57518</v>
          </cell>
          <cell r="BW176">
            <v>15482</v>
          </cell>
          <cell r="BX176">
            <v>161070</v>
          </cell>
          <cell r="BY176">
            <v>20938</v>
          </cell>
          <cell r="BZ176">
            <v>-1012</v>
          </cell>
          <cell r="CA176">
            <v>180995</v>
          </cell>
          <cell r="CB176">
            <v>-1</v>
          </cell>
          <cell r="CC176">
            <v>0</v>
          </cell>
          <cell r="CD176">
            <v>-1</v>
          </cell>
          <cell r="CE176">
            <v>0</v>
          </cell>
          <cell r="CF176">
            <v>0</v>
          </cell>
          <cell r="CG176">
            <v>0</v>
          </cell>
          <cell r="CH176">
            <v>0</v>
          </cell>
          <cell r="CI176">
            <v>-1</v>
          </cell>
          <cell r="CJ176">
            <v>0</v>
          </cell>
          <cell r="CK176">
            <v>0</v>
          </cell>
          <cell r="CL176">
            <v>-7</v>
          </cell>
          <cell r="CM176">
            <v>-7</v>
          </cell>
        </row>
        <row r="177">
          <cell r="A177">
            <v>36951</v>
          </cell>
          <cell r="B177">
            <v>78870</v>
          </cell>
          <cell r="C177">
            <v>8477</v>
          </cell>
          <cell r="D177">
            <v>87347</v>
          </cell>
          <cell r="E177">
            <v>26764</v>
          </cell>
          <cell r="F177">
            <v>4688</v>
          </cell>
          <cell r="G177">
            <v>31451</v>
          </cell>
          <cell r="H177">
            <v>8044</v>
          </cell>
          <cell r="I177">
            <v>39495</v>
          </cell>
          <cell r="J177">
            <v>4348</v>
          </cell>
          <cell r="K177">
            <v>12112</v>
          </cell>
          <cell r="L177">
            <v>55955</v>
          </cell>
          <cell r="M177">
            <v>13087</v>
          </cell>
          <cell r="N177">
            <v>156388</v>
          </cell>
          <cell r="O177">
            <v>20693</v>
          </cell>
          <cell r="P177">
            <v>96</v>
          </cell>
          <cell r="Q177">
            <v>177178</v>
          </cell>
          <cell r="R177">
            <v>1.6</v>
          </cell>
          <cell r="S177">
            <v>1.8</v>
          </cell>
          <cell r="T177">
            <v>1.6</v>
          </cell>
          <cell r="U177">
            <v>-2.2999999999999998</v>
          </cell>
          <cell r="V177">
            <v>-0.3</v>
          </cell>
          <cell r="W177">
            <v>-2</v>
          </cell>
          <cell r="X177">
            <v>1.2</v>
          </cell>
          <cell r="Y177">
            <v>-1.4</v>
          </cell>
          <cell r="Z177">
            <v>1.5</v>
          </cell>
          <cell r="AA177">
            <v>1</v>
          </cell>
          <cell r="AB177">
            <v>-0.7</v>
          </cell>
          <cell r="AC177">
            <v>2.4</v>
          </cell>
          <cell r="AD177">
            <v>0.9</v>
          </cell>
          <cell r="AE177">
            <v>3.8</v>
          </cell>
          <cell r="AF177">
            <v>1.4</v>
          </cell>
          <cell r="AG177">
            <v>78933</v>
          </cell>
          <cell r="AH177">
            <v>8507</v>
          </cell>
          <cell r="AI177">
            <v>87440</v>
          </cell>
          <cell r="AJ177">
            <v>27626</v>
          </cell>
          <cell r="AK177">
            <v>4428</v>
          </cell>
          <cell r="AL177">
            <v>32054</v>
          </cell>
          <cell r="AM177">
            <v>8047</v>
          </cell>
          <cell r="AN177">
            <v>40101</v>
          </cell>
          <cell r="AO177">
            <v>4348</v>
          </cell>
          <cell r="AP177">
            <v>12122</v>
          </cell>
          <cell r="AQ177">
            <v>56571</v>
          </cell>
          <cell r="AR177">
            <v>13276</v>
          </cell>
          <cell r="AS177">
            <v>157287</v>
          </cell>
          <cell r="AT177">
            <v>20664</v>
          </cell>
          <cell r="AU177">
            <v>47</v>
          </cell>
          <cell r="AV177">
            <v>177998</v>
          </cell>
          <cell r="AW177">
            <v>1.9</v>
          </cell>
          <cell r="AX177">
            <v>2.5</v>
          </cell>
          <cell r="AY177">
            <v>1.9</v>
          </cell>
          <cell r="AZ177">
            <v>3.4</v>
          </cell>
          <cell r="BA177">
            <v>-8.9</v>
          </cell>
          <cell r="BB177">
            <v>1.5</v>
          </cell>
          <cell r="BC177">
            <v>1.2</v>
          </cell>
          <cell r="BD177">
            <v>1.4</v>
          </cell>
          <cell r="BE177">
            <v>1.5</v>
          </cell>
          <cell r="BF177">
            <v>1.2</v>
          </cell>
          <cell r="BG177">
            <v>1.4</v>
          </cell>
          <cell r="BH177">
            <v>7</v>
          </cell>
          <cell r="BI177">
            <v>2.1</v>
          </cell>
          <cell r="BJ177">
            <v>2.5</v>
          </cell>
          <cell r="BK177">
            <v>2.8</v>
          </cell>
          <cell r="BL177">
            <v>77249</v>
          </cell>
          <cell r="BM177">
            <v>8297</v>
          </cell>
          <cell r="BN177">
            <v>85546</v>
          </cell>
          <cell r="BO177">
            <v>25944</v>
          </cell>
          <cell r="BP177">
            <v>4484</v>
          </cell>
          <cell r="BQ177">
            <v>30427</v>
          </cell>
          <cell r="BR177">
            <v>8047</v>
          </cell>
          <cell r="BS177">
            <v>38474</v>
          </cell>
          <cell r="BT177">
            <v>4348</v>
          </cell>
          <cell r="BU177">
            <v>12135</v>
          </cell>
          <cell r="BV177">
            <v>54958</v>
          </cell>
          <cell r="BW177">
            <v>12578</v>
          </cell>
          <cell r="BX177">
            <v>153083</v>
          </cell>
          <cell r="BY177">
            <v>19986</v>
          </cell>
          <cell r="BZ177">
            <v>-551</v>
          </cell>
          <cell r="CA177">
            <v>172518</v>
          </cell>
          <cell r="CB177">
            <v>0</v>
          </cell>
          <cell r="CC177">
            <v>0</v>
          </cell>
          <cell r="CD177">
            <v>0</v>
          </cell>
          <cell r="CE177">
            <v>0</v>
          </cell>
          <cell r="CF177">
            <v>0</v>
          </cell>
          <cell r="CG177">
            <v>0</v>
          </cell>
          <cell r="CH177">
            <v>0</v>
          </cell>
          <cell r="CI177">
            <v>0</v>
          </cell>
          <cell r="CJ177">
            <v>0</v>
          </cell>
          <cell r="CK177">
            <v>0</v>
          </cell>
          <cell r="CL177">
            <v>-4</v>
          </cell>
          <cell r="CM177">
            <v>-4</v>
          </cell>
        </row>
        <row r="178">
          <cell r="A178">
            <v>37043</v>
          </cell>
          <cell r="B178">
            <v>79983</v>
          </cell>
          <cell r="C178">
            <v>8586</v>
          </cell>
          <cell r="D178">
            <v>88569</v>
          </cell>
          <cell r="E178">
            <v>26485</v>
          </cell>
          <cell r="F178">
            <v>4855</v>
          </cell>
          <cell r="G178">
            <v>31340</v>
          </cell>
          <cell r="H178">
            <v>8136</v>
          </cell>
          <cell r="I178">
            <v>39476</v>
          </cell>
          <cell r="J178">
            <v>4399</v>
          </cell>
          <cell r="K178">
            <v>12300</v>
          </cell>
          <cell r="L178">
            <v>56175</v>
          </cell>
          <cell r="M178">
            <v>14229</v>
          </cell>
          <cell r="N178">
            <v>158973</v>
          </cell>
          <cell r="O178">
            <v>20858</v>
          </cell>
          <cell r="P178">
            <v>213</v>
          </cell>
          <cell r="Q178">
            <v>180044</v>
          </cell>
          <cell r="R178">
            <v>1.4</v>
          </cell>
          <cell r="S178">
            <v>1.3</v>
          </cell>
          <cell r="T178">
            <v>1.4</v>
          </cell>
          <cell r="U178">
            <v>-1</v>
          </cell>
          <cell r="V178">
            <v>3.6</v>
          </cell>
          <cell r="W178">
            <v>-0.4</v>
          </cell>
          <cell r="X178">
            <v>1.1000000000000001</v>
          </cell>
          <cell r="Y178">
            <v>0</v>
          </cell>
          <cell r="Z178">
            <v>1.2</v>
          </cell>
          <cell r="AA178">
            <v>1.6</v>
          </cell>
          <cell r="AB178">
            <v>0.4</v>
          </cell>
          <cell r="AC178">
            <v>8.6999999999999993</v>
          </cell>
          <cell r="AD178">
            <v>1.7</v>
          </cell>
          <cell r="AE178">
            <v>0.8</v>
          </cell>
          <cell r="AF178">
            <v>1.6</v>
          </cell>
          <cell r="AG178">
            <v>80079</v>
          </cell>
          <cell r="AH178">
            <v>8591</v>
          </cell>
          <cell r="AI178">
            <v>88670</v>
          </cell>
          <cell r="AJ178">
            <v>25529</v>
          </cell>
          <cell r="AK178">
            <v>4890</v>
          </cell>
          <cell r="AL178">
            <v>30419</v>
          </cell>
          <cell r="AM178">
            <v>8136</v>
          </cell>
          <cell r="AN178">
            <v>38555</v>
          </cell>
          <cell r="AO178">
            <v>4400</v>
          </cell>
          <cell r="AP178">
            <v>12278</v>
          </cell>
          <cell r="AQ178">
            <v>55233</v>
          </cell>
          <cell r="AR178">
            <v>13839</v>
          </cell>
          <cell r="AS178">
            <v>157743</v>
          </cell>
          <cell r="AT178">
            <v>21119</v>
          </cell>
          <cell r="AU178">
            <v>884</v>
          </cell>
          <cell r="AV178">
            <v>179746</v>
          </cell>
          <cell r="AW178">
            <v>1.5</v>
          </cell>
          <cell r="AX178">
            <v>1</v>
          </cell>
          <cell r="AY178">
            <v>1.4</v>
          </cell>
          <cell r="AZ178">
            <v>-7.6</v>
          </cell>
          <cell r="BA178">
            <v>10.4</v>
          </cell>
          <cell r="BB178">
            <v>-5.0999999999999996</v>
          </cell>
          <cell r="BC178">
            <v>1.1000000000000001</v>
          </cell>
          <cell r="BD178">
            <v>-3.9</v>
          </cell>
          <cell r="BE178">
            <v>1.2</v>
          </cell>
          <cell r="BF178">
            <v>1.3</v>
          </cell>
          <cell r="BG178">
            <v>-2.4</v>
          </cell>
          <cell r="BH178">
            <v>4.2</v>
          </cell>
          <cell r="BI178">
            <v>0.3</v>
          </cell>
          <cell r="BJ178">
            <v>2.2000000000000002</v>
          </cell>
          <cell r="BK178">
            <v>1</v>
          </cell>
          <cell r="BL178">
            <v>79700</v>
          </cell>
          <cell r="BM178">
            <v>8561</v>
          </cell>
          <cell r="BN178">
            <v>88260</v>
          </cell>
          <cell r="BO178">
            <v>24347</v>
          </cell>
          <cell r="BP178">
            <v>4558</v>
          </cell>
          <cell r="BQ178">
            <v>28906</v>
          </cell>
          <cell r="BR178">
            <v>8136</v>
          </cell>
          <cell r="BS178">
            <v>37042</v>
          </cell>
          <cell r="BT178">
            <v>4400</v>
          </cell>
          <cell r="BU178">
            <v>12324</v>
          </cell>
          <cell r="BV178">
            <v>53766</v>
          </cell>
          <cell r="BW178">
            <v>13360</v>
          </cell>
          <cell r="BX178">
            <v>155387</v>
          </cell>
          <cell r="BY178">
            <v>20690</v>
          </cell>
          <cell r="BZ178">
            <v>1911</v>
          </cell>
          <cell r="CA178">
            <v>177987</v>
          </cell>
          <cell r="CB178">
            <v>0</v>
          </cell>
          <cell r="CC178">
            <v>0</v>
          </cell>
          <cell r="CD178">
            <v>0</v>
          </cell>
          <cell r="CE178">
            <v>0</v>
          </cell>
          <cell r="CF178">
            <v>0</v>
          </cell>
          <cell r="CG178">
            <v>0</v>
          </cell>
          <cell r="CH178">
            <v>1</v>
          </cell>
          <cell r="CI178">
            <v>0</v>
          </cell>
          <cell r="CJ178">
            <v>0</v>
          </cell>
          <cell r="CK178">
            <v>-1</v>
          </cell>
          <cell r="CL178">
            <v>2</v>
          </cell>
          <cell r="CM178">
            <v>2</v>
          </cell>
        </row>
        <row r="179">
          <cell r="A179">
            <v>37135</v>
          </cell>
          <cell r="B179">
            <v>80960</v>
          </cell>
          <cell r="C179">
            <v>8667</v>
          </cell>
          <cell r="D179">
            <v>89628</v>
          </cell>
          <cell r="E179">
            <v>26807</v>
          </cell>
          <cell r="F179">
            <v>5071</v>
          </cell>
          <cell r="G179">
            <v>31878</v>
          </cell>
          <cell r="H179">
            <v>8222</v>
          </cell>
          <cell r="I179">
            <v>40100</v>
          </cell>
          <cell r="J179">
            <v>4447</v>
          </cell>
          <cell r="K179">
            <v>12528</v>
          </cell>
          <cell r="L179">
            <v>57075</v>
          </cell>
          <cell r="M179">
            <v>15833</v>
          </cell>
          <cell r="N179">
            <v>162536</v>
          </cell>
          <cell r="O179">
            <v>20748</v>
          </cell>
          <cell r="P179">
            <v>-4</v>
          </cell>
          <cell r="Q179">
            <v>183280</v>
          </cell>
          <cell r="R179">
            <v>1.2</v>
          </cell>
          <cell r="S179">
            <v>0.9</v>
          </cell>
          <cell r="T179">
            <v>1.2</v>
          </cell>
          <cell r="U179">
            <v>1.2</v>
          </cell>
          <cell r="V179">
            <v>4.5</v>
          </cell>
          <cell r="W179">
            <v>1.7</v>
          </cell>
          <cell r="X179">
            <v>1.1000000000000001</v>
          </cell>
          <cell r="Y179">
            <v>1.6</v>
          </cell>
          <cell r="Z179">
            <v>1.1000000000000001</v>
          </cell>
          <cell r="AA179">
            <v>1.9</v>
          </cell>
          <cell r="AB179">
            <v>1.6</v>
          </cell>
          <cell r="AC179">
            <v>11.3</v>
          </cell>
          <cell r="AD179">
            <v>2.2000000000000002</v>
          </cell>
          <cell r="AE179">
            <v>-0.5</v>
          </cell>
          <cell r="AF179">
            <v>1.8</v>
          </cell>
          <cell r="AG179">
            <v>80919</v>
          </cell>
          <cell r="AH179">
            <v>8658</v>
          </cell>
          <cell r="AI179">
            <v>89576</v>
          </cell>
          <cell r="AJ179">
            <v>27126</v>
          </cell>
          <cell r="AK179">
            <v>5161</v>
          </cell>
          <cell r="AL179">
            <v>32288</v>
          </cell>
          <cell r="AM179">
            <v>8220</v>
          </cell>
          <cell r="AN179">
            <v>40508</v>
          </cell>
          <cell r="AO179">
            <v>4443</v>
          </cell>
          <cell r="AP179">
            <v>12531</v>
          </cell>
          <cell r="AQ179">
            <v>57482</v>
          </cell>
          <cell r="AR179">
            <v>15889</v>
          </cell>
          <cell r="AS179">
            <v>162948</v>
          </cell>
          <cell r="AT179">
            <v>20494</v>
          </cell>
          <cell r="AU179">
            <v>86</v>
          </cell>
          <cell r="AV179">
            <v>183528</v>
          </cell>
          <cell r="AW179">
            <v>1</v>
          </cell>
          <cell r="AX179">
            <v>0.8</v>
          </cell>
          <cell r="AY179">
            <v>1</v>
          </cell>
          <cell r="AZ179">
            <v>6.3</v>
          </cell>
          <cell r="BA179">
            <v>5.5</v>
          </cell>
          <cell r="BB179">
            <v>6.1</v>
          </cell>
          <cell r="BC179">
            <v>1</v>
          </cell>
          <cell r="BD179">
            <v>5.0999999999999996</v>
          </cell>
          <cell r="BE179">
            <v>1</v>
          </cell>
          <cell r="BF179">
            <v>2.1</v>
          </cell>
          <cell r="BG179">
            <v>4.0999999999999996</v>
          </cell>
          <cell r="BH179">
            <v>14.8</v>
          </cell>
          <cell r="BI179">
            <v>3.3</v>
          </cell>
          <cell r="BJ179">
            <v>-3</v>
          </cell>
          <cell r="BK179">
            <v>2.1</v>
          </cell>
          <cell r="BL179">
            <v>80948</v>
          </cell>
          <cell r="BM179">
            <v>8676</v>
          </cell>
          <cell r="BN179">
            <v>89623</v>
          </cell>
          <cell r="BO179">
            <v>28006</v>
          </cell>
          <cell r="BP179">
            <v>5057</v>
          </cell>
          <cell r="BQ179">
            <v>33063</v>
          </cell>
          <cell r="BR179">
            <v>8220</v>
          </cell>
          <cell r="BS179">
            <v>41283</v>
          </cell>
          <cell r="BT179">
            <v>4443</v>
          </cell>
          <cell r="BU179">
            <v>12488</v>
          </cell>
          <cell r="BV179">
            <v>58214</v>
          </cell>
          <cell r="BW179">
            <v>13864</v>
          </cell>
          <cell r="BX179">
            <v>161701</v>
          </cell>
          <cell r="BY179">
            <v>20731</v>
          </cell>
          <cell r="BZ179">
            <v>-15</v>
          </cell>
          <cell r="CA179">
            <v>182416</v>
          </cell>
          <cell r="CB179">
            <v>0</v>
          </cell>
          <cell r="CC179">
            <v>0</v>
          </cell>
          <cell r="CD179">
            <v>0</v>
          </cell>
          <cell r="CE179">
            <v>0</v>
          </cell>
          <cell r="CF179">
            <v>0</v>
          </cell>
          <cell r="CG179">
            <v>1</v>
          </cell>
          <cell r="CH179">
            <v>0</v>
          </cell>
          <cell r="CI179">
            <v>0</v>
          </cell>
          <cell r="CJ179">
            <v>-1</v>
          </cell>
          <cell r="CK179">
            <v>1</v>
          </cell>
          <cell r="CL179">
            <v>10</v>
          </cell>
          <cell r="CM179">
            <v>10</v>
          </cell>
        </row>
        <row r="180">
          <cell r="A180">
            <v>37226</v>
          </cell>
          <cell r="B180">
            <v>81868</v>
          </cell>
          <cell r="C180">
            <v>8764</v>
          </cell>
          <cell r="D180">
            <v>90632</v>
          </cell>
          <cell r="E180">
            <v>27472</v>
          </cell>
          <cell r="F180">
            <v>5097</v>
          </cell>
          <cell r="G180">
            <v>32568</v>
          </cell>
          <cell r="H180">
            <v>8306</v>
          </cell>
          <cell r="I180">
            <v>40875</v>
          </cell>
          <cell r="J180">
            <v>4494</v>
          </cell>
          <cell r="K180">
            <v>12754</v>
          </cell>
          <cell r="L180">
            <v>58123</v>
          </cell>
          <cell r="M180">
            <v>17350</v>
          </cell>
          <cell r="N180">
            <v>166105</v>
          </cell>
          <cell r="O180">
            <v>20751</v>
          </cell>
          <cell r="P180">
            <v>-291</v>
          </cell>
          <cell r="Q180">
            <v>186565</v>
          </cell>
          <cell r="R180">
            <v>1.1000000000000001</v>
          </cell>
          <cell r="S180">
            <v>1.1000000000000001</v>
          </cell>
          <cell r="T180">
            <v>1.1000000000000001</v>
          </cell>
          <cell r="U180">
            <v>2.5</v>
          </cell>
          <cell r="V180">
            <v>0.5</v>
          </cell>
          <cell r="W180">
            <v>2.2000000000000002</v>
          </cell>
          <cell r="X180">
            <v>1</v>
          </cell>
          <cell r="Y180">
            <v>1.9</v>
          </cell>
          <cell r="Z180">
            <v>1.1000000000000001</v>
          </cell>
          <cell r="AA180">
            <v>1.8</v>
          </cell>
          <cell r="AB180">
            <v>1.8</v>
          </cell>
          <cell r="AC180">
            <v>9.6</v>
          </cell>
          <cell r="AD180">
            <v>2.2000000000000002</v>
          </cell>
          <cell r="AE180">
            <v>0</v>
          </cell>
          <cell r="AF180">
            <v>1.8</v>
          </cell>
          <cell r="AG180">
            <v>81847</v>
          </cell>
          <cell r="AH180">
            <v>8765</v>
          </cell>
          <cell r="AI180">
            <v>90612</v>
          </cell>
          <cell r="AJ180">
            <v>27686</v>
          </cell>
          <cell r="AK180">
            <v>5172</v>
          </cell>
          <cell r="AL180">
            <v>32858</v>
          </cell>
          <cell r="AM180">
            <v>8306</v>
          </cell>
          <cell r="AN180">
            <v>41164</v>
          </cell>
          <cell r="AO180">
            <v>4495</v>
          </cell>
          <cell r="AP180">
            <v>12772</v>
          </cell>
          <cell r="AQ180">
            <v>58431</v>
          </cell>
          <cell r="AR180">
            <v>17785</v>
          </cell>
          <cell r="AS180">
            <v>166828</v>
          </cell>
          <cell r="AT180">
            <v>20746</v>
          </cell>
          <cell r="AU180">
            <v>-1398</v>
          </cell>
          <cell r="AV180">
            <v>186176</v>
          </cell>
          <cell r="AW180">
            <v>1.1000000000000001</v>
          </cell>
          <cell r="AX180">
            <v>1.2</v>
          </cell>
          <cell r="AY180">
            <v>1.2</v>
          </cell>
          <cell r="AZ180">
            <v>2.1</v>
          </cell>
          <cell r="BA180">
            <v>0.2</v>
          </cell>
          <cell r="BB180">
            <v>1.8</v>
          </cell>
          <cell r="BC180">
            <v>1.1000000000000001</v>
          </cell>
          <cell r="BD180">
            <v>1.6</v>
          </cell>
          <cell r="BE180">
            <v>1.2</v>
          </cell>
          <cell r="BF180">
            <v>1.9</v>
          </cell>
          <cell r="BG180">
            <v>1.7</v>
          </cell>
          <cell r="BH180">
            <v>11.9</v>
          </cell>
          <cell r="BI180">
            <v>2.4</v>
          </cell>
          <cell r="BJ180">
            <v>1.2</v>
          </cell>
          <cell r="BK180">
            <v>1.4</v>
          </cell>
          <cell r="BL180">
            <v>83857</v>
          </cell>
          <cell r="BM180">
            <v>8992</v>
          </cell>
          <cell r="BN180">
            <v>92849</v>
          </cell>
          <cell r="BO180">
            <v>29648</v>
          </cell>
          <cell r="BP180">
            <v>5423</v>
          </cell>
          <cell r="BQ180">
            <v>35071</v>
          </cell>
          <cell r="BR180">
            <v>8306</v>
          </cell>
          <cell r="BS180">
            <v>43377</v>
          </cell>
          <cell r="BT180">
            <v>4495</v>
          </cell>
          <cell r="BU180">
            <v>12750</v>
          </cell>
          <cell r="BV180">
            <v>60622</v>
          </cell>
          <cell r="BW180">
            <v>21652</v>
          </cell>
          <cell r="BX180">
            <v>175123</v>
          </cell>
          <cell r="BY180">
            <v>21672</v>
          </cell>
          <cell r="BZ180">
            <v>-1468</v>
          </cell>
          <cell r="CA180">
            <v>195328</v>
          </cell>
          <cell r="CB180">
            <v>0</v>
          </cell>
          <cell r="CC180">
            <v>0</v>
          </cell>
          <cell r="CD180">
            <v>0</v>
          </cell>
          <cell r="CE180">
            <v>1</v>
          </cell>
          <cell r="CF180">
            <v>0</v>
          </cell>
          <cell r="CG180">
            <v>0</v>
          </cell>
          <cell r="CH180">
            <v>0</v>
          </cell>
          <cell r="CI180">
            <v>0</v>
          </cell>
          <cell r="CJ180">
            <v>0</v>
          </cell>
          <cell r="CK180">
            <v>1</v>
          </cell>
          <cell r="CL180">
            <v>10</v>
          </cell>
          <cell r="CM180">
            <v>11</v>
          </cell>
        </row>
        <row r="181">
          <cell r="A181">
            <v>37316</v>
          </cell>
          <cell r="B181">
            <v>82968</v>
          </cell>
          <cell r="C181">
            <v>8926</v>
          </cell>
          <cell r="D181">
            <v>91894</v>
          </cell>
          <cell r="E181">
            <v>28436</v>
          </cell>
          <cell r="F181">
            <v>4950</v>
          </cell>
          <cell r="G181">
            <v>33386</v>
          </cell>
          <cell r="H181">
            <v>8389</v>
          </cell>
          <cell r="I181">
            <v>41775</v>
          </cell>
          <cell r="J181">
            <v>4542</v>
          </cell>
          <cell r="K181">
            <v>12945</v>
          </cell>
          <cell r="L181">
            <v>59262</v>
          </cell>
          <cell r="M181">
            <v>18164</v>
          </cell>
          <cell r="N181">
            <v>169320</v>
          </cell>
          <cell r="O181">
            <v>21136</v>
          </cell>
          <cell r="P181">
            <v>-327</v>
          </cell>
          <cell r="Q181">
            <v>190129</v>
          </cell>
          <cell r="R181">
            <v>1.3</v>
          </cell>
          <cell r="S181">
            <v>1.9</v>
          </cell>
          <cell r="T181">
            <v>1.4</v>
          </cell>
          <cell r="U181">
            <v>3.5</v>
          </cell>
          <cell r="V181">
            <v>-2.9</v>
          </cell>
          <cell r="W181">
            <v>2.5</v>
          </cell>
          <cell r="X181">
            <v>1</v>
          </cell>
          <cell r="Y181">
            <v>2.2000000000000002</v>
          </cell>
          <cell r="Z181">
            <v>1.1000000000000001</v>
          </cell>
          <cell r="AA181">
            <v>1.5</v>
          </cell>
          <cell r="AB181">
            <v>2</v>
          </cell>
          <cell r="AC181">
            <v>4.7</v>
          </cell>
          <cell r="AD181">
            <v>1.9</v>
          </cell>
          <cell r="AE181">
            <v>1.9</v>
          </cell>
          <cell r="AF181">
            <v>1.9</v>
          </cell>
          <cell r="AG181">
            <v>82917</v>
          </cell>
          <cell r="AH181">
            <v>8899</v>
          </cell>
          <cell r="AI181">
            <v>91817</v>
          </cell>
          <cell r="AJ181">
            <v>28289</v>
          </cell>
          <cell r="AK181">
            <v>4892</v>
          </cell>
          <cell r="AL181">
            <v>33181</v>
          </cell>
          <cell r="AM181">
            <v>8388</v>
          </cell>
          <cell r="AN181">
            <v>41569</v>
          </cell>
          <cell r="AO181">
            <v>4543</v>
          </cell>
          <cell r="AP181">
            <v>12951</v>
          </cell>
          <cell r="AQ181">
            <v>59064</v>
          </cell>
          <cell r="AR181">
            <v>17678</v>
          </cell>
          <cell r="AS181">
            <v>168559</v>
          </cell>
          <cell r="AT181">
            <v>21123</v>
          </cell>
          <cell r="AU181">
            <v>638</v>
          </cell>
          <cell r="AV181">
            <v>190319</v>
          </cell>
          <cell r="AW181">
            <v>1.3</v>
          </cell>
          <cell r="AX181">
            <v>1.5</v>
          </cell>
          <cell r="AY181">
            <v>1.3</v>
          </cell>
          <cell r="AZ181">
            <v>2.2000000000000002</v>
          </cell>
          <cell r="BA181">
            <v>-5.4</v>
          </cell>
          <cell r="BB181">
            <v>1</v>
          </cell>
          <cell r="BC181">
            <v>1</v>
          </cell>
          <cell r="BD181">
            <v>1</v>
          </cell>
          <cell r="BE181">
            <v>1.1000000000000001</v>
          </cell>
          <cell r="BF181">
            <v>1.4</v>
          </cell>
          <cell r="BG181">
            <v>1.1000000000000001</v>
          </cell>
          <cell r="BH181">
            <v>-0.6</v>
          </cell>
          <cell r="BI181">
            <v>1</v>
          </cell>
          <cell r="BJ181">
            <v>1.8</v>
          </cell>
          <cell r="BK181">
            <v>2.2000000000000002</v>
          </cell>
          <cell r="BL181">
            <v>80534</v>
          </cell>
          <cell r="BM181">
            <v>8671</v>
          </cell>
          <cell r="BN181">
            <v>89205</v>
          </cell>
          <cell r="BO181">
            <v>26531</v>
          </cell>
          <cell r="BP181">
            <v>4846</v>
          </cell>
          <cell r="BQ181">
            <v>31377</v>
          </cell>
          <cell r="BR181">
            <v>8388</v>
          </cell>
          <cell r="BS181">
            <v>39765</v>
          </cell>
          <cell r="BT181">
            <v>4543</v>
          </cell>
          <cell r="BU181">
            <v>12967</v>
          </cell>
          <cell r="BV181">
            <v>57276</v>
          </cell>
          <cell r="BW181">
            <v>16688</v>
          </cell>
          <cell r="BX181">
            <v>163169</v>
          </cell>
          <cell r="BY181">
            <v>20373</v>
          </cell>
          <cell r="BZ181">
            <v>456</v>
          </cell>
          <cell r="CA181">
            <v>183998</v>
          </cell>
          <cell r="CB181">
            <v>0</v>
          </cell>
          <cell r="CC181">
            <v>0</v>
          </cell>
          <cell r="CD181">
            <v>0</v>
          </cell>
          <cell r="CE181">
            <v>0</v>
          </cell>
          <cell r="CF181">
            <v>1</v>
          </cell>
          <cell r="CG181">
            <v>0</v>
          </cell>
          <cell r="CH181">
            <v>0</v>
          </cell>
          <cell r="CI181">
            <v>0</v>
          </cell>
          <cell r="CJ181">
            <v>1</v>
          </cell>
          <cell r="CK181">
            <v>0</v>
          </cell>
          <cell r="CL181">
            <v>11</v>
          </cell>
          <cell r="CM181">
            <v>10</v>
          </cell>
        </row>
        <row r="182">
          <cell r="A182">
            <v>37408</v>
          </cell>
          <cell r="B182">
            <v>84155</v>
          </cell>
          <cell r="C182">
            <v>9138</v>
          </cell>
          <cell r="D182">
            <v>93293</v>
          </cell>
          <cell r="E182">
            <v>29688</v>
          </cell>
          <cell r="F182">
            <v>4824</v>
          </cell>
          <cell r="G182">
            <v>34512</v>
          </cell>
          <cell r="H182">
            <v>8457</v>
          </cell>
          <cell r="I182">
            <v>42968</v>
          </cell>
          <cell r="J182">
            <v>4589</v>
          </cell>
          <cell r="K182">
            <v>13099</v>
          </cell>
          <cell r="L182">
            <v>60656</v>
          </cell>
          <cell r="M182">
            <v>17943</v>
          </cell>
          <cell r="N182">
            <v>171892</v>
          </cell>
          <cell r="O182">
            <v>21830</v>
          </cell>
          <cell r="P182">
            <v>-220</v>
          </cell>
          <cell r="Q182">
            <v>193502</v>
          </cell>
          <cell r="R182">
            <v>1.4</v>
          </cell>
          <cell r="S182">
            <v>2.4</v>
          </cell>
          <cell r="T182">
            <v>1.5</v>
          </cell>
          <cell r="U182">
            <v>4.4000000000000004</v>
          </cell>
          <cell r="V182">
            <v>-2.5</v>
          </cell>
          <cell r="W182">
            <v>3.4</v>
          </cell>
          <cell r="X182">
            <v>0.8</v>
          </cell>
          <cell r="Y182">
            <v>2.9</v>
          </cell>
          <cell r="Z182">
            <v>1</v>
          </cell>
          <cell r="AA182">
            <v>1.2</v>
          </cell>
          <cell r="AB182">
            <v>2.4</v>
          </cell>
          <cell r="AC182">
            <v>-1.2</v>
          </cell>
          <cell r="AD182">
            <v>1.5</v>
          </cell>
          <cell r="AE182">
            <v>3.3</v>
          </cell>
          <cell r="AF182">
            <v>1.8</v>
          </cell>
          <cell r="AG182">
            <v>84096</v>
          </cell>
          <cell r="AH182">
            <v>9144</v>
          </cell>
          <cell r="AI182">
            <v>93240</v>
          </cell>
          <cell r="AJ182">
            <v>29449</v>
          </cell>
          <cell r="AK182">
            <v>4695</v>
          </cell>
          <cell r="AL182">
            <v>34143</v>
          </cell>
          <cell r="AM182">
            <v>8462</v>
          </cell>
          <cell r="AN182">
            <v>42606</v>
          </cell>
          <cell r="AO182">
            <v>4589</v>
          </cell>
          <cell r="AP182">
            <v>13088</v>
          </cell>
          <cell r="AQ182">
            <v>60283</v>
          </cell>
          <cell r="AR182">
            <v>18729</v>
          </cell>
          <cell r="AS182">
            <v>172252</v>
          </cell>
          <cell r="AT182">
            <v>21696</v>
          </cell>
          <cell r="AU182">
            <v>-239</v>
          </cell>
          <cell r="AV182">
            <v>193709</v>
          </cell>
          <cell r="AW182">
            <v>1.4</v>
          </cell>
          <cell r="AX182">
            <v>2.7</v>
          </cell>
          <cell r="AY182">
            <v>1.5</v>
          </cell>
          <cell r="AZ182">
            <v>4.0999999999999996</v>
          </cell>
          <cell r="BA182">
            <v>-4</v>
          </cell>
          <cell r="BB182">
            <v>2.9</v>
          </cell>
          <cell r="BC182">
            <v>0.9</v>
          </cell>
          <cell r="BD182">
            <v>2.5</v>
          </cell>
          <cell r="BE182">
            <v>1</v>
          </cell>
          <cell r="BF182">
            <v>1.1000000000000001</v>
          </cell>
          <cell r="BG182">
            <v>2.1</v>
          </cell>
          <cell r="BH182">
            <v>5.9</v>
          </cell>
          <cell r="BI182">
            <v>2.2000000000000002</v>
          </cell>
          <cell r="BJ182">
            <v>2.7</v>
          </cell>
          <cell r="BK182">
            <v>1.8</v>
          </cell>
          <cell r="BL182">
            <v>84101</v>
          </cell>
          <cell r="BM182">
            <v>9126</v>
          </cell>
          <cell r="BN182">
            <v>93227</v>
          </cell>
          <cell r="BO182">
            <v>28197</v>
          </cell>
          <cell r="BP182">
            <v>4599</v>
          </cell>
          <cell r="BQ182">
            <v>32796</v>
          </cell>
          <cell r="BR182">
            <v>8462</v>
          </cell>
          <cell r="BS182">
            <v>41258</v>
          </cell>
          <cell r="BT182">
            <v>4589</v>
          </cell>
          <cell r="BU182">
            <v>13150</v>
          </cell>
          <cell r="BV182">
            <v>58996</v>
          </cell>
          <cell r="BW182">
            <v>17715</v>
          </cell>
          <cell r="BX182">
            <v>169938</v>
          </cell>
          <cell r="BY182">
            <v>21236</v>
          </cell>
          <cell r="BZ182">
            <v>1027</v>
          </cell>
          <cell r="CA182">
            <v>192201</v>
          </cell>
          <cell r="CB182">
            <v>1</v>
          </cell>
          <cell r="CC182">
            <v>0</v>
          </cell>
          <cell r="CD182">
            <v>0</v>
          </cell>
          <cell r="CE182">
            <v>0</v>
          </cell>
          <cell r="CF182">
            <v>0</v>
          </cell>
          <cell r="CG182">
            <v>0</v>
          </cell>
          <cell r="CH182">
            <v>0</v>
          </cell>
          <cell r="CI182">
            <v>0</v>
          </cell>
          <cell r="CJ182">
            <v>1</v>
          </cell>
          <cell r="CK182">
            <v>-2</v>
          </cell>
          <cell r="CL182">
            <v>1</v>
          </cell>
          <cell r="CM182">
            <v>0</v>
          </cell>
        </row>
        <row r="183">
          <cell r="A183">
            <v>37500</v>
          </cell>
          <cell r="B183">
            <v>85272</v>
          </cell>
          <cell r="C183">
            <v>9357</v>
          </cell>
          <cell r="D183">
            <v>94628</v>
          </cell>
          <cell r="E183">
            <v>31240</v>
          </cell>
          <cell r="F183">
            <v>4792</v>
          </cell>
          <cell r="G183">
            <v>36032</v>
          </cell>
          <cell r="H183">
            <v>8530</v>
          </cell>
          <cell r="I183">
            <v>44562</v>
          </cell>
          <cell r="J183">
            <v>4634</v>
          </cell>
          <cell r="K183">
            <v>13243</v>
          </cell>
          <cell r="L183">
            <v>62439</v>
          </cell>
          <cell r="M183">
            <v>17193</v>
          </cell>
          <cell r="N183">
            <v>174261</v>
          </cell>
          <cell r="O183">
            <v>22408</v>
          </cell>
          <cell r="P183">
            <v>-27</v>
          </cell>
          <cell r="Q183">
            <v>196642</v>
          </cell>
          <cell r="R183">
            <v>1.3</v>
          </cell>
          <cell r="S183">
            <v>2.4</v>
          </cell>
          <cell r="T183">
            <v>1.4</v>
          </cell>
          <cell r="U183">
            <v>5.2</v>
          </cell>
          <cell r="V183">
            <v>-0.7</v>
          </cell>
          <cell r="W183">
            <v>4.4000000000000004</v>
          </cell>
          <cell r="X183">
            <v>0.9</v>
          </cell>
          <cell r="Y183">
            <v>3.7</v>
          </cell>
          <cell r="Z183">
            <v>1</v>
          </cell>
          <cell r="AA183">
            <v>1.1000000000000001</v>
          </cell>
          <cell r="AB183">
            <v>2.9</v>
          </cell>
          <cell r="AC183">
            <v>-4.2</v>
          </cell>
          <cell r="AD183">
            <v>1.4</v>
          </cell>
          <cell r="AE183">
            <v>2.6</v>
          </cell>
          <cell r="AF183">
            <v>1.6</v>
          </cell>
          <cell r="AG183">
            <v>85592</v>
          </cell>
          <cell r="AH183">
            <v>9388</v>
          </cell>
          <cell r="AI183">
            <v>94979</v>
          </cell>
          <cell r="AJ183">
            <v>31212</v>
          </cell>
          <cell r="AK183">
            <v>4988</v>
          </cell>
          <cell r="AL183">
            <v>36200</v>
          </cell>
          <cell r="AM183">
            <v>8533</v>
          </cell>
          <cell r="AN183">
            <v>44733</v>
          </cell>
          <cell r="AO183">
            <v>4634</v>
          </cell>
          <cell r="AP183">
            <v>13242</v>
          </cell>
          <cell r="AQ183">
            <v>62608</v>
          </cell>
          <cell r="AR183">
            <v>16682</v>
          </cell>
          <cell r="AS183">
            <v>174270</v>
          </cell>
          <cell r="AT183">
            <v>22688</v>
          </cell>
          <cell r="AU183">
            <v>-642</v>
          </cell>
          <cell r="AV183">
            <v>196316</v>
          </cell>
          <cell r="AW183">
            <v>1.8</v>
          </cell>
          <cell r="AX183">
            <v>2.7</v>
          </cell>
          <cell r="AY183">
            <v>1.9</v>
          </cell>
          <cell r="AZ183">
            <v>6</v>
          </cell>
          <cell r="BA183">
            <v>6.2</v>
          </cell>
          <cell r="BB183">
            <v>6</v>
          </cell>
          <cell r="BC183">
            <v>0.8</v>
          </cell>
          <cell r="BD183">
            <v>5</v>
          </cell>
          <cell r="BE183">
            <v>1</v>
          </cell>
          <cell r="BF183">
            <v>1.2</v>
          </cell>
          <cell r="BG183">
            <v>3.9</v>
          </cell>
          <cell r="BH183">
            <v>-10.9</v>
          </cell>
          <cell r="BI183">
            <v>1.2</v>
          </cell>
          <cell r="BJ183">
            <v>4.5999999999999996</v>
          </cell>
          <cell r="BK183">
            <v>1.3</v>
          </cell>
          <cell r="BL183">
            <v>85689</v>
          </cell>
          <cell r="BM183">
            <v>9413</v>
          </cell>
          <cell r="BN183">
            <v>95102</v>
          </cell>
          <cell r="BO183">
            <v>32159</v>
          </cell>
          <cell r="BP183">
            <v>4909</v>
          </cell>
          <cell r="BQ183">
            <v>37068</v>
          </cell>
          <cell r="BR183">
            <v>8472</v>
          </cell>
          <cell r="BS183">
            <v>45540</v>
          </cell>
          <cell r="BT183">
            <v>4634</v>
          </cell>
          <cell r="BU183">
            <v>13183</v>
          </cell>
          <cell r="BV183">
            <v>63356</v>
          </cell>
          <cell r="BW183">
            <v>15543</v>
          </cell>
          <cell r="BX183">
            <v>174000</v>
          </cell>
          <cell r="BY183">
            <v>22906</v>
          </cell>
          <cell r="BZ183">
            <v>-1021</v>
          </cell>
          <cell r="CA183">
            <v>195885</v>
          </cell>
          <cell r="CB183">
            <v>0</v>
          </cell>
          <cell r="CC183">
            <v>-1</v>
          </cell>
          <cell r="CD183">
            <v>0</v>
          </cell>
          <cell r="CE183">
            <v>0</v>
          </cell>
          <cell r="CF183">
            <v>0</v>
          </cell>
          <cell r="CG183">
            <v>0</v>
          </cell>
          <cell r="CH183">
            <v>-1</v>
          </cell>
          <cell r="CI183">
            <v>0</v>
          </cell>
          <cell r="CJ183">
            <v>-1</v>
          </cell>
          <cell r="CK183">
            <v>0</v>
          </cell>
          <cell r="CL183">
            <v>8</v>
          </cell>
          <cell r="CM183">
            <v>7</v>
          </cell>
        </row>
        <row r="184">
          <cell r="A184">
            <v>37591</v>
          </cell>
          <cell r="B184">
            <v>86412</v>
          </cell>
          <cell r="C184">
            <v>9571</v>
          </cell>
          <cell r="D184">
            <v>95983</v>
          </cell>
          <cell r="E184">
            <v>32427</v>
          </cell>
          <cell r="F184">
            <v>4828</v>
          </cell>
          <cell r="G184">
            <v>37256</v>
          </cell>
          <cell r="H184">
            <v>8591</v>
          </cell>
          <cell r="I184">
            <v>45847</v>
          </cell>
          <cell r="J184">
            <v>4680</v>
          </cell>
          <cell r="K184">
            <v>13375</v>
          </cell>
          <cell r="L184">
            <v>63902</v>
          </cell>
          <cell r="M184">
            <v>16268</v>
          </cell>
          <cell r="N184">
            <v>176154</v>
          </cell>
          <cell r="O184">
            <v>22815</v>
          </cell>
          <cell r="P184">
            <v>225</v>
          </cell>
          <cell r="Q184">
            <v>199193</v>
          </cell>
          <cell r="R184">
            <v>1.3</v>
          </cell>
          <cell r="S184">
            <v>2.2999999999999998</v>
          </cell>
          <cell r="T184">
            <v>1.4</v>
          </cell>
          <cell r="U184">
            <v>3.8</v>
          </cell>
          <cell r="V184">
            <v>0.8</v>
          </cell>
          <cell r="W184">
            <v>3.4</v>
          </cell>
          <cell r="X184">
            <v>0.7</v>
          </cell>
          <cell r="Y184">
            <v>2.9</v>
          </cell>
          <cell r="Z184">
            <v>1</v>
          </cell>
          <cell r="AA184">
            <v>1</v>
          </cell>
          <cell r="AB184">
            <v>2.2999999999999998</v>
          </cell>
          <cell r="AC184">
            <v>-5.4</v>
          </cell>
          <cell r="AD184">
            <v>1.1000000000000001</v>
          </cell>
          <cell r="AE184">
            <v>1.8</v>
          </cell>
          <cell r="AF184">
            <v>1.3</v>
          </cell>
          <cell r="AG184">
            <v>86116</v>
          </cell>
          <cell r="AH184">
            <v>9552</v>
          </cell>
          <cell r="AI184">
            <v>95669</v>
          </cell>
          <cell r="AJ184">
            <v>33096</v>
          </cell>
          <cell r="AK184">
            <v>4687</v>
          </cell>
          <cell r="AL184">
            <v>37782</v>
          </cell>
          <cell r="AM184">
            <v>8565</v>
          </cell>
          <cell r="AN184">
            <v>46348</v>
          </cell>
          <cell r="AO184">
            <v>4679</v>
          </cell>
          <cell r="AP184">
            <v>13387</v>
          </cell>
          <cell r="AQ184">
            <v>64413</v>
          </cell>
          <cell r="AR184">
            <v>16250</v>
          </cell>
          <cell r="AS184">
            <v>176331</v>
          </cell>
          <cell r="AT184">
            <v>22831</v>
          </cell>
          <cell r="AU184">
            <v>412</v>
          </cell>
          <cell r="AV184">
            <v>199574</v>
          </cell>
          <cell r="AW184">
            <v>0.6</v>
          </cell>
          <cell r="AX184">
            <v>1.8</v>
          </cell>
          <cell r="AY184">
            <v>0.7</v>
          </cell>
          <cell r="AZ184">
            <v>6</v>
          </cell>
          <cell r="BA184">
            <v>-6</v>
          </cell>
          <cell r="BB184">
            <v>4.4000000000000004</v>
          </cell>
          <cell r="BC184">
            <v>0.4</v>
          </cell>
          <cell r="BD184">
            <v>3.6</v>
          </cell>
          <cell r="BE184">
            <v>1</v>
          </cell>
          <cell r="BF184">
            <v>1.1000000000000001</v>
          </cell>
          <cell r="BG184">
            <v>2.9</v>
          </cell>
          <cell r="BH184">
            <v>-2.6</v>
          </cell>
          <cell r="BI184">
            <v>1.2</v>
          </cell>
          <cell r="BJ184">
            <v>0.6</v>
          </cell>
          <cell r="BK184">
            <v>1.7</v>
          </cell>
          <cell r="BL184">
            <v>88427</v>
          </cell>
          <cell r="BM184">
            <v>9790</v>
          </cell>
          <cell r="BN184">
            <v>98217</v>
          </cell>
          <cell r="BO184">
            <v>35639</v>
          </cell>
          <cell r="BP184">
            <v>4882</v>
          </cell>
          <cell r="BQ184">
            <v>40521</v>
          </cell>
          <cell r="BR184">
            <v>8628</v>
          </cell>
          <cell r="BS184">
            <v>49149</v>
          </cell>
          <cell r="BT184">
            <v>4679</v>
          </cell>
          <cell r="BU184">
            <v>13363</v>
          </cell>
          <cell r="BV184">
            <v>67192</v>
          </cell>
          <cell r="BW184">
            <v>18808</v>
          </cell>
          <cell r="BX184">
            <v>184217</v>
          </cell>
          <cell r="BY184">
            <v>23964</v>
          </cell>
          <cell r="BZ184">
            <v>188</v>
          </cell>
          <cell r="CA184">
            <v>208369</v>
          </cell>
          <cell r="CB184">
            <v>0</v>
          </cell>
          <cell r="CC184">
            <v>0</v>
          </cell>
          <cell r="CD184">
            <v>0</v>
          </cell>
          <cell r="CE184">
            <v>0</v>
          </cell>
          <cell r="CF184">
            <v>0</v>
          </cell>
          <cell r="CG184">
            <v>0</v>
          </cell>
          <cell r="CH184">
            <v>0</v>
          </cell>
          <cell r="CI184">
            <v>0</v>
          </cell>
          <cell r="CJ184">
            <v>0</v>
          </cell>
          <cell r="CK184">
            <v>1</v>
          </cell>
          <cell r="CL184">
            <v>-35</v>
          </cell>
          <cell r="CM184">
            <v>-34</v>
          </cell>
        </row>
        <row r="185">
          <cell r="A185">
            <v>37681</v>
          </cell>
          <cell r="B185">
            <v>87665</v>
          </cell>
          <cell r="C185">
            <v>9779</v>
          </cell>
          <cell r="D185">
            <v>97444</v>
          </cell>
          <cell r="E185">
            <v>33008</v>
          </cell>
          <cell r="F185">
            <v>4909</v>
          </cell>
          <cell r="G185">
            <v>37918</v>
          </cell>
          <cell r="H185">
            <v>8658</v>
          </cell>
          <cell r="I185">
            <v>46576</v>
          </cell>
          <cell r="J185">
            <v>4721</v>
          </cell>
          <cell r="K185">
            <v>13515</v>
          </cell>
          <cell r="L185">
            <v>64812</v>
          </cell>
          <cell r="M185">
            <v>15684</v>
          </cell>
          <cell r="N185">
            <v>177940</v>
          </cell>
          <cell r="O185">
            <v>23169</v>
          </cell>
          <cell r="P185">
            <v>458</v>
          </cell>
          <cell r="Q185">
            <v>201567</v>
          </cell>
          <cell r="R185">
            <v>1.4</v>
          </cell>
          <cell r="S185">
            <v>2.2000000000000002</v>
          </cell>
          <cell r="T185">
            <v>1.5</v>
          </cell>
          <cell r="U185">
            <v>1.8</v>
          </cell>
          <cell r="V185">
            <v>1.7</v>
          </cell>
          <cell r="W185">
            <v>1.8</v>
          </cell>
          <cell r="X185">
            <v>0.8</v>
          </cell>
          <cell r="Y185">
            <v>1.6</v>
          </cell>
          <cell r="Z185">
            <v>0.9</v>
          </cell>
          <cell r="AA185">
            <v>1.1000000000000001</v>
          </cell>
          <cell r="AB185">
            <v>1.4</v>
          </cell>
          <cell r="AC185">
            <v>-3.6</v>
          </cell>
          <cell r="AD185">
            <v>1</v>
          </cell>
          <cell r="AE185">
            <v>1.6</v>
          </cell>
          <cell r="AF185">
            <v>1.2</v>
          </cell>
          <cell r="AG185">
            <v>87627</v>
          </cell>
          <cell r="AH185">
            <v>9761</v>
          </cell>
          <cell r="AI185">
            <v>97387</v>
          </cell>
          <cell r="AJ185">
            <v>32610</v>
          </cell>
          <cell r="AK185">
            <v>4947</v>
          </cell>
          <cell r="AL185">
            <v>37557</v>
          </cell>
          <cell r="AM185">
            <v>8730</v>
          </cell>
          <cell r="AN185">
            <v>46287</v>
          </cell>
          <cell r="AO185">
            <v>4721</v>
          </cell>
          <cell r="AP185">
            <v>13528</v>
          </cell>
          <cell r="AQ185">
            <v>64537</v>
          </cell>
          <cell r="AR185">
            <v>16034</v>
          </cell>
          <cell r="AS185">
            <v>177958</v>
          </cell>
          <cell r="AT185">
            <v>22894</v>
          </cell>
          <cell r="AU185">
            <v>974</v>
          </cell>
          <cell r="AV185">
            <v>201827</v>
          </cell>
          <cell r="AW185">
            <v>1.8</v>
          </cell>
          <cell r="AX185">
            <v>2.2000000000000002</v>
          </cell>
          <cell r="AY185">
            <v>1.8</v>
          </cell>
          <cell r="AZ185">
            <v>-1.5</v>
          </cell>
          <cell r="BA185">
            <v>5.5</v>
          </cell>
          <cell r="BB185">
            <v>-0.6</v>
          </cell>
          <cell r="BC185">
            <v>1.9</v>
          </cell>
          <cell r="BD185">
            <v>-0.1</v>
          </cell>
          <cell r="BE185">
            <v>0.9</v>
          </cell>
          <cell r="BF185">
            <v>1.1000000000000001</v>
          </cell>
          <cell r="BG185">
            <v>0.2</v>
          </cell>
          <cell r="BH185">
            <v>-1.3</v>
          </cell>
          <cell r="BI185">
            <v>0.9</v>
          </cell>
          <cell r="BJ185">
            <v>0.3</v>
          </cell>
          <cell r="BK185">
            <v>1.1000000000000001</v>
          </cell>
          <cell r="BL185">
            <v>85127</v>
          </cell>
          <cell r="BM185">
            <v>9501</v>
          </cell>
          <cell r="BN185">
            <v>94628</v>
          </cell>
          <cell r="BO185">
            <v>30392</v>
          </cell>
          <cell r="BP185">
            <v>4967</v>
          </cell>
          <cell r="BQ185">
            <v>35359</v>
          </cell>
          <cell r="BR185">
            <v>8614</v>
          </cell>
          <cell r="BS185">
            <v>43973</v>
          </cell>
          <cell r="BT185">
            <v>4721</v>
          </cell>
          <cell r="BU185">
            <v>13545</v>
          </cell>
          <cell r="BV185">
            <v>62239</v>
          </cell>
          <cell r="BW185">
            <v>15277</v>
          </cell>
          <cell r="BX185">
            <v>172144</v>
          </cell>
          <cell r="BY185">
            <v>22042</v>
          </cell>
          <cell r="BZ185">
            <v>300</v>
          </cell>
          <cell r="CA185">
            <v>194486</v>
          </cell>
          <cell r="CB185">
            <v>-1</v>
          </cell>
          <cell r="CC185">
            <v>1</v>
          </cell>
          <cell r="CD185">
            <v>0</v>
          </cell>
          <cell r="CE185">
            <v>1</v>
          </cell>
          <cell r="CF185">
            <v>0</v>
          </cell>
          <cell r="CG185">
            <v>0</v>
          </cell>
          <cell r="CH185">
            <v>1</v>
          </cell>
          <cell r="CI185">
            <v>0</v>
          </cell>
          <cell r="CJ185">
            <v>1</v>
          </cell>
          <cell r="CK185">
            <v>0</v>
          </cell>
          <cell r="CL185">
            <v>-43</v>
          </cell>
          <cell r="CM185">
            <v>-42</v>
          </cell>
        </row>
        <row r="186">
          <cell r="A186">
            <v>37773</v>
          </cell>
          <cell r="B186">
            <v>89028</v>
          </cell>
          <cell r="C186">
            <v>9987</v>
          </cell>
          <cell r="D186">
            <v>99015</v>
          </cell>
          <cell r="E186">
            <v>33442</v>
          </cell>
          <cell r="F186">
            <v>5056</v>
          </cell>
          <cell r="G186">
            <v>38498</v>
          </cell>
          <cell r="H186">
            <v>8756</v>
          </cell>
          <cell r="I186">
            <v>47254</v>
          </cell>
          <cell r="J186">
            <v>4752</v>
          </cell>
          <cell r="K186">
            <v>13701</v>
          </cell>
          <cell r="L186">
            <v>65707</v>
          </cell>
          <cell r="M186">
            <v>16003</v>
          </cell>
          <cell r="N186">
            <v>180726</v>
          </cell>
          <cell r="O186">
            <v>23680</v>
          </cell>
          <cell r="P186">
            <v>102</v>
          </cell>
          <cell r="Q186">
            <v>204508</v>
          </cell>
          <cell r="R186">
            <v>1.6</v>
          </cell>
          <cell r="S186">
            <v>2.1</v>
          </cell>
          <cell r="T186">
            <v>1.6</v>
          </cell>
          <cell r="U186">
            <v>1.3</v>
          </cell>
          <cell r="V186">
            <v>3</v>
          </cell>
          <cell r="W186">
            <v>1.5</v>
          </cell>
          <cell r="X186">
            <v>1.1000000000000001</v>
          </cell>
          <cell r="Y186">
            <v>1.5</v>
          </cell>
          <cell r="Z186">
            <v>0.7</v>
          </cell>
          <cell r="AA186">
            <v>1.4</v>
          </cell>
          <cell r="AB186">
            <v>1.4</v>
          </cell>
          <cell r="AC186">
            <v>2</v>
          </cell>
          <cell r="AD186">
            <v>1.6</v>
          </cell>
          <cell r="AE186">
            <v>2.2000000000000002</v>
          </cell>
          <cell r="AF186">
            <v>1.5</v>
          </cell>
          <cell r="AG186">
            <v>89285</v>
          </cell>
          <cell r="AH186">
            <v>10028</v>
          </cell>
          <cell r="AI186">
            <v>99313</v>
          </cell>
          <cell r="AJ186">
            <v>33342</v>
          </cell>
          <cell r="AK186">
            <v>5032</v>
          </cell>
          <cell r="AL186">
            <v>38374</v>
          </cell>
          <cell r="AM186">
            <v>8661</v>
          </cell>
          <cell r="AN186">
            <v>47035</v>
          </cell>
          <cell r="AO186">
            <v>4760</v>
          </cell>
          <cell r="AP186">
            <v>13647</v>
          </cell>
          <cell r="AQ186">
            <v>65443</v>
          </cell>
          <cell r="AR186">
            <v>15306</v>
          </cell>
          <cell r="AS186">
            <v>180063</v>
          </cell>
          <cell r="AT186">
            <v>23796</v>
          </cell>
          <cell r="AU186">
            <v>-183</v>
          </cell>
          <cell r="AV186">
            <v>203675</v>
          </cell>
          <cell r="AW186">
            <v>1.9</v>
          </cell>
          <cell r="AX186">
            <v>2.7</v>
          </cell>
          <cell r="AY186">
            <v>2</v>
          </cell>
          <cell r="AZ186">
            <v>2.2000000000000002</v>
          </cell>
          <cell r="BA186">
            <v>1.7</v>
          </cell>
          <cell r="BB186">
            <v>2.2000000000000002</v>
          </cell>
          <cell r="BC186">
            <v>-0.8</v>
          </cell>
          <cell r="BD186">
            <v>1.6</v>
          </cell>
          <cell r="BE186">
            <v>0.8</v>
          </cell>
          <cell r="BF186">
            <v>0.9</v>
          </cell>
          <cell r="BG186">
            <v>1.4</v>
          </cell>
          <cell r="BH186">
            <v>-4.5</v>
          </cell>
          <cell r="BI186">
            <v>1.2</v>
          </cell>
          <cell r="BJ186">
            <v>3.9</v>
          </cell>
          <cell r="BK186">
            <v>0.9</v>
          </cell>
          <cell r="BL186">
            <v>89340</v>
          </cell>
          <cell r="BM186">
            <v>10019</v>
          </cell>
          <cell r="BN186">
            <v>99359</v>
          </cell>
          <cell r="BO186">
            <v>32045</v>
          </cell>
          <cell r="BP186">
            <v>4883</v>
          </cell>
          <cell r="BQ186">
            <v>36928</v>
          </cell>
          <cell r="BR186">
            <v>8777</v>
          </cell>
          <cell r="BS186">
            <v>45705</v>
          </cell>
          <cell r="BT186">
            <v>4760</v>
          </cell>
          <cell r="BU186">
            <v>13726</v>
          </cell>
          <cell r="BV186">
            <v>64191</v>
          </cell>
          <cell r="BW186">
            <v>14576</v>
          </cell>
          <cell r="BX186">
            <v>178125</v>
          </cell>
          <cell r="BY186">
            <v>23229</v>
          </cell>
          <cell r="BZ186">
            <v>533</v>
          </cell>
          <cell r="CA186">
            <v>201888</v>
          </cell>
          <cell r="CB186">
            <v>0</v>
          </cell>
          <cell r="CC186">
            <v>0</v>
          </cell>
          <cell r="CD186">
            <v>0</v>
          </cell>
          <cell r="CE186">
            <v>0</v>
          </cell>
          <cell r="CF186">
            <v>1</v>
          </cell>
          <cell r="CG186">
            <v>1</v>
          </cell>
          <cell r="CH186">
            <v>0</v>
          </cell>
          <cell r="CI186">
            <v>0</v>
          </cell>
          <cell r="CJ186">
            <v>1</v>
          </cell>
          <cell r="CK186">
            <v>-2</v>
          </cell>
          <cell r="CL186">
            <v>-33</v>
          </cell>
          <cell r="CM186">
            <v>-35</v>
          </cell>
        </row>
        <row r="187">
          <cell r="A187">
            <v>37865</v>
          </cell>
          <cell r="B187">
            <v>90514</v>
          </cell>
          <cell r="C187">
            <v>10193</v>
          </cell>
          <cell r="D187">
            <v>100706</v>
          </cell>
          <cell r="E187">
            <v>34207</v>
          </cell>
          <cell r="F187">
            <v>5184</v>
          </cell>
          <cell r="G187">
            <v>39391</v>
          </cell>
          <cell r="H187">
            <v>8908</v>
          </cell>
          <cell r="I187">
            <v>48298</v>
          </cell>
          <cell r="J187">
            <v>4780</v>
          </cell>
          <cell r="K187">
            <v>13945</v>
          </cell>
          <cell r="L187">
            <v>67023</v>
          </cell>
          <cell r="M187">
            <v>16909</v>
          </cell>
          <cell r="N187">
            <v>184561</v>
          </cell>
          <cell r="O187">
            <v>24216</v>
          </cell>
          <cell r="P187">
            <v>-259</v>
          </cell>
          <cell r="Q187">
            <v>208518</v>
          </cell>
          <cell r="R187">
            <v>1.7</v>
          </cell>
          <cell r="S187">
            <v>2.1</v>
          </cell>
          <cell r="T187">
            <v>1.7</v>
          </cell>
          <cell r="U187">
            <v>2.2999999999999998</v>
          </cell>
          <cell r="V187">
            <v>2.5</v>
          </cell>
          <cell r="W187">
            <v>2.2999999999999998</v>
          </cell>
          <cell r="X187">
            <v>1.7</v>
          </cell>
          <cell r="Y187">
            <v>2.2000000000000002</v>
          </cell>
          <cell r="Z187">
            <v>0.6</v>
          </cell>
          <cell r="AA187">
            <v>1.8</v>
          </cell>
          <cell r="AB187">
            <v>2</v>
          </cell>
          <cell r="AC187">
            <v>5.7</v>
          </cell>
          <cell r="AD187">
            <v>2.1</v>
          </cell>
          <cell r="AE187">
            <v>2.2999999999999998</v>
          </cell>
          <cell r="AF187">
            <v>2</v>
          </cell>
          <cell r="AG187">
            <v>90358</v>
          </cell>
          <cell r="AH187">
            <v>10166</v>
          </cell>
          <cell r="AI187">
            <v>100524</v>
          </cell>
          <cell r="AJ187">
            <v>34031</v>
          </cell>
          <cell r="AK187">
            <v>5229</v>
          </cell>
          <cell r="AL187">
            <v>39260</v>
          </cell>
          <cell r="AM187">
            <v>8952</v>
          </cell>
          <cell r="AN187">
            <v>48212</v>
          </cell>
          <cell r="AO187">
            <v>4775</v>
          </cell>
          <cell r="AP187">
            <v>13971</v>
          </cell>
          <cell r="AQ187">
            <v>66958</v>
          </cell>
          <cell r="AR187">
            <v>17130</v>
          </cell>
          <cell r="AS187">
            <v>184612</v>
          </cell>
          <cell r="AT187">
            <v>24238</v>
          </cell>
          <cell r="AU187">
            <v>-332</v>
          </cell>
          <cell r="AV187">
            <v>208518</v>
          </cell>
          <cell r="AW187">
            <v>1.2</v>
          </cell>
          <cell r="AX187">
            <v>1.4</v>
          </cell>
          <cell r="AY187">
            <v>1.2</v>
          </cell>
          <cell r="AZ187">
            <v>2.1</v>
          </cell>
          <cell r="BA187">
            <v>3.9</v>
          </cell>
          <cell r="BB187">
            <v>2.2999999999999998</v>
          </cell>
          <cell r="BC187">
            <v>3.4</v>
          </cell>
          <cell r="BD187">
            <v>2.5</v>
          </cell>
          <cell r="BE187">
            <v>0.3</v>
          </cell>
          <cell r="BF187">
            <v>2.4</v>
          </cell>
          <cell r="BG187">
            <v>2.2999999999999998</v>
          </cell>
          <cell r="BH187">
            <v>11.9</v>
          </cell>
          <cell r="BI187">
            <v>2.5</v>
          </cell>
          <cell r="BJ187">
            <v>1.9</v>
          </cell>
          <cell r="BK187">
            <v>2.4</v>
          </cell>
          <cell r="BL187">
            <v>90552</v>
          </cell>
          <cell r="BM187">
            <v>10202</v>
          </cell>
          <cell r="BN187">
            <v>100754</v>
          </cell>
          <cell r="BO187">
            <v>34985</v>
          </cell>
          <cell r="BP187">
            <v>5184</v>
          </cell>
          <cell r="BQ187">
            <v>40169</v>
          </cell>
          <cell r="BR187">
            <v>8885</v>
          </cell>
          <cell r="BS187">
            <v>49054</v>
          </cell>
          <cell r="BT187">
            <v>4775</v>
          </cell>
          <cell r="BU187">
            <v>13896</v>
          </cell>
          <cell r="BV187">
            <v>67725</v>
          </cell>
          <cell r="BW187">
            <v>15305</v>
          </cell>
          <cell r="BX187">
            <v>183783</v>
          </cell>
          <cell r="BY187">
            <v>24479</v>
          </cell>
          <cell r="BZ187">
            <v>-1034</v>
          </cell>
          <cell r="CA187">
            <v>207228</v>
          </cell>
          <cell r="CB187">
            <v>0</v>
          </cell>
          <cell r="CC187">
            <v>-1</v>
          </cell>
          <cell r="CD187">
            <v>0</v>
          </cell>
          <cell r="CE187">
            <v>0</v>
          </cell>
          <cell r="CF187">
            <v>0</v>
          </cell>
          <cell r="CG187">
            <v>0</v>
          </cell>
          <cell r="CH187">
            <v>-2</v>
          </cell>
          <cell r="CI187">
            <v>1</v>
          </cell>
          <cell r="CJ187">
            <v>-1</v>
          </cell>
          <cell r="CK187">
            <v>0</v>
          </cell>
          <cell r="CL187">
            <v>15</v>
          </cell>
          <cell r="CM187">
            <v>14</v>
          </cell>
        </row>
        <row r="188">
          <cell r="A188">
            <v>37956</v>
          </cell>
          <cell r="B188">
            <v>92045</v>
          </cell>
          <cell r="C188">
            <v>10390</v>
          </cell>
          <cell r="D188">
            <v>102434</v>
          </cell>
          <cell r="E188">
            <v>34783</v>
          </cell>
          <cell r="F188">
            <v>5235</v>
          </cell>
          <cell r="G188">
            <v>40018</v>
          </cell>
          <cell r="H188">
            <v>9085</v>
          </cell>
          <cell r="I188">
            <v>49104</v>
          </cell>
          <cell r="J188">
            <v>4817</v>
          </cell>
          <cell r="K188">
            <v>14221</v>
          </cell>
          <cell r="L188">
            <v>68141</v>
          </cell>
          <cell r="M188">
            <v>18173</v>
          </cell>
          <cell r="N188">
            <v>188747</v>
          </cell>
          <cell r="O188">
            <v>24584</v>
          </cell>
          <cell r="P188">
            <v>-176</v>
          </cell>
          <cell r="Q188">
            <v>213155</v>
          </cell>
          <cell r="R188">
            <v>1.7</v>
          </cell>
          <cell r="S188">
            <v>1.9</v>
          </cell>
          <cell r="T188">
            <v>1.7</v>
          </cell>
          <cell r="U188">
            <v>1.7</v>
          </cell>
          <cell r="V188">
            <v>1</v>
          </cell>
          <cell r="W188">
            <v>1.6</v>
          </cell>
          <cell r="X188">
            <v>2</v>
          </cell>
          <cell r="Y188">
            <v>1.7</v>
          </cell>
          <cell r="Z188">
            <v>0.8</v>
          </cell>
          <cell r="AA188">
            <v>2</v>
          </cell>
          <cell r="AB188">
            <v>1.7</v>
          </cell>
          <cell r="AC188">
            <v>7.5</v>
          </cell>
          <cell r="AD188">
            <v>2.2999999999999998</v>
          </cell>
          <cell r="AE188">
            <v>1.5</v>
          </cell>
          <cell r="AF188">
            <v>2.2000000000000002</v>
          </cell>
          <cell r="AG188">
            <v>91948</v>
          </cell>
          <cell r="AH188">
            <v>10387</v>
          </cell>
          <cell r="AI188">
            <v>102335</v>
          </cell>
          <cell r="AJ188">
            <v>35100</v>
          </cell>
          <cell r="AK188">
            <v>5287</v>
          </cell>
          <cell r="AL188">
            <v>40388</v>
          </cell>
          <cell r="AM188">
            <v>9078</v>
          </cell>
          <cell r="AN188">
            <v>49465</v>
          </cell>
          <cell r="AO188">
            <v>4814</v>
          </cell>
          <cell r="AP188">
            <v>14228</v>
          </cell>
          <cell r="AQ188">
            <v>68507</v>
          </cell>
          <cell r="AR188">
            <v>18479</v>
          </cell>
          <cell r="AS188">
            <v>189321</v>
          </cell>
          <cell r="AT188">
            <v>24740</v>
          </cell>
          <cell r="AU188">
            <v>-541</v>
          </cell>
          <cell r="AV188">
            <v>213520</v>
          </cell>
          <cell r="AW188">
            <v>1.8</v>
          </cell>
          <cell r="AX188">
            <v>2.2000000000000002</v>
          </cell>
          <cell r="AY188">
            <v>1.8</v>
          </cell>
          <cell r="AZ188">
            <v>3.1</v>
          </cell>
          <cell r="BA188">
            <v>1.1000000000000001</v>
          </cell>
          <cell r="BB188">
            <v>2.9</v>
          </cell>
          <cell r="BC188">
            <v>1.4</v>
          </cell>
          <cell r="BD188">
            <v>2.6</v>
          </cell>
          <cell r="BE188">
            <v>0.8</v>
          </cell>
          <cell r="BF188">
            <v>1.8</v>
          </cell>
          <cell r="BG188">
            <v>2.2999999999999998</v>
          </cell>
          <cell r="BH188">
            <v>7.9</v>
          </cell>
          <cell r="BI188">
            <v>2.6</v>
          </cell>
          <cell r="BJ188">
            <v>2.1</v>
          </cell>
          <cell r="BK188">
            <v>2.4</v>
          </cell>
          <cell r="BL188">
            <v>94269</v>
          </cell>
          <cell r="BM188">
            <v>10635</v>
          </cell>
          <cell r="BN188">
            <v>104904</v>
          </cell>
          <cell r="BO188">
            <v>37910</v>
          </cell>
          <cell r="BP188">
            <v>5421</v>
          </cell>
          <cell r="BQ188">
            <v>43332</v>
          </cell>
          <cell r="BR188">
            <v>9145</v>
          </cell>
          <cell r="BS188">
            <v>52477</v>
          </cell>
          <cell r="BT188">
            <v>4814</v>
          </cell>
          <cell r="BU188">
            <v>14200</v>
          </cell>
          <cell r="BV188">
            <v>71491</v>
          </cell>
          <cell r="BW188">
            <v>22532</v>
          </cell>
          <cell r="BX188">
            <v>198928</v>
          </cell>
          <cell r="BY188">
            <v>26090</v>
          </cell>
          <cell r="BZ188">
            <v>-876</v>
          </cell>
          <cell r="CA188">
            <v>224141</v>
          </cell>
          <cell r="CB188">
            <v>0</v>
          </cell>
          <cell r="CC188">
            <v>0</v>
          </cell>
          <cell r="CD188">
            <v>1</v>
          </cell>
          <cell r="CE188">
            <v>1</v>
          </cell>
          <cell r="CF188">
            <v>0</v>
          </cell>
          <cell r="CG188">
            <v>0</v>
          </cell>
          <cell r="CH188">
            <v>0</v>
          </cell>
          <cell r="CI188">
            <v>0</v>
          </cell>
          <cell r="CJ188">
            <v>0</v>
          </cell>
          <cell r="CK188">
            <v>1</v>
          </cell>
          <cell r="CL188">
            <v>-4</v>
          </cell>
          <cell r="CM188">
            <v>-3</v>
          </cell>
        </row>
        <row r="189">
          <cell r="A189">
            <v>38047</v>
          </cell>
          <cell r="B189">
            <v>93703</v>
          </cell>
          <cell r="C189">
            <v>10583</v>
          </cell>
          <cell r="D189">
            <v>104286</v>
          </cell>
          <cell r="E189">
            <v>34585</v>
          </cell>
          <cell r="F189">
            <v>5295</v>
          </cell>
          <cell r="G189">
            <v>39880</v>
          </cell>
          <cell r="H189">
            <v>9259</v>
          </cell>
          <cell r="I189">
            <v>49139</v>
          </cell>
          <cell r="J189">
            <v>4877</v>
          </cell>
          <cell r="K189">
            <v>14481</v>
          </cell>
          <cell r="L189">
            <v>68497</v>
          </cell>
          <cell r="M189">
            <v>19209</v>
          </cell>
          <cell r="N189">
            <v>192375</v>
          </cell>
          <cell r="O189">
            <v>24872</v>
          </cell>
          <cell r="P189">
            <v>80</v>
          </cell>
          <cell r="Q189">
            <v>217328</v>
          </cell>
          <cell r="R189">
            <v>1.8</v>
          </cell>
          <cell r="S189">
            <v>1.9</v>
          </cell>
          <cell r="T189">
            <v>1.8</v>
          </cell>
          <cell r="U189">
            <v>-0.6</v>
          </cell>
          <cell r="V189">
            <v>1.1000000000000001</v>
          </cell>
          <cell r="W189">
            <v>-0.3</v>
          </cell>
          <cell r="X189">
            <v>1.9</v>
          </cell>
          <cell r="Y189">
            <v>0.1</v>
          </cell>
          <cell r="Z189">
            <v>1.3</v>
          </cell>
          <cell r="AA189">
            <v>1.8</v>
          </cell>
          <cell r="AB189">
            <v>0.5</v>
          </cell>
          <cell r="AC189">
            <v>5.7</v>
          </cell>
          <cell r="AD189">
            <v>1.9</v>
          </cell>
          <cell r="AE189">
            <v>1.2</v>
          </cell>
          <cell r="AF189">
            <v>2</v>
          </cell>
          <cell r="AG189">
            <v>93915</v>
          </cell>
          <cell r="AH189">
            <v>10603</v>
          </cell>
          <cell r="AI189">
            <v>104518</v>
          </cell>
          <cell r="AJ189">
            <v>35066</v>
          </cell>
          <cell r="AK189">
            <v>5141</v>
          </cell>
          <cell r="AL189">
            <v>40207</v>
          </cell>
          <cell r="AM189">
            <v>9300</v>
          </cell>
          <cell r="AN189">
            <v>49508</v>
          </cell>
          <cell r="AO189">
            <v>4875</v>
          </cell>
          <cell r="AP189">
            <v>14478</v>
          </cell>
          <cell r="AQ189">
            <v>68861</v>
          </cell>
          <cell r="AR189">
            <v>18936</v>
          </cell>
          <cell r="AS189">
            <v>192315</v>
          </cell>
          <cell r="AT189">
            <v>24556</v>
          </cell>
          <cell r="AU189">
            <v>698</v>
          </cell>
          <cell r="AV189">
            <v>217569</v>
          </cell>
          <cell r="AW189">
            <v>2.1</v>
          </cell>
          <cell r="AX189">
            <v>2.1</v>
          </cell>
          <cell r="AY189">
            <v>2.1</v>
          </cell>
          <cell r="AZ189">
            <v>-0.1</v>
          </cell>
          <cell r="BA189">
            <v>-2.8</v>
          </cell>
          <cell r="BB189">
            <v>-0.4</v>
          </cell>
          <cell r="BC189">
            <v>2.5</v>
          </cell>
          <cell r="BD189">
            <v>0.1</v>
          </cell>
          <cell r="BE189">
            <v>1.3</v>
          </cell>
          <cell r="BF189">
            <v>1.8</v>
          </cell>
          <cell r="BG189">
            <v>0.5</v>
          </cell>
          <cell r="BH189">
            <v>2.5</v>
          </cell>
          <cell r="BI189">
            <v>1.6</v>
          </cell>
          <cell r="BJ189">
            <v>-0.7</v>
          </cell>
          <cell r="BK189">
            <v>1.9</v>
          </cell>
          <cell r="BL189">
            <v>91212</v>
          </cell>
          <cell r="BM189">
            <v>10309</v>
          </cell>
          <cell r="BN189">
            <v>101522</v>
          </cell>
          <cell r="BO189">
            <v>32591</v>
          </cell>
          <cell r="BP189">
            <v>5258</v>
          </cell>
          <cell r="BQ189">
            <v>37848</v>
          </cell>
          <cell r="BR189">
            <v>9171</v>
          </cell>
          <cell r="BS189">
            <v>47020</v>
          </cell>
          <cell r="BT189">
            <v>4875</v>
          </cell>
          <cell r="BU189">
            <v>14496</v>
          </cell>
          <cell r="BV189">
            <v>66391</v>
          </cell>
          <cell r="BW189">
            <v>18018</v>
          </cell>
          <cell r="BX189">
            <v>185931</v>
          </cell>
          <cell r="BY189">
            <v>23603</v>
          </cell>
          <cell r="BZ189">
            <v>177</v>
          </cell>
          <cell r="CA189">
            <v>209711</v>
          </cell>
          <cell r="CB189">
            <v>-1</v>
          </cell>
          <cell r="CC189">
            <v>1</v>
          </cell>
          <cell r="CD189">
            <v>0</v>
          </cell>
          <cell r="CE189">
            <v>0</v>
          </cell>
          <cell r="CF189">
            <v>0</v>
          </cell>
          <cell r="CG189">
            <v>0</v>
          </cell>
          <cell r="CH189">
            <v>1</v>
          </cell>
          <cell r="CI189">
            <v>0</v>
          </cell>
          <cell r="CJ189">
            <v>1</v>
          </cell>
          <cell r="CK189">
            <v>1</v>
          </cell>
          <cell r="CL189">
            <v>-4</v>
          </cell>
          <cell r="CM189">
            <v>-3</v>
          </cell>
        </row>
        <row r="190">
          <cell r="A190">
            <v>38139</v>
          </cell>
          <cell r="B190">
            <v>95487</v>
          </cell>
          <cell r="C190">
            <v>10783</v>
          </cell>
          <cell r="D190">
            <v>106270</v>
          </cell>
          <cell r="E190">
            <v>35426</v>
          </cell>
          <cell r="F190">
            <v>5381</v>
          </cell>
          <cell r="G190">
            <v>40807</v>
          </cell>
          <cell r="H190">
            <v>9451</v>
          </cell>
          <cell r="I190">
            <v>50258</v>
          </cell>
          <cell r="J190">
            <v>4960</v>
          </cell>
          <cell r="K190">
            <v>14718</v>
          </cell>
          <cell r="L190">
            <v>69936</v>
          </cell>
          <cell r="M190">
            <v>19829</v>
          </cell>
          <cell r="N190">
            <v>195628</v>
          </cell>
          <cell r="O190">
            <v>25157</v>
          </cell>
          <cell r="P190">
            <v>-43</v>
          </cell>
          <cell r="Q190">
            <v>220742</v>
          </cell>
          <cell r="R190">
            <v>1.9</v>
          </cell>
          <cell r="S190">
            <v>1.9</v>
          </cell>
          <cell r="T190">
            <v>1.9</v>
          </cell>
          <cell r="U190">
            <v>2.4</v>
          </cell>
          <cell r="V190">
            <v>1.6</v>
          </cell>
          <cell r="W190">
            <v>2.2999999999999998</v>
          </cell>
          <cell r="X190">
            <v>2.1</v>
          </cell>
          <cell r="Y190">
            <v>2.2999999999999998</v>
          </cell>
          <cell r="Z190">
            <v>1.7</v>
          </cell>
          <cell r="AA190">
            <v>1.6</v>
          </cell>
          <cell r="AB190">
            <v>2.1</v>
          </cell>
          <cell r="AC190">
            <v>3.2</v>
          </cell>
          <cell r="AD190">
            <v>1.7</v>
          </cell>
          <cell r="AE190">
            <v>1.1000000000000001</v>
          </cell>
          <cell r="AF190">
            <v>1.6</v>
          </cell>
          <cell r="AG190">
            <v>95358</v>
          </cell>
          <cell r="AH190">
            <v>10774</v>
          </cell>
          <cell r="AI190">
            <v>106133</v>
          </cell>
          <cell r="AJ190">
            <v>34800</v>
          </cell>
          <cell r="AK190">
            <v>5482</v>
          </cell>
          <cell r="AL190">
            <v>40282</v>
          </cell>
          <cell r="AM190">
            <v>9392</v>
          </cell>
          <cell r="AN190">
            <v>49674</v>
          </cell>
          <cell r="AO190">
            <v>4957</v>
          </cell>
          <cell r="AP190">
            <v>14738</v>
          </cell>
          <cell r="AQ190">
            <v>69369</v>
          </cell>
          <cell r="AR190">
            <v>20101</v>
          </cell>
          <cell r="AS190">
            <v>195603</v>
          </cell>
          <cell r="AT190">
            <v>25303</v>
          </cell>
          <cell r="AU190">
            <v>-278</v>
          </cell>
          <cell r="AV190">
            <v>220628</v>
          </cell>
          <cell r="AW190">
            <v>1.5</v>
          </cell>
          <cell r="AX190">
            <v>1.6</v>
          </cell>
          <cell r="AY190">
            <v>1.5</v>
          </cell>
          <cell r="AZ190">
            <v>-0.8</v>
          </cell>
          <cell r="BA190">
            <v>6.6</v>
          </cell>
          <cell r="BB190">
            <v>0.2</v>
          </cell>
          <cell r="BC190">
            <v>1</v>
          </cell>
          <cell r="BD190">
            <v>0.3</v>
          </cell>
          <cell r="BE190">
            <v>1.7</v>
          </cell>
          <cell r="BF190">
            <v>1.8</v>
          </cell>
          <cell r="BG190">
            <v>0.7</v>
          </cell>
          <cell r="BH190">
            <v>6.2</v>
          </cell>
          <cell r="BI190">
            <v>1.7</v>
          </cell>
          <cell r="BJ190">
            <v>3</v>
          </cell>
          <cell r="BK190">
            <v>1.4</v>
          </cell>
          <cell r="BL190">
            <v>95523</v>
          </cell>
          <cell r="BM190">
            <v>10783</v>
          </cell>
          <cell r="BN190">
            <v>106306</v>
          </cell>
          <cell r="BO190">
            <v>33377</v>
          </cell>
          <cell r="BP190">
            <v>5220</v>
          </cell>
          <cell r="BQ190">
            <v>38597</v>
          </cell>
          <cell r="BR190">
            <v>9523</v>
          </cell>
          <cell r="BS190">
            <v>48120</v>
          </cell>
          <cell r="BT190">
            <v>4957</v>
          </cell>
          <cell r="BU190">
            <v>14838</v>
          </cell>
          <cell r="BV190">
            <v>67916</v>
          </cell>
          <cell r="BW190">
            <v>18594</v>
          </cell>
          <cell r="BX190">
            <v>192816</v>
          </cell>
          <cell r="BY190">
            <v>24585</v>
          </cell>
          <cell r="BZ190">
            <v>1734</v>
          </cell>
          <cell r="CA190">
            <v>219135</v>
          </cell>
          <cell r="CB190">
            <v>1</v>
          </cell>
          <cell r="CC190">
            <v>1</v>
          </cell>
          <cell r="CD190">
            <v>0</v>
          </cell>
          <cell r="CE190">
            <v>0</v>
          </cell>
          <cell r="CF190">
            <v>0</v>
          </cell>
          <cell r="CG190">
            <v>0</v>
          </cell>
          <cell r="CH190">
            <v>0</v>
          </cell>
          <cell r="CI190">
            <v>0</v>
          </cell>
          <cell r="CJ190">
            <v>1</v>
          </cell>
          <cell r="CK190">
            <v>-3</v>
          </cell>
          <cell r="CL190">
            <v>-10</v>
          </cell>
          <cell r="CM190">
            <v>-12</v>
          </cell>
        </row>
        <row r="191">
          <cell r="A191">
            <v>38231</v>
          </cell>
          <cell r="B191">
            <v>97353</v>
          </cell>
          <cell r="C191">
            <v>10988</v>
          </cell>
          <cell r="D191">
            <v>108341</v>
          </cell>
          <cell r="E191">
            <v>35784</v>
          </cell>
          <cell r="F191">
            <v>5449</v>
          </cell>
          <cell r="G191">
            <v>41233</v>
          </cell>
          <cell r="H191">
            <v>9691</v>
          </cell>
          <cell r="I191">
            <v>50924</v>
          </cell>
          <cell r="J191">
            <v>5051</v>
          </cell>
          <cell r="K191">
            <v>14979</v>
          </cell>
          <cell r="L191">
            <v>70954</v>
          </cell>
          <cell r="M191">
            <v>20350</v>
          </cell>
          <cell r="N191">
            <v>199491</v>
          </cell>
          <cell r="O191">
            <v>25288</v>
          </cell>
          <cell r="P191">
            <v>-683</v>
          </cell>
          <cell r="Q191">
            <v>224096</v>
          </cell>
          <cell r="R191">
            <v>2</v>
          </cell>
          <cell r="S191">
            <v>1.9</v>
          </cell>
          <cell r="T191">
            <v>1.9</v>
          </cell>
          <cell r="U191">
            <v>1</v>
          </cell>
          <cell r="V191">
            <v>1.3</v>
          </cell>
          <cell r="W191">
            <v>1</v>
          </cell>
          <cell r="X191">
            <v>2.5</v>
          </cell>
          <cell r="Y191">
            <v>1.3</v>
          </cell>
          <cell r="Z191">
            <v>1.8</v>
          </cell>
          <cell r="AA191">
            <v>1.8</v>
          </cell>
          <cell r="AB191">
            <v>1.5</v>
          </cell>
          <cell r="AC191">
            <v>2.6</v>
          </cell>
          <cell r="AD191">
            <v>2</v>
          </cell>
          <cell r="AE191">
            <v>0.5</v>
          </cell>
          <cell r="AF191">
            <v>1.5</v>
          </cell>
          <cell r="AG191">
            <v>97261</v>
          </cell>
          <cell r="AH191">
            <v>10972</v>
          </cell>
          <cell r="AI191">
            <v>108232</v>
          </cell>
          <cell r="AJ191">
            <v>35433</v>
          </cell>
          <cell r="AK191">
            <v>5437</v>
          </cell>
          <cell r="AL191">
            <v>40869</v>
          </cell>
          <cell r="AM191">
            <v>9674</v>
          </cell>
          <cell r="AN191">
            <v>50543</v>
          </cell>
          <cell r="AO191">
            <v>5059</v>
          </cell>
          <cell r="AP191">
            <v>14948</v>
          </cell>
          <cell r="AQ191">
            <v>70550</v>
          </cell>
          <cell r="AR191">
            <v>20126</v>
          </cell>
          <cell r="AS191">
            <v>198908</v>
          </cell>
          <cell r="AT191">
            <v>25431</v>
          </cell>
          <cell r="AU191">
            <v>-400</v>
          </cell>
          <cell r="AV191">
            <v>223939</v>
          </cell>
          <cell r="AW191">
            <v>2</v>
          </cell>
          <cell r="AX191">
            <v>1.8</v>
          </cell>
          <cell r="AY191">
            <v>2</v>
          </cell>
          <cell r="AZ191">
            <v>1.8</v>
          </cell>
          <cell r="BA191">
            <v>-0.8</v>
          </cell>
          <cell r="BB191">
            <v>1.5</v>
          </cell>
          <cell r="BC191">
            <v>3</v>
          </cell>
          <cell r="BD191">
            <v>1.8</v>
          </cell>
          <cell r="BE191">
            <v>2</v>
          </cell>
          <cell r="BF191">
            <v>1.4</v>
          </cell>
          <cell r="BG191">
            <v>1.7</v>
          </cell>
          <cell r="BH191">
            <v>0.1</v>
          </cell>
          <cell r="BI191">
            <v>1.7</v>
          </cell>
          <cell r="BJ191">
            <v>0.5</v>
          </cell>
          <cell r="BK191">
            <v>1.5</v>
          </cell>
          <cell r="BL191">
            <v>97519</v>
          </cell>
          <cell r="BM191">
            <v>11013</v>
          </cell>
          <cell r="BN191">
            <v>108533</v>
          </cell>
          <cell r="BO191">
            <v>36441</v>
          </cell>
          <cell r="BP191">
            <v>5435</v>
          </cell>
          <cell r="BQ191">
            <v>41876</v>
          </cell>
          <cell r="BR191">
            <v>9606</v>
          </cell>
          <cell r="BS191">
            <v>51482</v>
          </cell>
          <cell r="BT191">
            <v>5059</v>
          </cell>
          <cell r="BU191">
            <v>14857</v>
          </cell>
          <cell r="BV191">
            <v>71398</v>
          </cell>
          <cell r="BW191">
            <v>19229</v>
          </cell>
          <cell r="BX191">
            <v>199160</v>
          </cell>
          <cell r="BY191">
            <v>25690</v>
          </cell>
          <cell r="BZ191">
            <v>-1411</v>
          </cell>
          <cell r="CA191">
            <v>223438</v>
          </cell>
          <cell r="CB191">
            <v>1</v>
          </cell>
          <cell r="CC191">
            <v>-3</v>
          </cell>
          <cell r="CD191">
            <v>0</v>
          </cell>
          <cell r="CE191">
            <v>0</v>
          </cell>
          <cell r="CF191">
            <v>-1</v>
          </cell>
          <cell r="CG191">
            <v>0</v>
          </cell>
          <cell r="CH191">
            <v>-3</v>
          </cell>
          <cell r="CI191">
            <v>0</v>
          </cell>
          <cell r="CJ191">
            <v>-3</v>
          </cell>
          <cell r="CK191">
            <v>1</v>
          </cell>
          <cell r="CL191">
            <v>15</v>
          </cell>
          <cell r="CM191">
            <v>13</v>
          </cell>
        </row>
        <row r="192">
          <cell r="A192">
            <v>38322</v>
          </cell>
          <cell r="B192">
            <v>99171</v>
          </cell>
          <cell r="C192">
            <v>11199</v>
          </cell>
          <cell r="D192">
            <v>110370</v>
          </cell>
          <cell r="E192">
            <v>36492</v>
          </cell>
          <cell r="F192">
            <v>5432</v>
          </cell>
          <cell r="G192">
            <v>41924</v>
          </cell>
          <cell r="H192">
            <v>9924</v>
          </cell>
          <cell r="I192">
            <v>51848</v>
          </cell>
          <cell r="J192">
            <v>5141</v>
          </cell>
          <cell r="K192">
            <v>15289</v>
          </cell>
          <cell r="L192">
            <v>72278</v>
          </cell>
          <cell r="M192">
            <v>20782</v>
          </cell>
          <cell r="N192">
            <v>203495</v>
          </cell>
          <cell r="O192">
            <v>25182</v>
          </cell>
          <cell r="P192">
            <v>-817</v>
          </cell>
          <cell r="Q192">
            <v>227860</v>
          </cell>
          <cell r="R192">
            <v>1.9</v>
          </cell>
          <cell r="S192">
            <v>1.9</v>
          </cell>
          <cell r="T192">
            <v>1.9</v>
          </cell>
          <cell r="U192">
            <v>2</v>
          </cell>
          <cell r="V192">
            <v>-0.3</v>
          </cell>
          <cell r="W192">
            <v>1.7</v>
          </cell>
          <cell r="X192">
            <v>2.4</v>
          </cell>
          <cell r="Y192">
            <v>1.8</v>
          </cell>
          <cell r="Z192">
            <v>1.8</v>
          </cell>
          <cell r="AA192">
            <v>2.1</v>
          </cell>
          <cell r="AB192">
            <v>1.9</v>
          </cell>
          <cell r="AC192">
            <v>2.1</v>
          </cell>
          <cell r="AD192">
            <v>2</v>
          </cell>
          <cell r="AE192">
            <v>-0.4</v>
          </cell>
          <cell r="AF192">
            <v>1.7</v>
          </cell>
          <cell r="AG192">
            <v>99334</v>
          </cell>
          <cell r="AH192">
            <v>11222</v>
          </cell>
          <cell r="AI192">
            <v>110556</v>
          </cell>
          <cell r="AJ192">
            <v>36610</v>
          </cell>
          <cell r="AK192">
            <v>5460</v>
          </cell>
          <cell r="AL192">
            <v>42069</v>
          </cell>
          <cell r="AM192">
            <v>10014</v>
          </cell>
          <cell r="AN192">
            <v>52083</v>
          </cell>
          <cell r="AO192">
            <v>5141</v>
          </cell>
          <cell r="AP192">
            <v>15281</v>
          </cell>
          <cell r="AQ192">
            <v>72505</v>
          </cell>
          <cell r="AR192">
            <v>20847</v>
          </cell>
          <cell r="AS192">
            <v>203908</v>
          </cell>
          <cell r="AT192">
            <v>25145</v>
          </cell>
          <cell r="AU192">
            <v>-1112</v>
          </cell>
          <cell r="AV192">
            <v>227941</v>
          </cell>
          <cell r="AW192">
            <v>2.1</v>
          </cell>
          <cell r="AX192">
            <v>2.2999999999999998</v>
          </cell>
          <cell r="AY192">
            <v>2.1</v>
          </cell>
          <cell r="AZ192">
            <v>3.3</v>
          </cell>
          <cell r="BA192">
            <v>0.4</v>
          </cell>
          <cell r="BB192">
            <v>2.9</v>
          </cell>
          <cell r="BC192">
            <v>3.5</v>
          </cell>
          <cell r="BD192">
            <v>3</v>
          </cell>
          <cell r="BE192">
            <v>1.6</v>
          </cell>
          <cell r="BF192">
            <v>2.2000000000000002</v>
          </cell>
          <cell r="BG192">
            <v>2.8</v>
          </cell>
          <cell r="BH192">
            <v>3.6</v>
          </cell>
          <cell r="BI192">
            <v>2.5</v>
          </cell>
          <cell r="BJ192">
            <v>-1.1000000000000001</v>
          </cell>
          <cell r="BK192">
            <v>1.8</v>
          </cell>
          <cell r="BL192">
            <v>101722</v>
          </cell>
          <cell r="BM192">
            <v>11481</v>
          </cell>
          <cell r="BN192">
            <v>113203</v>
          </cell>
          <cell r="BO192">
            <v>39807</v>
          </cell>
          <cell r="BP192">
            <v>5532</v>
          </cell>
          <cell r="BQ192">
            <v>45339</v>
          </cell>
          <cell r="BR192">
            <v>10078</v>
          </cell>
          <cell r="BS192">
            <v>55416</v>
          </cell>
          <cell r="BT192">
            <v>5141</v>
          </cell>
          <cell r="BU192">
            <v>15246</v>
          </cell>
          <cell r="BV192">
            <v>75803</v>
          </cell>
          <cell r="BW192">
            <v>24351</v>
          </cell>
          <cell r="BX192">
            <v>213357</v>
          </cell>
          <cell r="BY192">
            <v>26609</v>
          </cell>
          <cell r="BZ192">
            <v>-1343</v>
          </cell>
          <cell r="CA192">
            <v>238623</v>
          </cell>
          <cell r="CB192">
            <v>-1</v>
          </cell>
          <cell r="CC192">
            <v>1</v>
          </cell>
          <cell r="CD192">
            <v>0</v>
          </cell>
          <cell r="CE192">
            <v>1</v>
          </cell>
          <cell r="CF192">
            <v>0</v>
          </cell>
          <cell r="CG192">
            <v>0</v>
          </cell>
          <cell r="CH192">
            <v>1</v>
          </cell>
          <cell r="CI192">
            <v>0</v>
          </cell>
          <cell r="CJ192">
            <v>0</v>
          </cell>
          <cell r="CK192">
            <v>2</v>
          </cell>
          <cell r="CL192">
            <v>-10</v>
          </cell>
          <cell r="CM192">
            <v>-9</v>
          </cell>
        </row>
        <row r="193">
          <cell r="A193">
            <v>38412</v>
          </cell>
          <cell r="B193">
            <v>100924</v>
          </cell>
          <cell r="C193">
            <v>11426</v>
          </cell>
          <cell r="D193">
            <v>112350</v>
          </cell>
          <cell r="E193">
            <v>36862</v>
          </cell>
          <cell r="F193">
            <v>5352</v>
          </cell>
          <cell r="G193">
            <v>42213</v>
          </cell>
          <cell r="H193">
            <v>10134</v>
          </cell>
          <cell r="I193">
            <v>52347</v>
          </cell>
          <cell r="J193">
            <v>5227</v>
          </cell>
          <cell r="K193">
            <v>15620</v>
          </cell>
          <cell r="L193">
            <v>73195</v>
          </cell>
          <cell r="M193">
            <v>21098</v>
          </cell>
          <cell r="N193">
            <v>207403</v>
          </cell>
          <cell r="O193">
            <v>25088</v>
          </cell>
          <cell r="P193">
            <v>-168</v>
          </cell>
          <cell r="Q193">
            <v>232323</v>
          </cell>
          <cell r="R193">
            <v>1.8</v>
          </cell>
          <cell r="S193">
            <v>2</v>
          </cell>
          <cell r="T193">
            <v>1.8</v>
          </cell>
          <cell r="U193">
            <v>1</v>
          </cell>
          <cell r="V193">
            <v>-1.5</v>
          </cell>
          <cell r="W193">
            <v>0.7</v>
          </cell>
          <cell r="X193">
            <v>2.1</v>
          </cell>
          <cell r="Y193">
            <v>1</v>
          </cell>
          <cell r="Z193">
            <v>1.7</v>
          </cell>
          <cell r="AA193">
            <v>2.2000000000000002</v>
          </cell>
          <cell r="AB193">
            <v>1.3</v>
          </cell>
          <cell r="AC193">
            <v>1.5</v>
          </cell>
          <cell r="AD193">
            <v>1.9</v>
          </cell>
          <cell r="AE193">
            <v>-0.4</v>
          </cell>
          <cell r="AF193">
            <v>2</v>
          </cell>
          <cell r="AG193">
            <v>101022</v>
          </cell>
          <cell r="AH193">
            <v>11431</v>
          </cell>
          <cell r="AI193">
            <v>112453</v>
          </cell>
          <cell r="AJ193">
            <v>38439</v>
          </cell>
          <cell r="AK193">
            <v>5316</v>
          </cell>
          <cell r="AL193">
            <v>43755</v>
          </cell>
          <cell r="AM193">
            <v>10089</v>
          </cell>
          <cell r="AN193">
            <v>53844</v>
          </cell>
          <cell r="AO193">
            <v>5226</v>
          </cell>
          <cell r="AP193">
            <v>15633</v>
          </cell>
          <cell r="AQ193">
            <v>74703</v>
          </cell>
          <cell r="AR193">
            <v>21119</v>
          </cell>
          <cell r="AS193">
            <v>208274</v>
          </cell>
          <cell r="AT193">
            <v>25042</v>
          </cell>
          <cell r="AU193">
            <v>-1047</v>
          </cell>
          <cell r="AV193">
            <v>232268</v>
          </cell>
          <cell r="AW193">
            <v>1.7</v>
          </cell>
          <cell r="AX193">
            <v>1.9</v>
          </cell>
          <cell r="AY193">
            <v>1.7</v>
          </cell>
          <cell r="AZ193">
            <v>5</v>
          </cell>
          <cell r="BA193">
            <v>-2.6</v>
          </cell>
          <cell r="BB193">
            <v>4</v>
          </cell>
          <cell r="BC193">
            <v>0.8</v>
          </cell>
          <cell r="BD193">
            <v>3.4</v>
          </cell>
          <cell r="BE193">
            <v>1.7</v>
          </cell>
          <cell r="BF193">
            <v>2.2999999999999998</v>
          </cell>
          <cell r="BG193">
            <v>3</v>
          </cell>
          <cell r="BH193">
            <v>1.3</v>
          </cell>
          <cell r="BI193">
            <v>2.1</v>
          </cell>
          <cell r="BJ193">
            <v>-0.4</v>
          </cell>
          <cell r="BK193">
            <v>1.9</v>
          </cell>
          <cell r="BL193">
            <v>98060</v>
          </cell>
          <cell r="BM193">
            <v>11103</v>
          </cell>
          <cell r="BN193">
            <v>109163</v>
          </cell>
          <cell r="BO193">
            <v>35582</v>
          </cell>
          <cell r="BP193">
            <v>5546</v>
          </cell>
          <cell r="BQ193">
            <v>41128</v>
          </cell>
          <cell r="BR193">
            <v>9951</v>
          </cell>
          <cell r="BS193">
            <v>51078</v>
          </cell>
          <cell r="BT193">
            <v>5226</v>
          </cell>
          <cell r="BU193">
            <v>15653</v>
          </cell>
          <cell r="BV193">
            <v>71957</v>
          </cell>
          <cell r="BW193">
            <v>19806</v>
          </cell>
          <cell r="BX193">
            <v>200925</v>
          </cell>
          <cell r="BY193">
            <v>24095</v>
          </cell>
          <cell r="BZ193">
            <v>-1557</v>
          </cell>
          <cell r="CA193">
            <v>223463</v>
          </cell>
          <cell r="CB193">
            <v>-1</v>
          </cell>
          <cell r="CC193">
            <v>2</v>
          </cell>
          <cell r="CD193">
            <v>0</v>
          </cell>
          <cell r="CE193">
            <v>0</v>
          </cell>
          <cell r="CF193">
            <v>0</v>
          </cell>
          <cell r="CG193">
            <v>0</v>
          </cell>
          <cell r="CH193">
            <v>2</v>
          </cell>
          <cell r="CI193">
            <v>0</v>
          </cell>
          <cell r="CJ193">
            <v>1</v>
          </cell>
          <cell r="CK193">
            <v>1</v>
          </cell>
          <cell r="CL193">
            <v>-13</v>
          </cell>
          <cell r="CM193">
            <v>-11</v>
          </cell>
        </row>
        <row r="194">
          <cell r="A194">
            <v>38504</v>
          </cell>
          <cell r="B194">
            <v>102578</v>
          </cell>
          <cell r="C194">
            <v>11674</v>
          </cell>
          <cell r="D194">
            <v>114252</v>
          </cell>
          <cell r="E194">
            <v>40002</v>
          </cell>
          <cell r="F194">
            <v>5291</v>
          </cell>
          <cell r="G194">
            <v>45293</v>
          </cell>
          <cell r="H194">
            <v>10340</v>
          </cell>
          <cell r="I194">
            <v>55634</v>
          </cell>
          <cell r="J194">
            <v>5315</v>
          </cell>
          <cell r="K194">
            <v>15935</v>
          </cell>
          <cell r="L194">
            <v>76884</v>
          </cell>
          <cell r="M194">
            <v>21275</v>
          </cell>
          <cell r="N194">
            <v>211564</v>
          </cell>
          <cell r="O194">
            <v>25450</v>
          </cell>
          <cell r="P194">
            <v>527</v>
          </cell>
          <cell r="Q194">
            <v>237541</v>
          </cell>
          <cell r="R194">
            <v>1.6</v>
          </cell>
          <cell r="S194">
            <v>2.2000000000000002</v>
          </cell>
          <cell r="T194">
            <v>1.7</v>
          </cell>
          <cell r="U194">
            <v>8.5</v>
          </cell>
          <cell r="V194">
            <v>-1.1000000000000001</v>
          </cell>
          <cell r="W194">
            <v>7.3</v>
          </cell>
          <cell r="X194">
            <v>2</v>
          </cell>
          <cell r="Y194">
            <v>6.3</v>
          </cell>
          <cell r="Z194">
            <v>1.7</v>
          </cell>
          <cell r="AA194">
            <v>2</v>
          </cell>
          <cell r="AB194">
            <v>5</v>
          </cell>
          <cell r="AC194">
            <v>0.8</v>
          </cell>
          <cell r="AD194">
            <v>2</v>
          </cell>
          <cell r="AE194">
            <v>1.4</v>
          </cell>
          <cell r="AF194">
            <v>2.2000000000000002</v>
          </cell>
          <cell r="AG194">
            <v>102274</v>
          </cell>
          <cell r="AH194">
            <v>11628</v>
          </cell>
          <cell r="AI194">
            <v>113902</v>
          </cell>
          <cell r="AJ194">
            <v>37764</v>
          </cell>
          <cell r="AK194">
            <v>5299</v>
          </cell>
          <cell r="AL194">
            <v>43063</v>
          </cell>
          <cell r="AM194">
            <v>10317</v>
          </cell>
          <cell r="AN194">
            <v>53380</v>
          </cell>
          <cell r="AO194">
            <v>5314</v>
          </cell>
          <cell r="AP194">
            <v>15972</v>
          </cell>
          <cell r="AQ194">
            <v>74665</v>
          </cell>
          <cell r="AR194">
            <v>21248</v>
          </cell>
          <cell r="AS194">
            <v>209816</v>
          </cell>
          <cell r="AT194">
            <v>25222</v>
          </cell>
          <cell r="AU194">
            <v>2061</v>
          </cell>
          <cell r="AV194">
            <v>237099</v>
          </cell>
          <cell r="AW194">
            <v>1.2</v>
          </cell>
          <cell r="AX194">
            <v>1.7</v>
          </cell>
          <cell r="AY194">
            <v>1.3</v>
          </cell>
          <cell r="AZ194">
            <v>-1.8</v>
          </cell>
          <cell r="BA194">
            <v>-0.3</v>
          </cell>
          <cell r="BB194">
            <v>-1.6</v>
          </cell>
          <cell r="BC194">
            <v>2.2999999999999998</v>
          </cell>
          <cell r="BD194">
            <v>-0.9</v>
          </cell>
          <cell r="BE194">
            <v>1.7</v>
          </cell>
          <cell r="BF194">
            <v>2.2000000000000002</v>
          </cell>
          <cell r="BG194">
            <v>-0.1</v>
          </cell>
          <cell r="BH194">
            <v>0.6</v>
          </cell>
          <cell r="BI194">
            <v>0.7</v>
          </cell>
          <cell r="BJ194">
            <v>0.7</v>
          </cell>
          <cell r="BK194">
            <v>2.1</v>
          </cell>
          <cell r="BL194">
            <v>102585</v>
          </cell>
          <cell r="BM194">
            <v>11654</v>
          </cell>
          <cell r="BN194">
            <v>114240</v>
          </cell>
          <cell r="BO194">
            <v>36253</v>
          </cell>
          <cell r="BP194">
            <v>4972</v>
          </cell>
          <cell r="BQ194">
            <v>41225</v>
          </cell>
          <cell r="BR194">
            <v>10465</v>
          </cell>
          <cell r="BS194">
            <v>51690</v>
          </cell>
          <cell r="BT194">
            <v>5314</v>
          </cell>
          <cell r="BU194">
            <v>16095</v>
          </cell>
          <cell r="BV194">
            <v>73099</v>
          </cell>
          <cell r="BW194">
            <v>19824</v>
          </cell>
          <cell r="BX194">
            <v>207163</v>
          </cell>
          <cell r="BY194">
            <v>24354</v>
          </cell>
          <cell r="BZ194">
            <v>4311</v>
          </cell>
          <cell r="CA194">
            <v>235828</v>
          </cell>
          <cell r="CB194">
            <v>2</v>
          </cell>
          <cell r="CC194">
            <v>2</v>
          </cell>
          <cell r="CD194">
            <v>0</v>
          </cell>
          <cell r="CE194">
            <v>0</v>
          </cell>
          <cell r="CF194">
            <v>0</v>
          </cell>
          <cell r="CG194">
            <v>0</v>
          </cell>
          <cell r="CH194">
            <v>2</v>
          </cell>
          <cell r="CI194">
            <v>0</v>
          </cell>
          <cell r="CJ194">
            <v>4</v>
          </cell>
          <cell r="CK194">
            <v>-2</v>
          </cell>
          <cell r="CL194">
            <v>-15</v>
          </cell>
          <cell r="CM194">
            <v>-14</v>
          </cell>
        </row>
        <row r="195">
          <cell r="A195">
            <v>38596</v>
          </cell>
          <cell r="B195">
            <v>104299</v>
          </cell>
          <cell r="C195">
            <v>11947</v>
          </cell>
          <cell r="D195">
            <v>116247</v>
          </cell>
          <cell r="E195">
            <v>41243</v>
          </cell>
          <cell r="F195">
            <v>5316</v>
          </cell>
          <cell r="G195">
            <v>46559</v>
          </cell>
          <cell r="H195">
            <v>10584</v>
          </cell>
          <cell r="I195">
            <v>57143</v>
          </cell>
          <cell r="J195">
            <v>5405</v>
          </cell>
          <cell r="K195">
            <v>16230</v>
          </cell>
          <cell r="L195">
            <v>78778</v>
          </cell>
          <cell r="M195">
            <v>21201</v>
          </cell>
          <cell r="N195">
            <v>216172</v>
          </cell>
          <cell r="O195">
            <v>26174</v>
          </cell>
          <cell r="P195">
            <v>521</v>
          </cell>
          <cell r="Q195">
            <v>242867</v>
          </cell>
          <cell r="R195">
            <v>1.7</v>
          </cell>
          <cell r="S195">
            <v>2.2999999999999998</v>
          </cell>
          <cell r="T195">
            <v>1.7</v>
          </cell>
          <cell r="U195">
            <v>3.1</v>
          </cell>
          <cell r="V195">
            <v>0.5</v>
          </cell>
          <cell r="W195">
            <v>2.8</v>
          </cell>
          <cell r="X195">
            <v>2.4</v>
          </cell>
          <cell r="Y195">
            <v>2.7</v>
          </cell>
          <cell r="Z195">
            <v>1.7</v>
          </cell>
          <cell r="AA195">
            <v>1.9</v>
          </cell>
          <cell r="AB195">
            <v>2.5</v>
          </cell>
          <cell r="AC195">
            <v>-0.3</v>
          </cell>
          <cell r="AD195">
            <v>2.2000000000000002</v>
          </cell>
          <cell r="AE195">
            <v>2.8</v>
          </cell>
          <cell r="AF195">
            <v>2.2000000000000002</v>
          </cell>
          <cell r="AG195">
            <v>104558</v>
          </cell>
          <cell r="AH195">
            <v>11988</v>
          </cell>
          <cell r="AI195">
            <v>116547</v>
          </cell>
          <cell r="AJ195">
            <v>41647</v>
          </cell>
          <cell r="AK195">
            <v>5281</v>
          </cell>
          <cell r="AL195">
            <v>46928</v>
          </cell>
          <cell r="AM195">
            <v>10611</v>
          </cell>
          <cell r="AN195">
            <v>57539</v>
          </cell>
          <cell r="AO195">
            <v>5406</v>
          </cell>
          <cell r="AP195">
            <v>16189</v>
          </cell>
          <cell r="AQ195">
            <v>79134</v>
          </cell>
          <cell r="AR195">
            <v>21283</v>
          </cell>
          <cell r="AS195">
            <v>216963</v>
          </cell>
          <cell r="AT195">
            <v>26253</v>
          </cell>
          <cell r="AU195">
            <v>-52</v>
          </cell>
          <cell r="AV195">
            <v>243165</v>
          </cell>
          <cell r="AW195">
            <v>2.2000000000000002</v>
          </cell>
          <cell r="AX195">
            <v>3.1</v>
          </cell>
          <cell r="AY195">
            <v>2.2999999999999998</v>
          </cell>
          <cell r="AZ195">
            <v>10.3</v>
          </cell>
          <cell r="BA195">
            <v>-0.3</v>
          </cell>
          <cell r="BB195">
            <v>9</v>
          </cell>
          <cell r="BC195">
            <v>2.8</v>
          </cell>
          <cell r="BD195">
            <v>7.8</v>
          </cell>
          <cell r="BE195">
            <v>1.7</v>
          </cell>
          <cell r="BF195">
            <v>1.4</v>
          </cell>
          <cell r="BG195">
            <v>6</v>
          </cell>
          <cell r="BH195">
            <v>0.2</v>
          </cell>
          <cell r="BI195">
            <v>3.4</v>
          </cell>
          <cell r="BJ195">
            <v>4.0999999999999996</v>
          </cell>
          <cell r="BK195">
            <v>2.6</v>
          </cell>
          <cell r="BL195">
            <v>104869</v>
          </cell>
          <cell r="BM195">
            <v>12038</v>
          </cell>
          <cell r="BN195">
            <v>116907</v>
          </cell>
          <cell r="BO195">
            <v>42797</v>
          </cell>
          <cell r="BP195">
            <v>5336</v>
          </cell>
          <cell r="BQ195">
            <v>48133</v>
          </cell>
          <cell r="BR195">
            <v>10543</v>
          </cell>
          <cell r="BS195">
            <v>58676</v>
          </cell>
          <cell r="BT195">
            <v>5406</v>
          </cell>
          <cell r="BU195">
            <v>16082</v>
          </cell>
          <cell r="BV195">
            <v>80164</v>
          </cell>
          <cell r="BW195">
            <v>20183</v>
          </cell>
          <cell r="BX195">
            <v>217254</v>
          </cell>
          <cell r="BY195">
            <v>26509</v>
          </cell>
          <cell r="BZ195">
            <v>-1474</v>
          </cell>
          <cell r="CA195">
            <v>242289</v>
          </cell>
          <cell r="CB195">
            <v>1</v>
          </cell>
          <cell r="CC195">
            <v>-6</v>
          </cell>
          <cell r="CD195">
            <v>0</v>
          </cell>
          <cell r="CE195">
            <v>0</v>
          </cell>
          <cell r="CF195">
            <v>0</v>
          </cell>
          <cell r="CG195">
            <v>-1</v>
          </cell>
          <cell r="CH195">
            <v>-6</v>
          </cell>
          <cell r="CI195">
            <v>1</v>
          </cell>
          <cell r="CJ195">
            <v>-5</v>
          </cell>
          <cell r="CK195">
            <v>0</v>
          </cell>
          <cell r="CL195">
            <v>13</v>
          </cell>
          <cell r="CM195">
            <v>9</v>
          </cell>
        </row>
        <row r="196">
          <cell r="A196">
            <v>38687</v>
          </cell>
          <cell r="B196">
            <v>106094</v>
          </cell>
          <cell r="C196">
            <v>12226</v>
          </cell>
          <cell r="D196">
            <v>118320</v>
          </cell>
          <cell r="E196">
            <v>42700</v>
          </cell>
          <cell r="F196">
            <v>5301</v>
          </cell>
          <cell r="G196">
            <v>48001</v>
          </cell>
          <cell r="H196">
            <v>10905</v>
          </cell>
          <cell r="I196">
            <v>58906</v>
          </cell>
          <cell r="J196">
            <v>5493</v>
          </cell>
          <cell r="K196">
            <v>16534</v>
          </cell>
          <cell r="L196">
            <v>80933</v>
          </cell>
          <cell r="M196">
            <v>20981</v>
          </cell>
          <cell r="N196">
            <v>220399</v>
          </cell>
          <cell r="O196">
            <v>26797</v>
          </cell>
          <cell r="P196">
            <v>37</v>
          </cell>
          <cell r="Q196">
            <v>247233</v>
          </cell>
          <cell r="R196">
            <v>1.7</v>
          </cell>
          <cell r="S196">
            <v>2.2999999999999998</v>
          </cell>
          <cell r="T196">
            <v>1.8</v>
          </cell>
          <cell r="U196">
            <v>3.5</v>
          </cell>
          <cell r="V196">
            <v>-0.3</v>
          </cell>
          <cell r="W196">
            <v>3.1</v>
          </cell>
          <cell r="X196">
            <v>3</v>
          </cell>
          <cell r="Y196">
            <v>3.1</v>
          </cell>
          <cell r="Z196">
            <v>1.6</v>
          </cell>
          <cell r="AA196">
            <v>1.9</v>
          </cell>
          <cell r="AB196">
            <v>2.7</v>
          </cell>
          <cell r="AC196">
            <v>-1</v>
          </cell>
          <cell r="AD196">
            <v>2</v>
          </cell>
          <cell r="AE196">
            <v>2.4</v>
          </cell>
          <cell r="AF196">
            <v>1.8</v>
          </cell>
          <cell r="AG196">
            <v>105943</v>
          </cell>
          <cell r="AH196">
            <v>12211</v>
          </cell>
          <cell r="AI196">
            <v>118155</v>
          </cell>
          <cell r="AJ196">
            <v>43657</v>
          </cell>
          <cell r="AK196">
            <v>5265</v>
          </cell>
          <cell r="AL196">
            <v>48922</v>
          </cell>
          <cell r="AM196">
            <v>10886</v>
          </cell>
          <cell r="AN196">
            <v>59808</v>
          </cell>
          <cell r="AO196">
            <v>5494</v>
          </cell>
          <cell r="AP196">
            <v>16554</v>
          </cell>
          <cell r="AQ196">
            <v>81856</v>
          </cell>
          <cell r="AR196">
            <v>20959</v>
          </cell>
          <cell r="AS196">
            <v>220969</v>
          </cell>
          <cell r="AT196">
            <v>27015</v>
          </cell>
          <cell r="AU196">
            <v>82</v>
          </cell>
          <cell r="AV196">
            <v>248067</v>
          </cell>
          <cell r="AW196">
            <v>1.3</v>
          </cell>
          <cell r="AX196">
            <v>1.9</v>
          </cell>
          <cell r="AY196">
            <v>1.4</v>
          </cell>
          <cell r="AZ196">
            <v>4.8</v>
          </cell>
          <cell r="BA196">
            <v>-0.3</v>
          </cell>
          <cell r="BB196">
            <v>4.2</v>
          </cell>
          <cell r="BC196">
            <v>2.6</v>
          </cell>
          <cell r="BD196">
            <v>3.9</v>
          </cell>
          <cell r="BE196">
            <v>1.6</v>
          </cell>
          <cell r="BF196">
            <v>2.2999999999999998</v>
          </cell>
          <cell r="BG196">
            <v>3.4</v>
          </cell>
          <cell r="BH196">
            <v>-1.5</v>
          </cell>
          <cell r="BI196">
            <v>1.8</v>
          </cell>
          <cell r="BJ196">
            <v>2.9</v>
          </cell>
          <cell r="BK196">
            <v>2</v>
          </cell>
          <cell r="BL196">
            <v>108394</v>
          </cell>
          <cell r="BM196">
            <v>12481</v>
          </cell>
          <cell r="BN196">
            <v>120876</v>
          </cell>
          <cell r="BO196">
            <v>47521</v>
          </cell>
          <cell r="BP196">
            <v>5280</v>
          </cell>
          <cell r="BQ196">
            <v>52800</v>
          </cell>
          <cell r="BR196">
            <v>10941</v>
          </cell>
          <cell r="BS196">
            <v>63742</v>
          </cell>
          <cell r="BT196">
            <v>5494</v>
          </cell>
          <cell r="BU196">
            <v>16509</v>
          </cell>
          <cell r="BV196">
            <v>85744</v>
          </cell>
          <cell r="BW196">
            <v>24864</v>
          </cell>
          <cell r="BX196">
            <v>231484</v>
          </cell>
          <cell r="BY196">
            <v>28629</v>
          </cell>
          <cell r="BZ196">
            <v>-600</v>
          </cell>
          <cell r="CA196">
            <v>259513</v>
          </cell>
          <cell r="CB196">
            <v>-3</v>
          </cell>
          <cell r="CC196">
            <v>2</v>
          </cell>
          <cell r="CD196">
            <v>0</v>
          </cell>
          <cell r="CE196">
            <v>0</v>
          </cell>
          <cell r="CF196">
            <v>0</v>
          </cell>
          <cell r="CG196">
            <v>0</v>
          </cell>
          <cell r="CH196">
            <v>3</v>
          </cell>
          <cell r="CI196">
            <v>0</v>
          </cell>
          <cell r="CJ196">
            <v>-1</v>
          </cell>
          <cell r="CK196">
            <v>2</v>
          </cell>
          <cell r="CL196">
            <v>-8</v>
          </cell>
          <cell r="CM196">
            <v>-6</v>
          </cell>
        </row>
        <row r="197">
          <cell r="A197">
            <v>38777</v>
          </cell>
          <cell r="B197">
            <v>107764</v>
          </cell>
          <cell r="C197">
            <v>12473</v>
          </cell>
          <cell r="D197">
            <v>120236</v>
          </cell>
          <cell r="E197">
            <v>43823</v>
          </cell>
          <cell r="F197">
            <v>5164</v>
          </cell>
          <cell r="G197">
            <v>48987</v>
          </cell>
          <cell r="H197">
            <v>11193</v>
          </cell>
          <cell r="I197">
            <v>60180</v>
          </cell>
          <cell r="J197">
            <v>5579</v>
          </cell>
          <cell r="K197">
            <v>16907</v>
          </cell>
          <cell r="L197">
            <v>82667</v>
          </cell>
          <cell r="M197">
            <v>20825</v>
          </cell>
          <cell r="N197">
            <v>223952</v>
          </cell>
          <cell r="O197">
            <v>27062</v>
          </cell>
          <cell r="P197">
            <v>-53</v>
          </cell>
          <cell r="Q197">
            <v>250960</v>
          </cell>
          <cell r="R197">
            <v>1.6</v>
          </cell>
          <cell r="S197">
            <v>2</v>
          </cell>
          <cell r="T197">
            <v>1.6</v>
          </cell>
          <cell r="U197">
            <v>2.6</v>
          </cell>
          <cell r="V197">
            <v>-2.6</v>
          </cell>
          <cell r="W197">
            <v>2.1</v>
          </cell>
          <cell r="X197">
            <v>2.6</v>
          </cell>
          <cell r="Y197">
            <v>2.2000000000000002</v>
          </cell>
          <cell r="Z197">
            <v>1.6</v>
          </cell>
          <cell r="AA197">
            <v>2.2999999999999998</v>
          </cell>
          <cell r="AB197">
            <v>2.1</v>
          </cell>
          <cell r="AC197">
            <v>-0.7</v>
          </cell>
          <cell r="AD197">
            <v>1.6</v>
          </cell>
          <cell r="AE197">
            <v>1</v>
          </cell>
          <cell r="AF197">
            <v>1.5</v>
          </cell>
          <cell r="AG197">
            <v>108001</v>
          </cell>
          <cell r="AH197">
            <v>12498</v>
          </cell>
          <cell r="AI197">
            <v>120499</v>
          </cell>
          <cell r="AJ197">
            <v>43926</v>
          </cell>
          <cell r="AK197">
            <v>5416</v>
          </cell>
          <cell r="AL197">
            <v>49342</v>
          </cell>
          <cell r="AM197">
            <v>11154</v>
          </cell>
          <cell r="AN197">
            <v>60496</v>
          </cell>
          <cell r="AO197">
            <v>5579</v>
          </cell>
          <cell r="AP197">
            <v>16899</v>
          </cell>
          <cell r="AQ197">
            <v>82974</v>
          </cell>
          <cell r="AR197">
            <v>20758</v>
          </cell>
          <cell r="AS197">
            <v>224231</v>
          </cell>
          <cell r="AT197">
            <v>27103</v>
          </cell>
          <cell r="AU197">
            <v>-612</v>
          </cell>
          <cell r="AV197">
            <v>250722</v>
          </cell>
          <cell r="AW197">
            <v>1.9</v>
          </cell>
          <cell r="AX197">
            <v>2.4</v>
          </cell>
          <cell r="AY197">
            <v>2</v>
          </cell>
          <cell r="AZ197">
            <v>0.6</v>
          </cell>
          <cell r="BA197">
            <v>2.9</v>
          </cell>
          <cell r="BB197">
            <v>0.9</v>
          </cell>
          <cell r="BC197">
            <v>2.5</v>
          </cell>
          <cell r="BD197">
            <v>1.1000000000000001</v>
          </cell>
          <cell r="BE197">
            <v>1.6</v>
          </cell>
          <cell r="BF197">
            <v>2.1</v>
          </cell>
          <cell r="BG197">
            <v>1.4</v>
          </cell>
          <cell r="BH197">
            <v>-1</v>
          </cell>
          <cell r="BI197">
            <v>1.5</v>
          </cell>
          <cell r="BJ197">
            <v>0.3</v>
          </cell>
          <cell r="BK197">
            <v>1.1000000000000001</v>
          </cell>
          <cell r="BL197">
            <v>104752</v>
          </cell>
          <cell r="BM197">
            <v>12130</v>
          </cell>
          <cell r="BN197">
            <v>116881</v>
          </cell>
          <cell r="BO197">
            <v>40312</v>
          </cell>
          <cell r="BP197">
            <v>5757</v>
          </cell>
          <cell r="BQ197">
            <v>46069</v>
          </cell>
          <cell r="BR197">
            <v>11007</v>
          </cell>
          <cell r="BS197">
            <v>57075</v>
          </cell>
          <cell r="BT197">
            <v>5579</v>
          </cell>
          <cell r="BU197">
            <v>16922</v>
          </cell>
          <cell r="BV197">
            <v>79576</v>
          </cell>
          <cell r="BW197">
            <v>19614</v>
          </cell>
          <cell r="BX197">
            <v>216072</v>
          </cell>
          <cell r="BY197">
            <v>26103</v>
          </cell>
          <cell r="BZ197">
            <v>-1301</v>
          </cell>
          <cell r="CA197">
            <v>240873</v>
          </cell>
          <cell r="CB197">
            <v>-1</v>
          </cell>
          <cell r="CC197">
            <v>3</v>
          </cell>
          <cell r="CD197">
            <v>0</v>
          </cell>
          <cell r="CE197">
            <v>0</v>
          </cell>
          <cell r="CF197">
            <v>0</v>
          </cell>
          <cell r="CG197">
            <v>0</v>
          </cell>
          <cell r="CH197">
            <v>3</v>
          </cell>
          <cell r="CI197">
            <v>0</v>
          </cell>
          <cell r="CJ197">
            <v>2</v>
          </cell>
          <cell r="CK197">
            <v>1</v>
          </cell>
          <cell r="CL197">
            <v>-7</v>
          </cell>
          <cell r="CM197">
            <v>-5</v>
          </cell>
        </row>
        <row r="198">
          <cell r="A198">
            <v>38869</v>
          </cell>
          <cell r="B198">
            <v>109651</v>
          </cell>
          <cell r="C198">
            <v>12722</v>
          </cell>
          <cell r="D198">
            <v>122377</v>
          </cell>
          <cell r="E198">
            <v>45636</v>
          </cell>
          <cell r="F198">
            <v>4970</v>
          </cell>
          <cell r="G198">
            <v>50606</v>
          </cell>
          <cell r="H198">
            <v>11425</v>
          </cell>
          <cell r="I198">
            <v>62031</v>
          </cell>
          <cell r="J198">
            <v>5666</v>
          </cell>
          <cell r="K198">
            <v>17338</v>
          </cell>
          <cell r="L198">
            <v>85035</v>
          </cell>
          <cell r="M198">
            <v>20710</v>
          </cell>
          <cell r="N198">
            <v>227817</v>
          </cell>
          <cell r="O198">
            <v>27215</v>
          </cell>
          <cell r="P198">
            <v>412</v>
          </cell>
          <cell r="Q198">
            <v>255445</v>
          </cell>
          <cell r="R198">
            <v>1.8</v>
          </cell>
          <cell r="S198">
            <v>2</v>
          </cell>
          <cell r="T198">
            <v>1.8</v>
          </cell>
          <cell r="U198">
            <v>4.0999999999999996</v>
          </cell>
          <cell r="V198">
            <v>-3.8</v>
          </cell>
          <cell r="W198">
            <v>3.3</v>
          </cell>
          <cell r="X198">
            <v>2.1</v>
          </cell>
          <cell r="Y198">
            <v>3.1</v>
          </cell>
          <cell r="Z198">
            <v>1.6</v>
          </cell>
          <cell r="AA198">
            <v>2.6</v>
          </cell>
          <cell r="AB198">
            <v>2.9</v>
          </cell>
          <cell r="AC198">
            <v>-0.6</v>
          </cell>
          <cell r="AD198">
            <v>1.7</v>
          </cell>
          <cell r="AE198">
            <v>0.6</v>
          </cell>
          <cell r="AF198">
            <v>1.8</v>
          </cell>
          <cell r="AG198">
            <v>109601</v>
          </cell>
          <cell r="AH198">
            <v>12719</v>
          </cell>
          <cell r="AI198">
            <v>122319</v>
          </cell>
          <cell r="AJ198">
            <v>44176</v>
          </cell>
          <cell r="AK198">
            <v>4685</v>
          </cell>
          <cell r="AL198">
            <v>48861</v>
          </cell>
          <cell r="AM198">
            <v>11596</v>
          </cell>
          <cell r="AN198">
            <v>60457</v>
          </cell>
          <cell r="AO198">
            <v>5663</v>
          </cell>
          <cell r="AP198">
            <v>17289</v>
          </cell>
          <cell r="AQ198">
            <v>83409</v>
          </cell>
          <cell r="AR198">
            <v>20626</v>
          </cell>
          <cell r="AS198">
            <v>226355</v>
          </cell>
          <cell r="AT198">
            <v>27007</v>
          </cell>
          <cell r="AU198">
            <v>940</v>
          </cell>
          <cell r="AV198">
            <v>254302</v>
          </cell>
          <cell r="AW198">
            <v>1.5</v>
          </cell>
          <cell r="AX198">
            <v>1.8</v>
          </cell>
          <cell r="AY198">
            <v>1.5</v>
          </cell>
          <cell r="AZ198">
            <v>0.6</v>
          </cell>
          <cell r="BA198">
            <v>-13.5</v>
          </cell>
          <cell r="BB198">
            <v>-1</v>
          </cell>
          <cell r="BC198">
            <v>4</v>
          </cell>
          <cell r="BD198">
            <v>-0.1</v>
          </cell>
          <cell r="BE198">
            <v>1.5</v>
          </cell>
          <cell r="BF198">
            <v>2.2999999999999998</v>
          </cell>
          <cell r="BG198">
            <v>0.5</v>
          </cell>
          <cell r="BH198">
            <v>-0.6</v>
          </cell>
          <cell r="BI198">
            <v>0.9</v>
          </cell>
          <cell r="BJ198">
            <v>-0.4</v>
          </cell>
          <cell r="BK198">
            <v>1.4</v>
          </cell>
          <cell r="BL198">
            <v>110091</v>
          </cell>
          <cell r="BM198">
            <v>12766</v>
          </cell>
          <cell r="BN198">
            <v>122857</v>
          </cell>
          <cell r="BO198">
            <v>42629</v>
          </cell>
          <cell r="BP198">
            <v>4338</v>
          </cell>
          <cell r="BQ198">
            <v>46966</v>
          </cell>
          <cell r="BR198">
            <v>11766</v>
          </cell>
          <cell r="BS198">
            <v>58733</v>
          </cell>
          <cell r="BT198">
            <v>5663</v>
          </cell>
          <cell r="BU198">
            <v>17435</v>
          </cell>
          <cell r="BV198">
            <v>81831</v>
          </cell>
          <cell r="BW198">
            <v>18922</v>
          </cell>
          <cell r="BX198">
            <v>223610</v>
          </cell>
          <cell r="BY198">
            <v>26058</v>
          </cell>
          <cell r="BZ198">
            <v>3376</v>
          </cell>
          <cell r="CA198">
            <v>253044</v>
          </cell>
          <cell r="CB198">
            <v>3</v>
          </cell>
          <cell r="CC198">
            <v>3</v>
          </cell>
          <cell r="CD198">
            <v>0</v>
          </cell>
          <cell r="CE198">
            <v>0</v>
          </cell>
          <cell r="CF198">
            <v>0</v>
          </cell>
          <cell r="CG198">
            <v>0</v>
          </cell>
          <cell r="CH198">
            <v>2</v>
          </cell>
          <cell r="CI198">
            <v>0</v>
          </cell>
          <cell r="CJ198">
            <v>7</v>
          </cell>
          <cell r="CK198">
            <v>-2</v>
          </cell>
          <cell r="CL198">
            <v>-11</v>
          </cell>
          <cell r="CM198">
            <v>-6</v>
          </cell>
        </row>
        <row r="199">
          <cell r="A199">
            <v>38961</v>
          </cell>
          <cell r="B199">
            <v>112164</v>
          </cell>
          <cell r="C199">
            <v>13032</v>
          </cell>
          <cell r="D199">
            <v>125195</v>
          </cell>
          <cell r="E199">
            <v>47733</v>
          </cell>
          <cell r="F199">
            <v>4762</v>
          </cell>
          <cell r="G199">
            <v>52495</v>
          </cell>
          <cell r="H199">
            <v>11614</v>
          </cell>
          <cell r="I199">
            <v>64109</v>
          </cell>
          <cell r="J199">
            <v>5753</v>
          </cell>
          <cell r="K199">
            <v>17774</v>
          </cell>
          <cell r="L199">
            <v>87636</v>
          </cell>
          <cell r="M199">
            <v>20604</v>
          </cell>
          <cell r="N199">
            <v>233452</v>
          </cell>
          <cell r="O199">
            <v>27499</v>
          </cell>
          <cell r="P199">
            <v>696</v>
          </cell>
          <cell r="Q199">
            <v>261648</v>
          </cell>
          <cell r="R199">
            <v>2.2999999999999998</v>
          </cell>
          <cell r="S199">
            <v>2.4</v>
          </cell>
          <cell r="T199">
            <v>2.2999999999999998</v>
          </cell>
          <cell r="U199">
            <v>4.5999999999999996</v>
          </cell>
          <cell r="V199">
            <v>-4.2</v>
          </cell>
          <cell r="W199">
            <v>3.7</v>
          </cell>
          <cell r="X199">
            <v>1.7</v>
          </cell>
          <cell r="Y199">
            <v>3.4</v>
          </cell>
          <cell r="Z199">
            <v>1.5</v>
          </cell>
          <cell r="AA199">
            <v>2.5</v>
          </cell>
          <cell r="AB199">
            <v>3.1</v>
          </cell>
          <cell r="AC199">
            <v>-0.5</v>
          </cell>
          <cell r="AD199">
            <v>2.5</v>
          </cell>
          <cell r="AE199">
            <v>1</v>
          </cell>
          <cell r="AF199">
            <v>2.4</v>
          </cell>
          <cell r="AG199">
            <v>111650</v>
          </cell>
          <cell r="AH199">
            <v>12978</v>
          </cell>
          <cell r="AI199">
            <v>124627</v>
          </cell>
          <cell r="AJ199">
            <v>48298</v>
          </cell>
          <cell r="AK199">
            <v>4891</v>
          </cell>
          <cell r="AL199">
            <v>53188</v>
          </cell>
          <cell r="AM199">
            <v>11461</v>
          </cell>
          <cell r="AN199">
            <v>64650</v>
          </cell>
          <cell r="AO199">
            <v>5754</v>
          </cell>
          <cell r="AP199">
            <v>17863</v>
          </cell>
          <cell r="AQ199">
            <v>88266</v>
          </cell>
          <cell r="AR199">
            <v>20993</v>
          </cell>
          <cell r="AS199">
            <v>233887</v>
          </cell>
          <cell r="AT199">
            <v>27523</v>
          </cell>
          <cell r="AU199">
            <v>680</v>
          </cell>
          <cell r="AV199">
            <v>262090</v>
          </cell>
          <cell r="AW199">
            <v>1.9</v>
          </cell>
          <cell r="AX199">
            <v>2</v>
          </cell>
          <cell r="AY199">
            <v>1.9</v>
          </cell>
          <cell r="AZ199">
            <v>9.3000000000000007</v>
          </cell>
          <cell r="BA199">
            <v>4.4000000000000004</v>
          </cell>
          <cell r="BB199">
            <v>8.9</v>
          </cell>
          <cell r="BC199">
            <v>-1.2</v>
          </cell>
          <cell r="BD199">
            <v>6.9</v>
          </cell>
          <cell r="BE199">
            <v>1.6</v>
          </cell>
          <cell r="BF199">
            <v>3.3</v>
          </cell>
          <cell r="BG199">
            <v>5.8</v>
          </cell>
          <cell r="BH199">
            <v>1.8</v>
          </cell>
          <cell r="BI199">
            <v>3.3</v>
          </cell>
          <cell r="BJ199">
            <v>1.9</v>
          </cell>
          <cell r="BK199">
            <v>3.1</v>
          </cell>
          <cell r="BL199">
            <v>112006</v>
          </cell>
          <cell r="BM199">
            <v>13035</v>
          </cell>
          <cell r="BN199">
            <v>125040</v>
          </cell>
          <cell r="BO199">
            <v>49589</v>
          </cell>
          <cell r="BP199">
            <v>5007</v>
          </cell>
          <cell r="BQ199">
            <v>54596</v>
          </cell>
          <cell r="BR199">
            <v>11393</v>
          </cell>
          <cell r="BS199">
            <v>65989</v>
          </cell>
          <cell r="BT199">
            <v>5754</v>
          </cell>
          <cell r="BU199">
            <v>17738</v>
          </cell>
          <cell r="BV199">
            <v>89481</v>
          </cell>
          <cell r="BW199">
            <v>20818</v>
          </cell>
          <cell r="BX199">
            <v>235340</v>
          </cell>
          <cell r="BY199">
            <v>27763</v>
          </cell>
          <cell r="BZ199">
            <v>-906</v>
          </cell>
          <cell r="CA199">
            <v>262198</v>
          </cell>
          <cell r="CB199">
            <v>3</v>
          </cell>
          <cell r="CC199">
            <v>-10</v>
          </cell>
          <cell r="CD199">
            <v>0</v>
          </cell>
          <cell r="CE199">
            <v>0</v>
          </cell>
          <cell r="CF199">
            <v>-1</v>
          </cell>
          <cell r="CG199">
            <v>0</v>
          </cell>
          <cell r="CH199">
            <v>-10</v>
          </cell>
          <cell r="CI199">
            <v>1</v>
          </cell>
          <cell r="CJ199">
            <v>-6</v>
          </cell>
          <cell r="CK199">
            <v>-1</v>
          </cell>
          <cell r="CL199">
            <v>8</v>
          </cell>
          <cell r="CM199">
            <v>0</v>
          </cell>
        </row>
        <row r="200">
          <cell r="A200">
            <v>39052</v>
          </cell>
          <cell r="B200">
            <v>115288</v>
          </cell>
          <cell r="C200">
            <v>13410</v>
          </cell>
          <cell r="D200">
            <v>128679</v>
          </cell>
          <cell r="E200">
            <v>49569</v>
          </cell>
          <cell r="F200">
            <v>4758</v>
          </cell>
          <cell r="G200">
            <v>54327</v>
          </cell>
          <cell r="H200">
            <v>11930</v>
          </cell>
          <cell r="I200">
            <v>66257</v>
          </cell>
          <cell r="J200">
            <v>5839</v>
          </cell>
          <cell r="K200">
            <v>18205</v>
          </cell>
          <cell r="L200">
            <v>90301</v>
          </cell>
          <cell r="M200">
            <v>20637</v>
          </cell>
          <cell r="N200">
            <v>240008</v>
          </cell>
          <cell r="O200">
            <v>28210</v>
          </cell>
          <cell r="P200">
            <v>408</v>
          </cell>
          <cell r="Q200">
            <v>268626</v>
          </cell>
          <cell r="R200">
            <v>2.8</v>
          </cell>
          <cell r="S200">
            <v>2.9</v>
          </cell>
          <cell r="T200">
            <v>2.8</v>
          </cell>
          <cell r="U200">
            <v>3.8</v>
          </cell>
          <cell r="V200">
            <v>-0.1</v>
          </cell>
          <cell r="W200">
            <v>3.5</v>
          </cell>
          <cell r="X200">
            <v>2.7</v>
          </cell>
          <cell r="Y200">
            <v>3.4</v>
          </cell>
          <cell r="Z200">
            <v>1.5</v>
          </cell>
          <cell r="AA200">
            <v>2.4</v>
          </cell>
          <cell r="AB200">
            <v>3</v>
          </cell>
          <cell r="AC200">
            <v>0.2</v>
          </cell>
          <cell r="AD200">
            <v>2.8</v>
          </cell>
          <cell r="AE200">
            <v>2.6</v>
          </cell>
          <cell r="AF200">
            <v>2.7</v>
          </cell>
          <cell r="AG200">
            <v>115681</v>
          </cell>
          <cell r="AH200">
            <v>13439</v>
          </cell>
          <cell r="AI200">
            <v>129120</v>
          </cell>
          <cell r="AJ200">
            <v>50029</v>
          </cell>
          <cell r="AK200">
            <v>4749</v>
          </cell>
          <cell r="AL200">
            <v>54778</v>
          </cell>
          <cell r="AM200">
            <v>11958</v>
          </cell>
          <cell r="AN200">
            <v>66736</v>
          </cell>
          <cell r="AO200">
            <v>5837</v>
          </cell>
          <cell r="AP200">
            <v>18169</v>
          </cell>
          <cell r="AQ200">
            <v>90743</v>
          </cell>
          <cell r="AR200">
            <v>20240</v>
          </cell>
          <cell r="AS200">
            <v>240102</v>
          </cell>
          <cell r="AT200">
            <v>28335</v>
          </cell>
          <cell r="AU200">
            <v>290</v>
          </cell>
          <cell r="AV200">
            <v>268727</v>
          </cell>
          <cell r="AW200">
            <v>3.6</v>
          </cell>
          <cell r="AX200">
            <v>3.6</v>
          </cell>
          <cell r="AY200">
            <v>3.6</v>
          </cell>
          <cell r="AZ200">
            <v>3.6</v>
          </cell>
          <cell r="BA200">
            <v>-2.9</v>
          </cell>
          <cell r="BB200">
            <v>3</v>
          </cell>
          <cell r="BC200">
            <v>4.3</v>
          </cell>
          <cell r="BD200">
            <v>3.2</v>
          </cell>
          <cell r="BE200">
            <v>1.5</v>
          </cell>
          <cell r="BF200">
            <v>1.7</v>
          </cell>
          <cell r="BG200">
            <v>2.8</v>
          </cell>
          <cell r="BH200">
            <v>-3.6</v>
          </cell>
          <cell r="BI200">
            <v>2.7</v>
          </cell>
          <cell r="BJ200">
            <v>2.9</v>
          </cell>
          <cell r="BK200">
            <v>2.5</v>
          </cell>
          <cell r="BL200">
            <v>118255</v>
          </cell>
          <cell r="BM200">
            <v>13724</v>
          </cell>
          <cell r="BN200">
            <v>131979</v>
          </cell>
          <cell r="BO200">
            <v>54472</v>
          </cell>
          <cell r="BP200">
            <v>4731</v>
          </cell>
          <cell r="BQ200">
            <v>59203</v>
          </cell>
          <cell r="BR200">
            <v>12006</v>
          </cell>
          <cell r="BS200">
            <v>71209</v>
          </cell>
          <cell r="BT200">
            <v>5837</v>
          </cell>
          <cell r="BU200">
            <v>18113</v>
          </cell>
          <cell r="BV200">
            <v>95160</v>
          </cell>
          <cell r="BW200">
            <v>23257</v>
          </cell>
          <cell r="BX200">
            <v>250395</v>
          </cell>
          <cell r="BY200">
            <v>30101</v>
          </cell>
          <cell r="BZ200">
            <v>-71</v>
          </cell>
          <cell r="CA200">
            <v>280426</v>
          </cell>
          <cell r="CB200">
            <v>-3</v>
          </cell>
          <cell r="CC200">
            <v>4</v>
          </cell>
          <cell r="CD200">
            <v>0</v>
          </cell>
          <cell r="CE200">
            <v>0</v>
          </cell>
          <cell r="CF200">
            <v>0</v>
          </cell>
          <cell r="CG200">
            <v>0</v>
          </cell>
          <cell r="CH200">
            <v>5</v>
          </cell>
          <cell r="CI200">
            <v>0</v>
          </cell>
          <cell r="CJ200">
            <v>1</v>
          </cell>
          <cell r="CK200">
            <v>4</v>
          </cell>
          <cell r="CL200">
            <v>-13</v>
          </cell>
          <cell r="CM200">
            <v>-9</v>
          </cell>
        </row>
        <row r="201">
          <cell r="A201">
            <v>39142</v>
          </cell>
          <cell r="B201">
            <v>118587</v>
          </cell>
          <cell r="C201">
            <v>13743</v>
          </cell>
          <cell r="D201">
            <v>132349</v>
          </cell>
          <cell r="E201">
            <v>52582</v>
          </cell>
          <cell r="F201">
            <v>3323</v>
          </cell>
          <cell r="G201">
            <v>55904</v>
          </cell>
          <cell r="H201">
            <v>12382</v>
          </cell>
          <cell r="I201">
            <v>68287</v>
          </cell>
          <cell r="J201">
            <v>5912</v>
          </cell>
          <cell r="K201">
            <v>18632</v>
          </cell>
          <cell r="L201">
            <v>92830</v>
          </cell>
          <cell r="M201">
            <v>20949</v>
          </cell>
          <cell r="N201">
            <v>245774</v>
          </cell>
          <cell r="O201">
            <v>29105</v>
          </cell>
          <cell r="P201">
            <v>-132</v>
          </cell>
          <cell r="Q201">
            <v>274748</v>
          </cell>
          <cell r="R201">
            <v>2.9</v>
          </cell>
          <cell r="S201">
            <v>2.5</v>
          </cell>
          <cell r="T201">
            <v>2.9</v>
          </cell>
          <cell r="U201">
            <v>6.1</v>
          </cell>
          <cell r="V201">
            <v>-30.2</v>
          </cell>
          <cell r="W201">
            <v>2.9</v>
          </cell>
          <cell r="X201">
            <v>3.8</v>
          </cell>
          <cell r="Y201">
            <v>3.1</v>
          </cell>
          <cell r="Z201">
            <v>1.2</v>
          </cell>
          <cell r="AA201">
            <v>2.2999999999999998</v>
          </cell>
          <cell r="AB201">
            <v>2.8</v>
          </cell>
          <cell r="AC201">
            <v>1.5</v>
          </cell>
          <cell r="AD201">
            <v>2.4</v>
          </cell>
          <cell r="AE201">
            <v>3.2</v>
          </cell>
          <cell r="AF201">
            <v>2.2999999999999998</v>
          </cell>
          <cell r="AG201">
            <v>118451</v>
          </cell>
          <cell r="AH201">
            <v>13736</v>
          </cell>
          <cell r="AI201">
            <v>132187</v>
          </cell>
          <cell r="AJ201">
            <v>53123</v>
          </cell>
          <cell r="AK201">
            <v>3164</v>
          </cell>
          <cell r="AL201">
            <v>56288</v>
          </cell>
          <cell r="AM201">
            <v>12257</v>
          </cell>
          <cell r="AN201">
            <v>68545</v>
          </cell>
          <cell r="AO201">
            <v>5913</v>
          </cell>
          <cell r="AP201">
            <v>18614</v>
          </cell>
          <cell r="AQ201">
            <v>93072</v>
          </cell>
          <cell r="AR201">
            <v>20988</v>
          </cell>
          <cell r="AS201">
            <v>246247</v>
          </cell>
          <cell r="AT201">
            <v>28608</v>
          </cell>
          <cell r="AU201">
            <v>360</v>
          </cell>
          <cell r="AV201">
            <v>275215</v>
          </cell>
          <cell r="AW201">
            <v>2.4</v>
          </cell>
          <cell r="AX201">
            <v>2.2000000000000002</v>
          </cell>
          <cell r="AY201">
            <v>2.4</v>
          </cell>
          <cell r="AZ201">
            <v>6.2</v>
          </cell>
          <cell r="BA201">
            <v>-33.4</v>
          </cell>
          <cell r="BB201">
            <v>2.8</v>
          </cell>
          <cell r="BC201">
            <v>2.5</v>
          </cell>
          <cell r="BD201">
            <v>2.7</v>
          </cell>
          <cell r="BE201">
            <v>1.3</v>
          </cell>
          <cell r="BF201">
            <v>2.5</v>
          </cell>
          <cell r="BG201">
            <v>2.6</v>
          </cell>
          <cell r="BH201">
            <v>3.7</v>
          </cell>
          <cell r="BI201">
            <v>2.6</v>
          </cell>
          <cell r="BJ201">
            <v>1</v>
          </cell>
          <cell r="BK201">
            <v>2.4</v>
          </cell>
          <cell r="BL201">
            <v>114803</v>
          </cell>
          <cell r="BM201">
            <v>13319</v>
          </cell>
          <cell r="BN201">
            <v>128122</v>
          </cell>
          <cell r="BO201">
            <v>48632</v>
          </cell>
          <cell r="BP201">
            <v>3390</v>
          </cell>
          <cell r="BQ201">
            <v>52022</v>
          </cell>
          <cell r="BR201">
            <v>12098</v>
          </cell>
          <cell r="BS201">
            <v>64120</v>
          </cell>
          <cell r="BT201">
            <v>5913</v>
          </cell>
          <cell r="BU201">
            <v>18641</v>
          </cell>
          <cell r="BV201">
            <v>88673</v>
          </cell>
          <cell r="BW201">
            <v>19760</v>
          </cell>
          <cell r="BX201">
            <v>236555</v>
          </cell>
          <cell r="BY201">
            <v>27615</v>
          </cell>
          <cell r="BZ201">
            <v>-262</v>
          </cell>
          <cell r="CA201">
            <v>263909</v>
          </cell>
          <cell r="CB201">
            <v>-5</v>
          </cell>
          <cell r="CC201">
            <v>4</v>
          </cell>
          <cell r="CD201">
            <v>0</v>
          </cell>
          <cell r="CE201">
            <v>1</v>
          </cell>
          <cell r="CF201">
            <v>0</v>
          </cell>
          <cell r="CG201">
            <v>0</v>
          </cell>
          <cell r="CH201">
            <v>4</v>
          </cell>
          <cell r="CI201">
            <v>-1</v>
          </cell>
          <cell r="CJ201">
            <v>-2</v>
          </cell>
          <cell r="CK201">
            <v>0</v>
          </cell>
          <cell r="CL201">
            <v>-5</v>
          </cell>
          <cell r="CM201">
            <v>-7</v>
          </cell>
        </row>
        <row r="202">
          <cell r="A202">
            <v>39234</v>
          </cell>
          <cell r="B202">
            <v>121393</v>
          </cell>
          <cell r="C202">
            <v>14076</v>
          </cell>
          <cell r="D202">
            <v>135469</v>
          </cell>
          <cell r="E202">
            <v>51888</v>
          </cell>
          <cell r="F202">
            <v>3196</v>
          </cell>
          <cell r="G202">
            <v>55083</v>
          </cell>
          <cell r="H202">
            <v>12841</v>
          </cell>
          <cell r="I202">
            <v>67925</v>
          </cell>
          <cell r="J202">
            <v>5964</v>
          </cell>
          <cell r="K202">
            <v>19102</v>
          </cell>
          <cell r="L202">
            <v>92990</v>
          </cell>
          <cell r="M202">
            <v>21608</v>
          </cell>
          <cell r="N202">
            <v>250060</v>
          </cell>
          <cell r="O202">
            <v>29834</v>
          </cell>
          <cell r="P202">
            <v>-231</v>
          </cell>
          <cell r="Q202">
            <v>279663</v>
          </cell>
          <cell r="R202">
            <v>2.4</v>
          </cell>
          <cell r="S202">
            <v>2.4</v>
          </cell>
          <cell r="T202">
            <v>2.4</v>
          </cell>
          <cell r="U202">
            <v>-1.3</v>
          </cell>
          <cell r="V202">
            <v>-3.8</v>
          </cell>
          <cell r="W202">
            <v>-1.5</v>
          </cell>
          <cell r="X202">
            <v>3.7</v>
          </cell>
          <cell r="Y202">
            <v>-0.5</v>
          </cell>
          <cell r="Z202">
            <v>0.9</v>
          </cell>
          <cell r="AA202">
            <v>2.5</v>
          </cell>
          <cell r="AB202">
            <v>0.2</v>
          </cell>
          <cell r="AC202">
            <v>3.1</v>
          </cell>
          <cell r="AD202">
            <v>1.7</v>
          </cell>
          <cell r="AE202">
            <v>2.5</v>
          </cell>
          <cell r="AF202">
            <v>1.8</v>
          </cell>
          <cell r="AG202">
            <v>121671</v>
          </cell>
          <cell r="AH202">
            <v>14114</v>
          </cell>
          <cell r="AI202">
            <v>135785</v>
          </cell>
          <cell r="AJ202">
            <v>50952</v>
          </cell>
          <cell r="AK202">
            <v>3582</v>
          </cell>
          <cell r="AL202">
            <v>54534</v>
          </cell>
          <cell r="AM202">
            <v>13080</v>
          </cell>
          <cell r="AN202">
            <v>67615</v>
          </cell>
          <cell r="AO202">
            <v>5979</v>
          </cell>
          <cell r="AP202">
            <v>19134</v>
          </cell>
          <cell r="AQ202">
            <v>92728</v>
          </cell>
          <cell r="AR202">
            <v>21806</v>
          </cell>
          <cell r="AS202">
            <v>250319</v>
          </cell>
          <cell r="AT202">
            <v>30582</v>
          </cell>
          <cell r="AU202">
            <v>-1255</v>
          </cell>
          <cell r="AV202">
            <v>279646</v>
          </cell>
          <cell r="AW202">
            <v>2.7</v>
          </cell>
          <cell r="AX202">
            <v>2.8</v>
          </cell>
          <cell r="AY202">
            <v>2.7</v>
          </cell>
          <cell r="AZ202">
            <v>-4.0999999999999996</v>
          </cell>
          <cell r="BA202">
            <v>13.2</v>
          </cell>
          <cell r="BB202">
            <v>-3.1</v>
          </cell>
          <cell r="BC202">
            <v>6.7</v>
          </cell>
          <cell r="BD202">
            <v>-1.4</v>
          </cell>
          <cell r="BE202">
            <v>1.1000000000000001</v>
          </cell>
          <cell r="BF202">
            <v>2.8</v>
          </cell>
          <cell r="BG202">
            <v>-0.4</v>
          </cell>
          <cell r="BH202">
            <v>3.9</v>
          </cell>
          <cell r="BI202">
            <v>1.7</v>
          </cell>
          <cell r="BJ202">
            <v>6.9</v>
          </cell>
          <cell r="BK202">
            <v>1.6</v>
          </cell>
          <cell r="BL202">
            <v>122387</v>
          </cell>
          <cell r="BM202">
            <v>14189</v>
          </cell>
          <cell r="BN202">
            <v>136576</v>
          </cell>
          <cell r="BO202">
            <v>49407</v>
          </cell>
          <cell r="BP202">
            <v>3223</v>
          </cell>
          <cell r="BQ202">
            <v>52629</v>
          </cell>
          <cell r="BR202">
            <v>13276</v>
          </cell>
          <cell r="BS202">
            <v>65905</v>
          </cell>
          <cell r="BT202">
            <v>5979</v>
          </cell>
          <cell r="BU202">
            <v>19299</v>
          </cell>
          <cell r="BV202">
            <v>91184</v>
          </cell>
          <cell r="BW202">
            <v>19972</v>
          </cell>
          <cell r="BX202">
            <v>247731</v>
          </cell>
          <cell r="BY202">
            <v>29644</v>
          </cell>
          <cell r="BZ202">
            <v>1238</v>
          </cell>
          <cell r="CA202">
            <v>278613</v>
          </cell>
          <cell r="CB202">
            <v>13</v>
          </cell>
          <cell r="CC202">
            <v>3</v>
          </cell>
          <cell r="CD202">
            <v>0</v>
          </cell>
          <cell r="CE202">
            <v>0</v>
          </cell>
          <cell r="CF202">
            <v>0</v>
          </cell>
          <cell r="CG202">
            <v>0</v>
          </cell>
          <cell r="CH202">
            <v>3</v>
          </cell>
          <cell r="CI202">
            <v>0</v>
          </cell>
          <cell r="CJ202">
            <v>16</v>
          </cell>
          <cell r="CK202">
            <v>-2</v>
          </cell>
          <cell r="CL202">
            <v>-17</v>
          </cell>
          <cell r="CM202">
            <v>-3</v>
          </cell>
        </row>
        <row r="203">
          <cell r="A203">
            <v>39326</v>
          </cell>
          <cell r="B203">
            <v>123616</v>
          </cell>
          <cell r="C203">
            <v>14327</v>
          </cell>
          <cell r="D203">
            <v>137939</v>
          </cell>
          <cell r="E203">
            <v>51935</v>
          </cell>
          <cell r="F203">
            <v>3101</v>
          </cell>
          <cell r="G203">
            <v>55036</v>
          </cell>
          <cell r="H203">
            <v>13107</v>
          </cell>
          <cell r="I203">
            <v>68143</v>
          </cell>
          <cell r="J203">
            <v>6008</v>
          </cell>
          <cell r="K203">
            <v>19649</v>
          </cell>
          <cell r="L203">
            <v>93800</v>
          </cell>
          <cell r="M203">
            <v>22671</v>
          </cell>
          <cell r="N203">
            <v>254038</v>
          </cell>
          <cell r="O203">
            <v>30269</v>
          </cell>
          <cell r="P203">
            <v>29</v>
          </cell>
          <cell r="Q203">
            <v>284336</v>
          </cell>
          <cell r="R203">
            <v>1.8</v>
          </cell>
          <cell r="S203">
            <v>1.8</v>
          </cell>
          <cell r="T203">
            <v>1.8</v>
          </cell>
          <cell r="U203">
            <v>0.1</v>
          </cell>
          <cell r="V203">
            <v>-3</v>
          </cell>
          <cell r="W203">
            <v>-0.1</v>
          </cell>
          <cell r="X203">
            <v>2.1</v>
          </cell>
          <cell r="Y203">
            <v>0.3</v>
          </cell>
          <cell r="Z203">
            <v>0.7</v>
          </cell>
          <cell r="AA203">
            <v>2.9</v>
          </cell>
          <cell r="AB203">
            <v>0.9</v>
          </cell>
          <cell r="AC203">
            <v>4.9000000000000004</v>
          </cell>
          <cell r="AD203">
            <v>1.6</v>
          </cell>
          <cell r="AE203">
            <v>1.5</v>
          </cell>
          <cell r="AF203">
            <v>1.7</v>
          </cell>
          <cell r="AG203">
            <v>123655</v>
          </cell>
          <cell r="AH203">
            <v>14329</v>
          </cell>
          <cell r="AI203">
            <v>137984</v>
          </cell>
          <cell r="AJ203">
            <v>51839</v>
          </cell>
          <cell r="AK203">
            <v>2830</v>
          </cell>
          <cell r="AL203">
            <v>54669</v>
          </cell>
          <cell r="AM203">
            <v>13006</v>
          </cell>
          <cell r="AN203">
            <v>67675</v>
          </cell>
          <cell r="AO203">
            <v>5998</v>
          </cell>
          <cell r="AP203">
            <v>19612</v>
          </cell>
          <cell r="AQ203">
            <v>93285</v>
          </cell>
          <cell r="AR203">
            <v>22421</v>
          </cell>
          <cell r="AS203">
            <v>253690</v>
          </cell>
          <cell r="AT203">
            <v>29909</v>
          </cell>
          <cell r="AU203">
            <v>593</v>
          </cell>
          <cell r="AV203">
            <v>284192</v>
          </cell>
          <cell r="AW203">
            <v>1.6</v>
          </cell>
          <cell r="AX203">
            <v>1.5</v>
          </cell>
          <cell r="AY203">
            <v>1.6</v>
          </cell>
          <cell r="AZ203">
            <v>1.7</v>
          </cell>
          <cell r="BA203">
            <v>-21</v>
          </cell>
          <cell r="BB203">
            <v>0.2</v>
          </cell>
          <cell r="BC203">
            <v>-0.6</v>
          </cell>
          <cell r="BD203">
            <v>0.1</v>
          </cell>
          <cell r="BE203">
            <v>0.3</v>
          </cell>
          <cell r="BF203">
            <v>2.5</v>
          </cell>
          <cell r="BG203">
            <v>0.6</v>
          </cell>
          <cell r="BH203">
            <v>2.8</v>
          </cell>
          <cell r="BI203">
            <v>1.3</v>
          </cell>
          <cell r="BJ203">
            <v>-2.2000000000000002</v>
          </cell>
          <cell r="BK203">
            <v>1.6</v>
          </cell>
          <cell r="BL203">
            <v>124023</v>
          </cell>
          <cell r="BM203">
            <v>14389</v>
          </cell>
          <cell r="BN203">
            <v>138412</v>
          </cell>
          <cell r="BO203">
            <v>53185</v>
          </cell>
          <cell r="BP203">
            <v>2934</v>
          </cell>
          <cell r="BQ203">
            <v>56120</v>
          </cell>
          <cell r="BR203">
            <v>12934</v>
          </cell>
          <cell r="BS203">
            <v>69053</v>
          </cell>
          <cell r="BT203">
            <v>5998</v>
          </cell>
          <cell r="BU203">
            <v>19479</v>
          </cell>
          <cell r="BV203">
            <v>94530</v>
          </cell>
          <cell r="BW203">
            <v>21636</v>
          </cell>
          <cell r="BX203">
            <v>254579</v>
          </cell>
          <cell r="BY203">
            <v>30144</v>
          </cell>
          <cell r="BZ203">
            <v>-932</v>
          </cell>
          <cell r="CA203">
            <v>283790</v>
          </cell>
          <cell r="CB203">
            <v>-2</v>
          </cell>
          <cell r="CC203">
            <v>-12</v>
          </cell>
          <cell r="CD203">
            <v>0</v>
          </cell>
          <cell r="CE203">
            <v>0</v>
          </cell>
          <cell r="CF203">
            <v>0</v>
          </cell>
          <cell r="CG203">
            <v>0</v>
          </cell>
          <cell r="CH203">
            <v>-12</v>
          </cell>
          <cell r="CI203">
            <v>2</v>
          </cell>
          <cell r="CJ203">
            <v>-12</v>
          </cell>
          <cell r="CK203">
            <v>-2</v>
          </cell>
          <cell r="CL203">
            <v>10</v>
          </cell>
          <cell r="CM203">
            <v>-4</v>
          </cell>
        </row>
        <row r="204">
          <cell r="A204">
            <v>39417</v>
          </cell>
          <cell r="B204">
            <v>125949</v>
          </cell>
          <cell r="C204">
            <v>14581</v>
          </cell>
          <cell r="D204">
            <v>140530</v>
          </cell>
          <cell r="E204">
            <v>51977</v>
          </cell>
          <cell r="F204">
            <v>3155</v>
          </cell>
          <cell r="G204">
            <v>55132</v>
          </cell>
          <cell r="H204">
            <v>13255</v>
          </cell>
          <cell r="I204">
            <v>68387</v>
          </cell>
          <cell r="J204">
            <v>6066</v>
          </cell>
          <cell r="K204">
            <v>20272</v>
          </cell>
          <cell r="L204">
            <v>94725</v>
          </cell>
          <cell r="M204">
            <v>23947</v>
          </cell>
          <cell r="N204">
            <v>259147</v>
          </cell>
          <cell r="O204">
            <v>30596</v>
          </cell>
          <cell r="P204">
            <v>6</v>
          </cell>
          <cell r="Q204">
            <v>289749</v>
          </cell>
          <cell r="R204">
            <v>1.9</v>
          </cell>
          <cell r="S204">
            <v>1.8</v>
          </cell>
          <cell r="T204">
            <v>1.9</v>
          </cell>
          <cell r="U204">
            <v>0.1</v>
          </cell>
          <cell r="V204">
            <v>1.8</v>
          </cell>
          <cell r="W204">
            <v>0.2</v>
          </cell>
          <cell r="X204">
            <v>1.1000000000000001</v>
          </cell>
          <cell r="Y204">
            <v>0.4</v>
          </cell>
          <cell r="Z204">
            <v>1</v>
          </cell>
          <cell r="AA204">
            <v>3.2</v>
          </cell>
          <cell r="AB204">
            <v>1</v>
          </cell>
          <cell r="AC204">
            <v>5.6</v>
          </cell>
          <cell r="AD204">
            <v>2</v>
          </cell>
          <cell r="AE204">
            <v>1.1000000000000001</v>
          </cell>
          <cell r="AF204">
            <v>1.9</v>
          </cell>
          <cell r="AG204">
            <v>125636</v>
          </cell>
          <cell r="AH204">
            <v>14540</v>
          </cell>
          <cell r="AI204">
            <v>140175</v>
          </cell>
          <cell r="AJ204">
            <v>52242</v>
          </cell>
          <cell r="AK204">
            <v>2994</v>
          </cell>
          <cell r="AL204">
            <v>55235</v>
          </cell>
          <cell r="AM204">
            <v>13365</v>
          </cell>
          <cell r="AN204">
            <v>68601</v>
          </cell>
          <cell r="AO204">
            <v>6065</v>
          </cell>
          <cell r="AP204">
            <v>20254</v>
          </cell>
          <cell r="AQ204">
            <v>94919</v>
          </cell>
          <cell r="AR204">
            <v>23806</v>
          </cell>
          <cell r="AS204">
            <v>258900</v>
          </cell>
          <cell r="AT204">
            <v>30462</v>
          </cell>
          <cell r="AU204">
            <v>281</v>
          </cell>
          <cell r="AV204">
            <v>289644</v>
          </cell>
          <cell r="AW204">
            <v>1.6</v>
          </cell>
          <cell r="AX204">
            <v>1.5</v>
          </cell>
          <cell r="AY204">
            <v>1.6</v>
          </cell>
          <cell r="AZ204">
            <v>0.8</v>
          </cell>
          <cell r="BA204">
            <v>5.8</v>
          </cell>
          <cell r="BB204">
            <v>1</v>
          </cell>
          <cell r="BC204">
            <v>2.8</v>
          </cell>
          <cell r="BD204">
            <v>1.4</v>
          </cell>
          <cell r="BE204">
            <v>1.1000000000000001</v>
          </cell>
          <cell r="BF204">
            <v>3.3</v>
          </cell>
          <cell r="BG204">
            <v>1.8</v>
          </cell>
          <cell r="BH204">
            <v>6.2</v>
          </cell>
          <cell r="BI204">
            <v>2.1</v>
          </cell>
          <cell r="BJ204">
            <v>1.8</v>
          </cell>
          <cell r="BK204">
            <v>1.9</v>
          </cell>
          <cell r="BL204">
            <v>128370</v>
          </cell>
          <cell r="BM204">
            <v>14839</v>
          </cell>
          <cell r="BN204">
            <v>143209</v>
          </cell>
          <cell r="BO204">
            <v>56898</v>
          </cell>
          <cell r="BP204">
            <v>2986</v>
          </cell>
          <cell r="BQ204">
            <v>59884</v>
          </cell>
          <cell r="BR204">
            <v>13413</v>
          </cell>
          <cell r="BS204">
            <v>73297</v>
          </cell>
          <cell r="BT204">
            <v>6065</v>
          </cell>
          <cell r="BU204">
            <v>20185</v>
          </cell>
          <cell r="BV204">
            <v>99546</v>
          </cell>
          <cell r="BW204">
            <v>29426</v>
          </cell>
          <cell r="BX204">
            <v>272181</v>
          </cell>
          <cell r="BY204">
            <v>32411</v>
          </cell>
          <cell r="BZ204">
            <v>-1091</v>
          </cell>
          <cell r="CA204">
            <v>303500</v>
          </cell>
          <cell r="CB204">
            <v>-3</v>
          </cell>
          <cell r="CC204">
            <v>6</v>
          </cell>
          <cell r="CD204">
            <v>0</v>
          </cell>
          <cell r="CE204">
            <v>0</v>
          </cell>
          <cell r="CF204">
            <v>0</v>
          </cell>
          <cell r="CG204">
            <v>0</v>
          </cell>
          <cell r="CH204">
            <v>7</v>
          </cell>
          <cell r="CI204">
            <v>-2</v>
          </cell>
          <cell r="CJ204">
            <v>2</v>
          </cell>
          <cell r="CK204">
            <v>5</v>
          </cell>
          <cell r="CL204">
            <v>-14</v>
          </cell>
          <cell r="CM204">
            <v>-5</v>
          </cell>
        </row>
        <row r="205">
          <cell r="A205">
            <v>39508</v>
          </cell>
          <cell r="B205">
            <v>128549</v>
          </cell>
          <cell r="C205">
            <v>14865</v>
          </cell>
          <cell r="D205">
            <v>143414</v>
          </cell>
          <cell r="E205">
            <v>52184</v>
          </cell>
          <cell r="F205">
            <v>3368</v>
          </cell>
          <cell r="G205">
            <v>55552</v>
          </cell>
          <cell r="H205">
            <v>13596</v>
          </cell>
          <cell r="I205">
            <v>69148</v>
          </cell>
          <cell r="J205">
            <v>6176</v>
          </cell>
          <cell r="K205">
            <v>20883</v>
          </cell>
          <cell r="L205">
            <v>96207</v>
          </cell>
          <cell r="M205">
            <v>25018</v>
          </cell>
          <cell r="N205">
            <v>266862</v>
          </cell>
          <cell r="O205">
            <v>30749</v>
          </cell>
          <cell r="P205">
            <v>-335</v>
          </cell>
          <cell r="Q205">
            <v>297276</v>
          </cell>
          <cell r="R205">
            <v>2.1</v>
          </cell>
          <cell r="S205">
            <v>1.9</v>
          </cell>
          <cell r="T205">
            <v>2.1</v>
          </cell>
          <cell r="U205">
            <v>0.4</v>
          </cell>
          <cell r="V205">
            <v>6.7</v>
          </cell>
          <cell r="W205">
            <v>0.8</v>
          </cell>
          <cell r="X205">
            <v>2.6</v>
          </cell>
          <cell r="Y205">
            <v>1.1000000000000001</v>
          </cell>
          <cell r="Z205">
            <v>1.8</v>
          </cell>
          <cell r="AA205">
            <v>3</v>
          </cell>
          <cell r="AB205">
            <v>1.6</v>
          </cell>
          <cell r="AC205">
            <v>4.5</v>
          </cell>
          <cell r="AD205">
            <v>3</v>
          </cell>
          <cell r="AE205">
            <v>0.5</v>
          </cell>
          <cell r="AF205">
            <v>2.6</v>
          </cell>
          <cell r="AG205">
            <v>128213</v>
          </cell>
          <cell r="AH205">
            <v>14826</v>
          </cell>
          <cell r="AI205">
            <v>143039</v>
          </cell>
          <cell r="AJ205">
            <v>53430</v>
          </cell>
          <cell r="AK205">
            <v>3628</v>
          </cell>
          <cell r="AL205">
            <v>57058</v>
          </cell>
          <cell r="AM205">
            <v>13444</v>
          </cell>
          <cell r="AN205">
            <v>70502</v>
          </cell>
          <cell r="AO205">
            <v>6171</v>
          </cell>
          <cell r="AP205">
            <v>20898</v>
          </cell>
          <cell r="AQ205">
            <v>97571</v>
          </cell>
          <cell r="AR205">
            <v>25405</v>
          </cell>
          <cell r="AS205">
            <v>266015</v>
          </cell>
          <cell r="AT205">
            <v>30784</v>
          </cell>
          <cell r="AU205">
            <v>-229</v>
          </cell>
          <cell r="AV205">
            <v>296570</v>
          </cell>
          <cell r="AW205">
            <v>2.1</v>
          </cell>
          <cell r="AX205">
            <v>2</v>
          </cell>
          <cell r="AY205">
            <v>2</v>
          </cell>
          <cell r="AZ205">
            <v>2.2999999999999998</v>
          </cell>
          <cell r="BA205">
            <v>21.2</v>
          </cell>
          <cell r="BB205">
            <v>3.3</v>
          </cell>
          <cell r="BC205">
            <v>0.6</v>
          </cell>
          <cell r="BD205">
            <v>2.8</v>
          </cell>
          <cell r="BE205">
            <v>1.8</v>
          </cell>
          <cell r="BF205">
            <v>3.2</v>
          </cell>
          <cell r="BG205">
            <v>2.8</v>
          </cell>
          <cell r="BH205">
            <v>6.7</v>
          </cell>
          <cell r="BI205">
            <v>2.7</v>
          </cell>
          <cell r="BJ205">
            <v>1.1000000000000001</v>
          </cell>
          <cell r="BK205">
            <v>2.4</v>
          </cell>
          <cell r="BL205">
            <v>124189</v>
          </cell>
          <cell r="BM205">
            <v>14366</v>
          </cell>
          <cell r="BN205">
            <v>138555</v>
          </cell>
          <cell r="BO205">
            <v>48556</v>
          </cell>
          <cell r="BP205">
            <v>3915</v>
          </cell>
          <cell r="BQ205">
            <v>52471</v>
          </cell>
          <cell r="BR205">
            <v>13267</v>
          </cell>
          <cell r="BS205">
            <v>65738</v>
          </cell>
          <cell r="BT205">
            <v>6171</v>
          </cell>
          <cell r="BU205">
            <v>20928</v>
          </cell>
          <cell r="BV205">
            <v>92837</v>
          </cell>
          <cell r="BW205">
            <v>23494</v>
          </cell>
          <cell r="BX205">
            <v>254886</v>
          </cell>
          <cell r="BY205">
            <v>29764</v>
          </cell>
          <cell r="BZ205">
            <v>-567</v>
          </cell>
          <cell r="CA205">
            <v>284083</v>
          </cell>
          <cell r="CB205">
            <v>-10</v>
          </cell>
          <cell r="CC205">
            <v>5</v>
          </cell>
          <cell r="CD205">
            <v>0</v>
          </cell>
          <cell r="CE205">
            <v>0</v>
          </cell>
          <cell r="CF205">
            <v>0</v>
          </cell>
          <cell r="CG205">
            <v>-1</v>
          </cell>
          <cell r="CH205">
            <v>5</v>
          </cell>
          <cell r="CI205">
            <v>0</v>
          </cell>
          <cell r="CJ205">
            <v>-6</v>
          </cell>
          <cell r="CK205">
            <v>-2</v>
          </cell>
          <cell r="CL205">
            <v>4</v>
          </cell>
          <cell r="CM205">
            <v>-3</v>
          </cell>
        </row>
        <row r="206">
          <cell r="A206">
            <v>39600</v>
          </cell>
          <cell r="B206">
            <v>131022</v>
          </cell>
          <cell r="C206">
            <v>15123</v>
          </cell>
          <cell r="D206">
            <v>146145</v>
          </cell>
          <cell r="E206">
            <v>60628</v>
          </cell>
          <cell r="F206">
            <v>3528</v>
          </cell>
          <cell r="G206">
            <v>64156</v>
          </cell>
          <cell r="H206">
            <v>14330</v>
          </cell>
          <cell r="I206">
            <v>78486</v>
          </cell>
          <cell r="J206">
            <v>6345</v>
          </cell>
          <cell r="K206">
            <v>21411</v>
          </cell>
          <cell r="L206">
            <v>106242</v>
          </cell>
          <cell r="M206">
            <v>25629</v>
          </cell>
          <cell r="N206">
            <v>275648</v>
          </cell>
          <cell r="O206">
            <v>30555</v>
          </cell>
          <cell r="P206">
            <v>-324</v>
          </cell>
          <cell r="Q206">
            <v>305879</v>
          </cell>
          <cell r="R206">
            <v>1.9</v>
          </cell>
          <cell r="S206">
            <v>1.7</v>
          </cell>
          <cell r="T206">
            <v>1.9</v>
          </cell>
          <cell r="U206">
            <v>16.2</v>
          </cell>
          <cell r="V206">
            <v>4.7</v>
          </cell>
          <cell r="W206">
            <v>15.5</v>
          </cell>
          <cell r="X206">
            <v>5.4</v>
          </cell>
          <cell r="Y206">
            <v>13.5</v>
          </cell>
          <cell r="Z206">
            <v>2.7</v>
          </cell>
          <cell r="AA206">
            <v>2.5</v>
          </cell>
          <cell r="AB206">
            <v>10.4</v>
          </cell>
          <cell r="AC206">
            <v>2.4</v>
          </cell>
          <cell r="AD206">
            <v>3.3</v>
          </cell>
          <cell r="AE206">
            <v>-0.6</v>
          </cell>
          <cell r="AF206">
            <v>2.9</v>
          </cell>
          <cell r="AG206">
            <v>131627</v>
          </cell>
          <cell r="AH206">
            <v>15207</v>
          </cell>
          <cell r="AI206">
            <v>146833</v>
          </cell>
          <cell r="AJ206">
            <v>57341</v>
          </cell>
          <cell r="AK206">
            <v>3474</v>
          </cell>
          <cell r="AL206">
            <v>60814</v>
          </cell>
          <cell r="AM206">
            <v>14198</v>
          </cell>
          <cell r="AN206">
            <v>75012</v>
          </cell>
          <cell r="AO206">
            <v>6318</v>
          </cell>
          <cell r="AP206">
            <v>21523</v>
          </cell>
          <cell r="AQ206">
            <v>102854</v>
          </cell>
          <cell r="AR206">
            <v>25745</v>
          </cell>
          <cell r="AS206">
            <v>275432</v>
          </cell>
          <cell r="AT206">
            <v>31061</v>
          </cell>
          <cell r="AU206">
            <v>-1364</v>
          </cell>
          <cell r="AV206">
            <v>305128</v>
          </cell>
          <cell r="AW206">
            <v>2.7</v>
          </cell>
          <cell r="AX206">
            <v>2.6</v>
          </cell>
          <cell r="AY206">
            <v>2.7</v>
          </cell>
          <cell r="AZ206">
            <v>7.3</v>
          </cell>
          <cell r="BA206">
            <v>-4.3</v>
          </cell>
          <cell r="BB206">
            <v>6.6</v>
          </cell>
          <cell r="BC206">
            <v>5.6</v>
          </cell>
          <cell r="BD206">
            <v>6.4</v>
          </cell>
          <cell r="BE206">
            <v>2.4</v>
          </cell>
          <cell r="BF206">
            <v>3</v>
          </cell>
          <cell r="BG206">
            <v>5.4</v>
          </cell>
          <cell r="BH206">
            <v>1.3</v>
          </cell>
          <cell r="BI206">
            <v>3.5</v>
          </cell>
          <cell r="BJ206">
            <v>0.9</v>
          </cell>
          <cell r="BK206">
            <v>2.9</v>
          </cell>
          <cell r="BL206">
            <v>132568</v>
          </cell>
          <cell r="BM206">
            <v>15311</v>
          </cell>
          <cell r="BN206">
            <v>147879</v>
          </cell>
          <cell r="BO206">
            <v>55764</v>
          </cell>
          <cell r="BP206">
            <v>3040</v>
          </cell>
          <cell r="BQ206">
            <v>58804</v>
          </cell>
          <cell r="BR206">
            <v>14409</v>
          </cell>
          <cell r="BS206">
            <v>73212</v>
          </cell>
          <cell r="BT206">
            <v>6318</v>
          </cell>
          <cell r="BU206">
            <v>21708</v>
          </cell>
          <cell r="BV206">
            <v>101238</v>
          </cell>
          <cell r="BW206">
            <v>22547</v>
          </cell>
          <cell r="BX206">
            <v>271664</v>
          </cell>
          <cell r="BY206">
            <v>30109</v>
          </cell>
          <cell r="BZ206">
            <v>2591</v>
          </cell>
          <cell r="CA206">
            <v>304364</v>
          </cell>
          <cell r="CB206">
            <v>23</v>
          </cell>
          <cell r="CC206">
            <v>2</v>
          </cell>
          <cell r="CD206">
            <v>0</v>
          </cell>
          <cell r="CE206">
            <v>0</v>
          </cell>
          <cell r="CF206">
            <v>0</v>
          </cell>
          <cell r="CG206">
            <v>0</v>
          </cell>
          <cell r="CH206">
            <v>2</v>
          </cell>
          <cell r="CI206">
            <v>-1</v>
          </cell>
          <cell r="CJ206">
            <v>24</v>
          </cell>
          <cell r="CK206">
            <v>-3</v>
          </cell>
          <cell r="CL206">
            <v>-23</v>
          </cell>
          <cell r="CM206">
            <v>-1</v>
          </cell>
        </row>
        <row r="207">
          <cell r="A207">
            <v>39692</v>
          </cell>
          <cell r="B207">
            <v>132542</v>
          </cell>
          <cell r="C207">
            <v>15266</v>
          </cell>
          <cell r="D207">
            <v>147807</v>
          </cell>
          <cell r="E207">
            <v>61899</v>
          </cell>
          <cell r="F207">
            <v>3452</v>
          </cell>
          <cell r="G207">
            <v>65351</v>
          </cell>
          <cell r="H207">
            <v>15323</v>
          </cell>
          <cell r="I207">
            <v>80674</v>
          </cell>
          <cell r="J207">
            <v>6538</v>
          </cell>
          <cell r="K207">
            <v>21878</v>
          </cell>
          <cell r="L207">
            <v>109089</v>
          </cell>
          <cell r="M207">
            <v>25729</v>
          </cell>
          <cell r="N207">
            <v>282892</v>
          </cell>
          <cell r="O207">
            <v>29941</v>
          </cell>
          <cell r="P207">
            <v>198</v>
          </cell>
          <cell r="Q207">
            <v>313032</v>
          </cell>
          <cell r="R207">
            <v>1.2</v>
          </cell>
          <cell r="S207">
            <v>0.9</v>
          </cell>
          <cell r="T207">
            <v>1.1000000000000001</v>
          </cell>
          <cell r="U207">
            <v>2.1</v>
          </cell>
          <cell r="V207">
            <v>-2.1</v>
          </cell>
          <cell r="W207">
            <v>1.9</v>
          </cell>
          <cell r="X207">
            <v>6.9</v>
          </cell>
          <cell r="Y207">
            <v>2.8</v>
          </cell>
          <cell r="Z207">
            <v>3</v>
          </cell>
          <cell r="AA207">
            <v>2.2000000000000002</v>
          </cell>
          <cell r="AB207">
            <v>2.7</v>
          </cell>
          <cell r="AC207">
            <v>0.4</v>
          </cell>
          <cell r="AD207">
            <v>2.6</v>
          </cell>
          <cell r="AE207">
            <v>-2</v>
          </cell>
          <cell r="AF207">
            <v>2.2999999999999998</v>
          </cell>
          <cell r="AG207">
            <v>132494</v>
          </cell>
          <cell r="AH207">
            <v>15253</v>
          </cell>
          <cell r="AI207">
            <v>147747</v>
          </cell>
          <cell r="AJ207">
            <v>64547</v>
          </cell>
          <cell r="AK207">
            <v>3500</v>
          </cell>
          <cell r="AL207">
            <v>68048</v>
          </cell>
          <cell r="AM207">
            <v>15489</v>
          </cell>
          <cell r="AN207">
            <v>83537</v>
          </cell>
          <cell r="AO207">
            <v>6562</v>
          </cell>
          <cell r="AP207">
            <v>21745</v>
          </cell>
          <cell r="AQ207">
            <v>111844</v>
          </cell>
          <cell r="AR207">
            <v>25228</v>
          </cell>
          <cell r="AS207">
            <v>284820</v>
          </cell>
          <cell r="AT207">
            <v>29604</v>
          </cell>
          <cell r="AU207">
            <v>710</v>
          </cell>
          <cell r="AV207">
            <v>315134</v>
          </cell>
          <cell r="AW207">
            <v>0.7</v>
          </cell>
          <cell r="AX207">
            <v>0.3</v>
          </cell>
          <cell r="AY207">
            <v>0.6</v>
          </cell>
          <cell r="AZ207">
            <v>12.6</v>
          </cell>
          <cell r="BA207">
            <v>0.8</v>
          </cell>
          <cell r="BB207">
            <v>11.9</v>
          </cell>
          <cell r="BC207">
            <v>9.1</v>
          </cell>
          <cell r="BD207">
            <v>11.4</v>
          </cell>
          <cell r="BE207">
            <v>3.9</v>
          </cell>
          <cell r="BF207">
            <v>1</v>
          </cell>
          <cell r="BG207">
            <v>8.6999999999999993</v>
          </cell>
          <cell r="BH207">
            <v>-2</v>
          </cell>
          <cell r="BI207">
            <v>3.4</v>
          </cell>
          <cell r="BJ207">
            <v>-4.7</v>
          </cell>
          <cell r="BK207">
            <v>3.3</v>
          </cell>
          <cell r="BL207">
            <v>132893</v>
          </cell>
          <cell r="BM207">
            <v>15319</v>
          </cell>
          <cell r="BN207">
            <v>148212</v>
          </cell>
          <cell r="BO207">
            <v>66492</v>
          </cell>
          <cell r="BP207">
            <v>3669</v>
          </cell>
          <cell r="BQ207">
            <v>70161</v>
          </cell>
          <cell r="BR207">
            <v>15418</v>
          </cell>
          <cell r="BS207">
            <v>85579</v>
          </cell>
          <cell r="BT207">
            <v>6562</v>
          </cell>
          <cell r="BU207">
            <v>21605</v>
          </cell>
          <cell r="BV207">
            <v>113746</v>
          </cell>
          <cell r="BW207">
            <v>24590</v>
          </cell>
          <cell r="BX207">
            <v>286548</v>
          </cell>
          <cell r="BY207">
            <v>29822</v>
          </cell>
          <cell r="BZ207">
            <v>-1330</v>
          </cell>
          <cell r="CA207">
            <v>315040</v>
          </cell>
          <cell r="CB207">
            <v>-14</v>
          </cell>
          <cell r="CC207">
            <v>-17</v>
          </cell>
          <cell r="CD207">
            <v>0</v>
          </cell>
          <cell r="CE207">
            <v>0</v>
          </cell>
          <cell r="CF207">
            <v>0</v>
          </cell>
          <cell r="CG207">
            <v>0</v>
          </cell>
          <cell r="CH207">
            <v>-17</v>
          </cell>
          <cell r="CI207">
            <v>2</v>
          </cell>
          <cell r="CJ207">
            <v>-28</v>
          </cell>
          <cell r="CK207">
            <v>-3</v>
          </cell>
          <cell r="CL207">
            <v>16</v>
          </cell>
          <cell r="CM207">
            <v>-15</v>
          </cell>
        </row>
        <row r="208">
          <cell r="A208">
            <v>39783</v>
          </cell>
          <cell r="B208">
            <v>132771</v>
          </cell>
          <cell r="C208">
            <v>15267</v>
          </cell>
          <cell r="D208">
            <v>148037</v>
          </cell>
          <cell r="E208">
            <v>63284</v>
          </cell>
          <cell r="F208">
            <v>3355</v>
          </cell>
          <cell r="G208">
            <v>66639</v>
          </cell>
          <cell r="H208">
            <v>16289</v>
          </cell>
          <cell r="I208">
            <v>82928</v>
          </cell>
          <cell r="J208">
            <v>6703</v>
          </cell>
          <cell r="K208">
            <v>22365</v>
          </cell>
          <cell r="L208">
            <v>111996</v>
          </cell>
          <cell r="M208">
            <v>25599</v>
          </cell>
          <cell r="N208">
            <v>286096</v>
          </cell>
          <cell r="O208">
            <v>29504</v>
          </cell>
          <cell r="P208">
            <v>410</v>
          </cell>
          <cell r="Q208">
            <v>316010</v>
          </cell>
          <cell r="R208">
            <v>0.2</v>
          </cell>
          <cell r="S208">
            <v>0</v>
          </cell>
          <cell r="T208">
            <v>0.2</v>
          </cell>
          <cell r="U208">
            <v>2.2000000000000002</v>
          </cell>
          <cell r="V208">
            <v>-2.8</v>
          </cell>
          <cell r="W208">
            <v>2</v>
          </cell>
          <cell r="X208">
            <v>6.3</v>
          </cell>
          <cell r="Y208">
            <v>2.8</v>
          </cell>
          <cell r="Z208">
            <v>2.5</v>
          </cell>
          <cell r="AA208">
            <v>2.2000000000000002</v>
          </cell>
          <cell r="AB208">
            <v>2.7</v>
          </cell>
          <cell r="AC208">
            <v>-0.5</v>
          </cell>
          <cell r="AD208">
            <v>1.1000000000000001</v>
          </cell>
          <cell r="AE208">
            <v>-1.5</v>
          </cell>
          <cell r="AF208">
            <v>1</v>
          </cell>
          <cell r="AG208">
            <v>132938</v>
          </cell>
          <cell r="AH208">
            <v>15274</v>
          </cell>
          <cell r="AI208">
            <v>148212</v>
          </cell>
          <cell r="AJ208">
            <v>62422</v>
          </cell>
          <cell r="AK208">
            <v>3239</v>
          </cell>
          <cell r="AL208">
            <v>65661</v>
          </cell>
          <cell r="AM208">
            <v>16193</v>
          </cell>
          <cell r="AN208">
            <v>81854</v>
          </cell>
          <cell r="AO208">
            <v>6709</v>
          </cell>
          <cell r="AP208">
            <v>22376</v>
          </cell>
          <cell r="AQ208">
            <v>110938</v>
          </cell>
          <cell r="AR208">
            <v>26134</v>
          </cell>
          <cell r="AS208">
            <v>285284</v>
          </cell>
          <cell r="AT208">
            <v>29302</v>
          </cell>
          <cell r="AU208">
            <v>1229</v>
          </cell>
          <cell r="AV208">
            <v>315815</v>
          </cell>
          <cell r="AW208">
            <v>0.3</v>
          </cell>
          <cell r="AX208">
            <v>0.1</v>
          </cell>
          <cell r="AY208">
            <v>0.3</v>
          </cell>
          <cell r="AZ208">
            <v>-3.3</v>
          </cell>
          <cell r="BA208">
            <v>-7.5</v>
          </cell>
          <cell r="BB208">
            <v>-3.5</v>
          </cell>
          <cell r="BC208">
            <v>4.5</v>
          </cell>
          <cell r="BD208">
            <v>-2</v>
          </cell>
          <cell r="BE208">
            <v>2.2000000000000002</v>
          </cell>
          <cell r="BF208">
            <v>2.9</v>
          </cell>
          <cell r="BG208">
            <v>-0.8</v>
          </cell>
          <cell r="BH208">
            <v>3.6</v>
          </cell>
          <cell r="BI208">
            <v>0.2</v>
          </cell>
          <cell r="BJ208">
            <v>-1</v>
          </cell>
          <cell r="BK208">
            <v>0.2</v>
          </cell>
          <cell r="BL208">
            <v>135713</v>
          </cell>
          <cell r="BM208">
            <v>15571</v>
          </cell>
          <cell r="BN208">
            <v>151284</v>
          </cell>
          <cell r="BO208">
            <v>67988</v>
          </cell>
          <cell r="BP208">
            <v>3246</v>
          </cell>
          <cell r="BQ208">
            <v>71234</v>
          </cell>
          <cell r="BR208">
            <v>16236</v>
          </cell>
          <cell r="BS208">
            <v>87470</v>
          </cell>
          <cell r="BT208">
            <v>6709</v>
          </cell>
          <cell r="BU208">
            <v>22298</v>
          </cell>
          <cell r="BV208">
            <v>116477</v>
          </cell>
          <cell r="BW208">
            <v>30567</v>
          </cell>
          <cell r="BX208">
            <v>298329</v>
          </cell>
          <cell r="BY208">
            <v>31116</v>
          </cell>
          <cell r="BZ208">
            <v>487</v>
          </cell>
          <cell r="CA208">
            <v>329932</v>
          </cell>
          <cell r="CB208">
            <v>2</v>
          </cell>
          <cell r="CC208">
            <v>8</v>
          </cell>
          <cell r="CD208">
            <v>0</v>
          </cell>
          <cell r="CE208">
            <v>1</v>
          </cell>
          <cell r="CF208">
            <v>-1</v>
          </cell>
          <cell r="CG208">
            <v>0</v>
          </cell>
          <cell r="CH208">
            <v>8</v>
          </cell>
          <cell r="CI208">
            <v>-2</v>
          </cell>
          <cell r="CJ208">
            <v>7</v>
          </cell>
          <cell r="CK208">
            <v>9</v>
          </cell>
          <cell r="CL208">
            <v>-26</v>
          </cell>
          <cell r="CM208">
            <v>-9</v>
          </cell>
        </row>
        <row r="209">
          <cell r="A209">
            <v>39873</v>
          </cell>
          <cell r="B209">
            <v>132436</v>
          </cell>
          <cell r="C209">
            <v>15220</v>
          </cell>
          <cell r="D209">
            <v>147656</v>
          </cell>
          <cell r="E209">
            <v>63504</v>
          </cell>
          <cell r="F209">
            <v>3318</v>
          </cell>
          <cell r="G209">
            <v>66822</v>
          </cell>
          <cell r="H209">
            <v>16834</v>
          </cell>
          <cell r="I209">
            <v>83656</v>
          </cell>
          <cell r="J209">
            <v>6794</v>
          </cell>
          <cell r="K209">
            <v>22876</v>
          </cell>
          <cell r="L209">
            <v>113326</v>
          </cell>
          <cell r="M209">
            <v>25422</v>
          </cell>
          <cell r="N209">
            <v>285033</v>
          </cell>
          <cell r="O209">
            <v>29609</v>
          </cell>
          <cell r="P209">
            <v>162</v>
          </cell>
          <cell r="Q209">
            <v>314804</v>
          </cell>
          <cell r="R209">
            <v>-0.3</v>
          </cell>
          <cell r="S209">
            <v>-0.3</v>
          </cell>
          <cell r="T209">
            <v>-0.3</v>
          </cell>
          <cell r="U209">
            <v>0.3</v>
          </cell>
          <cell r="V209">
            <v>-1.1000000000000001</v>
          </cell>
          <cell r="W209">
            <v>0.3</v>
          </cell>
          <cell r="X209">
            <v>3.3</v>
          </cell>
          <cell r="Y209">
            <v>0.9</v>
          </cell>
          <cell r="Z209">
            <v>1.4</v>
          </cell>
          <cell r="AA209">
            <v>2.2999999999999998</v>
          </cell>
          <cell r="AB209">
            <v>1.2</v>
          </cell>
          <cell r="AC209">
            <v>-0.7</v>
          </cell>
          <cell r="AD209">
            <v>-0.4</v>
          </cell>
          <cell r="AE209">
            <v>0.4</v>
          </cell>
          <cell r="AF209">
            <v>-0.4</v>
          </cell>
          <cell r="AG209">
            <v>132478</v>
          </cell>
          <cell r="AH209">
            <v>15237</v>
          </cell>
          <cell r="AI209">
            <v>147715</v>
          </cell>
          <cell r="AJ209">
            <v>63667</v>
          </cell>
          <cell r="AK209">
            <v>3392</v>
          </cell>
          <cell r="AL209">
            <v>67059</v>
          </cell>
          <cell r="AM209">
            <v>16980</v>
          </cell>
          <cell r="AN209">
            <v>84039</v>
          </cell>
          <cell r="AO209">
            <v>6798</v>
          </cell>
          <cell r="AP209">
            <v>22911</v>
          </cell>
          <cell r="AQ209">
            <v>113749</v>
          </cell>
          <cell r="AR209">
            <v>25204</v>
          </cell>
          <cell r="AS209">
            <v>286668</v>
          </cell>
          <cell r="AT209">
            <v>29796</v>
          </cell>
          <cell r="AU209">
            <v>-748</v>
          </cell>
          <cell r="AV209">
            <v>315716</v>
          </cell>
          <cell r="AW209">
            <v>-0.3</v>
          </cell>
          <cell r="AX209">
            <v>-0.2</v>
          </cell>
          <cell r="AY209">
            <v>-0.3</v>
          </cell>
          <cell r="AZ209">
            <v>2</v>
          </cell>
          <cell r="BA209">
            <v>4.7</v>
          </cell>
          <cell r="BB209">
            <v>2.1</v>
          </cell>
          <cell r="BC209">
            <v>4.9000000000000004</v>
          </cell>
          <cell r="BD209">
            <v>2.7</v>
          </cell>
          <cell r="BE209">
            <v>1.3</v>
          </cell>
          <cell r="BF209">
            <v>2.4</v>
          </cell>
          <cell r="BG209">
            <v>2.5</v>
          </cell>
          <cell r="BH209">
            <v>-3.6</v>
          </cell>
          <cell r="BI209">
            <v>0.5</v>
          </cell>
          <cell r="BJ209">
            <v>1.7</v>
          </cell>
          <cell r="BK209">
            <v>0</v>
          </cell>
          <cell r="BL209">
            <v>128290</v>
          </cell>
          <cell r="BM209">
            <v>14755</v>
          </cell>
          <cell r="BN209">
            <v>143045</v>
          </cell>
          <cell r="BO209">
            <v>58013</v>
          </cell>
          <cell r="BP209">
            <v>3657</v>
          </cell>
          <cell r="BQ209">
            <v>61670</v>
          </cell>
          <cell r="BR209">
            <v>16761</v>
          </cell>
          <cell r="BS209">
            <v>78431</v>
          </cell>
          <cell r="BT209">
            <v>6798</v>
          </cell>
          <cell r="BU209">
            <v>22941</v>
          </cell>
          <cell r="BV209">
            <v>108171</v>
          </cell>
          <cell r="BW209">
            <v>23726</v>
          </cell>
          <cell r="BX209">
            <v>274942</v>
          </cell>
          <cell r="BY209">
            <v>28860</v>
          </cell>
          <cell r="BZ209">
            <v>-1687</v>
          </cell>
          <cell r="CA209">
            <v>302114</v>
          </cell>
          <cell r="CB209">
            <v>-19</v>
          </cell>
          <cell r="CC209">
            <v>8</v>
          </cell>
          <cell r="CD209">
            <v>0</v>
          </cell>
          <cell r="CE209">
            <v>0</v>
          </cell>
          <cell r="CF209">
            <v>1</v>
          </cell>
          <cell r="CG209">
            <v>0</v>
          </cell>
          <cell r="CH209">
            <v>8</v>
          </cell>
          <cell r="CI209">
            <v>1</v>
          </cell>
          <cell r="CJ209">
            <v>-9</v>
          </cell>
          <cell r="CK209">
            <v>-4</v>
          </cell>
          <cell r="CL209">
            <v>7</v>
          </cell>
          <cell r="CM209">
            <v>-6</v>
          </cell>
        </row>
        <row r="210">
          <cell r="A210">
            <v>39965</v>
          </cell>
          <cell r="B210">
            <v>132621</v>
          </cell>
          <cell r="C210">
            <v>15248</v>
          </cell>
          <cell r="D210">
            <v>147869</v>
          </cell>
          <cell r="E210">
            <v>58138</v>
          </cell>
          <cell r="F210">
            <v>3375</v>
          </cell>
          <cell r="G210">
            <v>61513</v>
          </cell>
          <cell r="H210">
            <v>16825</v>
          </cell>
          <cell r="I210">
            <v>78338</v>
          </cell>
          <cell r="J210">
            <v>6814</v>
          </cell>
          <cell r="K210">
            <v>23336</v>
          </cell>
          <cell r="L210">
            <v>108487</v>
          </cell>
          <cell r="M210">
            <v>25401</v>
          </cell>
          <cell r="N210">
            <v>283136</v>
          </cell>
          <cell r="O210">
            <v>30265</v>
          </cell>
          <cell r="P210">
            <v>-425</v>
          </cell>
          <cell r="Q210">
            <v>312976</v>
          </cell>
          <cell r="R210">
            <v>0.1</v>
          </cell>
          <cell r="S210">
            <v>0.2</v>
          </cell>
          <cell r="T210">
            <v>0.1</v>
          </cell>
          <cell r="U210">
            <v>-8.4</v>
          </cell>
          <cell r="V210">
            <v>1.7</v>
          </cell>
          <cell r="W210">
            <v>-7.9</v>
          </cell>
          <cell r="X210">
            <v>-0.1</v>
          </cell>
          <cell r="Y210">
            <v>-6.4</v>
          </cell>
          <cell r="Z210">
            <v>0.3</v>
          </cell>
          <cell r="AA210">
            <v>2</v>
          </cell>
          <cell r="AB210">
            <v>-4.3</v>
          </cell>
          <cell r="AC210">
            <v>-0.1</v>
          </cell>
          <cell r="AD210">
            <v>-0.7</v>
          </cell>
          <cell r="AE210">
            <v>2.2000000000000002</v>
          </cell>
          <cell r="AF210">
            <v>-0.6</v>
          </cell>
          <cell r="AG210">
            <v>132130</v>
          </cell>
          <cell r="AH210">
            <v>15180</v>
          </cell>
          <cell r="AI210">
            <v>147310</v>
          </cell>
          <cell r="AJ210">
            <v>58755</v>
          </cell>
          <cell r="AK210">
            <v>3406</v>
          </cell>
          <cell r="AL210">
            <v>62161</v>
          </cell>
          <cell r="AM210">
            <v>16952</v>
          </cell>
          <cell r="AN210">
            <v>79113</v>
          </cell>
          <cell r="AO210">
            <v>6832</v>
          </cell>
          <cell r="AP210">
            <v>23340</v>
          </cell>
          <cell r="AQ210">
            <v>109284</v>
          </cell>
          <cell r="AR210">
            <v>25385</v>
          </cell>
          <cell r="AS210">
            <v>281979</v>
          </cell>
          <cell r="AT210">
            <v>30153</v>
          </cell>
          <cell r="AU210">
            <v>-326</v>
          </cell>
          <cell r="AV210">
            <v>311806</v>
          </cell>
          <cell r="AW210">
            <v>-0.3</v>
          </cell>
          <cell r="AX210">
            <v>-0.4</v>
          </cell>
          <cell r="AY210">
            <v>-0.3</v>
          </cell>
          <cell r="AZ210">
            <v>-7.7</v>
          </cell>
          <cell r="BA210">
            <v>0.4</v>
          </cell>
          <cell r="BB210">
            <v>-7.3</v>
          </cell>
          <cell r="BC210">
            <v>-0.2</v>
          </cell>
          <cell r="BD210">
            <v>-5.9</v>
          </cell>
          <cell r="BE210">
            <v>0.5</v>
          </cell>
          <cell r="BF210">
            <v>1.9</v>
          </cell>
          <cell r="BG210">
            <v>-3.9</v>
          </cell>
          <cell r="BH210">
            <v>0.7</v>
          </cell>
          <cell r="BI210">
            <v>-1.6</v>
          </cell>
          <cell r="BJ210">
            <v>1.2</v>
          </cell>
          <cell r="BK210">
            <v>-1.2</v>
          </cell>
          <cell r="BL210">
            <v>133246</v>
          </cell>
          <cell r="BM210">
            <v>15313</v>
          </cell>
          <cell r="BN210">
            <v>148558</v>
          </cell>
          <cell r="BO210">
            <v>57495</v>
          </cell>
          <cell r="BP210">
            <v>2910</v>
          </cell>
          <cell r="BQ210">
            <v>60406</v>
          </cell>
          <cell r="BR210">
            <v>17199</v>
          </cell>
          <cell r="BS210">
            <v>77605</v>
          </cell>
          <cell r="BT210">
            <v>6832</v>
          </cell>
          <cell r="BU210">
            <v>23532</v>
          </cell>
          <cell r="BV210">
            <v>107968</v>
          </cell>
          <cell r="BW210">
            <v>23132</v>
          </cell>
          <cell r="BX210">
            <v>279659</v>
          </cell>
          <cell r="BY210">
            <v>29027</v>
          </cell>
          <cell r="BZ210">
            <v>2530</v>
          </cell>
          <cell r="CA210">
            <v>311216</v>
          </cell>
          <cell r="CB210">
            <v>41</v>
          </cell>
          <cell r="CC210">
            <v>-4</v>
          </cell>
          <cell r="CD210">
            <v>-1</v>
          </cell>
          <cell r="CE210">
            <v>-1</v>
          </cell>
          <cell r="CF210">
            <v>-1</v>
          </cell>
          <cell r="CG210">
            <v>0</v>
          </cell>
          <cell r="CH210">
            <v>-5</v>
          </cell>
          <cell r="CI210">
            <v>-1</v>
          </cell>
          <cell r="CJ210">
            <v>35</v>
          </cell>
          <cell r="CK210">
            <v>-3</v>
          </cell>
          <cell r="CL210">
            <v>-28</v>
          </cell>
          <cell r="CM210">
            <v>3</v>
          </cell>
        </row>
        <row r="211">
          <cell r="A211">
            <v>40057</v>
          </cell>
          <cell r="B211">
            <v>133739</v>
          </cell>
          <cell r="C211">
            <v>15379</v>
          </cell>
          <cell r="D211">
            <v>149117</v>
          </cell>
          <cell r="E211">
            <v>58251</v>
          </cell>
          <cell r="F211">
            <v>3527</v>
          </cell>
          <cell r="G211">
            <v>61777</v>
          </cell>
          <cell r="H211">
            <v>16561</v>
          </cell>
          <cell r="I211">
            <v>78338</v>
          </cell>
          <cell r="J211">
            <v>6809</v>
          </cell>
          <cell r="K211">
            <v>23672</v>
          </cell>
          <cell r="L211">
            <v>108820</v>
          </cell>
          <cell r="M211">
            <v>25952</v>
          </cell>
          <cell r="N211">
            <v>283500</v>
          </cell>
          <cell r="O211">
            <v>31017</v>
          </cell>
          <cell r="P211">
            <v>-588</v>
          </cell>
          <cell r="Q211">
            <v>313928</v>
          </cell>
          <cell r="R211">
            <v>0.8</v>
          </cell>
          <cell r="S211">
            <v>0.9</v>
          </cell>
          <cell r="T211">
            <v>0.8</v>
          </cell>
          <cell r="U211">
            <v>0.2</v>
          </cell>
          <cell r="V211">
            <v>4.5</v>
          </cell>
          <cell r="W211">
            <v>0.4</v>
          </cell>
          <cell r="X211">
            <v>-1.6</v>
          </cell>
          <cell r="Y211">
            <v>0</v>
          </cell>
          <cell r="Z211">
            <v>-0.1</v>
          </cell>
          <cell r="AA211">
            <v>1.4</v>
          </cell>
          <cell r="AB211">
            <v>0.3</v>
          </cell>
          <cell r="AC211">
            <v>2.2000000000000002</v>
          </cell>
          <cell r="AD211">
            <v>0.1</v>
          </cell>
          <cell r="AE211">
            <v>2.5</v>
          </cell>
          <cell r="AF211">
            <v>0.3</v>
          </cell>
          <cell r="AG211">
            <v>133875</v>
          </cell>
          <cell r="AH211">
            <v>15400</v>
          </cell>
          <cell r="AI211">
            <v>149275</v>
          </cell>
          <cell r="AJ211">
            <v>56935</v>
          </cell>
          <cell r="AK211">
            <v>3356</v>
          </cell>
          <cell r="AL211">
            <v>60291</v>
          </cell>
          <cell r="AM211">
            <v>16484</v>
          </cell>
          <cell r="AN211">
            <v>76775</v>
          </cell>
          <cell r="AO211">
            <v>6785</v>
          </cell>
          <cell r="AP211">
            <v>23681</v>
          </cell>
          <cell r="AQ211">
            <v>107241</v>
          </cell>
          <cell r="AR211">
            <v>25656</v>
          </cell>
          <cell r="AS211">
            <v>282171</v>
          </cell>
          <cell r="AT211">
            <v>30968</v>
          </cell>
          <cell r="AU211">
            <v>1</v>
          </cell>
          <cell r="AV211">
            <v>313141</v>
          </cell>
          <cell r="AW211">
            <v>1.3</v>
          </cell>
          <cell r="AX211">
            <v>1.4</v>
          </cell>
          <cell r="AY211">
            <v>1.3</v>
          </cell>
          <cell r="AZ211">
            <v>-3.1</v>
          </cell>
          <cell r="BA211">
            <v>-1.5</v>
          </cell>
          <cell r="BB211">
            <v>-3</v>
          </cell>
          <cell r="BC211">
            <v>-2.8</v>
          </cell>
          <cell r="BD211">
            <v>-3</v>
          </cell>
          <cell r="BE211">
            <v>-0.7</v>
          </cell>
          <cell r="BF211">
            <v>1.5</v>
          </cell>
          <cell r="BG211">
            <v>-1.9</v>
          </cell>
          <cell r="BH211">
            <v>1.1000000000000001</v>
          </cell>
          <cell r="BI211">
            <v>0.1</v>
          </cell>
          <cell r="BJ211">
            <v>2.7</v>
          </cell>
          <cell r="BK211">
            <v>0.4</v>
          </cell>
          <cell r="BL211">
            <v>134222</v>
          </cell>
          <cell r="BM211">
            <v>15463</v>
          </cell>
          <cell r="BN211">
            <v>149685</v>
          </cell>
          <cell r="BO211">
            <v>58676</v>
          </cell>
          <cell r="BP211">
            <v>3574</v>
          </cell>
          <cell r="BQ211">
            <v>62249</v>
          </cell>
          <cell r="BR211">
            <v>16418</v>
          </cell>
          <cell r="BS211">
            <v>78667</v>
          </cell>
          <cell r="BT211">
            <v>6785</v>
          </cell>
          <cell r="BU211">
            <v>23541</v>
          </cell>
          <cell r="BV211">
            <v>108993</v>
          </cell>
          <cell r="BW211">
            <v>25495</v>
          </cell>
          <cell r="BX211">
            <v>284173</v>
          </cell>
          <cell r="BY211">
            <v>31205</v>
          </cell>
          <cell r="BZ211">
            <v>-2279</v>
          </cell>
          <cell r="CA211">
            <v>313098</v>
          </cell>
          <cell r="CB211">
            <v>-38</v>
          </cell>
          <cell r="CC211">
            <v>-10</v>
          </cell>
          <cell r="CD211">
            <v>0</v>
          </cell>
          <cell r="CE211">
            <v>0</v>
          </cell>
          <cell r="CF211">
            <v>0</v>
          </cell>
          <cell r="CG211">
            <v>1</v>
          </cell>
          <cell r="CH211">
            <v>-9</v>
          </cell>
          <cell r="CI211">
            <v>5</v>
          </cell>
          <cell r="CJ211">
            <v>-42</v>
          </cell>
          <cell r="CK211">
            <v>-5</v>
          </cell>
          <cell r="CL211">
            <v>29</v>
          </cell>
          <cell r="CM211">
            <v>-17</v>
          </cell>
        </row>
        <row r="212">
          <cell r="A212">
            <v>40148</v>
          </cell>
          <cell r="B212">
            <v>135918</v>
          </cell>
          <cell r="C212">
            <v>15623</v>
          </cell>
          <cell r="D212">
            <v>151541</v>
          </cell>
          <cell r="E212">
            <v>58849</v>
          </cell>
          <cell r="F212">
            <v>3746</v>
          </cell>
          <cell r="G212">
            <v>62595</v>
          </cell>
          <cell r="H212">
            <v>16470</v>
          </cell>
          <cell r="I212">
            <v>79065</v>
          </cell>
          <cell r="J212">
            <v>6821</v>
          </cell>
          <cell r="K212">
            <v>23955</v>
          </cell>
          <cell r="L212">
            <v>109841</v>
          </cell>
          <cell r="M212">
            <v>26872</v>
          </cell>
          <cell r="N212">
            <v>287978</v>
          </cell>
          <cell r="O212">
            <v>31726</v>
          </cell>
          <cell r="P212">
            <v>-458</v>
          </cell>
          <cell r="Q212">
            <v>319247</v>
          </cell>
          <cell r="R212">
            <v>1.6</v>
          </cell>
          <cell r="S212">
            <v>1.6</v>
          </cell>
          <cell r="T212">
            <v>1.6</v>
          </cell>
          <cell r="U212">
            <v>1</v>
          </cell>
          <cell r="V212">
            <v>6.2</v>
          </cell>
          <cell r="W212">
            <v>1.3</v>
          </cell>
          <cell r="X212">
            <v>-0.6</v>
          </cell>
          <cell r="Y212">
            <v>0.9</v>
          </cell>
          <cell r="Z212">
            <v>0.2</v>
          </cell>
          <cell r="AA212">
            <v>1.2</v>
          </cell>
          <cell r="AB212">
            <v>0.9</v>
          </cell>
          <cell r="AC212">
            <v>3.5</v>
          </cell>
          <cell r="AD212">
            <v>1.6</v>
          </cell>
          <cell r="AE212">
            <v>2.2999999999999998</v>
          </cell>
          <cell r="AF212">
            <v>1.7</v>
          </cell>
          <cell r="AG212">
            <v>136013</v>
          </cell>
          <cell r="AH212">
            <v>15640</v>
          </cell>
          <cell r="AI212">
            <v>151653</v>
          </cell>
          <cell r="AJ212">
            <v>59491</v>
          </cell>
          <cell r="AK212">
            <v>3954</v>
          </cell>
          <cell r="AL212">
            <v>63445</v>
          </cell>
          <cell r="AM212">
            <v>16177</v>
          </cell>
          <cell r="AN212">
            <v>79622</v>
          </cell>
          <cell r="AO212">
            <v>6818</v>
          </cell>
          <cell r="AP212">
            <v>23962</v>
          </cell>
          <cell r="AQ212">
            <v>110403</v>
          </cell>
          <cell r="AR212">
            <v>26971</v>
          </cell>
          <cell r="AS212">
            <v>289026</v>
          </cell>
          <cell r="AT212">
            <v>32016</v>
          </cell>
          <cell r="AU212">
            <v>-1429</v>
          </cell>
          <cell r="AV212">
            <v>319613</v>
          </cell>
          <cell r="AW212">
            <v>1.6</v>
          </cell>
          <cell r="AX212">
            <v>1.6</v>
          </cell>
          <cell r="AY212">
            <v>1.6</v>
          </cell>
          <cell r="AZ212">
            <v>4.5</v>
          </cell>
          <cell r="BA212">
            <v>17.8</v>
          </cell>
          <cell r="BB212">
            <v>5.2</v>
          </cell>
          <cell r="BC212">
            <v>-1.9</v>
          </cell>
          <cell r="BD212">
            <v>3.7</v>
          </cell>
          <cell r="BE212">
            <v>0.5</v>
          </cell>
          <cell r="BF212">
            <v>1.2</v>
          </cell>
          <cell r="BG212">
            <v>2.9</v>
          </cell>
          <cell r="BH212">
            <v>5.0999999999999996</v>
          </cell>
          <cell r="BI212">
            <v>2.4</v>
          </cell>
          <cell r="BJ212">
            <v>3.4</v>
          </cell>
          <cell r="BK212">
            <v>2.1</v>
          </cell>
          <cell r="BL212">
            <v>138763</v>
          </cell>
          <cell r="BM212">
            <v>15926</v>
          </cell>
          <cell r="BN212">
            <v>154690</v>
          </cell>
          <cell r="BO212">
            <v>64133</v>
          </cell>
          <cell r="BP212">
            <v>3999</v>
          </cell>
          <cell r="BQ212">
            <v>68133</v>
          </cell>
          <cell r="BR212">
            <v>16212</v>
          </cell>
          <cell r="BS212">
            <v>84345</v>
          </cell>
          <cell r="BT212">
            <v>6818</v>
          </cell>
          <cell r="BU212">
            <v>23880</v>
          </cell>
          <cell r="BV212">
            <v>115043</v>
          </cell>
          <cell r="BW212">
            <v>30483</v>
          </cell>
          <cell r="BX212">
            <v>300216</v>
          </cell>
          <cell r="BY212">
            <v>33868</v>
          </cell>
          <cell r="BZ212">
            <v>-648</v>
          </cell>
          <cell r="CA212">
            <v>333437</v>
          </cell>
          <cell r="CB212">
            <v>15</v>
          </cell>
          <cell r="CC212">
            <v>10</v>
          </cell>
          <cell r="CD212">
            <v>0</v>
          </cell>
          <cell r="CE212">
            <v>1</v>
          </cell>
          <cell r="CF212">
            <v>0</v>
          </cell>
          <cell r="CG212">
            <v>0</v>
          </cell>
          <cell r="CH212">
            <v>11</v>
          </cell>
          <cell r="CI212">
            <v>-1</v>
          </cell>
          <cell r="CJ212">
            <v>24</v>
          </cell>
          <cell r="CK212">
            <v>15</v>
          </cell>
          <cell r="CL212">
            <v>-26</v>
          </cell>
          <cell r="CM212">
            <v>14</v>
          </cell>
        </row>
        <row r="213">
          <cell r="A213">
            <v>40238</v>
          </cell>
          <cell r="B213">
            <v>138858</v>
          </cell>
          <cell r="C213">
            <v>15933</v>
          </cell>
          <cell r="D213">
            <v>154791</v>
          </cell>
          <cell r="E213">
            <v>59687</v>
          </cell>
          <cell r="F213">
            <v>4073</v>
          </cell>
          <cell r="G213">
            <v>63760</v>
          </cell>
          <cell r="H213">
            <v>16687</v>
          </cell>
          <cell r="I213">
            <v>80447</v>
          </cell>
          <cell r="J213">
            <v>6873</v>
          </cell>
          <cell r="K213">
            <v>24251</v>
          </cell>
          <cell r="L213">
            <v>111570</v>
          </cell>
          <cell r="M213">
            <v>27473</v>
          </cell>
          <cell r="N213">
            <v>295790</v>
          </cell>
          <cell r="O213">
            <v>32364</v>
          </cell>
          <cell r="P213">
            <v>-312</v>
          </cell>
          <cell r="Q213">
            <v>327842</v>
          </cell>
          <cell r="R213">
            <v>2.2000000000000002</v>
          </cell>
          <cell r="S213">
            <v>2</v>
          </cell>
          <cell r="T213">
            <v>2.1</v>
          </cell>
          <cell r="U213">
            <v>1.4</v>
          </cell>
          <cell r="V213">
            <v>8.6999999999999993</v>
          </cell>
          <cell r="W213">
            <v>1.9</v>
          </cell>
          <cell r="X213">
            <v>1.3</v>
          </cell>
          <cell r="Y213">
            <v>1.7</v>
          </cell>
          <cell r="Z213">
            <v>0.8</v>
          </cell>
          <cell r="AA213">
            <v>1.2</v>
          </cell>
          <cell r="AB213">
            <v>1.6</v>
          </cell>
          <cell r="AC213">
            <v>2.2000000000000002</v>
          </cell>
          <cell r="AD213">
            <v>2.7</v>
          </cell>
          <cell r="AE213">
            <v>2</v>
          </cell>
          <cell r="AF213">
            <v>2.7</v>
          </cell>
          <cell r="AG213">
            <v>138569</v>
          </cell>
          <cell r="AH213">
            <v>15890</v>
          </cell>
          <cell r="AI213">
            <v>154459</v>
          </cell>
          <cell r="AJ213">
            <v>59850</v>
          </cell>
          <cell r="AK213">
            <v>3908</v>
          </cell>
          <cell r="AL213">
            <v>63758</v>
          </cell>
          <cell r="AM213">
            <v>16844</v>
          </cell>
          <cell r="AN213">
            <v>80602</v>
          </cell>
          <cell r="AO213">
            <v>6874</v>
          </cell>
          <cell r="AP213">
            <v>24216</v>
          </cell>
          <cell r="AQ213">
            <v>111692</v>
          </cell>
          <cell r="AR213">
            <v>28045</v>
          </cell>
          <cell r="AS213">
            <v>294196</v>
          </cell>
          <cell r="AT213">
            <v>32104</v>
          </cell>
          <cell r="AU213">
            <v>301</v>
          </cell>
          <cell r="AV213">
            <v>326601</v>
          </cell>
          <cell r="AW213">
            <v>1.9</v>
          </cell>
          <cell r="AX213">
            <v>1.6</v>
          </cell>
          <cell r="AY213">
            <v>1.9</v>
          </cell>
          <cell r="AZ213">
            <v>0.6</v>
          </cell>
          <cell r="BA213">
            <v>-1.2</v>
          </cell>
          <cell r="BB213">
            <v>0.5</v>
          </cell>
          <cell r="BC213">
            <v>4.0999999999999996</v>
          </cell>
          <cell r="BD213">
            <v>1.2</v>
          </cell>
          <cell r="BE213">
            <v>0.8</v>
          </cell>
          <cell r="BF213">
            <v>1.1000000000000001</v>
          </cell>
          <cell r="BG213">
            <v>1.2</v>
          </cell>
          <cell r="BH213">
            <v>4</v>
          </cell>
          <cell r="BI213">
            <v>1.8</v>
          </cell>
          <cell r="BJ213">
            <v>0.3</v>
          </cell>
          <cell r="BK213">
            <v>2.2000000000000002</v>
          </cell>
          <cell r="BL213">
            <v>134171</v>
          </cell>
          <cell r="BM213">
            <v>15379</v>
          </cell>
          <cell r="BN213">
            <v>149550</v>
          </cell>
          <cell r="BO213">
            <v>54379</v>
          </cell>
          <cell r="BP213">
            <v>4210</v>
          </cell>
          <cell r="BQ213">
            <v>58588</v>
          </cell>
          <cell r="BR213">
            <v>16636</v>
          </cell>
          <cell r="BS213">
            <v>75224</v>
          </cell>
          <cell r="BT213">
            <v>6874</v>
          </cell>
          <cell r="BU213">
            <v>24245</v>
          </cell>
          <cell r="BV213">
            <v>106342</v>
          </cell>
          <cell r="BW213">
            <v>26466</v>
          </cell>
          <cell r="BX213">
            <v>282359</v>
          </cell>
          <cell r="BY213">
            <v>31108</v>
          </cell>
          <cell r="BZ213">
            <v>4</v>
          </cell>
          <cell r="CA213">
            <v>313471</v>
          </cell>
          <cell r="CB213">
            <v>-23</v>
          </cell>
          <cell r="CC213">
            <v>9</v>
          </cell>
          <cell r="CD213">
            <v>1</v>
          </cell>
          <cell r="CE213">
            <v>0</v>
          </cell>
          <cell r="CF213">
            <v>0</v>
          </cell>
          <cell r="CG213">
            <v>-1</v>
          </cell>
          <cell r="CH213">
            <v>9</v>
          </cell>
          <cell r="CI213">
            <v>-6</v>
          </cell>
          <cell r="CJ213">
            <v>-19</v>
          </cell>
          <cell r="CK213">
            <v>-7</v>
          </cell>
          <cell r="CL213">
            <v>31</v>
          </cell>
          <cell r="CM213">
            <v>4</v>
          </cell>
        </row>
        <row r="214">
          <cell r="A214">
            <v>40330</v>
          </cell>
          <cell r="B214">
            <v>142208</v>
          </cell>
          <cell r="C214">
            <v>16268</v>
          </cell>
          <cell r="D214">
            <v>158475</v>
          </cell>
          <cell r="E214">
            <v>67254</v>
          </cell>
          <cell r="F214">
            <v>4419</v>
          </cell>
          <cell r="G214">
            <v>71673</v>
          </cell>
          <cell r="H214">
            <v>16954</v>
          </cell>
          <cell r="I214">
            <v>88627</v>
          </cell>
          <cell r="J214">
            <v>6954</v>
          </cell>
          <cell r="K214">
            <v>24593</v>
          </cell>
          <cell r="L214">
            <v>120174</v>
          </cell>
          <cell r="M214">
            <v>27757</v>
          </cell>
          <cell r="N214">
            <v>304446</v>
          </cell>
          <cell r="O214">
            <v>32855</v>
          </cell>
          <cell r="P214">
            <v>-607</v>
          </cell>
          <cell r="Q214">
            <v>336695</v>
          </cell>
          <cell r="R214">
            <v>2.4</v>
          </cell>
          <cell r="S214">
            <v>2.1</v>
          </cell>
          <cell r="T214">
            <v>2.4</v>
          </cell>
          <cell r="U214">
            <v>12.7</v>
          </cell>
          <cell r="V214">
            <v>8.5</v>
          </cell>
          <cell r="W214">
            <v>12.4</v>
          </cell>
          <cell r="X214">
            <v>1.6</v>
          </cell>
          <cell r="Y214">
            <v>10.199999999999999</v>
          </cell>
          <cell r="Z214">
            <v>1.2</v>
          </cell>
          <cell r="AA214">
            <v>1.4</v>
          </cell>
          <cell r="AB214">
            <v>7.7</v>
          </cell>
          <cell r="AC214">
            <v>1</v>
          </cell>
          <cell r="AD214">
            <v>2.9</v>
          </cell>
          <cell r="AE214">
            <v>1.5</v>
          </cell>
          <cell r="AF214">
            <v>2.7</v>
          </cell>
          <cell r="AG214">
            <v>142399</v>
          </cell>
          <cell r="AH214">
            <v>16315</v>
          </cell>
          <cell r="AI214">
            <v>158713</v>
          </cell>
          <cell r="AJ214">
            <v>67193</v>
          </cell>
          <cell r="AK214">
            <v>4392</v>
          </cell>
          <cell r="AL214">
            <v>71585</v>
          </cell>
          <cell r="AM214">
            <v>17126</v>
          </cell>
          <cell r="AN214">
            <v>88711</v>
          </cell>
          <cell r="AO214">
            <v>6952</v>
          </cell>
          <cell r="AP214">
            <v>24600</v>
          </cell>
          <cell r="AQ214">
            <v>120263</v>
          </cell>
          <cell r="AR214">
            <v>27298</v>
          </cell>
          <cell r="AS214">
            <v>306274</v>
          </cell>
          <cell r="AT214">
            <v>32934</v>
          </cell>
          <cell r="AU214">
            <v>-427</v>
          </cell>
          <cell r="AV214">
            <v>338781</v>
          </cell>
          <cell r="AW214">
            <v>2.8</v>
          </cell>
          <cell r="AX214">
            <v>2.7</v>
          </cell>
          <cell r="AY214">
            <v>2.8</v>
          </cell>
          <cell r="AZ214">
            <v>12.3</v>
          </cell>
          <cell r="BA214">
            <v>12.4</v>
          </cell>
          <cell r="BB214">
            <v>12.3</v>
          </cell>
          <cell r="BC214">
            <v>1.7</v>
          </cell>
          <cell r="BD214">
            <v>10.1</v>
          </cell>
          <cell r="BE214">
            <v>1.1000000000000001</v>
          </cell>
          <cell r="BF214">
            <v>1.6</v>
          </cell>
          <cell r="BG214">
            <v>7.7</v>
          </cell>
          <cell r="BH214">
            <v>-2.7</v>
          </cell>
          <cell r="BI214">
            <v>4.0999999999999996</v>
          </cell>
          <cell r="BJ214">
            <v>2.6</v>
          </cell>
          <cell r="BK214">
            <v>3.7</v>
          </cell>
          <cell r="BL214">
            <v>143756</v>
          </cell>
          <cell r="BM214">
            <v>16485</v>
          </cell>
          <cell r="BN214">
            <v>160242</v>
          </cell>
          <cell r="BO214">
            <v>65656</v>
          </cell>
          <cell r="BP214">
            <v>3771</v>
          </cell>
          <cell r="BQ214">
            <v>69427</v>
          </cell>
          <cell r="BR214">
            <v>17359</v>
          </cell>
          <cell r="BS214">
            <v>86786</v>
          </cell>
          <cell r="BT214">
            <v>6952</v>
          </cell>
          <cell r="BU214">
            <v>24790</v>
          </cell>
          <cell r="BV214">
            <v>118528</v>
          </cell>
          <cell r="BW214">
            <v>25521</v>
          </cell>
          <cell r="BX214">
            <v>304291</v>
          </cell>
          <cell r="BY214">
            <v>31860</v>
          </cell>
          <cell r="BZ214">
            <v>2922</v>
          </cell>
          <cell r="CA214">
            <v>339073</v>
          </cell>
          <cell r="CB214">
            <v>53</v>
          </cell>
          <cell r="CC214">
            <v>-23</v>
          </cell>
          <cell r="CD214">
            <v>-1</v>
          </cell>
          <cell r="CE214">
            <v>-1</v>
          </cell>
          <cell r="CF214">
            <v>0</v>
          </cell>
          <cell r="CG214">
            <v>0</v>
          </cell>
          <cell r="CH214">
            <v>-25</v>
          </cell>
          <cell r="CI214">
            <v>2</v>
          </cell>
          <cell r="CJ214">
            <v>30</v>
          </cell>
          <cell r="CK214">
            <v>-6</v>
          </cell>
          <cell r="CL214">
            <v>-11</v>
          </cell>
          <cell r="CM214">
            <v>12</v>
          </cell>
        </row>
        <row r="215">
          <cell r="A215">
            <v>40422</v>
          </cell>
          <cell r="B215">
            <v>145703</v>
          </cell>
          <cell r="C215">
            <v>16612</v>
          </cell>
          <cell r="D215">
            <v>162316</v>
          </cell>
          <cell r="E215">
            <v>67381</v>
          </cell>
          <cell r="F215">
            <v>4625</v>
          </cell>
          <cell r="G215">
            <v>72006</v>
          </cell>
          <cell r="H215">
            <v>17125</v>
          </cell>
          <cell r="I215">
            <v>89131</v>
          </cell>
          <cell r="J215">
            <v>7039</v>
          </cell>
          <cell r="K215">
            <v>25002</v>
          </cell>
          <cell r="L215">
            <v>121172</v>
          </cell>
          <cell r="M215">
            <v>28073</v>
          </cell>
          <cell r="N215">
            <v>311551</v>
          </cell>
          <cell r="O215">
            <v>33344</v>
          </cell>
          <cell r="P215">
            <v>-1011</v>
          </cell>
          <cell r="Q215">
            <v>343884</v>
          </cell>
          <cell r="R215">
            <v>2.5</v>
          </cell>
          <cell r="S215">
            <v>2.1</v>
          </cell>
          <cell r="T215">
            <v>2.4</v>
          </cell>
          <cell r="U215">
            <v>0.2</v>
          </cell>
          <cell r="V215">
            <v>4.7</v>
          </cell>
          <cell r="W215">
            <v>0.5</v>
          </cell>
          <cell r="X215">
            <v>1</v>
          </cell>
          <cell r="Y215">
            <v>0.6</v>
          </cell>
          <cell r="Z215">
            <v>1.2</v>
          </cell>
          <cell r="AA215">
            <v>1.7</v>
          </cell>
          <cell r="AB215">
            <v>0.8</v>
          </cell>
          <cell r="AC215">
            <v>1.1000000000000001</v>
          </cell>
          <cell r="AD215">
            <v>2.2999999999999998</v>
          </cell>
          <cell r="AE215">
            <v>1.5</v>
          </cell>
          <cell r="AF215">
            <v>2.1</v>
          </cell>
          <cell r="AG215">
            <v>145762</v>
          </cell>
          <cell r="AH215">
            <v>16593</v>
          </cell>
          <cell r="AI215">
            <v>162354</v>
          </cell>
          <cell r="AJ215">
            <v>66923</v>
          </cell>
          <cell r="AK215">
            <v>4724</v>
          </cell>
          <cell r="AL215">
            <v>71647</v>
          </cell>
          <cell r="AM215">
            <v>16986</v>
          </cell>
          <cell r="AN215">
            <v>88633</v>
          </cell>
          <cell r="AO215">
            <v>7046</v>
          </cell>
          <cell r="AP215">
            <v>25011</v>
          </cell>
          <cell r="AQ215">
            <v>120690</v>
          </cell>
          <cell r="AR215">
            <v>27953</v>
          </cell>
          <cell r="AS215">
            <v>310997</v>
          </cell>
          <cell r="AT215">
            <v>33428</v>
          </cell>
          <cell r="AU215">
            <v>-739</v>
          </cell>
          <cell r="AV215">
            <v>343685</v>
          </cell>
          <cell r="AW215">
            <v>2.4</v>
          </cell>
          <cell r="AX215">
            <v>1.7</v>
          </cell>
          <cell r="AY215">
            <v>2.2999999999999998</v>
          </cell>
          <cell r="AZ215">
            <v>-0.4</v>
          </cell>
          <cell r="BA215">
            <v>7.6</v>
          </cell>
          <cell r="BB215">
            <v>0.1</v>
          </cell>
          <cell r="BC215">
            <v>-0.8</v>
          </cell>
          <cell r="BD215">
            <v>-0.1</v>
          </cell>
          <cell r="BE215">
            <v>1.4</v>
          </cell>
          <cell r="BF215">
            <v>1.7</v>
          </cell>
          <cell r="BG215">
            <v>0.4</v>
          </cell>
          <cell r="BH215">
            <v>2.4</v>
          </cell>
          <cell r="BI215">
            <v>1.5</v>
          </cell>
          <cell r="BJ215">
            <v>1.5</v>
          </cell>
          <cell r="BK215">
            <v>1.4</v>
          </cell>
          <cell r="BL215">
            <v>146049</v>
          </cell>
          <cell r="BM215">
            <v>16654</v>
          </cell>
          <cell r="BN215">
            <v>162703</v>
          </cell>
          <cell r="BO215">
            <v>69392</v>
          </cell>
          <cell r="BP215">
            <v>5027</v>
          </cell>
          <cell r="BQ215">
            <v>74420</v>
          </cell>
          <cell r="BR215">
            <v>16936</v>
          </cell>
          <cell r="BS215">
            <v>91355</v>
          </cell>
          <cell r="BT215">
            <v>7046</v>
          </cell>
          <cell r="BU215">
            <v>24875</v>
          </cell>
          <cell r="BV215">
            <v>123276</v>
          </cell>
          <cell r="BW215">
            <v>27108</v>
          </cell>
          <cell r="BX215">
            <v>313087</v>
          </cell>
          <cell r="BY215">
            <v>33699</v>
          </cell>
          <cell r="BZ215">
            <v>-2762</v>
          </cell>
          <cell r="CA215">
            <v>344024</v>
          </cell>
          <cell r="CB215">
            <v>-59</v>
          </cell>
          <cell r="CC215">
            <v>-6</v>
          </cell>
          <cell r="CD215">
            <v>0</v>
          </cell>
          <cell r="CE215">
            <v>0</v>
          </cell>
          <cell r="CF215">
            <v>0</v>
          </cell>
          <cell r="CG215">
            <v>0</v>
          </cell>
          <cell r="CH215">
            <v>-6</v>
          </cell>
          <cell r="CI215">
            <v>5</v>
          </cell>
          <cell r="CJ215">
            <v>-60</v>
          </cell>
          <cell r="CK215">
            <v>-6</v>
          </cell>
          <cell r="CL215">
            <v>63</v>
          </cell>
          <cell r="CM215">
            <v>-3</v>
          </cell>
        </row>
        <row r="216">
          <cell r="A216">
            <v>40513</v>
          </cell>
          <cell r="B216">
            <v>148987</v>
          </cell>
          <cell r="C216">
            <v>16937</v>
          </cell>
          <cell r="D216">
            <v>165924</v>
          </cell>
          <cell r="E216">
            <v>67747</v>
          </cell>
          <cell r="F216">
            <v>4332</v>
          </cell>
          <cell r="G216">
            <v>72078</v>
          </cell>
          <cell r="H216">
            <v>17332</v>
          </cell>
          <cell r="I216">
            <v>89410</v>
          </cell>
          <cell r="J216">
            <v>7125</v>
          </cell>
          <cell r="K216">
            <v>25440</v>
          </cell>
          <cell r="L216">
            <v>121975</v>
          </cell>
          <cell r="M216">
            <v>28698</v>
          </cell>
          <cell r="N216">
            <v>316955</v>
          </cell>
          <cell r="O216">
            <v>33744</v>
          </cell>
          <cell r="P216">
            <v>-672</v>
          </cell>
          <cell r="Q216">
            <v>350026</v>
          </cell>
          <cell r="R216">
            <v>2.2999999999999998</v>
          </cell>
          <cell r="S216">
            <v>2</v>
          </cell>
          <cell r="T216">
            <v>2.2000000000000002</v>
          </cell>
          <cell r="U216">
            <v>0.5</v>
          </cell>
          <cell r="V216">
            <v>-6.3</v>
          </cell>
          <cell r="W216">
            <v>0.1</v>
          </cell>
          <cell r="X216">
            <v>1.2</v>
          </cell>
          <cell r="Y216">
            <v>0.3</v>
          </cell>
          <cell r="Z216">
            <v>1.2</v>
          </cell>
          <cell r="AA216">
            <v>1.8</v>
          </cell>
          <cell r="AB216">
            <v>0.7</v>
          </cell>
          <cell r="AC216">
            <v>2.2000000000000002</v>
          </cell>
          <cell r="AD216">
            <v>1.7</v>
          </cell>
          <cell r="AE216">
            <v>1.2</v>
          </cell>
          <cell r="AF216">
            <v>1.8</v>
          </cell>
          <cell r="AG216">
            <v>148956</v>
          </cell>
          <cell r="AH216">
            <v>16943</v>
          </cell>
          <cell r="AI216">
            <v>165899</v>
          </cell>
          <cell r="AJ216">
            <v>69518</v>
          </cell>
          <cell r="AK216">
            <v>4514</v>
          </cell>
          <cell r="AL216">
            <v>74032</v>
          </cell>
          <cell r="AM216">
            <v>17270</v>
          </cell>
          <cell r="AN216">
            <v>91301</v>
          </cell>
          <cell r="AO216">
            <v>7124</v>
          </cell>
          <cell r="AP216">
            <v>25416</v>
          </cell>
          <cell r="AQ216">
            <v>123841</v>
          </cell>
          <cell r="AR216">
            <v>28853</v>
          </cell>
          <cell r="AS216">
            <v>318593</v>
          </cell>
          <cell r="AT216">
            <v>33521</v>
          </cell>
          <cell r="AU216">
            <v>-2263</v>
          </cell>
          <cell r="AV216">
            <v>349850</v>
          </cell>
          <cell r="AW216">
            <v>2.2000000000000002</v>
          </cell>
          <cell r="AX216">
            <v>2.1</v>
          </cell>
          <cell r="AY216">
            <v>2.2000000000000002</v>
          </cell>
          <cell r="AZ216">
            <v>3.9</v>
          </cell>
          <cell r="BA216">
            <v>-4.5</v>
          </cell>
          <cell r="BB216">
            <v>3.3</v>
          </cell>
          <cell r="BC216">
            <v>1.7</v>
          </cell>
          <cell r="BD216">
            <v>3</v>
          </cell>
          <cell r="BE216">
            <v>1.1000000000000001</v>
          </cell>
          <cell r="BF216">
            <v>1.6</v>
          </cell>
          <cell r="BG216">
            <v>2.6</v>
          </cell>
          <cell r="BH216">
            <v>3.2</v>
          </cell>
          <cell r="BI216">
            <v>2.4</v>
          </cell>
          <cell r="BJ216">
            <v>0.3</v>
          </cell>
          <cell r="BK216">
            <v>1.8</v>
          </cell>
          <cell r="BL216">
            <v>151936</v>
          </cell>
          <cell r="BM216">
            <v>17243</v>
          </cell>
          <cell r="BN216">
            <v>169179</v>
          </cell>
          <cell r="BO216">
            <v>74670</v>
          </cell>
          <cell r="BP216">
            <v>4615</v>
          </cell>
          <cell r="BQ216">
            <v>79285</v>
          </cell>
          <cell r="BR216">
            <v>17293</v>
          </cell>
          <cell r="BS216">
            <v>96578</v>
          </cell>
          <cell r="BT216">
            <v>7124</v>
          </cell>
          <cell r="BU216">
            <v>25337</v>
          </cell>
          <cell r="BV216">
            <v>129039</v>
          </cell>
          <cell r="BW216">
            <v>32946</v>
          </cell>
          <cell r="BX216">
            <v>331165</v>
          </cell>
          <cell r="BY216">
            <v>35368</v>
          </cell>
          <cell r="BZ216">
            <v>-2422</v>
          </cell>
          <cell r="CA216">
            <v>364110</v>
          </cell>
          <cell r="CB216">
            <v>35</v>
          </cell>
          <cell r="CC216">
            <v>28</v>
          </cell>
          <cell r="CD216">
            <v>1</v>
          </cell>
          <cell r="CE216">
            <v>2</v>
          </cell>
          <cell r="CF216">
            <v>0</v>
          </cell>
          <cell r="CG216">
            <v>0</v>
          </cell>
          <cell r="CH216">
            <v>29</v>
          </cell>
          <cell r="CI216">
            <v>-4</v>
          </cell>
          <cell r="CJ216">
            <v>60</v>
          </cell>
          <cell r="CK216">
            <v>23</v>
          </cell>
          <cell r="CL216">
            <v>-30</v>
          </cell>
          <cell r="CM216">
            <v>51</v>
          </cell>
        </row>
        <row r="217">
          <cell r="A217">
            <v>40603</v>
          </cell>
          <cell r="B217">
            <v>152003</v>
          </cell>
          <cell r="C217">
            <v>17248</v>
          </cell>
          <cell r="D217">
            <v>169251</v>
          </cell>
          <cell r="E217">
            <v>69436</v>
          </cell>
          <cell r="F217">
            <v>3772</v>
          </cell>
          <cell r="G217">
            <v>73207</v>
          </cell>
          <cell r="H217">
            <v>17752</v>
          </cell>
          <cell r="I217">
            <v>90959</v>
          </cell>
          <cell r="J217">
            <v>7210</v>
          </cell>
          <cell r="K217">
            <v>25903</v>
          </cell>
          <cell r="L217">
            <v>124073</v>
          </cell>
          <cell r="M217">
            <v>29308</v>
          </cell>
          <cell r="N217">
            <v>322587</v>
          </cell>
          <cell r="O217">
            <v>33883</v>
          </cell>
          <cell r="P217">
            <v>539</v>
          </cell>
          <cell r="Q217">
            <v>357009</v>
          </cell>
          <cell r="R217">
            <v>2</v>
          </cell>
          <cell r="S217">
            <v>1.8</v>
          </cell>
          <cell r="T217">
            <v>2</v>
          </cell>
          <cell r="U217">
            <v>2.5</v>
          </cell>
          <cell r="V217">
            <v>-12.9</v>
          </cell>
          <cell r="W217">
            <v>1.6</v>
          </cell>
          <cell r="X217">
            <v>2.4</v>
          </cell>
          <cell r="Y217">
            <v>1.7</v>
          </cell>
          <cell r="Z217">
            <v>1.2</v>
          </cell>
          <cell r="AA217">
            <v>1.8</v>
          </cell>
          <cell r="AB217">
            <v>1.7</v>
          </cell>
          <cell r="AC217">
            <v>2.1</v>
          </cell>
          <cell r="AD217">
            <v>1.8</v>
          </cell>
          <cell r="AE217">
            <v>0.4</v>
          </cell>
          <cell r="AF217">
            <v>2</v>
          </cell>
          <cell r="AG217">
            <v>152006</v>
          </cell>
          <cell r="AH217">
            <v>17249</v>
          </cell>
          <cell r="AI217">
            <v>169255</v>
          </cell>
          <cell r="AJ217">
            <v>66447</v>
          </cell>
          <cell r="AK217">
            <v>3890</v>
          </cell>
          <cell r="AL217">
            <v>70337</v>
          </cell>
          <cell r="AM217">
            <v>17676</v>
          </cell>
          <cell r="AN217">
            <v>88013</v>
          </cell>
          <cell r="AO217">
            <v>7208</v>
          </cell>
          <cell r="AP217">
            <v>25944</v>
          </cell>
          <cell r="AQ217">
            <v>121165</v>
          </cell>
          <cell r="AR217">
            <v>29364</v>
          </cell>
          <cell r="AS217">
            <v>319784</v>
          </cell>
          <cell r="AT217">
            <v>34225</v>
          </cell>
          <cell r="AU217">
            <v>1448</v>
          </cell>
          <cell r="AV217">
            <v>355457</v>
          </cell>
          <cell r="AW217">
            <v>2</v>
          </cell>
          <cell r="AX217">
            <v>1.8</v>
          </cell>
          <cell r="AY217">
            <v>2</v>
          </cell>
          <cell r="AZ217">
            <v>-4.4000000000000004</v>
          </cell>
          <cell r="BA217">
            <v>-13.8</v>
          </cell>
          <cell r="BB217">
            <v>-5</v>
          </cell>
          <cell r="BC217">
            <v>2.4</v>
          </cell>
          <cell r="BD217">
            <v>-3.6</v>
          </cell>
          <cell r="BE217">
            <v>1.2</v>
          </cell>
          <cell r="BF217">
            <v>2.1</v>
          </cell>
          <cell r="BG217">
            <v>-2.2000000000000002</v>
          </cell>
          <cell r="BH217">
            <v>1.8</v>
          </cell>
          <cell r="BI217">
            <v>0.4</v>
          </cell>
          <cell r="BJ217">
            <v>2.1</v>
          </cell>
          <cell r="BK217">
            <v>1.6</v>
          </cell>
          <cell r="BL217">
            <v>147163</v>
          </cell>
          <cell r="BM217">
            <v>16685</v>
          </cell>
          <cell r="BN217">
            <v>163848</v>
          </cell>
          <cell r="BO217">
            <v>60354</v>
          </cell>
          <cell r="BP217">
            <v>4165</v>
          </cell>
          <cell r="BQ217">
            <v>64519</v>
          </cell>
          <cell r="BR217">
            <v>17477</v>
          </cell>
          <cell r="BS217">
            <v>81996</v>
          </cell>
          <cell r="BT217">
            <v>7208</v>
          </cell>
          <cell r="BU217">
            <v>25969</v>
          </cell>
          <cell r="BV217">
            <v>115173</v>
          </cell>
          <cell r="BW217">
            <v>27409</v>
          </cell>
          <cell r="BX217">
            <v>306431</v>
          </cell>
          <cell r="BY217">
            <v>33158</v>
          </cell>
          <cell r="BZ217">
            <v>758</v>
          </cell>
          <cell r="CA217">
            <v>340347</v>
          </cell>
          <cell r="CB217">
            <v>-30</v>
          </cell>
          <cell r="CC217">
            <v>15</v>
          </cell>
          <cell r="CD217">
            <v>0</v>
          </cell>
          <cell r="CE217">
            <v>0</v>
          </cell>
          <cell r="CF217">
            <v>0</v>
          </cell>
          <cell r="CG217">
            <v>-1</v>
          </cell>
          <cell r="CH217">
            <v>14</v>
          </cell>
          <cell r="CI217">
            <v>-2</v>
          </cell>
          <cell r="CJ217">
            <v>-18</v>
          </cell>
          <cell r="CK217">
            <v>-14</v>
          </cell>
          <cell r="CL217">
            <v>53</v>
          </cell>
          <cell r="CM217">
            <v>22</v>
          </cell>
        </row>
        <row r="218">
          <cell r="A218">
            <v>40695</v>
          </cell>
          <cell r="B218">
            <v>154642</v>
          </cell>
          <cell r="C218">
            <v>17532</v>
          </cell>
          <cell r="D218">
            <v>172175</v>
          </cell>
          <cell r="E218">
            <v>72433</v>
          </cell>
          <cell r="F218">
            <v>3567</v>
          </cell>
          <cell r="G218">
            <v>76000</v>
          </cell>
          <cell r="H218">
            <v>18182</v>
          </cell>
          <cell r="I218">
            <v>94182</v>
          </cell>
          <cell r="J218">
            <v>7299</v>
          </cell>
          <cell r="K218">
            <v>26388</v>
          </cell>
          <cell r="L218">
            <v>127868</v>
          </cell>
          <cell r="M218">
            <v>29690</v>
          </cell>
          <cell r="N218">
            <v>329701</v>
          </cell>
          <cell r="O218">
            <v>33880</v>
          </cell>
          <cell r="P218">
            <v>1011</v>
          </cell>
          <cell r="Q218">
            <v>364592</v>
          </cell>
          <cell r="R218">
            <v>1.7</v>
          </cell>
          <cell r="S218">
            <v>1.7</v>
          </cell>
          <cell r="T218">
            <v>1.7</v>
          </cell>
          <cell r="U218">
            <v>4.3</v>
          </cell>
          <cell r="V218">
            <v>-5.4</v>
          </cell>
          <cell r="W218">
            <v>3.8</v>
          </cell>
          <cell r="X218">
            <v>2.4</v>
          </cell>
          <cell r="Y218">
            <v>3.5</v>
          </cell>
          <cell r="Z218">
            <v>1.2</v>
          </cell>
          <cell r="AA218">
            <v>1.9</v>
          </cell>
          <cell r="AB218">
            <v>3.1</v>
          </cell>
          <cell r="AC218">
            <v>1.3</v>
          </cell>
          <cell r="AD218">
            <v>2.2000000000000002</v>
          </cell>
          <cell r="AE218">
            <v>0</v>
          </cell>
          <cell r="AF218">
            <v>2.1</v>
          </cell>
          <cell r="AG218">
            <v>154708</v>
          </cell>
          <cell r="AH218">
            <v>17527</v>
          </cell>
          <cell r="AI218">
            <v>172235</v>
          </cell>
          <cell r="AJ218">
            <v>73377</v>
          </cell>
          <cell r="AK218">
            <v>2814</v>
          </cell>
          <cell r="AL218">
            <v>76191</v>
          </cell>
          <cell r="AM218">
            <v>18197</v>
          </cell>
          <cell r="AN218">
            <v>94388</v>
          </cell>
          <cell r="AO218">
            <v>7299</v>
          </cell>
          <cell r="AP218">
            <v>26326</v>
          </cell>
          <cell r="AQ218">
            <v>128012</v>
          </cell>
          <cell r="AR218">
            <v>29628</v>
          </cell>
          <cell r="AS218">
            <v>329876</v>
          </cell>
          <cell r="AT218">
            <v>33743</v>
          </cell>
          <cell r="AU218">
            <v>1740</v>
          </cell>
          <cell r="AV218">
            <v>365359</v>
          </cell>
          <cell r="AW218">
            <v>1.8</v>
          </cell>
          <cell r="AX218">
            <v>1.6</v>
          </cell>
          <cell r="AY218">
            <v>1.8</v>
          </cell>
          <cell r="AZ218">
            <v>10.4</v>
          </cell>
          <cell r="BA218">
            <v>-27.7</v>
          </cell>
          <cell r="BB218">
            <v>8.3000000000000007</v>
          </cell>
          <cell r="BC218">
            <v>2.9</v>
          </cell>
          <cell r="BD218">
            <v>7.2</v>
          </cell>
          <cell r="BE218">
            <v>1.3</v>
          </cell>
          <cell r="BF218">
            <v>1.5</v>
          </cell>
          <cell r="BG218">
            <v>5.7</v>
          </cell>
          <cell r="BH218">
            <v>0.9</v>
          </cell>
          <cell r="BI218">
            <v>3.2</v>
          </cell>
          <cell r="BJ218">
            <v>-1.4</v>
          </cell>
          <cell r="BK218">
            <v>2.8</v>
          </cell>
          <cell r="BL218">
            <v>156334</v>
          </cell>
          <cell r="BM218">
            <v>17737</v>
          </cell>
          <cell r="BN218">
            <v>174071</v>
          </cell>
          <cell r="BO218">
            <v>71689</v>
          </cell>
          <cell r="BP218">
            <v>2383</v>
          </cell>
          <cell r="BQ218">
            <v>74073</v>
          </cell>
          <cell r="BR218">
            <v>18415</v>
          </cell>
          <cell r="BS218">
            <v>92488</v>
          </cell>
          <cell r="BT218">
            <v>7299</v>
          </cell>
          <cell r="BU218">
            <v>26509</v>
          </cell>
          <cell r="BV218">
            <v>126295</v>
          </cell>
          <cell r="BW218">
            <v>28295</v>
          </cell>
          <cell r="BX218">
            <v>328661</v>
          </cell>
          <cell r="BY218">
            <v>32651</v>
          </cell>
          <cell r="BZ218">
            <v>4426</v>
          </cell>
          <cell r="CA218">
            <v>365738</v>
          </cell>
          <cell r="CB218">
            <v>61</v>
          </cell>
          <cell r="CC218">
            <v>-65</v>
          </cell>
          <cell r="CD218">
            <v>0</v>
          </cell>
          <cell r="CE218">
            <v>-2</v>
          </cell>
          <cell r="CF218">
            <v>0</v>
          </cell>
          <cell r="CG218">
            <v>2</v>
          </cell>
          <cell r="CH218">
            <v>-65</v>
          </cell>
          <cell r="CI218">
            <v>-1</v>
          </cell>
          <cell r="CJ218">
            <v>-4</v>
          </cell>
          <cell r="CK218">
            <v>-8</v>
          </cell>
          <cell r="CL218">
            <v>17</v>
          </cell>
          <cell r="CM218">
            <v>5</v>
          </cell>
        </row>
        <row r="219">
          <cell r="A219">
            <v>40787</v>
          </cell>
          <cell r="B219">
            <v>157129</v>
          </cell>
          <cell r="C219">
            <v>17798</v>
          </cell>
          <cell r="D219">
            <v>174928</v>
          </cell>
          <cell r="E219">
            <v>74622</v>
          </cell>
          <cell r="F219">
            <v>3900</v>
          </cell>
          <cell r="G219">
            <v>78522</v>
          </cell>
          <cell r="H219">
            <v>18434</v>
          </cell>
          <cell r="I219">
            <v>96955</v>
          </cell>
          <cell r="J219">
            <v>7391</v>
          </cell>
          <cell r="K219">
            <v>26853</v>
          </cell>
          <cell r="L219">
            <v>131199</v>
          </cell>
          <cell r="M219">
            <v>29704</v>
          </cell>
          <cell r="N219">
            <v>335824</v>
          </cell>
          <cell r="O219">
            <v>33952</v>
          </cell>
          <cell r="P219">
            <v>90</v>
          </cell>
          <cell r="Q219">
            <v>369865</v>
          </cell>
          <cell r="R219">
            <v>1.6</v>
          </cell>
          <cell r="S219">
            <v>1.5</v>
          </cell>
          <cell r="T219">
            <v>1.6</v>
          </cell>
          <cell r="U219">
            <v>3</v>
          </cell>
          <cell r="V219">
            <v>9.3000000000000007</v>
          </cell>
          <cell r="W219">
            <v>3.3</v>
          </cell>
          <cell r="X219">
            <v>1.4</v>
          </cell>
          <cell r="Y219">
            <v>2.9</v>
          </cell>
          <cell r="Z219">
            <v>1.3</v>
          </cell>
          <cell r="AA219">
            <v>1.8</v>
          </cell>
          <cell r="AB219">
            <v>2.6</v>
          </cell>
          <cell r="AC219">
            <v>0</v>
          </cell>
          <cell r="AD219">
            <v>1.9</v>
          </cell>
          <cell r="AE219">
            <v>0.2</v>
          </cell>
          <cell r="AF219">
            <v>1.4</v>
          </cell>
          <cell r="AG219">
            <v>157290</v>
          </cell>
          <cell r="AH219">
            <v>17832</v>
          </cell>
          <cell r="AI219">
            <v>175122</v>
          </cell>
          <cell r="AJ219">
            <v>75909</v>
          </cell>
          <cell r="AK219">
            <v>4330</v>
          </cell>
          <cell r="AL219">
            <v>80240</v>
          </cell>
          <cell r="AM219">
            <v>18567</v>
          </cell>
          <cell r="AN219">
            <v>98807</v>
          </cell>
          <cell r="AO219">
            <v>7392</v>
          </cell>
          <cell r="AP219">
            <v>26908</v>
          </cell>
          <cell r="AQ219">
            <v>133107</v>
          </cell>
          <cell r="AR219">
            <v>29579</v>
          </cell>
          <cell r="AS219">
            <v>337809</v>
          </cell>
          <cell r="AT219">
            <v>33832</v>
          </cell>
          <cell r="AU219">
            <v>103</v>
          </cell>
          <cell r="AV219">
            <v>371744</v>
          </cell>
          <cell r="AW219">
            <v>1.7</v>
          </cell>
          <cell r="AX219">
            <v>1.7</v>
          </cell>
          <cell r="AY219">
            <v>1.7</v>
          </cell>
          <cell r="AZ219">
            <v>3.5</v>
          </cell>
          <cell r="BA219">
            <v>53.9</v>
          </cell>
          <cell r="BB219">
            <v>5.3</v>
          </cell>
          <cell r="BC219">
            <v>2</v>
          </cell>
          <cell r="BD219">
            <v>4.7</v>
          </cell>
          <cell r="BE219">
            <v>1.3</v>
          </cell>
          <cell r="BF219">
            <v>2.2000000000000002</v>
          </cell>
          <cell r="BG219">
            <v>4</v>
          </cell>
          <cell r="BH219">
            <v>-0.2</v>
          </cell>
          <cell r="BI219">
            <v>2.4</v>
          </cell>
          <cell r="BJ219">
            <v>0.3</v>
          </cell>
          <cell r="BK219">
            <v>1.7</v>
          </cell>
          <cell r="BL219">
            <v>157467</v>
          </cell>
          <cell r="BM219">
            <v>17880</v>
          </cell>
          <cell r="BN219">
            <v>175347</v>
          </cell>
          <cell r="BO219">
            <v>78930</v>
          </cell>
          <cell r="BP219">
            <v>4617</v>
          </cell>
          <cell r="BQ219">
            <v>83547</v>
          </cell>
          <cell r="BR219">
            <v>18532</v>
          </cell>
          <cell r="BS219">
            <v>102079</v>
          </cell>
          <cell r="BT219">
            <v>7392</v>
          </cell>
          <cell r="BU219">
            <v>26779</v>
          </cell>
          <cell r="BV219">
            <v>136250</v>
          </cell>
          <cell r="BW219">
            <v>28571</v>
          </cell>
          <cell r="BX219">
            <v>340168</v>
          </cell>
          <cell r="BY219">
            <v>34136</v>
          </cell>
          <cell r="BZ219">
            <v>-2550</v>
          </cell>
          <cell r="CA219">
            <v>371754</v>
          </cell>
          <cell r="CB219">
            <v>-81</v>
          </cell>
          <cell r="CC219">
            <v>-4</v>
          </cell>
          <cell r="CD219">
            <v>0</v>
          </cell>
          <cell r="CE219">
            <v>0</v>
          </cell>
          <cell r="CF219">
            <v>0</v>
          </cell>
          <cell r="CG219">
            <v>4</v>
          </cell>
          <cell r="CH219">
            <v>-1</v>
          </cell>
          <cell r="CI219">
            <v>3</v>
          </cell>
          <cell r="CJ219">
            <v>-79</v>
          </cell>
          <cell r="CK219">
            <v>-5</v>
          </cell>
          <cell r="CL219">
            <v>62</v>
          </cell>
          <cell r="CM219">
            <v>-22</v>
          </cell>
        </row>
        <row r="220">
          <cell r="A220">
            <v>40878</v>
          </cell>
          <cell r="B220">
            <v>159739</v>
          </cell>
          <cell r="C220">
            <v>18083</v>
          </cell>
          <cell r="D220">
            <v>177822</v>
          </cell>
          <cell r="E220">
            <v>74582</v>
          </cell>
          <cell r="F220">
            <v>4308</v>
          </cell>
          <cell r="G220">
            <v>78890</v>
          </cell>
          <cell r="H220">
            <v>18565</v>
          </cell>
          <cell r="I220">
            <v>97455</v>
          </cell>
          <cell r="J220">
            <v>7484</v>
          </cell>
          <cell r="K220">
            <v>27275</v>
          </cell>
          <cell r="L220">
            <v>132213</v>
          </cell>
          <cell r="M220">
            <v>29360</v>
          </cell>
          <cell r="N220">
            <v>339401</v>
          </cell>
          <cell r="O220">
            <v>34173</v>
          </cell>
          <cell r="P220">
            <v>-845</v>
          </cell>
          <cell r="Q220">
            <v>372729</v>
          </cell>
          <cell r="R220">
            <v>1.7</v>
          </cell>
          <cell r="S220">
            <v>1.6</v>
          </cell>
          <cell r="T220">
            <v>1.7</v>
          </cell>
          <cell r="U220">
            <v>-0.1</v>
          </cell>
          <cell r="V220">
            <v>10.5</v>
          </cell>
          <cell r="W220">
            <v>0.5</v>
          </cell>
          <cell r="X220">
            <v>0.7</v>
          </cell>
          <cell r="Y220">
            <v>0.5</v>
          </cell>
          <cell r="Z220">
            <v>1.3</v>
          </cell>
          <cell r="AA220">
            <v>1.6</v>
          </cell>
          <cell r="AB220">
            <v>0.8</v>
          </cell>
          <cell r="AC220">
            <v>-1.2</v>
          </cell>
          <cell r="AD220">
            <v>1.1000000000000001</v>
          </cell>
          <cell r="AE220">
            <v>0.7</v>
          </cell>
          <cell r="AF220">
            <v>0.8</v>
          </cell>
          <cell r="AG220">
            <v>158965</v>
          </cell>
          <cell r="AH220">
            <v>17991</v>
          </cell>
          <cell r="AI220">
            <v>176956</v>
          </cell>
          <cell r="AJ220">
            <v>74767</v>
          </cell>
          <cell r="AK220">
            <v>4416</v>
          </cell>
          <cell r="AL220">
            <v>79183</v>
          </cell>
          <cell r="AM220">
            <v>18457</v>
          </cell>
          <cell r="AN220">
            <v>97640</v>
          </cell>
          <cell r="AO220">
            <v>7483</v>
          </cell>
          <cell r="AP220">
            <v>27283</v>
          </cell>
          <cell r="AQ220">
            <v>132406</v>
          </cell>
          <cell r="AR220">
            <v>29961</v>
          </cell>
          <cell r="AS220">
            <v>339324</v>
          </cell>
          <cell r="AT220">
            <v>34213</v>
          </cell>
          <cell r="AU220">
            <v>-1836</v>
          </cell>
          <cell r="AV220">
            <v>371700</v>
          </cell>
          <cell r="AW220">
            <v>1.1000000000000001</v>
          </cell>
          <cell r="AX220">
            <v>0.9</v>
          </cell>
          <cell r="AY220">
            <v>1</v>
          </cell>
          <cell r="AZ220">
            <v>-1.5</v>
          </cell>
          <cell r="BA220">
            <v>2</v>
          </cell>
          <cell r="BB220">
            <v>-1.3</v>
          </cell>
          <cell r="BC220">
            <v>-0.6</v>
          </cell>
          <cell r="BD220">
            <v>-1.2</v>
          </cell>
          <cell r="BE220">
            <v>1.2</v>
          </cell>
          <cell r="BF220">
            <v>1.4</v>
          </cell>
          <cell r="BG220">
            <v>-0.5</v>
          </cell>
          <cell r="BH220">
            <v>1.3</v>
          </cell>
          <cell r="BI220">
            <v>0.4</v>
          </cell>
          <cell r="BJ220">
            <v>1.1000000000000001</v>
          </cell>
          <cell r="BK220">
            <v>0</v>
          </cell>
          <cell r="BL220">
            <v>162194</v>
          </cell>
          <cell r="BM220">
            <v>18319</v>
          </cell>
          <cell r="BN220">
            <v>180513</v>
          </cell>
          <cell r="BO220">
            <v>80017</v>
          </cell>
          <cell r="BP220">
            <v>4556</v>
          </cell>
          <cell r="BQ220">
            <v>84573</v>
          </cell>
          <cell r="BR220">
            <v>18474</v>
          </cell>
          <cell r="BS220">
            <v>103047</v>
          </cell>
          <cell r="BT220">
            <v>7483</v>
          </cell>
          <cell r="BU220">
            <v>27208</v>
          </cell>
          <cell r="BV220">
            <v>137738</v>
          </cell>
          <cell r="BW220">
            <v>34005</v>
          </cell>
          <cell r="BX220">
            <v>352257</v>
          </cell>
          <cell r="BY220">
            <v>36014</v>
          </cell>
          <cell r="BZ220">
            <v>-1078</v>
          </cell>
          <cell r="CA220">
            <v>387192</v>
          </cell>
          <cell r="CB220">
            <v>51</v>
          </cell>
          <cell r="CC220">
            <v>73</v>
          </cell>
          <cell r="CD220">
            <v>0</v>
          </cell>
          <cell r="CE220">
            <v>3</v>
          </cell>
          <cell r="CF220">
            <v>0</v>
          </cell>
          <cell r="CG220">
            <v>0</v>
          </cell>
          <cell r="CH220">
            <v>77</v>
          </cell>
          <cell r="CI220">
            <v>-4</v>
          </cell>
          <cell r="CJ220">
            <v>125</v>
          </cell>
          <cell r="CK220">
            <v>30</v>
          </cell>
          <cell r="CL220">
            <v>-90</v>
          </cell>
          <cell r="CM220">
            <v>64</v>
          </cell>
        </row>
        <row r="221">
          <cell r="A221">
            <v>40969</v>
          </cell>
          <cell r="B221">
            <v>161973</v>
          </cell>
          <cell r="C221">
            <v>18320</v>
          </cell>
          <cell r="D221">
            <v>180293</v>
          </cell>
          <cell r="E221">
            <v>72785</v>
          </cell>
          <cell r="F221">
            <v>4316</v>
          </cell>
          <cell r="G221">
            <v>77101</v>
          </cell>
          <cell r="H221">
            <v>18799</v>
          </cell>
          <cell r="I221">
            <v>95899</v>
          </cell>
          <cell r="J221">
            <v>7577</v>
          </cell>
          <cell r="K221">
            <v>27674</v>
          </cell>
          <cell r="L221">
            <v>131150</v>
          </cell>
          <cell r="M221">
            <v>28869</v>
          </cell>
          <cell r="N221">
            <v>340312</v>
          </cell>
          <cell r="O221">
            <v>34656</v>
          </cell>
          <cell r="P221">
            <v>-208</v>
          </cell>
          <cell r="Q221">
            <v>374760</v>
          </cell>
          <cell r="R221">
            <v>1.4</v>
          </cell>
          <cell r="S221">
            <v>1.3</v>
          </cell>
          <cell r="T221">
            <v>1.4</v>
          </cell>
          <cell r="U221">
            <v>-2.4</v>
          </cell>
          <cell r="V221">
            <v>0.2</v>
          </cell>
          <cell r="W221">
            <v>-2.2999999999999998</v>
          </cell>
          <cell r="X221">
            <v>1.3</v>
          </cell>
          <cell r="Y221">
            <v>-1.6</v>
          </cell>
          <cell r="Z221">
            <v>1.3</v>
          </cell>
          <cell r="AA221">
            <v>1.5</v>
          </cell>
          <cell r="AB221">
            <v>-0.8</v>
          </cell>
          <cell r="AC221">
            <v>-1.7</v>
          </cell>
          <cell r="AD221">
            <v>0.3</v>
          </cell>
          <cell r="AE221">
            <v>1.4</v>
          </cell>
          <cell r="AF221">
            <v>0.5</v>
          </cell>
          <cell r="AG221">
            <v>162681</v>
          </cell>
          <cell r="AH221">
            <v>18386</v>
          </cell>
          <cell r="AI221">
            <v>181067</v>
          </cell>
          <cell r="AJ221">
            <v>71444</v>
          </cell>
          <cell r="AK221">
            <v>4350</v>
          </cell>
          <cell r="AL221">
            <v>75794</v>
          </cell>
          <cell r="AM221">
            <v>18777</v>
          </cell>
          <cell r="AN221">
            <v>94571</v>
          </cell>
          <cell r="AO221">
            <v>7577</v>
          </cell>
          <cell r="AP221">
            <v>27638</v>
          </cell>
          <cell r="AQ221">
            <v>129786</v>
          </cell>
          <cell r="AR221">
            <v>28246</v>
          </cell>
          <cell r="AS221">
            <v>339099</v>
          </cell>
          <cell r="AT221">
            <v>34823</v>
          </cell>
          <cell r="AU221">
            <v>-588</v>
          </cell>
          <cell r="AV221">
            <v>373334</v>
          </cell>
          <cell r="AW221">
            <v>2.2999999999999998</v>
          </cell>
          <cell r="AX221">
            <v>2.2000000000000002</v>
          </cell>
          <cell r="AY221">
            <v>2.2999999999999998</v>
          </cell>
          <cell r="AZ221">
            <v>-4.4000000000000004</v>
          </cell>
          <cell r="BA221">
            <v>-1.5</v>
          </cell>
          <cell r="BB221">
            <v>-4.3</v>
          </cell>
          <cell r="BC221">
            <v>1.7</v>
          </cell>
          <cell r="BD221">
            <v>-3.1</v>
          </cell>
          <cell r="BE221">
            <v>1.3</v>
          </cell>
          <cell r="BF221">
            <v>1.3</v>
          </cell>
          <cell r="BG221">
            <v>-2</v>
          </cell>
          <cell r="BH221">
            <v>-5.7</v>
          </cell>
          <cell r="BI221">
            <v>-0.1</v>
          </cell>
          <cell r="BJ221">
            <v>1.8</v>
          </cell>
          <cell r="BK221">
            <v>0.4</v>
          </cell>
          <cell r="BL221">
            <v>157423</v>
          </cell>
          <cell r="BM221">
            <v>17774</v>
          </cell>
          <cell r="BN221">
            <v>175197</v>
          </cell>
          <cell r="BO221">
            <v>65420</v>
          </cell>
          <cell r="BP221">
            <v>4619</v>
          </cell>
          <cell r="BQ221">
            <v>70039</v>
          </cell>
          <cell r="BR221">
            <v>18583</v>
          </cell>
          <cell r="BS221">
            <v>88622</v>
          </cell>
          <cell r="BT221">
            <v>7577</v>
          </cell>
          <cell r="BU221">
            <v>27660</v>
          </cell>
          <cell r="BV221">
            <v>123859</v>
          </cell>
          <cell r="BW221">
            <v>26423</v>
          </cell>
          <cell r="BX221">
            <v>325479</v>
          </cell>
          <cell r="BY221">
            <v>33737</v>
          </cell>
          <cell r="BZ221">
            <v>-1676</v>
          </cell>
          <cell r="CA221">
            <v>357540</v>
          </cell>
          <cell r="CB221">
            <v>-30</v>
          </cell>
          <cell r="CC221">
            <v>24</v>
          </cell>
          <cell r="CD221">
            <v>0</v>
          </cell>
          <cell r="CE221">
            <v>-1</v>
          </cell>
          <cell r="CF221">
            <v>-1</v>
          </cell>
          <cell r="CG221">
            <v>-3</v>
          </cell>
          <cell r="CH221">
            <v>21</v>
          </cell>
          <cell r="CI221">
            <v>-2</v>
          </cell>
          <cell r="CJ221">
            <v>-11</v>
          </cell>
          <cell r="CK221">
            <v>-18</v>
          </cell>
          <cell r="CL221">
            <v>26</v>
          </cell>
          <cell r="CM221">
            <v>-3</v>
          </cell>
        </row>
        <row r="222">
          <cell r="A222">
            <v>41061</v>
          </cell>
          <cell r="B222">
            <v>163535</v>
          </cell>
          <cell r="C222">
            <v>18466</v>
          </cell>
          <cell r="D222">
            <v>182001</v>
          </cell>
          <cell r="E222">
            <v>71418</v>
          </cell>
          <cell r="F222">
            <v>4023</v>
          </cell>
          <cell r="G222">
            <v>75441</v>
          </cell>
          <cell r="H222">
            <v>19286</v>
          </cell>
          <cell r="I222">
            <v>94727</v>
          </cell>
          <cell r="J222">
            <v>7672</v>
          </cell>
          <cell r="K222">
            <v>28062</v>
          </cell>
          <cell r="L222">
            <v>130461</v>
          </cell>
          <cell r="M222">
            <v>28637</v>
          </cell>
          <cell r="N222">
            <v>341099</v>
          </cell>
          <cell r="O222">
            <v>35333</v>
          </cell>
          <cell r="P222">
            <v>726</v>
          </cell>
          <cell r="Q222">
            <v>377158</v>
          </cell>
          <cell r="R222">
            <v>1</v>
          </cell>
          <cell r="S222">
            <v>0.8</v>
          </cell>
          <cell r="T222">
            <v>0.9</v>
          </cell>
          <cell r="U222">
            <v>-1.9</v>
          </cell>
          <cell r="V222">
            <v>-6.8</v>
          </cell>
          <cell r="W222">
            <v>-2.2000000000000002</v>
          </cell>
          <cell r="X222">
            <v>2.6</v>
          </cell>
          <cell r="Y222">
            <v>-1.2</v>
          </cell>
          <cell r="Z222">
            <v>1.3</v>
          </cell>
          <cell r="AA222">
            <v>1.4</v>
          </cell>
          <cell r="AB222">
            <v>-0.5</v>
          </cell>
          <cell r="AC222">
            <v>-0.8</v>
          </cell>
          <cell r="AD222">
            <v>0.2</v>
          </cell>
          <cell r="AE222">
            <v>2</v>
          </cell>
          <cell r="AF222">
            <v>0.6</v>
          </cell>
          <cell r="AG222">
            <v>163933</v>
          </cell>
          <cell r="AH222">
            <v>18539</v>
          </cell>
          <cell r="AI222">
            <v>182472</v>
          </cell>
          <cell r="AJ222">
            <v>71920</v>
          </cell>
          <cell r="AK222">
            <v>3901</v>
          </cell>
          <cell r="AL222">
            <v>75821</v>
          </cell>
          <cell r="AM222">
            <v>19162</v>
          </cell>
          <cell r="AN222">
            <v>94983</v>
          </cell>
          <cell r="AO222">
            <v>7673</v>
          </cell>
          <cell r="AP222">
            <v>28071</v>
          </cell>
          <cell r="AQ222">
            <v>130727</v>
          </cell>
          <cell r="AR222">
            <v>28786</v>
          </cell>
          <cell r="AS222">
            <v>341984</v>
          </cell>
          <cell r="AT222">
            <v>34952</v>
          </cell>
          <cell r="AU222">
            <v>1843</v>
          </cell>
          <cell r="AV222">
            <v>378780</v>
          </cell>
          <cell r="AW222">
            <v>0.8</v>
          </cell>
          <cell r="AX222">
            <v>0.8</v>
          </cell>
          <cell r="AY222">
            <v>0.8</v>
          </cell>
          <cell r="AZ222">
            <v>0.7</v>
          </cell>
          <cell r="BA222">
            <v>-10.3</v>
          </cell>
          <cell r="BB222">
            <v>0</v>
          </cell>
          <cell r="BC222">
            <v>2</v>
          </cell>
          <cell r="BD222">
            <v>0.4</v>
          </cell>
          <cell r="BE222">
            <v>1.3</v>
          </cell>
          <cell r="BF222">
            <v>1.6</v>
          </cell>
          <cell r="BG222">
            <v>0.7</v>
          </cell>
          <cell r="BH222">
            <v>1.9</v>
          </cell>
          <cell r="BI222">
            <v>0.9</v>
          </cell>
          <cell r="BJ222">
            <v>0.4</v>
          </cell>
          <cell r="BK222">
            <v>1.5</v>
          </cell>
          <cell r="BL222">
            <v>165810</v>
          </cell>
          <cell r="BM222">
            <v>18785</v>
          </cell>
          <cell r="BN222">
            <v>184595</v>
          </cell>
          <cell r="BO222">
            <v>70076</v>
          </cell>
          <cell r="BP222">
            <v>3294</v>
          </cell>
          <cell r="BQ222">
            <v>73369</v>
          </cell>
          <cell r="BR222">
            <v>19364</v>
          </cell>
          <cell r="BS222">
            <v>92734</v>
          </cell>
          <cell r="BT222">
            <v>7673</v>
          </cell>
          <cell r="BU222">
            <v>28245</v>
          </cell>
          <cell r="BV222">
            <v>128652</v>
          </cell>
          <cell r="BW222">
            <v>27830</v>
          </cell>
          <cell r="BX222">
            <v>341077</v>
          </cell>
          <cell r="BY222">
            <v>33933</v>
          </cell>
          <cell r="BZ222">
            <v>5304</v>
          </cell>
          <cell r="CA222">
            <v>380314</v>
          </cell>
          <cell r="CB222">
            <v>50</v>
          </cell>
          <cell r="CC222">
            <v>-130</v>
          </cell>
          <cell r="CD222">
            <v>-1</v>
          </cell>
          <cell r="CE222">
            <v>-3</v>
          </cell>
          <cell r="CF222">
            <v>0</v>
          </cell>
          <cell r="CG222">
            <v>-1</v>
          </cell>
          <cell r="CH222">
            <v>-136</v>
          </cell>
          <cell r="CI222">
            <v>2</v>
          </cell>
          <cell r="CJ222">
            <v>-85</v>
          </cell>
          <cell r="CK222">
            <v>-15</v>
          </cell>
          <cell r="CL222">
            <v>46</v>
          </cell>
          <cell r="CM222">
            <v>-54</v>
          </cell>
        </row>
        <row r="223">
          <cell r="A223">
            <v>41153</v>
          </cell>
          <cell r="B223">
            <v>164569</v>
          </cell>
          <cell r="C223">
            <v>18540</v>
          </cell>
          <cell r="D223">
            <v>183108</v>
          </cell>
          <cell r="E223">
            <v>70641</v>
          </cell>
          <cell r="F223">
            <v>3940</v>
          </cell>
          <cell r="G223">
            <v>74581</v>
          </cell>
          <cell r="H223">
            <v>19786</v>
          </cell>
          <cell r="I223">
            <v>94367</v>
          </cell>
          <cell r="J223">
            <v>7768</v>
          </cell>
          <cell r="K223">
            <v>28472</v>
          </cell>
          <cell r="L223">
            <v>130607</v>
          </cell>
          <cell r="M223">
            <v>28893</v>
          </cell>
          <cell r="N223">
            <v>342608</v>
          </cell>
          <cell r="O223">
            <v>36011</v>
          </cell>
          <cell r="P223">
            <v>907</v>
          </cell>
          <cell r="Q223">
            <v>379527</v>
          </cell>
          <cell r="R223">
            <v>0.6</v>
          </cell>
          <cell r="S223">
            <v>0.4</v>
          </cell>
          <cell r="T223">
            <v>0.6</v>
          </cell>
          <cell r="U223">
            <v>-1.1000000000000001</v>
          </cell>
          <cell r="V223">
            <v>-2.1</v>
          </cell>
          <cell r="W223">
            <v>-1.1000000000000001</v>
          </cell>
          <cell r="X223">
            <v>2.6</v>
          </cell>
          <cell r="Y223">
            <v>-0.4</v>
          </cell>
          <cell r="Z223">
            <v>1.2</v>
          </cell>
          <cell r="AA223">
            <v>1.5</v>
          </cell>
          <cell r="AB223">
            <v>0.1</v>
          </cell>
          <cell r="AC223">
            <v>0.9</v>
          </cell>
          <cell r="AD223">
            <v>0.4</v>
          </cell>
          <cell r="AE223">
            <v>1.9</v>
          </cell>
          <cell r="AF223">
            <v>0.6</v>
          </cell>
          <cell r="AG223">
            <v>163672</v>
          </cell>
          <cell r="AH223">
            <v>18433</v>
          </cell>
          <cell r="AI223">
            <v>182105</v>
          </cell>
          <cell r="AJ223">
            <v>71098</v>
          </cell>
          <cell r="AK223">
            <v>3905</v>
          </cell>
          <cell r="AL223">
            <v>75003</v>
          </cell>
          <cell r="AM223">
            <v>19896</v>
          </cell>
          <cell r="AN223">
            <v>94899</v>
          </cell>
          <cell r="AO223">
            <v>7768</v>
          </cell>
          <cell r="AP223">
            <v>28488</v>
          </cell>
          <cell r="AQ223">
            <v>131155</v>
          </cell>
          <cell r="AR223">
            <v>28806</v>
          </cell>
          <cell r="AS223">
            <v>342066</v>
          </cell>
          <cell r="AT223">
            <v>36291</v>
          </cell>
          <cell r="AU223">
            <v>1196</v>
          </cell>
          <cell r="AV223">
            <v>379552</v>
          </cell>
          <cell r="AW223">
            <v>-0.2</v>
          </cell>
          <cell r="AX223">
            <v>-0.6</v>
          </cell>
          <cell r="AY223">
            <v>-0.2</v>
          </cell>
          <cell r="AZ223">
            <v>-1.1000000000000001</v>
          </cell>
          <cell r="BA223">
            <v>0.1</v>
          </cell>
          <cell r="BB223">
            <v>-1.1000000000000001</v>
          </cell>
          <cell r="BC223">
            <v>3.8</v>
          </cell>
          <cell r="BD223">
            <v>-0.1</v>
          </cell>
          <cell r="BE223">
            <v>1.2</v>
          </cell>
          <cell r="BF223">
            <v>1.5</v>
          </cell>
          <cell r="BG223">
            <v>0.3</v>
          </cell>
          <cell r="BH223">
            <v>0.1</v>
          </cell>
          <cell r="BI223">
            <v>0</v>
          </cell>
          <cell r="BJ223">
            <v>3.8</v>
          </cell>
          <cell r="BK223">
            <v>0.2</v>
          </cell>
          <cell r="BL223">
            <v>163755</v>
          </cell>
          <cell r="BM223">
            <v>18474</v>
          </cell>
          <cell r="BN223">
            <v>182229</v>
          </cell>
          <cell r="BO223">
            <v>74032</v>
          </cell>
          <cell r="BP223">
            <v>4146</v>
          </cell>
          <cell r="BQ223">
            <v>78178</v>
          </cell>
          <cell r="BR223">
            <v>19873</v>
          </cell>
          <cell r="BS223">
            <v>98051</v>
          </cell>
          <cell r="BT223">
            <v>7768</v>
          </cell>
          <cell r="BU223">
            <v>28361</v>
          </cell>
          <cell r="BV223">
            <v>134181</v>
          </cell>
          <cell r="BW223">
            <v>27232</v>
          </cell>
          <cell r="BX223">
            <v>343642</v>
          </cell>
          <cell r="BY223">
            <v>36623</v>
          </cell>
          <cell r="BZ223">
            <v>-1016</v>
          </cell>
          <cell r="CA223">
            <v>379249</v>
          </cell>
          <cell r="CB223">
            <v>-74</v>
          </cell>
          <cell r="CC223">
            <v>-30</v>
          </cell>
          <cell r="CD223">
            <v>0</v>
          </cell>
          <cell r="CE223">
            <v>1</v>
          </cell>
          <cell r="CF223">
            <v>0</v>
          </cell>
          <cell r="CG223">
            <v>1</v>
          </cell>
          <cell r="CH223">
            <v>-29</v>
          </cell>
          <cell r="CI223">
            <v>7</v>
          </cell>
          <cell r="CJ223">
            <v>-96</v>
          </cell>
          <cell r="CK223">
            <v>1</v>
          </cell>
          <cell r="CL223">
            <v>68</v>
          </cell>
          <cell r="CM223">
            <v>-28</v>
          </cell>
        </row>
        <row r="224">
          <cell r="A224">
            <v>41244</v>
          </cell>
          <cell r="B224">
            <v>165599</v>
          </cell>
          <cell r="C224">
            <v>18616</v>
          </cell>
          <cell r="D224">
            <v>184201</v>
          </cell>
          <cell r="E224">
            <v>70528</v>
          </cell>
          <cell r="F224">
            <v>4090</v>
          </cell>
          <cell r="G224">
            <v>74618</v>
          </cell>
          <cell r="H224">
            <v>19973</v>
          </cell>
          <cell r="I224">
            <v>94591</v>
          </cell>
          <cell r="J224">
            <v>7865</v>
          </cell>
          <cell r="K224">
            <v>28884</v>
          </cell>
          <cell r="L224">
            <v>131340</v>
          </cell>
          <cell r="M224">
            <v>29358</v>
          </cell>
          <cell r="N224">
            <v>344898</v>
          </cell>
          <cell r="O224">
            <v>36608</v>
          </cell>
          <cell r="P224">
            <v>212</v>
          </cell>
          <cell r="Q224">
            <v>381718</v>
          </cell>
          <cell r="R224">
            <v>0.6</v>
          </cell>
          <cell r="S224">
            <v>0.4</v>
          </cell>
          <cell r="T224">
            <v>0.6</v>
          </cell>
          <cell r="U224">
            <v>-0.2</v>
          </cell>
          <cell r="V224">
            <v>3.8</v>
          </cell>
          <cell r="W224">
            <v>0.1</v>
          </cell>
          <cell r="X224">
            <v>0.9</v>
          </cell>
          <cell r="Y224">
            <v>0.2</v>
          </cell>
          <cell r="Z224">
            <v>1.3</v>
          </cell>
          <cell r="AA224">
            <v>1.4</v>
          </cell>
          <cell r="AB224">
            <v>0.6</v>
          </cell>
          <cell r="AC224">
            <v>1.6</v>
          </cell>
          <cell r="AD224">
            <v>0.7</v>
          </cell>
          <cell r="AE224">
            <v>1.7</v>
          </cell>
          <cell r="AF224">
            <v>0.6</v>
          </cell>
          <cell r="AG224">
            <v>165997</v>
          </cell>
          <cell r="AH224">
            <v>18650</v>
          </cell>
          <cell r="AI224">
            <v>184646</v>
          </cell>
          <cell r="AJ224">
            <v>69794</v>
          </cell>
          <cell r="AK224">
            <v>4098</v>
          </cell>
          <cell r="AL224">
            <v>73892</v>
          </cell>
          <cell r="AM224">
            <v>20221</v>
          </cell>
          <cell r="AN224">
            <v>94113</v>
          </cell>
          <cell r="AO224">
            <v>7865</v>
          </cell>
          <cell r="AP224">
            <v>28849</v>
          </cell>
          <cell r="AQ224">
            <v>130827</v>
          </cell>
          <cell r="AR224">
            <v>29424</v>
          </cell>
          <cell r="AS224">
            <v>344898</v>
          </cell>
          <cell r="AT224">
            <v>36817</v>
          </cell>
          <cell r="AU224">
            <v>-991</v>
          </cell>
          <cell r="AV224">
            <v>380724</v>
          </cell>
          <cell r="AW224">
            <v>1.4</v>
          </cell>
          <cell r="AX224">
            <v>1.2</v>
          </cell>
          <cell r="AY224">
            <v>1.4</v>
          </cell>
          <cell r="AZ224">
            <v>-1.8</v>
          </cell>
          <cell r="BA224">
            <v>4.9000000000000004</v>
          </cell>
          <cell r="BB224">
            <v>-1.5</v>
          </cell>
          <cell r="BC224">
            <v>1.6</v>
          </cell>
          <cell r="BD224">
            <v>-0.8</v>
          </cell>
          <cell r="BE224">
            <v>1.2</v>
          </cell>
          <cell r="BF224">
            <v>1.3</v>
          </cell>
          <cell r="BG224">
            <v>-0.2</v>
          </cell>
          <cell r="BH224">
            <v>2.1</v>
          </cell>
          <cell r="BI224">
            <v>0.8</v>
          </cell>
          <cell r="BJ224">
            <v>1.5</v>
          </cell>
          <cell r="BK224">
            <v>0.3</v>
          </cell>
          <cell r="BL224">
            <v>169401</v>
          </cell>
          <cell r="BM224">
            <v>18976</v>
          </cell>
          <cell r="BN224">
            <v>188376</v>
          </cell>
          <cell r="BO224">
            <v>74503</v>
          </cell>
          <cell r="BP224">
            <v>4246</v>
          </cell>
          <cell r="BQ224">
            <v>78749</v>
          </cell>
          <cell r="BR224">
            <v>20239</v>
          </cell>
          <cell r="BS224">
            <v>98988</v>
          </cell>
          <cell r="BT224">
            <v>7865</v>
          </cell>
          <cell r="BU224">
            <v>28789</v>
          </cell>
          <cell r="BV224">
            <v>135641</v>
          </cell>
          <cell r="BW224">
            <v>33772</v>
          </cell>
          <cell r="BX224">
            <v>357789</v>
          </cell>
          <cell r="BY224">
            <v>38707</v>
          </cell>
          <cell r="BZ224">
            <v>-661</v>
          </cell>
          <cell r="CA224">
            <v>395835</v>
          </cell>
          <cell r="CB224">
            <v>54</v>
          </cell>
          <cell r="CC224">
            <v>162</v>
          </cell>
          <cell r="CD224">
            <v>1</v>
          </cell>
          <cell r="CE224">
            <v>4</v>
          </cell>
          <cell r="CF224">
            <v>0</v>
          </cell>
          <cell r="CG224">
            <v>-3</v>
          </cell>
          <cell r="CH224">
            <v>165</v>
          </cell>
          <cell r="CI224">
            <v>-5</v>
          </cell>
          <cell r="CJ224">
            <v>214</v>
          </cell>
          <cell r="CK224">
            <v>39</v>
          </cell>
          <cell r="CL224">
            <v>-128</v>
          </cell>
          <cell r="CM224">
            <v>124</v>
          </cell>
        </row>
        <row r="225">
          <cell r="A225">
            <v>41334</v>
          </cell>
          <cell r="B225">
            <v>166887</v>
          </cell>
          <cell r="C225">
            <v>18751</v>
          </cell>
          <cell r="D225">
            <v>185637</v>
          </cell>
          <cell r="E225">
            <v>70854</v>
          </cell>
          <cell r="F225">
            <v>4374</v>
          </cell>
          <cell r="G225">
            <v>75229</v>
          </cell>
          <cell r="H225">
            <v>19959</v>
          </cell>
          <cell r="I225">
            <v>95187</v>
          </cell>
          <cell r="J225">
            <v>7967</v>
          </cell>
          <cell r="K225">
            <v>29279</v>
          </cell>
          <cell r="L225">
            <v>132434</v>
          </cell>
          <cell r="M225">
            <v>29511</v>
          </cell>
          <cell r="N225">
            <v>347582</v>
          </cell>
          <cell r="O225">
            <v>37218</v>
          </cell>
          <cell r="P225">
            <v>-221</v>
          </cell>
          <cell r="Q225">
            <v>384580</v>
          </cell>
          <cell r="R225">
            <v>0.8</v>
          </cell>
          <cell r="S225">
            <v>0.7</v>
          </cell>
          <cell r="T225">
            <v>0.8</v>
          </cell>
          <cell r="U225">
            <v>0.5</v>
          </cell>
          <cell r="V225">
            <v>6.9</v>
          </cell>
          <cell r="W225">
            <v>0.8</v>
          </cell>
          <cell r="X225">
            <v>-0.1</v>
          </cell>
          <cell r="Y225">
            <v>0.6</v>
          </cell>
          <cell r="Z225">
            <v>1.3</v>
          </cell>
          <cell r="AA225">
            <v>1.4</v>
          </cell>
          <cell r="AB225">
            <v>0.8</v>
          </cell>
          <cell r="AC225">
            <v>0.5</v>
          </cell>
          <cell r="AD225">
            <v>0.8</v>
          </cell>
          <cell r="AE225">
            <v>1.7</v>
          </cell>
          <cell r="AF225">
            <v>0.7</v>
          </cell>
          <cell r="AG225">
            <v>166888</v>
          </cell>
          <cell r="AH225">
            <v>18750</v>
          </cell>
          <cell r="AI225">
            <v>185638</v>
          </cell>
          <cell r="AJ225">
            <v>70709</v>
          </cell>
          <cell r="AK225">
            <v>4372</v>
          </cell>
          <cell r="AL225">
            <v>75081</v>
          </cell>
          <cell r="AM225">
            <v>19742</v>
          </cell>
          <cell r="AN225">
            <v>94823</v>
          </cell>
          <cell r="AO225">
            <v>7966</v>
          </cell>
          <cell r="AP225">
            <v>29300</v>
          </cell>
          <cell r="AQ225">
            <v>132089</v>
          </cell>
          <cell r="AR225">
            <v>29732</v>
          </cell>
          <cell r="AS225">
            <v>347459</v>
          </cell>
          <cell r="AT225">
            <v>36763</v>
          </cell>
          <cell r="AU225">
            <v>705</v>
          </cell>
          <cell r="AV225">
            <v>384927</v>
          </cell>
          <cell r="AW225">
            <v>0.5</v>
          </cell>
          <cell r="AX225">
            <v>0.5</v>
          </cell>
          <cell r="AY225">
            <v>0.5</v>
          </cell>
          <cell r="AZ225">
            <v>1.3</v>
          </cell>
          <cell r="BA225">
            <v>6.7</v>
          </cell>
          <cell r="BB225">
            <v>1.6</v>
          </cell>
          <cell r="BC225">
            <v>-2.4</v>
          </cell>
          <cell r="BD225">
            <v>0.8</v>
          </cell>
          <cell r="BE225">
            <v>1.3</v>
          </cell>
          <cell r="BF225">
            <v>1.6</v>
          </cell>
          <cell r="BG225">
            <v>1</v>
          </cell>
          <cell r="BH225">
            <v>1</v>
          </cell>
          <cell r="BI225">
            <v>0.7</v>
          </cell>
          <cell r="BJ225">
            <v>-0.1</v>
          </cell>
          <cell r="BK225">
            <v>1.1000000000000001</v>
          </cell>
          <cell r="BL225">
            <v>161403</v>
          </cell>
          <cell r="BM225">
            <v>18113</v>
          </cell>
          <cell r="BN225">
            <v>179516</v>
          </cell>
          <cell r="BO225">
            <v>64811</v>
          </cell>
          <cell r="BP225">
            <v>4621</v>
          </cell>
          <cell r="BQ225">
            <v>69432</v>
          </cell>
          <cell r="BR225">
            <v>19552</v>
          </cell>
          <cell r="BS225">
            <v>88984</v>
          </cell>
          <cell r="BT225">
            <v>7966</v>
          </cell>
          <cell r="BU225">
            <v>29316</v>
          </cell>
          <cell r="BV225">
            <v>126266</v>
          </cell>
          <cell r="BW225">
            <v>28037</v>
          </cell>
          <cell r="BX225">
            <v>333820</v>
          </cell>
          <cell r="BY225">
            <v>35621</v>
          </cell>
          <cell r="BZ225">
            <v>-582</v>
          </cell>
          <cell r="CA225">
            <v>368859</v>
          </cell>
          <cell r="CB225">
            <v>-21</v>
          </cell>
          <cell r="CC225">
            <v>60</v>
          </cell>
          <cell r="CD225">
            <v>1</v>
          </cell>
          <cell r="CE225">
            <v>-1</v>
          </cell>
          <cell r="CF225">
            <v>0</v>
          </cell>
          <cell r="CG225">
            <v>1</v>
          </cell>
          <cell r="CH225">
            <v>60</v>
          </cell>
          <cell r="CI225">
            <v>-5</v>
          </cell>
          <cell r="CJ225">
            <v>34</v>
          </cell>
          <cell r="CK225">
            <v>-25</v>
          </cell>
          <cell r="CL225">
            <v>17</v>
          </cell>
          <cell r="CM225">
            <v>25</v>
          </cell>
        </row>
        <row r="226">
          <cell r="A226">
            <v>41426</v>
          </cell>
          <cell r="B226">
            <v>168177</v>
          </cell>
          <cell r="C226">
            <v>18931</v>
          </cell>
          <cell r="D226">
            <v>187177</v>
          </cell>
          <cell r="E226">
            <v>71859</v>
          </cell>
          <cell r="F226">
            <v>4603</v>
          </cell>
          <cell r="G226">
            <v>76462</v>
          </cell>
          <cell r="H226">
            <v>19997</v>
          </cell>
          <cell r="I226">
            <v>96459</v>
          </cell>
          <cell r="J226">
            <v>8076</v>
          </cell>
          <cell r="K226">
            <v>29640</v>
          </cell>
          <cell r="L226">
            <v>134175</v>
          </cell>
          <cell r="M226">
            <v>29616</v>
          </cell>
          <cell r="N226">
            <v>350968</v>
          </cell>
          <cell r="O226">
            <v>37917</v>
          </cell>
          <cell r="P226">
            <v>-211</v>
          </cell>
          <cell r="Q226">
            <v>388673</v>
          </cell>
          <cell r="R226">
            <v>0.8</v>
          </cell>
          <cell r="S226">
            <v>1</v>
          </cell>
          <cell r="T226">
            <v>0.8</v>
          </cell>
          <cell r="U226">
            <v>1.4</v>
          </cell>
          <cell r="V226">
            <v>5.2</v>
          </cell>
          <cell r="W226">
            <v>1.6</v>
          </cell>
          <cell r="X226">
            <v>0.2</v>
          </cell>
          <cell r="Y226">
            <v>1.3</v>
          </cell>
          <cell r="Z226">
            <v>1.4</v>
          </cell>
          <cell r="AA226">
            <v>1.2</v>
          </cell>
          <cell r="AB226">
            <v>1.3</v>
          </cell>
          <cell r="AC226">
            <v>0.4</v>
          </cell>
          <cell r="AD226">
            <v>1</v>
          </cell>
          <cell r="AE226">
            <v>1.9</v>
          </cell>
          <cell r="AF226">
            <v>1.1000000000000001</v>
          </cell>
          <cell r="AG226">
            <v>168267</v>
          </cell>
          <cell r="AH226">
            <v>18941</v>
          </cell>
          <cell r="AI226">
            <v>187207</v>
          </cell>
          <cell r="AJ226">
            <v>72757</v>
          </cell>
          <cell r="AK226">
            <v>4662</v>
          </cell>
          <cell r="AL226">
            <v>77418</v>
          </cell>
          <cell r="AM226">
            <v>19883</v>
          </cell>
          <cell r="AN226">
            <v>97301</v>
          </cell>
          <cell r="AO226">
            <v>8073</v>
          </cell>
          <cell r="AP226">
            <v>29646</v>
          </cell>
          <cell r="AQ226">
            <v>135020</v>
          </cell>
          <cell r="AR226">
            <v>29520</v>
          </cell>
          <cell r="AS226">
            <v>351747</v>
          </cell>
          <cell r="AT226">
            <v>38066</v>
          </cell>
          <cell r="AU226">
            <v>-831</v>
          </cell>
          <cell r="AV226">
            <v>388983</v>
          </cell>
          <cell r="AW226">
            <v>0.8</v>
          </cell>
          <cell r="AX226">
            <v>1</v>
          </cell>
          <cell r="AY226">
            <v>0.8</v>
          </cell>
          <cell r="AZ226">
            <v>2.9</v>
          </cell>
          <cell r="BA226">
            <v>6.6</v>
          </cell>
          <cell r="BB226">
            <v>3.1</v>
          </cell>
          <cell r="BC226">
            <v>0.7</v>
          </cell>
          <cell r="BD226">
            <v>2.6</v>
          </cell>
          <cell r="BE226">
            <v>1.3</v>
          </cell>
          <cell r="BF226">
            <v>1.2</v>
          </cell>
          <cell r="BG226">
            <v>2.2000000000000002</v>
          </cell>
          <cell r="BH226">
            <v>-0.7</v>
          </cell>
          <cell r="BI226">
            <v>1.2</v>
          </cell>
          <cell r="BJ226">
            <v>3.5</v>
          </cell>
          <cell r="BK226">
            <v>1.1000000000000001</v>
          </cell>
          <cell r="BL226">
            <v>170321</v>
          </cell>
          <cell r="BM226">
            <v>19220</v>
          </cell>
          <cell r="BN226">
            <v>189540</v>
          </cell>
          <cell r="BO226">
            <v>70620</v>
          </cell>
          <cell r="BP226">
            <v>3960</v>
          </cell>
          <cell r="BQ226">
            <v>74579</v>
          </cell>
          <cell r="BR226">
            <v>20069</v>
          </cell>
          <cell r="BS226">
            <v>94648</v>
          </cell>
          <cell r="BT226">
            <v>8073</v>
          </cell>
          <cell r="BU226">
            <v>29811</v>
          </cell>
          <cell r="BV226">
            <v>132532</v>
          </cell>
          <cell r="BW226">
            <v>28564</v>
          </cell>
          <cell r="BX226">
            <v>350636</v>
          </cell>
          <cell r="BY226">
            <v>37044</v>
          </cell>
          <cell r="BZ226">
            <v>2259</v>
          </cell>
          <cell r="CA226">
            <v>389939</v>
          </cell>
          <cell r="CB226">
            <v>11</v>
          </cell>
          <cell r="CC226">
            <v>-269</v>
          </cell>
          <cell r="CD226">
            <v>-3</v>
          </cell>
          <cell r="CE226">
            <v>-5</v>
          </cell>
          <cell r="CF226">
            <v>0</v>
          </cell>
          <cell r="CG226">
            <v>0</v>
          </cell>
          <cell r="CH226">
            <v>-276</v>
          </cell>
          <cell r="CI226">
            <v>-4</v>
          </cell>
          <cell r="CJ226">
            <v>-268</v>
          </cell>
          <cell r="CK226">
            <v>-23</v>
          </cell>
          <cell r="CL226">
            <v>185</v>
          </cell>
          <cell r="CM226">
            <v>-105</v>
          </cell>
        </row>
        <row r="227">
          <cell r="A227">
            <v>41518</v>
          </cell>
          <cell r="B227">
            <v>169494</v>
          </cell>
          <cell r="C227">
            <v>19375</v>
          </cell>
          <cell r="D227">
            <v>188800</v>
          </cell>
          <cell r="E227">
            <v>72981</v>
          </cell>
          <cell r="F227">
            <v>4774</v>
          </cell>
          <cell r="G227">
            <v>77755</v>
          </cell>
          <cell r="H227">
            <v>20307</v>
          </cell>
          <cell r="I227">
            <v>98061</v>
          </cell>
          <cell r="J227">
            <v>8187</v>
          </cell>
          <cell r="K227">
            <v>29946</v>
          </cell>
          <cell r="L227">
            <v>136194</v>
          </cell>
          <cell r="M227">
            <v>29895</v>
          </cell>
          <cell r="N227">
            <v>354889</v>
          </cell>
          <cell r="O227">
            <v>38721</v>
          </cell>
          <cell r="P227">
            <v>21</v>
          </cell>
          <cell r="Q227">
            <v>393631</v>
          </cell>
          <cell r="R227">
            <v>0.8</v>
          </cell>
          <cell r="S227">
            <v>2.2999999999999998</v>
          </cell>
          <cell r="T227">
            <v>0.9</v>
          </cell>
          <cell r="U227">
            <v>1.6</v>
          </cell>
          <cell r="V227">
            <v>3.7</v>
          </cell>
          <cell r="W227">
            <v>1.7</v>
          </cell>
          <cell r="X227">
            <v>1.5</v>
          </cell>
          <cell r="Y227">
            <v>1.7</v>
          </cell>
          <cell r="Z227">
            <v>1.4</v>
          </cell>
          <cell r="AA227">
            <v>1</v>
          </cell>
          <cell r="AB227">
            <v>1.5</v>
          </cell>
          <cell r="AC227">
            <v>0.9</v>
          </cell>
          <cell r="AD227">
            <v>1.1000000000000001</v>
          </cell>
          <cell r="AE227">
            <v>2.1</v>
          </cell>
          <cell r="AF227">
            <v>1.3</v>
          </cell>
          <cell r="AG227">
            <v>169127</v>
          </cell>
          <cell r="AH227">
            <v>19325</v>
          </cell>
          <cell r="AI227">
            <v>188452</v>
          </cell>
          <cell r="AJ227">
            <v>71837</v>
          </cell>
          <cell r="AK227">
            <v>4745</v>
          </cell>
          <cell r="AL227">
            <v>76582</v>
          </cell>
          <cell r="AM227">
            <v>20475</v>
          </cell>
          <cell r="AN227">
            <v>97057</v>
          </cell>
          <cell r="AO227">
            <v>8190</v>
          </cell>
          <cell r="AP227">
            <v>29944</v>
          </cell>
          <cell r="AQ227">
            <v>135190</v>
          </cell>
          <cell r="AR227">
            <v>29627</v>
          </cell>
          <cell r="AS227">
            <v>353269</v>
          </cell>
          <cell r="AT227">
            <v>38855</v>
          </cell>
          <cell r="AU227">
            <v>538</v>
          </cell>
          <cell r="AV227">
            <v>392662</v>
          </cell>
          <cell r="AW227">
            <v>0.5</v>
          </cell>
          <cell r="AX227">
            <v>2</v>
          </cell>
          <cell r="AY227">
            <v>0.7</v>
          </cell>
          <cell r="AZ227">
            <v>-1.3</v>
          </cell>
          <cell r="BA227">
            <v>1.8</v>
          </cell>
          <cell r="BB227">
            <v>-1.1000000000000001</v>
          </cell>
          <cell r="BC227">
            <v>3</v>
          </cell>
          <cell r="BD227">
            <v>-0.3</v>
          </cell>
          <cell r="BE227">
            <v>1.4</v>
          </cell>
          <cell r="BF227">
            <v>1</v>
          </cell>
          <cell r="BG227">
            <v>0.1</v>
          </cell>
          <cell r="BH227">
            <v>0.4</v>
          </cell>
          <cell r="BI227">
            <v>0.4</v>
          </cell>
          <cell r="BJ227">
            <v>2.1</v>
          </cell>
          <cell r="BK227">
            <v>0.9</v>
          </cell>
          <cell r="BL227">
            <v>169145</v>
          </cell>
          <cell r="BM227">
            <v>19357</v>
          </cell>
          <cell r="BN227">
            <v>188502</v>
          </cell>
          <cell r="BO227">
            <v>75138</v>
          </cell>
          <cell r="BP227">
            <v>5008</v>
          </cell>
          <cell r="BQ227">
            <v>80146</v>
          </cell>
          <cell r="BR227">
            <v>20456</v>
          </cell>
          <cell r="BS227">
            <v>100602</v>
          </cell>
          <cell r="BT227">
            <v>8190</v>
          </cell>
          <cell r="BU227">
            <v>29817</v>
          </cell>
          <cell r="BV227">
            <v>138609</v>
          </cell>
          <cell r="BW227">
            <v>27800</v>
          </cell>
          <cell r="BX227">
            <v>354911</v>
          </cell>
          <cell r="BY227">
            <v>39179</v>
          </cell>
          <cell r="BZ227">
            <v>-2321</v>
          </cell>
          <cell r="CA227">
            <v>391769</v>
          </cell>
          <cell r="CB227">
            <v>-23</v>
          </cell>
          <cell r="CC227">
            <v>-99</v>
          </cell>
          <cell r="CD227">
            <v>-1</v>
          </cell>
          <cell r="CE227">
            <v>4</v>
          </cell>
          <cell r="CF227">
            <v>0</v>
          </cell>
          <cell r="CG227">
            <v>6</v>
          </cell>
          <cell r="CH227">
            <v>-91</v>
          </cell>
          <cell r="CI227">
            <v>16</v>
          </cell>
          <cell r="CJ227">
            <v>-98</v>
          </cell>
          <cell r="CK227">
            <v>2</v>
          </cell>
          <cell r="CL227">
            <v>53</v>
          </cell>
          <cell r="CM227">
            <v>-43</v>
          </cell>
        </row>
        <row r="228">
          <cell r="A228">
            <v>41609</v>
          </cell>
          <cell r="B228">
            <v>171062</v>
          </cell>
          <cell r="C228">
            <v>19619</v>
          </cell>
          <cell r="D228">
            <v>190669</v>
          </cell>
          <cell r="E228">
            <v>73639</v>
          </cell>
          <cell r="F228">
            <v>4805</v>
          </cell>
          <cell r="G228">
            <v>78445</v>
          </cell>
          <cell r="H228">
            <v>20740</v>
          </cell>
          <cell r="I228">
            <v>99185</v>
          </cell>
          <cell r="J228">
            <v>8295</v>
          </cell>
          <cell r="K228">
            <v>30188</v>
          </cell>
          <cell r="L228">
            <v>137669</v>
          </cell>
          <cell r="M228">
            <v>30555</v>
          </cell>
          <cell r="N228">
            <v>358892</v>
          </cell>
          <cell r="O228">
            <v>39384</v>
          </cell>
          <cell r="P228">
            <v>177</v>
          </cell>
          <cell r="Q228">
            <v>398453</v>
          </cell>
          <cell r="R228">
            <v>0.9</v>
          </cell>
          <cell r="S228">
            <v>1.3</v>
          </cell>
          <cell r="T228">
            <v>1</v>
          </cell>
          <cell r="U228">
            <v>0.9</v>
          </cell>
          <cell r="V228">
            <v>0.7</v>
          </cell>
          <cell r="W228">
            <v>0.9</v>
          </cell>
          <cell r="X228">
            <v>2.1</v>
          </cell>
          <cell r="Y228">
            <v>1.1000000000000001</v>
          </cell>
          <cell r="Z228">
            <v>1.3</v>
          </cell>
          <cell r="AA228">
            <v>0.8</v>
          </cell>
          <cell r="AB228">
            <v>1.1000000000000001</v>
          </cell>
          <cell r="AC228">
            <v>2.2000000000000002</v>
          </cell>
          <cell r="AD228">
            <v>1.1000000000000001</v>
          </cell>
          <cell r="AE228">
            <v>1.7</v>
          </cell>
          <cell r="AF228">
            <v>1.2</v>
          </cell>
          <cell r="AG228">
            <v>171325</v>
          </cell>
          <cell r="AH228">
            <v>19660</v>
          </cell>
          <cell r="AI228">
            <v>190984</v>
          </cell>
          <cell r="AJ228">
            <v>74210</v>
          </cell>
          <cell r="AK228">
            <v>4783</v>
          </cell>
          <cell r="AL228">
            <v>78993</v>
          </cell>
          <cell r="AM228">
            <v>20619</v>
          </cell>
          <cell r="AN228">
            <v>99611</v>
          </cell>
          <cell r="AO228">
            <v>8296</v>
          </cell>
          <cell r="AP228">
            <v>30192</v>
          </cell>
          <cell r="AQ228">
            <v>138099</v>
          </cell>
          <cell r="AR228">
            <v>30806</v>
          </cell>
          <cell r="AS228">
            <v>359890</v>
          </cell>
          <cell r="AT228">
            <v>39231</v>
          </cell>
          <cell r="AU228">
            <v>-507</v>
          </cell>
          <cell r="AV228">
            <v>398613</v>
          </cell>
          <cell r="AW228">
            <v>1.3</v>
          </cell>
          <cell r="AX228">
            <v>1.7</v>
          </cell>
          <cell r="AY228">
            <v>1.3</v>
          </cell>
          <cell r="AZ228">
            <v>3.3</v>
          </cell>
          <cell r="BA228">
            <v>0.8</v>
          </cell>
          <cell r="BB228">
            <v>3.1</v>
          </cell>
          <cell r="BC228">
            <v>0.7</v>
          </cell>
          <cell r="BD228">
            <v>2.6</v>
          </cell>
          <cell r="BE228">
            <v>1.3</v>
          </cell>
          <cell r="BF228">
            <v>0.8</v>
          </cell>
          <cell r="BG228">
            <v>2.2000000000000002</v>
          </cell>
          <cell r="BH228">
            <v>4</v>
          </cell>
          <cell r="BI228">
            <v>1.9</v>
          </cell>
          <cell r="BJ228">
            <v>1</v>
          </cell>
          <cell r="BK228">
            <v>1.5</v>
          </cell>
          <cell r="BL228">
            <v>174874</v>
          </cell>
          <cell r="BM228">
            <v>20013</v>
          </cell>
          <cell r="BN228">
            <v>194887</v>
          </cell>
          <cell r="BO228">
            <v>79211</v>
          </cell>
          <cell r="BP228">
            <v>4967</v>
          </cell>
          <cell r="BQ228">
            <v>84179</v>
          </cell>
          <cell r="BR228">
            <v>20650</v>
          </cell>
          <cell r="BS228">
            <v>104828</v>
          </cell>
          <cell r="BT228">
            <v>8296</v>
          </cell>
          <cell r="BU228">
            <v>30148</v>
          </cell>
          <cell r="BV228">
            <v>143272</v>
          </cell>
          <cell r="BW228">
            <v>35617</v>
          </cell>
          <cell r="BX228">
            <v>373776</v>
          </cell>
          <cell r="BY228">
            <v>41140</v>
          </cell>
          <cell r="BZ228">
            <v>-68</v>
          </cell>
          <cell r="CA228">
            <v>414847</v>
          </cell>
          <cell r="CB228">
            <v>25</v>
          </cell>
          <cell r="CC228">
            <v>355</v>
          </cell>
          <cell r="CD228">
            <v>3</v>
          </cell>
          <cell r="CE228">
            <v>4</v>
          </cell>
          <cell r="CF228">
            <v>0</v>
          </cell>
          <cell r="CG228">
            <v>-7</v>
          </cell>
          <cell r="CH228">
            <v>354</v>
          </cell>
          <cell r="CI228">
            <v>-6</v>
          </cell>
          <cell r="CJ228">
            <v>374</v>
          </cell>
          <cell r="CK228">
            <v>57</v>
          </cell>
          <cell r="CL228">
            <v>-222</v>
          </cell>
          <cell r="CM228">
            <v>209</v>
          </cell>
        </row>
        <row r="229">
          <cell r="A229">
            <v>41699</v>
          </cell>
          <cell r="B229">
            <v>172610</v>
          </cell>
          <cell r="C229">
            <v>19836</v>
          </cell>
          <cell r="D229">
            <v>192460</v>
          </cell>
          <cell r="E229">
            <v>72983</v>
          </cell>
          <cell r="F229">
            <v>4762</v>
          </cell>
          <cell r="G229">
            <v>77745</v>
          </cell>
          <cell r="H229">
            <v>21103</v>
          </cell>
          <cell r="I229">
            <v>98848</v>
          </cell>
          <cell r="J229">
            <v>8397</v>
          </cell>
          <cell r="K229">
            <v>30399</v>
          </cell>
          <cell r="L229">
            <v>137644</v>
          </cell>
          <cell r="M229">
            <v>31467</v>
          </cell>
          <cell r="N229">
            <v>361571</v>
          </cell>
          <cell r="O229">
            <v>39634</v>
          </cell>
          <cell r="P229">
            <v>450</v>
          </cell>
          <cell r="Q229">
            <v>401654</v>
          </cell>
          <cell r="R229">
            <v>0.9</v>
          </cell>
          <cell r="S229">
            <v>1.1000000000000001</v>
          </cell>
          <cell r="T229">
            <v>0.9</v>
          </cell>
          <cell r="U229">
            <v>-0.9</v>
          </cell>
          <cell r="V229">
            <v>-0.9</v>
          </cell>
          <cell r="W229">
            <v>-0.9</v>
          </cell>
          <cell r="X229">
            <v>1.7</v>
          </cell>
          <cell r="Y229">
            <v>-0.3</v>
          </cell>
          <cell r="Z229">
            <v>1.2</v>
          </cell>
          <cell r="AA229">
            <v>0.7</v>
          </cell>
          <cell r="AB229">
            <v>0</v>
          </cell>
          <cell r="AC229">
            <v>3</v>
          </cell>
          <cell r="AD229">
            <v>0.7</v>
          </cell>
          <cell r="AE229">
            <v>0.6</v>
          </cell>
          <cell r="AF229">
            <v>0.8</v>
          </cell>
          <cell r="AG229">
            <v>172589</v>
          </cell>
          <cell r="AH229">
            <v>19832</v>
          </cell>
          <cell r="AI229">
            <v>192421</v>
          </cell>
          <cell r="AJ229">
            <v>73350</v>
          </cell>
          <cell r="AK229">
            <v>4940</v>
          </cell>
          <cell r="AL229">
            <v>78290</v>
          </cell>
          <cell r="AM229">
            <v>21257</v>
          </cell>
          <cell r="AN229">
            <v>99547</v>
          </cell>
          <cell r="AO229">
            <v>8397</v>
          </cell>
          <cell r="AP229">
            <v>30410</v>
          </cell>
          <cell r="AQ229">
            <v>138355</v>
          </cell>
          <cell r="AR229">
            <v>31389</v>
          </cell>
          <cell r="AS229">
            <v>362165</v>
          </cell>
          <cell r="AT229">
            <v>39730</v>
          </cell>
          <cell r="AU229">
            <v>1285</v>
          </cell>
          <cell r="AV229">
            <v>403180</v>
          </cell>
          <cell r="AW229">
            <v>0.7</v>
          </cell>
          <cell r="AX229">
            <v>0.9</v>
          </cell>
          <cell r="AY229">
            <v>0.8</v>
          </cell>
          <cell r="AZ229">
            <v>-1.2</v>
          </cell>
          <cell r="BA229">
            <v>3.3</v>
          </cell>
          <cell r="BB229">
            <v>-0.9</v>
          </cell>
          <cell r="BC229">
            <v>3.1</v>
          </cell>
          <cell r="BD229">
            <v>-0.1</v>
          </cell>
          <cell r="BE229">
            <v>1.2</v>
          </cell>
          <cell r="BF229">
            <v>0.7</v>
          </cell>
          <cell r="BG229">
            <v>0.2</v>
          </cell>
          <cell r="BH229">
            <v>1.9</v>
          </cell>
          <cell r="BI229">
            <v>0.6</v>
          </cell>
          <cell r="BJ229">
            <v>1.3</v>
          </cell>
          <cell r="BK229">
            <v>1.1000000000000001</v>
          </cell>
          <cell r="BL229">
            <v>166827</v>
          </cell>
          <cell r="BM229">
            <v>19154</v>
          </cell>
          <cell r="BN229">
            <v>185981</v>
          </cell>
          <cell r="BO229">
            <v>67459</v>
          </cell>
          <cell r="BP229">
            <v>5191</v>
          </cell>
          <cell r="BQ229">
            <v>72650</v>
          </cell>
          <cell r="BR229">
            <v>21055</v>
          </cell>
          <cell r="BS229">
            <v>93705</v>
          </cell>
          <cell r="BT229">
            <v>8397</v>
          </cell>
          <cell r="BU229">
            <v>30421</v>
          </cell>
          <cell r="BV229">
            <v>132523</v>
          </cell>
          <cell r="BW229">
            <v>29629</v>
          </cell>
          <cell r="BX229">
            <v>348133</v>
          </cell>
          <cell r="BY229">
            <v>38473</v>
          </cell>
          <cell r="BZ229">
            <v>-418</v>
          </cell>
          <cell r="CA229">
            <v>386188</v>
          </cell>
          <cell r="CB229">
            <v>-9</v>
          </cell>
          <cell r="CC229">
            <v>107</v>
          </cell>
          <cell r="CD229">
            <v>2</v>
          </cell>
          <cell r="CE229">
            <v>-2</v>
          </cell>
          <cell r="CF229">
            <v>0</v>
          </cell>
          <cell r="CG229">
            <v>1</v>
          </cell>
          <cell r="CH229">
            <v>110</v>
          </cell>
          <cell r="CI229">
            <v>-9</v>
          </cell>
          <cell r="CJ229">
            <v>91</v>
          </cell>
          <cell r="CK229">
            <v>-33</v>
          </cell>
          <cell r="CL229">
            <v>-49</v>
          </cell>
          <cell r="CM229">
            <v>9</v>
          </cell>
        </row>
        <row r="230">
          <cell r="A230">
            <v>41791</v>
          </cell>
          <cell r="B230">
            <v>173969</v>
          </cell>
          <cell r="C230">
            <v>19992</v>
          </cell>
          <cell r="D230">
            <v>194022</v>
          </cell>
          <cell r="E230">
            <v>70769</v>
          </cell>
          <cell r="F230">
            <v>4775</v>
          </cell>
          <cell r="G230">
            <v>75544</v>
          </cell>
          <cell r="H230">
            <v>21513</v>
          </cell>
          <cell r="I230">
            <v>97057</v>
          </cell>
          <cell r="J230">
            <v>8493</v>
          </cell>
          <cell r="K230">
            <v>30607</v>
          </cell>
          <cell r="L230">
            <v>136157</v>
          </cell>
          <cell r="M230">
            <v>32492</v>
          </cell>
          <cell r="N230">
            <v>362670</v>
          </cell>
          <cell r="O230">
            <v>39622</v>
          </cell>
          <cell r="P230">
            <v>319</v>
          </cell>
          <cell r="Q230">
            <v>402612</v>
          </cell>
          <cell r="R230">
            <v>0.8</v>
          </cell>
          <cell r="S230">
            <v>0.8</v>
          </cell>
          <cell r="T230">
            <v>0.8</v>
          </cell>
          <cell r="U230">
            <v>-3</v>
          </cell>
          <cell r="V230">
            <v>0.3</v>
          </cell>
          <cell r="W230">
            <v>-2.8</v>
          </cell>
          <cell r="X230">
            <v>1.9</v>
          </cell>
          <cell r="Y230">
            <v>-1.8</v>
          </cell>
          <cell r="Z230">
            <v>1.1000000000000001</v>
          </cell>
          <cell r="AA230">
            <v>0.7</v>
          </cell>
          <cell r="AB230">
            <v>-1.1000000000000001</v>
          </cell>
          <cell r="AC230">
            <v>3.3</v>
          </cell>
          <cell r="AD230">
            <v>0.3</v>
          </cell>
          <cell r="AE230">
            <v>0</v>
          </cell>
          <cell r="AF230">
            <v>0.2</v>
          </cell>
          <cell r="AG230">
            <v>173917</v>
          </cell>
          <cell r="AH230">
            <v>20009</v>
          </cell>
          <cell r="AI230">
            <v>193926</v>
          </cell>
          <cell r="AJ230">
            <v>71257</v>
          </cell>
          <cell r="AK230">
            <v>4490</v>
          </cell>
          <cell r="AL230">
            <v>75747</v>
          </cell>
          <cell r="AM230">
            <v>21404</v>
          </cell>
          <cell r="AN230">
            <v>97151</v>
          </cell>
          <cell r="AO230">
            <v>8493</v>
          </cell>
          <cell r="AP230">
            <v>30581</v>
          </cell>
          <cell r="AQ230">
            <v>136225</v>
          </cell>
          <cell r="AR230">
            <v>32498</v>
          </cell>
          <cell r="AS230">
            <v>362648</v>
          </cell>
          <cell r="AT230">
            <v>39884</v>
          </cell>
          <cell r="AU230">
            <v>-286</v>
          </cell>
          <cell r="AV230">
            <v>402247</v>
          </cell>
          <cell r="AW230">
            <v>0.8</v>
          </cell>
          <cell r="AX230">
            <v>0.9</v>
          </cell>
          <cell r="AY230">
            <v>0.8</v>
          </cell>
          <cell r="AZ230">
            <v>-2.9</v>
          </cell>
          <cell r="BA230">
            <v>-9.1</v>
          </cell>
          <cell r="BB230">
            <v>-3.2</v>
          </cell>
          <cell r="BC230">
            <v>0.7</v>
          </cell>
          <cell r="BD230">
            <v>-2.4</v>
          </cell>
          <cell r="BE230">
            <v>1.1000000000000001</v>
          </cell>
          <cell r="BF230">
            <v>0.6</v>
          </cell>
          <cell r="BG230">
            <v>-1.5</v>
          </cell>
          <cell r="BH230">
            <v>3.5</v>
          </cell>
          <cell r="BI230">
            <v>0.1</v>
          </cell>
          <cell r="BJ230">
            <v>0.4</v>
          </cell>
          <cell r="BK230">
            <v>-0.2</v>
          </cell>
          <cell r="BL230">
            <v>176110</v>
          </cell>
          <cell r="BM230">
            <v>20302</v>
          </cell>
          <cell r="BN230">
            <v>196412</v>
          </cell>
          <cell r="BO230">
            <v>68950</v>
          </cell>
          <cell r="BP230">
            <v>3871</v>
          </cell>
          <cell r="BQ230">
            <v>72822</v>
          </cell>
          <cell r="BR230">
            <v>21585</v>
          </cell>
          <cell r="BS230">
            <v>94406</v>
          </cell>
          <cell r="BT230">
            <v>8493</v>
          </cell>
          <cell r="BU230">
            <v>30732</v>
          </cell>
          <cell r="BV230">
            <v>133632</v>
          </cell>
          <cell r="BW230">
            <v>31165</v>
          </cell>
          <cell r="BX230">
            <v>361209</v>
          </cell>
          <cell r="BY230">
            <v>38956</v>
          </cell>
          <cell r="BZ230">
            <v>2807</v>
          </cell>
          <cell r="CA230">
            <v>402971</v>
          </cell>
          <cell r="CB230">
            <v>-46</v>
          </cell>
          <cell r="CC230">
            <v>-424</v>
          </cell>
          <cell r="CD230">
            <v>-4</v>
          </cell>
          <cell r="CE230">
            <v>-7</v>
          </cell>
          <cell r="CF230">
            <v>0</v>
          </cell>
          <cell r="CG230">
            <v>-1</v>
          </cell>
          <cell r="CH230">
            <v>-437</v>
          </cell>
          <cell r="CI230">
            <v>-27</v>
          </cell>
          <cell r="CJ230">
            <v>-509</v>
          </cell>
          <cell r="CK230">
            <v>-39</v>
          </cell>
          <cell r="CL230">
            <v>344</v>
          </cell>
          <cell r="CM230">
            <v>-203</v>
          </cell>
        </row>
        <row r="231">
          <cell r="A231">
            <v>41883</v>
          </cell>
          <cell r="B231">
            <v>174962</v>
          </cell>
          <cell r="C231">
            <v>20293</v>
          </cell>
          <cell r="D231">
            <v>195194</v>
          </cell>
          <cell r="E231">
            <v>67938</v>
          </cell>
          <cell r="F231">
            <v>4882</v>
          </cell>
          <cell r="G231">
            <v>72821</v>
          </cell>
          <cell r="H231">
            <v>22028</v>
          </cell>
          <cell r="I231">
            <v>94849</v>
          </cell>
          <cell r="J231">
            <v>8587</v>
          </cell>
          <cell r="K231">
            <v>30835</v>
          </cell>
          <cell r="L231">
            <v>134271</v>
          </cell>
          <cell r="M231">
            <v>33711</v>
          </cell>
          <cell r="N231">
            <v>363176</v>
          </cell>
          <cell r="O231">
            <v>39634</v>
          </cell>
          <cell r="P231">
            <v>303</v>
          </cell>
          <cell r="Q231">
            <v>403112</v>
          </cell>
          <cell r="R231">
            <v>0.6</v>
          </cell>
          <cell r="S231">
            <v>1.5</v>
          </cell>
          <cell r="T231">
            <v>0.6</v>
          </cell>
          <cell r="U231">
            <v>-4</v>
          </cell>
          <cell r="V231">
            <v>2.2000000000000002</v>
          </cell>
          <cell r="W231">
            <v>-3.6</v>
          </cell>
          <cell r="X231">
            <v>2.4</v>
          </cell>
          <cell r="Y231">
            <v>-2.2999999999999998</v>
          </cell>
          <cell r="Z231">
            <v>1.1000000000000001</v>
          </cell>
          <cell r="AA231">
            <v>0.7</v>
          </cell>
          <cell r="AB231">
            <v>-1.4</v>
          </cell>
          <cell r="AC231">
            <v>3.8</v>
          </cell>
          <cell r="AD231">
            <v>0.1</v>
          </cell>
          <cell r="AE231">
            <v>0</v>
          </cell>
          <cell r="AF231">
            <v>0.1</v>
          </cell>
          <cell r="AG231">
            <v>175100</v>
          </cell>
          <cell r="AH231">
            <v>20289</v>
          </cell>
          <cell r="AI231">
            <v>195389</v>
          </cell>
          <cell r="AJ231">
            <v>66855</v>
          </cell>
          <cell r="AK231">
            <v>4995</v>
          </cell>
          <cell r="AL231">
            <v>71850</v>
          </cell>
          <cell r="AM231">
            <v>21949</v>
          </cell>
          <cell r="AN231">
            <v>93798</v>
          </cell>
          <cell r="AO231">
            <v>8586</v>
          </cell>
          <cell r="AP231">
            <v>30837</v>
          </cell>
          <cell r="AQ231">
            <v>133221</v>
          </cell>
          <cell r="AR231">
            <v>33584</v>
          </cell>
          <cell r="AS231">
            <v>362193</v>
          </cell>
          <cell r="AT231">
            <v>39200</v>
          </cell>
          <cell r="AU231">
            <v>712</v>
          </cell>
          <cell r="AV231">
            <v>402105</v>
          </cell>
          <cell r="AW231">
            <v>0.7</v>
          </cell>
          <cell r="AX231">
            <v>1.4</v>
          </cell>
          <cell r="AY231">
            <v>0.8</v>
          </cell>
          <cell r="AZ231">
            <v>-6.2</v>
          </cell>
          <cell r="BA231">
            <v>11.2</v>
          </cell>
          <cell r="BB231">
            <v>-5.0999999999999996</v>
          </cell>
          <cell r="BC231">
            <v>2.5</v>
          </cell>
          <cell r="BD231">
            <v>-3.5</v>
          </cell>
          <cell r="BE231">
            <v>1.1000000000000001</v>
          </cell>
          <cell r="BF231">
            <v>0.8</v>
          </cell>
          <cell r="BG231">
            <v>-2.2000000000000002</v>
          </cell>
          <cell r="BH231">
            <v>3.3</v>
          </cell>
          <cell r="BI231">
            <v>-0.1</v>
          </cell>
          <cell r="BJ231">
            <v>-1.7</v>
          </cell>
          <cell r="BK231">
            <v>0</v>
          </cell>
          <cell r="BL231">
            <v>175136</v>
          </cell>
          <cell r="BM231">
            <v>20321</v>
          </cell>
          <cell r="BN231">
            <v>195457</v>
          </cell>
          <cell r="BO231">
            <v>69825</v>
          </cell>
          <cell r="BP231">
            <v>5235</v>
          </cell>
          <cell r="BQ231">
            <v>75060</v>
          </cell>
          <cell r="BR231">
            <v>21928</v>
          </cell>
          <cell r="BS231">
            <v>96988</v>
          </cell>
          <cell r="BT231">
            <v>8586</v>
          </cell>
          <cell r="BU231">
            <v>30708</v>
          </cell>
          <cell r="BV231">
            <v>136282</v>
          </cell>
          <cell r="BW231">
            <v>32086</v>
          </cell>
          <cell r="BX231">
            <v>363825</v>
          </cell>
          <cell r="BY231">
            <v>39470</v>
          </cell>
          <cell r="BZ231">
            <v>-1621</v>
          </cell>
          <cell r="CA231">
            <v>401674</v>
          </cell>
          <cell r="CB231">
            <v>94</v>
          </cell>
          <cell r="CC231">
            <v>-125</v>
          </cell>
          <cell r="CD231">
            <v>-8</v>
          </cell>
          <cell r="CE231">
            <v>4</v>
          </cell>
          <cell r="CF231">
            <v>0</v>
          </cell>
          <cell r="CG231">
            <v>7</v>
          </cell>
          <cell r="CH231">
            <v>-122</v>
          </cell>
          <cell r="CI231">
            <v>76</v>
          </cell>
          <cell r="CJ231">
            <v>47</v>
          </cell>
          <cell r="CK231">
            <v>-3</v>
          </cell>
          <cell r="CL231">
            <v>12</v>
          </cell>
          <cell r="CM231">
            <v>56</v>
          </cell>
        </row>
        <row r="232">
          <cell r="A232">
            <v>41974</v>
          </cell>
          <cell r="B232">
            <v>175823</v>
          </cell>
          <cell r="C232">
            <v>20388</v>
          </cell>
          <cell r="D232">
            <v>196210</v>
          </cell>
          <cell r="E232">
            <v>65876</v>
          </cell>
          <cell r="F232">
            <v>5025</v>
          </cell>
          <cell r="G232">
            <v>70900</v>
          </cell>
          <cell r="H232">
            <v>22567</v>
          </cell>
          <cell r="I232">
            <v>93468</v>
          </cell>
          <cell r="J232">
            <v>8679</v>
          </cell>
          <cell r="K232">
            <v>31080</v>
          </cell>
          <cell r="L232">
            <v>133227</v>
          </cell>
          <cell r="M232">
            <v>34973</v>
          </cell>
          <cell r="N232">
            <v>364410</v>
          </cell>
          <cell r="O232">
            <v>39790</v>
          </cell>
          <cell r="P232">
            <v>192</v>
          </cell>
          <cell r="Q232">
            <v>404391</v>
          </cell>
          <cell r="R232">
            <v>0.5</v>
          </cell>
          <cell r="S232">
            <v>0.5</v>
          </cell>
          <cell r="T232">
            <v>0.5</v>
          </cell>
          <cell r="U232">
            <v>-3</v>
          </cell>
          <cell r="V232">
            <v>2.9</v>
          </cell>
          <cell r="W232">
            <v>-2.6</v>
          </cell>
          <cell r="X232">
            <v>2.4</v>
          </cell>
          <cell r="Y232">
            <v>-1.5</v>
          </cell>
          <cell r="Z232">
            <v>1.1000000000000001</v>
          </cell>
          <cell r="AA232">
            <v>0.8</v>
          </cell>
          <cell r="AB232">
            <v>-0.8</v>
          </cell>
          <cell r="AC232">
            <v>3.7</v>
          </cell>
          <cell r="AD232">
            <v>0.3</v>
          </cell>
          <cell r="AE232">
            <v>0.4</v>
          </cell>
          <cell r="AF232">
            <v>0.3</v>
          </cell>
          <cell r="AG232">
            <v>175912</v>
          </cell>
          <cell r="AH232">
            <v>20396</v>
          </cell>
          <cell r="AI232">
            <v>196308</v>
          </cell>
          <cell r="AJ232">
            <v>66025</v>
          </cell>
          <cell r="AK232">
            <v>5066</v>
          </cell>
          <cell r="AL232">
            <v>71091</v>
          </cell>
          <cell r="AM232">
            <v>22708</v>
          </cell>
          <cell r="AN232">
            <v>93800</v>
          </cell>
          <cell r="AO232">
            <v>8681</v>
          </cell>
          <cell r="AP232">
            <v>31088</v>
          </cell>
          <cell r="AQ232">
            <v>133569</v>
          </cell>
          <cell r="AR232">
            <v>34999</v>
          </cell>
          <cell r="AS232">
            <v>364875</v>
          </cell>
          <cell r="AT232">
            <v>39895</v>
          </cell>
          <cell r="AU232">
            <v>-511</v>
          </cell>
          <cell r="AV232">
            <v>404260</v>
          </cell>
          <cell r="AW232">
            <v>0.5</v>
          </cell>
          <cell r="AX232">
            <v>0.5</v>
          </cell>
          <cell r="AY232">
            <v>0.5</v>
          </cell>
          <cell r="AZ232">
            <v>-1.2</v>
          </cell>
          <cell r="BA232">
            <v>1.4</v>
          </cell>
          <cell r="BB232">
            <v>-1.1000000000000001</v>
          </cell>
          <cell r="BC232">
            <v>3.5</v>
          </cell>
          <cell r="BD232">
            <v>0</v>
          </cell>
          <cell r="BE232">
            <v>1.1000000000000001</v>
          </cell>
          <cell r="BF232">
            <v>0.8</v>
          </cell>
          <cell r="BG232">
            <v>0.3</v>
          </cell>
          <cell r="BH232">
            <v>4.2</v>
          </cell>
          <cell r="BI232">
            <v>0.7</v>
          </cell>
          <cell r="BJ232">
            <v>1.8</v>
          </cell>
          <cell r="BK232">
            <v>0.5</v>
          </cell>
          <cell r="BL232">
            <v>179555</v>
          </cell>
          <cell r="BM232">
            <v>20763</v>
          </cell>
          <cell r="BN232">
            <v>200318</v>
          </cell>
          <cell r="BO232">
            <v>70440</v>
          </cell>
          <cell r="BP232">
            <v>5259</v>
          </cell>
          <cell r="BQ232">
            <v>75699</v>
          </cell>
          <cell r="BR232">
            <v>22766</v>
          </cell>
          <cell r="BS232">
            <v>98465</v>
          </cell>
          <cell r="BT232">
            <v>8681</v>
          </cell>
          <cell r="BU232">
            <v>31066</v>
          </cell>
          <cell r="BV232">
            <v>138212</v>
          </cell>
          <cell r="BW232">
            <v>39750</v>
          </cell>
          <cell r="BX232">
            <v>378280</v>
          </cell>
          <cell r="BY232">
            <v>41675</v>
          </cell>
          <cell r="BZ232">
            <v>644</v>
          </cell>
          <cell r="CA232">
            <v>420599</v>
          </cell>
          <cell r="CB232">
            <v>-51</v>
          </cell>
          <cell r="CC232">
            <v>438</v>
          </cell>
          <cell r="CD232">
            <v>10</v>
          </cell>
          <cell r="CE232">
            <v>0</v>
          </cell>
          <cell r="CF232">
            <v>0</v>
          </cell>
          <cell r="CG232">
            <v>-21</v>
          </cell>
          <cell r="CH232">
            <v>428</v>
          </cell>
          <cell r="CI232">
            <v>-17</v>
          </cell>
          <cell r="CJ232">
            <v>358</v>
          </cell>
          <cell r="CK232">
            <v>62</v>
          </cell>
          <cell r="CL232">
            <v>-216</v>
          </cell>
          <cell r="CM232">
            <v>206</v>
          </cell>
        </row>
        <row r="233">
          <cell r="A233">
            <v>42064</v>
          </cell>
          <cell r="B233">
            <v>176836</v>
          </cell>
          <cell r="C233">
            <v>20543</v>
          </cell>
          <cell r="D233">
            <v>197391</v>
          </cell>
          <cell r="E233">
            <v>64766</v>
          </cell>
          <cell r="F233">
            <v>5033</v>
          </cell>
          <cell r="G233">
            <v>69799</v>
          </cell>
          <cell r="H233">
            <v>23007</v>
          </cell>
          <cell r="I233">
            <v>92806</v>
          </cell>
          <cell r="J233">
            <v>8773</v>
          </cell>
          <cell r="K233">
            <v>31319</v>
          </cell>
          <cell r="L233">
            <v>132898</v>
          </cell>
          <cell r="M233">
            <v>36003</v>
          </cell>
          <cell r="N233">
            <v>366292</v>
          </cell>
          <cell r="O233">
            <v>40303</v>
          </cell>
          <cell r="P233">
            <v>-87</v>
          </cell>
          <cell r="Q233">
            <v>406508</v>
          </cell>
          <cell r="R233">
            <v>0.6</v>
          </cell>
          <cell r="S233">
            <v>0.8</v>
          </cell>
          <cell r="T233">
            <v>0.6</v>
          </cell>
          <cell r="U233">
            <v>-1.7</v>
          </cell>
          <cell r="V233">
            <v>0.2</v>
          </cell>
          <cell r="W233">
            <v>-1.6</v>
          </cell>
          <cell r="X233">
            <v>1.9</v>
          </cell>
          <cell r="Y233">
            <v>-0.7</v>
          </cell>
          <cell r="Z233">
            <v>1.1000000000000001</v>
          </cell>
          <cell r="AA233">
            <v>0.8</v>
          </cell>
          <cell r="AB233">
            <v>-0.2</v>
          </cell>
          <cell r="AC233">
            <v>2.9</v>
          </cell>
          <cell r="AD233">
            <v>0.5</v>
          </cell>
          <cell r="AE233">
            <v>1.3</v>
          </cell>
          <cell r="AF233">
            <v>0.5</v>
          </cell>
          <cell r="AG233">
            <v>176495</v>
          </cell>
          <cell r="AH233">
            <v>20508</v>
          </cell>
          <cell r="AI233">
            <v>197003</v>
          </cell>
          <cell r="AJ233">
            <v>65170</v>
          </cell>
          <cell r="AK233">
            <v>5020</v>
          </cell>
          <cell r="AL233">
            <v>70190</v>
          </cell>
          <cell r="AM233">
            <v>22981</v>
          </cell>
          <cell r="AN233">
            <v>93171</v>
          </cell>
          <cell r="AO233">
            <v>8774</v>
          </cell>
          <cell r="AP233">
            <v>31319</v>
          </cell>
          <cell r="AQ233">
            <v>133263</v>
          </cell>
          <cell r="AR233">
            <v>36162</v>
          </cell>
          <cell r="AS233">
            <v>366429</v>
          </cell>
          <cell r="AT233">
            <v>40543</v>
          </cell>
          <cell r="AU233">
            <v>988</v>
          </cell>
          <cell r="AV233">
            <v>407959</v>
          </cell>
          <cell r="AW233">
            <v>0.3</v>
          </cell>
          <cell r="AX233">
            <v>0.6</v>
          </cell>
          <cell r="AY233">
            <v>0.4</v>
          </cell>
          <cell r="AZ233">
            <v>-1.3</v>
          </cell>
          <cell r="BA233">
            <v>-0.9</v>
          </cell>
          <cell r="BB233">
            <v>-1.3</v>
          </cell>
          <cell r="BC233">
            <v>1.2</v>
          </cell>
          <cell r="BD233">
            <v>-0.7</v>
          </cell>
          <cell r="BE233">
            <v>1.1000000000000001</v>
          </cell>
          <cell r="BF233">
            <v>0.7</v>
          </cell>
          <cell r="BG233">
            <v>-0.2</v>
          </cell>
          <cell r="BH233">
            <v>3.3</v>
          </cell>
          <cell r="BI233">
            <v>0.4</v>
          </cell>
          <cell r="BJ233">
            <v>1.6</v>
          </cell>
          <cell r="BK233">
            <v>0.9</v>
          </cell>
          <cell r="BL233">
            <v>170550</v>
          </cell>
          <cell r="BM233">
            <v>19805</v>
          </cell>
          <cell r="BN233">
            <v>190355</v>
          </cell>
          <cell r="BO233">
            <v>60238</v>
          </cell>
          <cell r="BP233">
            <v>5251</v>
          </cell>
          <cell r="BQ233">
            <v>65489</v>
          </cell>
          <cell r="BR233">
            <v>22759</v>
          </cell>
          <cell r="BS233">
            <v>88248</v>
          </cell>
          <cell r="BT233">
            <v>8774</v>
          </cell>
          <cell r="BU233">
            <v>31321</v>
          </cell>
          <cell r="BV233">
            <v>128343</v>
          </cell>
          <cell r="BW233">
            <v>34275</v>
          </cell>
          <cell r="BX233">
            <v>352972</v>
          </cell>
          <cell r="BY233">
            <v>39222</v>
          </cell>
          <cell r="BZ233">
            <v>-865</v>
          </cell>
          <cell r="CA233">
            <v>391329</v>
          </cell>
          <cell r="CB233">
            <v>2</v>
          </cell>
          <cell r="CC233">
            <v>149</v>
          </cell>
          <cell r="CD233">
            <v>3</v>
          </cell>
          <cell r="CE233">
            <v>-2</v>
          </cell>
          <cell r="CF233">
            <v>0</v>
          </cell>
          <cell r="CG233">
            <v>5</v>
          </cell>
          <cell r="CH233">
            <v>156</v>
          </cell>
          <cell r="CI233">
            <v>-19</v>
          </cell>
          <cell r="CJ233">
            <v>139</v>
          </cell>
          <cell r="CK233">
            <v>-40</v>
          </cell>
          <cell r="CL233">
            <v>-63</v>
          </cell>
          <cell r="CM233">
            <v>36</v>
          </cell>
        </row>
        <row r="234">
          <cell r="A234">
            <v>42156</v>
          </cell>
          <cell r="B234">
            <v>178187</v>
          </cell>
          <cell r="C234">
            <v>20786</v>
          </cell>
          <cell r="D234">
            <v>198973</v>
          </cell>
          <cell r="E234">
            <v>64302</v>
          </cell>
          <cell r="F234">
            <v>4849</v>
          </cell>
          <cell r="G234">
            <v>69151</v>
          </cell>
          <cell r="H234">
            <v>23303</v>
          </cell>
          <cell r="I234">
            <v>92454</v>
          </cell>
          <cell r="J234">
            <v>8871</v>
          </cell>
          <cell r="K234">
            <v>31545</v>
          </cell>
          <cell r="L234">
            <v>132870</v>
          </cell>
          <cell r="M234">
            <v>36364</v>
          </cell>
          <cell r="N234">
            <v>368207</v>
          </cell>
          <cell r="O234">
            <v>41091</v>
          </cell>
          <cell r="P234">
            <v>-869</v>
          </cell>
          <cell r="Q234">
            <v>408429</v>
          </cell>
          <cell r="R234">
            <v>0.8</v>
          </cell>
          <cell r="S234">
            <v>1.2</v>
          </cell>
          <cell r="T234">
            <v>0.8</v>
          </cell>
          <cell r="U234">
            <v>-0.7</v>
          </cell>
          <cell r="V234">
            <v>-3.7</v>
          </cell>
          <cell r="W234">
            <v>-0.9</v>
          </cell>
          <cell r="X234">
            <v>1.3</v>
          </cell>
          <cell r="Y234">
            <v>-0.4</v>
          </cell>
          <cell r="Z234">
            <v>1.1000000000000001</v>
          </cell>
          <cell r="AA234">
            <v>0.7</v>
          </cell>
          <cell r="AB234">
            <v>0</v>
          </cell>
          <cell r="AC234">
            <v>1</v>
          </cell>
          <cell r="AD234">
            <v>0.5</v>
          </cell>
          <cell r="AE234">
            <v>2</v>
          </cell>
          <cell r="AF234">
            <v>0.5</v>
          </cell>
          <cell r="AG234">
            <v>178252</v>
          </cell>
          <cell r="AH234">
            <v>20780</v>
          </cell>
          <cell r="AI234">
            <v>199033</v>
          </cell>
          <cell r="AJ234">
            <v>63733</v>
          </cell>
          <cell r="AK234">
            <v>4923</v>
          </cell>
          <cell r="AL234">
            <v>68655</v>
          </cell>
          <cell r="AM234">
            <v>23338</v>
          </cell>
          <cell r="AN234">
            <v>91994</v>
          </cell>
          <cell r="AO234">
            <v>8863</v>
          </cell>
          <cell r="AP234">
            <v>31544</v>
          </cell>
          <cell r="AQ234">
            <v>132401</v>
          </cell>
          <cell r="AR234">
            <v>36222</v>
          </cell>
          <cell r="AS234">
            <v>367656</v>
          </cell>
          <cell r="AT234">
            <v>40556</v>
          </cell>
          <cell r="AU234">
            <v>-1355</v>
          </cell>
          <cell r="AV234">
            <v>406857</v>
          </cell>
          <cell r="AW234">
            <v>1</v>
          </cell>
          <cell r="AX234">
            <v>1.3</v>
          </cell>
          <cell r="AY234">
            <v>1</v>
          </cell>
          <cell r="AZ234">
            <v>-2.2000000000000002</v>
          </cell>
          <cell r="BA234">
            <v>-1.9</v>
          </cell>
          <cell r="BB234">
            <v>-2.2000000000000002</v>
          </cell>
          <cell r="BC234">
            <v>1.6</v>
          </cell>
          <cell r="BD234">
            <v>-1.3</v>
          </cell>
          <cell r="BE234">
            <v>1</v>
          </cell>
          <cell r="BF234">
            <v>0.7</v>
          </cell>
          <cell r="BG234">
            <v>-0.6</v>
          </cell>
          <cell r="BH234">
            <v>0.2</v>
          </cell>
          <cell r="BI234">
            <v>0.3</v>
          </cell>
          <cell r="BJ234">
            <v>0</v>
          </cell>
          <cell r="BK234">
            <v>-0.3</v>
          </cell>
          <cell r="BL234">
            <v>180484</v>
          </cell>
          <cell r="BM234">
            <v>21082</v>
          </cell>
          <cell r="BN234">
            <v>201567</v>
          </cell>
          <cell r="BO234">
            <v>61363</v>
          </cell>
          <cell r="BP234">
            <v>4300</v>
          </cell>
          <cell r="BQ234">
            <v>65664</v>
          </cell>
          <cell r="BR234">
            <v>23515</v>
          </cell>
          <cell r="BS234">
            <v>89179</v>
          </cell>
          <cell r="BT234">
            <v>8863</v>
          </cell>
          <cell r="BU234">
            <v>31687</v>
          </cell>
          <cell r="BV234">
            <v>129729</v>
          </cell>
          <cell r="BW234">
            <v>34805</v>
          </cell>
          <cell r="BX234">
            <v>366100</v>
          </cell>
          <cell r="BY234">
            <v>39860</v>
          </cell>
          <cell r="BZ234">
            <v>1842</v>
          </cell>
          <cell r="CA234">
            <v>407803</v>
          </cell>
          <cell r="CB234">
            <v>-100</v>
          </cell>
          <cell r="CC234">
            <v>-552</v>
          </cell>
          <cell r="CD234">
            <v>-7</v>
          </cell>
          <cell r="CE234">
            <v>-5</v>
          </cell>
          <cell r="CF234">
            <v>1</v>
          </cell>
          <cell r="CG234">
            <v>8</v>
          </cell>
          <cell r="CH234">
            <v>-556</v>
          </cell>
          <cell r="CI234">
            <v>-80</v>
          </cell>
          <cell r="CJ234">
            <v>-735</v>
          </cell>
          <cell r="CK234">
            <v>-33</v>
          </cell>
          <cell r="CL234">
            <v>498</v>
          </cell>
          <cell r="CM234">
            <v>-270</v>
          </cell>
        </row>
        <row r="235">
          <cell r="A235">
            <v>42248</v>
          </cell>
          <cell r="B235">
            <v>179842</v>
          </cell>
          <cell r="C235">
            <v>21097</v>
          </cell>
          <cell r="D235">
            <v>200939</v>
          </cell>
          <cell r="E235">
            <v>63765</v>
          </cell>
          <cell r="F235">
            <v>4699</v>
          </cell>
          <cell r="G235">
            <v>68464</v>
          </cell>
          <cell r="H235">
            <v>23585</v>
          </cell>
          <cell r="I235">
            <v>92049</v>
          </cell>
          <cell r="J235">
            <v>8970</v>
          </cell>
          <cell r="K235">
            <v>31756</v>
          </cell>
          <cell r="L235">
            <v>132775</v>
          </cell>
          <cell r="M235">
            <v>35835</v>
          </cell>
          <cell r="N235">
            <v>369549</v>
          </cell>
          <cell r="O235">
            <v>41790</v>
          </cell>
          <cell r="P235">
            <v>-1204</v>
          </cell>
          <cell r="Q235">
            <v>410134</v>
          </cell>
          <cell r="R235">
            <v>0.9</v>
          </cell>
          <cell r="S235">
            <v>1.5</v>
          </cell>
          <cell r="T235">
            <v>1</v>
          </cell>
          <cell r="U235">
            <v>-0.8</v>
          </cell>
          <cell r="V235">
            <v>-3.1</v>
          </cell>
          <cell r="W235">
            <v>-1</v>
          </cell>
          <cell r="X235">
            <v>1.2</v>
          </cell>
          <cell r="Y235">
            <v>-0.4</v>
          </cell>
          <cell r="Z235">
            <v>1.1000000000000001</v>
          </cell>
          <cell r="AA235">
            <v>0.7</v>
          </cell>
          <cell r="AB235">
            <v>-0.1</v>
          </cell>
          <cell r="AC235">
            <v>-1.5</v>
          </cell>
          <cell r="AD235">
            <v>0.4</v>
          </cell>
          <cell r="AE235">
            <v>1.7</v>
          </cell>
          <cell r="AF235">
            <v>0.4</v>
          </cell>
          <cell r="AG235">
            <v>179955</v>
          </cell>
          <cell r="AH235">
            <v>21120</v>
          </cell>
          <cell r="AI235">
            <v>201075</v>
          </cell>
          <cell r="AJ235">
            <v>64052</v>
          </cell>
          <cell r="AK235">
            <v>4597</v>
          </cell>
          <cell r="AL235">
            <v>68649</v>
          </cell>
          <cell r="AM235">
            <v>23452</v>
          </cell>
          <cell r="AN235">
            <v>92101</v>
          </cell>
          <cell r="AO235">
            <v>8973</v>
          </cell>
          <cell r="AP235">
            <v>31752</v>
          </cell>
          <cell r="AQ235">
            <v>132827</v>
          </cell>
          <cell r="AR235">
            <v>36514</v>
          </cell>
          <cell r="AS235">
            <v>370416</v>
          </cell>
          <cell r="AT235">
            <v>42270</v>
          </cell>
          <cell r="AU235">
            <v>-1281</v>
          </cell>
          <cell r="AV235">
            <v>411406</v>
          </cell>
          <cell r="AW235">
            <v>1</v>
          </cell>
          <cell r="AX235">
            <v>1.6</v>
          </cell>
          <cell r="AY235">
            <v>1</v>
          </cell>
          <cell r="AZ235">
            <v>0.5</v>
          </cell>
          <cell r="BA235">
            <v>-6.6</v>
          </cell>
          <cell r="BB235">
            <v>0</v>
          </cell>
          <cell r="BC235">
            <v>0.5</v>
          </cell>
          <cell r="BD235">
            <v>0.1</v>
          </cell>
          <cell r="BE235">
            <v>1.2</v>
          </cell>
          <cell r="BF235">
            <v>0.7</v>
          </cell>
          <cell r="BG235">
            <v>0.3</v>
          </cell>
          <cell r="BH235">
            <v>0.8</v>
          </cell>
          <cell r="BI235">
            <v>0.8</v>
          </cell>
          <cell r="BJ235">
            <v>4.2</v>
          </cell>
          <cell r="BK235">
            <v>1.1000000000000001</v>
          </cell>
          <cell r="BL235">
            <v>180067</v>
          </cell>
          <cell r="BM235">
            <v>21156</v>
          </cell>
          <cell r="BN235">
            <v>201223</v>
          </cell>
          <cell r="BO235">
            <v>66896</v>
          </cell>
          <cell r="BP235">
            <v>4797</v>
          </cell>
          <cell r="BQ235">
            <v>71694</v>
          </cell>
          <cell r="BR235">
            <v>23433</v>
          </cell>
          <cell r="BS235">
            <v>95126</v>
          </cell>
          <cell r="BT235">
            <v>8973</v>
          </cell>
          <cell r="BU235">
            <v>31620</v>
          </cell>
          <cell r="BV235">
            <v>135720</v>
          </cell>
          <cell r="BW235">
            <v>35280</v>
          </cell>
          <cell r="BX235">
            <v>372223</v>
          </cell>
          <cell r="BY235">
            <v>42472</v>
          </cell>
          <cell r="BZ235">
            <v>-3738</v>
          </cell>
          <cell r="CA235">
            <v>410958</v>
          </cell>
          <cell r="CB235">
            <v>227</v>
          </cell>
          <cell r="CC235">
            <v>-143</v>
          </cell>
          <cell r="CD235">
            <v>-12</v>
          </cell>
          <cell r="CE235">
            <v>22</v>
          </cell>
          <cell r="CF235">
            <v>0</v>
          </cell>
          <cell r="CG235">
            <v>48</v>
          </cell>
          <cell r="CH235">
            <v>-84</v>
          </cell>
          <cell r="CI235">
            <v>85</v>
          </cell>
          <cell r="CJ235">
            <v>227</v>
          </cell>
          <cell r="CK235">
            <v>44</v>
          </cell>
          <cell r="CL235">
            <v>-118</v>
          </cell>
          <cell r="CM235">
            <v>154</v>
          </cell>
        </row>
        <row r="236">
          <cell r="A236">
            <v>42339</v>
          </cell>
          <cell r="B236">
            <v>181325</v>
          </cell>
          <cell r="C236">
            <v>21415</v>
          </cell>
          <cell r="D236">
            <v>202740</v>
          </cell>
          <cell r="E236">
            <v>62952</v>
          </cell>
          <cell r="F236">
            <v>4679</v>
          </cell>
          <cell r="G236">
            <v>67631</v>
          </cell>
          <cell r="H236">
            <v>23870</v>
          </cell>
          <cell r="I236">
            <v>91501</v>
          </cell>
          <cell r="J236">
            <v>9061</v>
          </cell>
          <cell r="K236">
            <v>31936</v>
          </cell>
          <cell r="L236">
            <v>132499</v>
          </cell>
          <cell r="M236">
            <v>35414</v>
          </cell>
          <cell r="N236">
            <v>370653</v>
          </cell>
          <cell r="O236">
            <v>42535</v>
          </cell>
          <cell r="P236">
            <v>-624</v>
          </cell>
          <cell r="Q236">
            <v>412564</v>
          </cell>
          <cell r="R236">
            <v>0.8</v>
          </cell>
          <cell r="S236">
            <v>1.5</v>
          </cell>
          <cell r="T236">
            <v>0.9</v>
          </cell>
          <cell r="U236">
            <v>-1.3</v>
          </cell>
          <cell r="V236">
            <v>-0.4</v>
          </cell>
          <cell r="W236">
            <v>-1.2</v>
          </cell>
          <cell r="X236">
            <v>1.2</v>
          </cell>
          <cell r="Y236">
            <v>-0.6</v>
          </cell>
          <cell r="Z236">
            <v>1</v>
          </cell>
          <cell r="AA236">
            <v>0.6</v>
          </cell>
          <cell r="AB236">
            <v>-0.2</v>
          </cell>
          <cell r="AC236">
            <v>-1.2</v>
          </cell>
          <cell r="AD236">
            <v>0.3</v>
          </cell>
          <cell r="AE236">
            <v>1.8</v>
          </cell>
          <cell r="AF236">
            <v>0.6</v>
          </cell>
          <cell r="AG236">
            <v>181205</v>
          </cell>
          <cell r="AH236">
            <v>21393</v>
          </cell>
          <cell r="AI236">
            <v>202598</v>
          </cell>
          <cell r="AJ236">
            <v>63617</v>
          </cell>
          <cell r="AK236">
            <v>4629</v>
          </cell>
          <cell r="AL236">
            <v>68246</v>
          </cell>
          <cell r="AM236">
            <v>23980</v>
          </cell>
          <cell r="AN236">
            <v>92226</v>
          </cell>
          <cell r="AO236">
            <v>9063</v>
          </cell>
          <cell r="AP236">
            <v>31978</v>
          </cell>
          <cell r="AQ236">
            <v>133266</v>
          </cell>
          <cell r="AR236">
            <v>34795</v>
          </cell>
          <cell r="AS236">
            <v>370659</v>
          </cell>
          <cell r="AT236">
            <v>42489</v>
          </cell>
          <cell r="AU236">
            <v>-1186</v>
          </cell>
          <cell r="AV236">
            <v>411963</v>
          </cell>
          <cell r="AW236">
            <v>0.7</v>
          </cell>
          <cell r="AX236">
            <v>1.3</v>
          </cell>
          <cell r="AY236">
            <v>0.8</v>
          </cell>
          <cell r="AZ236">
            <v>-0.7</v>
          </cell>
          <cell r="BA236">
            <v>0.7</v>
          </cell>
          <cell r="BB236">
            <v>-0.6</v>
          </cell>
          <cell r="BC236">
            <v>2.2000000000000002</v>
          </cell>
          <cell r="BD236">
            <v>0.1</v>
          </cell>
          <cell r="BE236">
            <v>1</v>
          </cell>
          <cell r="BF236">
            <v>0.7</v>
          </cell>
          <cell r="BG236">
            <v>0.3</v>
          </cell>
          <cell r="BH236">
            <v>-4.7</v>
          </cell>
          <cell r="BI236">
            <v>0.1</v>
          </cell>
          <cell r="BJ236">
            <v>0.5</v>
          </cell>
          <cell r="BK236">
            <v>0.1</v>
          </cell>
          <cell r="BL236">
            <v>184944</v>
          </cell>
          <cell r="BM236">
            <v>21782</v>
          </cell>
          <cell r="BN236">
            <v>206726</v>
          </cell>
          <cell r="BO236">
            <v>67895</v>
          </cell>
          <cell r="BP236">
            <v>4796</v>
          </cell>
          <cell r="BQ236">
            <v>72691</v>
          </cell>
          <cell r="BR236">
            <v>24061</v>
          </cell>
          <cell r="BS236">
            <v>96752</v>
          </cell>
          <cell r="BT236">
            <v>9063</v>
          </cell>
          <cell r="BU236">
            <v>31975</v>
          </cell>
          <cell r="BV236">
            <v>137790</v>
          </cell>
          <cell r="BW236">
            <v>39423</v>
          </cell>
          <cell r="BX236">
            <v>383939</v>
          </cell>
          <cell r="BY236">
            <v>44333</v>
          </cell>
          <cell r="BZ236">
            <v>-244</v>
          </cell>
          <cell r="CA236">
            <v>428028</v>
          </cell>
          <cell r="CB236">
            <v>-146</v>
          </cell>
          <cell r="CC236">
            <v>501</v>
          </cell>
          <cell r="CD236">
            <v>21</v>
          </cell>
          <cell r="CE236">
            <v>14</v>
          </cell>
          <cell r="CF236">
            <v>0</v>
          </cell>
          <cell r="CG236">
            <v>-4</v>
          </cell>
          <cell r="CH236">
            <v>531</v>
          </cell>
          <cell r="CI236">
            <v>-80</v>
          </cell>
          <cell r="CJ236">
            <v>306</v>
          </cell>
          <cell r="CK236">
            <v>130</v>
          </cell>
          <cell r="CL236">
            <v>-314</v>
          </cell>
          <cell r="CM236">
            <v>121</v>
          </cell>
        </row>
        <row r="237">
          <cell r="A237">
            <v>42430</v>
          </cell>
          <cell r="B237">
            <v>182597</v>
          </cell>
          <cell r="C237">
            <v>21719</v>
          </cell>
          <cell r="D237">
            <v>204316</v>
          </cell>
          <cell r="E237">
            <v>62483</v>
          </cell>
          <cell r="F237">
            <v>4752</v>
          </cell>
          <cell r="G237">
            <v>67235</v>
          </cell>
          <cell r="H237">
            <v>24089</v>
          </cell>
          <cell r="I237">
            <v>91324</v>
          </cell>
          <cell r="J237">
            <v>9127</v>
          </cell>
          <cell r="K237">
            <v>32160</v>
          </cell>
          <cell r="L237">
            <v>132610</v>
          </cell>
          <cell r="M237">
            <v>35547</v>
          </cell>
          <cell r="N237">
            <v>371853</v>
          </cell>
          <cell r="O237">
            <v>43033</v>
          </cell>
          <cell r="P237">
            <v>704</v>
          </cell>
          <cell r="Q237">
            <v>415590</v>
          </cell>
          <cell r="R237">
            <v>0.7</v>
          </cell>
          <cell r="S237">
            <v>1.4</v>
          </cell>
          <cell r="T237">
            <v>0.8</v>
          </cell>
          <cell r="U237">
            <v>-0.7</v>
          </cell>
          <cell r="V237">
            <v>1.6</v>
          </cell>
          <cell r="W237">
            <v>-0.6</v>
          </cell>
          <cell r="X237">
            <v>0.9</v>
          </cell>
          <cell r="Y237">
            <v>-0.2</v>
          </cell>
          <cell r="Z237">
            <v>0.7</v>
          </cell>
          <cell r="AA237">
            <v>0.7</v>
          </cell>
          <cell r="AB237">
            <v>0.1</v>
          </cell>
          <cell r="AC237">
            <v>0.4</v>
          </cell>
          <cell r="AD237">
            <v>0.3</v>
          </cell>
          <cell r="AE237">
            <v>1.2</v>
          </cell>
          <cell r="AF237">
            <v>0.7</v>
          </cell>
          <cell r="AG237">
            <v>182846</v>
          </cell>
          <cell r="AH237">
            <v>21743</v>
          </cell>
          <cell r="AI237">
            <v>204590</v>
          </cell>
          <cell r="AJ237">
            <v>61879</v>
          </cell>
          <cell r="AK237">
            <v>4816</v>
          </cell>
          <cell r="AL237">
            <v>66695</v>
          </cell>
          <cell r="AM237">
            <v>24122</v>
          </cell>
          <cell r="AN237">
            <v>90817</v>
          </cell>
          <cell r="AO237">
            <v>9130</v>
          </cell>
          <cell r="AP237">
            <v>32132</v>
          </cell>
          <cell r="AQ237">
            <v>132079</v>
          </cell>
          <cell r="AR237">
            <v>34952</v>
          </cell>
          <cell r="AS237">
            <v>371621</v>
          </cell>
          <cell r="AT237">
            <v>42587</v>
          </cell>
          <cell r="AU237">
            <v>1404</v>
          </cell>
          <cell r="AV237">
            <v>415612</v>
          </cell>
          <cell r="AW237">
            <v>0.9</v>
          </cell>
          <cell r="AX237">
            <v>1.6</v>
          </cell>
          <cell r="AY237">
            <v>1</v>
          </cell>
          <cell r="AZ237">
            <v>-2.7</v>
          </cell>
          <cell r="BA237">
            <v>4</v>
          </cell>
          <cell r="BB237">
            <v>-2.2999999999999998</v>
          </cell>
          <cell r="BC237">
            <v>0.6</v>
          </cell>
          <cell r="BD237">
            <v>-1.5</v>
          </cell>
          <cell r="BE237">
            <v>0.7</v>
          </cell>
          <cell r="BF237">
            <v>0.5</v>
          </cell>
          <cell r="BG237">
            <v>-0.9</v>
          </cell>
          <cell r="BH237">
            <v>0.5</v>
          </cell>
          <cell r="BI237">
            <v>0.3</v>
          </cell>
          <cell r="BJ237">
            <v>0.2</v>
          </cell>
          <cell r="BK237">
            <v>0.9</v>
          </cell>
          <cell r="BL237">
            <v>176652</v>
          </cell>
          <cell r="BM237">
            <v>20997</v>
          </cell>
          <cell r="BN237">
            <v>197649</v>
          </cell>
          <cell r="BO237">
            <v>57459</v>
          </cell>
          <cell r="BP237">
            <v>5014</v>
          </cell>
          <cell r="BQ237">
            <v>62473</v>
          </cell>
          <cell r="BR237">
            <v>23884</v>
          </cell>
          <cell r="BS237">
            <v>86357</v>
          </cell>
          <cell r="BT237">
            <v>9130</v>
          </cell>
          <cell r="BU237">
            <v>32128</v>
          </cell>
          <cell r="BV237">
            <v>127614</v>
          </cell>
          <cell r="BW237">
            <v>33019</v>
          </cell>
          <cell r="BX237">
            <v>358282</v>
          </cell>
          <cell r="BY237">
            <v>41200</v>
          </cell>
          <cell r="BZ237">
            <v>-1068</v>
          </cell>
          <cell r="CA237">
            <v>398415</v>
          </cell>
          <cell r="CB237">
            <v>5</v>
          </cell>
          <cell r="CC237">
            <v>179</v>
          </cell>
          <cell r="CD237">
            <v>5</v>
          </cell>
          <cell r="CE237">
            <v>-3</v>
          </cell>
          <cell r="CF237">
            <v>0</v>
          </cell>
          <cell r="CG237">
            <v>3</v>
          </cell>
          <cell r="CH237">
            <v>183</v>
          </cell>
          <cell r="CI237">
            <v>-27</v>
          </cell>
          <cell r="CJ237">
            <v>161</v>
          </cell>
          <cell r="CK237">
            <v>-70</v>
          </cell>
          <cell r="CL237">
            <v>-98</v>
          </cell>
          <cell r="CM237">
            <v>-8</v>
          </cell>
        </row>
        <row r="238">
          <cell r="A238">
            <v>42522</v>
          </cell>
          <cell r="B238">
            <v>183478</v>
          </cell>
          <cell r="C238">
            <v>21948</v>
          </cell>
          <cell r="D238">
            <v>205426</v>
          </cell>
          <cell r="E238">
            <v>62775</v>
          </cell>
          <cell r="F238">
            <v>4786</v>
          </cell>
          <cell r="G238">
            <v>67560</v>
          </cell>
          <cell r="H238">
            <v>24257</v>
          </cell>
          <cell r="I238">
            <v>91817</v>
          </cell>
          <cell r="J238">
            <v>9166</v>
          </cell>
          <cell r="K238">
            <v>32474</v>
          </cell>
          <cell r="L238">
            <v>133457</v>
          </cell>
          <cell r="M238">
            <v>36403</v>
          </cell>
          <cell r="N238">
            <v>375247</v>
          </cell>
          <cell r="O238">
            <v>43093</v>
          </cell>
          <cell r="P238">
            <v>1801</v>
          </cell>
          <cell r="Q238">
            <v>420142</v>
          </cell>
          <cell r="R238">
            <v>0.5</v>
          </cell>
          <cell r="S238">
            <v>1.1000000000000001</v>
          </cell>
          <cell r="T238">
            <v>0.5</v>
          </cell>
          <cell r="U238">
            <v>0.5</v>
          </cell>
          <cell r="V238">
            <v>0.7</v>
          </cell>
          <cell r="W238">
            <v>0.5</v>
          </cell>
          <cell r="X238">
            <v>0.7</v>
          </cell>
          <cell r="Y238">
            <v>0.5</v>
          </cell>
          <cell r="Z238">
            <v>0.4</v>
          </cell>
          <cell r="AA238">
            <v>1</v>
          </cell>
          <cell r="AB238">
            <v>0.6</v>
          </cell>
          <cell r="AC238">
            <v>2.4</v>
          </cell>
          <cell r="AD238">
            <v>0.9</v>
          </cell>
          <cell r="AE238">
            <v>0.1</v>
          </cell>
          <cell r="AF238">
            <v>1.1000000000000001</v>
          </cell>
          <cell r="AG238">
            <v>183086</v>
          </cell>
          <cell r="AH238">
            <v>21923</v>
          </cell>
          <cell r="AI238">
            <v>205008</v>
          </cell>
          <cell r="AJ238">
            <v>62131</v>
          </cell>
          <cell r="AK238">
            <v>4827</v>
          </cell>
          <cell r="AL238">
            <v>66958</v>
          </cell>
          <cell r="AM238">
            <v>24205</v>
          </cell>
          <cell r="AN238">
            <v>91163</v>
          </cell>
          <cell r="AO238">
            <v>9174</v>
          </cell>
          <cell r="AP238">
            <v>32387</v>
          </cell>
          <cell r="AQ238">
            <v>132724</v>
          </cell>
          <cell r="AR238">
            <v>37626</v>
          </cell>
          <cell r="AS238">
            <v>375358</v>
          </cell>
          <cell r="AT238">
            <v>43936</v>
          </cell>
          <cell r="AU238">
            <v>1702</v>
          </cell>
          <cell r="AV238">
            <v>420997</v>
          </cell>
          <cell r="AW238">
            <v>0.1</v>
          </cell>
          <cell r="AX238">
            <v>0.8</v>
          </cell>
          <cell r="AY238">
            <v>0.2</v>
          </cell>
          <cell r="AZ238">
            <v>0.4</v>
          </cell>
          <cell r="BA238">
            <v>0.2</v>
          </cell>
          <cell r="BB238">
            <v>0.4</v>
          </cell>
          <cell r="BC238">
            <v>0.3</v>
          </cell>
          <cell r="BD238">
            <v>0.4</v>
          </cell>
          <cell r="BE238">
            <v>0.5</v>
          </cell>
          <cell r="BF238">
            <v>0.8</v>
          </cell>
          <cell r="BG238">
            <v>0.5</v>
          </cell>
          <cell r="BH238">
            <v>7.7</v>
          </cell>
          <cell r="BI238">
            <v>1</v>
          </cell>
          <cell r="BJ238">
            <v>3.2</v>
          </cell>
          <cell r="BK238">
            <v>1.3</v>
          </cell>
          <cell r="BL238">
            <v>185354</v>
          </cell>
          <cell r="BM238">
            <v>22238</v>
          </cell>
          <cell r="BN238">
            <v>207592</v>
          </cell>
          <cell r="BO238">
            <v>59621</v>
          </cell>
          <cell r="BP238">
            <v>4258</v>
          </cell>
          <cell r="BQ238">
            <v>63878</v>
          </cell>
          <cell r="BR238">
            <v>24377</v>
          </cell>
          <cell r="BS238">
            <v>88255</v>
          </cell>
          <cell r="BT238">
            <v>9174</v>
          </cell>
          <cell r="BU238">
            <v>32524</v>
          </cell>
          <cell r="BV238">
            <v>129953</v>
          </cell>
          <cell r="BW238">
            <v>36225</v>
          </cell>
          <cell r="BX238">
            <v>373770</v>
          </cell>
          <cell r="BY238">
            <v>43384</v>
          </cell>
          <cell r="BZ238">
            <v>5049</v>
          </cell>
          <cell r="CA238">
            <v>422203</v>
          </cell>
          <cell r="CB238">
            <v>-132</v>
          </cell>
          <cell r="CC238">
            <v>-653</v>
          </cell>
          <cell r="CD238">
            <v>-16</v>
          </cell>
          <cell r="CE238">
            <v>-35</v>
          </cell>
          <cell r="CF238">
            <v>-1</v>
          </cell>
          <cell r="CG238">
            <v>-48</v>
          </cell>
          <cell r="CH238">
            <v>-751</v>
          </cell>
          <cell r="CI238">
            <v>0</v>
          </cell>
          <cell r="CJ238">
            <v>-882</v>
          </cell>
          <cell r="CK238">
            <v>-115</v>
          </cell>
          <cell r="CL238">
            <v>676</v>
          </cell>
          <cell r="CM238">
            <v>-321</v>
          </cell>
        </row>
        <row r="239">
          <cell r="A239">
            <v>42614</v>
          </cell>
          <cell r="B239">
            <v>183934</v>
          </cell>
          <cell r="C239">
            <v>22100</v>
          </cell>
          <cell r="D239">
            <v>206034</v>
          </cell>
          <cell r="E239">
            <v>64581</v>
          </cell>
          <cell r="F239">
            <v>4682</v>
          </cell>
          <cell r="G239">
            <v>69263</v>
          </cell>
          <cell r="H239">
            <v>24501</v>
          </cell>
          <cell r="I239">
            <v>93764</v>
          </cell>
          <cell r="J239">
            <v>9193</v>
          </cell>
          <cell r="K239">
            <v>32853</v>
          </cell>
          <cell r="L239">
            <v>135811</v>
          </cell>
          <cell r="M239">
            <v>37740</v>
          </cell>
          <cell r="N239">
            <v>382712</v>
          </cell>
          <cell r="O239">
            <v>43011</v>
          </cell>
          <cell r="P239">
            <v>2410</v>
          </cell>
          <cell r="Q239">
            <v>428133</v>
          </cell>
          <cell r="R239">
            <v>0.2</v>
          </cell>
          <cell r="S239">
            <v>0.7</v>
          </cell>
          <cell r="T239">
            <v>0.3</v>
          </cell>
          <cell r="U239">
            <v>2.9</v>
          </cell>
          <cell r="V239">
            <v>-2.2000000000000002</v>
          </cell>
          <cell r="W239">
            <v>2.5</v>
          </cell>
          <cell r="X239">
            <v>1</v>
          </cell>
          <cell r="Y239">
            <v>2.1</v>
          </cell>
          <cell r="Z239">
            <v>0.3</v>
          </cell>
          <cell r="AA239">
            <v>1.2</v>
          </cell>
          <cell r="AB239">
            <v>1.8</v>
          </cell>
          <cell r="AC239">
            <v>3.7</v>
          </cell>
          <cell r="AD239">
            <v>2</v>
          </cell>
          <cell r="AE239">
            <v>-0.2</v>
          </cell>
          <cell r="AF239">
            <v>1.9</v>
          </cell>
          <cell r="AG239">
            <v>184763</v>
          </cell>
          <cell r="AH239">
            <v>22203</v>
          </cell>
          <cell r="AI239">
            <v>206966</v>
          </cell>
          <cell r="AJ239">
            <v>65489</v>
          </cell>
          <cell r="AK239">
            <v>4653</v>
          </cell>
          <cell r="AL239">
            <v>70142</v>
          </cell>
          <cell r="AM239">
            <v>24507</v>
          </cell>
          <cell r="AN239">
            <v>94649</v>
          </cell>
          <cell r="AO239">
            <v>9183</v>
          </cell>
          <cell r="AP239">
            <v>32961</v>
          </cell>
          <cell r="AQ239">
            <v>136793</v>
          </cell>
          <cell r="AR239">
            <v>36523</v>
          </cell>
          <cell r="AS239">
            <v>380281</v>
          </cell>
          <cell r="AT239">
            <v>42571</v>
          </cell>
          <cell r="AU239">
            <v>2269</v>
          </cell>
          <cell r="AV239">
            <v>425121</v>
          </cell>
          <cell r="AW239">
            <v>0.9</v>
          </cell>
          <cell r="AX239">
            <v>1.3</v>
          </cell>
          <cell r="AY239">
            <v>1</v>
          </cell>
          <cell r="AZ239">
            <v>5.4</v>
          </cell>
          <cell r="BA239">
            <v>-3.6</v>
          </cell>
          <cell r="BB239">
            <v>4.8</v>
          </cell>
          <cell r="BC239">
            <v>1.2</v>
          </cell>
          <cell r="BD239">
            <v>3.8</v>
          </cell>
          <cell r="BE239">
            <v>0.1</v>
          </cell>
          <cell r="BF239">
            <v>1.8</v>
          </cell>
          <cell r="BG239">
            <v>3.1</v>
          </cell>
          <cell r="BH239">
            <v>-2.9</v>
          </cell>
          <cell r="BI239">
            <v>1.3</v>
          </cell>
          <cell r="BJ239">
            <v>-3.1</v>
          </cell>
          <cell r="BK239">
            <v>1</v>
          </cell>
          <cell r="BL239">
            <v>184973</v>
          </cell>
          <cell r="BM239">
            <v>22248</v>
          </cell>
          <cell r="BN239">
            <v>207221</v>
          </cell>
          <cell r="BO239">
            <v>68365</v>
          </cell>
          <cell r="BP239">
            <v>4842</v>
          </cell>
          <cell r="BQ239">
            <v>73208</v>
          </cell>
          <cell r="BR239">
            <v>24484</v>
          </cell>
          <cell r="BS239">
            <v>97691</v>
          </cell>
          <cell r="BT239">
            <v>9183</v>
          </cell>
          <cell r="BU239">
            <v>32822</v>
          </cell>
          <cell r="BV239">
            <v>139697</v>
          </cell>
          <cell r="BW239">
            <v>34791</v>
          </cell>
          <cell r="BX239">
            <v>381709</v>
          </cell>
          <cell r="BY239">
            <v>42713</v>
          </cell>
          <cell r="BZ239">
            <v>-410</v>
          </cell>
          <cell r="CA239">
            <v>424012</v>
          </cell>
          <cell r="CB239">
            <v>335</v>
          </cell>
          <cell r="CC239">
            <v>-135</v>
          </cell>
          <cell r="CD239">
            <v>-57</v>
          </cell>
          <cell r="CE239">
            <v>13</v>
          </cell>
          <cell r="CF239">
            <v>0</v>
          </cell>
          <cell r="CG239">
            <v>82</v>
          </cell>
          <cell r="CH239">
            <v>-98</v>
          </cell>
          <cell r="CI239">
            <v>-12</v>
          </cell>
          <cell r="CJ239">
            <v>225</v>
          </cell>
          <cell r="CK239">
            <v>-85</v>
          </cell>
          <cell r="CL239">
            <v>455</v>
          </cell>
          <cell r="CM239">
            <v>594</v>
          </cell>
        </row>
        <row r="240">
          <cell r="A240">
            <v>42705</v>
          </cell>
          <cell r="B240">
            <v>184373</v>
          </cell>
          <cell r="C240">
            <v>22230</v>
          </cell>
          <cell r="D240">
            <v>206603</v>
          </cell>
          <cell r="E240">
            <v>77382</v>
          </cell>
          <cell r="F240">
            <v>4528</v>
          </cell>
          <cell r="G240">
            <v>81910</v>
          </cell>
          <cell r="H240">
            <v>24984</v>
          </cell>
          <cell r="I240">
            <v>106894</v>
          </cell>
          <cell r="J240">
            <v>9228</v>
          </cell>
          <cell r="K240">
            <v>33222</v>
          </cell>
          <cell r="L240">
            <v>149344</v>
          </cell>
          <cell r="M240">
            <v>38784</v>
          </cell>
          <cell r="N240">
            <v>391631</v>
          </cell>
          <cell r="O240">
            <v>43226</v>
          </cell>
          <cell r="P240">
            <v>2591</v>
          </cell>
          <cell r="Q240">
            <v>437448</v>
          </cell>
          <cell r="R240">
            <v>0.2</v>
          </cell>
          <cell r="S240">
            <v>0.6</v>
          </cell>
          <cell r="T240">
            <v>0.3</v>
          </cell>
          <cell r="U240">
            <v>19.8</v>
          </cell>
          <cell r="V240">
            <v>-3.3</v>
          </cell>
          <cell r="W240">
            <v>18.3</v>
          </cell>
          <cell r="X240">
            <v>2</v>
          </cell>
          <cell r="Y240">
            <v>14</v>
          </cell>
          <cell r="Z240">
            <v>0.4</v>
          </cell>
          <cell r="AA240">
            <v>1.1000000000000001</v>
          </cell>
          <cell r="AB240">
            <v>10</v>
          </cell>
          <cell r="AC240">
            <v>2.8</v>
          </cell>
          <cell r="AD240">
            <v>2.2999999999999998</v>
          </cell>
          <cell r="AE240">
            <v>0.5</v>
          </cell>
          <cell r="AF240">
            <v>2.2000000000000002</v>
          </cell>
          <cell r="AG240">
            <v>183699</v>
          </cell>
          <cell r="AH240">
            <v>22108</v>
          </cell>
          <cell r="AI240">
            <v>205807</v>
          </cell>
          <cell r="AJ240">
            <v>76020</v>
          </cell>
          <cell r="AK240">
            <v>4536</v>
          </cell>
          <cell r="AL240">
            <v>80556</v>
          </cell>
          <cell r="AM240">
            <v>24895</v>
          </cell>
          <cell r="AN240">
            <v>105451</v>
          </cell>
          <cell r="AO240">
            <v>9227</v>
          </cell>
          <cell r="AP240">
            <v>33196</v>
          </cell>
          <cell r="AQ240">
            <v>147874</v>
          </cell>
          <cell r="AR240">
            <v>39282</v>
          </cell>
          <cell r="AS240">
            <v>392964</v>
          </cell>
          <cell r="AT240">
            <v>42951</v>
          </cell>
          <cell r="AU240">
            <v>2804</v>
          </cell>
          <cell r="AV240">
            <v>438718</v>
          </cell>
          <cell r="AW240">
            <v>-0.6</v>
          </cell>
          <cell r="AX240">
            <v>-0.4</v>
          </cell>
          <cell r="AY240">
            <v>-0.6</v>
          </cell>
          <cell r="AZ240">
            <v>16.100000000000001</v>
          </cell>
          <cell r="BA240">
            <v>-2.5</v>
          </cell>
          <cell r="BB240">
            <v>14.8</v>
          </cell>
          <cell r="BC240">
            <v>1.6</v>
          </cell>
          <cell r="BD240">
            <v>11.4</v>
          </cell>
          <cell r="BE240">
            <v>0.5</v>
          </cell>
          <cell r="BF240">
            <v>0.7</v>
          </cell>
          <cell r="BG240">
            <v>8.1</v>
          </cell>
          <cell r="BH240">
            <v>7.6</v>
          </cell>
          <cell r="BI240">
            <v>3.3</v>
          </cell>
          <cell r="BJ240">
            <v>0.9</v>
          </cell>
          <cell r="BK240">
            <v>3.2</v>
          </cell>
          <cell r="BL240">
            <v>187443</v>
          </cell>
          <cell r="BM240">
            <v>22501</v>
          </cell>
          <cell r="BN240">
            <v>209944</v>
          </cell>
          <cell r="BO240">
            <v>81538</v>
          </cell>
          <cell r="BP240">
            <v>4689</v>
          </cell>
          <cell r="BQ240">
            <v>86228</v>
          </cell>
          <cell r="BR240">
            <v>24991</v>
          </cell>
          <cell r="BS240">
            <v>111218</v>
          </cell>
          <cell r="BT240">
            <v>9227</v>
          </cell>
          <cell r="BU240">
            <v>33209</v>
          </cell>
          <cell r="BV240">
            <v>153654</v>
          </cell>
          <cell r="BW240">
            <v>43714</v>
          </cell>
          <cell r="BX240">
            <v>407312</v>
          </cell>
          <cell r="BY240">
            <v>44788</v>
          </cell>
          <cell r="BZ240">
            <v>4665</v>
          </cell>
          <cell r="CA240">
            <v>456765</v>
          </cell>
          <cell r="CB240">
            <v>-211</v>
          </cell>
          <cell r="CC240">
            <v>657</v>
          </cell>
          <cell r="CD240">
            <v>7</v>
          </cell>
          <cell r="CE240">
            <v>-9</v>
          </cell>
          <cell r="CF240">
            <v>0</v>
          </cell>
          <cell r="CG240">
            <v>-30</v>
          </cell>
          <cell r="CH240">
            <v>625</v>
          </cell>
          <cell r="CI240">
            <v>-76</v>
          </cell>
          <cell r="CJ240">
            <v>339</v>
          </cell>
          <cell r="CK240">
            <v>-27</v>
          </cell>
          <cell r="CL240">
            <v>24</v>
          </cell>
          <cell r="CM240">
            <v>336</v>
          </cell>
        </row>
        <row r="241">
          <cell r="A241">
            <v>42795</v>
          </cell>
          <cell r="B241">
            <v>185519</v>
          </cell>
          <cell r="C241">
            <v>22416</v>
          </cell>
          <cell r="D241">
            <v>207935</v>
          </cell>
          <cell r="E241">
            <v>78525</v>
          </cell>
          <cell r="F241">
            <v>4400</v>
          </cell>
          <cell r="G241">
            <v>82925</v>
          </cell>
          <cell r="H241">
            <v>25624</v>
          </cell>
          <cell r="I241">
            <v>108549</v>
          </cell>
          <cell r="J241">
            <v>9282</v>
          </cell>
          <cell r="K241">
            <v>33532</v>
          </cell>
          <cell r="L241">
            <v>151363</v>
          </cell>
          <cell r="M241">
            <v>38946</v>
          </cell>
          <cell r="N241">
            <v>398212</v>
          </cell>
          <cell r="O241">
            <v>43959</v>
          </cell>
          <cell r="P241">
            <v>2723</v>
          </cell>
          <cell r="Q241">
            <v>444893</v>
          </cell>
          <cell r="R241">
            <v>0.6</v>
          </cell>
          <cell r="S241">
            <v>0.8</v>
          </cell>
          <cell r="T241">
            <v>0.6</v>
          </cell>
          <cell r="U241">
            <v>1.5</v>
          </cell>
          <cell r="V241">
            <v>-2.8</v>
          </cell>
          <cell r="W241">
            <v>1.2</v>
          </cell>
          <cell r="X241">
            <v>2.6</v>
          </cell>
          <cell r="Y241">
            <v>1.5</v>
          </cell>
          <cell r="Z241">
            <v>0.6</v>
          </cell>
          <cell r="AA241">
            <v>0.9</v>
          </cell>
          <cell r="AB241">
            <v>1.4</v>
          </cell>
          <cell r="AC241">
            <v>0.4</v>
          </cell>
          <cell r="AD241">
            <v>1.7</v>
          </cell>
          <cell r="AE241">
            <v>1.7</v>
          </cell>
          <cell r="AF241">
            <v>1.7</v>
          </cell>
          <cell r="AG241">
            <v>185452</v>
          </cell>
          <cell r="AH241">
            <v>22453</v>
          </cell>
          <cell r="AI241">
            <v>207905</v>
          </cell>
          <cell r="AJ241">
            <v>80823</v>
          </cell>
          <cell r="AK241">
            <v>4347</v>
          </cell>
          <cell r="AL241">
            <v>85170</v>
          </cell>
          <cell r="AM241">
            <v>25638</v>
          </cell>
          <cell r="AN241">
            <v>110808</v>
          </cell>
          <cell r="AO241">
            <v>9282</v>
          </cell>
          <cell r="AP241">
            <v>33529</v>
          </cell>
          <cell r="AQ241">
            <v>153618</v>
          </cell>
          <cell r="AR241">
            <v>39506</v>
          </cell>
          <cell r="AS241">
            <v>401029</v>
          </cell>
          <cell r="AT241">
            <v>43945</v>
          </cell>
          <cell r="AU241">
            <v>2555</v>
          </cell>
          <cell r="AV241">
            <v>447529</v>
          </cell>
          <cell r="AW241">
            <v>1</v>
          </cell>
          <cell r="AX241">
            <v>1.6</v>
          </cell>
          <cell r="AY241">
            <v>1</v>
          </cell>
          <cell r="AZ241">
            <v>6.3</v>
          </cell>
          <cell r="BA241">
            <v>-4.2</v>
          </cell>
          <cell r="BB241">
            <v>5.7</v>
          </cell>
          <cell r="BC241">
            <v>3</v>
          </cell>
          <cell r="BD241">
            <v>5.0999999999999996</v>
          </cell>
          <cell r="BE241">
            <v>0.6</v>
          </cell>
          <cell r="BF241">
            <v>1</v>
          </cell>
          <cell r="BG241">
            <v>3.9</v>
          </cell>
          <cell r="BH241">
            <v>0.6</v>
          </cell>
          <cell r="BI241">
            <v>2.1</v>
          </cell>
          <cell r="BJ241">
            <v>2.2999999999999998</v>
          </cell>
          <cell r="BK241">
            <v>2</v>
          </cell>
          <cell r="BL241">
            <v>179162</v>
          </cell>
          <cell r="BM241">
            <v>21683</v>
          </cell>
          <cell r="BN241">
            <v>200845</v>
          </cell>
          <cell r="BO241">
            <v>74741</v>
          </cell>
          <cell r="BP241">
            <v>4527</v>
          </cell>
          <cell r="BQ241">
            <v>79268</v>
          </cell>
          <cell r="BR241">
            <v>25386</v>
          </cell>
          <cell r="BS241">
            <v>104655</v>
          </cell>
          <cell r="BT241">
            <v>9282</v>
          </cell>
          <cell r="BU241">
            <v>33517</v>
          </cell>
          <cell r="BV241">
            <v>147454</v>
          </cell>
          <cell r="BW241">
            <v>37079</v>
          </cell>
          <cell r="BX241">
            <v>385378</v>
          </cell>
          <cell r="BY241">
            <v>42520</v>
          </cell>
          <cell r="BZ241">
            <v>861</v>
          </cell>
          <cell r="CA241">
            <v>428760</v>
          </cell>
          <cell r="CB241">
            <v>24</v>
          </cell>
          <cell r="CC241">
            <v>294</v>
          </cell>
          <cell r="CD241">
            <v>-81</v>
          </cell>
          <cell r="CE241">
            <v>8</v>
          </cell>
          <cell r="CF241">
            <v>0</v>
          </cell>
          <cell r="CG241">
            <v>-13</v>
          </cell>
          <cell r="CH241">
            <v>208</v>
          </cell>
          <cell r="CI241">
            <v>88</v>
          </cell>
          <cell r="CJ241">
            <v>319</v>
          </cell>
          <cell r="CK241">
            <v>74</v>
          </cell>
          <cell r="CL241">
            <v>96</v>
          </cell>
          <cell r="CM241">
            <v>490</v>
          </cell>
        </row>
        <row r="242">
          <cell r="A242">
            <v>42887</v>
          </cell>
          <cell r="B242">
            <v>187612</v>
          </cell>
          <cell r="C242">
            <v>22684</v>
          </cell>
          <cell r="D242">
            <v>210297</v>
          </cell>
          <cell r="E242">
            <v>78567</v>
          </cell>
          <cell r="F242">
            <v>4262</v>
          </cell>
          <cell r="G242">
            <v>82828</v>
          </cell>
          <cell r="H242">
            <v>26192</v>
          </cell>
          <cell r="I242">
            <v>109021</v>
          </cell>
          <cell r="J242">
            <v>9350</v>
          </cell>
          <cell r="K242">
            <v>33825</v>
          </cell>
          <cell r="L242">
            <v>152194</v>
          </cell>
          <cell r="M242">
            <v>38342</v>
          </cell>
          <cell r="N242">
            <v>401246</v>
          </cell>
          <cell r="O242">
            <v>44771</v>
          </cell>
          <cell r="P242">
            <v>2588</v>
          </cell>
          <cell r="Q242">
            <v>448603</v>
          </cell>
          <cell r="R242">
            <v>1.1000000000000001</v>
          </cell>
          <cell r="S242">
            <v>1.2</v>
          </cell>
          <cell r="T242">
            <v>1.1000000000000001</v>
          </cell>
          <cell r="U242">
            <v>0.1</v>
          </cell>
          <cell r="V242">
            <v>-3.1</v>
          </cell>
          <cell r="W242">
            <v>-0.1</v>
          </cell>
          <cell r="X242">
            <v>2.2000000000000002</v>
          </cell>
          <cell r="Y242">
            <v>0.4</v>
          </cell>
          <cell r="Z242">
            <v>0.7</v>
          </cell>
          <cell r="AA242">
            <v>0.9</v>
          </cell>
          <cell r="AB242">
            <v>0.5</v>
          </cell>
          <cell r="AC242">
            <v>-1.5</v>
          </cell>
          <cell r="AD242">
            <v>0.8</v>
          </cell>
          <cell r="AE242">
            <v>1.8</v>
          </cell>
          <cell r="AF242">
            <v>0.8</v>
          </cell>
          <cell r="AG242">
            <v>187493</v>
          </cell>
          <cell r="AH242">
            <v>22677</v>
          </cell>
          <cell r="AI242">
            <v>210169</v>
          </cell>
          <cell r="AJ242">
            <v>77175</v>
          </cell>
          <cell r="AK242">
            <v>4326</v>
          </cell>
          <cell r="AL242">
            <v>81501</v>
          </cell>
          <cell r="AM242">
            <v>26305</v>
          </cell>
          <cell r="AN242">
            <v>107806</v>
          </cell>
          <cell r="AO242">
            <v>9347</v>
          </cell>
          <cell r="AP242">
            <v>33824</v>
          </cell>
          <cell r="AQ242">
            <v>150978</v>
          </cell>
          <cell r="AR242">
            <v>38261</v>
          </cell>
          <cell r="AS242">
            <v>399409</v>
          </cell>
          <cell r="AT242">
            <v>45279</v>
          </cell>
          <cell r="AU242">
            <v>2586</v>
          </cell>
          <cell r="AV242">
            <v>447274</v>
          </cell>
          <cell r="AW242">
            <v>1.1000000000000001</v>
          </cell>
          <cell r="AX242">
            <v>1</v>
          </cell>
          <cell r="AY242">
            <v>1.1000000000000001</v>
          </cell>
          <cell r="AZ242">
            <v>-4.5</v>
          </cell>
          <cell r="BA242">
            <v>-0.5</v>
          </cell>
          <cell r="BB242">
            <v>-4.3</v>
          </cell>
          <cell r="BC242">
            <v>2.6</v>
          </cell>
          <cell r="BD242">
            <v>-2.7</v>
          </cell>
          <cell r="BE242">
            <v>0.7</v>
          </cell>
          <cell r="BF242">
            <v>0.9</v>
          </cell>
          <cell r="BG242">
            <v>-1.7</v>
          </cell>
          <cell r="BH242">
            <v>-3.2</v>
          </cell>
          <cell r="BI242">
            <v>-0.4</v>
          </cell>
          <cell r="BJ242">
            <v>3</v>
          </cell>
          <cell r="BK242">
            <v>-0.1</v>
          </cell>
          <cell r="BL242">
            <v>189800</v>
          </cell>
          <cell r="BM242">
            <v>23005</v>
          </cell>
          <cell r="BN242">
            <v>212805</v>
          </cell>
          <cell r="BO242">
            <v>74053</v>
          </cell>
          <cell r="BP242">
            <v>3831</v>
          </cell>
          <cell r="BQ242">
            <v>77884</v>
          </cell>
          <cell r="BR242">
            <v>26490</v>
          </cell>
          <cell r="BS242">
            <v>104374</v>
          </cell>
          <cell r="BT242">
            <v>9347</v>
          </cell>
          <cell r="BU242">
            <v>33964</v>
          </cell>
          <cell r="BV242">
            <v>147685</v>
          </cell>
          <cell r="BW242">
            <v>37955</v>
          </cell>
          <cell r="BX242">
            <v>398445</v>
          </cell>
          <cell r="BY242">
            <v>44756</v>
          </cell>
          <cell r="BZ242">
            <v>5392</v>
          </cell>
          <cell r="CA242">
            <v>448593</v>
          </cell>
          <cell r="CB242">
            <v>-156</v>
          </cell>
          <cell r="CC242">
            <v>-437</v>
          </cell>
          <cell r="CD242">
            <v>-98</v>
          </cell>
          <cell r="CE242">
            <v>-14</v>
          </cell>
          <cell r="CF242">
            <v>0</v>
          </cell>
          <cell r="CG242">
            <v>-40</v>
          </cell>
          <cell r="CH242">
            <v>-589</v>
          </cell>
          <cell r="CI242">
            <v>-4</v>
          </cell>
          <cell r="CJ242">
            <v>-748</v>
          </cell>
          <cell r="CK242">
            <v>36</v>
          </cell>
          <cell r="CL242">
            <v>1120</v>
          </cell>
          <cell r="CM242">
            <v>407</v>
          </cell>
        </row>
        <row r="243">
          <cell r="A243">
            <v>42979</v>
          </cell>
          <cell r="B243">
            <v>190063</v>
          </cell>
          <cell r="C243">
            <v>22980</v>
          </cell>
          <cell r="D243">
            <v>213043</v>
          </cell>
          <cell r="E243">
            <v>78514</v>
          </cell>
          <cell r="F243">
            <v>4095</v>
          </cell>
          <cell r="G243">
            <v>82609</v>
          </cell>
          <cell r="H243">
            <v>26614</v>
          </cell>
          <cell r="I243">
            <v>109223</v>
          </cell>
          <cell r="J243">
            <v>9419</v>
          </cell>
          <cell r="K243">
            <v>34138</v>
          </cell>
          <cell r="L243">
            <v>152780</v>
          </cell>
          <cell r="M243">
            <v>37547</v>
          </cell>
          <cell r="N243">
            <v>403373</v>
          </cell>
          <cell r="O243">
            <v>45145</v>
          </cell>
          <cell r="P243">
            <v>2327</v>
          </cell>
          <cell r="Q243">
            <v>450844</v>
          </cell>
          <cell r="R243">
            <v>1.3</v>
          </cell>
          <cell r="S243">
            <v>1.3</v>
          </cell>
          <cell r="T243">
            <v>1.3</v>
          </cell>
          <cell r="U243">
            <v>-0.1</v>
          </cell>
          <cell r="V243">
            <v>-3.9</v>
          </cell>
          <cell r="W243">
            <v>-0.3</v>
          </cell>
          <cell r="X243">
            <v>1.6</v>
          </cell>
          <cell r="Y243">
            <v>0.2</v>
          </cell>
          <cell r="Z243">
            <v>0.7</v>
          </cell>
          <cell r="AA243">
            <v>0.9</v>
          </cell>
          <cell r="AB243">
            <v>0.4</v>
          </cell>
          <cell r="AC243">
            <v>-2.1</v>
          </cell>
          <cell r="AD243">
            <v>0.5</v>
          </cell>
          <cell r="AE243">
            <v>0.8</v>
          </cell>
          <cell r="AF243">
            <v>0.5</v>
          </cell>
          <cell r="AG243">
            <v>190344</v>
          </cell>
          <cell r="AH243">
            <v>22976</v>
          </cell>
          <cell r="AI243">
            <v>213321</v>
          </cell>
          <cell r="AJ243">
            <v>78382</v>
          </cell>
          <cell r="AK243">
            <v>4103</v>
          </cell>
          <cell r="AL243">
            <v>82486</v>
          </cell>
          <cell r="AM243">
            <v>26654</v>
          </cell>
          <cell r="AN243">
            <v>109140</v>
          </cell>
          <cell r="AO243">
            <v>9423</v>
          </cell>
          <cell r="AP243">
            <v>34128</v>
          </cell>
          <cell r="AQ243">
            <v>152692</v>
          </cell>
          <cell r="AR243">
            <v>36734</v>
          </cell>
          <cell r="AS243">
            <v>402746</v>
          </cell>
          <cell r="AT243">
            <v>45009</v>
          </cell>
          <cell r="AU243">
            <v>2592</v>
          </cell>
          <cell r="AV243">
            <v>450347</v>
          </cell>
          <cell r="AW243">
            <v>1.5</v>
          </cell>
          <cell r="AX243">
            <v>1.3</v>
          </cell>
          <cell r="AY243">
            <v>1.5</v>
          </cell>
          <cell r="AZ243">
            <v>1.6</v>
          </cell>
          <cell r="BA243">
            <v>-5.0999999999999996</v>
          </cell>
          <cell r="BB243">
            <v>1.2</v>
          </cell>
          <cell r="BC243">
            <v>1.3</v>
          </cell>
          <cell r="BD243">
            <v>1.2</v>
          </cell>
          <cell r="BE243">
            <v>0.8</v>
          </cell>
          <cell r="BF243">
            <v>0.9</v>
          </cell>
          <cell r="BG243">
            <v>1.1000000000000001</v>
          </cell>
          <cell r="BH243">
            <v>-4</v>
          </cell>
          <cell r="BI243">
            <v>0.8</v>
          </cell>
          <cell r="BJ243">
            <v>-0.6</v>
          </cell>
          <cell r="BK243">
            <v>0.7</v>
          </cell>
          <cell r="BL243">
            <v>190610</v>
          </cell>
          <cell r="BM243">
            <v>23028</v>
          </cell>
          <cell r="BN243">
            <v>213638</v>
          </cell>
          <cell r="BO243">
            <v>81771</v>
          </cell>
          <cell r="BP243">
            <v>4263</v>
          </cell>
          <cell r="BQ243">
            <v>86034</v>
          </cell>
          <cell r="BR243">
            <v>26619</v>
          </cell>
          <cell r="BS243">
            <v>112652</v>
          </cell>
          <cell r="BT243">
            <v>9423</v>
          </cell>
          <cell r="BU243">
            <v>33984</v>
          </cell>
          <cell r="BV243">
            <v>156059</v>
          </cell>
          <cell r="BW243">
            <v>34921</v>
          </cell>
          <cell r="BX243">
            <v>404618</v>
          </cell>
          <cell r="BY243">
            <v>45130</v>
          </cell>
          <cell r="BZ243">
            <v>383</v>
          </cell>
          <cell r="CA243">
            <v>450130</v>
          </cell>
          <cell r="CB243">
            <v>418</v>
          </cell>
          <cell r="CC243">
            <v>-147</v>
          </cell>
          <cell r="CD243">
            <v>-195</v>
          </cell>
          <cell r="CE243">
            <v>1</v>
          </cell>
          <cell r="CF243">
            <v>0</v>
          </cell>
          <cell r="CG243">
            <v>-14</v>
          </cell>
          <cell r="CH243">
            <v>-353</v>
          </cell>
          <cell r="CI243">
            <v>-263</v>
          </cell>
          <cell r="CJ243">
            <v>-199</v>
          </cell>
          <cell r="CK243">
            <v>87</v>
          </cell>
          <cell r="CL243">
            <v>856</v>
          </cell>
          <cell r="CM243">
            <v>745</v>
          </cell>
        </row>
        <row r="244">
          <cell r="A244">
            <v>43070</v>
          </cell>
          <cell r="B244">
            <v>192405</v>
          </cell>
          <cell r="C244">
            <v>23256</v>
          </cell>
          <cell r="D244">
            <v>215661</v>
          </cell>
          <cell r="E244">
            <v>78419</v>
          </cell>
          <cell r="F244">
            <v>3939</v>
          </cell>
          <cell r="G244">
            <v>82359</v>
          </cell>
          <cell r="H244">
            <v>26926</v>
          </cell>
          <cell r="I244">
            <v>109284</v>
          </cell>
          <cell r="J244">
            <v>9489</v>
          </cell>
          <cell r="K244">
            <v>34446</v>
          </cell>
          <cell r="L244">
            <v>153218</v>
          </cell>
          <cell r="M244">
            <v>37147</v>
          </cell>
          <cell r="N244">
            <v>405885</v>
          </cell>
          <cell r="O244">
            <v>45274</v>
          </cell>
          <cell r="P244">
            <v>1990</v>
          </cell>
          <cell r="Q244">
            <v>453163</v>
          </cell>
          <cell r="R244">
            <v>1.2</v>
          </cell>
          <cell r="S244">
            <v>1.2</v>
          </cell>
          <cell r="T244">
            <v>1.2</v>
          </cell>
          <cell r="U244">
            <v>-0.1</v>
          </cell>
          <cell r="V244">
            <v>-3.8</v>
          </cell>
          <cell r="W244">
            <v>-0.3</v>
          </cell>
          <cell r="X244">
            <v>1.2</v>
          </cell>
          <cell r="Y244">
            <v>0.1</v>
          </cell>
          <cell r="Z244">
            <v>0.7</v>
          </cell>
          <cell r="AA244">
            <v>0.9</v>
          </cell>
          <cell r="AB244">
            <v>0.3</v>
          </cell>
          <cell r="AC244">
            <v>-1.1000000000000001</v>
          </cell>
          <cell r="AD244">
            <v>0.6</v>
          </cell>
          <cell r="AE244">
            <v>0.3</v>
          </cell>
          <cell r="AF244">
            <v>0.5</v>
          </cell>
          <cell r="AG244">
            <v>192325</v>
          </cell>
          <cell r="AH244">
            <v>23275</v>
          </cell>
          <cell r="AI244">
            <v>215600</v>
          </cell>
          <cell r="AJ244">
            <v>79146</v>
          </cell>
          <cell r="AK244">
            <v>3864</v>
          </cell>
          <cell r="AL244">
            <v>83010</v>
          </cell>
          <cell r="AM244">
            <v>26813</v>
          </cell>
          <cell r="AN244">
            <v>109823</v>
          </cell>
          <cell r="AO244">
            <v>9488</v>
          </cell>
          <cell r="AP244">
            <v>34462</v>
          </cell>
          <cell r="AQ244">
            <v>153774</v>
          </cell>
          <cell r="AR244">
            <v>37828</v>
          </cell>
          <cell r="AS244">
            <v>407201</v>
          </cell>
          <cell r="AT244">
            <v>45107</v>
          </cell>
          <cell r="AU244">
            <v>1702</v>
          </cell>
          <cell r="AV244">
            <v>454010</v>
          </cell>
          <cell r="AW244">
            <v>1</v>
          </cell>
          <cell r="AX244">
            <v>1.3</v>
          </cell>
          <cell r="AY244">
            <v>1.1000000000000001</v>
          </cell>
          <cell r="AZ244">
            <v>1</v>
          </cell>
          <cell r="BA244">
            <v>-5.8</v>
          </cell>
          <cell r="BB244">
            <v>0.6</v>
          </cell>
          <cell r="BC244">
            <v>0.6</v>
          </cell>
          <cell r="BD244">
            <v>0.6</v>
          </cell>
          <cell r="BE244">
            <v>0.7</v>
          </cell>
          <cell r="BF244">
            <v>1</v>
          </cell>
          <cell r="BG244">
            <v>0.7</v>
          </cell>
          <cell r="BH244">
            <v>3</v>
          </cell>
          <cell r="BI244">
            <v>1.1000000000000001</v>
          </cell>
          <cell r="BJ244">
            <v>0.2</v>
          </cell>
          <cell r="BK244">
            <v>0.8</v>
          </cell>
          <cell r="BL244">
            <v>196199</v>
          </cell>
          <cell r="BM244">
            <v>23682</v>
          </cell>
          <cell r="BN244">
            <v>219881</v>
          </cell>
          <cell r="BO244">
            <v>84941</v>
          </cell>
          <cell r="BP244">
            <v>3991</v>
          </cell>
          <cell r="BQ244">
            <v>88931</v>
          </cell>
          <cell r="BR244">
            <v>26932</v>
          </cell>
          <cell r="BS244">
            <v>115863</v>
          </cell>
          <cell r="BT244">
            <v>9488</v>
          </cell>
          <cell r="BU244">
            <v>34481</v>
          </cell>
          <cell r="BV244">
            <v>159832</v>
          </cell>
          <cell r="BW244">
            <v>41990</v>
          </cell>
          <cell r="BX244">
            <v>421702</v>
          </cell>
          <cell r="BY244">
            <v>47001</v>
          </cell>
          <cell r="BZ244">
            <v>2746</v>
          </cell>
          <cell r="CA244">
            <v>471449</v>
          </cell>
        </row>
      </sheetData>
      <sheetData sheetId="15">
        <row r="1">
          <cell r="B1" t="str">
            <v>Agriculture, forestry and fishing (A) ;  Agriculture ;</v>
          </cell>
          <cell r="C1" t="str">
            <v>Agriculture, forestry and fishing (A) ;  Forestry and fishing ;</v>
          </cell>
          <cell r="D1" t="str">
            <v>Agriculture, forestry and fishing (A) ;</v>
          </cell>
          <cell r="E1" t="str">
            <v>Mining (B) ;  Coal Mining ;</v>
          </cell>
          <cell r="F1" t="str">
            <v>Mining (B) ;  Oil and gas extraction ;</v>
          </cell>
          <cell r="G1" t="str">
            <v>Mining (B) ;  Iron ore mining ;</v>
          </cell>
          <cell r="H1" t="str">
            <v>Mining (B) ;  Other mining ;</v>
          </cell>
          <cell r="I1" t="str">
            <v>Mining (B) ;  Mining excluding exploration and mining support services ;</v>
          </cell>
          <cell r="J1" t="str">
            <v>Mining (B) ;  Exploration and mining support services ;</v>
          </cell>
          <cell r="K1" t="str">
            <v>Mining (B) ;</v>
          </cell>
          <cell r="L1" t="str">
            <v>Manufacturing (C) ;  Food, beverage and tobacco products ;</v>
          </cell>
          <cell r="M1" t="str">
            <v>Manufacturing (C) ;  Petroleum, coal, chemical and rubber products ;</v>
          </cell>
          <cell r="N1" t="str">
            <v>Manufacturing (C) ;  Metal products ;</v>
          </cell>
          <cell r="O1" t="str">
            <v>Manufacturing (C) ;  Machinery and equipment ;</v>
          </cell>
          <cell r="P1" t="str">
            <v>Manufacturing (C) ;  Other manufacturing ;</v>
          </cell>
          <cell r="Q1" t="str">
            <v>Manufacturing (C) ;</v>
          </cell>
          <cell r="R1" t="str">
            <v>Electricity, gas, water and waste services (D) ;  Electricity ;</v>
          </cell>
          <cell r="S1" t="str">
            <v>Electricity, gas, water and waste services (D) ;  Gas ;</v>
          </cell>
          <cell r="T1" t="str">
            <v>Electricity, gas, water and waste services (D) ;  Water supply and waste services ;</v>
          </cell>
          <cell r="U1" t="str">
            <v>Electricity, gas, water and waste services (D) ;</v>
          </cell>
          <cell r="V1" t="str">
            <v>Construction (E) ;  Building construction ;</v>
          </cell>
          <cell r="W1" t="str">
            <v>Construction (E) ;  Heavy and civil engineering construction ;</v>
          </cell>
          <cell r="X1" t="str">
            <v>Construction (E) ;  Construction services ;</v>
          </cell>
          <cell r="Y1" t="str">
            <v>Construction (E) ;</v>
          </cell>
          <cell r="Z1" t="str">
            <v>Wholesale trade (F) ;</v>
          </cell>
          <cell r="AA1" t="str">
            <v>Retail trade (G) ;</v>
          </cell>
          <cell r="AB1" t="str">
            <v>Accommodation and food services (H) ;</v>
          </cell>
          <cell r="AC1" t="str">
            <v>Transport, postal and warehousing (I) ;  Road ;</v>
          </cell>
          <cell r="AD1" t="str">
            <v>Transport, postal and warehousing (I) ;  Air and space transport ;</v>
          </cell>
          <cell r="AE1" t="str">
            <v>Transport, postal and warehousing (I) ;  Rail, pipeline and other transport ;</v>
          </cell>
          <cell r="AF1" t="str">
            <v>Transport, postal and warehousing (I) ;  Transport, postal and storage services ;</v>
          </cell>
          <cell r="AG1" t="str">
            <v>Transport, postal and warehousing (I) ;</v>
          </cell>
          <cell r="AH1" t="str">
            <v>Information media and telecommunications (J) ;  Telecommunications services ;</v>
          </cell>
          <cell r="AI1" t="str">
            <v>Information media and telecommunications (J) ;  Other information and media services ;</v>
          </cell>
          <cell r="AJ1" t="str">
            <v>Information media and telecommunications (J) ;</v>
          </cell>
          <cell r="AK1" t="str">
            <v>Financial and insurance services (K) ;  Finance ;</v>
          </cell>
          <cell r="AL1" t="str">
            <v>Financial and insurance services (K) ;  Other financial and insurance services ;</v>
          </cell>
          <cell r="AM1" t="str">
            <v>Financial and insurance services (K) ;</v>
          </cell>
          <cell r="AN1" t="str">
            <v>Rental, hiring and real estate services (L) ;  Rental and hiring services ;</v>
          </cell>
          <cell r="AO1" t="str">
            <v>Rental, hiring and real estate services (L) ;  Property operators and real estate services ;</v>
          </cell>
          <cell r="AP1" t="str">
            <v>Rental, hiring and real estate services (L) ;</v>
          </cell>
          <cell r="AQ1" t="str">
            <v>Professional, scientific and technical services (M) ;  Computer system design and related services ;</v>
          </cell>
          <cell r="AR1" t="str">
            <v>Professional, scientific and technical services (M) ;  Other professional, scientific and technical services ;</v>
          </cell>
          <cell r="AS1" t="str">
            <v>Professional, scientific and technical services (M) ;</v>
          </cell>
          <cell r="AT1" t="str">
            <v>Administrative and support services (N) ;</v>
          </cell>
          <cell r="AU1" t="str">
            <v>Public administration and safety (O) ;</v>
          </cell>
          <cell r="AV1" t="str">
            <v>Education and training (P) ;</v>
          </cell>
          <cell r="AW1" t="str">
            <v>Health care and social assistance (Q) ;</v>
          </cell>
          <cell r="AX1" t="str">
            <v>Arts and recreation services (R) ;</v>
          </cell>
          <cell r="AY1" t="str">
            <v>Other services (S) ;</v>
          </cell>
          <cell r="AZ1" t="str">
            <v>Ownership of dwellings ;</v>
          </cell>
          <cell r="BA1" t="str">
            <v>Gross value added at basic prices ;</v>
          </cell>
          <cell r="BB1" t="str">
            <v>Taxes less subsidies on products ;</v>
          </cell>
          <cell r="BC1" t="str">
            <v>Statistical discrepancy (P) ;</v>
          </cell>
          <cell r="BD1" t="str">
            <v>GROSS DOMESTIC PRODUCT ;</v>
          </cell>
          <cell r="BE1" t="str">
            <v>Agriculture, forestry and fishing (A) ;  Agriculture: Percentage changes ;</v>
          </cell>
          <cell r="BF1" t="str">
            <v>Agriculture, forestry and fishing (A) ;  Forestry and fishing: Percentage changes ;</v>
          </cell>
          <cell r="BG1" t="str">
            <v>Agriculture, forestry and fishing (A) ;  Percentage changes ;</v>
          </cell>
          <cell r="BH1" t="str">
            <v>Mining (B) ;  Coal Mining: Percentage changes ;</v>
          </cell>
          <cell r="BI1" t="str">
            <v>Mining (B) ;  Oil and gas extraction: Percentage changes ;</v>
          </cell>
          <cell r="BJ1" t="str">
            <v>Mining (B) ;  Iron ore mining: Percentage changes ;</v>
          </cell>
          <cell r="BK1" t="str">
            <v>Mining (B) ;  Other mining: Percentage changes ;</v>
          </cell>
          <cell r="BL1" t="str">
            <v>Mining (B) ;  Mining excluding exploration and mining support services: Percentage changes ;</v>
          </cell>
          <cell r="BM1" t="str">
            <v>Mining (B) ;  Exploration and mining support services: Percentage changes ;</v>
          </cell>
          <cell r="BN1" t="str">
            <v>Mining (B) ;  Percentage changes ;</v>
          </cell>
          <cell r="BO1" t="str">
            <v>Manufacturing (C) ;  Food, beverage and tobacco products: Percentage changes ;</v>
          </cell>
          <cell r="BP1" t="str">
            <v>Manufacturing (C) ;  Petroleum, coal, chemical and rubber products: Percentage changes ;</v>
          </cell>
          <cell r="BQ1" t="str">
            <v>Manufacturing (C) ;  Metal products: Percentage changes ;</v>
          </cell>
          <cell r="BR1" t="str">
            <v>Manufacturing (C) ;  Machinery and equipment: Percentage changes ;</v>
          </cell>
          <cell r="BS1" t="str">
            <v>Manufacturing (C) ;  Other manufacturing: Percentage changes ;</v>
          </cell>
          <cell r="BT1" t="str">
            <v>Manufacturing (C) ;  Percentage changes ;</v>
          </cell>
          <cell r="BU1" t="str">
            <v>Electricity, gas, water and waste services (D) ;  Electricity: Percentage changes ;</v>
          </cell>
          <cell r="BV1" t="str">
            <v>Electricity, gas, water and waste services (D) ;  Gas: Percentage changes ;</v>
          </cell>
          <cell r="BW1" t="str">
            <v>Electricity, gas, water and waste services (D) ;  Water supply and waste services: Percentage changes ;</v>
          </cell>
          <cell r="BX1" t="str">
            <v>Electricity, gas, water and waste services (D) ;  Percentage changes ;</v>
          </cell>
          <cell r="BY1" t="str">
            <v>Construction (E) ;  Building construction: Percentage changes ;</v>
          </cell>
          <cell r="BZ1" t="str">
            <v>Construction (E) ;  Heavy and civil engineering construction: Percentage changes ;</v>
          </cell>
          <cell r="CA1" t="str">
            <v>Construction (E) ;  Construction services: Percentage changes ;</v>
          </cell>
          <cell r="CB1" t="str">
            <v>Construction (E) ;  Percentage changes ;</v>
          </cell>
          <cell r="CC1" t="str">
            <v>Wholesale trade (F) ;  Percentage changes ;</v>
          </cell>
          <cell r="CD1" t="str">
            <v>Retail trade (G) ;  Percentage changes ;</v>
          </cell>
          <cell r="CE1" t="str">
            <v>Accommodation and food services (H) ;  Percentage changes ;</v>
          </cell>
          <cell r="CF1" t="str">
            <v>Transport, postal and warehousing (I) ;  Road: Percentage changes ;</v>
          </cell>
          <cell r="CG1" t="str">
            <v>Transport, postal and warehousing (I) ;  Air and space transport: Percentage changes ;</v>
          </cell>
          <cell r="CH1" t="str">
            <v>Transport, postal and warehousing (I) ;  Rail, pipeline and other transport: Percentage changes ;</v>
          </cell>
          <cell r="CI1" t="str">
            <v>Transport, postal and warehousing (I) ;  Transport, postal and storage services: Percentage changes ;</v>
          </cell>
          <cell r="CJ1" t="str">
            <v>Transport, postal and warehousing (I) ;  Percentage changes ;</v>
          </cell>
          <cell r="CK1" t="str">
            <v>Information media and telecommunications (J) ;  Telecommunications services: Percentage changes ;</v>
          </cell>
          <cell r="CL1" t="str">
            <v>Information media and telecommunications (J) ;  Other information and media services: Percentage changes ;</v>
          </cell>
          <cell r="CM1" t="str">
            <v>Information media and telecommunications (J) ;  Percentage changes ;</v>
          </cell>
          <cell r="CN1" t="str">
            <v>Financial and insurance services (K) ;  Finance: Percentage changes ;</v>
          </cell>
          <cell r="CO1" t="str">
            <v>Financial and insurance services (K) ;  Other financial and insurance services: Percentage changes ;</v>
          </cell>
          <cell r="CP1" t="str">
            <v>Financial and insurance services (K) ;  Percentage changes ;</v>
          </cell>
          <cell r="CQ1" t="str">
            <v>Rental, hiring and real estate services (L) ;  Rental and hiring services: Percentage changes ;</v>
          </cell>
          <cell r="CR1" t="str">
            <v>Rental, hiring and real estate services (L) ;  Property operators and real estate services: Percentage changes ;</v>
          </cell>
          <cell r="CS1" t="str">
            <v>Rental, hiring and real estate services (L) ;  Percentage changes ;</v>
          </cell>
          <cell r="CT1" t="str">
            <v>Professional, scientific and technical services (M) ;  Computer system design and related services: Percentage changes ;</v>
          </cell>
          <cell r="CU1" t="str">
            <v>Professional, scientific and technical services (M) ;  Other professional, scientific and technical services: Percentage changes ;</v>
          </cell>
          <cell r="CV1" t="str">
            <v>Professional, scientific and technical services (M) ;  Percentage changes ;</v>
          </cell>
          <cell r="CW1" t="str">
            <v>Administrative and support services (N) ;  Percentage changes ;</v>
          </cell>
          <cell r="CX1" t="str">
            <v>Public administration and safety (O) ;  Percentage changes ;</v>
          </cell>
          <cell r="CY1" t="str">
            <v>Education and training (P) ;  Percentage changes ;</v>
          </cell>
          <cell r="CZ1" t="str">
            <v>Health care and social assistance (Q) ;  Percentage changes ;</v>
          </cell>
          <cell r="DA1" t="str">
            <v>Arts and recreation services (R) ;  Percentage changes ;</v>
          </cell>
          <cell r="DB1" t="str">
            <v>Other services (S) ;  Percentage changes ;</v>
          </cell>
          <cell r="DC1" t="str">
            <v>Ownership of dwellings ;  Percentage changes ;</v>
          </cell>
          <cell r="DD1" t="str">
            <v>Gross value added at basic prices: Percentage changes ;</v>
          </cell>
          <cell r="DE1" t="str">
            <v>Taxes less subsidies on products: Percentage changes ;</v>
          </cell>
          <cell r="DF1" t="str">
            <v>GROSS DOMESTIC PRODUCT: Percentage changes ;</v>
          </cell>
          <cell r="DG1" t="str">
            <v>Agriculture, forestry and fishing (A) ;  Agriculture ;</v>
          </cell>
          <cell r="DH1" t="str">
            <v>Agriculture, forestry and fishing (A) ;  Forestry and fishing ;</v>
          </cell>
          <cell r="DI1" t="str">
            <v>Agriculture, forestry and fishing (A) ;</v>
          </cell>
          <cell r="DJ1" t="str">
            <v>Mining (B) ;  Coal Mining ;</v>
          </cell>
          <cell r="DK1" t="str">
            <v>Mining (B) ;  Oil and gas extraction ;</v>
          </cell>
          <cell r="DL1" t="str">
            <v>Mining (B) ;  Iron ore mining ;</v>
          </cell>
          <cell r="DM1" t="str">
            <v>Mining (B) ;  Other mining ;</v>
          </cell>
          <cell r="DN1" t="str">
            <v>Mining (B) ;  Mining excluding exploration and mining support services ;</v>
          </cell>
          <cell r="DO1" t="str">
            <v>Mining (B) ;  Exploration and mining support services ;</v>
          </cell>
          <cell r="DP1" t="str">
            <v>Mining (B) ;</v>
          </cell>
          <cell r="DQ1" t="str">
            <v>Manufacturing (C) ;  Food, beverage and tobacco products ;</v>
          </cell>
          <cell r="DR1" t="str">
            <v>Manufacturing (C) ;  Petroleum, coal, chemical and rubber products ;</v>
          </cell>
          <cell r="DS1" t="str">
            <v>Manufacturing (C) ;  Metal products ;</v>
          </cell>
          <cell r="DT1" t="str">
            <v>Manufacturing (C) ;  Machinery and equipment ;</v>
          </cell>
          <cell r="DU1" t="str">
            <v>Manufacturing (C) ;  Other manufacturing ;</v>
          </cell>
          <cell r="DV1" t="str">
            <v>Manufacturing (C) ;</v>
          </cell>
          <cell r="DW1" t="str">
            <v>Electricity, gas, water and waste services (D) ;  Electricity ;</v>
          </cell>
          <cell r="DX1" t="str">
            <v>Electricity, gas, water and waste services (D) ;  Gas ;</v>
          </cell>
          <cell r="DY1" t="str">
            <v>Electricity, gas, water and waste services (D) ;  Water supply and waste services ;</v>
          </cell>
          <cell r="DZ1" t="str">
            <v>Electricity, gas, water and waste services (D) ;</v>
          </cell>
          <cell r="EA1" t="str">
            <v>Construction (E) ;  Building construction ;</v>
          </cell>
          <cell r="EB1" t="str">
            <v>Construction (E) ;  Heavy and civil engineering construction ;</v>
          </cell>
          <cell r="EC1" t="str">
            <v>Construction (E) ;  Construction services ;</v>
          </cell>
          <cell r="ED1" t="str">
            <v>Construction (E) ;</v>
          </cell>
          <cell r="EE1" t="str">
            <v>Wholesale trade (F) ;</v>
          </cell>
          <cell r="EF1" t="str">
            <v>Retail trade (G) ;</v>
          </cell>
          <cell r="EG1" t="str">
            <v>Accommodation and food services (H) ;</v>
          </cell>
          <cell r="EH1" t="str">
            <v>Transport, postal and warehousing (I) ;  Road ;</v>
          </cell>
          <cell r="EI1" t="str">
            <v>Transport, postal and warehousing (I) ;  Air and space transport ;</v>
          </cell>
          <cell r="EJ1" t="str">
            <v>Transport, postal and warehousing (I) ;  Rail, pipeline and other transport ;</v>
          </cell>
          <cell r="EK1" t="str">
            <v>Transport, postal and warehousing (I) ;  Transport, postal and storage services ;</v>
          </cell>
          <cell r="EL1" t="str">
            <v>Transport, postal and warehousing (I) ;</v>
          </cell>
          <cell r="EM1" t="str">
            <v>Information media and telecommunications (J) ;  Telecommunications services ;</v>
          </cell>
          <cell r="EN1" t="str">
            <v>Information media and telecommunications (J) ;  Other information and media services ;</v>
          </cell>
          <cell r="EO1" t="str">
            <v>Information media and telecommunications (J) ;</v>
          </cell>
          <cell r="EP1" t="str">
            <v>Financial and insurance services (K) ;  Finance ;</v>
          </cell>
          <cell r="EQ1" t="str">
            <v>Financial and insurance services (K) ;  Other financial and insurance services ;</v>
          </cell>
          <cell r="ER1" t="str">
            <v>Financial and insurance services (K) ;</v>
          </cell>
          <cell r="ES1" t="str">
            <v>Rental, hiring and real estate services (L) ;  Rental and hiring services ;</v>
          </cell>
          <cell r="ET1" t="str">
            <v>Rental, hiring and real estate services (L) ;  Property operators and real estate services ;</v>
          </cell>
          <cell r="EU1" t="str">
            <v>Rental, hiring and real estate services (L) ;</v>
          </cell>
          <cell r="EV1" t="str">
            <v>Professional, scientific and technical services (M) ;  Computer system design and related services ;</v>
          </cell>
          <cell r="EW1" t="str">
            <v>Professional, scientific and technical services (M) ;  Other professional, scientific and technical services ;</v>
          </cell>
          <cell r="EX1" t="str">
            <v>Professional, scientific and technical services (M) ;</v>
          </cell>
          <cell r="EY1" t="str">
            <v>Administrative and support services (N) ;</v>
          </cell>
          <cell r="EZ1" t="str">
            <v>Public administration and safety (O) ;</v>
          </cell>
          <cell r="FA1" t="str">
            <v>Education and training (P) ;</v>
          </cell>
          <cell r="FB1" t="str">
            <v>Health care and social assistance (Q) ;</v>
          </cell>
          <cell r="FC1" t="str">
            <v>Arts and recreation services (R) ;</v>
          </cell>
          <cell r="FD1" t="str">
            <v>Other services (S) ;</v>
          </cell>
          <cell r="FE1" t="str">
            <v>Ownership of dwellings ;</v>
          </cell>
          <cell r="FF1" t="str">
            <v>Gross value added at basic prices ;</v>
          </cell>
          <cell r="FG1" t="str">
            <v>Taxes less subsidies on products ;</v>
          </cell>
          <cell r="FH1" t="str">
            <v>Statistical discrepancy (P) ;</v>
          </cell>
          <cell r="FI1" t="str">
            <v>GROSS DOMESTIC PRODUCT ;</v>
          </cell>
          <cell r="FJ1" t="str">
            <v>Agriculture, forestry and fishing (A) ;  Agriculture: Percentage changes ;</v>
          </cell>
          <cell r="FK1" t="str">
            <v>Agriculture, forestry and fishing (A) ;  Forestry and fishing: Percentage changes ;</v>
          </cell>
          <cell r="FL1" t="str">
            <v>Agriculture, forestry and fishing (A) ;  Percentage changes ;</v>
          </cell>
          <cell r="FM1" t="str">
            <v>Mining (B) ;  Coal Mining: Percentage changes ;</v>
          </cell>
          <cell r="FN1" t="str">
            <v>Mining (B) ;  Oil and gas extraction: Percentage changes ;</v>
          </cell>
          <cell r="FO1" t="str">
            <v>Mining (B) ;  Iron ore mining: Percentage changes ;</v>
          </cell>
          <cell r="FP1" t="str">
            <v>Mining (B) ;  Other mining: Percentage changes ;</v>
          </cell>
          <cell r="FQ1" t="str">
            <v>Mining (B) ;  Mining excluding exploration and mining support services: Percentage changes ;</v>
          </cell>
          <cell r="FR1" t="str">
            <v>Mining (B) ;  Exploration and mining support services: Percentage changes ;</v>
          </cell>
          <cell r="FS1" t="str">
            <v>Mining (B) ;  Percentage changes ;</v>
          </cell>
          <cell r="FT1" t="str">
            <v>Manufacturing (C) ;  Food, beverage and tobacco products: Percentage changes ;</v>
          </cell>
          <cell r="FU1" t="str">
            <v>Manufacturing (C) ;  Petroleum, coal, chemical and rubber products: Percentage changes ;</v>
          </cell>
          <cell r="FV1" t="str">
            <v>Manufacturing (C) ;  Metal products: Percentage changes ;</v>
          </cell>
          <cell r="FW1" t="str">
            <v>Manufacturing (C) ;  Machinery and equipment: Percentage changes ;</v>
          </cell>
          <cell r="FX1" t="str">
            <v>Manufacturing (C) ;  Other manufacturing: Percentage changes ;</v>
          </cell>
          <cell r="FY1" t="str">
            <v>Manufacturing (C) ;  Percentage changes ;</v>
          </cell>
          <cell r="FZ1" t="str">
            <v>Electricity, gas, water and waste services (D) ;  Electricity: Percentage changes ;</v>
          </cell>
          <cell r="GA1" t="str">
            <v>Electricity, gas, water and waste services (D) ;  Gas: Percentage changes ;</v>
          </cell>
          <cell r="GB1" t="str">
            <v>Electricity, gas, water and waste services (D) ;  Water supply and waste services: Percentage changes ;</v>
          </cell>
          <cell r="GC1" t="str">
            <v>Electricity, gas, water and waste services (D) ;  Percentage changes ;</v>
          </cell>
          <cell r="GD1" t="str">
            <v>Construction (E) ;  Building construction: Percentage changes ;</v>
          </cell>
          <cell r="GE1" t="str">
            <v>Construction (E) ;  Heavy and civil engineering construction: Percentage changes ;</v>
          </cell>
          <cell r="GF1" t="str">
            <v>Construction (E) ;  Construction services: Percentage changes ;</v>
          </cell>
          <cell r="GG1" t="str">
            <v>Construction (E) ;  Percentage changes ;</v>
          </cell>
          <cell r="GH1" t="str">
            <v>Wholesale trade (F) ;  Percentage changes ;</v>
          </cell>
          <cell r="GI1" t="str">
            <v>Retail trade (G) ;  Percentage changes ;</v>
          </cell>
          <cell r="GJ1" t="str">
            <v>Accommodation and food services (H) ;  Percentage changes ;</v>
          </cell>
          <cell r="GK1" t="str">
            <v>Transport, postal and warehousing (I) ;  Road: Percentage changes ;</v>
          </cell>
          <cell r="GL1" t="str">
            <v>Transport, postal and warehousing (I) ;  Air and space transport: Percentage changes ;</v>
          </cell>
          <cell r="GM1" t="str">
            <v>Transport, postal and warehousing (I) ;  Rail, pipeline and other transport: Percentage changes ;</v>
          </cell>
          <cell r="GN1" t="str">
            <v>Transport, postal and warehousing (I) ;  Transport, postal and storage services: Percentage changes ;</v>
          </cell>
          <cell r="GO1" t="str">
            <v>Transport, postal and warehousing (I) ;  Percentage changes ;</v>
          </cell>
          <cell r="GP1" t="str">
            <v>Information media and telecommunications (J) ;  Telecommunications services: Percentage changes ;</v>
          </cell>
          <cell r="GQ1" t="str">
            <v>Information media and telecommunications (J) ;  Other information and media services: Percentage changes ;</v>
          </cell>
          <cell r="GR1" t="str">
            <v>Information media and telecommunications (J) ;  Percentage changes ;</v>
          </cell>
          <cell r="GS1" t="str">
            <v>Financial and insurance services (K) ;  Finance: Percentage changes ;</v>
          </cell>
          <cell r="GT1" t="str">
            <v>Financial and insurance services (K) ;  Other financial and insurance services: Percentage changes ;</v>
          </cell>
          <cell r="GU1" t="str">
            <v>Financial and insurance services (K) ;  Percentage changes ;</v>
          </cell>
          <cell r="GV1" t="str">
            <v>Rental, hiring and real estate services (L) ;  Rental and hiring services: Percentage changes ;</v>
          </cell>
          <cell r="GW1" t="str">
            <v>Rental, hiring and real estate services (L) ;  Property operators and real estate services: Percentage changes ;</v>
          </cell>
          <cell r="GX1" t="str">
            <v>Rental, hiring and real estate services (L) ;  Percentage changes ;</v>
          </cell>
          <cell r="GY1" t="str">
            <v>Professional, scientific and technical services (M) ;  Computer system design and related services: Percentage changes ;</v>
          </cell>
          <cell r="GZ1" t="str">
            <v>Professional, scientific and technical services (M) ;  Other professional, scientific and technical services: Percentage changes ;</v>
          </cell>
          <cell r="HA1" t="str">
            <v>Professional, scientific and technical services (M) ;  Percentage changes ;</v>
          </cell>
          <cell r="HB1" t="str">
            <v>Administrative and support services (N) ;  Percentage changes ;</v>
          </cell>
          <cell r="HC1" t="str">
            <v>Public administration and safety (O) ;  Percentage changes ;</v>
          </cell>
          <cell r="HD1" t="str">
            <v>Education and training (P) ;  Percentage changes ;</v>
          </cell>
          <cell r="HE1" t="str">
            <v>Health care and social assistance (Q) ;  Percentage changes ;</v>
          </cell>
          <cell r="HF1" t="str">
            <v>Arts and recreation services (R) ;  Percentage changes ;</v>
          </cell>
          <cell r="HG1" t="str">
            <v>Other services (S) ;  Percentage changes ;</v>
          </cell>
          <cell r="HH1" t="str">
            <v>Ownership of dwellings ;  Percentage changes ;</v>
          </cell>
          <cell r="HI1" t="str">
            <v>Gross value added at basic prices: Percentage changes ;</v>
          </cell>
          <cell r="HJ1" t="str">
            <v>Taxes less subsidies on products: Percentage changes ;</v>
          </cell>
          <cell r="HK1" t="str">
            <v>GROSS DOMESTIC PRODUCT: Percentage changes ;</v>
          </cell>
          <cell r="HL1" t="str">
            <v>Agriculture, forestry and fishing (A) ;  Agriculture ;</v>
          </cell>
          <cell r="HM1" t="str">
            <v>Agriculture, forestry and fishing (A) ;  Forestry and fishing ;</v>
          </cell>
          <cell r="HN1" t="str">
            <v>Agriculture, forestry and fishing (A) ;</v>
          </cell>
          <cell r="HO1" t="str">
            <v>Mining (B) ;  Coal Mining ;</v>
          </cell>
          <cell r="HP1" t="str">
            <v>Mining (B) ;  Oil and gas extraction ;</v>
          </cell>
          <cell r="HQ1" t="str">
            <v>Mining (B) ;  Iron ore mining ;</v>
          </cell>
          <cell r="HR1" t="str">
            <v>Mining (B) ;  Other mining ;</v>
          </cell>
          <cell r="HS1" t="str">
            <v>Mining (B) ;  Mining excluding exploration and mining support services ;</v>
          </cell>
          <cell r="HT1" t="str">
            <v>Mining (B) ;  Exploration and mining support services ;</v>
          </cell>
          <cell r="HU1" t="str">
            <v>Mining (B) ;</v>
          </cell>
          <cell r="HV1" t="str">
            <v>Manufacturing (C) ;  Food, beverage and tobacco products ;</v>
          </cell>
          <cell r="HW1" t="str">
            <v>Manufacturing (C) ;  Petroleum, coal, chemical and rubber products ;</v>
          </cell>
          <cell r="HX1" t="str">
            <v>Manufacturing (C) ;  Metal products ;</v>
          </cell>
          <cell r="HY1" t="str">
            <v>Manufacturing (C) ;  Machinery and equipment ;</v>
          </cell>
          <cell r="HZ1" t="str">
            <v>Manufacturing (C) ;  Other manufacturing ;</v>
          </cell>
          <cell r="IA1" t="str">
            <v>Manufacturing (C) ;</v>
          </cell>
          <cell r="IB1" t="str">
            <v>Electricity, gas, water and waste services (D) ;  Electricity ;</v>
          </cell>
          <cell r="IC1" t="str">
            <v>Electricity, gas, water and waste services (D) ;  Gas ;</v>
          </cell>
          <cell r="ID1" t="str">
            <v>Electricity, gas, water and waste services (D) ;  Water supply and waste services ;</v>
          </cell>
          <cell r="IE1" t="str">
            <v>Electricity, gas, water and waste services (D) ;</v>
          </cell>
          <cell r="IF1" t="str">
            <v>Construction (E) ;  Building construction ;</v>
          </cell>
          <cell r="IG1" t="str">
            <v>Construction (E) ;  Heavy and civil engineering construction ;</v>
          </cell>
          <cell r="IH1" t="str">
            <v>Construction (E) ;  Construction services ;</v>
          </cell>
          <cell r="II1" t="str">
            <v>Construction (E) ;</v>
          </cell>
          <cell r="IJ1" t="str">
            <v>Wholesale trade (F) ;</v>
          </cell>
          <cell r="IK1" t="str">
            <v>Retail trade (G) ;</v>
          </cell>
          <cell r="IL1" t="str">
            <v>Accommodation and food services (H) ;</v>
          </cell>
          <cell r="IM1" t="str">
            <v>Transport, postal and warehousing (I) ;  Road ;</v>
          </cell>
          <cell r="IN1" t="str">
            <v>Transport, postal and warehousing (I) ;  Air and space transport ;</v>
          </cell>
          <cell r="IO1" t="str">
            <v>Transport, postal and warehousing (I) ;  Rail, pipeline and other transport ;</v>
          </cell>
          <cell r="IP1" t="str">
            <v>Transport, postal and warehousing (I) ;  Transport, postal and storage services ;</v>
          </cell>
          <cell r="IQ1" t="str">
            <v>Transport, postal and warehousing (I)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Percent</v>
          </cell>
          <cell r="CZ2" t="str">
            <v>Percent</v>
          </cell>
          <cell r="DA2" t="str">
            <v>Percent</v>
          </cell>
          <cell r="DB2" t="str">
            <v>Percent</v>
          </cell>
          <cell r="DC2" t="str">
            <v>Percent</v>
          </cell>
          <cell r="DD2" t="str">
            <v>Percent</v>
          </cell>
          <cell r="DE2" t="str">
            <v>Percent</v>
          </cell>
          <cell r="DF2" t="str">
            <v>Percent</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Percent</v>
          </cell>
          <cell r="FV2" t="str">
            <v>Percent</v>
          </cell>
          <cell r="FW2" t="str">
            <v>Percent</v>
          </cell>
          <cell r="FX2" t="str">
            <v>Percent</v>
          </cell>
          <cell r="FY2" t="str">
            <v>Percent</v>
          </cell>
          <cell r="FZ2" t="str">
            <v>Percent</v>
          </cell>
          <cell r="GA2" t="str">
            <v>Percent</v>
          </cell>
          <cell r="GB2" t="str">
            <v>Percent</v>
          </cell>
          <cell r="GC2" t="str">
            <v>Percent</v>
          </cell>
          <cell r="GD2" t="str">
            <v>Percent</v>
          </cell>
          <cell r="GE2" t="str">
            <v>Percent</v>
          </cell>
          <cell r="GF2" t="str">
            <v>Percent</v>
          </cell>
          <cell r="GG2" t="str">
            <v>Percent</v>
          </cell>
          <cell r="GH2" t="str">
            <v>Percent</v>
          </cell>
          <cell r="GI2" t="str">
            <v>Percent</v>
          </cell>
          <cell r="GJ2" t="str">
            <v>Percent</v>
          </cell>
          <cell r="GK2" t="str">
            <v>Percent</v>
          </cell>
          <cell r="GL2" t="str">
            <v>Percent</v>
          </cell>
          <cell r="GM2" t="str">
            <v>Percent</v>
          </cell>
          <cell r="GN2" t="str">
            <v>Percent</v>
          </cell>
          <cell r="GO2" t="str">
            <v>Percent</v>
          </cell>
          <cell r="GP2" t="str">
            <v>Percent</v>
          </cell>
          <cell r="GQ2" t="str">
            <v>Percent</v>
          </cell>
          <cell r="GR2" t="str">
            <v>Percent</v>
          </cell>
          <cell r="GS2" t="str">
            <v>Percent</v>
          </cell>
          <cell r="GT2" t="str">
            <v>Percent</v>
          </cell>
          <cell r="GU2" t="str">
            <v>Percent</v>
          </cell>
          <cell r="GV2" t="str">
            <v>Percent</v>
          </cell>
          <cell r="GW2" t="str">
            <v>Percent</v>
          </cell>
          <cell r="GX2" t="str">
            <v>Percent</v>
          </cell>
          <cell r="GY2" t="str">
            <v>Percent</v>
          </cell>
          <cell r="GZ2" t="str">
            <v>Percent</v>
          </cell>
          <cell r="HA2" t="str">
            <v>Percent</v>
          </cell>
          <cell r="HB2" t="str">
            <v>Percent</v>
          </cell>
          <cell r="HC2" t="str">
            <v>Percent</v>
          </cell>
          <cell r="HD2" t="str">
            <v>Percent</v>
          </cell>
          <cell r="HE2" t="str">
            <v>Percent</v>
          </cell>
          <cell r="HF2" t="str">
            <v>Percent</v>
          </cell>
          <cell r="HG2" t="str">
            <v>Percent</v>
          </cell>
          <cell r="HH2" t="str">
            <v>Percent</v>
          </cell>
          <cell r="HI2" t="str">
            <v>Percent</v>
          </cell>
          <cell r="HJ2" t="str">
            <v>Percent</v>
          </cell>
          <cell r="HK2" t="str">
            <v>Percent</v>
          </cell>
          <cell r="HL2" t="str">
            <v>$ Millions</v>
          </cell>
          <cell r="HM2" t="str">
            <v>$ Millions</v>
          </cell>
          <cell r="HN2" t="str">
            <v>$ Millions</v>
          </cell>
          <cell r="HO2" t="str">
            <v>$ Millions</v>
          </cell>
          <cell r="HP2" t="str">
            <v>$ Millions</v>
          </cell>
          <cell r="HQ2" t="str">
            <v>$ Millions</v>
          </cell>
          <cell r="HR2" t="str">
            <v>$ Millions</v>
          </cell>
          <cell r="HS2" t="str">
            <v>$ Millions</v>
          </cell>
          <cell r="HT2" t="str">
            <v>$ Millions</v>
          </cell>
          <cell r="HU2" t="str">
            <v>$ Millions</v>
          </cell>
          <cell r="HV2" t="str">
            <v>$ Millions</v>
          </cell>
          <cell r="HW2" t="str">
            <v>$ Millions</v>
          </cell>
          <cell r="HX2" t="str">
            <v>$ Millions</v>
          </cell>
          <cell r="HY2" t="str">
            <v>$ Millions</v>
          </cell>
          <cell r="HZ2" t="str">
            <v>$ Millions</v>
          </cell>
          <cell r="IA2" t="str">
            <v>$ Millions</v>
          </cell>
          <cell r="IB2" t="str">
            <v>$ Millions</v>
          </cell>
          <cell r="IC2" t="str">
            <v>$ Millions</v>
          </cell>
          <cell r="ID2" t="str">
            <v>$ Millions</v>
          </cell>
          <cell r="IE2" t="str">
            <v>$ Millions</v>
          </cell>
          <cell r="IF2" t="str">
            <v>$ Millions</v>
          </cell>
          <cell r="IG2" t="str">
            <v>$ Millions</v>
          </cell>
          <cell r="IH2" t="str">
            <v>$ Millions</v>
          </cell>
          <cell r="II2" t="str">
            <v>$ Millions</v>
          </cell>
          <cell r="IJ2" t="str">
            <v>$ Millions</v>
          </cell>
          <cell r="IK2" t="str">
            <v>$ Millions</v>
          </cell>
          <cell r="IL2" t="str">
            <v>$ Millions</v>
          </cell>
          <cell r="IM2" t="str">
            <v>$ Millions</v>
          </cell>
          <cell r="IN2" t="str">
            <v>$ Millions</v>
          </cell>
          <cell r="IO2" t="str">
            <v>$ Millions</v>
          </cell>
          <cell r="IP2" t="str">
            <v>$ Millions</v>
          </cell>
          <cell r="IQ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Trend</v>
          </cell>
          <cell r="AM3" t="str">
            <v>Trend</v>
          </cell>
          <cell r="AN3" t="str">
            <v>Trend</v>
          </cell>
          <cell r="AO3" t="str">
            <v>Trend</v>
          </cell>
          <cell r="AP3" t="str">
            <v>Trend</v>
          </cell>
          <cell r="AQ3" t="str">
            <v>Trend</v>
          </cell>
          <cell r="AR3" t="str">
            <v>Trend</v>
          </cell>
          <cell r="AS3" t="str">
            <v>Trend</v>
          </cell>
          <cell r="AT3" t="str">
            <v>Trend</v>
          </cell>
          <cell r="AU3" t="str">
            <v>Trend</v>
          </cell>
          <cell r="AV3" t="str">
            <v>Trend</v>
          </cell>
          <cell r="AW3" t="str">
            <v>Trend</v>
          </cell>
          <cell r="AX3" t="str">
            <v>Trend</v>
          </cell>
          <cell r="AY3" t="str">
            <v>Trend</v>
          </cell>
          <cell r="AZ3" t="str">
            <v>Trend</v>
          </cell>
          <cell r="BA3" t="str">
            <v>Trend</v>
          </cell>
          <cell r="BB3" t="str">
            <v>Trend</v>
          </cell>
          <cell r="BC3" t="str">
            <v>Trend</v>
          </cell>
          <cell r="BD3" t="str">
            <v>Trend</v>
          </cell>
          <cell r="BE3" t="str">
            <v>Trend</v>
          </cell>
          <cell r="BF3" t="str">
            <v>Trend</v>
          </cell>
          <cell r="BG3" t="str">
            <v>Trend</v>
          </cell>
          <cell r="BH3" t="str">
            <v>Trend</v>
          </cell>
          <cell r="BI3" t="str">
            <v>Trend</v>
          </cell>
          <cell r="BJ3" t="str">
            <v>Trend</v>
          </cell>
          <cell r="BK3" t="str">
            <v>Trend</v>
          </cell>
          <cell r="BL3" t="str">
            <v>Trend</v>
          </cell>
          <cell r="BM3" t="str">
            <v>Trend</v>
          </cell>
          <cell r="BN3" t="str">
            <v>Trend</v>
          </cell>
          <cell r="BO3" t="str">
            <v>Trend</v>
          </cell>
          <cell r="BP3" t="str">
            <v>Trend</v>
          </cell>
          <cell r="BQ3" t="str">
            <v>Trend</v>
          </cell>
          <cell r="BR3" t="str">
            <v>Trend</v>
          </cell>
          <cell r="BS3" t="str">
            <v>Trend</v>
          </cell>
          <cell r="BT3" t="str">
            <v>Trend</v>
          </cell>
          <cell r="BU3" t="str">
            <v>Trend</v>
          </cell>
          <cell r="BV3" t="str">
            <v>Trend</v>
          </cell>
          <cell r="BW3" t="str">
            <v>Trend</v>
          </cell>
          <cell r="BX3" t="str">
            <v>Trend</v>
          </cell>
          <cell r="BY3" t="str">
            <v>Trend</v>
          </cell>
          <cell r="BZ3" t="str">
            <v>Trend</v>
          </cell>
          <cell r="CA3" t="str">
            <v>Trend</v>
          </cell>
          <cell r="CB3" t="str">
            <v>Trend</v>
          </cell>
          <cell r="CC3" t="str">
            <v>Trend</v>
          </cell>
          <cell r="CD3" t="str">
            <v>Trend</v>
          </cell>
          <cell r="CE3" t="str">
            <v>Trend</v>
          </cell>
          <cell r="CF3" t="str">
            <v>Trend</v>
          </cell>
          <cell r="CG3" t="str">
            <v>Trend</v>
          </cell>
          <cell r="CH3" t="str">
            <v>Trend</v>
          </cell>
          <cell r="CI3" t="str">
            <v>Trend</v>
          </cell>
          <cell r="CJ3" t="str">
            <v>Trend</v>
          </cell>
          <cell r="CK3" t="str">
            <v>Trend</v>
          </cell>
          <cell r="CL3" t="str">
            <v>Trend</v>
          </cell>
          <cell r="CM3" t="str">
            <v>Trend</v>
          </cell>
          <cell r="CN3" t="str">
            <v>Trend</v>
          </cell>
          <cell r="CO3" t="str">
            <v>Trend</v>
          </cell>
          <cell r="CP3" t="str">
            <v>Trend</v>
          </cell>
          <cell r="CQ3" t="str">
            <v>Trend</v>
          </cell>
          <cell r="CR3" t="str">
            <v>Trend</v>
          </cell>
          <cell r="CS3" t="str">
            <v>Trend</v>
          </cell>
          <cell r="CT3" t="str">
            <v>Trend</v>
          </cell>
          <cell r="CU3" t="str">
            <v>Trend</v>
          </cell>
          <cell r="CV3" t="str">
            <v>Trend</v>
          </cell>
          <cell r="CW3" t="str">
            <v>Trend</v>
          </cell>
          <cell r="CX3" t="str">
            <v>Trend</v>
          </cell>
          <cell r="CY3" t="str">
            <v>Trend</v>
          </cell>
          <cell r="CZ3" t="str">
            <v>Trend</v>
          </cell>
          <cell r="DA3" t="str">
            <v>Trend</v>
          </cell>
          <cell r="DB3" t="str">
            <v>Trend</v>
          </cell>
          <cell r="DC3" t="str">
            <v>Trend</v>
          </cell>
          <cell r="DD3" t="str">
            <v>Trend</v>
          </cell>
          <cell r="DE3" t="str">
            <v>Trend</v>
          </cell>
          <cell r="DF3" t="str">
            <v>Trend</v>
          </cell>
          <cell r="DG3" t="str">
            <v>Seasonally Adjusted</v>
          </cell>
          <cell r="DH3" t="str">
            <v>Seasonally Adjusted</v>
          </cell>
          <cell r="DI3" t="str">
            <v>Seasonally Adjusted</v>
          </cell>
          <cell r="DJ3" t="str">
            <v>Seasonally Adjusted</v>
          </cell>
          <cell r="DK3" t="str">
            <v>Seasonally Adjusted</v>
          </cell>
          <cell r="DL3" t="str">
            <v>Seasonally Adjusted</v>
          </cell>
          <cell r="DM3" t="str">
            <v>Seasonally Adjusted</v>
          </cell>
          <cell r="DN3" t="str">
            <v>Seasonally Adjusted</v>
          </cell>
          <cell r="DO3" t="str">
            <v>Seasonally Adjusted</v>
          </cell>
          <cell r="DP3" t="str">
            <v>Seasonally Adjusted</v>
          </cell>
          <cell r="DQ3" t="str">
            <v>Seasonally Adjusted</v>
          </cell>
          <cell r="DR3" t="str">
            <v>Seasonally Adjusted</v>
          </cell>
          <cell r="DS3" t="str">
            <v>Seasonally Adjusted</v>
          </cell>
          <cell r="DT3" t="str">
            <v>Seasonally Adjusted</v>
          </cell>
          <cell r="DU3" t="str">
            <v>Seasonally Adjusted</v>
          </cell>
          <cell r="DV3" t="str">
            <v>Seasonally Adjusted</v>
          </cell>
          <cell r="DW3" t="str">
            <v>Seasonally Adjusted</v>
          </cell>
          <cell r="DX3" t="str">
            <v>Seasonally Adjusted</v>
          </cell>
          <cell r="DY3" t="str">
            <v>Seasonally Adjusted</v>
          </cell>
          <cell r="DZ3" t="str">
            <v>Seasonally Adjusted</v>
          </cell>
          <cell r="EA3" t="str">
            <v>Seasonally Adjusted</v>
          </cell>
          <cell r="EB3" t="str">
            <v>Seasonally Adjusted</v>
          </cell>
          <cell r="EC3" t="str">
            <v>Seasonally Adjusted</v>
          </cell>
          <cell r="ED3" t="str">
            <v>Seasonally Adjusted</v>
          </cell>
          <cell r="EE3" t="str">
            <v>Seasonally Adjusted</v>
          </cell>
          <cell r="EF3" t="str">
            <v>Seasonally Adjusted</v>
          </cell>
          <cell r="EG3" t="str">
            <v>Seasonally Adjusted</v>
          </cell>
          <cell r="EH3" t="str">
            <v>Seasonally Adjusted</v>
          </cell>
          <cell r="EI3" t="str">
            <v>Seasonally Adjusted</v>
          </cell>
          <cell r="EJ3" t="str">
            <v>Seasonally Adjusted</v>
          </cell>
          <cell r="EK3" t="str">
            <v>Seasonally Adjusted</v>
          </cell>
          <cell r="EL3" t="str">
            <v>Seasonally Adjusted</v>
          </cell>
          <cell r="EM3" t="str">
            <v>Seasonally Adjusted</v>
          </cell>
          <cell r="EN3" t="str">
            <v>Seasonally Adjusted</v>
          </cell>
          <cell r="EO3" t="str">
            <v>Seasonally Adjusted</v>
          </cell>
          <cell r="EP3" t="str">
            <v>Seasonally Adjusted</v>
          </cell>
          <cell r="EQ3" t="str">
            <v>Seasonally Adjusted</v>
          </cell>
          <cell r="ER3" t="str">
            <v>Seasonally Adjusted</v>
          </cell>
          <cell r="ES3" t="str">
            <v>Seasonally Adjusted</v>
          </cell>
          <cell r="ET3" t="str">
            <v>Seasonally Adjusted</v>
          </cell>
          <cell r="EU3" t="str">
            <v>Seasonally Adjusted</v>
          </cell>
          <cell r="EV3" t="str">
            <v>Seasonally Adjusted</v>
          </cell>
          <cell r="EW3" t="str">
            <v>Seasonally Adjusted</v>
          </cell>
          <cell r="EX3" t="str">
            <v>Seasonally Adjusted</v>
          </cell>
          <cell r="EY3" t="str">
            <v>Seasonally Adjusted</v>
          </cell>
          <cell r="EZ3" t="str">
            <v>Seasonally Adjusted</v>
          </cell>
          <cell r="FA3" t="str">
            <v>Seasonally Adjusted</v>
          </cell>
          <cell r="FB3" t="str">
            <v>Seasonally Adjusted</v>
          </cell>
          <cell r="FC3" t="str">
            <v>Seasonally Adjusted</v>
          </cell>
          <cell r="FD3" t="str">
            <v>Seasonally Adjusted</v>
          </cell>
          <cell r="FE3" t="str">
            <v>Seasonally Adjusted</v>
          </cell>
          <cell r="FF3" t="str">
            <v>Seasonally Adjusted</v>
          </cell>
          <cell r="FG3" t="str">
            <v>Seasonally Adjusted</v>
          </cell>
          <cell r="FH3" t="str">
            <v>Seasonally Adjusted</v>
          </cell>
          <cell r="FI3" t="str">
            <v>Seasonally Adjusted</v>
          </cell>
          <cell r="FJ3" t="str">
            <v>Seasonally Adjusted</v>
          </cell>
          <cell r="FK3" t="str">
            <v>Seasonally Adjusted</v>
          </cell>
          <cell r="FL3" t="str">
            <v>Seasonally Adjusted</v>
          </cell>
          <cell r="FM3" t="str">
            <v>Seasonally Adjusted</v>
          </cell>
          <cell r="FN3" t="str">
            <v>Seasonally Adjusted</v>
          </cell>
          <cell r="FO3" t="str">
            <v>Seasonally Adjusted</v>
          </cell>
          <cell r="FP3" t="str">
            <v>Seasonally Adjusted</v>
          </cell>
          <cell r="FQ3" t="str">
            <v>Seasonally Adjusted</v>
          </cell>
          <cell r="FR3" t="str">
            <v>Seasonally Adjusted</v>
          </cell>
          <cell r="FS3" t="str">
            <v>Seasonally Adjusted</v>
          </cell>
          <cell r="FT3" t="str">
            <v>Seasonally Adjusted</v>
          </cell>
          <cell r="FU3" t="str">
            <v>Seasonally Adjusted</v>
          </cell>
          <cell r="FV3" t="str">
            <v>Seasonally Adjusted</v>
          </cell>
          <cell r="FW3" t="str">
            <v>Seasonally Adjusted</v>
          </cell>
          <cell r="FX3" t="str">
            <v>Seasonally Adjusted</v>
          </cell>
          <cell r="FY3" t="str">
            <v>Seasonally Adjusted</v>
          </cell>
          <cell r="FZ3" t="str">
            <v>Seasonally Adjusted</v>
          </cell>
          <cell r="GA3" t="str">
            <v>Seasonally Adjusted</v>
          </cell>
          <cell r="GB3" t="str">
            <v>Seasonally Adjusted</v>
          </cell>
          <cell r="GC3" t="str">
            <v>Seasonally Adjusted</v>
          </cell>
          <cell r="GD3" t="str">
            <v>Seasonally Adjusted</v>
          </cell>
          <cell r="GE3" t="str">
            <v>Seasonally Adjusted</v>
          </cell>
          <cell r="GF3" t="str">
            <v>Seasonally Adjusted</v>
          </cell>
          <cell r="GG3" t="str">
            <v>Seasonally Adjusted</v>
          </cell>
          <cell r="GH3" t="str">
            <v>Seasonally Adjusted</v>
          </cell>
          <cell r="GI3" t="str">
            <v>Seasonally Adjusted</v>
          </cell>
          <cell r="GJ3" t="str">
            <v>Seasonally Adjusted</v>
          </cell>
          <cell r="GK3" t="str">
            <v>Seasonally Adjusted</v>
          </cell>
          <cell r="GL3" t="str">
            <v>Seasonally Adjusted</v>
          </cell>
          <cell r="GM3" t="str">
            <v>Seasonally Adjusted</v>
          </cell>
          <cell r="GN3" t="str">
            <v>Seasonally Adjusted</v>
          </cell>
          <cell r="GO3" t="str">
            <v>Seasonally Adjusted</v>
          </cell>
          <cell r="GP3" t="str">
            <v>Seasonally Adjusted</v>
          </cell>
          <cell r="GQ3" t="str">
            <v>Seasonally Adjusted</v>
          </cell>
          <cell r="GR3" t="str">
            <v>Seasonally Adjusted</v>
          </cell>
          <cell r="GS3" t="str">
            <v>Seasonally Adjusted</v>
          </cell>
          <cell r="GT3" t="str">
            <v>Seasonally Adjusted</v>
          </cell>
          <cell r="GU3" t="str">
            <v>Seasonally Adjusted</v>
          </cell>
          <cell r="GV3" t="str">
            <v>Seasonally Adjusted</v>
          </cell>
          <cell r="GW3" t="str">
            <v>Seasonally Adjusted</v>
          </cell>
          <cell r="GX3" t="str">
            <v>Seasonally Adjusted</v>
          </cell>
          <cell r="GY3" t="str">
            <v>Seasonally Adjusted</v>
          </cell>
          <cell r="GZ3" t="str">
            <v>Seasonally Adjusted</v>
          </cell>
          <cell r="HA3" t="str">
            <v>Seasonally Adjusted</v>
          </cell>
          <cell r="HB3" t="str">
            <v>Seasonally Adjusted</v>
          </cell>
          <cell r="HC3" t="str">
            <v>Seasonally Adjusted</v>
          </cell>
          <cell r="HD3" t="str">
            <v>Seasonally Adjusted</v>
          </cell>
          <cell r="HE3" t="str">
            <v>Seasonally Adjusted</v>
          </cell>
          <cell r="HF3" t="str">
            <v>Seasonally Adjusted</v>
          </cell>
          <cell r="HG3" t="str">
            <v>Seasonally Adjusted</v>
          </cell>
          <cell r="HH3" t="str">
            <v>Seasonally Adjusted</v>
          </cell>
          <cell r="HI3" t="str">
            <v>Seasonally Adjusted</v>
          </cell>
          <cell r="HJ3" t="str">
            <v>Seasonally Adjusted</v>
          </cell>
          <cell r="HK3" t="str">
            <v>Seasonally Adjusted</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cell r="DF5" t="str">
            <v>Quarter</v>
          </cell>
          <cell r="DG5" t="str">
            <v>Quarter</v>
          </cell>
          <cell r="DH5" t="str">
            <v>Quarter</v>
          </cell>
          <cell r="DI5" t="str">
            <v>Quarter</v>
          </cell>
          <cell r="DJ5" t="str">
            <v>Quarter</v>
          </cell>
          <cell r="DK5" t="str">
            <v>Quarter</v>
          </cell>
          <cell r="DL5" t="str">
            <v>Quarter</v>
          </cell>
          <cell r="DM5" t="str">
            <v>Quarter</v>
          </cell>
          <cell r="DN5" t="str">
            <v>Quarter</v>
          </cell>
          <cell r="DO5" t="str">
            <v>Quarter</v>
          </cell>
          <cell r="DP5" t="str">
            <v>Quarter</v>
          </cell>
          <cell r="DQ5" t="str">
            <v>Quarter</v>
          </cell>
          <cell r="DR5" t="str">
            <v>Quarter</v>
          </cell>
          <cell r="DS5" t="str">
            <v>Quarter</v>
          </cell>
          <cell r="DT5" t="str">
            <v>Quarter</v>
          </cell>
          <cell r="DU5" t="str">
            <v>Quarter</v>
          </cell>
          <cell r="DV5" t="str">
            <v>Quarter</v>
          </cell>
          <cell r="DW5" t="str">
            <v>Quarter</v>
          </cell>
          <cell r="DX5" t="str">
            <v>Quarter</v>
          </cell>
          <cell r="DY5" t="str">
            <v>Quarter</v>
          </cell>
          <cell r="DZ5" t="str">
            <v>Quarter</v>
          </cell>
          <cell r="EA5" t="str">
            <v>Quarter</v>
          </cell>
          <cell r="EB5" t="str">
            <v>Quarter</v>
          </cell>
          <cell r="EC5" t="str">
            <v>Quarter</v>
          </cell>
          <cell r="ED5" t="str">
            <v>Quarter</v>
          </cell>
          <cell r="EE5" t="str">
            <v>Quarter</v>
          </cell>
          <cell r="EF5" t="str">
            <v>Quarter</v>
          </cell>
          <cell r="EG5" t="str">
            <v>Quarter</v>
          </cell>
          <cell r="EH5" t="str">
            <v>Quarter</v>
          </cell>
          <cell r="EI5" t="str">
            <v>Quarter</v>
          </cell>
          <cell r="EJ5" t="str">
            <v>Quarter</v>
          </cell>
          <cell r="EK5" t="str">
            <v>Quarter</v>
          </cell>
          <cell r="EL5" t="str">
            <v>Quarter</v>
          </cell>
          <cell r="EM5" t="str">
            <v>Quarter</v>
          </cell>
          <cell r="EN5" t="str">
            <v>Quarter</v>
          </cell>
          <cell r="EO5" t="str">
            <v>Quarter</v>
          </cell>
          <cell r="EP5" t="str">
            <v>Quarter</v>
          </cell>
          <cell r="EQ5" t="str">
            <v>Quarter</v>
          </cell>
          <cell r="ER5" t="str">
            <v>Quarter</v>
          </cell>
          <cell r="ES5" t="str">
            <v>Quarter</v>
          </cell>
          <cell r="ET5" t="str">
            <v>Quarter</v>
          </cell>
          <cell r="EU5" t="str">
            <v>Quarter</v>
          </cell>
          <cell r="EV5" t="str">
            <v>Quarter</v>
          </cell>
          <cell r="EW5" t="str">
            <v>Quarter</v>
          </cell>
          <cell r="EX5" t="str">
            <v>Quarter</v>
          </cell>
          <cell r="EY5" t="str">
            <v>Quarter</v>
          </cell>
          <cell r="EZ5" t="str">
            <v>Quarter</v>
          </cell>
          <cell r="FA5" t="str">
            <v>Quarter</v>
          </cell>
          <cell r="FB5" t="str">
            <v>Quarter</v>
          </cell>
          <cell r="FC5" t="str">
            <v>Quarter</v>
          </cell>
          <cell r="FD5" t="str">
            <v>Quarter</v>
          </cell>
          <cell r="FE5" t="str">
            <v>Quarter</v>
          </cell>
          <cell r="FF5" t="str">
            <v>Quarter</v>
          </cell>
          <cell r="FG5" t="str">
            <v>Quarter</v>
          </cell>
          <cell r="FH5" t="str">
            <v>Quarter</v>
          </cell>
          <cell r="FI5" t="str">
            <v>Quarter</v>
          </cell>
          <cell r="FJ5" t="str">
            <v>Quarter</v>
          </cell>
          <cell r="FK5" t="str">
            <v>Quarter</v>
          </cell>
          <cell r="FL5" t="str">
            <v>Quarter</v>
          </cell>
          <cell r="FM5" t="str">
            <v>Quarter</v>
          </cell>
          <cell r="FN5" t="str">
            <v>Quarter</v>
          </cell>
          <cell r="FO5" t="str">
            <v>Quarter</v>
          </cell>
          <cell r="FP5" t="str">
            <v>Quarter</v>
          </cell>
          <cell r="FQ5" t="str">
            <v>Quarter</v>
          </cell>
          <cell r="FR5" t="str">
            <v>Quarter</v>
          </cell>
          <cell r="FS5" t="str">
            <v>Quarter</v>
          </cell>
          <cell r="FT5" t="str">
            <v>Quarter</v>
          </cell>
          <cell r="FU5" t="str">
            <v>Quarter</v>
          </cell>
          <cell r="FV5" t="str">
            <v>Quarter</v>
          </cell>
          <cell r="FW5" t="str">
            <v>Quarter</v>
          </cell>
          <cell r="FX5" t="str">
            <v>Quarter</v>
          </cell>
          <cell r="FY5" t="str">
            <v>Quarter</v>
          </cell>
          <cell r="FZ5" t="str">
            <v>Quarter</v>
          </cell>
          <cell r="GA5" t="str">
            <v>Quarter</v>
          </cell>
          <cell r="GB5" t="str">
            <v>Quarter</v>
          </cell>
          <cell r="GC5" t="str">
            <v>Quarter</v>
          </cell>
          <cell r="GD5" t="str">
            <v>Quarter</v>
          </cell>
          <cell r="GE5" t="str">
            <v>Quarter</v>
          </cell>
          <cell r="GF5" t="str">
            <v>Quarter</v>
          </cell>
          <cell r="GG5" t="str">
            <v>Quarter</v>
          </cell>
          <cell r="GH5" t="str">
            <v>Quarter</v>
          </cell>
          <cell r="GI5" t="str">
            <v>Quarter</v>
          </cell>
          <cell r="GJ5" t="str">
            <v>Quarter</v>
          </cell>
          <cell r="GK5" t="str">
            <v>Quarter</v>
          </cell>
          <cell r="GL5" t="str">
            <v>Quarter</v>
          </cell>
          <cell r="GM5" t="str">
            <v>Quarter</v>
          </cell>
          <cell r="GN5" t="str">
            <v>Quarter</v>
          </cell>
          <cell r="GO5" t="str">
            <v>Quarter</v>
          </cell>
          <cell r="GP5" t="str">
            <v>Quarter</v>
          </cell>
          <cell r="GQ5" t="str">
            <v>Quarter</v>
          </cell>
          <cell r="GR5" t="str">
            <v>Quarter</v>
          </cell>
          <cell r="GS5" t="str">
            <v>Quarter</v>
          </cell>
          <cell r="GT5" t="str">
            <v>Quarter</v>
          </cell>
          <cell r="GU5" t="str">
            <v>Quarter</v>
          </cell>
          <cell r="GV5" t="str">
            <v>Quarter</v>
          </cell>
          <cell r="GW5" t="str">
            <v>Quarter</v>
          </cell>
          <cell r="GX5" t="str">
            <v>Quarter</v>
          </cell>
          <cell r="GY5" t="str">
            <v>Quarter</v>
          </cell>
          <cell r="GZ5" t="str">
            <v>Quarter</v>
          </cell>
          <cell r="HA5" t="str">
            <v>Quarter</v>
          </cell>
          <cell r="HB5" t="str">
            <v>Quarter</v>
          </cell>
          <cell r="HC5" t="str">
            <v>Quarter</v>
          </cell>
          <cell r="HD5" t="str">
            <v>Quarter</v>
          </cell>
          <cell r="HE5" t="str">
            <v>Quarter</v>
          </cell>
          <cell r="HF5" t="str">
            <v>Quarter</v>
          </cell>
          <cell r="HG5" t="str">
            <v>Quarter</v>
          </cell>
          <cell r="HH5" t="str">
            <v>Quarter</v>
          </cell>
          <cell r="HI5" t="str">
            <v>Quarter</v>
          </cell>
          <cell r="HJ5" t="str">
            <v>Quarter</v>
          </cell>
          <cell r="HK5" t="str">
            <v>Quarter</v>
          </cell>
          <cell r="HL5" t="str">
            <v>Quarter</v>
          </cell>
          <cell r="HM5" t="str">
            <v>Quarter</v>
          </cell>
          <cell r="HN5" t="str">
            <v>Quarter</v>
          </cell>
          <cell r="HO5" t="str">
            <v>Quarter</v>
          </cell>
          <cell r="HP5" t="str">
            <v>Quarter</v>
          </cell>
          <cell r="HQ5" t="str">
            <v>Quarter</v>
          </cell>
          <cell r="HR5" t="str">
            <v>Quarter</v>
          </cell>
          <cell r="HS5" t="str">
            <v>Quarter</v>
          </cell>
          <cell r="HT5" t="str">
            <v>Quarter</v>
          </cell>
          <cell r="HU5" t="str">
            <v>Quarter</v>
          </cell>
          <cell r="HV5" t="str">
            <v>Quarter</v>
          </cell>
          <cell r="HW5" t="str">
            <v>Quarter</v>
          </cell>
          <cell r="HX5" t="str">
            <v>Quarter</v>
          </cell>
          <cell r="HY5" t="str">
            <v>Quarter</v>
          </cell>
          <cell r="HZ5" t="str">
            <v>Quarter</v>
          </cell>
          <cell r="IA5" t="str">
            <v>Quarter</v>
          </cell>
          <cell r="IB5" t="str">
            <v>Quarter</v>
          </cell>
          <cell r="IC5" t="str">
            <v>Quarter</v>
          </cell>
          <cell r="ID5" t="str">
            <v>Quarter</v>
          </cell>
          <cell r="IE5" t="str">
            <v>Quarter</v>
          </cell>
          <cell r="IF5" t="str">
            <v>Quarter</v>
          </cell>
          <cell r="IG5" t="str">
            <v>Quarter</v>
          </cell>
          <cell r="IH5" t="str">
            <v>Quarter</v>
          </cell>
          <cell r="II5" t="str">
            <v>Quarter</v>
          </cell>
          <cell r="IJ5" t="str">
            <v>Quarter</v>
          </cell>
          <cell r="IK5" t="str">
            <v>Quarter</v>
          </cell>
          <cell r="IL5" t="str">
            <v>Quarter</v>
          </cell>
          <cell r="IM5" t="str">
            <v>Quarter</v>
          </cell>
          <cell r="IN5" t="str">
            <v>Quarter</v>
          </cell>
          <cell r="IO5" t="str">
            <v>Quarter</v>
          </cell>
          <cell r="IP5" t="str">
            <v>Quarter</v>
          </cell>
          <cell r="IQ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cell r="DF6">
            <v>3</v>
          </cell>
          <cell r="DG6">
            <v>3</v>
          </cell>
          <cell r="DH6">
            <v>3</v>
          </cell>
          <cell r="DI6">
            <v>3</v>
          </cell>
          <cell r="DJ6">
            <v>3</v>
          </cell>
          <cell r="DK6">
            <v>3</v>
          </cell>
          <cell r="DL6">
            <v>3</v>
          </cell>
          <cell r="DM6">
            <v>3</v>
          </cell>
          <cell r="DN6">
            <v>3</v>
          </cell>
          <cell r="DO6">
            <v>3</v>
          </cell>
          <cell r="DP6">
            <v>3</v>
          </cell>
          <cell r="DQ6">
            <v>3</v>
          </cell>
          <cell r="DR6">
            <v>3</v>
          </cell>
          <cell r="DS6">
            <v>3</v>
          </cell>
          <cell r="DT6">
            <v>3</v>
          </cell>
          <cell r="DU6">
            <v>3</v>
          </cell>
          <cell r="DV6">
            <v>3</v>
          </cell>
          <cell r="DW6">
            <v>3</v>
          </cell>
          <cell r="DX6">
            <v>3</v>
          </cell>
          <cell r="DY6">
            <v>3</v>
          </cell>
          <cell r="DZ6">
            <v>3</v>
          </cell>
          <cell r="EA6">
            <v>3</v>
          </cell>
          <cell r="EB6">
            <v>3</v>
          </cell>
          <cell r="EC6">
            <v>3</v>
          </cell>
          <cell r="ED6">
            <v>3</v>
          </cell>
          <cell r="EE6">
            <v>3</v>
          </cell>
          <cell r="EF6">
            <v>3</v>
          </cell>
          <cell r="EG6">
            <v>3</v>
          </cell>
          <cell r="EH6">
            <v>3</v>
          </cell>
          <cell r="EI6">
            <v>3</v>
          </cell>
          <cell r="EJ6">
            <v>3</v>
          </cell>
          <cell r="EK6">
            <v>3</v>
          </cell>
          <cell r="EL6">
            <v>3</v>
          </cell>
          <cell r="EM6">
            <v>3</v>
          </cell>
          <cell r="EN6">
            <v>3</v>
          </cell>
          <cell r="EO6">
            <v>3</v>
          </cell>
          <cell r="EP6">
            <v>3</v>
          </cell>
          <cell r="EQ6">
            <v>3</v>
          </cell>
          <cell r="ER6">
            <v>3</v>
          </cell>
          <cell r="ES6">
            <v>3</v>
          </cell>
          <cell r="ET6">
            <v>3</v>
          </cell>
          <cell r="EU6">
            <v>3</v>
          </cell>
          <cell r="EV6">
            <v>3</v>
          </cell>
          <cell r="EW6">
            <v>3</v>
          </cell>
          <cell r="EX6">
            <v>3</v>
          </cell>
          <cell r="EY6">
            <v>3</v>
          </cell>
          <cell r="EZ6">
            <v>3</v>
          </cell>
          <cell r="FA6">
            <v>3</v>
          </cell>
          <cell r="FB6">
            <v>3</v>
          </cell>
          <cell r="FC6">
            <v>3</v>
          </cell>
          <cell r="FD6">
            <v>3</v>
          </cell>
          <cell r="FE6">
            <v>3</v>
          </cell>
          <cell r="FF6">
            <v>3</v>
          </cell>
          <cell r="FG6">
            <v>3</v>
          </cell>
          <cell r="FH6">
            <v>3</v>
          </cell>
          <cell r="FI6">
            <v>3</v>
          </cell>
          <cell r="FJ6">
            <v>3</v>
          </cell>
          <cell r="FK6">
            <v>3</v>
          </cell>
          <cell r="FL6">
            <v>3</v>
          </cell>
          <cell r="FM6">
            <v>3</v>
          </cell>
          <cell r="FN6">
            <v>3</v>
          </cell>
          <cell r="FO6">
            <v>3</v>
          </cell>
          <cell r="FP6">
            <v>3</v>
          </cell>
          <cell r="FQ6">
            <v>3</v>
          </cell>
          <cell r="FR6">
            <v>3</v>
          </cell>
          <cell r="FS6">
            <v>3</v>
          </cell>
          <cell r="FT6">
            <v>3</v>
          </cell>
          <cell r="FU6">
            <v>3</v>
          </cell>
          <cell r="FV6">
            <v>3</v>
          </cell>
          <cell r="FW6">
            <v>3</v>
          </cell>
          <cell r="FX6">
            <v>3</v>
          </cell>
          <cell r="FY6">
            <v>3</v>
          </cell>
          <cell r="FZ6">
            <v>3</v>
          </cell>
          <cell r="GA6">
            <v>3</v>
          </cell>
          <cell r="GB6">
            <v>3</v>
          </cell>
          <cell r="GC6">
            <v>3</v>
          </cell>
          <cell r="GD6">
            <v>3</v>
          </cell>
          <cell r="GE6">
            <v>3</v>
          </cell>
          <cell r="GF6">
            <v>3</v>
          </cell>
          <cell r="GG6">
            <v>3</v>
          </cell>
          <cell r="GH6">
            <v>3</v>
          </cell>
          <cell r="GI6">
            <v>3</v>
          </cell>
          <cell r="GJ6">
            <v>3</v>
          </cell>
          <cell r="GK6">
            <v>3</v>
          </cell>
          <cell r="GL6">
            <v>3</v>
          </cell>
          <cell r="GM6">
            <v>3</v>
          </cell>
          <cell r="GN6">
            <v>3</v>
          </cell>
          <cell r="GO6">
            <v>3</v>
          </cell>
          <cell r="GP6">
            <v>3</v>
          </cell>
          <cell r="GQ6">
            <v>3</v>
          </cell>
          <cell r="GR6">
            <v>3</v>
          </cell>
          <cell r="GS6">
            <v>3</v>
          </cell>
          <cell r="GT6">
            <v>3</v>
          </cell>
          <cell r="GU6">
            <v>3</v>
          </cell>
          <cell r="GV6">
            <v>3</v>
          </cell>
          <cell r="GW6">
            <v>3</v>
          </cell>
          <cell r="GX6">
            <v>3</v>
          </cell>
          <cell r="GY6">
            <v>3</v>
          </cell>
          <cell r="GZ6">
            <v>3</v>
          </cell>
          <cell r="HA6">
            <v>3</v>
          </cell>
          <cell r="HB6">
            <v>3</v>
          </cell>
          <cell r="HC6">
            <v>3</v>
          </cell>
          <cell r="HD6">
            <v>3</v>
          </cell>
          <cell r="HE6">
            <v>3</v>
          </cell>
          <cell r="HF6">
            <v>3</v>
          </cell>
          <cell r="HG6">
            <v>3</v>
          </cell>
          <cell r="HH6">
            <v>3</v>
          </cell>
          <cell r="HI6">
            <v>3</v>
          </cell>
          <cell r="HJ6">
            <v>3</v>
          </cell>
          <cell r="HK6">
            <v>3</v>
          </cell>
          <cell r="HL6">
            <v>3</v>
          </cell>
          <cell r="HM6">
            <v>3</v>
          </cell>
          <cell r="HN6">
            <v>3</v>
          </cell>
          <cell r="HO6">
            <v>3</v>
          </cell>
          <cell r="HP6">
            <v>3</v>
          </cell>
          <cell r="HQ6">
            <v>3</v>
          </cell>
          <cell r="HR6">
            <v>3</v>
          </cell>
          <cell r="HS6">
            <v>3</v>
          </cell>
          <cell r="HT6">
            <v>3</v>
          </cell>
          <cell r="HU6">
            <v>3</v>
          </cell>
          <cell r="HV6">
            <v>3</v>
          </cell>
          <cell r="HW6">
            <v>3</v>
          </cell>
          <cell r="HX6">
            <v>3</v>
          </cell>
          <cell r="HY6">
            <v>3</v>
          </cell>
          <cell r="HZ6">
            <v>3</v>
          </cell>
          <cell r="IA6">
            <v>3</v>
          </cell>
          <cell r="IB6">
            <v>3</v>
          </cell>
          <cell r="IC6">
            <v>3</v>
          </cell>
          <cell r="ID6">
            <v>3</v>
          </cell>
          <cell r="IE6">
            <v>3</v>
          </cell>
          <cell r="IF6">
            <v>3</v>
          </cell>
          <cell r="IG6">
            <v>3</v>
          </cell>
          <cell r="IH6">
            <v>3</v>
          </cell>
          <cell r="II6">
            <v>3</v>
          </cell>
          <cell r="IJ6">
            <v>3</v>
          </cell>
          <cell r="IK6">
            <v>3</v>
          </cell>
          <cell r="IL6">
            <v>3</v>
          </cell>
          <cell r="IM6">
            <v>3</v>
          </cell>
          <cell r="IN6">
            <v>3</v>
          </cell>
          <cell r="IO6">
            <v>3</v>
          </cell>
          <cell r="IP6">
            <v>3</v>
          </cell>
          <cell r="IQ6">
            <v>3</v>
          </cell>
        </row>
        <row r="7">
          <cell r="B7">
            <v>27273</v>
          </cell>
          <cell r="C7">
            <v>27273</v>
          </cell>
          <cell r="D7">
            <v>27273</v>
          </cell>
          <cell r="E7">
            <v>31291</v>
          </cell>
          <cell r="F7">
            <v>31291</v>
          </cell>
          <cell r="G7">
            <v>31291</v>
          </cell>
          <cell r="H7">
            <v>31291</v>
          </cell>
          <cell r="I7">
            <v>27273</v>
          </cell>
          <cell r="J7">
            <v>31291</v>
          </cell>
          <cell r="K7">
            <v>27273</v>
          </cell>
          <cell r="L7">
            <v>28369</v>
          </cell>
          <cell r="M7">
            <v>28369</v>
          </cell>
          <cell r="N7">
            <v>28369</v>
          </cell>
          <cell r="O7">
            <v>28369</v>
          </cell>
          <cell r="P7">
            <v>31656</v>
          </cell>
          <cell r="Q7">
            <v>27273</v>
          </cell>
          <cell r="R7">
            <v>27273</v>
          </cell>
          <cell r="S7">
            <v>27273</v>
          </cell>
          <cell r="T7">
            <v>27273</v>
          </cell>
          <cell r="U7">
            <v>27273</v>
          </cell>
          <cell r="V7">
            <v>34578</v>
          </cell>
          <cell r="W7">
            <v>34578</v>
          </cell>
          <cell r="X7">
            <v>34578</v>
          </cell>
          <cell r="Y7">
            <v>27273</v>
          </cell>
          <cell r="Z7">
            <v>27273</v>
          </cell>
          <cell r="AA7">
            <v>27273</v>
          </cell>
          <cell r="AB7">
            <v>27273</v>
          </cell>
          <cell r="AC7">
            <v>27273</v>
          </cell>
          <cell r="AD7">
            <v>27273</v>
          </cell>
          <cell r="AE7">
            <v>27273</v>
          </cell>
          <cell r="AF7">
            <v>27273</v>
          </cell>
          <cell r="AG7">
            <v>27273</v>
          </cell>
          <cell r="AH7">
            <v>34578</v>
          </cell>
          <cell r="AI7">
            <v>34578</v>
          </cell>
          <cell r="AJ7">
            <v>27273</v>
          </cell>
          <cell r="AK7">
            <v>34578</v>
          </cell>
          <cell r="AL7">
            <v>34578</v>
          </cell>
          <cell r="AM7">
            <v>27273</v>
          </cell>
          <cell r="AN7">
            <v>34578</v>
          </cell>
          <cell r="AO7">
            <v>34578</v>
          </cell>
          <cell r="AP7">
            <v>27273</v>
          </cell>
          <cell r="AQ7">
            <v>34578</v>
          </cell>
          <cell r="AR7">
            <v>34578</v>
          </cell>
          <cell r="AS7">
            <v>27273</v>
          </cell>
          <cell r="AT7">
            <v>27273</v>
          </cell>
          <cell r="AU7">
            <v>27273</v>
          </cell>
          <cell r="AV7">
            <v>27273</v>
          </cell>
          <cell r="AW7">
            <v>27273</v>
          </cell>
          <cell r="AX7">
            <v>27273</v>
          </cell>
          <cell r="AY7">
            <v>27273</v>
          </cell>
          <cell r="AZ7">
            <v>27273</v>
          </cell>
          <cell r="BA7">
            <v>27273</v>
          </cell>
          <cell r="BB7">
            <v>27273</v>
          </cell>
          <cell r="BC7">
            <v>21794</v>
          </cell>
          <cell r="BD7">
            <v>21794</v>
          </cell>
          <cell r="BE7">
            <v>27364</v>
          </cell>
          <cell r="BF7">
            <v>27364</v>
          </cell>
          <cell r="BG7">
            <v>27364</v>
          </cell>
          <cell r="BH7">
            <v>31382</v>
          </cell>
          <cell r="BI7">
            <v>31382</v>
          </cell>
          <cell r="BJ7">
            <v>31382</v>
          </cell>
          <cell r="BK7">
            <v>31382</v>
          </cell>
          <cell r="BL7">
            <v>27364</v>
          </cell>
          <cell r="BM7">
            <v>31382</v>
          </cell>
          <cell r="BN7">
            <v>27364</v>
          </cell>
          <cell r="BO7">
            <v>28460</v>
          </cell>
          <cell r="BP7">
            <v>28460</v>
          </cell>
          <cell r="BQ7">
            <v>28460</v>
          </cell>
          <cell r="BR7">
            <v>28460</v>
          </cell>
          <cell r="BS7">
            <v>31747</v>
          </cell>
          <cell r="BT7">
            <v>27364</v>
          </cell>
          <cell r="BU7">
            <v>27364</v>
          </cell>
          <cell r="BV7">
            <v>27364</v>
          </cell>
          <cell r="BW7">
            <v>27364</v>
          </cell>
          <cell r="BX7">
            <v>27364</v>
          </cell>
          <cell r="BY7">
            <v>34669</v>
          </cell>
          <cell r="BZ7">
            <v>34669</v>
          </cell>
          <cell r="CA7">
            <v>34669</v>
          </cell>
          <cell r="CB7">
            <v>27364</v>
          </cell>
          <cell r="CC7">
            <v>27364</v>
          </cell>
          <cell r="CD7">
            <v>27364</v>
          </cell>
          <cell r="CE7">
            <v>27364</v>
          </cell>
          <cell r="CF7">
            <v>27364</v>
          </cell>
          <cell r="CG7">
            <v>27364</v>
          </cell>
          <cell r="CH7">
            <v>27364</v>
          </cell>
          <cell r="CI7">
            <v>27364</v>
          </cell>
          <cell r="CJ7">
            <v>27364</v>
          </cell>
          <cell r="CK7">
            <v>34669</v>
          </cell>
          <cell r="CL7">
            <v>34669</v>
          </cell>
          <cell r="CM7">
            <v>27364</v>
          </cell>
          <cell r="CN7">
            <v>34669</v>
          </cell>
          <cell r="CO7">
            <v>34669</v>
          </cell>
          <cell r="CP7">
            <v>27364</v>
          </cell>
          <cell r="CQ7">
            <v>34669</v>
          </cell>
          <cell r="CR7">
            <v>34669</v>
          </cell>
          <cell r="CS7">
            <v>27364</v>
          </cell>
          <cell r="CT7">
            <v>34669</v>
          </cell>
          <cell r="CU7">
            <v>34669</v>
          </cell>
          <cell r="CV7">
            <v>27364</v>
          </cell>
          <cell r="CW7">
            <v>27364</v>
          </cell>
          <cell r="CX7">
            <v>27364</v>
          </cell>
          <cell r="CY7">
            <v>27364</v>
          </cell>
          <cell r="CZ7">
            <v>27364</v>
          </cell>
          <cell r="DA7">
            <v>27364</v>
          </cell>
          <cell r="DB7">
            <v>27364</v>
          </cell>
          <cell r="DC7">
            <v>27364</v>
          </cell>
          <cell r="DD7">
            <v>27364</v>
          </cell>
          <cell r="DE7">
            <v>27364</v>
          </cell>
          <cell r="DF7">
            <v>21885</v>
          </cell>
          <cell r="DG7">
            <v>27273</v>
          </cell>
          <cell r="DH7">
            <v>27273</v>
          </cell>
          <cell r="DI7">
            <v>27273</v>
          </cell>
          <cell r="DJ7">
            <v>31291</v>
          </cell>
          <cell r="DK7">
            <v>31291</v>
          </cell>
          <cell r="DL7">
            <v>31291</v>
          </cell>
          <cell r="DM7">
            <v>31291</v>
          </cell>
          <cell r="DN7">
            <v>27273</v>
          </cell>
          <cell r="DO7">
            <v>31291</v>
          </cell>
          <cell r="DP7">
            <v>27273</v>
          </cell>
          <cell r="DQ7">
            <v>28369</v>
          </cell>
          <cell r="DR7">
            <v>28369</v>
          </cell>
          <cell r="DS7">
            <v>28369</v>
          </cell>
          <cell r="DT7">
            <v>28369</v>
          </cell>
          <cell r="DU7">
            <v>31656</v>
          </cell>
          <cell r="DV7">
            <v>27273</v>
          </cell>
          <cell r="DW7">
            <v>27273</v>
          </cell>
          <cell r="DX7">
            <v>27273</v>
          </cell>
          <cell r="DY7">
            <v>27273</v>
          </cell>
          <cell r="DZ7">
            <v>27273</v>
          </cell>
          <cell r="EA7">
            <v>34578</v>
          </cell>
          <cell r="EB7">
            <v>34578</v>
          </cell>
          <cell r="EC7">
            <v>34578</v>
          </cell>
          <cell r="ED7">
            <v>27273</v>
          </cell>
          <cell r="EE7">
            <v>27273</v>
          </cell>
          <cell r="EF7">
            <v>27273</v>
          </cell>
          <cell r="EG7">
            <v>27273</v>
          </cell>
          <cell r="EH7">
            <v>27273</v>
          </cell>
          <cell r="EI7">
            <v>27273</v>
          </cell>
          <cell r="EJ7">
            <v>27273</v>
          </cell>
          <cell r="EK7">
            <v>27273</v>
          </cell>
          <cell r="EL7">
            <v>27273</v>
          </cell>
          <cell r="EM7">
            <v>34578</v>
          </cell>
          <cell r="EN7">
            <v>34578</v>
          </cell>
          <cell r="EO7">
            <v>27273</v>
          </cell>
          <cell r="EP7">
            <v>34578</v>
          </cell>
          <cell r="EQ7">
            <v>34578</v>
          </cell>
          <cell r="ER7">
            <v>27273</v>
          </cell>
          <cell r="ES7">
            <v>34578</v>
          </cell>
          <cell r="ET7">
            <v>34578</v>
          </cell>
          <cell r="EU7">
            <v>27273</v>
          </cell>
          <cell r="EV7">
            <v>34578</v>
          </cell>
          <cell r="EW7">
            <v>34578</v>
          </cell>
          <cell r="EX7">
            <v>27273</v>
          </cell>
          <cell r="EY7">
            <v>27273</v>
          </cell>
          <cell r="EZ7">
            <v>27273</v>
          </cell>
          <cell r="FA7">
            <v>27273</v>
          </cell>
          <cell r="FB7">
            <v>27273</v>
          </cell>
          <cell r="FC7">
            <v>27273</v>
          </cell>
          <cell r="FD7">
            <v>27273</v>
          </cell>
          <cell r="FE7">
            <v>27273</v>
          </cell>
          <cell r="FF7">
            <v>27273</v>
          </cell>
          <cell r="FG7">
            <v>27273</v>
          </cell>
          <cell r="FH7">
            <v>21794</v>
          </cell>
          <cell r="FI7">
            <v>21794</v>
          </cell>
          <cell r="FJ7">
            <v>27364</v>
          </cell>
          <cell r="FK7">
            <v>27364</v>
          </cell>
          <cell r="FL7">
            <v>27364</v>
          </cell>
          <cell r="FM7">
            <v>31382</v>
          </cell>
          <cell r="FN7">
            <v>31382</v>
          </cell>
          <cell r="FO7">
            <v>31382</v>
          </cell>
          <cell r="FP7">
            <v>31382</v>
          </cell>
          <cell r="FQ7">
            <v>27364</v>
          </cell>
          <cell r="FR7">
            <v>31382</v>
          </cell>
          <cell r="FS7">
            <v>27364</v>
          </cell>
          <cell r="FT7">
            <v>28460</v>
          </cell>
          <cell r="FU7">
            <v>28460</v>
          </cell>
          <cell r="FV7">
            <v>28460</v>
          </cell>
          <cell r="FW7">
            <v>28460</v>
          </cell>
          <cell r="FX7">
            <v>31747</v>
          </cell>
          <cell r="FY7">
            <v>27364</v>
          </cell>
          <cell r="FZ7">
            <v>27364</v>
          </cell>
          <cell r="GA7">
            <v>27364</v>
          </cell>
          <cell r="GB7">
            <v>27364</v>
          </cell>
          <cell r="GC7">
            <v>27364</v>
          </cell>
          <cell r="GD7">
            <v>34669</v>
          </cell>
          <cell r="GE7">
            <v>34669</v>
          </cell>
          <cell r="GF7">
            <v>34669</v>
          </cell>
          <cell r="GG7">
            <v>27364</v>
          </cell>
          <cell r="GH7">
            <v>27364</v>
          </cell>
          <cell r="GI7">
            <v>27364</v>
          </cell>
          <cell r="GJ7">
            <v>27364</v>
          </cell>
          <cell r="GK7">
            <v>27364</v>
          </cell>
          <cell r="GL7">
            <v>27364</v>
          </cell>
          <cell r="GM7">
            <v>27364</v>
          </cell>
          <cell r="GN7">
            <v>27364</v>
          </cell>
          <cell r="GO7">
            <v>27364</v>
          </cell>
          <cell r="GP7">
            <v>34669</v>
          </cell>
          <cell r="GQ7">
            <v>34669</v>
          </cell>
          <cell r="GR7">
            <v>27364</v>
          </cell>
          <cell r="GS7">
            <v>34669</v>
          </cell>
          <cell r="GT7">
            <v>34669</v>
          </cell>
          <cell r="GU7">
            <v>27364</v>
          </cell>
          <cell r="GV7">
            <v>34669</v>
          </cell>
          <cell r="GW7">
            <v>34669</v>
          </cell>
          <cell r="GX7">
            <v>27364</v>
          </cell>
          <cell r="GY7">
            <v>34669</v>
          </cell>
          <cell r="GZ7">
            <v>34669</v>
          </cell>
          <cell r="HA7">
            <v>27364</v>
          </cell>
          <cell r="HB7">
            <v>27364</v>
          </cell>
          <cell r="HC7">
            <v>27364</v>
          </cell>
          <cell r="HD7">
            <v>27364</v>
          </cell>
          <cell r="HE7">
            <v>27364</v>
          </cell>
          <cell r="HF7">
            <v>27364</v>
          </cell>
          <cell r="HG7">
            <v>27364</v>
          </cell>
          <cell r="HH7">
            <v>27364</v>
          </cell>
          <cell r="HI7">
            <v>27364</v>
          </cell>
          <cell r="HJ7">
            <v>27364</v>
          </cell>
          <cell r="HK7">
            <v>21885</v>
          </cell>
          <cell r="HL7">
            <v>27273</v>
          </cell>
          <cell r="HM7">
            <v>27273</v>
          </cell>
          <cell r="HN7">
            <v>27273</v>
          </cell>
          <cell r="HO7">
            <v>31291</v>
          </cell>
          <cell r="HP7">
            <v>31291</v>
          </cell>
          <cell r="HQ7">
            <v>31291</v>
          </cell>
          <cell r="HR7">
            <v>31291</v>
          </cell>
          <cell r="HS7">
            <v>27273</v>
          </cell>
          <cell r="HT7">
            <v>31291</v>
          </cell>
          <cell r="HU7">
            <v>27273</v>
          </cell>
          <cell r="HV7">
            <v>28369</v>
          </cell>
          <cell r="HW7">
            <v>28369</v>
          </cell>
          <cell r="HX7">
            <v>28369</v>
          </cell>
          <cell r="HY7">
            <v>28369</v>
          </cell>
          <cell r="HZ7">
            <v>31656</v>
          </cell>
          <cell r="IA7">
            <v>27273</v>
          </cell>
          <cell r="IB7">
            <v>27273</v>
          </cell>
          <cell r="IC7">
            <v>27273</v>
          </cell>
          <cell r="ID7">
            <v>27273</v>
          </cell>
          <cell r="IE7">
            <v>27273</v>
          </cell>
          <cell r="IF7">
            <v>34578</v>
          </cell>
          <cell r="IG7">
            <v>34578</v>
          </cell>
          <cell r="IH7">
            <v>34578</v>
          </cell>
          <cell r="II7">
            <v>27273</v>
          </cell>
          <cell r="IJ7">
            <v>27273</v>
          </cell>
          <cell r="IK7">
            <v>27273</v>
          </cell>
          <cell r="IL7">
            <v>27273</v>
          </cell>
          <cell r="IM7">
            <v>27273</v>
          </cell>
          <cell r="IN7">
            <v>27273</v>
          </cell>
          <cell r="IO7">
            <v>27273</v>
          </cell>
          <cell r="IP7">
            <v>27273</v>
          </cell>
          <cell r="IQ7">
            <v>27273</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cell r="CN8">
            <v>43070</v>
          </cell>
          <cell r="CO8">
            <v>43070</v>
          </cell>
          <cell r="CP8">
            <v>43070</v>
          </cell>
          <cell r="CQ8">
            <v>43070</v>
          </cell>
          <cell r="CR8">
            <v>43070</v>
          </cell>
          <cell r="CS8">
            <v>43070</v>
          </cell>
          <cell r="CT8">
            <v>43070</v>
          </cell>
          <cell r="CU8">
            <v>43070</v>
          </cell>
          <cell r="CV8">
            <v>43070</v>
          </cell>
          <cell r="CW8">
            <v>43070</v>
          </cell>
          <cell r="CX8">
            <v>43070</v>
          </cell>
          <cell r="CY8">
            <v>43070</v>
          </cell>
          <cell r="CZ8">
            <v>43070</v>
          </cell>
          <cell r="DA8">
            <v>43070</v>
          </cell>
          <cell r="DB8">
            <v>43070</v>
          </cell>
          <cell r="DC8">
            <v>43070</v>
          </cell>
          <cell r="DD8">
            <v>43070</v>
          </cell>
          <cell r="DE8">
            <v>43070</v>
          </cell>
          <cell r="DF8">
            <v>43070</v>
          </cell>
          <cell r="DG8">
            <v>43070</v>
          </cell>
          <cell r="DH8">
            <v>43070</v>
          </cell>
          <cell r="DI8">
            <v>43070</v>
          </cell>
          <cell r="DJ8">
            <v>43070</v>
          </cell>
          <cell r="DK8">
            <v>43070</v>
          </cell>
          <cell r="DL8">
            <v>43070</v>
          </cell>
          <cell r="DM8">
            <v>43070</v>
          </cell>
          <cell r="DN8">
            <v>43070</v>
          </cell>
          <cell r="DO8">
            <v>43070</v>
          </cell>
          <cell r="DP8">
            <v>43070</v>
          </cell>
          <cell r="DQ8">
            <v>43070</v>
          </cell>
          <cell r="DR8">
            <v>43070</v>
          </cell>
          <cell r="DS8">
            <v>43070</v>
          </cell>
          <cell r="DT8">
            <v>43070</v>
          </cell>
          <cell r="DU8">
            <v>43070</v>
          </cell>
          <cell r="DV8">
            <v>43070</v>
          </cell>
          <cell r="DW8">
            <v>43070</v>
          </cell>
          <cell r="DX8">
            <v>43070</v>
          </cell>
          <cell r="DY8">
            <v>43070</v>
          </cell>
          <cell r="DZ8">
            <v>43070</v>
          </cell>
          <cell r="EA8">
            <v>43070</v>
          </cell>
          <cell r="EB8">
            <v>43070</v>
          </cell>
          <cell r="EC8">
            <v>43070</v>
          </cell>
          <cell r="ED8">
            <v>43070</v>
          </cell>
          <cell r="EE8">
            <v>43070</v>
          </cell>
          <cell r="EF8">
            <v>43070</v>
          </cell>
          <cell r="EG8">
            <v>43070</v>
          </cell>
          <cell r="EH8">
            <v>43070</v>
          </cell>
          <cell r="EI8">
            <v>43070</v>
          </cell>
          <cell r="EJ8">
            <v>43070</v>
          </cell>
          <cell r="EK8">
            <v>43070</v>
          </cell>
          <cell r="EL8">
            <v>43070</v>
          </cell>
          <cell r="EM8">
            <v>43070</v>
          </cell>
          <cell r="EN8">
            <v>43070</v>
          </cell>
          <cell r="EO8">
            <v>43070</v>
          </cell>
          <cell r="EP8">
            <v>43070</v>
          </cell>
          <cell r="EQ8">
            <v>43070</v>
          </cell>
          <cell r="ER8">
            <v>43070</v>
          </cell>
          <cell r="ES8">
            <v>43070</v>
          </cell>
          <cell r="ET8">
            <v>43070</v>
          </cell>
          <cell r="EU8">
            <v>43070</v>
          </cell>
          <cell r="EV8">
            <v>43070</v>
          </cell>
          <cell r="EW8">
            <v>43070</v>
          </cell>
          <cell r="EX8">
            <v>43070</v>
          </cell>
          <cell r="EY8">
            <v>43070</v>
          </cell>
          <cell r="EZ8">
            <v>43070</v>
          </cell>
          <cell r="FA8">
            <v>43070</v>
          </cell>
          <cell r="FB8">
            <v>43070</v>
          </cell>
          <cell r="FC8">
            <v>43070</v>
          </cell>
          <cell r="FD8">
            <v>43070</v>
          </cell>
          <cell r="FE8">
            <v>43070</v>
          </cell>
          <cell r="FF8">
            <v>43070</v>
          </cell>
          <cell r="FG8">
            <v>43070</v>
          </cell>
          <cell r="FH8">
            <v>43070</v>
          </cell>
          <cell r="FI8">
            <v>43070</v>
          </cell>
          <cell r="FJ8">
            <v>43070</v>
          </cell>
          <cell r="FK8">
            <v>43070</v>
          </cell>
          <cell r="FL8">
            <v>43070</v>
          </cell>
          <cell r="FM8">
            <v>43070</v>
          </cell>
          <cell r="FN8">
            <v>43070</v>
          </cell>
          <cell r="FO8">
            <v>43070</v>
          </cell>
          <cell r="FP8">
            <v>43070</v>
          </cell>
          <cell r="FQ8">
            <v>43070</v>
          </cell>
          <cell r="FR8">
            <v>43070</v>
          </cell>
          <cell r="FS8">
            <v>43070</v>
          </cell>
          <cell r="FT8">
            <v>43070</v>
          </cell>
          <cell r="FU8">
            <v>43070</v>
          </cell>
          <cell r="FV8">
            <v>43070</v>
          </cell>
          <cell r="FW8">
            <v>43070</v>
          </cell>
          <cell r="FX8">
            <v>43070</v>
          </cell>
          <cell r="FY8">
            <v>43070</v>
          </cell>
          <cell r="FZ8">
            <v>43070</v>
          </cell>
          <cell r="GA8">
            <v>43070</v>
          </cell>
          <cell r="GB8">
            <v>43070</v>
          </cell>
          <cell r="GC8">
            <v>43070</v>
          </cell>
          <cell r="GD8">
            <v>43070</v>
          </cell>
          <cell r="GE8">
            <v>43070</v>
          </cell>
          <cell r="GF8">
            <v>43070</v>
          </cell>
          <cell r="GG8">
            <v>43070</v>
          </cell>
          <cell r="GH8">
            <v>43070</v>
          </cell>
          <cell r="GI8">
            <v>43070</v>
          </cell>
          <cell r="GJ8">
            <v>43070</v>
          </cell>
          <cell r="GK8">
            <v>43070</v>
          </cell>
          <cell r="GL8">
            <v>43070</v>
          </cell>
          <cell r="GM8">
            <v>43070</v>
          </cell>
          <cell r="GN8">
            <v>43070</v>
          </cell>
          <cell r="GO8">
            <v>43070</v>
          </cell>
          <cell r="GP8">
            <v>43070</v>
          </cell>
          <cell r="GQ8">
            <v>43070</v>
          </cell>
          <cell r="GR8">
            <v>43070</v>
          </cell>
          <cell r="GS8">
            <v>43070</v>
          </cell>
          <cell r="GT8">
            <v>43070</v>
          </cell>
          <cell r="GU8">
            <v>43070</v>
          </cell>
          <cell r="GV8">
            <v>43070</v>
          </cell>
          <cell r="GW8">
            <v>43070</v>
          </cell>
          <cell r="GX8">
            <v>43070</v>
          </cell>
          <cell r="GY8">
            <v>43070</v>
          </cell>
          <cell r="GZ8">
            <v>43070</v>
          </cell>
          <cell r="HA8">
            <v>43070</v>
          </cell>
          <cell r="HB8">
            <v>43070</v>
          </cell>
          <cell r="HC8">
            <v>43070</v>
          </cell>
          <cell r="HD8">
            <v>43070</v>
          </cell>
          <cell r="HE8">
            <v>43070</v>
          </cell>
          <cell r="HF8">
            <v>43070</v>
          </cell>
          <cell r="HG8">
            <v>43070</v>
          </cell>
          <cell r="HH8">
            <v>43070</v>
          </cell>
          <cell r="HI8">
            <v>43070</v>
          </cell>
          <cell r="HJ8">
            <v>43070</v>
          </cell>
          <cell r="HK8">
            <v>43070</v>
          </cell>
          <cell r="HL8">
            <v>43070</v>
          </cell>
          <cell r="HM8">
            <v>43070</v>
          </cell>
          <cell r="HN8">
            <v>43070</v>
          </cell>
          <cell r="HO8">
            <v>43070</v>
          </cell>
          <cell r="HP8">
            <v>43070</v>
          </cell>
          <cell r="HQ8">
            <v>43070</v>
          </cell>
          <cell r="HR8">
            <v>43070</v>
          </cell>
          <cell r="HS8">
            <v>43070</v>
          </cell>
          <cell r="HT8">
            <v>43070</v>
          </cell>
          <cell r="HU8">
            <v>43070</v>
          </cell>
          <cell r="HV8">
            <v>43070</v>
          </cell>
          <cell r="HW8">
            <v>43070</v>
          </cell>
          <cell r="HX8">
            <v>43070</v>
          </cell>
          <cell r="HY8">
            <v>43070</v>
          </cell>
          <cell r="HZ8">
            <v>43070</v>
          </cell>
          <cell r="IA8">
            <v>43070</v>
          </cell>
          <cell r="IB8">
            <v>43070</v>
          </cell>
          <cell r="IC8">
            <v>43070</v>
          </cell>
          <cell r="ID8">
            <v>43070</v>
          </cell>
          <cell r="IE8">
            <v>43070</v>
          </cell>
          <cell r="IF8">
            <v>43070</v>
          </cell>
          <cell r="IG8">
            <v>43070</v>
          </cell>
          <cell r="IH8">
            <v>43070</v>
          </cell>
          <cell r="II8">
            <v>43070</v>
          </cell>
          <cell r="IJ8">
            <v>43070</v>
          </cell>
          <cell r="IK8">
            <v>43070</v>
          </cell>
          <cell r="IL8">
            <v>43070</v>
          </cell>
          <cell r="IM8">
            <v>43070</v>
          </cell>
          <cell r="IN8">
            <v>43070</v>
          </cell>
          <cell r="IO8">
            <v>43070</v>
          </cell>
          <cell r="IP8">
            <v>43070</v>
          </cell>
          <cell r="IQ8">
            <v>43070</v>
          </cell>
        </row>
        <row r="9">
          <cell r="B9">
            <v>174</v>
          </cell>
          <cell r="C9">
            <v>174</v>
          </cell>
          <cell r="D9">
            <v>174</v>
          </cell>
          <cell r="E9">
            <v>130</v>
          </cell>
          <cell r="F9">
            <v>130</v>
          </cell>
          <cell r="G9">
            <v>130</v>
          </cell>
          <cell r="H9">
            <v>130</v>
          </cell>
          <cell r="I9">
            <v>174</v>
          </cell>
          <cell r="J9">
            <v>130</v>
          </cell>
          <cell r="K9">
            <v>174</v>
          </cell>
          <cell r="L9">
            <v>162</v>
          </cell>
          <cell r="M9">
            <v>162</v>
          </cell>
          <cell r="N9">
            <v>162</v>
          </cell>
          <cell r="O9">
            <v>162</v>
          </cell>
          <cell r="P9">
            <v>126</v>
          </cell>
          <cell r="Q9">
            <v>174</v>
          </cell>
          <cell r="R9">
            <v>174</v>
          </cell>
          <cell r="S9">
            <v>174</v>
          </cell>
          <cell r="T9">
            <v>174</v>
          </cell>
          <cell r="U9">
            <v>174</v>
          </cell>
          <cell r="V9">
            <v>94</v>
          </cell>
          <cell r="W9">
            <v>94</v>
          </cell>
          <cell r="X9">
            <v>94</v>
          </cell>
          <cell r="Y9">
            <v>174</v>
          </cell>
          <cell r="Z9">
            <v>174</v>
          </cell>
          <cell r="AA9">
            <v>174</v>
          </cell>
          <cell r="AB9">
            <v>174</v>
          </cell>
          <cell r="AC9">
            <v>174</v>
          </cell>
          <cell r="AD9">
            <v>174</v>
          </cell>
          <cell r="AE9">
            <v>174</v>
          </cell>
          <cell r="AF9">
            <v>174</v>
          </cell>
          <cell r="AG9">
            <v>174</v>
          </cell>
          <cell r="AH9">
            <v>94</v>
          </cell>
          <cell r="AI9">
            <v>94</v>
          </cell>
          <cell r="AJ9">
            <v>174</v>
          </cell>
          <cell r="AK9">
            <v>94</v>
          </cell>
          <cell r="AL9">
            <v>94</v>
          </cell>
          <cell r="AM9">
            <v>174</v>
          </cell>
          <cell r="AN9">
            <v>94</v>
          </cell>
          <cell r="AO9">
            <v>94</v>
          </cell>
          <cell r="AP9">
            <v>174</v>
          </cell>
          <cell r="AQ9">
            <v>94</v>
          </cell>
          <cell r="AR9">
            <v>94</v>
          </cell>
          <cell r="AS9">
            <v>174</v>
          </cell>
          <cell r="AT9">
            <v>174</v>
          </cell>
          <cell r="AU9">
            <v>174</v>
          </cell>
          <cell r="AV9">
            <v>174</v>
          </cell>
          <cell r="AW9">
            <v>174</v>
          </cell>
          <cell r="AX9">
            <v>174</v>
          </cell>
          <cell r="AY9">
            <v>174</v>
          </cell>
          <cell r="AZ9">
            <v>174</v>
          </cell>
          <cell r="BA9">
            <v>174</v>
          </cell>
          <cell r="BB9">
            <v>174</v>
          </cell>
          <cell r="BC9">
            <v>234</v>
          </cell>
          <cell r="BD9">
            <v>234</v>
          </cell>
          <cell r="BE9">
            <v>173</v>
          </cell>
          <cell r="BF9">
            <v>173</v>
          </cell>
          <cell r="BG9">
            <v>173</v>
          </cell>
          <cell r="BH9">
            <v>129</v>
          </cell>
          <cell r="BI9">
            <v>129</v>
          </cell>
          <cell r="BJ9">
            <v>129</v>
          </cell>
          <cell r="BK9">
            <v>129</v>
          </cell>
          <cell r="BL9">
            <v>173</v>
          </cell>
          <cell r="BM9">
            <v>129</v>
          </cell>
          <cell r="BN9">
            <v>173</v>
          </cell>
          <cell r="BO9">
            <v>161</v>
          </cell>
          <cell r="BP9">
            <v>161</v>
          </cell>
          <cell r="BQ9">
            <v>161</v>
          </cell>
          <cell r="BR9">
            <v>161</v>
          </cell>
          <cell r="BS9">
            <v>125</v>
          </cell>
          <cell r="BT9">
            <v>173</v>
          </cell>
          <cell r="BU9">
            <v>173</v>
          </cell>
          <cell r="BV9">
            <v>173</v>
          </cell>
          <cell r="BW9">
            <v>173</v>
          </cell>
          <cell r="BX9">
            <v>173</v>
          </cell>
          <cell r="BY9">
            <v>93</v>
          </cell>
          <cell r="BZ9">
            <v>93</v>
          </cell>
          <cell r="CA9">
            <v>93</v>
          </cell>
          <cell r="CB9">
            <v>173</v>
          </cell>
          <cell r="CC9">
            <v>173</v>
          </cell>
          <cell r="CD9">
            <v>173</v>
          </cell>
          <cell r="CE9">
            <v>173</v>
          </cell>
          <cell r="CF9">
            <v>173</v>
          </cell>
          <cell r="CG9">
            <v>173</v>
          </cell>
          <cell r="CH9">
            <v>173</v>
          </cell>
          <cell r="CI9">
            <v>173</v>
          </cell>
          <cell r="CJ9">
            <v>173</v>
          </cell>
          <cell r="CK9">
            <v>93</v>
          </cell>
          <cell r="CL9">
            <v>93</v>
          </cell>
          <cell r="CM9">
            <v>173</v>
          </cell>
          <cell r="CN9">
            <v>93</v>
          </cell>
          <cell r="CO9">
            <v>93</v>
          </cell>
          <cell r="CP9">
            <v>173</v>
          </cell>
          <cell r="CQ9">
            <v>93</v>
          </cell>
          <cell r="CR9">
            <v>93</v>
          </cell>
          <cell r="CS9">
            <v>173</v>
          </cell>
          <cell r="CT9">
            <v>93</v>
          </cell>
          <cell r="CU9">
            <v>93</v>
          </cell>
          <cell r="CV9">
            <v>173</v>
          </cell>
          <cell r="CW9">
            <v>173</v>
          </cell>
          <cell r="CX9">
            <v>173</v>
          </cell>
          <cell r="CY9">
            <v>173</v>
          </cell>
          <cell r="CZ9">
            <v>173</v>
          </cell>
          <cell r="DA9">
            <v>173</v>
          </cell>
          <cell r="DB9">
            <v>173</v>
          </cell>
          <cell r="DC9">
            <v>173</v>
          </cell>
          <cell r="DD9">
            <v>173</v>
          </cell>
          <cell r="DE9">
            <v>173</v>
          </cell>
          <cell r="DF9">
            <v>233</v>
          </cell>
          <cell r="DG9">
            <v>174</v>
          </cell>
          <cell r="DH9">
            <v>174</v>
          </cell>
          <cell r="DI9">
            <v>174</v>
          </cell>
          <cell r="DJ9">
            <v>130</v>
          </cell>
          <cell r="DK9">
            <v>130</v>
          </cell>
          <cell r="DL9">
            <v>130</v>
          </cell>
          <cell r="DM9">
            <v>130</v>
          </cell>
          <cell r="DN9">
            <v>174</v>
          </cell>
          <cell r="DO9">
            <v>130</v>
          </cell>
          <cell r="DP9">
            <v>174</v>
          </cell>
          <cell r="DQ9">
            <v>162</v>
          </cell>
          <cell r="DR9">
            <v>162</v>
          </cell>
          <cell r="DS9">
            <v>162</v>
          </cell>
          <cell r="DT9">
            <v>162</v>
          </cell>
          <cell r="DU9">
            <v>126</v>
          </cell>
          <cell r="DV9">
            <v>174</v>
          </cell>
          <cell r="DW9">
            <v>174</v>
          </cell>
          <cell r="DX9">
            <v>174</v>
          </cell>
          <cell r="DY9">
            <v>174</v>
          </cell>
          <cell r="DZ9">
            <v>174</v>
          </cell>
          <cell r="EA9">
            <v>94</v>
          </cell>
          <cell r="EB9">
            <v>94</v>
          </cell>
          <cell r="EC9">
            <v>94</v>
          </cell>
          <cell r="ED9">
            <v>174</v>
          </cell>
          <cell r="EE9">
            <v>174</v>
          </cell>
          <cell r="EF9">
            <v>174</v>
          </cell>
          <cell r="EG9">
            <v>174</v>
          </cell>
          <cell r="EH9">
            <v>174</v>
          </cell>
          <cell r="EI9">
            <v>174</v>
          </cell>
          <cell r="EJ9">
            <v>174</v>
          </cell>
          <cell r="EK9">
            <v>174</v>
          </cell>
          <cell r="EL9">
            <v>174</v>
          </cell>
          <cell r="EM9">
            <v>94</v>
          </cell>
          <cell r="EN9">
            <v>94</v>
          </cell>
          <cell r="EO9">
            <v>174</v>
          </cell>
          <cell r="EP9">
            <v>94</v>
          </cell>
          <cell r="EQ9">
            <v>94</v>
          </cell>
          <cell r="ER9">
            <v>174</v>
          </cell>
          <cell r="ES9">
            <v>94</v>
          </cell>
          <cell r="ET9">
            <v>94</v>
          </cell>
          <cell r="EU9">
            <v>174</v>
          </cell>
          <cell r="EV9">
            <v>94</v>
          </cell>
          <cell r="EW9">
            <v>94</v>
          </cell>
          <cell r="EX9">
            <v>174</v>
          </cell>
          <cell r="EY9">
            <v>174</v>
          </cell>
          <cell r="EZ9">
            <v>174</v>
          </cell>
          <cell r="FA9">
            <v>174</v>
          </cell>
          <cell r="FB9">
            <v>174</v>
          </cell>
          <cell r="FC9">
            <v>174</v>
          </cell>
          <cell r="FD9">
            <v>174</v>
          </cell>
          <cell r="FE9">
            <v>174</v>
          </cell>
          <cell r="FF9">
            <v>174</v>
          </cell>
          <cell r="FG9">
            <v>174</v>
          </cell>
          <cell r="FH9">
            <v>234</v>
          </cell>
          <cell r="FI9">
            <v>234</v>
          </cell>
          <cell r="FJ9">
            <v>173</v>
          </cell>
          <cell r="FK9">
            <v>173</v>
          </cell>
          <cell r="FL9">
            <v>173</v>
          </cell>
          <cell r="FM9">
            <v>129</v>
          </cell>
          <cell r="FN9">
            <v>129</v>
          </cell>
          <cell r="FO9">
            <v>129</v>
          </cell>
          <cell r="FP9">
            <v>129</v>
          </cell>
          <cell r="FQ9">
            <v>173</v>
          </cell>
          <cell r="FR9">
            <v>129</v>
          </cell>
          <cell r="FS9">
            <v>173</v>
          </cell>
          <cell r="FT9">
            <v>161</v>
          </cell>
          <cell r="FU9">
            <v>161</v>
          </cell>
          <cell r="FV9">
            <v>161</v>
          </cell>
          <cell r="FW9">
            <v>161</v>
          </cell>
          <cell r="FX9">
            <v>125</v>
          </cell>
          <cell r="FY9">
            <v>173</v>
          </cell>
          <cell r="FZ9">
            <v>173</v>
          </cell>
          <cell r="GA9">
            <v>173</v>
          </cell>
          <cell r="GB9">
            <v>173</v>
          </cell>
          <cell r="GC9">
            <v>173</v>
          </cell>
          <cell r="GD9">
            <v>93</v>
          </cell>
          <cell r="GE9">
            <v>93</v>
          </cell>
          <cell r="GF9">
            <v>93</v>
          </cell>
          <cell r="GG9">
            <v>173</v>
          </cell>
          <cell r="GH9">
            <v>173</v>
          </cell>
          <cell r="GI9">
            <v>173</v>
          </cell>
          <cell r="GJ9">
            <v>173</v>
          </cell>
          <cell r="GK9">
            <v>173</v>
          </cell>
          <cell r="GL9">
            <v>173</v>
          </cell>
          <cell r="GM9">
            <v>173</v>
          </cell>
          <cell r="GN9">
            <v>173</v>
          </cell>
          <cell r="GO9">
            <v>173</v>
          </cell>
          <cell r="GP9">
            <v>93</v>
          </cell>
          <cell r="GQ9">
            <v>93</v>
          </cell>
          <cell r="GR9">
            <v>173</v>
          </cell>
          <cell r="GS9">
            <v>93</v>
          </cell>
          <cell r="GT9">
            <v>93</v>
          </cell>
          <cell r="GU9">
            <v>173</v>
          </cell>
          <cell r="GV9">
            <v>93</v>
          </cell>
          <cell r="GW9">
            <v>93</v>
          </cell>
          <cell r="GX9">
            <v>173</v>
          </cell>
          <cell r="GY9">
            <v>93</v>
          </cell>
          <cell r="GZ9">
            <v>93</v>
          </cell>
          <cell r="HA9">
            <v>173</v>
          </cell>
          <cell r="HB9">
            <v>173</v>
          </cell>
          <cell r="HC9">
            <v>173</v>
          </cell>
          <cell r="HD9">
            <v>173</v>
          </cell>
          <cell r="HE9">
            <v>173</v>
          </cell>
          <cell r="HF9">
            <v>173</v>
          </cell>
          <cell r="HG9">
            <v>173</v>
          </cell>
          <cell r="HH9">
            <v>173</v>
          </cell>
          <cell r="HI9">
            <v>173</v>
          </cell>
          <cell r="HJ9">
            <v>173</v>
          </cell>
          <cell r="HK9">
            <v>233</v>
          </cell>
          <cell r="HL9">
            <v>174</v>
          </cell>
          <cell r="HM9">
            <v>174</v>
          </cell>
          <cell r="HN9">
            <v>174</v>
          </cell>
          <cell r="HO9">
            <v>130</v>
          </cell>
          <cell r="HP9">
            <v>130</v>
          </cell>
          <cell r="HQ9">
            <v>130</v>
          </cell>
          <cell r="HR9">
            <v>130</v>
          </cell>
          <cell r="HS9">
            <v>174</v>
          </cell>
          <cell r="HT9">
            <v>130</v>
          </cell>
          <cell r="HU9">
            <v>174</v>
          </cell>
          <cell r="HV9">
            <v>162</v>
          </cell>
          <cell r="HW9">
            <v>162</v>
          </cell>
          <cell r="HX9">
            <v>162</v>
          </cell>
          <cell r="HY9">
            <v>162</v>
          </cell>
          <cell r="HZ9">
            <v>126</v>
          </cell>
          <cell r="IA9">
            <v>174</v>
          </cell>
          <cell r="IB9">
            <v>174</v>
          </cell>
          <cell r="IC9">
            <v>174</v>
          </cell>
          <cell r="ID9">
            <v>174</v>
          </cell>
          <cell r="IE9">
            <v>174</v>
          </cell>
          <cell r="IF9">
            <v>94</v>
          </cell>
          <cell r="IG9">
            <v>94</v>
          </cell>
          <cell r="IH9">
            <v>94</v>
          </cell>
          <cell r="II9">
            <v>174</v>
          </cell>
          <cell r="IJ9">
            <v>174</v>
          </cell>
          <cell r="IK9">
            <v>174</v>
          </cell>
          <cell r="IL9">
            <v>174</v>
          </cell>
          <cell r="IM9">
            <v>174</v>
          </cell>
          <cell r="IN9">
            <v>174</v>
          </cell>
          <cell r="IO9">
            <v>174</v>
          </cell>
          <cell r="IP9">
            <v>174</v>
          </cell>
          <cell r="IQ9">
            <v>174</v>
          </cell>
        </row>
        <row r="10">
          <cell r="B10" t="str">
            <v>A2716379A</v>
          </cell>
          <cell r="C10" t="str">
            <v>A2716380K</v>
          </cell>
          <cell r="D10" t="str">
            <v>A2716378X</v>
          </cell>
          <cell r="E10" t="str">
            <v>A3606069F</v>
          </cell>
          <cell r="F10" t="str">
            <v>A3606070R</v>
          </cell>
          <cell r="G10" t="str">
            <v>A83722605X</v>
          </cell>
          <cell r="H10" t="str">
            <v>A83722610T</v>
          </cell>
          <cell r="I10" t="str">
            <v>A2716383T</v>
          </cell>
          <cell r="J10" t="str">
            <v>A2716382R</v>
          </cell>
          <cell r="K10" t="str">
            <v>A2716381L</v>
          </cell>
          <cell r="L10" t="str">
            <v>A2716385W</v>
          </cell>
          <cell r="M10" t="str">
            <v>A2716389F</v>
          </cell>
          <cell r="N10" t="str">
            <v>A2716386X</v>
          </cell>
          <cell r="O10" t="str">
            <v>A2716387A</v>
          </cell>
          <cell r="P10" t="str">
            <v>A85231742R</v>
          </cell>
          <cell r="Q10" t="str">
            <v>A2716384V</v>
          </cell>
          <cell r="R10" t="str">
            <v>A2716393W</v>
          </cell>
          <cell r="S10" t="str">
            <v>A2716394X</v>
          </cell>
          <cell r="T10" t="str">
            <v>A2716395A</v>
          </cell>
          <cell r="U10" t="str">
            <v>A2716587V</v>
          </cell>
          <cell r="V10" t="str">
            <v>A85231743T</v>
          </cell>
          <cell r="W10" t="str">
            <v>A85231744V</v>
          </cell>
          <cell r="X10" t="str">
            <v>A85231745W</v>
          </cell>
          <cell r="Y10" t="str">
            <v>A2716396C</v>
          </cell>
          <cell r="Z10" t="str">
            <v>A2716397F</v>
          </cell>
          <cell r="AA10" t="str">
            <v>A2716398J</v>
          </cell>
          <cell r="AB10" t="str">
            <v>A2716399K</v>
          </cell>
          <cell r="AC10" t="str">
            <v>A3348484C</v>
          </cell>
          <cell r="AD10" t="str">
            <v>A2716401K</v>
          </cell>
          <cell r="AE10" t="str">
            <v>A3348485F</v>
          </cell>
          <cell r="AF10" t="str">
            <v>A2716404T</v>
          </cell>
          <cell r="AG10" t="str">
            <v>A2716400J</v>
          </cell>
          <cell r="AH10" t="str">
            <v>A85231746X</v>
          </cell>
          <cell r="AI10" t="str">
            <v>A85231747A</v>
          </cell>
          <cell r="AJ10" t="str">
            <v>A2716405V</v>
          </cell>
          <cell r="AK10" t="str">
            <v>A85231748C</v>
          </cell>
          <cell r="AL10" t="str">
            <v>A85231749F</v>
          </cell>
          <cell r="AM10" t="str">
            <v>A2716406W</v>
          </cell>
          <cell r="AN10" t="str">
            <v>A85231750R</v>
          </cell>
          <cell r="AO10" t="str">
            <v>A85231751T</v>
          </cell>
          <cell r="AP10" t="str">
            <v>A2716407X</v>
          </cell>
          <cell r="AQ10" t="str">
            <v>A85231752V</v>
          </cell>
          <cell r="AR10" t="str">
            <v>A85231753W</v>
          </cell>
          <cell r="AS10" t="str">
            <v>A2716408A</v>
          </cell>
          <cell r="AT10" t="str">
            <v>A2716409C</v>
          </cell>
          <cell r="AU10" t="str">
            <v>A2716410L</v>
          </cell>
          <cell r="AV10" t="str">
            <v>A2716411R</v>
          </cell>
          <cell r="AW10" t="str">
            <v>A2716412T</v>
          </cell>
          <cell r="AX10" t="str">
            <v>A2716413V</v>
          </cell>
          <cell r="AY10" t="str">
            <v>A2716414W</v>
          </cell>
          <cell r="AZ10" t="str">
            <v>A2529206X</v>
          </cell>
          <cell r="BA10" t="str">
            <v>A2303599W</v>
          </cell>
          <cell r="BB10" t="str">
            <v>A2323358F</v>
          </cell>
          <cell r="BC10" t="str">
            <v>A2303601W</v>
          </cell>
          <cell r="BD10" t="str">
            <v>A2304334J</v>
          </cell>
          <cell r="BE10" t="str">
            <v>A2716299A</v>
          </cell>
          <cell r="BF10" t="str">
            <v>A2716300X</v>
          </cell>
          <cell r="BG10" t="str">
            <v>A2716298X</v>
          </cell>
          <cell r="BH10" t="str">
            <v>A3605674K</v>
          </cell>
          <cell r="BI10" t="str">
            <v>A3605676R</v>
          </cell>
          <cell r="BJ10" t="str">
            <v>A83722607C</v>
          </cell>
          <cell r="BK10" t="str">
            <v>A83722612W</v>
          </cell>
          <cell r="BL10" t="str">
            <v>A2716303F</v>
          </cell>
          <cell r="BM10" t="str">
            <v>A2716302C</v>
          </cell>
          <cell r="BN10" t="str">
            <v>A2716301A</v>
          </cell>
          <cell r="BO10" t="str">
            <v>A2716305K</v>
          </cell>
          <cell r="BP10" t="str">
            <v>A2716309V</v>
          </cell>
          <cell r="BQ10" t="str">
            <v>A2716306L</v>
          </cell>
          <cell r="BR10" t="str">
            <v>A2716307R</v>
          </cell>
          <cell r="BS10" t="str">
            <v>A85231682X</v>
          </cell>
          <cell r="BT10" t="str">
            <v>A2716304J</v>
          </cell>
          <cell r="BU10" t="str">
            <v>A2716314L</v>
          </cell>
          <cell r="BV10" t="str">
            <v>A2716315R</v>
          </cell>
          <cell r="BW10" t="str">
            <v>A2716316T</v>
          </cell>
          <cell r="BX10" t="str">
            <v>A2716313K</v>
          </cell>
          <cell r="BY10" t="str">
            <v>A85231684C</v>
          </cell>
          <cell r="BZ10" t="str">
            <v>A85231686J</v>
          </cell>
          <cell r="CA10" t="str">
            <v>A85231688L</v>
          </cell>
          <cell r="CB10" t="str">
            <v>A2716317V</v>
          </cell>
          <cell r="CC10" t="str">
            <v>A2716318W</v>
          </cell>
          <cell r="CD10" t="str">
            <v>A2716319X</v>
          </cell>
          <cell r="CE10" t="str">
            <v>A2716320J</v>
          </cell>
          <cell r="CF10" t="str">
            <v>A3348486J</v>
          </cell>
          <cell r="CG10" t="str">
            <v>A2716322L</v>
          </cell>
          <cell r="CH10" t="str">
            <v>A3348487K</v>
          </cell>
          <cell r="CI10" t="str">
            <v>A2716325V</v>
          </cell>
          <cell r="CJ10" t="str">
            <v>A2716321K</v>
          </cell>
          <cell r="CK10" t="str">
            <v>A85231690X</v>
          </cell>
          <cell r="CL10" t="str">
            <v>A85231692C</v>
          </cell>
          <cell r="CM10" t="str">
            <v>A2716326W</v>
          </cell>
          <cell r="CN10" t="str">
            <v>A85231694J</v>
          </cell>
          <cell r="CO10" t="str">
            <v>A85231696L</v>
          </cell>
          <cell r="CP10" t="str">
            <v>A2716327X</v>
          </cell>
          <cell r="CQ10" t="str">
            <v>A85231698T</v>
          </cell>
          <cell r="CR10" t="str">
            <v>A85231700T</v>
          </cell>
          <cell r="CS10" t="str">
            <v>A2716328A</v>
          </cell>
          <cell r="CT10" t="str">
            <v>A85231702W</v>
          </cell>
          <cell r="CU10" t="str">
            <v>A85231704A</v>
          </cell>
          <cell r="CV10" t="str">
            <v>A2716329C</v>
          </cell>
          <cell r="CW10" t="str">
            <v>A2716330L</v>
          </cell>
          <cell r="CX10" t="str">
            <v>A2716331R</v>
          </cell>
          <cell r="CY10" t="str">
            <v>A2716332T</v>
          </cell>
          <cell r="CZ10" t="str">
            <v>A2716333V</v>
          </cell>
          <cell r="DA10" t="str">
            <v>A2716334W</v>
          </cell>
          <cell r="DB10" t="str">
            <v>A2716335X</v>
          </cell>
          <cell r="DC10" t="str">
            <v>A2529207A</v>
          </cell>
          <cell r="DD10" t="str">
            <v>A2303678V</v>
          </cell>
          <cell r="DE10" t="str">
            <v>A2323355X</v>
          </cell>
          <cell r="DF10" t="str">
            <v>A2298668K</v>
          </cell>
          <cell r="DG10" t="str">
            <v>A2716161K</v>
          </cell>
          <cell r="DH10" t="str">
            <v>A2716162L</v>
          </cell>
          <cell r="DI10" t="str">
            <v>A2716160J</v>
          </cell>
          <cell r="DJ10" t="str">
            <v>A3606066X</v>
          </cell>
          <cell r="DK10" t="str">
            <v>A3606067A</v>
          </cell>
          <cell r="DL10" t="str">
            <v>A83722621X</v>
          </cell>
          <cell r="DM10" t="str">
            <v>A83722609J</v>
          </cell>
          <cell r="DN10" t="str">
            <v>A2716165V</v>
          </cell>
          <cell r="DO10" t="str">
            <v>A2716164T</v>
          </cell>
          <cell r="DP10" t="str">
            <v>A2716163R</v>
          </cell>
          <cell r="DQ10" t="str">
            <v>A2716167X</v>
          </cell>
          <cell r="DR10" t="str">
            <v>A2716171R</v>
          </cell>
          <cell r="DS10" t="str">
            <v>A2716168A</v>
          </cell>
          <cell r="DT10" t="str">
            <v>A2716169C</v>
          </cell>
          <cell r="DU10" t="str">
            <v>A85231754X</v>
          </cell>
          <cell r="DV10" t="str">
            <v>A2716166W</v>
          </cell>
          <cell r="DW10" t="str">
            <v>A2716176A</v>
          </cell>
          <cell r="DX10" t="str">
            <v>A2716177C</v>
          </cell>
          <cell r="DY10" t="str">
            <v>A2716178F</v>
          </cell>
          <cell r="DZ10" t="str">
            <v>A2716175X</v>
          </cell>
          <cell r="EA10" t="str">
            <v>A85231755A</v>
          </cell>
          <cell r="EB10" t="str">
            <v>A85231756C</v>
          </cell>
          <cell r="EC10" t="str">
            <v>A85231757F</v>
          </cell>
          <cell r="ED10" t="str">
            <v>A2716179J</v>
          </cell>
          <cell r="EE10" t="str">
            <v>A2716180T</v>
          </cell>
          <cell r="EF10" t="str">
            <v>A2716181V</v>
          </cell>
          <cell r="EG10" t="str">
            <v>A2716182W</v>
          </cell>
          <cell r="EH10" t="str">
            <v>A3348488L</v>
          </cell>
          <cell r="EI10" t="str">
            <v>A2716184A</v>
          </cell>
          <cell r="EJ10" t="str">
            <v>A3348489R</v>
          </cell>
          <cell r="EK10" t="str">
            <v>A2716187J</v>
          </cell>
          <cell r="EL10" t="str">
            <v>A2716183X</v>
          </cell>
          <cell r="EM10" t="str">
            <v>A85231758J</v>
          </cell>
          <cell r="EN10" t="str">
            <v>A85231759K</v>
          </cell>
          <cell r="EO10" t="str">
            <v>A2716188K</v>
          </cell>
          <cell r="EP10" t="str">
            <v>A85231760V</v>
          </cell>
          <cell r="EQ10" t="str">
            <v>A85231761W</v>
          </cell>
          <cell r="ER10" t="str">
            <v>A2716189L</v>
          </cell>
          <cell r="ES10" t="str">
            <v>A85231762X</v>
          </cell>
          <cell r="ET10" t="str">
            <v>A85231763A</v>
          </cell>
          <cell r="EU10" t="str">
            <v>A2716190W</v>
          </cell>
          <cell r="EV10" t="str">
            <v>A85231764C</v>
          </cell>
          <cell r="EW10" t="str">
            <v>A85231765F</v>
          </cell>
          <cell r="EX10" t="str">
            <v>A2716191X</v>
          </cell>
          <cell r="EY10" t="str">
            <v>A2716585R</v>
          </cell>
          <cell r="EZ10" t="str">
            <v>A2716192A</v>
          </cell>
          <cell r="FA10" t="str">
            <v>A2716193C</v>
          </cell>
          <cell r="FB10" t="str">
            <v>A2716194F</v>
          </cell>
          <cell r="FC10" t="str">
            <v>A2716195J</v>
          </cell>
          <cell r="FD10" t="str">
            <v>A2716196K</v>
          </cell>
          <cell r="FE10" t="str">
            <v>A2529209F</v>
          </cell>
          <cell r="FF10" t="str">
            <v>A2303469X</v>
          </cell>
          <cell r="FG10" t="str">
            <v>A2323353V</v>
          </cell>
          <cell r="FH10" t="str">
            <v>A2303471K</v>
          </cell>
          <cell r="FI10" t="str">
            <v>A2304402X</v>
          </cell>
          <cell r="FJ10" t="str">
            <v>A2716041T</v>
          </cell>
          <cell r="FK10" t="str">
            <v>A2716042V</v>
          </cell>
          <cell r="FL10" t="str">
            <v>A2716040R</v>
          </cell>
          <cell r="FM10" t="str">
            <v>A3605670A</v>
          </cell>
          <cell r="FN10" t="str">
            <v>A3605672F</v>
          </cell>
          <cell r="FO10" t="str">
            <v>A83722606A</v>
          </cell>
          <cell r="FP10" t="str">
            <v>A83722611V</v>
          </cell>
          <cell r="FQ10" t="str">
            <v>A2716045A</v>
          </cell>
          <cell r="FR10" t="str">
            <v>A2716044X</v>
          </cell>
          <cell r="FS10" t="str">
            <v>A2716043W</v>
          </cell>
          <cell r="FT10" t="str">
            <v>A2716047F</v>
          </cell>
          <cell r="FU10" t="str">
            <v>A2716051W</v>
          </cell>
          <cell r="FV10" t="str">
            <v>A2716048J</v>
          </cell>
          <cell r="FW10" t="str">
            <v>A2716049K</v>
          </cell>
          <cell r="FX10" t="str">
            <v>A85231706F</v>
          </cell>
          <cell r="FY10" t="str">
            <v>A2716046C</v>
          </cell>
          <cell r="FZ10" t="str">
            <v>A2716056J</v>
          </cell>
          <cell r="GA10" t="str">
            <v>A2716057K</v>
          </cell>
          <cell r="GB10" t="str">
            <v>A2716058L</v>
          </cell>
          <cell r="GC10" t="str">
            <v>A2716055F</v>
          </cell>
          <cell r="GD10" t="str">
            <v>A85231708K</v>
          </cell>
          <cell r="GE10" t="str">
            <v>A85231710W</v>
          </cell>
          <cell r="GF10" t="str">
            <v>A85231712A</v>
          </cell>
          <cell r="GG10" t="str">
            <v>A2716059R</v>
          </cell>
          <cell r="GH10" t="str">
            <v>A2716060X</v>
          </cell>
          <cell r="GI10" t="str">
            <v>A2716061A</v>
          </cell>
          <cell r="GJ10" t="str">
            <v>A2716062C</v>
          </cell>
          <cell r="GK10" t="str">
            <v>A3348490X</v>
          </cell>
          <cell r="GL10" t="str">
            <v>A2716064J</v>
          </cell>
          <cell r="GM10" t="str">
            <v>A3348491A</v>
          </cell>
          <cell r="GN10" t="str">
            <v>A2716067R</v>
          </cell>
          <cell r="GO10" t="str">
            <v>A2716063F</v>
          </cell>
          <cell r="GP10" t="str">
            <v>A85231714F</v>
          </cell>
          <cell r="GQ10" t="str">
            <v>A85231716K</v>
          </cell>
          <cell r="GR10" t="str">
            <v>A2716068T</v>
          </cell>
          <cell r="GS10" t="str">
            <v>A85231718R</v>
          </cell>
          <cell r="GT10" t="str">
            <v>A85231720A</v>
          </cell>
          <cell r="GU10" t="str">
            <v>A2716069V</v>
          </cell>
          <cell r="GV10" t="str">
            <v>A85231722F</v>
          </cell>
          <cell r="GW10" t="str">
            <v>A85231724K</v>
          </cell>
          <cell r="GX10" t="str">
            <v>A2716070C</v>
          </cell>
          <cell r="GY10" t="str">
            <v>A85231726R</v>
          </cell>
          <cell r="GZ10" t="str">
            <v>A85231728V</v>
          </cell>
          <cell r="HA10" t="str">
            <v>A2716071F</v>
          </cell>
          <cell r="HB10" t="str">
            <v>A2716072J</v>
          </cell>
          <cell r="HC10" t="str">
            <v>A2716073K</v>
          </cell>
          <cell r="HD10" t="str">
            <v>A2716074L</v>
          </cell>
          <cell r="HE10" t="str">
            <v>A2716075R</v>
          </cell>
          <cell r="HF10" t="str">
            <v>A2716076T</v>
          </cell>
          <cell r="HG10" t="str">
            <v>A2716077V</v>
          </cell>
          <cell r="HH10" t="str">
            <v>A2529210R</v>
          </cell>
          <cell r="HI10" t="str">
            <v>A2303548W</v>
          </cell>
          <cell r="HJ10" t="str">
            <v>A2323350L</v>
          </cell>
          <cell r="HK10" t="str">
            <v>A2304370T</v>
          </cell>
          <cell r="HL10" t="str">
            <v>A2716242L</v>
          </cell>
          <cell r="HM10" t="str">
            <v>A2716243R</v>
          </cell>
          <cell r="HN10" t="str">
            <v>A2716241K</v>
          </cell>
          <cell r="HO10" t="str">
            <v>A3605677T</v>
          </cell>
          <cell r="HP10" t="str">
            <v>A3605673J</v>
          </cell>
          <cell r="HQ10" t="str">
            <v>A83722620W</v>
          </cell>
          <cell r="HR10" t="str">
            <v>A83722608F</v>
          </cell>
          <cell r="HS10" t="str">
            <v>A2716246W</v>
          </cell>
          <cell r="HT10" t="str">
            <v>A2716245V</v>
          </cell>
          <cell r="HU10" t="str">
            <v>A2716244T</v>
          </cell>
          <cell r="HV10" t="str">
            <v>A2716248A</v>
          </cell>
          <cell r="HW10" t="str">
            <v>A2716252T</v>
          </cell>
          <cell r="HX10" t="str">
            <v>A2716249C</v>
          </cell>
          <cell r="HY10" t="str">
            <v>A2716250L</v>
          </cell>
          <cell r="HZ10" t="str">
            <v>A85231766J</v>
          </cell>
          <cell r="IA10" t="str">
            <v>A2716247X</v>
          </cell>
          <cell r="IB10" t="str">
            <v>A2716257C</v>
          </cell>
          <cell r="IC10" t="str">
            <v>A2716258F</v>
          </cell>
          <cell r="ID10" t="str">
            <v>A2716259J</v>
          </cell>
          <cell r="IE10" t="str">
            <v>A2716256A</v>
          </cell>
          <cell r="IF10" t="str">
            <v>A85231767K</v>
          </cell>
          <cell r="IG10" t="str">
            <v>A85231768L</v>
          </cell>
          <cell r="IH10" t="str">
            <v>A85231769R</v>
          </cell>
          <cell r="II10" t="str">
            <v>A2716260T</v>
          </cell>
          <cell r="IJ10" t="str">
            <v>A2716261V</v>
          </cell>
          <cell r="IK10" t="str">
            <v>A2716262W</v>
          </cell>
          <cell r="IL10" t="str">
            <v>A2716263X</v>
          </cell>
          <cell r="IM10" t="str">
            <v>A3348492C</v>
          </cell>
          <cell r="IN10" t="str">
            <v>A2716265C</v>
          </cell>
          <cell r="IO10" t="str">
            <v>A3348493F</v>
          </cell>
          <cell r="IP10" t="str">
            <v>A2716268K</v>
          </cell>
          <cell r="IQ10" t="str">
            <v>A2716264A</v>
          </cell>
        </row>
        <row r="11">
          <cell r="BC11">
            <v>986</v>
          </cell>
          <cell r="BD11">
            <v>60097</v>
          </cell>
          <cell r="FH11">
            <v>1191</v>
          </cell>
          <cell r="FI11">
            <v>60240</v>
          </cell>
        </row>
        <row r="12">
          <cell r="BC12">
            <v>667</v>
          </cell>
          <cell r="BD12">
            <v>60734</v>
          </cell>
          <cell r="DF12">
            <v>1.1000000000000001</v>
          </cell>
          <cell r="FH12">
            <v>546</v>
          </cell>
          <cell r="FI12">
            <v>60767</v>
          </cell>
          <cell r="HK12">
            <v>0.9</v>
          </cell>
        </row>
        <row r="13">
          <cell r="BC13">
            <v>398</v>
          </cell>
          <cell r="BD13">
            <v>61516</v>
          </cell>
          <cell r="DF13">
            <v>1.3</v>
          </cell>
          <cell r="FH13">
            <v>210</v>
          </cell>
          <cell r="FI13">
            <v>61071</v>
          </cell>
          <cell r="HK13">
            <v>0.5</v>
          </cell>
        </row>
        <row r="14">
          <cell r="BC14">
            <v>183</v>
          </cell>
          <cell r="BD14">
            <v>62328</v>
          </cell>
          <cell r="DF14">
            <v>1.3</v>
          </cell>
          <cell r="FH14">
            <v>621</v>
          </cell>
          <cell r="FI14">
            <v>62764</v>
          </cell>
          <cell r="HK14">
            <v>2.8</v>
          </cell>
        </row>
        <row r="15">
          <cell r="BC15">
            <v>216</v>
          </cell>
          <cell r="BD15">
            <v>62885</v>
          </cell>
          <cell r="DF15">
            <v>0.9</v>
          </cell>
          <cell r="FH15">
            <v>-185</v>
          </cell>
          <cell r="FI15">
            <v>62906</v>
          </cell>
          <cell r="HK15">
            <v>0.2</v>
          </cell>
        </row>
        <row r="16">
          <cell r="BC16">
            <v>545</v>
          </cell>
          <cell r="BD16">
            <v>62997</v>
          </cell>
          <cell r="DF16">
            <v>0.2</v>
          </cell>
          <cell r="FH16">
            <v>501</v>
          </cell>
          <cell r="FI16">
            <v>62779</v>
          </cell>
          <cell r="HK16">
            <v>-0.2</v>
          </cell>
        </row>
        <row r="17">
          <cell r="BC17">
            <v>1064</v>
          </cell>
          <cell r="BD17">
            <v>62676</v>
          </cell>
          <cell r="DF17">
            <v>-0.5</v>
          </cell>
          <cell r="FH17">
            <v>1233</v>
          </cell>
          <cell r="FI17">
            <v>62968</v>
          </cell>
          <cell r="HK17">
            <v>0.3</v>
          </cell>
        </row>
        <row r="18">
          <cell r="BC18">
            <v>1460</v>
          </cell>
          <cell r="BD18">
            <v>62238</v>
          </cell>
          <cell r="DF18">
            <v>-0.7</v>
          </cell>
          <cell r="FH18">
            <v>1536</v>
          </cell>
          <cell r="FI18">
            <v>62276</v>
          </cell>
          <cell r="HK18">
            <v>-1.1000000000000001</v>
          </cell>
        </row>
        <row r="19">
          <cell r="BC19">
            <v>1458</v>
          </cell>
          <cell r="BD19">
            <v>62108</v>
          </cell>
          <cell r="DF19">
            <v>-0.2</v>
          </cell>
          <cell r="FH19">
            <v>1430</v>
          </cell>
          <cell r="FI19">
            <v>61832</v>
          </cell>
          <cell r="HK19">
            <v>-0.7</v>
          </cell>
        </row>
        <row r="20">
          <cell r="BC20">
            <v>1426</v>
          </cell>
          <cell r="BD20">
            <v>62772</v>
          </cell>
          <cell r="DF20">
            <v>1.1000000000000001</v>
          </cell>
          <cell r="FH20">
            <v>1360</v>
          </cell>
          <cell r="FI20">
            <v>62536</v>
          </cell>
          <cell r="HK20">
            <v>1.1000000000000001</v>
          </cell>
        </row>
        <row r="21">
          <cell r="BC21">
            <v>1443</v>
          </cell>
          <cell r="BD21">
            <v>64041</v>
          </cell>
          <cell r="DF21">
            <v>2</v>
          </cell>
          <cell r="FH21">
            <v>1286</v>
          </cell>
          <cell r="FI21">
            <v>64290</v>
          </cell>
          <cell r="HK21">
            <v>2.8</v>
          </cell>
        </row>
        <row r="22">
          <cell r="BC22">
            <v>1333</v>
          </cell>
          <cell r="BD22">
            <v>65267</v>
          </cell>
          <cell r="DF22">
            <v>1.9</v>
          </cell>
          <cell r="FH22">
            <v>1714</v>
          </cell>
          <cell r="FI22">
            <v>65521</v>
          </cell>
          <cell r="HK22">
            <v>1.9</v>
          </cell>
        </row>
        <row r="23">
          <cell r="BC23">
            <v>1017</v>
          </cell>
          <cell r="BD23">
            <v>66402</v>
          </cell>
          <cell r="DF23">
            <v>1.7</v>
          </cell>
          <cell r="FH23">
            <v>876</v>
          </cell>
          <cell r="FI23">
            <v>66055</v>
          </cell>
          <cell r="HK23">
            <v>0.8</v>
          </cell>
        </row>
        <row r="24">
          <cell r="BC24">
            <v>738</v>
          </cell>
          <cell r="BD24">
            <v>67256</v>
          </cell>
          <cell r="DF24">
            <v>1.3</v>
          </cell>
          <cell r="FH24">
            <v>613</v>
          </cell>
          <cell r="FI24">
            <v>67240</v>
          </cell>
          <cell r="HK24">
            <v>1.8</v>
          </cell>
        </row>
        <row r="25">
          <cell r="BC25">
            <v>745</v>
          </cell>
          <cell r="BD25">
            <v>68013</v>
          </cell>
          <cell r="DF25">
            <v>1.1000000000000001</v>
          </cell>
          <cell r="FH25">
            <v>707</v>
          </cell>
          <cell r="FI25">
            <v>68790</v>
          </cell>
          <cell r="HK25">
            <v>2.2999999999999998</v>
          </cell>
        </row>
        <row r="26">
          <cell r="BC26">
            <v>978</v>
          </cell>
          <cell r="BD26">
            <v>69049</v>
          </cell>
          <cell r="DF26">
            <v>1.5</v>
          </cell>
          <cell r="FH26">
            <v>1112</v>
          </cell>
          <cell r="FI26">
            <v>67890</v>
          </cell>
          <cell r="HK26">
            <v>-1.3</v>
          </cell>
        </row>
        <row r="27">
          <cell r="BC27">
            <v>1196</v>
          </cell>
          <cell r="BD27">
            <v>70290</v>
          </cell>
          <cell r="DF27">
            <v>1.8</v>
          </cell>
          <cell r="FH27">
            <v>1190</v>
          </cell>
          <cell r="FI27">
            <v>70675</v>
          </cell>
          <cell r="HK27">
            <v>4.0999999999999996</v>
          </cell>
        </row>
        <row r="28">
          <cell r="BC28">
            <v>1413</v>
          </cell>
          <cell r="BD28">
            <v>71636</v>
          </cell>
          <cell r="DF28">
            <v>1.9</v>
          </cell>
          <cell r="FH28">
            <v>1266</v>
          </cell>
          <cell r="FI28">
            <v>72195</v>
          </cell>
          <cell r="HK28">
            <v>2.2000000000000002</v>
          </cell>
        </row>
        <row r="29">
          <cell r="BC29">
            <v>1522</v>
          </cell>
          <cell r="BD29">
            <v>72678</v>
          </cell>
          <cell r="DF29">
            <v>1.5</v>
          </cell>
          <cell r="FH29">
            <v>1645</v>
          </cell>
          <cell r="FI29">
            <v>72083</v>
          </cell>
          <cell r="HK29">
            <v>-0.2</v>
          </cell>
        </row>
        <row r="30">
          <cell r="BC30">
            <v>1443</v>
          </cell>
          <cell r="BD30">
            <v>73526</v>
          </cell>
          <cell r="DF30">
            <v>1.2</v>
          </cell>
          <cell r="FH30">
            <v>1634</v>
          </cell>
          <cell r="FI30">
            <v>73863</v>
          </cell>
          <cell r="HK30">
            <v>2.5</v>
          </cell>
        </row>
        <row r="31">
          <cell r="BC31">
            <v>1321</v>
          </cell>
          <cell r="BD31">
            <v>74727</v>
          </cell>
          <cell r="DF31">
            <v>1.6</v>
          </cell>
          <cell r="FH31">
            <v>1054</v>
          </cell>
          <cell r="FI31">
            <v>74319</v>
          </cell>
          <cell r="HK31">
            <v>0.6</v>
          </cell>
        </row>
        <row r="32">
          <cell r="BC32">
            <v>1346</v>
          </cell>
          <cell r="BD32">
            <v>76116</v>
          </cell>
          <cell r="DF32">
            <v>1.9</v>
          </cell>
          <cell r="FH32">
            <v>1278</v>
          </cell>
          <cell r="FI32">
            <v>76430</v>
          </cell>
          <cell r="HK32">
            <v>2.8</v>
          </cell>
        </row>
        <row r="33">
          <cell r="BC33">
            <v>1558</v>
          </cell>
          <cell r="BD33">
            <v>77253</v>
          </cell>
          <cell r="DF33">
            <v>1.5</v>
          </cell>
          <cell r="FH33">
            <v>1761</v>
          </cell>
          <cell r="FI33">
            <v>77070</v>
          </cell>
          <cell r="HK33">
            <v>0.8</v>
          </cell>
        </row>
        <row r="34">
          <cell r="BC34">
            <v>1735</v>
          </cell>
          <cell r="BD34">
            <v>77994</v>
          </cell>
          <cell r="DF34">
            <v>1</v>
          </cell>
          <cell r="FH34">
            <v>1622</v>
          </cell>
          <cell r="FI34">
            <v>78279</v>
          </cell>
          <cell r="HK34">
            <v>1.6</v>
          </cell>
        </row>
        <row r="35">
          <cell r="BC35">
            <v>1639</v>
          </cell>
          <cell r="BD35">
            <v>78149</v>
          </cell>
          <cell r="DF35">
            <v>0.2</v>
          </cell>
          <cell r="FH35">
            <v>1759</v>
          </cell>
          <cell r="FI35">
            <v>78051</v>
          </cell>
          <cell r="HK35">
            <v>-0.3</v>
          </cell>
        </row>
        <row r="36">
          <cell r="BC36">
            <v>1565</v>
          </cell>
          <cell r="BD36">
            <v>78058</v>
          </cell>
          <cell r="DF36">
            <v>-0.1</v>
          </cell>
          <cell r="FH36">
            <v>1524</v>
          </cell>
          <cell r="FI36">
            <v>78241</v>
          </cell>
          <cell r="HK36">
            <v>0.2</v>
          </cell>
        </row>
        <row r="37">
          <cell r="BC37">
            <v>1484</v>
          </cell>
          <cell r="BD37">
            <v>78350</v>
          </cell>
          <cell r="DF37">
            <v>0.4</v>
          </cell>
          <cell r="FH37">
            <v>1197</v>
          </cell>
          <cell r="FI37">
            <v>78014</v>
          </cell>
          <cell r="HK37">
            <v>-0.3</v>
          </cell>
        </row>
        <row r="38">
          <cell r="BC38">
            <v>1225</v>
          </cell>
          <cell r="BD38">
            <v>79250</v>
          </cell>
          <cell r="DF38">
            <v>1.1000000000000001</v>
          </cell>
          <cell r="FH38">
            <v>1863</v>
          </cell>
          <cell r="FI38">
            <v>79083</v>
          </cell>
          <cell r="HK38">
            <v>1.4</v>
          </cell>
        </row>
        <row r="39">
          <cell r="BC39">
            <v>1023</v>
          </cell>
          <cell r="BD39">
            <v>80813</v>
          </cell>
          <cell r="DF39">
            <v>2</v>
          </cell>
          <cell r="FH39">
            <v>568</v>
          </cell>
          <cell r="FI39">
            <v>81320</v>
          </cell>
          <cell r="HK39">
            <v>2.8</v>
          </cell>
        </row>
        <row r="40">
          <cell r="BC40">
            <v>975</v>
          </cell>
          <cell r="BD40">
            <v>82602</v>
          </cell>
          <cell r="DF40">
            <v>2.2000000000000002</v>
          </cell>
          <cell r="FH40">
            <v>791</v>
          </cell>
          <cell r="FI40">
            <v>81851</v>
          </cell>
          <cell r="HK40">
            <v>0.7</v>
          </cell>
        </row>
        <row r="41">
          <cell r="BC41">
            <v>1108</v>
          </cell>
          <cell r="BD41">
            <v>84160</v>
          </cell>
          <cell r="DF41">
            <v>1.9</v>
          </cell>
          <cell r="FH41">
            <v>1620</v>
          </cell>
          <cell r="FI41">
            <v>85046</v>
          </cell>
          <cell r="HK41">
            <v>3.9</v>
          </cell>
        </row>
        <row r="42">
          <cell r="BC42">
            <v>1615</v>
          </cell>
          <cell r="BD42">
            <v>85507</v>
          </cell>
          <cell r="DF42">
            <v>1.6</v>
          </cell>
          <cell r="FH42">
            <v>1142</v>
          </cell>
          <cell r="FI42">
            <v>84926</v>
          </cell>
          <cell r="HK42">
            <v>-0.1</v>
          </cell>
        </row>
        <row r="43">
          <cell r="BC43">
            <v>1709</v>
          </cell>
          <cell r="BD43">
            <v>86266</v>
          </cell>
          <cell r="DF43">
            <v>0.9</v>
          </cell>
          <cell r="FH43">
            <v>1700</v>
          </cell>
          <cell r="FI43">
            <v>86523</v>
          </cell>
          <cell r="HK43">
            <v>1.9</v>
          </cell>
        </row>
        <row r="44">
          <cell r="BC44">
            <v>1635</v>
          </cell>
          <cell r="BD44">
            <v>86749</v>
          </cell>
          <cell r="DF44">
            <v>0.6</v>
          </cell>
          <cell r="FH44">
            <v>2588</v>
          </cell>
          <cell r="FI44">
            <v>87273</v>
          </cell>
          <cell r="HK44">
            <v>0.9</v>
          </cell>
        </row>
        <row r="45">
          <cell r="BC45">
            <v>1346</v>
          </cell>
          <cell r="BD45">
            <v>87597</v>
          </cell>
          <cell r="DF45">
            <v>1</v>
          </cell>
          <cell r="FH45">
            <v>-57</v>
          </cell>
          <cell r="FI45">
            <v>86496</v>
          </cell>
          <cell r="HK45">
            <v>-0.9</v>
          </cell>
        </row>
        <row r="46">
          <cell r="BC46">
            <v>1200</v>
          </cell>
          <cell r="BD46">
            <v>89270</v>
          </cell>
          <cell r="DF46">
            <v>1.9</v>
          </cell>
          <cell r="FH46">
            <v>2265</v>
          </cell>
          <cell r="FI46">
            <v>89825</v>
          </cell>
          <cell r="HK46">
            <v>3.8</v>
          </cell>
        </row>
        <row r="47">
          <cell r="BC47">
            <v>1172</v>
          </cell>
          <cell r="BD47">
            <v>91487</v>
          </cell>
          <cell r="DF47">
            <v>2.5</v>
          </cell>
          <cell r="FH47">
            <v>347</v>
          </cell>
          <cell r="FI47">
            <v>90989</v>
          </cell>
          <cell r="HK47">
            <v>1.3</v>
          </cell>
        </row>
        <row r="48">
          <cell r="BC48">
            <v>912</v>
          </cell>
          <cell r="BD48">
            <v>93299</v>
          </cell>
          <cell r="DF48">
            <v>2</v>
          </cell>
          <cell r="FH48">
            <v>1858</v>
          </cell>
          <cell r="FI48">
            <v>94383</v>
          </cell>
          <cell r="HK48">
            <v>3.7</v>
          </cell>
        </row>
        <row r="49">
          <cell r="BC49">
            <v>342</v>
          </cell>
          <cell r="BD49">
            <v>94440</v>
          </cell>
          <cell r="DF49">
            <v>1.2</v>
          </cell>
          <cell r="FH49">
            <v>-323</v>
          </cell>
          <cell r="FI49">
            <v>93754</v>
          </cell>
          <cell r="HK49">
            <v>-0.7</v>
          </cell>
        </row>
        <row r="50">
          <cell r="BC50">
            <v>21</v>
          </cell>
          <cell r="BD50">
            <v>95669</v>
          </cell>
          <cell r="DF50">
            <v>1.3</v>
          </cell>
          <cell r="FH50">
            <v>135</v>
          </cell>
          <cell r="FI50">
            <v>95657</v>
          </cell>
          <cell r="HK50">
            <v>2</v>
          </cell>
        </row>
        <row r="51">
          <cell r="BC51">
            <v>2</v>
          </cell>
          <cell r="BD51">
            <v>97318</v>
          </cell>
          <cell r="DF51">
            <v>1.7</v>
          </cell>
          <cell r="FH51">
            <v>104</v>
          </cell>
          <cell r="FI51">
            <v>97328</v>
          </cell>
          <cell r="HK51">
            <v>1.7</v>
          </cell>
        </row>
        <row r="52">
          <cell r="BC52">
            <v>447</v>
          </cell>
          <cell r="BD52">
            <v>99577</v>
          </cell>
          <cell r="DF52">
            <v>2.2999999999999998</v>
          </cell>
          <cell r="FH52">
            <v>70</v>
          </cell>
          <cell r="FI52">
            <v>99466</v>
          </cell>
          <cell r="HK52">
            <v>2.2000000000000002</v>
          </cell>
        </row>
        <row r="53">
          <cell r="BC53">
            <v>583</v>
          </cell>
          <cell r="BD53">
            <v>101424</v>
          </cell>
          <cell r="DF53">
            <v>1.9</v>
          </cell>
          <cell r="FH53">
            <v>1087</v>
          </cell>
          <cell r="FI53">
            <v>101500</v>
          </cell>
          <cell r="HK53">
            <v>2</v>
          </cell>
        </row>
        <row r="54">
          <cell r="BC54">
            <v>588</v>
          </cell>
          <cell r="BD54">
            <v>102811</v>
          </cell>
          <cell r="DF54">
            <v>1.4</v>
          </cell>
          <cell r="FH54">
            <v>626</v>
          </cell>
          <cell r="FI54">
            <v>103369</v>
          </cell>
          <cell r="HK54">
            <v>1.8</v>
          </cell>
        </row>
        <row r="55">
          <cell r="BC55">
            <v>514</v>
          </cell>
          <cell r="BD55">
            <v>103724</v>
          </cell>
          <cell r="DF55">
            <v>0.9</v>
          </cell>
          <cell r="FH55">
            <v>-69</v>
          </cell>
          <cell r="FI55">
            <v>102851</v>
          </cell>
          <cell r="HK55">
            <v>-0.5</v>
          </cell>
        </row>
        <row r="56">
          <cell r="BC56">
            <v>555</v>
          </cell>
          <cell r="BD56">
            <v>104184</v>
          </cell>
          <cell r="DF56">
            <v>0.4</v>
          </cell>
          <cell r="FH56">
            <v>1097</v>
          </cell>
          <cell r="FI56">
            <v>104997</v>
          </cell>
          <cell r="HK56">
            <v>2.1</v>
          </cell>
        </row>
        <row r="57">
          <cell r="BC57">
            <v>798</v>
          </cell>
          <cell r="BD57">
            <v>104918</v>
          </cell>
          <cell r="DF57">
            <v>0.7</v>
          </cell>
          <cell r="FH57">
            <v>542</v>
          </cell>
          <cell r="FI57">
            <v>104703</v>
          </cell>
          <cell r="HK57">
            <v>-0.3</v>
          </cell>
        </row>
        <row r="58">
          <cell r="BC58">
            <v>889</v>
          </cell>
          <cell r="BD58">
            <v>106275</v>
          </cell>
          <cell r="DF58">
            <v>1.3</v>
          </cell>
          <cell r="FH58">
            <v>936</v>
          </cell>
          <cell r="FI58">
            <v>105194</v>
          </cell>
          <cell r="HK58">
            <v>0.5</v>
          </cell>
        </row>
        <row r="59">
          <cell r="BC59">
            <v>919</v>
          </cell>
          <cell r="BD59">
            <v>107448</v>
          </cell>
          <cell r="DF59">
            <v>1.1000000000000001</v>
          </cell>
          <cell r="FH59">
            <v>1098</v>
          </cell>
          <cell r="FI59">
            <v>108707</v>
          </cell>
          <cell r="HK59">
            <v>3.3</v>
          </cell>
        </row>
        <row r="60">
          <cell r="BC60">
            <v>1070</v>
          </cell>
          <cell r="BD60">
            <v>108254</v>
          </cell>
          <cell r="DF60">
            <v>0.8</v>
          </cell>
          <cell r="FH60">
            <v>795</v>
          </cell>
          <cell r="FI60">
            <v>108454</v>
          </cell>
          <cell r="HK60">
            <v>-0.2</v>
          </cell>
        </row>
        <row r="61">
          <cell r="BC61">
            <v>1472</v>
          </cell>
          <cell r="BD61">
            <v>108463</v>
          </cell>
          <cell r="DF61">
            <v>0.2</v>
          </cell>
          <cell r="FH61">
            <v>1609</v>
          </cell>
          <cell r="FI61">
            <v>107307</v>
          </cell>
          <cell r="HK61">
            <v>-1.1000000000000001</v>
          </cell>
        </row>
        <row r="62">
          <cell r="BC62">
            <v>2133</v>
          </cell>
          <cell r="BD62">
            <v>108591</v>
          </cell>
          <cell r="DF62">
            <v>0.1</v>
          </cell>
          <cell r="FH62">
            <v>1777</v>
          </cell>
          <cell r="FI62">
            <v>109620</v>
          </cell>
          <cell r="HK62">
            <v>2.2000000000000002</v>
          </cell>
        </row>
        <row r="63">
          <cell r="BC63">
            <v>2514</v>
          </cell>
          <cell r="BD63">
            <v>109466</v>
          </cell>
          <cell r="DF63">
            <v>0.8</v>
          </cell>
          <cell r="FH63">
            <v>3074</v>
          </cell>
          <cell r="FI63">
            <v>109044</v>
          </cell>
          <cell r="HK63">
            <v>-0.5</v>
          </cell>
        </row>
        <row r="64">
          <cell r="BC64">
            <v>2456</v>
          </cell>
          <cell r="BD64">
            <v>110743</v>
          </cell>
          <cell r="DF64">
            <v>1.2</v>
          </cell>
          <cell r="FH64">
            <v>2334</v>
          </cell>
          <cell r="FI64">
            <v>110178</v>
          </cell>
          <cell r="HK64">
            <v>1</v>
          </cell>
        </row>
        <row r="65">
          <cell r="BC65">
            <v>2034</v>
          </cell>
          <cell r="BD65">
            <v>112029</v>
          </cell>
          <cell r="DF65">
            <v>1.2</v>
          </cell>
          <cell r="FH65">
            <v>1615</v>
          </cell>
          <cell r="FI65">
            <v>112997</v>
          </cell>
          <cell r="HK65">
            <v>2.6</v>
          </cell>
        </row>
        <row r="66">
          <cell r="BC66">
            <v>1144</v>
          </cell>
          <cell r="BD66">
            <v>113544</v>
          </cell>
          <cell r="DF66">
            <v>1.4</v>
          </cell>
          <cell r="FH66">
            <v>1782</v>
          </cell>
          <cell r="FI66">
            <v>113213</v>
          </cell>
          <cell r="HK66">
            <v>0.2</v>
          </cell>
        </row>
        <row r="67">
          <cell r="BC67">
            <v>33</v>
          </cell>
          <cell r="BD67">
            <v>115157</v>
          </cell>
          <cell r="DF67">
            <v>1.4</v>
          </cell>
          <cell r="FH67">
            <v>-28</v>
          </cell>
          <cell r="FI67">
            <v>114334</v>
          </cell>
          <cell r="HK67">
            <v>1</v>
          </cell>
        </row>
        <row r="68">
          <cell r="BC68">
            <v>-982</v>
          </cell>
          <cell r="BD68">
            <v>116314</v>
          </cell>
          <cell r="DF68">
            <v>1</v>
          </cell>
          <cell r="FH68">
            <v>-1426</v>
          </cell>
          <cell r="FI68">
            <v>117225</v>
          </cell>
          <cell r="HK68">
            <v>2.5</v>
          </cell>
        </row>
        <row r="69">
          <cell r="BC69">
            <v>-1231</v>
          </cell>
          <cell r="BD69">
            <v>116614</v>
          </cell>
          <cell r="DF69">
            <v>0.3</v>
          </cell>
          <cell r="FH69">
            <v>-1183</v>
          </cell>
          <cell r="FI69">
            <v>117251</v>
          </cell>
          <cell r="HK69">
            <v>0</v>
          </cell>
        </row>
        <row r="70">
          <cell r="BC70">
            <v>-864</v>
          </cell>
          <cell r="BD70">
            <v>116145</v>
          </cell>
          <cell r="DF70">
            <v>-0.4</v>
          </cell>
          <cell r="FH70">
            <v>-876</v>
          </cell>
          <cell r="FI70">
            <v>114904</v>
          </cell>
          <cell r="HK70">
            <v>-2</v>
          </cell>
        </row>
        <row r="71">
          <cell r="B71">
            <v>3433</v>
          </cell>
          <cell r="C71">
            <v>701</v>
          </cell>
          <cell r="D71">
            <v>3985</v>
          </cell>
          <cell r="I71">
            <v>3351</v>
          </cell>
          <cell r="K71">
            <v>3979</v>
          </cell>
          <cell r="Q71">
            <v>17757</v>
          </cell>
          <cell r="R71">
            <v>1827</v>
          </cell>
          <cell r="S71">
            <v>20</v>
          </cell>
          <cell r="T71">
            <v>2116</v>
          </cell>
          <cell r="U71">
            <v>3635</v>
          </cell>
          <cell r="Y71">
            <v>8332</v>
          </cell>
          <cell r="Z71">
            <v>5855</v>
          </cell>
          <cell r="AA71">
            <v>4955</v>
          </cell>
          <cell r="AB71">
            <v>3351</v>
          </cell>
          <cell r="AC71">
            <v>1343</v>
          </cell>
          <cell r="AD71">
            <v>254</v>
          </cell>
          <cell r="AE71">
            <v>999</v>
          </cell>
          <cell r="AF71">
            <v>2685</v>
          </cell>
          <cell r="AG71">
            <v>4792</v>
          </cell>
          <cell r="AJ71">
            <v>1103</v>
          </cell>
          <cell r="AM71">
            <v>5260</v>
          </cell>
          <cell r="AP71">
            <v>2657</v>
          </cell>
          <cell r="AS71">
            <v>4174</v>
          </cell>
          <cell r="AT71">
            <v>2662</v>
          </cell>
          <cell r="AU71">
            <v>7759</v>
          </cell>
          <cell r="AV71">
            <v>5786</v>
          </cell>
          <cell r="AW71">
            <v>4969</v>
          </cell>
          <cell r="AX71">
            <v>805</v>
          </cell>
          <cell r="AY71">
            <v>2872</v>
          </cell>
          <cell r="AZ71">
            <v>10328</v>
          </cell>
          <cell r="BA71">
            <v>106468</v>
          </cell>
          <cell r="BB71">
            <v>11069</v>
          </cell>
          <cell r="BC71">
            <v>-585</v>
          </cell>
          <cell r="BD71">
            <v>115703</v>
          </cell>
          <cell r="DF71">
            <v>-0.4</v>
          </cell>
          <cell r="DG71">
            <v>3184</v>
          </cell>
          <cell r="DH71">
            <v>711</v>
          </cell>
          <cell r="DI71">
            <v>3734</v>
          </cell>
          <cell r="DN71">
            <v>3197</v>
          </cell>
          <cell r="DP71">
            <v>3793</v>
          </cell>
          <cell r="DV71">
            <v>17874</v>
          </cell>
          <cell r="DW71">
            <v>1836</v>
          </cell>
          <cell r="DX71">
            <v>21</v>
          </cell>
          <cell r="DY71">
            <v>2130</v>
          </cell>
          <cell r="DZ71">
            <v>3656</v>
          </cell>
          <cell r="ED71">
            <v>8245</v>
          </cell>
          <cell r="EE71">
            <v>5801</v>
          </cell>
          <cell r="EF71">
            <v>5004</v>
          </cell>
          <cell r="EG71">
            <v>3346</v>
          </cell>
          <cell r="EH71">
            <v>1392</v>
          </cell>
          <cell r="EI71">
            <v>257</v>
          </cell>
          <cell r="EJ71">
            <v>983</v>
          </cell>
          <cell r="EK71">
            <v>2703</v>
          </cell>
          <cell r="EL71">
            <v>4895</v>
          </cell>
          <cell r="EO71">
            <v>1110</v>
          </cell>
          <cell r="ER71">
            <v>5251</v>
          </cell>
          <cell r="EU71">
            <v>2657</v>
          </cell>
          <cell r="EX71">
            <v>4174</v>
          </cell>
          <cell r="EY71">
            <v>2662</v>
          </cell>
          <cell r="EZ71">
            <v>7768</v>
          </cell>
          <cell r="FA71">
            <v>5718</v>
          </cell>
          <cell r="FB71">
            <v>4918</v>
          </cell>
          <cell r="FC71">
            <v>795</v>
          </cell>
          <cell r="FD71">
            <v>2895</v>
          </cell>
          <cell r="FE71">
            <v>10323</v>
          </cell>
          <cell r="FF71">
            <v>106132</v>
          </cell>
          <cell r="FG71">
            <v>10775</v>
          </cell>
          <cell r="FH71">
            <v>-63</v>
          </cell>
          <cell r="FI71">
            <v>116292</v>
          </cell>
          <cell r="HK71">
            <v>1.2</v>
          </cell>
          <cell r="HL71">
            <v>2320</v>
          </cell>
          <cell r="HM71">
            <v>743</v>
          </cell>
          <cell r="HN71">
            <v>2861</v>
          </cell>
          <cell r="HS71">
            <v>3227</v>
          </cell>
          <cell r="HU71">
            <v>3827</v>
          </cell>
          <cell r="IA71">
            <v>17899</v>
          </cell>
          <cell r="IB71">
            <v>2015</v>
          </cell>
          <cell r="IC71">
            <v>24</v>
          </cell>
          <cell r="ID71">
            <v>1963</v>
          </cell>
          <cell r="IE71">
            <v>3768</v>
          </cell>
          <cell r="II71">
            <v>7981</v>
          </cell>
          <cell r="IJ71">
            <v>5800</v>
          </cell>
          <cell r="IK71">
            <v>4957</v>
          </cell>
          <cell r="IL71">
            <v>3245</v>
          </cell>
          <cell r="IM71">
            <v>1460</v>
          </cell>
          <cell r="IN71">
            <v>270</v>
          </cell>
          <cell r="IO71">
            <v>1024</v>
          </cell>
          <cell r="IP71">
            <v>2741</v>
          </cell>
          <cell r="IQ71">
            <v>5099</v>
          </cell>
        </row>
        <row r="72">
          <cell r="B72">
            <v>3672</v>
          </cell>
          <cell r="C72">
            <v>686</v>
          </cell>
          <cell r="D72">
            <v>4222</v>
          </cell>
          <cell r="I72">
            <v>3504</v>
          </cell>
          <cell r="K72">
            <v>4167</v>
          </cell>
          <cell r="Q72">
            <v>16853</v>
          </cell>
          <cell r="R72">
            <v>1822</v>
          </cell>
          <cell r="S72">
            <v>22</v>
          </cell>
          <cell r="T72">
            <v>2144</v>
          </cell>
          <cell r="U72">
            <v>3653</v>
          </cell>
          <cell r="Y72">
            <v>8304</v>
          </cell>
          <cell r="Z72">
            <v>5788</v>
          </cell>
          <cell r="AA72">
            <v>5005</v>
          </cell>
          <cell r="AB72">
            <v>3402</v>
          </cell>
          <cell r="AC72">
            <v>1287</v>
          </cell>
          <cell r="AD72">
            <v>262</v>
          </cell>
          <cell r="AE72">
            <v>993</v>
          </cell>
          <cell r="AF72">
            <v>2682</v>
          </cell>
          <cell r="AG72">
            <v>4703</v>
          </cell>
          <cell r="AJ72">
            <v>1071</v>
          </cell>
          <cell r="AM72">
            <v>5237</v>
          </cell>
          <cell r="AP72">
            <v>2627</v>
          </cell>
          <cell r="AS72">
            <v>4127</v>
          </cell>
          <cell r="AT72">
            <v>2631</v>
          </cell>
          <cell r="AU72">
            <v>7897</v>
          </cell>
          <cell r="AV72">
            <v>5950</v>
          </cell>
          <cell r="AW72">
            <v>5057</v>
          </cell>
          <cell r="AX72">
            <v>825</v>
          </cell>
          <cell r="AY72">
            <v>2858</v>
          </cell>
          <cell r="AZ72">
            <v>10454</v>
          </cell>
          <cell r="BA72">
            <v>105734</v>
          </cell>
          <cell r="BB72">
            <v>11215</v>
          </cell>
          <cell r="BC72">
            <v>-244</v>
          </cell>
          <cell r="BD72">
            <v>116435</v>
          </cell>
          <cell r="BE72">
            <v>7</v>
          </cell>
          <cell r="BF72">
            <v>-2.2000000000000002</v>
          </cell>
          <cell r="BG72">
            <v>5.9</v>
          </cell>
          <cell r="BL72">
            <v>4.5999999999999996</v>
          </cell>
          <cell r="BN72">
            <v>4.7</v>
          </cell>
          <cell r="BT72">
            <v>-5.0999999999999996</v>
          </cell>
          <cell r="BU72">
            <v>-0.3</v>
          </cell>
          <cell r="BV72">
            <v>11</v>
          </cell>
          <cell r="BW72">
            <v>1.3</v>
          </cell>
          <cell r="BX72">
            <v>0.5</v>
          </cell>
          <cell r="CB72">
            <v>-0.3</v>
          </cell>
          <cell r="CC72">
            <v>-1.1000000000000001</v>
          </cell>
          <cell r="CD72">
            <v>1</v>
          </cell>
          <cell r="CE72">
            <v>1.5</v>
          </cell>
          <cell r="CF72">
            <v>-4.0999999999999996</v>
          </cell>
          <cell r="CG72">
            <v>3.2</v>
          </cell>
          <cell r="CH72">
            <v>-0.6</v>
          </cell>
          <cell r="CI72">
            <v>-0.1</v>
          </cell>
          <cell r="CJ72">
            <v>-1.9</v>
          </cell>
          <cell r="CM72">
            <v>-2.9</v>
          </cell>
          <cell r="CP72">
            <v>-0.4</v>
          </cell>
          <cell r="CS72">
            <v>-1.1000000000000001</v>
          </cell>
          <cell r="CV72">
            <v>-1.1000000000000001</v>
          </cell>
          <cell r="CW72">
            <v>-1.1000000000000001</v>
          </cell>
          <cell r="CX72">
            <v>1.8</v>
          </cell>
          <cell r="CY72">
            <v>2.8</v>
          </cell>
          <cell r="CZ72">
            <v>1.8</v>
          </cell>
          <cell r="DA72">
            <v>2.4</v>
          </cell>
          <cell r="DB72">
            <v>-0.5</v>
          </cell>
          <cell r="DC72">
            <v>1.2</v>
          </cell>
          <cell r="DD72">
            <v>-0.7</v>
          </cell>
          <cell r="DE72">
            <v>1.3</v>
          </cell>
          <cell r="DF72">
            <v>0.6</v>
          </cell>
          <cell r="DG72">
            <v>3921</v>
          </cell>
          <cell r="DH72">
            <v>681</v>
          </cell>
          <cell r="DI72">
            <v>4476</v>
          </cell>
          <cell r="DN72">
            <v>3602</v>
          </cell>
          <cell r="DP72">
            <v>4287</v>
          </cell>
          <cell r="DV72">
            <v>17208</v>
          </cell>
          <cell r="DW72">
            <v>1830</v>
          </cell>
          <cell r="DX72">
            <v>22</v>
          </cell>
          <cell r="DY72">
            <v>2111</v>
          </cell>
          <cell r="DZ72">
            <v>3640</v>
          </cell>
          <cell r="ED72">
            <v>8343</v>
          </cell>
          <cell r="EE72">
            <v>5886</v>
          </cell>
          <cell r="EF72">
            <v>4928</v>
          </cell>
          <cell r="EG72">
            <v>3388</v>
          </cell>
          <cell r="EH72">
            <v>1274</v>
          </cell>
          <cell r="EI72">
            <v>256</v>
          </cell>
          <cell r="EJ72">
            <v>1007</v>
          </cell>
          <cell r="EK72">
            <v>2646</v>
          </cell>
          <cell r="EL72">
            <v>4654</v>
          </cell>
          <cell r="EO72">
            <v>1073</v>
          </cell>
          <cell r="ER72">
            <v>5253</v>
          </cell>
          <cell r="EU72">
            <v>2637</v>
          </cell>
          <cell r="EX72">
            <v>4142</v>
          </cell>
          <cell r="EY72">
            <v>2641</v>
          </cell>
          <cell r="EZ72">
            <v>7883</v>
          </cell>
          <cell r="FA72">
            <v>5978</v>
          </cell>
          <cell r="FB72">
            <v>5078</v>
          </cell>
          <cell r="FC72">
            <v>836</v>
          </cell>
          <cell r="FD72">
            <v>2848</v>
          </cell>
          <cell r="FE72">
            <v>10457</v>
          </cell>
          <cell r="FF72">
            <v>106634</v>
          </cell>
          <cell r="FG72">
            <v>11520</v>
          </cell>
          <cell r="FH72">
            <v>-743</v>
          </cell>
          <cell r="FI72">
            <v>116394</v>
          </cell>
          <cell r="FJ72">
            <v>23.1</v>
          </cell>
          <cell r="FK72">
            <v>-4.2</v>
          </cell>
          <cell r="FL72">
            <v>19.899999999999999</v>
          </cell>
          <cell r="FQ72">
            <v>12.7</v>
          </cell>
          <cell r="FS72">
            <v>13</v>
          </cell>
          <cell r="FY72">
            <v>-3.7</v>
          </cell>
          <cell r="FZ72">
            <v>-0.3</v>
          </cell>
          <cell r="GA72">
            <v>7.3</v>
          </cell>
          <cell r="GB72">
            <v>-0.9</v>
          </cell>
          <cell r="GC72">
            <v>-0.4</v>
          </cell>
          <cell r="GG72">
            <v>1.2</v>
          </cell>
          <cell r="GH72">
            <v>1.5</v>
          </cell>
          <cell r="GI72">
            <v>-1.5</v>
          </cell>
          <cell r="GJ72">
            <v>1.3</v>
          </cell>
          <cell r="GK72">
            <v>-8.4</v>
          </cell>
          <cell r="GL72">
            <v>-0.4</v>
          </cell>
          <cell r="GM72">
            <v>2.4</v>
          </cell>
          <cell r="GN72">
            <v>-2.1</v>
          </cell>
          <cell r="GO72">
            <v>-4.9000000000000004</v>
          </cell>
          <cell r="GR72">
            <v>-3.4</v>
          </cell>
          <cell r="GU72">
            <v>0.1</v>
          </cell>
          <cell r="GX72">
            <v>-0.8</v>
          </cell>
          <cell r="HA72">
            <v>-0.8</v>
          </cell>
          <cell r="HB72">
            <v>-0.8</v>
          </cell>
          <cell r="HC72">
            <v>1.5</v>
          </cell>
          <cell r="HD72">
            <v>4.5</v>
          </cell>
          <cell r="HE72">
            <v>3.3</v>
          </cell>
          <cell r="HF72">
            <v>5.0999999999999996</v>
          </cell>
          <cell r="HG72">
            <v>-1.6</v>
          </cell>
          <cell r="HH72">
            <v>1.3</v>
          </cell>
          <cell r="HI72">
            <v>0.5</v>
          </cell>
          <cell r="HJ72">
            <v>6.9</v>
          </cell>
          <cell r="HK72">
            <v>0.1</v>
          </cell>
          <cell r="HL72">
            <v>6616</v>
          </cell>
          <cell r="HM72">
            <v>691</v>
          </cell>
          <cell r="HN72">
            <v>7265</v>
          </cell>
          <cell r="HS72">
            <v>3686</v>
          </cell>
          <cell r="HU72">
            <v>4378</v>
          </cell>
          <cell r="IA72">
            <v>17223</v>
          </cell>
          <cell r="IB72">
            <v>1746</v>
          </cell>
          <cell r="IC72">
            <v>21</v>
          </cell>
          <cell r="ID72">
            <v>2204</v>
          </cell>
          <cell r="IE72">
            <v>3599</v>
          </cell>
          <cell r="II72">
            <v>8783</v>
          </cell>
          <cell r="IJ72">
            <v>5886</v>
          </cell>
          <cell r="IK72">
            <v>5362</v>
          </cell>
          <cell r="IL72">
            <v>3650</v>
          </cell>
          <cell r="IM72">
            <v>1338</v>
          </cell>
          <cell r="IN72">
            <v>254</v>
          </cell>
          <cell r="IO72">
            <v>1027</v>
          </cell>
          <cell r="IP72">
            <v>2713</v>
          </cell>
          <cell r="IQ72">
            <v>4804</v>
          </cell>
        </row>
        <row r="73">
          <cell r="B73">
            <v>3846</v>
          </cell>
          <cell r="C73">
            <v>673</v>
          </cell>
          <cell r="D73">
            <v>4394</v>
          </cell>
          <cell r="I73">
            <v>3559</v>
          </cell>
          <cell r="K73">
            <v>4237</v>
          </cell>
          <cell r="Q73">
            <v>16061</v>
          </cell>
          <cell r="R73">
            <v>1817</v>
          </cell>
          <cell r="S73">
            <v>25</v>
          </cell>
          <cell r="T73">
            <v>2174</v>
          </cell>
          <cell r="U73">
            <v>3672</v>
          </cell>
          <cell r="Y73">
            <v>8314</v>
          </cell>
          <cell r="Z73">
            <v>5718</v>
          </cell>
          <cell r="AA73">
            <v>5061</v>
          </cell>
          <cell r="AB73">
            <v>3442</v>
          </cell>
          <cell r="AC73">
            <v>1251</v>
          </cell>
          <cell r="AD73">
            <v>270</v>
          </cell>
          <cell r="AE73">
            <v>978</v>
          </cell>
          <cell r="AF73">
            <v>2672</v>
          </cell>
          <cell r="AG73">
            <v>4645</v>
          </cell>
          <cell r="AJ73">
            <v>1047</v>
          </cell>
          <cell r="AM73">
            <v>5211</v>
          </cell>
          <cell r="AP73">
            <v>2596</v>
          </cell>
          <cell r="AS73">
            <v>4079</v>
          </cell>
          <cell r="AT73">
            <v>2601</v>
          </cell>
          <cell r="AU73">
            <v>8072</v>
          </cell>
          <cell r="AV73">
            <v>6083</v>
          </cell>
          <cell r="AW73">
            <v>5119</v>
          </cell>
          <cell r="AX73">
            <v>846</v>
          </cell>
          <cell r="AY73">
            <v>2859</v>
          </cell>
          <cell r="AZ73">
            <v>10579</v>
          </cell>
          <cell r="BA73">
            <v>105159</v>
          </cell>
          <cell r="BB73">
            <v>11243</v>
          </cell>
          <cell r="BC73">
            <v>458</v>
          </cell>
          <cell r="BD73">
            <v>117949</v>
          </cell>
          <cell r="BE73">
            <v>4.8</v>
          </cell>
          <cell r="BF73">
            <v>-1.9</v>
          </cell>
          <cell r="BG73">
            <v>4.0999999999999996</v>
          </cell>
          <cell r="BL73">
            <v>1.6</v>
          </cell>
          <cell r="BN73">
            <v>1.7</v>
          </cell>
          <cell r="BT73">
            <v>-4.7</v>
          </cell>
          <cell r="BU73">
            <v>-0.3</v>
          </cell>
          <cell r="BV73">
            <v>11.4</v>
          </cell>
          <cell r="BW73">
            <v>1.4</v>
          </cell>
          <cell r="BX73">
            <v>0.5</v>
          </cell>
          <cell r="CB73">
            <v>0.1</v>
          </cell>
          <cell r="CC73">
            <v>-1.2</v>
          </cell>
          <cell r="CD73">
            <v>1.1000000000000001</v>
          </cell>
          <cell r="CE73">
            <v>1.2</v>
          </cell>
          <cell r="CF73">
            <v>-2.8</v>
          </cell>
          <cell r="CG73">
            <v>2.8</v>
          </cell>
          <cell r="CH73">
            <v>-1.6</v>
          </cell>
          <cell r="CI73">
            <v>-0.4</v>
          </cell>
          <cell r="CJ73">
            <v>-1.2</v>
          </cell>
          <cell r="CM73">
            <v>-2.2000000000000002</v>
          </cell>
          <cell r="CP73">
            <v>-0.5</v>
          </cell>
          <cell r="CS73">
            <v>-1.2</v>
          </cell>
          <cell r="CV73">
            <v>-1.2</v>
          </cell>
          <cell r="CW73">
            <v>-1.2</v>
          </cell>
          <cell r="CX73">
            <v>2.2000000000000002</v>
          </cell>
          <cell r="CY73">
            <v>2.2000000000000002</v>
          </cell>
          <cell r="CZ73">
            <v>1.2</v>
          </cell>
          <cell r="DA73">
            <v>2.6</v>
          </cell>
          <cell r="DB73">
            <v>0</v>
          </cell>
          <cell r="DC73">
            <v>1.2</v>
          </cell>
          <cell r="DD73">
            <v>-0.5</v>
          </cell>
          <cell r="DE73">
            <v>0.2</v>
          </cell>
          <cell r="DF73">
            <v>1.3</v>
          </cell>
          <cell r="DG73">
            <v>3785</v>
          </cell>
          <cell r="DH73">
            <v>670</v>
          </cell>
          <cell r="DI73">
            <v>4328</v>
          </cell>
          <cell r="DN73">
            <v>3613</v>
          </cell>
          <cell r="DP73">
            <v>4300</v>
          </cell>
          <cell r="DV73">
            <v>15564</v>
          </cell>
          <cell r="DW73">
            <v>1788</v>
          </cell>
          <cell r="DX73">
            <v>25</v>
          </cell>
          <cell r="DY73">
            <v>2190</v>
          </cell>
          <cell r="DZ73">
            <v>3649</v>
          </cell>
          <cell r="ED73">
            <v>8441</v>
          </cell>
          <cell r="EE73">
            <v>5660</v>
          </cell>
          <cell r="EF73">
            <v>5089</v>
          </cell>
          <cell r="EG73">
            <v>3457</v>
          </cell>
          <cell r="EH73">
            <v>1201</v>
          </cell>
          <cell r="EI73">
            <v>274</v>
          </cell>
          <cell r="EJ73">
            <v>985</v>
          </cell>
          <cell r="EK73">
            <v>2698</v>
          </cell>
          <cell r="EL73">
            <v>4567</v>
          </cell>
          <cell r="EO73">
            <v>1034</v>
          </cell>
          <cell r="ER73">
            <v>5202</v>
          </cell>
          <cell r="EU73">
            <v>2585</v>
          </cell>
          <cell r="EX73">
            <v>4061</v>
          </cell>
          <cell r="EY73">
            <v>2590</v>
          </cell>
          <cell r="EZ73">
            <v>8039</v>
          </cell>
          <cell r="FA73">
            <v>6133</v>
          </cell>
          <cell r="FB73">
            <v>5161</v>
          </cell>
          <cell r="FC73">
            <v>837</v>
          </cell>
          <cell r="FD73">
            <v>2844</v>
          </cell>
          <cell r="FE73">
            <v>10576</v>
          </cell>
          <cell r="FF73">
            <v>104389</v>
          </cell>
          <cell r="FG73">
            <v>11188</v>
          </cell>
          <cell r="FH73">
            <v>188</v>
          </cell>
          <cell r="FI73">
            <v>116834</v>
          </cell>
          <cell r="FJ73">
            <v>-3.5</v>
          </cell>
          <cell r="FK73">
            <v>-1.7</v>
          </cell>
          <cell r="FL73">
            <v>-3.3</v>
          </cell>
          <cell r="FQ73">
            <v>0.3</v>
          </cell>
          <cell r="FS73">
            <v>0.3</v>
          </cell>
          <cell r="FY73">
            <v>-9.6</v>
          </cell>
          <cell r="FZ73">
            <v>-2.2999999999999998</v>
          </cell>
          <cell r="GA73">
            <v>13.6</v>
          </cell>
          <cell r="GB73">
            <v>3.7</v>
          </cell>
          <cell r="GC73">
            <v>0.2</v>
          </cell>
          <cell r="GG73">
            <v>1.2</v>
          </cell>
          <cell r="GH73">
            <v>-3.8</v>
          </cell>
          <cell r="GI73">
            <v>3.3</v>
          </cell>
          <cell r="GJ73">
            <v>2</v>
          </cell>
          <cell r="GK73">
            <v>-5.8</v>
          </cell>
          <cell r="GL73">
            <v>6.9</v>
          </cell>
          <cell r="GM73">
            <v>-2.1</v>
          </cell>
          <cell r="GN73">
            <v>2</v>
          </cell>
          <cell r="GO73">
            <v>-1.9</v>
          </cell>
          <cell r="GR73">
            <v>-3.6</v>
          </cell>
          <cell r="GU73">
            <v>-1</v>
          </cell>
          <cell r="GX73">
            <v>-2</v>
          </cell>
          <cell r="HA73">
            <v>-2</v>
          </cell>
          <cell r="HB73">
            <v>-2</v>
          </cell>
          <cell r="HC73">
            <v>2</v>
          </cell>
          <cell r="HD73">
            <v>2.6</v>
          </cell>
          <cell r="HE73">
            <v>1.6</v>
          </cell>
          <cell r="HF73">
            <v>0.2</v>
          </cell>
          <cell r="HG73">
            <v>-0.1</v>
          </cell>
          <cell r="HH73">
            <v>1.1000000000000001</v>
          </cell>
          <cell r="HI73">
            <v>-2.1</v>
          </cell>
          <cell r="HJ73">
            <v>-2.9</v>
          </cell>
          <cell r="HK73">
            <v>0.4</v>
          </cell>
          <cell r="HL73">
            <v>4202</v>
          </cell>
          <cell r="HM73">
            <v>610</v>
          </cell>
          <cell r="HN73">
            <v>4723</v>
          </cell>
          <cell r="HS73">
            <v>3493</v>
          </cell>
          <cell r="HU73">
            <v>4168</v>
          </cell>
          <cell r="IA73">
            <v>15557</v>
          </cell>
          <cell r="IB73">
            <v>1649</v>
          </cell>
          <cell r="IC73">
            <v>21</v>
          </cell>
          <cell r="ID73">
            <v>2404</v>
          </cell>
          <cell r="IE73">
            <v>3614</v>
          </cell>
          <cell r="II73">
            <v>7488</v>
          </cell>
          <cell r="IJ73">
            <v>5660</v>
          </cell>
          <cell r="IK73">
            <v>4720</v>
          </cell>
          <cell r="IL73">
            <v>3464</v>
          </cell>
          <cell r="IM73">
            <v>1084</v>
          </cell>
          <cell r="IN73">
            <v>270</v>
          </cell>
          <cell r="IO73">
            <v>929</v>
          </cell>
          <cell r="IP73">
            <v>2629</v>
          </cell>
          <cell r="IQ73">
            <v>4280</v>
          </cell>
        </row>
        <row r="74">
          <cell r="B74">
            <v>3911</v>
          </cell>
          <cell r="C74">
            <v>668</v>
          </cell>
          <cell r="D74">
            <v>4458</v>
          </cell>
          <cell r="I74">
            <v>3478</v>
          </cell>
          <cell r="K74">
            <v>4145</v>
          </cell>
          <cell r="Q74">
            <v>15809</v>
          </cell>
          <cell r="R74">
            <v>1818</v>
          </cell>
          <cell r="S74">
            <v>28</v>
          </cell>
          <cell r="T74">
            <v>2188</v>
          </cell>
          <cell r="U74">
            <v>3688</v>
          </cell>
          <cell r="Y74">
            <v>8402</v>
          </cell>
          <cell r="Z74">
            <v>5682</v>
          </cell>
          <cell r="AA74">
            <v>5080</v>
          </cell>
          <cell r="AB74">
            <v>3439</v>
          </cell>
          <cell r="AC74">
            <v>1250</v>
          </cell>
          <cell r="AD74">
            <v>275</v>
          </cell>
          <cell r="AE74">
            <v>955</v>
          </cell>
          <cell r="AF74">
            <v>2642</v>
          </cell>
          <cell r="AG74">
            <v>4641</v>
          </cell>
          <cell r="AJ74">
            <v>1034</v>
          </cell>
          <cell r="AM74">
            <v>5186</v>
          </cell>
          <cell r="AP74">
            <v>2575</v>
          </cell>
          <cell r="AS74">
            <v>4045</v>
          </cell>
          <cell r="AT74">
            <v>2579</v>
          </cell>
          <cell r="AU74">
            <v>8262</v>
          </cell>
          <cell r="AV74">
            <v>6166</v>
          </cell>
          <cell r="AW74">
            <v>5146</v>
          </cell>
          <cell r="AX74">
            <v>863</v>
          </cell>
          <cell r="AY74">
            <v>2885</v>
          </cell>
          <cell r="AZ74">
            <v>10698</v>
          </cell>
          <cell r="BA74">
            <v>105210</v>
          </cell>
          <cell r="BB74">
            <v>11111</v>
          </cell>
          <cell r="BC74">
            <v>1240</v>
          </cell>
          <cell r="BD74">
            <v>118697</v>
          </cell>
          <cell r="BE74">
            <v>1.7</v>
          </cell>
          <cell r="BF74">
            <v>-0.7</v>
          </cell>
          <cell r="BG74">
            <v>1.5</v>
          </cell>
          <cell r="BL74">
            <v>-2.2999999999999998</v>
          </cell>
          <cell r="BN74">
            <v>-2.2000000000000002</v>
          </cell>
          <cell r="BT74">
            <v>-1.6</v>
          </cell>
          <cell r="BU74">
            <v>0.1</v>
          </cell>
          <cell r="BV74">
            <v>11</v>
          </cell>
          <cell r="BW74">
            <v>0.6</v>
          </cell>
          <cell r="BX74">
            <v>0.4</v>
          </cell>
          <cell r="CB74">
            <v>1.1000000000000001</v>
          </cell>
          <cell r="CC74">
            <v>-0.6</v>
          </cell>
          <cell r="CD74">
            <v>0.4</v>
          </cell>
          <cell r="CE74">
            <v>-0.1</v>
          </cell>
          <cell r="CF74">
            <v>-0.1</v>
          </cell>
          <cell r="CG74">
            <v>1.9</v>
          </cell>
          <cell r="CH74">
            <v>-2.2999999999999998</v>
          </cell>
          <cell r="CI74">
            <v>-1.1000000000000001</v>
          </cell>
          <cell r="CJ74">
            <v>-0.1</v>
          </cell>
          <cell r="CM74">
            <v>-1.2</v>
          </cell>
          <cell r="CP74">
            <v>-0.5</v>
          </cell>
          <cell r="CS74">
            <v>-0.8</v>
          </cell>
          <cell r="CV74">
            <v>-0.8</v>
          </cell>
          <cell r="CW74">
            <v>-0.8</v>
          </cell>
          <cell r="CX74">
            <v>2.4</v>
          </cell>
          <cell r="CY74">
            <v>1.4</v>
          </cell>
          <cell r="CZ74">
            <v>0.5</v>
          </cell>
          <cell r="DA74">
            <v>1.9</v>
          </cell>
          <cell r="DB74">
            <v>0.9</v>
          </cell>
          <cell r="DC74">
            <v>1.1000000000000001</v>
          </cell>
          <cell r="DD74">
            <v>0</v>
          </cell>
          <cell r="DE74">
            <v>-1.2</v>
          </cell>
          <cell r="DF74">
            <v>0.6</v>
          </cell>
          <cell r="DG74">
            <v>3907</v>
          </cell>
          <cell r="DH74">
            <v>666</v>
          </cell>
          <cell r="DI74">
            <v>4452</v>
          </cell>
          <cell r="DN74">
            <v>3523</v>
          </cell>
          <cell r="DP74">
            <v>4199</v>
          </cell>
          <cell r="DV74">
            <v>15598</v>
          </cell>
          <cell r="DW74">
            <v>1854</v>
          </cell>
          <cell r="DX74">
            <v>28</v>
          </cell>
          <cell r="DY74">
            <v>2214</v>
          </cell>
          <cell r="DZ74">
            <v>3749</v>
          </cell>
          <cell r="ED74">
            <v>8061</v>
          </cell>
          <cell r="EE74">
            <v>5642</v>
          </cell>
          <cell r="EF74">
            <v>5137</v>
          </cell>
          <cell r="EG74">
            <v>3472</v>
          </cell>
          <cell r="EH74">
            <v>1288</v>
          </cell>
          <cell r="EI74">
            <v>279</v>
          </cell>
          <cell r="EJ74">
            <v>946</v>
          </cell>
          <cell r="EK74">
            <v>2662</v>
          </cell>
          <cell r="EL74">
            <v>4733</v>
          </cell>
          <cell r="EO74">
            <v>1028</v>
          </cell>
          <cell r="ER74">
            <v>5189</v>
          </cell>
          <cell r="EU74">
            <v>2576</v>
          </cell>
          <cell r="EX74">
            <v>4047</v>
          </cell>
          <cell r="EY74">
            <v>2580</v>
          </cell>
          <cell r="EZ74">
            <v>8291</v>
          </cell>
          <cell r="FA74">
            <v>6145</v>
          </cell>
          <cell r="FB74">
            <v>5125</v>
          </cell>
          <cell r="FC74">
            <v>867</v>
          </cell>
          <cell r="FD74">
            <v>2885</v>
          </cell>
          <cell r="FE74">
            <v>10706</v>
          </cell>
          <cell r="FF74">
            <v>104853</v>
          </cell>
          <cell r="FG74">
            <v>11122</v>
          </cell>
          <cell r="FH74">
            <v>1851</v>
          </cell>
          <cell r="FI74">
            <v>120452</v>
          </cell>
          <cell r="FJ74">
            <v>3.2</v>
          </cell>
          <cell r="FK74">
            <v>-0.6</v>
          </cell>
          <cell r="FL74">
            <v>2.9</v>
          </cell>
          <cell r="FQ74">
            <v>-2.5</v>
          </cell>
          <cell r="FS74">
            <v>-2.4</v>
          </cell>
          <cell r="FY74">
            <v>0.2</v>
          </cell>
          <cell r="FZ74">
            <v>3.6</v>
          </cell>
          <cell r="GA74">
            <v>12.2</v>
          </cell>
          <cell r="GB74">
            <v>1.1000000000000001</v>
          </cell>
          <cell r="GC74">
            <v>2.7</v>
          </cell>
          <cell r="GG74">
            <v>-4.5</v>
          </cell>
          <cell r="GH74">
            <v>-0.3</v>
          </cell>
          <cell r="GI74">
            <v>0.9</v>
          </cell>
          <cell r="GJ74">
            <v>0.4</v>
          </cell>
          <cell r="GK74">
            <v>7.3</v>
          </cell>
          <cell r="GL74">
            <v>1.8</v>
          </cell>
          <cell r="GM74">
            <v>-4</v>
          </cell>
          <cell r="GN74">
            <v>-1.3</v>
          </cell>
          <cell r="GO74">
            <v>3.6</v>
          </cell>
          <cell r="GR74">
            <v>-0.6</v>
          </cell>
          <cell r="GU74">
            <v>-0.2</v>
          </cell>
          <cell r="GX74">
            <v>-0.4</v>
          </cell>
          <cell r="HA74">
            <v>-0.4</v>
          </cell>
          <cell r="HB74">
            <v>-0.4</v>
          </cell>
          <cell r="HC74">
            <v>3.1</v>
          </cell>
          <cell r="HD74">
            <v>0.2</v>
          </cell>
          <cell r="HE74">
            <v>-0.7</v>
          </cell>
          <cell r="HF74">
            <v>3.5</v>
          </cell>
          <cell r="HG74">
            <v>1.4</v>
          </cell>
          <cell r="HH74">
            <v>1.2</v>
          </cell>
          <cell r="HI74">
            <v>0.4</v>
          </cell>
          <cell r="HJ74">
            <v>-0.6</v>
          </cell>
          <cell r="HK74">
            <v>3.1</v>
          </cell>
          <cell r="HL74">
            <v>1658</v>
          </cell>
          <cell r="HM74">
            <v>684</v>
          </cell>
          <cell r="HN74">
            <v>2141</v>
          </cell>
          <cell r="HS74">
            <v>3529</v>
          </cell>
          <cell r="HU74">
            <v>4206</v>
          </cell>
          <cell r="IA74">
            <v>15563</v>
          </cell>
          <cell r="IB74">
            <v>1897</v>
          </cell>
          <cell r="IC74">
            <v>30</v>
          </cell>
          <cell r="ID74">
            <v>2074</v>
          </cell>
          <cell r="IE74">
            <v>3713</v>
          </cell>
          <cell r="II74">
            <v>8837</v>
          </cell>
          <cell r="IJ74">
            <v>5643</v>
          </cell>
          <cell r="IK74">
            <v>5118</v>
          </cell>
          <cell r="IL74">
            <v>3304</v>
          </cell>
          <cell r="IM74">
            <v>1272</v>
          </cell>
          <cell r="IN74">
            <v>273</v>
          </cell>
          <cell r="IO74">
            <v>942</v>
          </cell>
          <cell r="IP74">
            <v>2626</v>
          </cell>
          <cell r="IQ74">
            <v>4666</v>
          </cell>
        </row>
        <row r="75">
          <cell r="B75">
            <v>3884</v>
          </cell>
          <cell r="C75">
            <v>670</v>
          </cell>
          <cell r="D75">
            <v>4431</v>
          </cell>
          <cell r="I75">
            <v>3346</v>
          </cell>
          <cell r="K75">
            <v>3992</v>
          </cell>
          <cell r="Q75">
            <v>16135</v>
          </cell>
          <cell r="R75">
            <v>1841</v>
          </cell>
          <cell r="S75">
            <v>32</v>
          </cell>
          <cell r="T75">
            <v>2176</v>
          </cell>
          <cell r="U75">
            <v>3714</v>
          </cell>
          <cell r="Y75">
            <v>8540</v>
          </cell>
          <cell r="Z75">
            <v>5679</v>
          </cell>
          <cell r="AA75">
            <v>5046</v>
          </cell>
          <cell r="AB75">
            <v>3387</v>
          </cell>
          <cell r="AC75">
            <v>1267</v>
          </cell>
          <cell r="AD75">
            <v>276</v>
          </cell>
          <cell r="AE75">
            <v>947</v>
          </cell>
          <cell r="AF75">
            <v>2574</v>
          </cell>
          <cell r="AG75">
            <v>4655</v>
          </cell>
          <cell r="AJ75">
            <v>1023</v>
          </cell>
          <cell r="AM75">
            <v>5172</v>
          </cell>
          <cell r="AP75">
            <v>2570</v>
          </cell>
          <cell r="AS75">
            <v>4037</v>
          </cell>
          <cell r="AT75">
            <v>2574</v>
          </cell>
          <cell r="AU75">
            <v>8405</v>
          </cell>
          <cell r="AV75">
            <v>6237</v>
          </cell>
          <cell r="AW75">
            <v>5158</v>
          </cell>
          <cell r="AX75">
            <v>871</v>
          </cell>
          <cell r="AY75">
            <v>2934</v>
          </cell>
          <cell r="AZ75">
            <v>10808</v>
          </cell>
          <cell r="BA75">
            <v>105972</v>
          </cell>
          <cell r="BB75">
            <v>10954</v>
          </cell>
          <cell r="BC75">
            <v>1759</v>
          </cell>
          <cell r="BD75">
            <v>118981</v>
          </cell>
          <cell r="BE75">
            <v>-0.7</v>
          </cell>
          <cell r="BF75">
            <v>0.3</v>
          </cell>
          <cell r="BG75">
            <v>-0.6</v>
          </cell>
          <cell r="BL75">
            <v>-3.8</v>
          </cell>
          <cell r="BN75">
            <v>-3.7</v>
          </cell>
          <cell r="BT75">
            <v>2.1</v>
          </cell>
          <cell r="BU75">
            <v>1.2</v>
          </cell>
          <cell r="BV75">
            <v>13.7</v>
          </cell>
          <cell r="BW75">
            <v>-0.6</v>
          </cell>
          <cell r="BX75">
            <v>0.7</v>
          </cell>
          <cell r="CB75">
            <v>1.6</v>
          </cell>
          <cell r="CC75">
            <v>-0.1</v>
          </cell>
          <cell r="CD75">
            <v>-0.7</v>
          </cell>
          <cell r="CE75">
            <v>-1.5</v>
          </cell>
          <cell r="CF75">
            <v>1.3</v>
          </cell>
          <cell r="CG75">
            <v>0.5</v>
          </cell>
          <cell r="CH75">
            <v>-0.8</v>
          </cell>
          <cell r="CI75">
            <v>-2.6</v>
          </cell>
          <cell r="CJ75">
            <v>0.3</v>
          </cell>
          <cell r="CM75">
            <v>-1.1000000000000001</v>
          </cell>
          <cell r="CP75">
            <v>-0.3</v>
          </cell>
          <cell r="CS75">
            <v>-0.2</v>
          </cell>
          <cell r="CV75">
            <v>-0.2</v>
          </cell>
          <cell r="CW75">
            <v>-0.2</v>
          </cell>
          <cell r="CX75">
            <v>1.7</v>
          </cell>
          <cell r="CY75">
            <v>1.2</v>
          </cell>
          <cell r="CZ75">
            <v>0.2</v>
          </cell>
          <cell r="DA75">
            <v>1</v>
          </cell>
          <cell r="DB75">
            <v>1.7</v>
          </cell>
          <cell r="DC75">
            <v>1</v>
          </cell>
          <cell r="DD75">
            <v>0.7</v>
          </cell>
          <cell r="DE75">
            <v>-1.4</v>
          </cell>
          <cell r="DF75">
            <v>0.2</v>
          </cell>
          <cell r="DG75">
            <v>3912</v>
          </cell>
          <cell r="DH75">
            <v>676</v>
          </cell>
          <cell r="DI75">
            <v>4463</v>
          </cell>
          <cell r="DN75">
            <v>3212</v>
          </cell>
          <cell r="DP75">
            <v>3831</v>
          </cell>
          <cell r="DV75">
            <v>16324</v>
          </cell>
          <cell r="DW75">
            <v>1806</v>
          </cell>
          <cell r="DX75">
            <v>31</v>
          </cell>
          <cell r="DY75">
            <v>2163</v>
          </cell>
          <cell r="DZ75">
            <v>3664</v>
          </cell>
          <cell r="ED75">
            <v>8796</v>
          </cell>
          <cell r="EE75">
            <v>5709</v>
          </cell>
          <cell r="EF75">
            <v>5039</v>
          </cell>
          <cell r="EG75">
            <v>3377</v>
          </cell>
          <cell r="EH75">
            <v>1264</v>
          </cell>
          <cell r="EI75">
            <v>271</v>
          </cell>
          <cell r="EJ75">
            <v>941</v>
          </cell>
          <cell r="EK75">
            <v>2565</v>
          </cell>
          <cell r="EL75">
            <v>4626</v>
          </cell>
          <cell r="EO75">
            <v>1046</v>
          </cell>
          <cell r="ER75">
            <v>5165</v>
          </cell>
          <cell r="EU75">
            <v>2566</v>
          </cell>
          <cell r="EX75">
            <v>4031</v>
          </cell>
          <cell r="EY75">
            <v>2570</v>
          </cell>
          <cell r="EZ75">
            <v>8415</v>
          </cell>
          <cell r="FA75">
            <v>6202</v>
          </cell>
          <cell r="FB75">
            <v>5135</v>
          </cell>
          <cell r="FC75">
            <v>881</v>
          </cell>
          <cell r="FD75">
            <v>2939</v>
          </cell>
          <cell r="FE75">
            <v>10804</v>
          </cell>
          <cell r="FF75">
            <v>106295</v>
          </cell>
          <cell r="FG75">
            <v>10926</v>
          </cell>
          <cell r="FH75">
            <v>1721</v>
          </cell>
          <cell r="FI75">
            <v>119096</v>
          </cell>
          <cell r="FJ75">
            <v>0.1</v>
          </cell>
          <cell r="FK75">
            <v>1.6</v>
          </cell>
          <cell r="FL75">
            <v>0.3</v>
          </cell>
          <cell r="FQ75">
            <v>-8.8000000000000007</v>
          </cell>
          <cell r="FS75">
            <v>-8.8000000000000007</v>
          </cell>
          <cell r="FY75">
            <v>4.7</v>
          </cell>
          <cell r="FZ75">
            <v>-2.6</v>
          </cell>
          <cell r="GA75">
            <v>11.2</v>
          </cell>
          <cell r="GB75">
            <v>-2.2999999999999998</v>
          </cell>
          <cell r="GC75">
            <v>-2.2999999999999998</v>
          </cell>
          <cell r="GG75">
            <v>9.1</v>
          </cell>
          <cell r="GH75">
            <v>1.2</v>
          </cell>
          <cell r="GI75">
            <v>-1.9</v>
          </cell>
          <cell r="GJ75">
            <v>-2.7</v>
          </cell>
          <cell r="GK75">
            <v>-1.9</v>
          </cell>
          <cell r="GL75">
            <v>-2.7</v>
          </cell>
          <cell r="GM75">
            <v>-0.5</v>
          </cell>
          <cell r="GN75">
            <v>-3.7</v>
          </cell>
          <cell r="GO75">
            <v>-2.2999999999999998</v>
          </cell>
          <cell r="GR75">
            <v>1.8</v>
          </cell>
          <cell r="GU75">
            <v>-0.5</v>
          </cell>
          <cell r="GX75">
            <v>-0.4</v>
          </cell>
          <cell r="HA75">
            <v>-0.4</v>
          </cell>
          <cell r="HB75">
            <v>-0.4</v>
          </cell>
          <cell r="HC75">
            <v>1.5</v>
          </cell>
          <cell r="HD75">
            <v>0.9</v>
          </cell>
          <cell r="HE75">
            <v>0.2</v>
          </cell>
          <cell r="HF75">
            <v>1.6</v>
          </cell>
          <cell r="HG75">
            <v>1.9</v>
          </cell>
          <cell r="HH75">
            <v>0.9</v>
          </cell>
          <cell r="HI75">
            <v>1.4</v>
          </cell>
          <cell r="HJ75">
            <v>-1.8</v>
          </cell>
          <cell r="HK75">
            <v>-1.1000000000000001</v>
          </cell>
          <cell r="HL75">
            <v>2998</v>
          </cell>
          <cell r="HM75">
            <v>702</v>
          </cell>
          <cell r="HN75">
            <v>3535</v>
          </cell>
          <cell r="HS75">
            <v>3251</v>
          </cell>
          <cell r="HU75">
            <v>3876</v>
          </cell>
          <cell r="IA75">
            <v>16253</v>
          </cell>
          <cell r="IB75">
            <v>1987</v>
          </cell>
          <cell r="IC75">
            <v>37</v>
          </cell>
          <cell r="ID75">
            <v>1995</v>
          </cell>
          <cell r="IE75">
            <v>3783</v>
          </cell>
          <cell r="II75">
            <v>8440</v>
          </cell>
          <cell r="IJ75">
            <v>5714</v>
          </cell>
          <cell r="IK75">
            <v>4987</v>
          </cell>
          <cell r="IL75">
            <v>3276</v>
          </cell>
          <cell r="IM75">
            <v>1327</v>
          </cell>
          <cell r="IN75">
            <v>285</v>
          </cell>
          <cell r="IO75">
            <v>974</v>
          </cell>
          <cell r="IP75">
            <v>2595</v>
          </cell>
          <cell r="IQ75">
            <v>4820</v>
          </cell>
        </row>
        <row r="76">
          <cell r="B76">
            <v>3956</v>
          </cell>
          <cell r="C76">
            <v>676</v>
          </cell>
          <cell r="D76">
            <v>4508</v>
          </cell>
          <cell r="I76">
            <v>3325</v>
          </cell>
          <cell r="K76">
            <v>3972</v>
          </cell>
          <cell r="Q76">
            <v>16421</v>
          </cell>
          <cell r="R76">
            <v>1878</v>
          </cell>
          <cell r="S76">
            <v>37</v>
          </cell>
          <cell r="T76">
            <v>2169</v>
          </cell>
          <cell r="U76">
            <v>3764</v>
          </cell>
          <cell r="Y76">
            <v>8635</v>
          </cell>
          <cell r="Z76">
            <v>5665</v>
          </cell>
          <cell r="AA76">
            <v>5020</v>
          </cell>
          <cell r="AB76">
            <v>3326</v>
          </cell>
          <cell r="AC76">
            <v>1265</v>
          </cell>
          <cell r="AD76">
            <v>277</v>
          </cell>
          <cell r="AE76">
            <v>969</v>
          </cell>
          <cell r="AF76">
            <v>2539</v>
          </cell>
          <cell r="AG76">
            <v>4655</v>
          </cell>
          <cell r="AJ76">
            <v>1003</v>
          </cell>
          <cell r="AM76">
            <v>5171</v>
          </cell>
          <cell r="AP76">
            <v>2576</v>
          </cell>
          <cell r="AS76">
            <v>4047</v>
          </cell>
          <cell r="AT76">
            <v>2580</v>
          </cell>
          <cell r="AU76">
            <v>8453</v>
          </cell>
          <cell r="AV76">
            <v>6331</v>
          </cell>
          <cell r="AW76">
            <v>5199</v>
          </cell>
          <cell r="AX76">
            <v>879</v>
          </cell>
          <cell r="AY76">
            <v>2968</v>
          </cell>
          <cell r="AZ76">
            <v>10915</v>
          </cell>
          <cell r="BA76">
            <v>106898</v>
          </cell>
          <cell r="BB76">
            <v>10982</v>
          </cell>
          <cell r="BC76">
            <v>1967</v>
          </cell>
          <cell r="BD76">
            <v>119557</v>
          </cell>
          <cell r="BE76">
            <v>1.8</v>
          </cell>
          <cell r="BF76">
            <v>0.9</v>
          </cell>
          <cell r="BG76">
            <v>1.7</v>
          </cell>
          <cell r="BL76">
            <v>-0.6</v>
          </cell>
          <cell r="BN76">
            <v>-0.5</v>
          </cell>
          <cell r="BT76">
            <v>1.8</v>
          </cell>
          <cell r="BU76">
            <v>2</v>
          </cell>
          <cell r="BV76">
            <v>16.3</v>
          </cell>
          <cell r="BW76">
            <v>-0.3</v>
          </cell>
          <cell r="BX76">
            <v>1.4</v>
          </cell>
          <cell r="CB76">
            <v>1.1000000000000001</v>
          </cell>
          <cell r="CC76">
            <v>-0.2</v>
          </cell>
          <cell r="CD76">
            <v>-0.5</v>
          </cell>
          <cell r="CE76">
            <v>-1.8</v>
          </cell>
          <cell r="CF76">
            <v>-0.1</v>
          </cell>
          <cell r="CG76">
            <v>0.4</v>
          </cell>
          <cell r="CH76">
            <v>2.2000000000000002</v>
          </cell>
          <cell r="CI76">
            <v>-1.4</v>
          </cell>
          <cell r="CJ76">
            <v>0</v>
          </cell>
          <cell r="CM76">
            <v>-2</v>
          </cell>
          <cell r="CP76">
            <v>0</v>
          </cell>
          <cell r="CS76">
            <v>0.2</v>
          </cell>
          <cell r="CV76">
            <v>0.2</v>
          </cell>
          <cell r="CW76">
            <v>0.2</v>
          </cell>
          <cell r="CX76">
            <v>0.6</v>
          </cell>
          <cell r="CY76">
            <v>1.5</v>
          </cell>
          <cell r="CZ76">
            <v>0.8</v>
          </cell>
          <cell r="DA76">
            <v>0.9</v>
          </cell>
          <cell r="DB76">
            <v>1.2</v>
          </cell>
          <cell r="DC76">
            <v>1</v>
          </cell>
          <cell r="DD76">
            <v>0.9</v>
          </cell>
          <cell r="DE76">
            <v>0.3</v>
          </cell>
          <cell r="DF76">
            <v>0.5</v>
          </cell>
          <cell r="DG76">
            <v>3918</v>
          </cell>
          <cell r="DH76">
            <v>676</v>
          </cell>
          <cell r="DI76">
            <v>4469</v>
          </cell>
          <cell r="DN76">
            <v>3370</v>
          </cell>
          <cell r="DP76">
            <v>4027</v>
          </cell>
          <cell r="DV76">
            <v>16815</v>
          </cell>
          <cell r="DW76">
            <v>1889</v>
          </cell>
          <cell r="DX76">
            <v>36</v>
          </cell>
          <cell r="DY76">
            <v>2153</v>
          </cell>
          <cell r="DZ76">
            <v>3764</v>
          </cell>
          <cell r="ED76">
            <v>8681</v>
          </cell>
          <cell r="EE76">
            <v>5745</v>
          </cell>
          <cell r="EF76">
            <v>4942</v>
          </cell>
          <cell r="EG76">
            <v>3291</v>
          </cell>
          <cell r="EH76">
            <v>1272</v>
          </cell>
          <cell r="EI76">
            <v>278</v>
          </cell>
          <cell r="EJ76">
            <v>963</v>
          </cell>
          <cell r="EK76">
            <v>2532</v>
          </cell>
          <cell r="EL76">
            <v>4672</v>
          </cell>
          <cell r="EO76">
            <v>994</v>
          </cell>
          <cell r="ER76">
            <v>5183</v>
          </cell>
          <cell r="EU76">
            <v>2583</v>
          </cell>
          <cell r="EX76">
            <v>4058</v>
          </cell>
          <cell r="EY76">
            <v>2587</v>
          </cell>
          <cell r="EZ76">
            <v>8462</v>
          </cell>
          <cell r="FA76">
            <v>6334</v>
          </cell>
          <cell r="FB76">
            <v>5215</v>
          </cell>
          <cell r="FC76">
            <v>863</v>
          </cell>
          <cell r="FD76">
            <v>2967</v>
          </cell>
          <cell r="FE76">
            <v>10917</v>
          </cell>
          <cell r="FF76">
            <v>107524</v>
          </cell>
          <cell r="FG76">
            <v>10924</v>
          </cell>
          <cell r="FH76">
            <v>1592</v>
          </cell>
          <cell r="FI76">
            <v>117388</v>
          </cell>
          <cell r="FJ76">
            <v>0.2</v>
          </cell>
          <cell r="FK76">
            <v>-0.1</v>
          </cell>
          <cell r="FL76">
            <v>0.1</v>
          </cell>
          <cell r="FQ76">
            <v>4.9000000000000004</v>
          </cell>
          <cell r="FS76">
            <v>5.0999999999999996</v>
          </cell>
          <cell r="FY76">
            <v>3</v>
          </cell>
          <cell r="FZ76">
            <v>4.5999999999999996</v>
          </cell>
          <cell r="GA76">
            <v>14.8</v>
          </cell>
          <cell r="GB76">
            <v>-0.4</v>
          </cell>
          <cell r="GC76">
            <v>2.7</v>
          </cell>
          <cell r="GG76">
            <v>-1.3</v>
          </cell>
          <cell r="GH76">
            <v>0.6</v>
          </cell>
          <cell r="GI76">
            <v>-1.9</v>
          </cell>
          <cell r="GJ76">
            <v>-2.5</v>
          </cell>
          <cell r="GK76">
            <v>0.6</v>
          </cell>
          <cell r="GL76">
            <v>2.6</v>
          </cell>
          <cell r="GM76">
            <v>2.4</v>
          </cell>
          <cell r="GN76">
            <v>-1.3</v>
          </cell>
          <cell r="GO76">
            <v>1</v>
          </cell>
          <cell r="GR76">
            <v>-5</v>
          </cell>
          <cell r="GU76">
            <v>0.3</v>
          </cell>
          <cell r="GX76">
            <v>0.7</v>
          </cell>
          <cell r="HA76">
            <v>0.7</v>
          </cell>
          <cell r="HB76">
            <v>0.7</v>
          </cell>
          <cell r="HC76">
            <v>0.5</v>
          </cell>
          <cell r="HD76">
            <v>2.1</v>
          </cell>
          <cell r="HE76">
            <v>1.6</v>
          </cell>
          <cell r="HF76">
            <v>-2</v>
          </cell>
          <cell r="HG76">
            <v>1</v>
          </cell>
          <cell r="HH76">
            <v>1</v>
          </cell>
          <cell r="HI76">
            <v>1.2</v>
          </cell>
          <cell r="HJ76">
            <v>0</v>
          </cell>
          <cell r="HK76">
            <v>-1.4</v>
          </cell>
          <cell r="HL76">
            <v>7498</v>
          </cell>
          <cell r="HM76">
            <v>684</v>
          </cell>
          <cell r="HN76">
            <v>8172</v>
          </cell>
          <cell r="HS76">
            <v>3445</v>
          </cell>
          <cell r="HU76">
            <v>4110</v>
          </cell>
          <cell r="IA76">
            <v>16757</v>
          </cell>
          <cell r="IB76">
            <v>1805</v>
          </cell>
          <cell r="IC76">
            <v>34</v>
          </cell>
          <cell r="ID76">
            <v>2251</v>
          </cell>
          <cell r="IE76">
            <v>3725</v>
          </cell>
          <cell r="II76">
            <v>9126</v>
          </cell>
          <cell r="IJ76">
            <v>5748</v>
          </cell>
          <cell r="IK76">
            <v>5391</v>
          </cell>
          <cell r="IL76">
            <v>3547</v>
          </cell>
          <cell r="IM76">
            <v>1340</v>
          </cell>
          <cell r="IN76">
            <v>276</v>
          </cell>
          <cell r="IO76">
            <v>988</v>
          </cell>
          <cell r="IP76">
            <v>2606</v>
          </cell>
          <cell r="IQ76">
            <v>4831</v>
          </cell>
        </row>
        <row r="77">
          <cell r="B77">
            <v>4080</v>
          </cell>
          <cell r="C77">
            <v>689</v>
          </cell>
          <cell r="D77">
            <v>4644</v>
          </cell>
          <cell r="I77">
            <v>3435</v>
          </cell>
          <cell r="K77">
            <v>4109</v>
          </cell>
          <cell r="Q77">
            <v>16384</v>
          </cell>
          <cell r="R77">
            <v>1920</v>
          </cell>
          <cell r="S77">
            <v>42</v>
          </cell>
          <cell r="T77">
            <v>2201</v>
          </cell>
          <cell r="U77">
            <v>3848</v>
          </cell>
          <cell r="Y77">
            <v>8687</v>
          </cell>
          <cell r="Z77">
            <v>5662</v>
          </cell>
          <cell r="AA77">
            <v>5049</v>
          </cell>
          <cell r="AB77">
            <v>3301</v>
          </cell>
          <cell r="AC77">
            <v>1262</v>
          </cell>
          <cell r="AD77">
            <v>281</v>
          </cell>
          <cell r="AE77">
            <v>998</v>
          </cell>
          <cell r="AF77">
            <v>2567</v>
          </cell>
          <cell r="AG77">
            <v>4682</v>
          </cell>
          <cell r="AJ77">
            <v>984</v>
          </cell>
          <cell r="AM77">
            <v>5186</v>
          </cell>
          <cell r="AP77">
            <v>2586</v>
          </cell>
          <cell r="AS77">
            <v>4062</v>
          </cell>
          <cell r="AT77">
            <v>2590</v>
          </cell>
          <cell r="AU77">
            <v>8431</v>
          </cell>
          <cell r="AV77">
            <v>6406</v>
          </cell>
          <cell r="AW77">
            <v>5252</v>
          </cell>
          <cell r="AX77">
            <v>889</v>
          </cell>
          <cell r="AY77">
            <v>2968</v>
          </cell>
          <cell r="AZ77">
            <v>11026</v>
          </cell>
          <cell r="BA77">
            <v>107733</v>
          </cell>
          <cell r="BB77">
            <v>11180</v>
          </cell>
          <cell r="BC77">
            <v>2252</v>
          </cell>
          <cell r="BD77">
            <v>121047</v>
          </cell>
          <cell r="BE77">
            <v>3.1</v>
          </cell>
          <cell r="BF77">
            <v>1.9</v>
          </cell>
          <cell r="BG77">
            <v>3</v>
          </cell>
          <cell r="BL77">
            <v>3.3</v>
          </cell>
          <cell r="BN77">
            <v>3.4</v>
          </cell>
          <cell r="BT77">
            <v>-0.2</v>
          </cell>
          <cell r="BU77">
            <v>2.2999999999999998</v>
          </cell>
          <cell r="BV77">
            <v>15.6</v>
          </cell>
          <cell r="BW77">
            <v>1.5</v>
          </cell>
          <cell r="BX77">
            <v>2.2000000000000002</v>
          </cell>
          <cell r="CB77">
            <v>0.6</v>
          </cell>
          <cell r="CC77">
            <v>0</v>
          </cell>
          <cell r="CD77">
            <v>0.6</v>
          </cell>
          <cell r="CE77">
            <v>-0.7</v>
          </cell>
          <cell r="CF77">
            <v>-0.2</v>
          </cell>
          <cell r="CG77">
            <v>1.3</v>
          </cell>
          <cell r="CH77">
            <v>3</v>
          </cell>
          <cell r="CI77">
            <v>1.1000000000000001</v>
          </cell>
          <cell r="CJ77">
            <v>0.6</v>
          </cell>
          <cell r="CM77">
            <v>-1.9</v>
          </cell>
          <cell r="CP77">
            <v>0.3</v>
          </cell>
          <cell r="CS77">
            <v>0.4</v>
          </cell>
          <cell r="CV77">
            <v>0.4</v>
          </cell>
          <cell r="CW77">
            <v>0.4</v>
          </cell>
          <cell r="CX77">
            <v>-0.3</v>
          </cell>
          <cell r="CY77">
            <v>1.2</v>
          </cell>
          <cell r="CZ77">
            <v>1</v>
          </cell>
          <cell r="DA77">
            <v>1.1000000000000001</v>
          </cell>
          <cell r="DB77">
            <v>0</v>
          </cell>
          <cell r="DC77">
            <v>1</v>
          </cell>
          <cell r="DD77">
            <v>0.8</v>
          </cell>
          <cell r="DE77">
            <v>1.8</v>
          </cell>
          <cell r="DF77">
            <v>1.2</v>
          </cell>
          <cell r="DG77">
            <v>3993</v>
          </cell>
          <cell r="DH77">
            <v>679</v>
          </cell>
          <cell r="DI77">
            <v>4547</v>
          </cell>
          <cell r="DN77">
            <v>3432</v>
          </cell>
          <cell r="DP77">
            <v>4104</v>
          </cell>
          <cell r="DV77">
            <v>16003</v>
          </cell>
          <cell r="DW77">
            <v>1930</v>
          </cell>
          <cell r="DX77">
            <v>43</v>
          </cell>
          <cell r="DY77">
            <v>2200</v>
          </cell>
          <cell r="DZ77">
            <v>3860</v>
          </cell>
          <cell r="ED77">
            <v>8550</v>
          </cell>
          <cell r="EE77">
            <v>5571</v>
          </cell>
          <cell r="EF77">
            <v>5100</v>
          </cell>
          <cell r="EG77">
            <v>3341</v>
          </cell>
          <cell r="EH77">
            <v>1248</v>
          </cell>
          <cell r="EI77">
            <v>280</v>
          </cell>
          <cell r="EJ77">
            <v>1009</v>
          </cell>
          <cell r="EK77">
            <v>2509</v>
          </cell>
          <cell r="EL77">
            <v>4630</v>
          </cell>
          <cell r="EO77">
            <v>976</v>
          </cell>
          <cell r="ER77">
            <v>5177</v>
          </cell>
          <cell r="EU77">
            <v>2581</v>
          </cell>
          <cell r="EX77">
            <v>4055</v>
          </cell>
          <cell r="EY77">
            <v>2586</v>
          </cell>
          <cell r="EZ77">
            <v>8435</v>
          </cell>
          <cell r="FA77">
            <v>6467</v>
          </cell>
          <cell r="FB77">
            <v>5251</v>
          </cell>
          <cell r="FC77">
            <v>896</v>
          </cell>
          <cell r="FD77">
            <v>2981</v>
          </cell>
          <cell r="FE77">
            <v>11026</v>
          </cell>
          <cell r="FF77">
            <v>106840</v>
          </cell>
          <cell r="FG77">
            <v>11209</v>
          </cell>
          <cell r="FH77">
            <v>2345</v>
          </cell>
          <cell r="FI77">
            <v>122505</v>
          </cell>
          <cell r="FJ77">
            <v>1.9</v>
          </cell>
          <cell r="FK77">
            <v>0.5</v>
          </cell>
          <cell r="FL77">
            <v>1.8</v>
          </cell>
          <cell r="FQ77">
            <v>1.8</v>
          </cell>
          <cell r="FS77">
            <v>1.9</v>
          </cell>
          <cell r="FY77">
            <v>-4.8</v>
          </cell>
          <cell r="FZ77">
            <v>2.2000000000000002</v>
          </cell>
          <cell r="GA77">
            <v>21.2</v>
          </cell>
          <cell r="GB77">
            <v>2.2000000000000002</v>
          </cell>
          <cell r="GC77">
            <v>2.5</v>
          </cell>
          <cell r="GG77">
            <v>-1.5</v>
          </cell>
          <cell r="GH77">
            <v>-3</v>
          </cell>
          <cell r="GI77">
            <v>3.2</v>
          </cell>
          <cell r="GJ77">
            <v>1.5</v>
          </cell>
          <cell r="GK77">
            <v>-1.9</v>
          </cell>
          <cell r="GL77">
            <v>0.7</v>
          </cell>
          <cell r="GM77">
            <v>4.7</v>
          </cell>
          <cell r="GN77">
            <v>-0.9</v>
          </cell>
          <cell r="GO77">
            <v>-0.9</v>
          </cell>
          <cell r="GR77">
            <v>-1.8</v>
          </cell>
          <cell r="GU77">
            <v>-0.1</v>
          </cell>
          <cell r="GX77">
            <v>-0.1</v>
          </cell>
          <cell r="HA77">
            <v>-0.1</v>
          </cell>
          <cell r="HB77">
            <v>-0.1</v>
          </cell>
          <cell r="HC77">
            <v>-0.3</v>
          </cell>
          <cell r="HD77">
            <v>2.1</v>
          </cell>
          <cell r="HE77">
            <v>0.7</v>
          </cell>
          <cell r="HF77">
            <v>3.9</v>
          </cell>
          <cell r="HG77">
            <v>0.5</v>
          </cell>
          <cell r="HH77">
            <v>1</v>
          </cell>
          <cell r="HI77">
            <v>-0.6</v>
          </cell>
          <cell r="HJ77">
            <v>2.6</v>
          </cell>
          <cell r="HK77">
            <v>4.4000000000000004</v>
          </cell>
          <cell r="HL77">
            <v>3645</v>
          </cell>
          <cell r="HM77">
            <v>621</v>
          </cell>
          <cell r="HN77">
            <v>4153</v>
          </cell>
          <cell r="HS77">
            <v>3317</v>
          </cell>
          <cell r="HU77">
            <v>3975</v>
          </cell>
          <cell r="IA77">
            <v>16011</v>
          </cell>
          <cell r="IB77">
            <v>1785</v>
          </cell>
          <cell r="IC77">
            <v>36</v>
          </cell>
          <cell r="ID77">
            <v>2413</v>
          </cell>
          <cell r="IE77">
            <v>3811</v>
          </cell>
          <cell r="II77">
            <v>7701</v>
          </cell>
          <cell r="IJ77">
            <v>5570</v>
          </cell>
          <cell r="IK77">
            <v>4733</v>
          </cell>
          <cell r="IL77">
            <v>3347</v>
          </cell>
          <cell r="IM77">
            <v>1131</v>
          </cell>
          <cell r="IN77">
            <v>277</v>
          </cell>
          <cell r="IO77">
            <v>951</v>
          </cell>
          <cell r="IP77">
            <v>2441</v>
          </cell>
          <cell r="IQ77">
            <v>4344</v>
          </cell>
        </row>
        <row r="78">
          <cell r="B78">
            <v>4162</v>
          </cell>
          <cell r="C78">
            <v>709</v>
          </cell>
          <cell r="D78">
            <v>4741</v>
          </cell>
          <cell r="I78">
            <v>3533</v>
          </cell>
          <cell r="K78">
            <v>4226</v>
          </cell>
          <cell r="Q78">
            <v>16378</v>
          </cell>
          <cell r="R78">
            <v>1968</v>
          </cell>
          <cell r="S78">
            <v>48</v>
          </cell>
          <cell r="T78">
            <v>2255</v>
          </cell>
          <cell r="U78">
            <v>3952</v>
          </cell>
          <cell r="Y78">
            <v>8781</v>
          </cell>
          <cell r="Z78">
            <v>5768</v>
          </cell>
          <cell r="AA78">
            <v>5125</v>
          </cell>
          <cell r="AB78">
            <v>3328</v>
          </cell>
          <cell r="AC78">
            <v>1284</v>
          </cell>
          <cell r="AD78">
            <v>284</v>
          </cell>
          <cell r="AE78">
            <v>1011</v>
          </cell>
          <cell r="AF78">
            <v>2625</v>
          </cell>
          <cell r="AG78">
            <v>4759</v>
          </cell>
          <cell r="AJ78">
            <v>986</v>
          </cell>
          <cell r="AM78">
            <v>5219</v>
          </cell>
          <cell r="AP78">
            <v>2600</v>
          </cell>
          <cell r="AS78">
            <v>4084</v>
          </cell>
          <cell r="AT78">
            <v>2604</v>
          </cell>
          <cell r="AU78">
            <v>8404</v>
          </cell>
          <cell r="AV78">
            <v>6440</v>
          </cell>
          <cell r="AW78">
            <v>5293</v>
          </cell>
          <cell r="AX78">
            <v>899</v>
          </cell>
          <cell r="AY78">
            <v>2940</v>
          </cell>
          <cell r="AZ78">
            <v>11152</v>
          </cell>
          <cell r="BA78">
            <v>108891</v>
          </cell>
          <cell r="BB78">
            <v>11412</v>
          </cell>
          <cell r="BC78">
            <v>2459</v>
          </cell>
          <cell r="BD78">
            <v>123137</v>
          </cell>
          <cell r="BE78">
            <v>2</v>
          </cell>
          <cell r="BF78">
            <v>2.9</v>
          </cell>
          <cell r="BG78">
            <v>2.1</v>
          </cell>
          <cell r="BL78">
            <v>2.8</v>
          </cell>
          <cell r="BN78">
            <v>2.9</v>
          </cell>
          <cell r="BT78">
            <v>0</v>
          </cell>
          <cell r="BU78">
            <v>2.5</v>
          </cell>
          <cell r="BV78">
            <v>12.1</v>
          </cell>
          <cell r="BW78">
            <v>2.4</v>
          </cell>
          <cell r="BX78">
            <v>2.7</v>
          </cell>
          <cell r="CB78">
            <v>1.1000000000000001</v>
          </cell>
          <cell r="CC78">
            <v>1.9</v>
          </cell>
          <cell r="CD78">
            <v>1.5</v>
          </cell>
          <cell r="CE78">
            <v>0.8</v>
          </cell>
          <cell r="CF78">
            <v>1.7</v>
          </cell>
          <cell r="CG78">
            <v>1.2</v>
          </cell>
          <cell r="CH78">
            <v>1.3</v>
          </cell>
          <cell r="CI78">
            <v>2.2000000000000002</v>
          </cell>
          <cell r="CJ78">
            <v>1.7</v>
          </cell>
          <cell r="CM78">
            <v>0.2</v>
          </cell>
          <cell r="CP78">
            <v>0.6</v>
          </cell>
          <cell r="CS78">
            <v>0.5</v>
          </cell>
          <cell r="CV78">
            <v>0.5</v>
          </cell>
          <cell r="CW78">
            <v>0.5</v>
          </cell>
          <cell r="CX78">
            <v>-0.3</v>
          </cell>
          <cell r="CY78">
            <v>0.5</v>
          </cell>
          <cell r="CZ78">
            <v>0.8</v>
          </cell>
          <cell r="DA78">
            <v>1.2</v>
          </cell>
          <cell r="DB78">
            <v>-1</v>
          </cell>
          <cell r="DC78">
            <v>1.1000000000000001</v>
          </cell>
          <cell r="DD78">
            <v>1.1000000000000001</v>
          </cell>
          <cell r="DE78">
            <v>2.1</v>
          </cell>
          <cell r="DF78">
            <v>1.7</v>
          </cell>
          <cell r="DG78">
            <v>4326</v>
          </cell>
          <cell r="DH78">
            <v>716</v>
          </cell>
          <cell r="DI78">
            <v>4916</v>
          </cell>
          <cell r="DN78">
            <v>3502</v>
          </cell>
          <cell r="DP78">
            <v>4191</v>
          </cell>
          <cell r="DV78">
            <v>16394</v>
          </cell>
          <cell r="DW78">
            <v>1956</v>
          </cell>
          <cell r="DX78">
            <v>48</v>
          </cell>
          <cell r="DY78">
            <v>2264</v>
          </cell>
          <cell r="DZ78">
            <v>3946</v>
          </cell>
          <cell r="ED78">
            <v>8751</v>
          </cell>
          <cell r="EE78">
            <v>5705</v>
          </cell>
          <cell r="EF78">
            <v>5137</v>
          </cell>
          <cell r="EG78">
            <v>3286</v>
          </cell>
          <cell r="EH78">
            <v>1293</v>
          </cell>
          <cell r="EI78">
            <v>287</v>
          </cell>
          <cell r="EJ78">
            <v>1018</v>
          </cell>
          <cell r="EK78">
            <v>2725</v>
          </cell>
          <cell r="EL78">
            <v>4822</v>
          </cell>
          <cell r="EO78">
            <v>987</v>
          </cell>
          <cell r="ER78">
            <v>5207</v>
          </cell>
          <cell r="EU78">
            <v>2597</v>
          </cell>
          <cell r="EX78">
            <v>4080</v>
          </cell>
          <cell r="EY78">
            <v>2601</v>
          </cell>
          <cell r="EZ78">
            <v>8376</v>
          </cell>
          <cell r="FA78">
            <v>6401</v>
          </cell>
          <cell r="FB78">
            <v>5296</v>
          </cell>
          <cell r="FC78">
            <v>900</v>
          </cell>
          <cell r="FD78">
            <v>2938</v>
          </cell>
          <cell r="FE78">
            <v>11149</v>
          </cell>
          <cell r="FF78">
            <v>109025</v>
          </cell>
          <cell r="FG78">
            <v>11370</v>
          </cell>
          <cell r="FH78">
            <v>2641</v>
          </cell>
          <cell r="FI78">
            <v>123143</v>
          </cell>
          <cell r="FJ78">
            <v>8.4</v>
          </cell>
          <cell r="FK78">
            <v>5.4</v>
          </cell>
          <cell r="FL78">
            <v>8.1</v>
          </cell>
          <cell r="FQ78">
            <v>2</v>
          </cell>
          <cell r="FS78">
            <v>2.1</v>
          </cell>
          <cell r="FY78">
            <v>2.4</v>
          </cell>
          <cell r="FZ78">
            <v>1.4</v>
          </cell>
          <cell r="GA78">
            <v>10.5</v>
          </cell>
          <cell r="GB78">
            <v>2.9</v>
          </cell>
          <cell r="GC78">
            <v>2.2000000000000002</v>
          </cell>
          <cell r="GG78">
            <v>2.2999999999999998</v>
          </cell>
          <cell r="GH78">
            <v>2.4</v>
          </cell>
          <cell r="GI78">
            <v>0.7</v>
          </cell>
          <cell r="GJ78">
            <v>-1.6</v>
          </cell>
          <cell r="GK78">
            <v>3.6</v>
          </cell>
          <cell r="GL78">
            <v>2.2999999999999998</v>
          </cell>
          <cell r="GM78">
            <v>0.9</v>
          </cell>
          <cell r="GN78">
            <v>8.6</v>
          </cell>
          <cell r="GO78">
            <v>4.2</v>
          </cell>
          <cell r="GR78">
            <v>1.1000000000000001</v>
          </cell>
          <cell r="GU78">
            <v>0.6</v>
          </cell>
          <cell r="GX78">
            <v>0.6</v>
          </cell>
          <cell r="HA78">
            <v>0.6</v>
          </cell>
          <cell r="HB78">
            <v>0.6</v>
          </cell>
          <cell r="HC78">
            <v>-0.7</v>
          </cell>
          <cell r="HD78">
            <v>-1</v>
          </cell>
          <cell r="HE78">
            <v>0.8</v>
          </cell>
          <cell r="HF78">
            <v>0.4</v>
          </cell>
          <cell r="HG78">
            <v>-1.4</v>
          </cell>
          <cell r="HH78">
            <v>1.1000000000000001</v>
          </cell>
          <cell r="HI78">
            <v>2</v>
          </cell>
          <cell r="HJ78">
            <v>1.4</v>
          </cell>
          <cell r="HK78">
            <v>0.5</v>
          </cell>
          <cell r="HL78">
            <v>2007</v>
          </cell>
          <cell r="HM78">
            <v>739</v>
          </cell>
          <cell r="HN78">
            <v>2536</v>
          </cell>
          <cell r="HS78">
            <v>3503</v>
          </cell>
          <cell r="HU78">
            <v>4192</v>
          </cell>
          <cell r="IA78">
            <v>16514</v>
          </cell>
          <cell r="IB78">
            <v>2005</v>
          </cell>
          <cell r="IC78">
            <v>51</v>
          </cell>
          <cell r="ID78">
            <v>2121</v>
          </cell>
          <cell r="IE78">
            <v>3915</v>
          </cell>
          <cell r="II78">
            <v>9511</v>
          </cell>
          <cell r="IJ78">
            <v>5700</v>
          </cell>
          <cell r="IK78">
            <v>5107</v>
          </cell>
          <cell r="IL78">
            <v>3125</v>
          </cell>
          <cell r="IM78">
            <v>1279</v>
          </cell>
          <cell r="IN78">
            <v>279</v>
          </cell>
          <cell r="IO78">
            <v>1019</v>
          </cell>
          <cell r="IP78">
            <v>2689</v>
          </cell>
          <cell r="IQ78">
            <v>4756</v>
          </cell>
        </row>
        <row r="79">
          <cell r="B79">
            <v>4146</v>
          </cell>
          <cell r="C79">
            <v>724</v>
          </cell>
          <cell r="D79">
            <v>4734</v>
          </cell>
          <cell r="I79">
            <v>3549</v>
          </cell>
          <cell r="K79">
            <v>4243</v>
          </cell>
          <cell r="Q79">
            <v>16566</v>
          </cell>
          <cell r="R79">
            <v>2003</v>
          </cell>
          <cell r="S79">
            <v>52</v>
          </cell>
          <cell r="T79">
            <v>2292</v>
          </cell>
          <cell r="U79">
            <v>4027</v>
          </cell>
          <cell r="Y79">
            <v>8982</v>
          </cell>
          <cell r="Z79">
            <v>5918</v>
          </cell>
          <cell r="AA79">
            <v>5183</v>
          </cell>
          <cell r="AB79">
            <v>3377</v>
          </cell>
          <cell r="AC79">
            <v>1340</v>
          </cell>
          <cell r="AD79">
            <v>285</v>
          </cell>
          <cell r="AE79">
            <v>1013</v>
          </cell>
          <cell r="AF79">
            <v>2679</v>
          </cell>
          <cell r="AG79">
            <v>4891</v>
          </cell>
          <cell r="AJ79">
            <v>1010</v>
          </cell>
          <cell r="AM79">
            <v>5247</v>
          </cell>
          <cell r="AP79">
            <v>2610</v>
          </cell>
          <cell r="AS79">
            <v>4100</v>
          </cell>
          <cell r="AT79">
            <v>2614</v>
          </cell>
          <cell r="AU79">
            <v>8404</v>
          </cell>
          <cell r="AV79">
            <v>6488</v>
          </cell>
          <cell r="AW79">
            <v>5324</v>
          </cell>
          <cell r="AX79">
            <v>905</v>
          </cell>
          <cell r="AY79">
            <v>2904</v>
          </cell>
          <cell r="AZ79">
            <v>11296</v>
          </cell>
          <cell r="BA79">
            <v>110220</v>
          </cell>
          <cell r="BB79">
            <v>11565</v>
          </cell>
          <cell r="BC79">
            <v>2219</v>
          </cell>
          <cell r="BD79">
            <v>124235</v>
          </cell>
          <cell r="BE79">
            <v>-0.4</v>
          </cell>
          <cell r="BF79">
            <v>2.2000000000000002</v>
          </cell>
          <cell r="BG79">
            <v>-0.1</v>
          </cell>
          <cell r="BL79">
            <v>0.5</v>
          </cell>
          <cell r="BN79">
            <v>0.4</v>
          </cell>
          <cell r="BT79">
            <v>1.2</v>
          </cell>
          <cell r="BU79">
            <v>1.8</v>
          </cell>
          <cell r="BV79">
            <v>8.3000000000000007</v>
          </cell>
          <cell r="BW79">
            <v>1.6</v>
          </cell>
          <cell r="BX79">
            <v>1.9</v>
          </cell>
          <cell r="CB79">
            <v>2.2999999999999998</v>
          </cell>
          <cell r="CC79">
            <v>2.6</v>
          </cell>
          <cell r="CD79">
            <v>1.1000000000000001</v>
          </cell>
          <cell r="CE79">
            <v>1.5</v>
          </cell>
          <cell r="CF79">
            <v>4.3</v>
          </cell>
          <cell r="CG79">
            <v>0.3</v>
          </cell>
          <cell r="CH79">
            <v>0.2</v>
          </cell>
          <cell r="CI79">
            <v>2.1</v>
          </cell>
          <cell r="CJ79">
            <v>2.8</v>
          </cell>
          <cell r="CM79">
            <v>2.5</v>
          </cell>
          <cell r="CP79">
            <v>0.5</v>
          </cell>
          <cell r="CS79">
            <v>0.4</v>
          </cell>
          <cell r="CV79">
            <v>0.4</v>
          </cell>
          <cell r="CW79">
            <v>0.4</v>
          </cell>
          <cell r="CX79">
            <v>0</v>
          </cell>
          <cell r="CY79">
            <v>0.8</v>
          </cell>
          <cell r="CZ79">
            <v>0.6</v>
          </cell>
          <cell r="DA79">
            <v>0.7</v>
          </cell>
          <cell r="DB79">
            <v>-1.2</v>
          </cell>
          <cell r="DC79">
            <v>1.3</v>
          </cell>
          <cell r="DD79">
            <v>1.2</v>
          </cell>
          <cell r="DE79">
            <v>1.3</v>
          </cell>
          <cell r="DF79">
            <v>0.9</v>
          </cell>
          <cell r="DG79">
            <v>4145</v>
          </cell>
          <cell r="DH79">
            <v>723</v>
          </cell>
          <cell r="DI79">
            <v>4734</v>
          </cell>
          <cell r="DN79">
            <v>3702</v>
          </cell>
          <cell r="DP79">
            <v>4428</v>
          </cell>
          <cell r="DV79">
            <v>16611</v>
          </cell>
          <cell r="DW79">
            <v>2006</v>
          </cell>
          <cell r="DX79">
            <v>51</v>
          </cell>
          <cell r="DY79">
            <v>2292</v>
          </cell>
          <cell r="DZ79">
            <v>4028</v>
          </cell>
          <cell r="ED79">
            <v>9068</v>
          </cell>
          <cell r="EE79">
            <v>5999</v>
          </cell>
          <cell r="EF79">
            <v>5122</v>
          </cell>
          <cell r="EG79">
            <v>3391</v>
          </cell>
          <cell r="EH79">
            <v>1330</v>
          </cell>
          <cell r="EI79">
            <v>283</v>
          </cell>
          <cell r="EJ79">
            <v>1007</v>
          </cell>
          <cell r="EK79">
            <v>2616</v>
          </cell>
          <cell r="EL79">
            <v>4840</v>
          </cell>
          <cell r="EO79">
            <v>1008</v>
          </cell>
          <cell r="ER79">
            <v>5269</v>
          </cell>
          <cell r="EU79">
            <v>2615</v>
          </cell>
          <cell r="EX79">
            <v>4108</v>
          </cell>
          <cell r="EY79">
            <v>2619</v>
          </cell>
          <cell r="EZ79">
            <v>8410</v>
          </cell>
          <cell r="FA79">
            <v>6468</v>
          </cell>
          <cell r="FB79">
            <v>5323</v>
          </cell>
          <cell r="FC79">
            <v>907</v>
          </cell>
          <cell r="FD79">
            <v>2894</v>
          </cell>
          <cell r="FE79">
            <v>11293</v>
          </cell>
          <cell r="FF79">
            <v>110575</v>
          </cell>
          <cell r="FG79">
            <v>11753</v>
          </cell>
          <cell r="FH79">
            <v>2322</v>
          </cell>
          <cell r="FI79">
            <v>123968</v>
          </cell>
          <cell r="FJ79">
            <v>-4.2</v>
          </cell>
          <cell r="FK79">
            <v>1</v>
          </cell>
          <cell r="FL79">
            <v>-3.7</v>
          </cell>
          <cell r="FQ79">
            <v>5.7</v>
          </cell>
          <cell r="FS79">
            <v>5.7</v>
          </cell>
          <cell r="FY79">
            <v>1.3</v>
          </cell>
          <cell r="FZ79">
            <v>2.6</v>
          </cell>
          <cell r="GA79">
            <v>6.2</v>
          </cell>
          <cell r="GB79">
            <v>1.2</v>
          </cell>
          <cell r="GC79">
            <v>2.1</v>
          </cell>
          <cell r="GG79">
            <v>3.6</v>
          </cell>
          <cell r="GH79">
            <v>5.0999999999999996</v>
          </cell>
          <cell r="GI79">
            <v>-0.3</v>
          </cell>
          <cell r="GJ79">
            <v>3.2</v>
          </cell>
          <cell r="GK79">
            <v>2.9</v>
          </cell>
          <cell r="GL79">
            <v>-1.4</v>
          </cell>
          <cell r="GM79">
            <v>-1.1000000000000001</v>
          </cell>
          <cell r="GN79">
            <v>-4</v>
          </cell>
          <cell r="GO79">
            <v>0.4</v>
          </cell>
          <cell r="GR79">
            <v>2.1</v>
          </cell>
          <cell r="GU79">
            <v>1.2</v>
          </cell>
          <cell r="GX79">
            <v>0.7</v>
          </cell>
          <cell r="HA79">
            <v>0.7</v>
          </cell>
          <cell r="HB79">
            <v>0.7</v>
          </cell>
          <cell r="HC79">
            <v>0.4</v>
          </cell>
          <cell r="HD79">
            <v>1</v>
          </cell>
          <cell r="HE79">
            <v>0.5</v>
          </cell>
          <cell r="HF79">
            <v>0.8</v>
          </cell>
          <cell r="HG79">
            <v>-1.5</v>
          </cell>
          <cell r="HH79">
            <v>1.3</v>
          </cell>
          <cell r="HI79">
            <v>1.4</v>
          </cell>
          <cell r="HJ79">
            <v>3.4</v>
          </cell>
          <cell r="HK79">
            <v>0.7</v>
          </cell>
          <cell r="HL79">
            <v>3433</v>
          </cell>
          <cell r="HM79">
            <v>750</v>
          </cell>
          <cell r="HN79">
            <v>4014</v>
          </cell>
          <cell r="HS79">
            <v>3756</v>
          </cell>
          <cell r="HU79">
            <v>4492</v>
          </cell>
          <cell r="IA79">
            <v>17020</v>
          </cell>
          <cell r="IB79">
            <v>2207</v>
          </cell>
          <cell r="IC79">
            <v>60</v>
          </cell>
          <cell r="ID79">
            <v>2116</v>
          </cell>
          <cell r="IE79">
            <v>4170</v>
          </cell>
          <cell r="II79">
            <v>8829</v>
          </cell>
          <cell r="IJ79">
            <v>5983</v>
          </cell>
          <cell r="IK79">
            <v>5072</v>
          </cell>
          <cell r="IL79">
            <v>3294</v>
          </cell>
          <cell r="IM79">
            <v>1398</v>
          </cell>
          <cell r="IN79">
            <v>297</v>
          </cell>
          <cell r="IO79">
            <v>1042</v>
          </cell>
          <cell r="IP79">
            <v>2645</v>
          </cell>
          <cell r="IQ79">
            <v>5043</v>
          </cell>
        </row>
        <row r="80">
          <cell r="B80">
            <v>4113</v>
          </cell>
          <cell r="C80">
            <v>725</v>
          </cell>
          <cell r="D80">
            <v>4701</v>
          </cell>
          <cell r="I80">
            <v>3549</v>
          </cell>
          <cell r="K80">
            <v>4240</v>
          </cell>
          <cell r="Q80">
            <v>16798</v>
          </cell>
          <cell r="R80">
            <v>2036</v>
          </cell>
          <cell r="S80">
            <v>55</v>
          </cell>
          <cell r="T80">
            <v>2295</v>
          </cell>
          <cell r="U80">
            <v>4075</v>
          </cell>
          <cell r="Y80">
            <v>9128</v>
          </cell>
          <cell r="Z80">
            <v>5975</v>
          </cell>
          <cell r="AA80">
            <v>5189</v>
          </cell>
          <cell r="AB80">
            <v>3432</v>
          </cell>
          <cell r="AC80">
            <v>1411</v>
          </cell>
          <cell r="AD80">
            <v>283</v>
          </cell>
          <cell r="AE80">
            <v>1014</v>
          </cell>
          <cell r="AF80">
            <v>2702</v>
          </cell>
          <cell r="AG80">
            <v>5036</v>
          </cell>
          <cell r="AJ80">
            <v>1038</v>
          </cell>
          <cell r="AM80">
            <v>5256</v>
          </cell>
          <cell r="AP80">
            <v>2610</v>
          </cell>
          <cell r="AS80">
            <v>4100</v>
          </cell>
          <cell r="AT80">
            <v>2614</v>
          </cell>
          <cell r="AU80">
            <v>8428</v>
          </cell>
          <cell r="AV80">
            <v>6560</v>
          </cell>
          <cell r="AW80">
            <v>5350</v>
          </cell>
          <cell r="AX80">
            <v>903</v>
          </cell>
          <cell r="AY80">
            <v>2883</v>
          </cell>
          <cell r="AZ80">
            <v>11455</v>
          </cell>
          <cell r="BA80">
            <v>111219</v>
          </cell>
          <cell r="BB80">
            <v>11649</v>
          </cell>
          <cell r="BC80">
            <v>1703</v>
          </cell>
          <cell r="BD80">
            <v>124592</v>
          </cell>
          <cell r="BE80">
            <v>-0.8</v>
          </cell>
          <cell r="BF80">
            <v>0.1</v>
          </cell>
          <cell r="BG80">
            <v>-0.7</v>
          </cell>
          <cell r="BL80">
            <v>0</v>
          </cell>
          <cell r="BN80">
            <v>-0.1</v>
          </cell>
          <cell r="BT80">
            <v>1.4</v>
          </cell>
          <cell r="BU80">
            <v>1.6</v>
          </cell>
          <cell r="BV80">
            <v>6.5</v>
          </cell>
          <cell r="BW80">
            <v>0.1</v>
          </cell>
          <cell r="BX80">
            <v>1.2</v>
          </cell>
          <cell r="CB80">
            <v>1.6</v>
          </cell>
          <cell r="CC80">
            <v>1</v>
          </cell>
          <cell r="CD80">
            <v>0.1</v>
          </cell>
          <cell r="CE80">
            <v>1.6</v>
          </cell>
          <cell r="CF80">
            <v>5.3</v>
          </cell>
          <cell r="CG80">
            <v>-0.8</v>
          </cell>
          <cell r="CH80">
            <v>0.2</v>
          </cell>
          <cell r="CI80">
            <v>0.9</v>
          </cell>
          <cell r="CJ80">
            <v>3</v>
          </cell>
          <cell r="CM80">
            <v>2.8</v>
          </cell>
          <cell r="CP80">
            <v>0.2</v>
          </cell>
          <cell r="CS80">
            <v>0</v>
          </cell>
          <cell r="CV80">
            <v>0</v>
          </cell>
          <cell r="CW80">
            <v>0</v>
          </cell>
          <cell r="CX80">
            <v>0.3</v>
          </cell>
          <cell r="CY80">
            <v>1.1000000000000001</v>
          </cell>
          <cell r="CZ80">
            <v>0.5</v>
          </cell>
          <cell r="DA80">
            <v>-0.2</v>
          </cell>
          <cell r="DB80">
            <v>-0.7</v>
          </cell>
          <cell r="DC80">
            <v>1.4</v>
          </cell>
          <cell r="DD80">
            <v>0.9</v>
          </cell>
          <cell r="DE80">
            <v>0.7</v>
          </cell>
          <cell r="DF80">
            <v>0.3</v>
          </cell>
          <cell r="DG80">
            <v>3960</v>
          </cell>
          <cell r="DH80">
            <v>734</v>
          </cell>
          <cell r="DI80">
            <v>4548</v>
          </cell>
          <cell r="DN80">
            <v>3371</v>
          </cell>
          <cell r="DP80">
            <v>4023</v>
          </cell>
          <cell r="DV80">
            <v>16867</v>
          </cell>
          <cell r="DW80">
            <v>2048</v>
          </cell>
          <cell r="DX80">
            <v>55</v>
          </cell>
          <cell r="DY80">
            <v>2301</v>
          </cell>
          <cell r="DZ80">
            <v>4096</v>
          </cell>
          <cell r="ED80">
            <v>9135</v>
          </cell>
          <cell r="EE80">
            <v>6051</v>
          </cell>
          <cell r="EF80">
            <v>5279</v>
          </cell>
          <cell r="EG80">
            <v>3451</v>
          </cell>
          <cell r="EH80">
            <v>1400</v>
          </cell>
          <cell r="EI80">
            <v>286</v>
          </cell>
          <cell r="EJ80">
            <v>1004</v>
          </cell>
          <cell r="EK80">
            <v>2720</v>
          </cell>
          <cell r="EL80">
            <v>5022</v>
          </cell>
          <cell r="EO80">
            <v>1042</v>
          </cell>
          <cell r="ER80">
            <v>5265</v>
          </cell>
          <cell r="EU80">
            <v>2617</v>
          </cell>
          <cell r="EX80">
            <v>4111</v>
          </cell>
          <cell r="EY80">
            <v>2621</v>
          </cell>
          <cell r="EZ80">
            <v>8433</v>
          </cell>
          <cell r="FA80">
            <v>6560</v>
          </cell>
          <cell r="FB80">
            <v>5355</v>
          </cell>
          <cell r="FC80">
            <v>900</v>
          </cell>
          <cell r="FD80">
            <v>2884</v>
          </cell>
          <cell r="FE80">
            <v>11458</v>
          </cell>
          <cell r="FF80">
            <v>111165</v>
          </cell>
          <cell r="FG80">
            <v>11423</v>
          </cell>
          <cell r="FH80">
            <v>1483</v>
          </cell>
          <cell r="FI80">
            <v>125030</v>
          </cell>
          <cell r="FJ80">
            <v>-4.5</v>
          </cell>
          <cell r="FK80">
            <v>1.6</v>
          </cell>
          <cell r="FL80">
            <v>-3.9</v>
          </cell>
          <cell r="FQ80">
            <v>-8.9</v>
          </cell>
          <cell r="FS80">
            <v>-9.1</v>
          </cell>
          <cell r="FY80">
            <v>1.5</v>
          </cell>
          <cell r="FZ80">
            <v>2.1</v>
          </cell>
          <cell r="GA80">
            <v>8.6999999999999993</v>
          </cell>
          <cell r="GB80">
            <v>0.4</v>
          </cell>
          <cell r="GC80">
            <v>1.7</v>
          </cell>
          <cell r="GG80">
            <v>0.7</v>
          </cell>
          <cell r="GH80">
            <v>0.9</v>
          </cell>
          <cell r="GI80">
            <v>3.1</v>
          </cell>
          <cell r="GJ80">
            <v>1.8</v>
          </cell>
          <cell r="GK80">
            <v>5.2</v>
          </cell>
          <cell r="GL80">
            <v>1.2</v>
          </cell>
          <cell r="GM80">
            <v>-0.4</v>
          </cell>
          <cell r="GN80">
            <v>4</v>
          </cell>
          <cell r="GO80">
            <v>3.8</v>
          </cell>
          <cell r="GR80">
            <v>3.3</v>
          </cell>
          <cell r="GU80">
            <v>-0.1</v>
          </cell>
          <cell r="GX80">
            <v>0.1</v>
          </cell>
          <cell r="HA80">
            <v>0.1</v>
          </cell>
          <cell r="HB80">
            <v>0.1</v>
          </cell>
          <cell r="HC80">
            <v>0.3</v>
          </cell>
          <cell r="HD80">
            <v>1.4</v>
          </cell>
          <cell r="HE80">
            <v>0.6</v>
          </cell>
          <cell r="HF80">
            <v>-0.8</v>
          </cell>
          <cell r="HG80">
            <v>-0.4</v>
          </cell>
          <cell r="HH80">
            <v>1.5</v>
          </cell>
          <cell r="HI80">
            <v>0.5</v>
          </cell>
          <cell r="HJ80">
            <v>-2.8</v>
          </cell>
          <cell r="HK80">
            <v>0.9</v>
          </cell>
          <cell r="HL80">
            <v>6543</v>
          </cell>
          <cell r="HM80">
            <v>746</v>
          </cell>
          <cell r="HN80">
            <v>7224</v>
          </cell>
          <cell r="HS80">
            <v>3444</v>
          </cell>
          <cell r="HU80">
            <v>4102</v>
          </cell>
          <cell r="IA80">
            <v>17776</v>
          </cell>
          <cell r="IB80">
            <v>1954</v>
          </cell>
          <cell r="IC80">
            <v>52</v>
          </cell>
          <cell r="ID80">
            <v>2408</v>
          </cell>
          <cell r="IE80">
            <v>4048</v>
          </cell>
          <cell r="II80">
            <v>9416</v>
          </cell>
          <cell r="IJ80">
            <v>6290</v>
          </cell>
          <cell r="IK80">
            <v>5728</v>
          </cell>
          <cell r="IL80">
            <v>3721</v>
          </cell>
          <cell r="IM80">
            <v>1483</v>
          </cell>
          <cell r="IN80">
            <v>284</v>
          </cell>
          <cell r="IO80">
            <v>1021</v>
          </cell>
          <cell r="IP80">
            <v>2801</v>
          </cell>
          <cell r="IQ80">
            <v>5214</v>
          </cell>
        </row>
        <row r="81">
          <cell r="B81">
            <v>4130</v>
          </cell>
          <cell r="C81">
            <v>718</v>
          </cell>
          <cell r="D81">
            <v>4714</v>
          </cell>
          <cell r="I81">
            <v>3597</v>
          </cell>
          <cell r="K81">
            <v>4299</v>
          </cell>
          <cell r="Q81">
            <v>16859</v>
          </cell>
          <cell r="R81">
            <v>2066</v>
          </cell>
          <cell r="S81">
            <v>59</v>
          </cell>
          <cell r="T81">
            <v>2259</v>
          </cell>
          <cell r="U81">
            <v>4098</v>
          </cell>
          <cell r="Y81">
            <v>9159</v>
          </cell>
          <cell r="Z81">
            <v>5907</v>
          </cell>
          <cell r="AA81">
            <v>5157</v>
          </cell>
          <cell r="AB81">
            <v>3469</v>
          </cell>
          <cell r="AC81">
            <v>1466</v>
          </cell>
          <cell r="AD81">
            <v>283</v>
          </cell>
          <cell r="AE81">
            <v>1028</v>
          </cell>
          <cell r="AF81">
            <v>2734</v>
          </cell>
          <cell r="AG81">
            <v>5158</v>
          </cell>
          <cell r="AJ81">
            <v>1060</v>
          </cell>
          <cell r="AM81">
            <v>5261</v>
          </cell>
          <cell r="AP81">
            <v>2606</v>
          </cell>
          <cell r="AS81">
            <v>4094</v>
          </cell>
          <cell r="AT81">
            <v>2610</v>
          </cell>
          <cell r="AU81">
            <v>8459</v>
          </cell>
          <cell r="AV81">
            <v>6615</v>
          </cell>
          <cell r="AW81">
            <v>5382</v>
          </cell>
          <cell r="AX81">
            <v>900</v>
          </cell>
          <cell r="AY81">
            <v>2885</v>
          </cell>
          <cell r="AZ81">
            <v>11620</v>
          </cell>
          <cell r="BA81">
            <v>111671</v>
          </cell>
          <cell r="BB81">
            <v>11699</v>
          </cell>
          <cell r="BC81">
            <v>1384</v>
          </cell>
          <cell r="BD81">
            <v>125146</v>
          </cell>
          <cell r="BE81">
            <v>0.4</v>
          </cell>
          <cell r="BF81">
            <v>-1</v>
          </cell>
          <cell r="BG81">
            <v>0.3</v>
          </cell>
          <cell r="BL81">
            <v>1.4</v>
          </cell>
          <cell r="BN81">
            <v>1.4</v>
          </cell>
          <cell r="BT81">
            <v>0.4</v>
          </cell>
          <cell r="BU81">
            <v>1.5</v>
          </cell>
          <cell r="BV81">
            <v>7.4</v>
          </cell>
          <cell r="BW81">
            <v>-1.6</v>
          </cell>
          <cell r="BX81">
            <v>0.5</v>
          </cell>
          <cell r="CB81">
            <v>0.3</v>
          </cell>
          <cell r="CC81">
            <v>-1.1000000000000001</v>
          </cell>
          <cell r="CD81">
            <v>-0.6</v>
          </cell>
          <cell r="CE81">
            <v>1.1000000000000001</v>
          </cell>
          <cell r="CF81">
            <v>3.9</v>
          </cell>
          <cell r="CG81">
            <v>-0.2</v>
          </cell>
          <cell r="CH81">
            <v>1.3</v>
          </cell>
          <cell r="CI81">
            <v>1.2</v>
          </cell>
          <cell r="CJ81">
            <v>2.4</v>
          </cell>
          <cell r="CM81">
            <v>2.1</v>
          </cell>
          <cell r="CP81">
            <v>0.1</v>
          </cell>
          <cell r="CS81">
            <v>-0.2</v>
          </cell>
          <cell r="CV81">
            <v>-0.2</v>
          </cell>
          <cell r="CW81">
            <v>-0.2</v>
          </cell>
          <cell r="CX81">
            <v>0.4</v>
          </cell>
          <cell r="CY81">
            <v>0.8</v>
          </cell>
          <cell r="CZ81">
            <v>0.6</v>
          </cell>
          <cell r="DA81">
            <v>-0.4</v>
          </cell>
          <cell r="DB81">
            <v>0.1</v>
          </cell>
          <cell r="DC81">
            <v>1.4</v>
          </cell>
          <cell r="DD81">
            <v>0.4</v>
          </cell>
          <cell r="DE81">
            <v>0.4</v>
          </cell>
          <cell r="DF81">
            <v>0.4</v>
          </cell>
          <cell r="DG81">
            <v>4197</v>
          </cell>
          <cell r="DH81">
            <v>709</v>
          </cell>
          <cell r="DI81">
            <v>4778</v>
          </cell>
          <cell r="DN81">
            <v>3652</v>
          </cell>
          <cell r="DP81">
            <v>4366</v>
          </cell>
          <cell r="DV81">
            <v>16766</v>
          </cell>
          <cell r="DW81">
            <v>2046</v>
          </cell>
          <cell r="DX81">
            <v>58</v>
          </cell>
          <cell r="DY81">
            <v>2263</v>
          </cell>
          <cell r="DZ81">
            <v>4075</v>
          </cell>
          <cell r="ED81">
            <v>9088</v>
          </cell>
          <cell r="EE81">
            <v>5822</v>
          </cell>
          <cell r="EF81">
            <v>5120</v>
          </cell>
          <cell r="EG81">
            <v>3448</v>
          </cell>
          <cell r="EH81">
            <v>1512</v>
          </cell>
          <cell r="EI81">
            <v>283</v>
          </cell>
          <cell r="EJ81">
            <v>1043</v>
          </cell>
          <cell r="EK81">
            <v>2760</v>
          </cell>
          <cell r="EL81">
            <v>5268</v>
          </cell>
          <cell r="EO81">
            <v>1064</v>
          </cell>
          <cell r="ER81">
            <v>5238</v>
          </cell>
          <cell r="EU81">
            <v>2597</v>
          </cell>
          <cell r="EX81">
            <v>4080</v>
          </cell>
          <cell r="EY81">
            <v>2602</v>
          </cell>
          <cell r="EZ81">
            <v>8463</v>
          </cell>
          <cell r="FA81">
            <v>6689</v>
          </cell>
          <cell r="FB81">
            <v>5387</v>
          </cell>
          <cell r="FC81">
            <v>905</v>
          </cell>
          <cell r="FD81">
            <v>2880</v>
          </cell>
          <cell r="FE81">
            <v>11623</v>
          </cell>
          <cell r="FF81">
            <v>111498</v>
          </cell>
          <cell r="FG81">
            <v>11811</v>
          </cell>
          <cell r="FH81">
            <v>1375</v>
          </cell>
          <cell r="FI81">
            <v>124360</v>
          </cell>
          <cell r="FJ81">
            <v>6</v>
          </cell>
          <cell r="FK81">
            <v>-3.4</v>
          </cell>
          <cell r="FL81">
            <v>5.0999999999999996</v>
          </cell>
          <cell r="FQ81">
            <v>8.3000000000000007</v>
          </cell>
          <cell r="FS81">
            <v>8.5</v>
          </cell>
          <cell r="FY81">
            <v>-0.6</v>
          </cell>
          <cell r="FZ81">
            <v>-0.1</v>
          </cell>
          <cell r="GA81">
            <v>5.3</v>
          </cell>
          <cell r="GB81">
            <v>-1.6</v>
          </cell>
          <cell r="GC81">
            <v>-0.5</v>
          </cell>
          <cell r="GG81">
            <v>-0.5</v>
          </cell>
          <cell r="GH81">
            <v>-3.8</v>
          </cell>
          <cell r="GI81">
            <v>-3</v>
          </cell>
          <cell r="GJ81">
            <v>-0.1</v>
          </cell>
          <cell r="GK81">
            <v>8</v>
          </cell>
          <cell r="GL81">
            <v>-1</v>
          </cell>
          <cell r="GM81">
            <v>4</v>
          </cell>
          <cell r="GN81">
            <v>1.5</v>
          </cell>
          <cell r="GO81">
            <v>4.9000000000000004</v>
          </cell>
          <cell r="GR81">
            <v>2.2000000000000002</v>
          </cell>
          <cell r="GU81">
            <v>-0.5</v>
          </cell>
          <cell r="GX81">
            <v>-0.8</v>
          </cell>
          <cell r="HA81">
            <v>-0.8</v>
          </cell>
          <cell r="HB81">
            <v>-0.8</v>
          </cell>
          <cell r="HC81">
            <v>0.4</v>
          </cell>
          <cell r="HD81">
            <v>2</v>
          </cell>
          <cell r="HE81">
            <v>0.6</v>
          </cell>
          <cell r="HF81">
            <v>0.6</v>
          </cell>
          <cell r="HG81">
            <v>-0.1</v>
          </cell>
          <cell r="HH81">
            <v>1.4</v>
          </cell>
          <cell r="HI81">
            <v>0.3</v>
          </cell>
          <cell r="HJ81">
            <v>3.4</v>
          </cell>
          <cell r="HK81">
            <v>-0.5</v>
          </cell>
          <cell r="HL81">
            <v>4558</v>
          </cell>
          <cell r="HM81">
            <v>651</v>
          </cell>
          <cell r="HN81">
            <v>5115</v>
          </cell>
          <cell r="HS81">
            <v>3529</v>
          </cell>
          <cell r="HU81">
            <v>4227</v>
          </cell>
          <cell r="IA81">
            <v>15553</v>
          </cell>
          <cell r="IB81">
            <v>1892</v>
          </cell>
          <cell r="IC81">
            <v>49</v>
          </cell>
          <cell r="ID81">
            <v>2478</v>
          </cell>
          <cell r="IE81">
            <v>4014</v>
          </cell>
          <cell r="II81">
            <v>8281</v>
          </cell>
          <cell r="IJ81">
            <v>5647</v>
          </cell>
          <cell r="IK81">
            <v>4760</v>
          </cell>
          <cell r="IL81">
            <v>3454</v>
          </cell>
          <cell r="IM81">
            <v>1382</v>
          </cell>
          <cell r="IN81">
            <v>279</v>
          </cell>
          <cell r="IO81">
            <v>992</v>
          </cell>
          <cell r="IP81">
            <v>2686</v>
          </cell>
          <cell r="IQ81">
            <v>4948</v>
          </cell>
        </row>
        <row r="82">
          <cell r="B82">
            <v>4179</v>
          </cell>
          <cell r="C82">
            <v>711</v>
          </cell>
          <cell r="D82">
            <v>4761</v>
          </cell>
          <cell r="I82">
            <v>3672</v>
          </cell>
          <cell r="K82">
            <v>4386</v>
          </cell>
          <cell r="Q82">
            <v>16815</v>
          </cell>
          <cell r="R82">
            <v>2091</v>
          </cell>
          <cell r="S82">
            <v>62</v>
          </cell>
          <cell r="T82">
            <v>2231</v>
          </cell>
          <cell r="U82">
            <v>4116</v>
          </cell>
          <cell r="Y82">
            <v>9052</v>
          </cell>
          <cell r="Z82">
            <v>5846</v>
          </cell>
          <cell r="AA82">
            <v>5113</v>
          </cell>
          <cell r="AB82">
            <v>3485</v>
          </cell>
          <cell r="AC82">
            <v>1506</v>
          </cell>
          <cell r="AD82">
            <v>288</v>
          </cell>
          <cell r="AE82">
            <v>1049</v>
          </cell>
          <cell r="AF82">
            <v>2802</v>
          </cell>
          <cell r="AG82">
            <v>5287</v>
          </cell>
          <cell r="AJ82">
            <v>1073</v>
          </cell>
          <cell r="AM82">
            <v>5281</v>
          </cell>
          <cell r="AP82">
            <v>2607</v>
          </cell>
          <cell r="AS82">
            <v>4096</v>
          </cell>
          <cell r="AT82">
            <v>2612</v>
          </cell>
          <cell r="AU82">
            <v>8490</v>
          </cell>
          <cell r="AV82">
            <v>6647</v>
          </cell>
          <cell r="AW82">
            <v>5445</v>
          </cell>
          <cell r="AX82">
            <v>899</v>
          </cell>
          <cell r="AY82">
            <v>2895</v>
          </cell>
          <cell r="AZ82">
            <v>11785</v>
          </cell>
          <cell r="BA82">
            <v>111868</v>
          </cell>
          <cell r="BB82">
            <v>11715</v>
          </cell>
          <cell r="BC82">
            <v>1357</v>
          </cell>
          <cell r="BD82">
            <v>125446</v>
          </cell>
          <cell r="BE82">
            <v>1.2</v>
          </cell>
          <cell r="BF82">
            <v>-0.9</v>
          </cell>
          <cell r="BG82">
            <v>1</v>
          </cell>
          <cell r="BL82">
            <v>2.1</v>
          </cell>
          <cell r="BN82">
            <v>2</v>
          </cell>
          <cell r="BT82">
            <v>-0.3</v>
          </cell>
          <cell r="BU82">
            <v>1.2</v>
          </cell>
          <cell r="BV82">
            <v>5.9</v>
          </cell>
          <cell r="BW82">
            <v>-1.3</v>
          </cell>
          <cell r="BX82">
            <v>0.4</v>
          </cell>
          <cell r="CB82">
            <v>-1.2</v>
          </cell>
          <cell r="CC82">
            <v>-1</v>
          </cell>
          <cell r="CD82">
            <v>-0.9</v>
          </cell>
          <cell r="CE82">
            <v>0.5</v>
          </cell>
          <cell r="CF82">
            <v>2.7</v>
          </cell>
          <cell r="CG82">
            <v>2</v>
          </cell>
          <cell r="CH82">
            <v>2.1</v>
          </cell>
          <cell r="CI82">
            <v>2.5</v>
          </cell>
          <cell r="CJ82">
            <v>2.5</v>
          </cell>
          <cell r="CM82">
            <v>1.2</v>
          </cell>
          <cell r="CP82">
            <v>0.4</v>
          </cell>
          <cell r="CS82">
            <v>0.1</v>
          </cell>
          <cell r="CV82">
            <v>0.1</v>
          </cell>
          <cell r="CW82">
            <v>0.1</v>
          </cell>
          <cell r="CX82">
            <v>0.4</v>
          </cell>
          <cell r="CY82">
            <v>0.5</v>
          </cell>
          <cell r="CZ82">
            <v>1.2</v>
          </cell>
          <cell r="DA82">
            <v>0</v>
          </cell>
          <cell r="DB82">
            <v>0.4</v>
          </cell>
          <cell r="DC82">
            <v>1.4</v>
          </cell>
          <cell r="DD82">
            <v>0.2</v>
          </cell>
          <cell r="DE82">
            <v>0.1</v>
          </cell>
          <cell r="DF82">
            <v>0.2</v>
          </cell>
          <cell r="DG82">
            <v>4244</v>
          </cell>
          <cell r="DH82">
            <v>709</v>
          </cell>
          <cell r="DI82">
            <v>4827</v>
          </cell>
          <cell r="DN82">
            <v>3668</v>
          </cell>
          <cell r="DP82">
            <v>4384</v>
          </cell>
          <cell r="DV82">
            <v>16910</v>
          </cell>
          <cell r="DW82">
            <v>2103</v>
          </cell>
          <cell r="DX82">
            <v>63</v>
          </cell>
          <cell r="DY82">
            <v>2221</v>
          </cell>
          <cell r="DZ82">
            <v>4123</v>
          </cell>
          <cell r="ED82">
            <v>9165</v>
          </cell>
          <cell r="EE82">
            <v>5815</v>
          </cell>
          <cell r="EF82">
            <v>5097</v>
          </cell>
          <cell r="EG82">
            <v>3512</v>
          </cell>
          <cell r="EH82">
            <v>1480</v>
          </cell>
          <cell r="EI82">
            <v>279</v>
          </cell>
          <cell r="EJ82">
            <v>1030</v>
          </cell>
          <cell r="EK82">
            <v>2722</v>
          </cell>
          <cell r="EL82">
            <v>5175</v>
          </cell>
          <cell r="EO82">
            <v>1072</v>
          </cell>
          <cell r="ER82">
            <v>5273</v>
          </cell>
          <cell r="EU82">
            <v>2603</v>
          </cell>
          <cell r="EX82">
            <v>4089</v>
          </cell>
          <cell r="EY82">
            <v>2607</v>
          </cell>
          <cell r="EZ82">
            <v>8478</v>
          </cell>
          <cell r="FA82">
            <v>6594</v>
          </cell>
          <cell r="FB82">
            <v>5424</v>
          </cell>
          <cell r="FC82">
            <v>895</v>
          </cell>
          <cell r="FD82">
            <v>2898</v>
          </cell>
          <cell r="FE82">
            <v>11781</v>
          </cell>
          <cell r="FF82">
            <v>112052</v>
          </cell>
          <cell r="FG82">
            <v>11735</v>
          </cell>
          <cell r="FH82">
            <v>1283</v>
          </cell>
          <cell r="FI82">
            <v>126120</v>
          </cell>
          <cell r="FJ82">
            <v>1.1000000000000001</v>
          </cell>
          <cell r="FK82">
            <v>0.1</v>
          </cell>
          <cell r="FL82">
            <v>1</v>
          </cell>
          <cell r="FQ82">
            <v>0.4</v>
          </cell>
          <cell r="FS82">
            <v>0.4</v>
          </cell>
          <cell r="FY82">
            <v>0.9</v>
          </cell>
          <cell r="FZ82">
            <v>2.8</v>
          </cell>
          <cell r="GA82">
            <v>7.5</v>
          </cell>
          <cell r="GB82">
            <v>-1.9</v>
          </cell>
          <cell r="GC82">
            <v>1.2</v>
          </cell>
          <cell r="GG82">
            <v>0.8</v>
          </cell>
          <cell r="GH82">
            <v>-0.1</v>
          </cell>
          <cell r="GI82">
            <v>-0.5</v>
          </cell>
          <cell r="GJ82">
            <v>1.9</v>
          </cell>
          <cell r="GK82">
            <v>-2.1</v>
          </cell>
          <cell r="GL82">
            <v>-1.4</v>
          </cell>
          <cell r="GM82">
            <v>-1.3</v>
          </cell>
          <cell r="GN82">
            <v>-1.4</v>
          </cell>
          <cell r="GO82">
            <v>-1.8</v>
          </cell>
          <cell r="GR82">
            <v>0.7</v>
          </cell>
          <cell r="GU82">
            <v>0.7</v>
          </cell>
          <cell r="GX82">
            <v>0.2</v>
          </cell>
          <cell r="HA82">
            <v>0.2</v>
          </cell>
          <cell r="HB82">
            <v>0.2</v>
          </cell>
          <cell r="HC82">
            <v>0.2</v>
          </cell>
          <cell r="HD82">
            <v>-1.4</v>
          </cell>
          <cell r="HE82">
            <v>0.7</v>
          </cell>
          <cell r="HF82">
            <v>-1.2</v>
          </cell>
          <cell r="HG82">
            <v>0.6</v>
          </cell>
          <cell r="HH82">
            <v>1.4</v>
          </cell>
          <cell r="HI82">
            <v>0.5</v>
          </cell>
          <cell r="HJ82">
            <v>-0.6</v>
          </cell>
          <cell r="HK82">
            <v>1.4</v>
          </cell>
          <cell r="HL82">
            <v>2012</v>
          </cell>
          <cell r="HM82">
            <v>728</v>
          </cell>
          <cell r="HN82">
            <v>2533</v>
          </cell>
          <cell r="HS82">
            <v>3665</v>
          </cell>
          <cell r="HU82">
            <v>4379</v>
          </cell>
          <cell r="IA82">
            <v>16804</v>
          </cell>
          <cell r="IB82">
            <v>2150</v>
          </cell>
          <cell r="IC82">
            <v>66</v>
          </cell>
          <cell r="ID82">
            <v>2074</v>
          </cell>
          <cell r="IE82">
            <v>4091</v>
          </cell>
          <cell r="II82">
            <v>9929</v>
          </cell>
          <cell r="IJ82">
            <v>5767</v>
          </cell>
          <cell r="IK82">
            <v>5058</v>
          </cell>
          <cell r="IL82">
            <v>3333</v>
          </cell>
          <cell r="IM82">
            <v>1460</v>
          </cell>
          <cell r="IN82">
            <v>272</v>
          </cell>
          <cell r="IO82">
            <v>1030</v>
          </cell>
          <cell r="IP82">
            <v>2685</v>
          </cell>
          <cell r="IQ82">
            <v>5099</v>
          </cell>
        </row>
        <row r="83">
          <cell r="B83">
            <v>4155</v>
          </cell>
          <cell r="C83">
            <v>706</v>
          </cell>
          <cell r="D83">
            <v>4733</v>
          </cell>
          <cell r="I83">
            <v>3705</v>
          </cell>
          <cell r="K83">
            <v>4419</v>
          </cell>
          <cell r="L83">
            <v>3901</v>
          </cell>
          <cell r="M83">
            <v>3248</v>
          </cell>
          <cell r="N83">
            <v>2189</v>
          </cell>
          <cell r="O83">
            <v>2886</v>
          </cell>
          <cell r="Q83">
            <v>16683</v>
          </cell>
          <cell r="R83">
            <v>2113</v>
          </cell>
          <cell r="S83">
            <v>65</v>
          </cell>
          <cell r="T83">
            <v>2192</v>
          </cell>
          <cell r="U83">
            <v>4122</v>
          </cell>
          <cell r="Y83">
            <v>8903</v>
          </cell>
          <cell r="Z83">
            <v>5807</v>
          </cell>
          <cell r="AA83">
            <v>5081</v>
          </cell>
          <cell r="AB83">
            <v>3506</v>
          </cell>
          <cell r="AC83">
            <v>1554</v>
          </cell>
          <cell r="AD83">
            <v>298</v>
          </cell>
          <cell r="AE83">
            <v>1056</v>
          </cell>
          <cell r="AF83">
            <v>2846</v>
          </cell>
          <cell r="AG83">
            <v>5427</v>
          </cell>
          <cell r="AJ83">
            <v>1084</v>
          </cell>
          <cell r="AM83">
            <v>5312</v>
          </cell>
          <cell r="AP83">
            <v>2619</v>
          </cell>
          <cell r="AS83">
            <v>4114</v>
          </cell>
          <cell r="AT83">
            <v>2623</v>
          </cell>
          <cell r="AU83">
            <v>8529</v>
          </cell>
          <cell r="AV83">
            <v>6720</v>
          </cell>
          <cell r="AW83">
            <v>5553</v>
          </cell>
          <cell r="AX83">
            <v>906</v>
          </cell>
          <cell r="AY83">
            <v>2894</v>
          </cell>
          <cell r="AZ83">
            <v>11949</v>
          </cell>
          <cell r="BA83">
            <v>111861</v>
          </cell>
          <cell r="BB83">
            <v>11673</v>
          </cell>
          <cell r="BC83">
            <v>1269</v>
          </cell>
          <cell r="BD83">
            <v>125490</v>
          </cell>
          <cell r="BE83">
            <v>-0.6</v>
          </cell>
          <cell r="BF83">
            <v>-0.7</v>
          </cell>
          <cell r="BG83">
            <v>-0.6</v>
          </cell>
          <cell r="BL83">
            <v>0.9</v>
          </cell>
          <cell r="BN83">
            <v>0.8</v>
          </cell>
          <cell r="BT83">
            <v>-0.8</v>
          </cell>
          <cell r="BU83">
            <v>1.1000000000000001</v>
          </cell>
          <cell r="BV83">
            <v>4.5999999999999996</v>
          </cell>
          <cell r="BW83">
            <v>-1.7</v>
          </cell>
          <cell r="BX83">
            <v>0.2</v>
          </cell>
          <cell r="CB83">
            <v>-1.6</v>
          </cell>
          <cell r="CC83">
            <v>-0.7</v>
          </cell>
          <cell r="CD83">
            <v>-0.6</v>
          </cell>
          <cell r="CE83">
            <v>0.6</v>
          </cell>
          <cell r="CF83">
            <v>3.2</v>
          </cell>
          <cell r="CG83">
            <v>3.2</v>
          </cell>
          <cell r="CH83">
            <v>0.6</v>
          </cell>
          <cell r="CI83">
            <v>1.6</v>
          </cell>
          <cell r="CJ83">
            <v>2.7</v>
          </cell>
          <cell r="CM83">
            <v>1</v>
          </cell>
          <cell r="CP83">
            <v>0.6</v>
          </cell>
          <cell r="CS83">
            <v>0.4</v>
          </cell>
          <cell r="CV83">
            <v>0.4</v>
          </cell>
          <cell r="CW83">
            <v>0.4</v>
          </cell>
          <cell r="CX83">
            <v>0.5</v>
          </cell>
          <cell r="CY83">
            <v>1.1000000000000001</v>
          </cell>
          <cell r="CZ83">
            <v>2</v>
          </cell>
          <cell r="DA83">
            <v>0.8</v>
          </cell>
          <cell r="DB83">
            <v>0</v>
          </cell>
          <cell r="DC83">
            <v>1.4</v>
          </cell>
          <cell r="DD83">
            <v>0</v>
          </cell>
          <cell r="DE83">
            <v>-0.4</v>
          </cell>
          <cell r="DF83">
            <v>0</v>
          </cell>
          <cell r="DG83">
            <v>4081</v>
          </cell>
          <cell r="DH83">
            <v>714</v>
          </cell>
          <cell r="DI83">
            <v>4663</v>
          </cell>
          <cell r="DN83">
            <v>3780</v>
          </cell>
          <cell r="DP83">
            <v>4509</v>
          </cell>
          <cell r="DQ83">
            <v>3920</v>
          </cell>
          <cell r="DR83">
            <v>3294</v>
          </cell>
          <cell r="DS83">
            <v>2223</v>
          </cell>
          <cell r="DT83">
            <v>2883</v>
          </cell>
          <cell r="DV83">
            <v>16690</v>
          </cell>
          <cell r="DW83">
            <v>2123</v>
          </cell>
          <cell r="DX83">
            <v>67</v>
          </cell>
          <cell r="DY83">
            <v>2159</v>
          </cell>
          <cell r="DZ83">
            <v>4116</v>
          </cell>
          <cell r="ED83">
            <v>8908</v>
          </cell>
          <cell r="EE83">
            <v>5846</v>
          </cell>
          <cell r="EF83">
            <v>5091</v>
          </cell>
          <cell r="EG83">
            <v>3475</v>
          </cell>
          <cell r="EH83">
            <v>1542</v>
          </cell>
          <cell r="EI83">
            <v>305</v>
          </cell>
          <cell r="EJ83">
            <v>1072</v>
          </cell>
          <cell r="EK83">
            <v>2916</v>
          </cell>
          <cell r="EL83">
            <v>5453</v>
          </cell>
          <cell r="EO83">
            <v>1082</v>
          </cell>
          <cell r="ER83">
            <v>5337</v>
          </cell>
          <cell r="EU83">
            <v>2627</v>
          </cell>
          <cell r="EX83">
            <v>4127</v>
          </cell>
          <cell r="EY83">
            <v>2632</v>
          </cell>
          <cell r="EZ83">
            <v>8537</v>
          </cell>
          <cell r="FA83">
            <v>6711</v>
          </cell>
          <cell r="FB83">
            <v>5560</v>
          </cell>
          <cell r="FC83">
            <v>902</v>
          </cell>
          <cell r="FD83">
            <v>2905</v>
          </cell>
          <cell r="FE83">
            <v>11950</v>
          </cell>
          <cell r="FF83">
            <v>112025</v>
          </cell>
          <cell r="FG83">
            <v>11644</v>
          </cell>
          <cell r="FH83">
            <v>1493</v>
          </cell>
          <cell r="FI83">
            <v>125552</v>
          </cell>
          <cell r="FJ83">
            <v>-3.8</v>
          </cell>
          <cell r="FK83">
            <v>0.6</v>
          </cell>
          <cell r="FL83">
            <v>-3.4</v>
          </cell>
          <cell r="FQ83">
            <v>3.1</v>
          </cell>
          <cell r="FS83">
            <v>2.8</v>
          </cell>
          <cell r="FY83">
            <v>-1.3</v>
          </cell>
          <cell r="FZ83">
            <v>1</v>
          </cell>
          <cell r="GA83">
            <v>7</v>
          </cell>
          <cell r="GB83">
            <v>-2.8</v>
          </cell>
          <cell r="GC83">
            <v>-0.2</v>
          </cell>
          <cell r="GG83">
            <v>-2.8</v>
          </cell>
          <cell r="GH83">
            <v>0.5</v>
          </cell>
          <cell r="GI83">
            <v>-0.1</v>
          </cell>
          <cell r="GJ83">
            <v>-1</v>
          </cell>
          <cell r="GK83">
            <v>4.2</v>
          </cell>
          <cell r="GL83">
            <v>9.4</v>
          </cell>
          <cell r="GM83">
            <v>4.0999999999999996</v>
          </cell>
          <cell r="GN83">
            <v>7.1</v>
          </cell>
          <cell r="GO83">
            <v>5.4</v>
          </cell>
          <cell r="GR83">
            <v>0.9</v>
          </cell>
          <cell r="GU83">
            <v>1.2</v>
          </cell>
          <cell r="GX83">
            <v>0.9</v>
          </cell>
          <cell r="HA83">
            <v>0.9</v>
          </cell>
          <cell r="HB83">
            <v>0.9</v>
          </cell>
          <cell r="HC83">
            <v>0.7</v>
          </cell>
          <cell r="HD83">
            <v>1.8</v>
          </cell>
          <cell r="HE83">
            <v>2.5</v>
          </cell>
          <cell r="HF83">
            <v>0.8</v>
          </cell>
          <cell r="HG83">
            <v>0.3</v>
          </cell>
          <cell r="HH83">
            <v>1.4</v>
          </cell>
          <cell r="HI83">
            <v>0</v>
          </cell>
          <cell r="HJ83">
            <v>-0.8</v>
          </cell>
          <cell r="HK83">
            <v>-0.5</v>
          </cell>
          <cell r="HL83">
            <v>3748</v>
          </cell>
          <cell r="HM83">
            <v>743</v>
          </cell>
          <cell r="HN83">
            <v>4335</v>
          </cell>
          <cell r="HS83">
            <v>3839</v>
          </cell>
          <cell r="HU83">
            <v>4579</v>
          </cell>
          <cell r="HV83">
            <v>3901</v>
          </cell>
          <cell r="HW83">
            <v>3410</v>
          </cell>
          <cell r="HX83">
            <v>2276</v>
          </cell>
          <cell r="HY83">
            <v>2973</v>
          </cell>
          <cell r="IA83">
            <v>17104</v>
          </cell>
          <cell r="IB83">
            <v>2332</v>
          </cell>
          <cell r="IC83">
            <v>78</v>
          </cell>
          <cell r="ID83">
            <v>1995</v>
          </cell>
          <cell r="IE83">
            <v>4281</v>
          </cell>
          <cell r="II83">
            <v>8667</v>
          </cell>
          <cell r="IJ83">
            <v>5825</v>
          </cell>
          <cell r="IK83">
            <v>5042</v>
          </cell>
          <cell r="IL83">
            <v>3380</v>
          </cell>
          <cell r="IM83">
            <v>1623</v>
          </cell>
          <cell r="IN83">
            <v>320</v>
          </cell>
          <cell r="IO83">
            <v>1110</v>
          </cell>
          <cell r="IP83">
            <v>2943</v>
          </cell>
          <cell r="IQ83">
            <v>5687</v>
          </cell>
        </row>
        <row r="84">
          <cell r="B84">
            <v>3989</v>
          </cell>
          <cell r="C84">
            <v>708</v>
          </cell>
          <cell r="D84">
            <v>4563</v>
          </cell>
          <cell r="I84">
            <v>3668</v>
          </cell>
          <cell r="K84">
            <v>4368</v>
          </cell>
          <cell r="L84">
            <v>3897</v>
          </cell>
          <cell r="M84">
            <v>3255</v>
          </cell>
          <cell r="N84">
            <v>2206</v>
          </cell>
          <cell r="O84">
            <v>2888</v>
          </cell>
          <cell r="Q84">
            <v>16614</v>
          </cell>
          <cell r="R84">
            <v>2142</v>
          </cell>
          <cell r="S84">
            <v>68</v>
          </cell>
          <cell r="T84">
            <v>2130</v>
          </cell>
          <cell r="U84">
            <v>4120</v>
          </cell>
          <cell r="Y84">
            <v>8817</v>
          </cell>
          <cell r="Z84">
            <v>5734</v>
          </cell>
          <cell r="AA84">
            <v>5102</v>
          </cell>
          <cell r="AB84">
            <v>3533</v>
          </cell>
          <cell r="AC84">
            <v>1642</v>
          </cell>
          <cell r="AD84">
            <v>306</v>
          </cell>
          <cell r="AE84">
            <v>1048</v>
          </cell>
          <cell r="AF84">
            <v>2844</v>
          </cell>
          <cell r="AG84">
            <v>5623</v>
          </cell>
          <cell r="AJ84">
            <v>1100</v>
          </cell>
          <cell r="AM84">
            <v>5324</v>
          </cell>
          <cell r="AP84">
            <v>2628</v>
          </cell>
          <cell r="AS84">
            <v>4128</v>
          </cell>
          <cell r="AT84">
            <v>2632</v>
          </cell>
          <cell r="AU84">
            <v>8565</v>
          </cell>
          <cell r="AV84">
            <v>6941</v>
          </cell>
          <cell r="AW84">
            <v>5700</v>
          </cell>
          <cell r="AX84">
            <v>921</v>
          </cell>
          <cell r="AY84">
            <v>2884</v>
          </cell>
          <cell r="AZ84">
            <v>12113</v>
          </cell>
          <cell r="BA84">
            <v>111967</v>
          </cell>
          <cell r="BB84">
            <v>11595</v>
          </cell>
          <cell r="BC84">
            <v>1051</v>
          </cell>
          <cell r="BD84">
            <v>125527</v>
          </cell>
          <cell r="BE84">
            <v>-4</v>
          </cell>
          <cell r="BF84">
            <v>0.3</v>
          </cell>
          <cell r="BG84">
            <v>-3.6</v>
          </cell>
          <cell r="BL84">
            <v>-1</v>
          </cell>
          <cell r="BN84">
            <v>-1.2</v>
          </cell>
          <cell r="BO84">
            <v>-0.1</v>
          </cell>
          <cell r="BP84">
            <v>0.2</v>
          </cell>
          <cell r="BQ84">
            <v>0.8</v>
          </cell>
          <cell r="BR84">
            <v>0.1</v>
          </cell>
          <cell r="BT84">
            <v>-0.4</v>
          </cell>
          <cell r="BU84">
            <v>1.3</v>
          </cell>
          <cell r="BV84">
            <v>4.4000000000000004</v>
          </cell>
          <cell r="BW84">
            <v>-2.8</v>
          </cell>
          <cell r="BX84">
            <v>-0.1</v>
          </cell>
          <cell r="CB84">
            <v>-1</v>
          </cell>
          <cell r="CC84">
            <v>-1.3</v>
          </cell>
          <cell r="CD84">
            <v>0.4</v>
          </cell>
          <cell r="CE84">
            <v>0.8</v>
          </cell>
          <cell r="CF84">
            <v>5.7</v>
          </cell>
          <cell r="CG84">
            <v>2.9</v>
          </cell>
          <cell r="CH84">
            <v>-0.7</v>
          </cell>
          <cell r="CI84">
            <v>-0.1</v>
          </cell>
          <cell r="CJ84">
            <v>3.6</v>
          </cell>
          <cell r="CM84">
            <v>1.5</v>
          </cell>
          <cell r="CP84">
            <v>0.2</v>
          </cell>
          <cell r="CS84">
            <v>0.3</v>
          </cell>
          <cell r="CV84">
            <v>0.3</v>
          </cell>
          <cell r="CW84">
            <v>0.3</v>
          </cell>
          <cell r="CX84">
            <v>0.4</v>
          </cell>
          <cell r="CY84">
            <v>3.3</v>
          </cell>
          <cell r="CZ84">
            <v>2.6</v>
          </cell>
          <cell r="DA84">
            <v>1.6</v>
          </cell>
          <cell r="DB84">
            <v>-0.3</v>
          </cell>
          <cell r="DC84">
            <v>1.4</v>
          </cell>
          <cell r="DD84">
            <v>0.1</v>
          </cell>
          <cell r="DE84">
            <v>-0.7</v>
          </cell>
          <cell r="DF84">
            <v>0</v>
          </cell>
          <cell r="DG84">
            <v>4092</v>
          </cell>
          <cell r="DH84">
            <v>700</v>
          </cell>
          <cell r="DI84">
            <v>4665</v>
          </cell>
          <cell r="DN84">
            <v>3588</v>
          </cell>
          <cell r="DP84">
            <v>4269</v>
          </cell>
          <cell r="DQ84">
            <v>3872</v>
          </cell>
          <cell r="DR84">
            <v>3208</v>
          </cell>
          <cell r="DS84">
            <v>2160</v>
          </cell>
          <cell r="DT84">
            <v>2922</v>
          </cell>
          <cell r="DV84">
            <v>16551</v>
          </cell>
          <cell r="DW84">
            <v>2122</v>
          </cell>
          <cell r="DX84">
            <v>65</v>
          </cell>
          <cell r="DY84">
            <v>2233</v>
          </cell>
          <cell r="DZ84">
            <v>4158</v>
          </cell>
          <cell r="ED84">
            <v>8631</v>
          </cell>
          <cell r="EE84">
            <v>5811</v>
          </cell>
          <cell r="EF84">
            <v>5121</v>
          </cell>
          <cell r="EG84">
            <v>3550</v>
          </cell>
          <cell r="EH84">
            <v>1642</v>
          </cell>
          <cell r="EI84">
            <v>307</v>
          </cell>
          <cell r="EJ84">
            <v>1059</v>
          </cell>
          <cell r="EK84">
            <v>2862</v>
          </cell>
          <cell r="EL84">
            <v>5638</v>
          </cell>
          <cell r="EO84">
            <v>1096</v>
          </cell>
          <cell r="ER84">
            <v>5321</v>
          </cell>
          <cell r="EU84">
            <v>2623</v>
          </cell>
          <cell r="EX84">
            <v>4121</v>
          </cell>
          <cell r="EY84">
            <v>2628</v>
          </cell>
          <cell r="EZ84">
            <v>8565</v>
          </cell>
          <cell r="FA84">
            <v>6926</v>
          </cell>
          <cell r="FB84">
            <v>5695</v>
          </cell>
          <cell r="FC84">
            <v>928</v>
          </cell>
          <cell r="FD84">
            <v>2884</v>
          </cell>
          <cell r="FE84">
            <v>12115</v>
          </cell>
          <cell r="FF84">
            <v>111736</v>
          </cell>
          <cell r="FG84">
            <v>11620</v>
          </cell>
          <cell r="FH84">
            <v>1099</v>
          </cell>
          <cell r="FI84">
            <v>125145</v>
          </cell>
          <cell r="FJ84">
            <v>0.3</v>
          </cell>
          <cell r="FK84">
            <v>-2</v>
          </cell>
          <cell r="FL84">
            <v>0</v>
          </cell>
          <cell r="FQ84">
            <v>-5.0999999999999996</v>
          </cell>
          <cell r="FS84">
            <v>-5.3</v>
          </cell>
          <cell r="FT84">
            <v>-1.2</v>
          </cell>
          <cell r="FU84">
            <v>-2.6</v>
          </cell>
          <cell r="FV84">
            <v>-2.9</v>
          </cell>
          <cell r="FW84">
            <v>1.3</v>
          </cell>
          <cell r="FY84">
            <v>-0.8</v>
          </cell>
          <cell r="FZ84">
            <v>0</v>
          </cell>
          <cell r="GA84">
            <v>-2.4</v>
          </cell>
          <cell r="GB84">
            <v>3.4</v>
          </cell>
          <cell r="GC84">
            <v>1</v>
          </cell>
          <cell r="GG84">
            <v>-3.1</v>
          </cell>
          <cell r="GH84">
            <v>-0.6</v>
          </cell>
          <cell r="GI84">
            <v>0.6</v>
          </cell>
          <cell r="GJ84">
            <v>2.2000000000000002</v>
          </cell>
          <cell r="GK84">
            <v>6.5</v>
          </cell>
          <cell r="GL84">
            <v>0.7</v>
          </cell>
          <cell r="GM84">
            <v>-1.3</v>
          </cell>
          <cell r="GN84">
            <v>-1.8</v>
          </cell>
          <cell r="GO84">
            <v>3.4</v>
          </cell>
          <cell r="GR84">
            <v>1.3</v>
          </cell>
          <cell r="GU84">
            <v>-0.3</v>
          </cell>
          <cell r="GX84">
            <v>-0.2</v>
          </cell>
          <cell r="HA84">
            <v>-0.2</v>
          </cell>
          <cell r="HB84">
            <v>-0.2</v>
          </cell>
          <cell r="HC84">
            <v>0.3</v>
          </cell>
          <cell r="HD84">
            <v>3.2</v>
          </cell>
          <cell r="HE84">
            <v>2.4</v>
          </cell>
          <cell r="HF84">
            <v>2.9</v>
          </cell>
          <cell r="HG84">
            <v>-0.7</v>
          </cell>
          <cell r="HH84">
            <v>1.4</v>
          </cell>
          <cell r="HI84">
            <v>-0.3</v>
          </cell>
          <cell r="HJ84">
            <v>-0.2</v>
          </cell>
          <cell r="HK84">
            <v>-0.3</v>
          </cell>
          <cell r="HL84">
            <v>7063</v>
          </cell>
          <cell r="HM84">
            <v>710</v>
          </cell>
          <cell r="HN84">
            <v>7738</v>
          </cell>
          <cell r="HS84">
            <v>3663</v>
          </cell>
          <cell r="HU84">
            <v>4350</v>
          </cell>
          <cell r="HV84">
            <v>4161</v>
          </cell>
          <cell r="HW84">
            <v>3323</v>
          </cell>
          <cell r="HX84">
            <v>2253</v>
          </cell>
          <cell r="HY84">
            <v>3100</v>
          </cell>
          <cell r="IA84">
            <v>17443</v>
          </cell>
          <cell r="IB84">
            <v>2023</v>
          </cell>
          <cell r="IC84">
            <v>61</v>
          </cell>
          <cell r="ID84">
            <v>2348</v>
          </cell>
          <cell r="IE84">
            <v>4106</v>
          </cell>
          <cell r="II84">
            <v>8924</v>
          </cell>
          <cell r="IJ84">
            <v>6034</v>
          </cell>
          <cell r="IK84">
            <v>5563</v>
          </cell>
          <cell r="IL84">
            <v>3828</v>
          </cell>
          <cell r="IM84">
            <v>1741</v>
          </cell>
          <cell r="IN84">
            <v>305</v>
          </cell>
          <cell r="IO84">
            <v>1069</v>
          </cell>
          <cell r="IP84">
            <v>2947</v>
          </cell>
          <cell r="IQ84">
            <v>5857</v>
          </cell>
        </row>
        <row r="85">
          <cell r="B85">
            <v>3937</v>
          </cell>
          <cell r="C85">
            <v>705</v>
          </cell>
          <cell r="D85">
            <v>4508</v>
          </cell>
          <cell r="I85">
            <v>3670</v>
          </cell>
          <cell r="K85">
            <v>4368</v>
          </cell>
          <cell r="L85">
            <v>3896</v>
          </cell>
          <cell r="M85">
            <v>3313</v>
          </cell>
          <cell r="N85">
            <v>2236</v>
          </cell>
          <cell r="O85">
            <v>2890</v>
          </cell>
          <cell r="Q85">
            <v>16684</v>
          </cell>
          <cell r="R85">
            <v>2180</v>
          </cell>
          <cell r="S85">
            <v>71</v>
          </cell>
          <cell r="T85">
            <v>2066</v>
          </cell>
          <cell r="U85">
            <v>4129</v>
          </cell>
          <cell r="Y85">
            <v>8809</v>
          </cell>
          <cell r="Z85">
            <v>5645</v>
          </cell>
          <cell r="AA85">
            <v>5160</v>
          </cell>
          <cell r="AB85">
            <v>3580</v>
          </cell>
          <cell r="AC85">
            <v>1745</v>
          </cell>
          <cell r="AD85">
            <v>313</v>
          </cell>
          <cell r="AE85">
            <v>1035</v>
          </cell>
          <cell r="AF85">
            <v>2792</v>
          </cell>
          <cell r="AG85">
            <v>5821</v>
          </cell>
          <cell r="AJ85">
            <v>1122</v>
          </cell>
          <cell r="AM85">
            <v>5320</v>
          </cell>
          <cell r="AP85">
            <v>2627</v>
          </cell>
          <cell r="AS85">
            <v>4127</v>
          </cell>
          <cell r="AT85">
            <v>2632</v>
          </cell>
          <cell r="AU85">
            <v>8604</v>
          </cell>
          <cell r="AV85">
            <v>7256</v>
          </cell>
          <cell r="AW85">
            <v>5860</v>
          </cell>
          <cell r="AX85">
            <v>938</v>
          </cell>
          <cell r="AY85">
            <v>2881</v>
          </cell>
          <cell r="AZ85">
            <v>12272</v>
          </cell>
          <cell r="BA85">
            <v>112752</v>
          </cell>
          <cell r="BB85">
            <v>11648</v>
          </cell>
          <cell r="BC85">
            <v>897</v>
          </cell>
          <cell r="BD85">
            <v>126027</v>
          </cell>
          <cell r="BE85">
            <v>-1.3</v>
          </cell>
          <cell r="BF85">
            <v>-0.3</v>
          </cell>
          <cell r="BG85">
            <v>-1.2</v>
          </cell>
          <cell r="BL85">
            <v>0.1</v>
          </cell>
          <cell r="BN85">
            <v>0</v>
          </cell>
          <cell r="BO85">
            <v>0</v>
          </cell>
          <cell r="BP85">
            <v>1.8</v>
          </cell>
          <cell r="BQ85">
            <v>1.4</v>
          </cell>
          <cell r="BR85">
            <v>0.1</v>
          </cell>
          <cell r="BT85">
            <v>0.4</v>
          </cell>
          <cell r="BU85">
            <v>1.8</v>
          </cell>
          <cell r="BV85">
            <v>4</v>
          </cell>
          <cell r="BW85">
            <v>-3</v>
          </cell>
          <cell r="BX85">
            <v>0.2</v>
          </cell>
          <cell r="CB85">
            <v>-0.1</v>
          </cell>
          <cell r="CC85">
            <v>-1.5</v>
          </cell>
          <cell r="CD85">
            <v>1.1000000000000001</v>
          </cell>
          <cell r="CE85">
            <v>1.3</v>
          </cell>
          <cell r="CF85">
            <v>6.2</v>
          </cell>
          <cell r="CG85">
            <v>2.1</v>
          </cell>
          <cell r="CH85">
            <v>-1.3</v>
          </cell>
          <cell r="CI85">
            <v>-1.8</v>
          </cell>
          <cell r="CJ85">
            <v>3.5</v>
          </cell>
          <cell r="CM85">
            <v>2</v>
          </cell>
          <cell r="CP85">
            <v>-0.1</v>
          </cell>
          <cell r="CS85">
            <v>0</v>
          </cell>
          <cell r="CV85">
            <v>0</v>
          </cell>
          <cell r="CW85">
            <v>0</v>
          </cell>
          <cell r="CX85">
            <v>0.5</v>
          </cell>
          <cell r="CY85">
            <v>4.5</v>
          </cell>
          <cell r="CZ85">
            <v>2.8</v>
          </cell>
          <cell r="DA85">
            <v>1.8</v>
          </cell>
          <cell r="DB85">
            <v>-0.1</v>
          </cell>
          <cell r="DC85">
            <v>1.3</v>
          </cell>
          <cell r="DD85">
            <v>0.7</v>
          </cell>
          <cell r="DE85">
            <v>0.5</v>
          </cell>
          <cell r="DF85">
            <v>0.4</v>
          </cell>
          <cell r="DG85">
            <v>3969</v>
          </cell>
          <cell r="DH85">
            <v>703</v>
          </cell>
          <cell r="DI85">
            <v>4540</v>
          </cell>
          <cell r="DN85">
            <v>3674</v>
          </cell>
          <cell r="DP85">
            <v>4374</v>
          </cell>
          <cell r="DQ85">
            <v>3909</v>
          </cell>
          <cell r="DR85">
            <v>3290</v>
          </cell>
          <cell r="DS85">
            <v>2246</v>
          </cell>
          <cell r="DT85">
            <v>2831</v>
          </cell>
          <cell r="DV85">
            <v>16601</v>
          </cell>
          <cell r="DW85">
            <v>2181</v>
          </cell>
          <cell r="DX85">
            <v>73</v>
          </cell>
          <cell r="DY85">
            <v>1973</v>
          </cell>
          <cell r="DZ85">
            <v>4072</v>
          </cell>
          <cell r="ED85">
            <v>8952</v>
          </cell>
          <cell r="EE85">
            <v>5540</v>
          </cell>
          <cell r="EF85">
            <v>5096</v>
          </cell>
          <cell r="EG85">
            <v>3563</v>
          </cell>
          <cell r="EH85">
            <v>1740</v>
          </cell>
          <cell r="EI85">
            <v>308</v>
          </cell>
          <cell r="EJ85">
            <v>1006</v>
          </cell>
          <cell r="EK85">
            <v>2765</v>
          </cell>
          <cell r="EL85">
            <v>5776</v>
          </cell>
          <cell r="EO85">
            <v>1126</v>
          </cell>
          <cell r="ER85">
            <v>5323</v>
          </cell>
          <cell r="EU85">
            <v>2639</v>
          </cell>
          <cell r="EX85">
            <v>4145</v>
          </cell>
          <cell r="EY85">
            <v>2643</v>
          </cell>
          <cell r="EZ85">
            <v>8612</v>
          </cell>
          <cell r="FA85">
            <v>7182</v>
          </cell>
          <cell r="FB85">
            <v>5861</v>
          </cell>
          <cell r="FC85">
            <v>932</v>
          </cell>
          <cell r="FD85">
            <v>2865</v>
          </cell>
          <cell r="FE85">
            <v>12273</v>
          </cell>
          <cell r="FF85">
            <v>112557</v>
          </cell>
          <cell r="FG85">
            <v>11560</v>
          </cell>
          <cell r="FH85">
            <v>510</v>
          </cell>
          <cell r="FI85">
            <v>126038</v>
          </cell>
          <cell r="FJ85">
            <v>-3</v>
          </cell>
          <cell r="FK85">
            <v>0.5</v>
          </cell>
          <cell r="FL85">
            <v>-2.7</v>
          </cell>
          <cell r="FQ85">
            <v>2.4</v>
          </cell>
          <cell r="FS85">
            <v>2.5</v>
          </cell>
          <cell r="FT85">
            <v>1</v>
          </cell>
          <cell r="FU85">
            <v>2.6</v>
          </cell>
          <cell r="FV85">
            <v>4</v>
          </cell>
          <cell r="FW85">
            <v>-3.1</v>
          </cell>
          <cell r="FY85">
            <v>0.3</v>
          </cell>
          <cell r="FZ85">
            <v>2.8</v>
          </cell>
          <cell r="GA85">
            <v>11.3</v>
          </cell>
          <cell r="GB85">
            <v>-11.6</v>
          </cell>
          <cell r="GC85">
            <v>-2.1</v>
          </cell>
          <cell r="GG85">
            <v>3.7</v>
          </cell>
          <cell r="GH85">
            <v>-4.7</v>
          </cell>
          <cell r="GI85">
            <v>-0.5</v>
          </cell>
          <cell r="GJ85">
            <v>0.4</v>
          </cell>
          <cell r="GK85">
            <v>6</v>
          </cell>
          <cell r="GL85">
            <v>0.3</v>
          </cell>
          <cell r="GM85">
            <v>-5</v>
          </cell>
          <cell r="GN85">
            <v>-3.4</v>
          </cell>
          <cell r="GO85">
            <v>2.5</v>
          </cell>
          <cell r="GR85">
            <v>2.7</v>
          </cell>
          <cell r="GU85">
            <v>0</v>
          </cell>
          <cell r="GX85">
            <v>0.6</v>
          </cell>
          <cell r="HA85">
            <v>0.6</v>
          </cell>
          <cell r="HB85">
            <v>0.6</v>
          </cell>
          <cell r="HC85">
            <v>0.5</v>
          </cell>
          <cell r="HD85">
            <v>3.7</v>
          </cell>
          <cell r="HE85">
            <v>2.9</v>
          </cell>
          <cell r="HF85">
            <v>0.4</v>
          </cell>
          <cell r="HG85">
            <v>-0.7</v>
          </cell>
          <cell r="HH85">
            <v>1.3</v>
          </cell>
          <cell r="HI85">
            <v>0.7</v>
          </cell>
          <cell r="HJ85">
            <v>-0.5</v>
          </cell>
          <cell r="HK85">
            <v>0.7</v>
          </cell>
          <cell r="HL85">
            <v>3217</v>
          </cell>
          <cell r="HM85">
            <v>647</v>
          </cell>
          <cell r="HN85">
            <v>3728</v>
          </cell>
          <cell r="HS85">
            <v>3544</v>
          </cell>
          <cell r="HU85">
            <v>4230</v>
          </cell>
          <cell r="HV85">
            <v>3788</v>
          </cell>
          <cell r="HW85">
            <v>3077</v>
          </cell>
          <cell r="HX85">
            <v>2128</v>
          </cell>
          <cell r="HY85">
            <v>2529</v>
          </cell>
          <cell r="IA85">
            <v>15415</v>
          </cell>
          <cell r="IB85">
            <v>2023</v>
          </cell>
          <cell r="IC85">
            <v>61</v>
          </cell>
          <cell r="ID85">
            <v>2158</v>
          </cell>
          <cell r="IE85">
            <v>3980</v>
          </cell>
          <cell r="II85">
            <v>8201</v>
          </cell>
          <cell r="IJ85">
            <v>5382</v>
          </cell>
          <cell r="IK85">
            <v>4746</v>
          </cell>
          <cell r="IL85">
            <v>3564</v>
          </cell>
          <cell r="IM85">
            <v>1597</v>
          </cell>
          <cell r="IN85">
            <v>304</v>
          </cell>
          <cell r="IO85">
            <v>954</v>
          </cell>
          <cell r="IP85">
            <v>2687</v>
          </cell>
          <cell r="IQ85">
            <v>5432</v>
          </cell>
        </row>
        <row r="86">
          <cell r="B86">
            <v>4217</v>
          </cell>
          <cell r="C86">
            <v>698</v>
          </cell>
          <cell r="D86">
            <v>4793</v>
          </cell>
          <cell r="I86">
            <v>3705</v>
          </cell>
          <cell r="K86">
            <v>4411</v>
          </cell>
          <cell r="L86">
            <v>3908</v>
          </cell>
          <cell r="M86">
            <v>3403</v>
          </cell>
          <cell r="N86">
            <v>2270</v>
          </cell>
          <cell r="O86">
            <v>2892</v>
          </cell>
          <cell r="Q86">
            <v>16876</v>
          </cell>
          <cell r="R86">
            <v>2222</v>
          </cell>
          <cell r="S86">
            <v>74</v>
          </cell>
          <cell r="T86">
            <v>2027</v>
          </cell>
          <cell r="U86">
            <v>4162</v>
          </cell>
          <cell r="Y86">
            <v>8860</v>
          </cell>
          <cell r="Z86">
            <v>5656</v>
          </cell>
          <cell r="AA86">
            <v>5236</v>
          </cell>
          <cell r="AB86">
            <v>3599</v>
          </cell>
          <cell r="AC86">
            <v>1802</v>
          </cell>
          <cell r="AD86">
            <v>317</v>
          </cell>
          <cell r="AE86">
            <v>1024</v>
          </cell>
          <cell r="AF86">
            <v>2774</v>
          </cell>
          <cell r="AG86">
            <v>5936</v>
          </cell>
          <cell r="AJ86">
            <v>1143</v>
          </cell>
          <cell r="AM86">
            <v>5336</v>
          </cell>
          <cell r="AP86">
            <v>2628</v>
          </cell>
          <cell r="AS86">
            <v>4129</v>
          </cell>
          <cell r="AT86">
            <v>2633</v>
          </cell>
          <cell r="AU86">
            <v>8655</v>
          </cell>
          <cell r="AV86">
            <v>7463</v>
          </cell>
          <cell r="AW86">
            <v>6001</v>
          </cell>
          <cell r="AX86">
            <v>951</v>
          </cell>
          <cell r="AY86">
            <v>2900</v>
          </cell>
          <cell r="AZ86">
            <v>12428</v>
          </cell>
          <cell r="BA86">
            <v>114422</v>
          </cell>
          <cell r="BB86">
            <v>11772</v>
          </cell>
          <cell r="BC86">
            <v>781</v>
          </cell>
          <cell r="BD86">
            <v>127153</v>
          </cell>
          <cell r="BE86">
            <v>7.1</v>
          </cell>
          <cell r="BF86">
            <v>-1</v>
          </cell>
          <cell r="BG86">
            <v>6.3</v>
          </cell>
          <cell r="BL86">
            <v>1</v>
          </cell>
          <cell r="BN86">
            <v>1</v>
          </cell>
          <cell r="BO86">
            <v>0.3</v>
          </cell>
          <cell r="BP86">
            <v>2.7</v>
          </cell>
          <cell r="BQ86">
            <v>1.5</v>
          </cell>
          <cell r="BR86">
            <v>0.1</v>
          </cell>
          <cell r="BT86">
            <v>1.2</v>
          </cell>
          <cell r="BU86">
            <v>2</v>
          </cell>
          <cell r="BV86">
            <v>4.4000000000000004</v>
          </cell>
          <cell r="BW86">
            <v>-1.9</v>
          </cell>
          <cell r="BX86">
            <v>0.8</v>
          </cell>
          <cell r="CB86">
            <v>0.6</v>
          </cell>
          <cell r="CC86">
            <v>0.2</v>
          </cell>
          <cell r="CD86">
            <v>1.5</v>
          </cell>
          <cell r="CE86">
            <v>0.5</v>
          </cell>
          <cell r="CF86">
            <v>3.3</v>
          </cell>
          <cell r="CG86">
            <v>1.5</v>
          </cell>
          <cell r="CH86">
            <v>-1.1000000000000001</v>
          </cell>
          <cell r="CI86">
            <v>-0.6</v>
          </cell>
          <cell r="CJ86">
            <v>2</v>
          </cell>
          <cell r="CM86">
            <v>1.9</v>
          </cell>
          <cell r="CP86">
            <v>0.3</v>
          </cell>
          <cell r="CS86">
            <v>0</v>
          </cell>
          <cell r="CV86">
            <v>0</v>
          </cell>
          <cell r="CW86">
            <v>0</v>
          </cell>
          <cell r="CX86">
            <v>0.6</v>
          </cell>
          <cell r="CY86">
            <v>2.8</v>
          </cell>
          <cell r="CZ86">
            <v>2.4</v>
          </cell>
          <cell r="DA86">
            <v>1.4</v>
          </cell>
          <cell r="DB86">
            <v>0.7</v>
          </cell>
          <cell r="DC86">
            <v>1.3</v>
          </cell>
          <cell r="DD86">
            <v>1.5</v>
          </cell>
          <cell r="DE86">
            <v>1.1000000000000001</v>
          </cell>
          <cell r="DF86">
            <v>0.9</v>
          </cell>
          <cell r="DG86">
            <v>3827</v>
          </cell>
          <cell r="DH86">
            <v>718</v>
          </cell>
          <cell r="DI86">
            <v>4402</v>
          </cell>
          <cell r="DN86">
            <v>3715</v>
          </cell>
          <cell r="DP86">
            <v>4424</v>
          </cell>
          <cell r="DQ86">
            <v>3907</v>
          </cell>
          <cell r="DR86">
            <v>3422</v>
          </cell>
          <cell r="DS86">
            <v>2301</v>
          </cell>
          <cell r="DT86">
            <v>2950</v>
          </cell>
          <cell r="DV86">
            <v>17022</v>
          </cell>
          <cell r="DW86">
            <v>2235</v>
          </cell>
          <cell r="DX86">
            <v>74</v>
          </cell>
          <cell r="DY86">
            <v>2043</v>
          </cell>
          <cell r="DZ86">
            <v>4189</v>
          </cell>
          <cell r="ED86">
            <v>8896</v>
          </cell>
          <cell r="EE86">
            <v>5643</v>
          </cell>
          <cell r="EF86">
            <v>5282</v>
          </cell>
          <cell r="EG86">
            <v>3593</v>
          </cell>
          <cell r="EH86">
            <v>1832</v>
          </cell>
          <cell r="EI86">
            <v>318</v>
          </cell>
          <cell r="EJ86">
            <v>1046</v>
          </cell>
          <cell r="EK86">
            <v>2753</v>
          </cell>
          <cell r="EL86">
            <v>6001</v>
          </cell>
          <cell r="EO86">
            <v>1142</v>
          </cell>
          <cell r="ER86">
            <v>5321</v>
          </cell>
          <cell r="EU86">
            <v>2619</v>
          </cell>
          <cell r="EX86">
            <v>4115</v>
          </cell>
          <cell r="EY86">
            <v>2624</v>
          </cell>
          <cell r="EZ86">
            <v>8628</v>
          </cell>
          <cell r="FA86">
            <v>7654</v>
          </cell>
          <cell r="FB86">
            <v>6005</v>
          </cell>
          <cell r="FC86">
            <v>956</v>
          </cell>
          <cell r="FD86">
            <v>2907</v>
          </cell>
          <cell r="FE86">
            <v>12428</v>
          </cell>
          <cell r="FF86">
            <v>114374</v>
          </cell>
          <cell r="FG86">
            <v>11795</v>
          </cell>
          <cell r="FH86">
            <v>1183</v>
          </cell>
          <cell r="FI86">
            <v>127222</v>
          </cell>
          <cell r="FJ86">
            <v>-3.6</v>
          </cell>
          <cell r="FK86">
            <v>2.1</v>
          </cell>
          <cell r="FL86">
            <v>-3</v>
          </cell>
          <cell r="FQ86">
            <v>1.1000000000000001</v>
          </cell>
          <cell r="FS86">
            <v>1.1000000000000001</v>
          </cell>
          <cell r="FT86">
            <v>-0.1</v>
          </cell>
          <cell r="FU86">
            <v>4</v>
          </cell>
          <cell r="FV86">
            <v>2.4</v>
          </cell>
          <cell r="FW86">
            <v>4.2</v>
          </cell>
          <cell r="FY86">
            <v>2.5</v>
          </cell>
          <cell r="FZ86">
            <v>2.5</v>
          </cell>
          <cell r="GA86">
            <v>2</v>
          </cell>
          <cell r="GB86">
            <v>3.5</v>
          </cell>
          <cell r="GC86">
            <v>2.9</v>
          </cell>
          <cell r="GG86">
            <v>-0.6</v>
          </cell>
          <cell r="GH86">
            <v>1.9</v>
          </cell>
          <cell r="GI86">
            <v>3.7</v>
          </cell>
          <cell r="GJ86">
            <v>0.9</v>
          </cell>
          <cell r="GK86">
            <v>5.3</v>
          </cell>
          <cell r="GL86">
            <v>3</v>
          </cell>
          <cell r="GM86">
            <v>4</v>
          </cell>
          <cell r="GN86">
            <v>-0.4</v>
          </cell>
          <cell r="GO86">
            <v>3.9</v>
          </cell>
          <cell r="GR86">
            <v>1.4</v>
          </cell>
          <cell r="GU86">
            <v>0</v>
          </cell>
          <cell r="GX86">
            <v>-0.7</v>
          </cell>
          <cell r="HA86">
            <v>-0.7</v>
          </cell>
          <cell r="HB86">
            <v>-0.7</v>
          </cell>
          <cell r="HC86">
            <v>0.2</v>
          </cell>
          <cell r="HD86">
            <v>6.6</v>
          </cell>
          <cell r="HE86">
            <v>2.5</v>
          </cell>
          <cell r="HF86">
            <v>2.6</v>
          </cell>
          <cell r="HG86">
            <v>1.5</v>
          </cell>
          <cell r="HH86">
            <v>1.3</v>
          </cell>
          <cell r="HI86">
            <v>1.6</v>
          </cell>
          <cell r="HJ86">
            <v>2</v>
          </cell>
          <cell r="HK86">
            <v>0.9</v>
          </cell>
          <cell r="HL86">
            <v>1941</v>
          </cell>
          <cell r="HM86">
            <v>735</v>
          </cell>
          <cell r="HN86">
            <v>2466</v>
          </cell>
          <cell r="HS86">
            <v>3711</v>
          </cell>
          <cell r="HU86">
            <v>4417</v>
          </cell>
          <cell r="HV86">
            <v>3758</v>
          </cell>
          <cell r="HW86">
            <v>3406</v>
          </cell>
          <cell r="HX86">
            <v>2274</v>
          </cell>
          <cell r="HY86">
            <v>2986</v>
          </cell>
          <cell r="IA86">
            <v>16902</v>
          </cell>
          <cell r="IB86">
            <v>2283</v>
          </cell>
          <cell r="IC86">
            <v>79</v>
          </cell>
          <cell r="ID86">
            <v>1907</v>
          </cell>
          <cell r="IE86">
            <v>4167</v>
          </cell>
          <cell r="II86">
            <v>9595</v>
          </cell>
          <cell r="IJ86">
            <v>5599</v>
          </cell>
          <cell r="IK86">
            <v>5239</v>
          </cell>
          <cell r="IL86">
            <v>3409</v>
          </cell>
          <cell r="IM86">
            <v>1794</v>
          </cell>
          <cell r="IN86">
            <v>310</v>
          </cell>
          <cell r="IO86">
            <v>1050</v>
          </cell>
          <cell r="IP86">
            <v>2719</v>
          </cell>
          <cell r="IQ86">
            <v>5892</v>
          </cell>
        </row>
        <row r="87">
          <cell r="B87">
            <v>4728</v>
          </cell>
          <cell r="C87">
            <v>691</v>
          </cell>
          <cell r="D87">
            <v>5316</v>
          </cell>
          <cell r="I87">
            <v>3740</v>
          </cell>
          <cell r="K87">
            <v>4451</v>
          </cell>
          <cell r="L87">
            <v>3936</v>
          </cell>
          <cell r="M87">
            <v>3475</v>
          </cell>
          <cell r="N87">
            <v>2305</v>
          </cell>
          <cell r="O87">
            <v>2906</v>
          </cell>
          <cell r="Q87">
            <v>17093</v>
          </cell>
          <cell r="R87">
            <v>2256</v>
          </cell>
          <cell r="S87">
            <v>77</v>
          </cell>
          <cell r="T87">
            <v>2052</v>
          </cell>
          <cell r="U87">
            <v>4225</v>
          </cell>
          <cell r="Y87">
            <v>8924</v>
          </cell>
          <cell r="Z87">
            <v>5743</v>
          </cell>
          <cell r="AA87">
            <v>5290</v>
          </cell>
          <cell r="AB87">
            <v>3557</v>
          </cell>
          <cell r="AC87">
            <v>1788</v>
          </cell>
          <cell r="AD87">
            <v>323</v>
          </cell>
          <cell r="AE87">
            <v>1028</v>
          </cell>
          <cell r="AF87">
            <v>2818</v>
          </cell>
          <cell r="AG87">
            <v>5940</v>
          </cell>
          <cell r="AJ87">
            <v>1164</v>
          </cell>
          <cell r="AM87">
            <v>5393</v>
          </cell>
          <cell r="AP87">
            <v>2650</v>
          </cell>
          <cell r="AS87">
            <v>4164</v>
          </cell>
          <cell r="AT87">
            <v>2655</v>
          </cell>
          <cell r="AU87">
            <v>8722</v>
          </cell>
          <cell r="AV87">
            <v>7522</v>
          </cell>
          <cell r="AW87">
            <v>6101</v>
          </cell>
          <cell r="AX87">
            <v>958</v>
          </cell>
          <cell r="AY87">
            <v>2938</v>
          </cell>
          <cell r="AZ87">
            <v>12588</v>
          </cell>
          <cell r="BA87">
            <v>116380</v>
          </cell>
          <cell r="BB87">
            <v>11865</v>
          </cell>
          <cell r="BC87">
            <v>993</v>
          </cell>
          <cell r="BD87">
            <v>128961</v>
          </cell>
          <cell r="BE87">
            <v>12.1</v>
          </cell>
          <cell r="BF87">
            <v>-1</v>
          </cell>
          <cell r="BG87">
            <v>10.9</v>
          </cell>
          <cell r="BL87">
            <v>1</v>
          </cell>
          <cell r="BN87">
            <v>0.9</v>
          </cell>
          <cell r="BO87">
            <v>0.7</v>
          </cell>
          <cell r="BP87">
            <v>2.1</v>
          </cell>
          <cell r="BQ87">
            <v>1.5</v>
          </cell>
          <cell r="BR87">
            <v>0.5</v>
          </cell>
          <cell r="BT87">
            <v>1.3</v>
          </cell>
          <cell r="BU87">
            <v>1.5</v>
          </cell>
          <cell r="BV87">
            <v>4.4000000000000004</v>
          </cell>
          <cell r="BW87">
            <v>1.2</v>
          </cell>
          <cell r="BX87">
            <v>1.5</v>
          </cell>
          <cell r="CB87">
            <v>0.7</v>
          </cell>
          <cell r="CC87">
            <v>1.5</v>
          </cell>
          <cell r="CD87">
            <v>1</v>
          </cell>
          <cell r="CE87">
            <v>-1.2</v>
          </cell>
          <cell r="CF87">
            <v>-0.8</v>
          </cell>
          <cell r="CG87">
            <v>1.7</v>
          </cell>
          <cell r="CH87">
            <v>0.4</v>
          </cell>
          <cell r="CI87">
            <v>1.6</v>
          </cell>
          <cell r="CJ87">
            <v>0.1</v>
          </cell>
          <cell r="CM87">
            <v>1.8</v>
          </cell>
          <cell r="CP87">
            <v>1.1000000000000001</v>
          </cell>
          <cell r="CS87">
            <v>0.8</v>
          </cell>
          <cell r="CV87">
            <v>0.8</v>
          </cell>
          <cell r="CW87">
            <v>0.8</v>
          </cell>
          <cell r="CX87">
            <v>0.8</v>
          </cell>
          <cell r="CY87">
            <v>0.8</v>
          </cell>
          <cell r="CZ87">
            <v>1.7</v>
          </cell>
          <cell r="DA87">
            <v>0.8</v>
          </cell>
          <cell r="DB87">
            <v>1.3</v>
          </cell>
          <cell r="DC87">
            <v>1.3</v>
          </cell>
          <cell r="DD87">
            <v>1.7</v>
          </cell>
          <cell r="DE87">
            <v>0.8</v>
          </cell>
          <cell r="DF87">
            <v>1.4</v>
          </cell>
          <cell r="DG87">
            <v>4964</v>
          </cell>
          <cell r="DH87">
            <v>670</v>
          </cell>
          <cell r="DI87">
            <v>5546</v>
          </cell>
          <cell r="DN87">
            <v>3767</v>
          </cell>
          <cell r="DP87">
            <v>4482</v>
          </cell>
          <cell r="DQ87">
            <v>3917</v>
          </cell>
          <cell r="DR87">
            <v>3517</v>
          </cell>
          <cell r="DS87">
            <v>2277</v>
          </cell>
          <cell r="DT87">
            <v>2879</v>
          </cell>
          <cell r="DV87">
            <v>17036</v>
          </cell>
          <cell r="DW87">
            <v>2255</v>
          </cell>
          <cell r="DX87">
            <v>76</v>
          </cell>
          <cell r="DY87">
            <v>2077</v>
          </cell>
          <cell r="DZ87">
            <v>4238</v>
          </cell>
          <cell r="ED87">
            <v>8796</v>
          </cell>
          <cell r="EE87">
            <v>5777</v>
          </cell>
          <cell r="EF87">
            <v>5311</v>
          </cell>
          <cell r="EG87">
            <v>3640</v>
          </cell>
          <cell r="EH87">
            <v>1779</v>
          </cell>
          <cell r="EI87">
            <v>329</v>
          </cell>
          <cell r="EJ87">
            <v>1017</v>
          </cell>
          <cell r="EK87">
            <v>2802</v>
          </cell>
          <cell r="EL87">
            <v>5927</v>
          </cell>
          <cell r="EO87">
            <v>1166</v>
          </cell>
          <cell r="ER87">
            <v>5394</v>
          </cell>
          <cell r="EU87">
            <v>2647</v>
          </cell>
          <cell r="EX87">
            <v>4159</v>
          </cell>
          <cell r="EY87">
            <v>2652</v>
          </cell>
          <cell r="EZ87">
            <v>8742</v>
          </cell>
          <cell r="FA87">
            <v>7500</v>
          </cell>
          <cell r="FB87">
            <v>6115</v>
          </cell>
          <cell r="FC87">
            <v>956</v>
          </cell>
          <cell r="FD87">
            <v>2931</v>
          </cell>
          <cell r="FE87">
            <v>12582</v>
          </cell>
          <cell r="FF87">
            <v>116543</v>
          </cell>
          <cell r="FG87">
            <v>11973</v>
          </cell>
          <cell r="FH87">
            <v>928</v>
          </cell>
          <cell r="FI87">
            <v>128986</v>
          </cell>
          <cell r="FJ87">
            <v>29.7</v>
          </cell>
          <cell r="FK87">
            <v>-6.7</v>
          </cell>
          <cell r="FL87">
            <v>26</v>
          </cell>
          <cell r="FQ87">
            <v>1.4</v>
          </cell>
          <cell r="FS87">
            <v>1.3</v>
          </cell>
          <cell r="FT87">
            <v>0.3</v>
          </cell>
          <cell r="FU87">
            <v>2.8</v>
          </cell>
          <cell r="FV87">
            <v>-1.1000000000000001</v>
          </cell>
          <cell r="FW87">
            <v>-2.4</v>
          </cell>
          <cell r="FY87">
            <v>0.1</v>
          </cell>
          <cell r="FZ87">
            <v>0.9</v>
          </cell>
          <cell r="GA87">
            <v>2</v>
          </cell>
          <cell r="GB87">
            <v>1.6</v>
          </cell>
          <cell r="GC87">
            <v>1.2</v>
          </cell>
          <cell r="GG87">
            <v>-1.1000000000000001</v>
          </cell>
          <cell r="GH87">
            <v>2.4</v>
          </cell>
          <cell r="GI87">
            <v>0.5</v>
          </cell>
          <cell r="GJ87">
            <v>1.3</v>
          </cell>
          <cell r="GK87">
            <v>-2.9</v>
          </cell>
          <cell r="GL87">
            <v>3.5</v>
          </cell>
          <cell r="GM87">
            <v>-2.8</v>
          </cell>
          <cell r="GN87">
            <v>1.8</v>
          </cell>
          <cell r="GO87">
            <v>-1.2</v>
          </cell>
          <cell r="GR87">
            <v>2.1</v>
          </cell>
          <cell r="GU87">
            <v>1.4</v>
          </cell>
          <cell r="GX87">
            <v>1.1000000000000001</v>
          </cell>
          <cell r="HA87">
            <v>1.1000000000000001</v>
          </cell>
          <cell r="HB87">
            <v>1.1000000000000001</v>
          </cell>
          <cell r="HC87">
            <v>1.3</v>
          </cell>
          <cell r="HD87">
            <v>-2</v>
          </cell>
          <cell r="HE87">
            <v>1.8</v>
          </cell>
          <cell r="HF87">
            <v>0</v>
          </cell>
          <cell r="HG87">
            <v>0.8</v>
          </cell>
          <cell r="HH87">
            <v>1.2</v>
          </cell>
          <cell r="HI87">
            <v>1.9</v>
          </cell>
          <cell r="HJ87">
            <v>1.5</v>
          </cell>
          <cell r="HK87">
            <v>1.4</v>
          </cell>
          <cell r="HL87">
            <v>3417</v>
          </cell>
          <cell r="HM87">
            <v>691</v>
          </cell>
          <cell r="HN87">
            <v>3961</v>
          </cell>
          <cell r="HS87">
            <v>3829</v>
          </cell>
          <cell r="HU87">
            <v>4556</v>
          </cell>
          <cell r="HV87">
            <v>3895</v>
          </cell>
          <cell r="HW87">
            <v>3636</v>
          </cell>
          <cell r="HX87">
            <v>2332</v>
          </cell>
          <cell r="HY87">
            <v>2980</v>
          </cell>
          <cell r="IA87">
            <v>17474</v>
          </cell>
          <cell r="IB87">
            <v>2475</v>
          </cell>
          <cell r="IC87">
            <v>90</v>
          </cell>
          <cell r="ID87">
            <v>1921</v>
          </cell>
          <cell r="IE87">
            <v>4429</v>
          </cell>
          <cell r="II87">
            <v>8571</v>
          </cell>
          <cell r="IJ87">
            <v>5756</v>
          </cell>
          <cell r="IK87">
            <v>5261</v>
          </cell>
          <cell r="IL87">
            <v>3545</v>
          </cell>
          <cell r="IM87">
            <v>1863</v>
          </cell>
          <cell r="IN87">
            <v>343</v>
          </cell>
          <cell r="IO87">
            <v>1052</v>
          </cell>
          <cell r="IP87">
            <v>2820</v>
          </cell>
          <cell r="IQ87">
            <v>6161</v>
          </cell>
        </row>
        <row r="88">
          <cell r="B88">
            <v>5104</v>
          </cell>
          <cell r="C88">
            <v>690</v>
          </cell>
          <cell r="D88">
            <v>5703</v>
          </cell>
          <cell r="I88">
            <v>3751</v>
          </cell>
          <cell r="K88">
            <v>4456</v>
          </cell>
          <cell r="L88">
            <v>3950</v>
          </cell>
          <cell r="M88">
            <v>3507</v>
          </cell>
          <cell r="N88">
            <v>2342</v>
          </cell>
          <cell r="O88">
            <v>2945</v>
          </cell>
          <cell r="Q88">
            <v>17292</v>
          </cell>
          <cell r="R88">
            <v>2279</v>
          </cell>
          <cell r="S88">
            <v>80</v>
          </cell>
          <cell r="T88">
            <v>2128</v>
          </cell>
          <cell r="U88">
            <v>4309</v>
          </cell>
          <cell r="Y88">
            <v>9036</v>
          </cell>
          <cell r="Z88">
            <v>5826</v>
          </cell>
          <cell r="AA88">
            <v>5301</v>
          </cell>
          <cell r="AB88">
            <v>3483</v>
          </cell>
          <cell r="AC88">
            <v>1719</v>
          </cell>
          <cell r="AD88">
            <v>333</v>
          </cell>
          <cell r="AE88">
            <v>1032</v>
          </cell>
          <cell r="AF88">
            <v>2879</v>
          </cell>
          <cell r="AG88">
            <v>5855</v>
          </cell>
          <cell r="AJ88">
            <v>1188</v>
          </cell>
          <cell r="AM88">
            <v>5481</v>
          </cell>
          <cell r="AP88">
            <v>2701</v>
          </cell>
          <cell r="AS88">
            <v>4244</v>
          </cell>
          <cell r="AT88">
            <v>2706</v>
          </cell>
          <cell r="AU88">
            <v>8801</v>
          </cell>
          <cell r="AV88">
            <v>7570</v>
          </cell>
          <cell r="AW88">
            <v>6162</v>
          </cell>
          <cell r="AX88">
            <v>964</v>
          </cell>
          <cell r="AY88">
            <v>2967</v>
          </cell>
          <cell r="AZ88">
            <v>12754</v>
          </cell>
          <cell r="BA88">
            <v>117969</v>
          </cell>
          <cell r="BB88">
            <v>11931</v>
          </cell>
          <cell r="BC88">
            <v>1465</v>
          </cell>
          <cell r="BD88">
            <v>130818</v>
          </cell>
          <cell r="BE88">
            <v>8</v>
          </cell>
          <cell r="BF88">
            <v>-0.2</v>
          </cell>
          <cell r="BG88">
            <v>7.3</v>
          </cell>
          <cell r="BL88">
            <v>0.3</v>
          </cell>
          <cell r="BN88">
            <v>0.1</v>
          </cell>
          <cell r="BO88">
            <v>0.4</v>
          </cell>
          <cell r="BP88">
            <v>0.9</v>
          </cell>
          <cell r="BQ88">
            <v>1.6</v>
          </cell>
          <cell r="BR88">
            <v>1.3</v>
          </cell>
          <cell r="BT88">
            <v>1.2</v>
          </cell>
          <cell r="BU88">
            <v>1</v>
          </cell>
          <cell r="BV88">
            <v>3.5</v>
          </cell>
          <cell r="BW88">
            <v>3.7</v>
          </cell>
          <cell r="BX88">
            <v>2</v>
          </cell>
          <cell r="CB88">
            <v>1.3</v>
          </cell>
          <cell r="CC88">
            <v>1.4</v>
          </cell>
          <cell r="CD88">
            <v>0.2</v>
          </cell>
          <cell r="CE88">
            <v>-2.1</v>
          </cell>
          <cell r="CF88">
            <v>-3.9</v>
          </cell>
          <cell r="CG88">
            <v>3.1</v>
          </cell>
          <cell r="CH88">
            <v>0.3</v>
          </cell>
          <cell r="CI88">
            <v>2.1</v>
          </cell>
          <cell r="CJ88">
            <v>-1.4</v>
          </cell>
          <cell r="CM88">
            <v>2.1</v>
          </cell>
          <cell r="CP88">
            <v>1.6</v>
          </cell>
          <cell r="CS88">
            <v>1.9</v>
          </cell>
          <cell r="CV88">
            <v>1.9</v>
          </cell>
          <cell r="CW88">
            <v>1.9</v>
          </cell>
          <cell r="CX88">
            <v>0.9</v>
          </cell>
          <cell r="CY88">
            <v>0.6</v>
          </cell>
          <cell r="CZ88">
            <v>1</v>
          </cell>
          <cell r="DA88">
            <v>0.6</v>
          </cell>
          <cell r="DB88">
            <v>1</v>
          </cell>
          <cell r="DC88">
            <v>1.3</v>
          </cell>
          <cell r="DD88">
            <v>1.4</v>
          </cell>
          <cell r="DE88">
            <v>0.6</v>
          </cell>
          <cell r="DF88">
            <v>1.4</v>
          </cell>
          <cell r="DG88">
            <v>5247</v>
          </cell>
          <cell r="DH88">
            <v>695</v>
          </cell>
          <cell r="DI88">
            <v>5854</v>
          </cell>
          <cell r="DN88">
            <v>3730</v>
          </cell>
          <cell r="DP88">
            <v>4434</v>
          </cell>
          <cell r="DQ88">
            <v>3975</v>
          </cell>
          <cell r="DR88">
            <v>3464</v>
          </cell>
          <cell r="DS88">
            <v>2344</v>
          </cell>
          <cell r="DT88">
            <v>2938</v>
          </cell>
          <cell r="DV88">
            <v>17267</v>
          </cell>
          <cell r="DW88">
            <v>2273</v>
          </cell>
          <cell r="DX88">
            <v>82</v>
          </cell>
          <cell r="DY88">
            <v>2078</v>
          </cell>
          <cell r="DZ88">
            <v>4269</v>
          </cell>
          <cell r="ED88">
            <v>9092</v>
          </cell>
          <cell r="EE88">
            <v>5887</v>
          </cell>
          <cell r="EF88">
            <v>5276</v>
          </cell>
          <cell r="EG88">
            <v>3394</v>
          </cell>
          <cell r="EH88">
            <v>1727</v>
          </cell>
          <cell r="EI88">
            <v>325</v>
          </cell>
          <cell r="EJ88">
            <v>1033</v>
          </cell>
          <cell r="EK88">
            <v>2963</v>
          </cell>
          <cell r="EL88">
            <v>5883</v>
          </cell>
          <cell r="EO88">
            <v>1181</v>
          </cell>
          <cell r="ER88">
            <v>5482</v>
          </cell>
          <cell r="EU88">
            <v>2693</v>
          </cell>
          <cell r="EX88">
            <v>4231</v>
          </cell>
          <cell r="EY88">
            <v>2698</v>
          </cell>
          <cell r="EZ88">
            <v>8786</v>
          </cell>
          <cell r="FA88">
            <v>7433</v>
          </cell>
          <cell r="FB88">
            <v>6158</v>
          </cell>
          <cell r="FC88">
            <v>966</v>
          </cell>
          <cell r="FD88">
            <v>2975</v>
          </cell>
          <cell r="FE88">
            <v>12758</v>
          </cell>
          <cell r="FF88">
            <v>118182</v>
          </cell>
          <cell r="FG88">
            <v>11851</v>
          </cell>
          <cell r="FH88">
            <v>853</v>
          </cell>
          <cell r="FI88">
            <v>130054</v>
          </cell>
          <cell r="FJ88">
            <v>5.7</v>
          </cell>
          <cell r="FK88">
            <v>3.8</v>
          </cell>
          <cell r="FL88">
            <v>5.5</v>
          </cell>
          <cell r="FQ88">
            <v>-1</v>
          </cell>
          <cell r="FS88">
            <v>-1.1000000000000001</v>
          </cell>
          <cell r="FT88">
            <v>1.5</v>
          </cell>
          <cell r="FU88">
            <v>-1.5</v>
          </cell>
          <cell r="FV88">
            <v>2.9</v>
          </cell>
          <cell r="FW88">
            <v>2</v>
          </cell>
          <cell r="FY88">
            <v>1.4</v>
          </cell>
          <cell r="FZ88">
            <v>0.8</v>
          </cell>
          <cell r="GA88">
            <v>7.9</v>
          </cell>
          <cell r="GB88">
            <v>0</v>
          </cell>
          <cell r="GC88">
            <v>0.7</v>
          </cell>
          <cell r="GG88">
            <v>3.4</v>
          </cell>
          <cell r="GH88">
            <v>1.9</v>
          </cell>
          <cell r="GI88">
            <v>-0.7</v>
          </cell>
          <cell r="GJ88">
            <v>-6.8</v>
          </cell>
          <cell r="GK88">
            <v>-3</v>
          </cell>
          <cell r="GL88">
            <v>-1</v>
          </cell>
          <cell r="GM88">
            <v>1.6</v>
          </cell>
          <cell r="GN88">
            <v>5.7</v>
          </cell>
          <cell r="GO88">
            <v>-0.7</v>
          </cell>
          <cell r="GR88">
            <v>1.3</v>
          </cell>
          <cell r="GU88">
            <v>1.6</v>
          </cell>
          <cell r="GX88">
            <v>1.7</v>
          </cell>
          <cell r="HA88">
            <v>1.7</v>
          </cell>
          <cell r="HB88">
            <v>1.7</v>
          </cell>
          <cell r="HC88">
            <v>0.5</v>
          </cell>
          <cell r="HD88">
            <v>-0.9</v>
          </cell>
          <cell r="HE88">
            <v>0.7</v>
          </cell>
          <cell r="HF88">
            <v>1.1000000000000001</v>
          </cell>
          <cell r="HG88">
            <v>1.5</v>
          </cell>
          <cell r="HH88">
            <v>1.4</v>
          </cell>
          <cell r="HI88">
            <v>1.4</v>
          </cell>
          <cell r="HJ88">
            <v>-1</v>
          </cell>
          <cell r="HK88">
            <v>0.8</v>
          </cell>
          <cell r="HL88">
            <v>8055</v>
          </cell>
          <cell r="HM88">
            <v>706</v>
          </cell>
          <cell r="HN88">
            <v>8760</v>
          </cell>
          <cell r="HS88">
            <v>3811</v>
          </cell>
          <cell r="HU88">
            <v>4519</v>
          </cell>
          <cell r="HV88">
            <v>4274</v>
          </cell>
          <cell r="HW88">
            <v>3591</v>
          </cell>
          <cell r="HX88">
            <v>2444</v>
          </cell>
          <cell r="HY88">
            <v>3118</v>
          </cell>
          <cell r="IA88">
            <v>18195</v>
          </cell>
          <cell r="IB88">
            <v>2163</v>
          </cell>
          <cell r="IC88">
            <v>76</v>
          </cell>
          <cell r="ID88">
            <v>2190</v>
          </cell>
          <cell r="IE88">
            <v>4201</v>
          </cell>
          <cell r="II88">
            <v>9383</v>
          </cell>
          <cell r="IJ88">
            <v>6113</v>
          </cell>
          <cell r="IK88">
            <v>5724</v>
          </cell>
          <cell r="IL88">
            <v>3665</v>
          </cell>
          <cell r="IM88">
            <v>1819</v>
          </cell>
          <cell r="IN88">
            <v>325</v>
          </cell>
          <cell r="IO88">
            <v>1050</v>
          </cell>
          <cell r="IP88">
            <v>3049</v>
          </cell>
          <cell r="IQ88">
            <v>6091</v>
          </cell>
        </row>
        <row r="89">
          <cell r="B89">
            <v>5030</v>
          </cell>
          <cell r="C89">
            <v>700</v>
          </cell>
          <cell r="D89">
            <v>5633</v>
          </cell>
          <cell r="I89">
            <v>3794</v>
          </cell>
          <cell r="K89">
            <v>4497</v>
          </cell>
          <cell r="L89">
            <v>3963</v>
          </cell>
          <cell r="M89">
            <v>3507</v>
          </cell>
          <cell r="N89">
            <v>2413</v>
          </cell>
          <cell r="O89">
            <v>3014</v>
          </cell>
          <cell r="Q89">
            <v>17541</v>
          </cell>
          <cell r="R89">
            <v>2308</v>
          </cell>
          <cell r="S89">
            <v>84</v>
          </cell>
          <cell r="T89">
            <v>2194</v>
          </cell>
          <cell r="U89">
            <v>4395</v>
          </cell>
          <cell r="Y89">
            <v>9197</v>
          </cell>
          <cell r="Z89">
            <v>5861</v>
          </cell>
          <cell r="AA89">
            <v>5304</v>
          </cell>
          <cell r="AB89">
            <v>3425</v>
          </cell>
          <cell r="AC89">
            <v>1613</v>
          </cell>
          <cell r="AD89">
            <v>347</v>
          </cell>
          <cell r="AE89">
            <v>1038</v>
          </cell>
          <cell r="AF89">
            <v>2931</v>
          </cell>
          <cell r="AG89">
            <v>5707</v>
          </cell>
          <cell r="AJ89">
            <v>1214</v>
          </cell>
          <cell r="AM89">
            <v>5577</v>
          </cell>
          <cell r="AP89">
            <v>2766</v>
          </cell>
          <cell r="AS89">
            <v>4346</v>
          </cell>
          <cell r="AT89">
            <v>2771</v>
          </cell>
          <cell r="AU89">
            <v>8855</v>
          </cell>
          <cell r="AV89">
            <v>7745</v>
          </cell>
          <cell r="AW89">
            <v>6197</v>
          </cell>
          <cell r="AX89">
            <v>968</v>
          </cell>
          <cell r="AY89">
            <v>2963</v>
          </cell>
          <cell r="AZ89">
            <v>12919</v>
          </cell>
          <cell r="BA89">
            <v>118943</v>
          </cell>
          <cell r="BB89">
            <v>11993</v>
          </cell>
          <cell r="BC89">
            <v>1926</v>
          </cell>
          <cell r="BD89">
            <v>131968</v>
          </cell>
          <cell r="BE89">
            <v>-1.4</v>
          </cell>
          <cell r="BF89">
            <v>1.5</v>
          </cell>
          <cell r="BG89">
            <v>-1.2</v>
          </cell>
          <cell r="BL89">
            <v>1.1000000000000001</v>
          </cell>
          <cell r="BN89">
            <v>0.9</v>
          </cell>
          <cell r="BO89">
            <v>0.3</v>
          </cell>
          <cell r="BP89">
            <v>0</v>
          </cell>
          <cell r="BQ89">
            <v>3</v>
          </cell>
          <cell r="BR89">
            <v>2.2999999999999998</v>
          </cell>
          <cell r="BT89">
            <v>1.4</v>
          </cell>
          <cell r="BU89">
            <v>1.3</v>
          </cell>
          <cell r="BV89">
            <v>4.5999999999999996</v>
          </cell>
          <cell r="BW89">
            <v>3.1</v>
          </cell>
          <cell r="BX89">
            <v>2</v>
          </cell>
          <cell r="CB89">
            <v>1.8</v>
          </cell>
          <cell r="CC89">
            <v>0.6</v>
          </cell>
          <cell r="CD89">
            <v>0.1</v>
          </cell>
          <cell r="CE89">
            <v>-1.7</v>
          </cell>
          <cell r="CF89">
            <v>-6.1</v>
          </cell>
          <cell r="CG89">
            <v>4.2</v>
          </cell>
          <cell r="CH89">
            <v>0.6</v>
          </cell>
          <cell r="CI89">
            <v>1.8</v>
          </cell>
          <cell r="CJ89">
            <v>-2.5</v>
          </cell>
          <cell r="CM89">
            <v>2.2000000000000002</v>
          </cell>
          <cell r="CP89">
            <v>1.8</v>
          </cell>
          <cell r="CS89">
            <v>2.4</v>
          </cell>
          <cell r="CV89">
            <v>2.4</v>
          </cell>
          <cell r="CW89">
            <v>2.4</v>
          </cell>
          <cell r="CX89">
            <v>0.6</v>
          </cell>
          <cell r="CY89">
            <v>2.2999999999999998</v>
          </cell>
          <cell r="CZ89">
            <v>0.6</v>
          </cell>
          <cell r="DA89">
            <v>0.4</v>
          </cell>
          <cell r="DB89">
            <v>-0.1</v>
          </cell>
          <cell r="DC89">
            <v>1.3</v>
          </cell>
          <cell r="DD89">
            <v>0.8</v>
          </cell>
          <cell r="DE89">
            <v>0.5</v>
          </cell>
          <cell r="DF89">
            <v>0.9</v>
          </cell>
          <cell r="DG89">
            <v>5007</v>
          </cell>
          <cell r="DH89">
            <v>706</v>
          </cell>
          <cell r="DI89">
            <v>5613</v>
          </cell>
          <cell r="DN89">
            <v>3770</v>
          </cell>
          <cell r="DP89">
            <v>4466</v>
          </cell>
          <cell r="DQ89">
            <v>3966</v>
          </cell>
          <cell r="DR89">
            <v>3514</v>
          </cell>
          <cell r="DS89">
            <v>2410</v>
          </cell>
          <cell r="DT89">
            <v>3010</v>
          </cell>
          <cell r="DV89">
            <v>17580</v>
          </cell>
          <cell r="DW89">
            <v>2313</v>
          </cell>
          <cell r="DX89">
            <v>83</v>
          </cell>
          <cell r="DY89">
            <v>2241</v>
          </cell>
          <cell r="DZ89">
            <v>4433</v>
          </cell>
          <cell r="ED89">
            <v>9200</v>
          </cell>
          <cell r="EE89">
            <v>5780</v>
          </cell>
          <cell r="EF89">
            <v>5305</v>
          </cell>
          <cell r="EG89">
            <v>3454</v>
          </cell>
          <cell r="EH89">
            <v>1620</v>
          </cell>
          <cell r="EI89">
            <v>342</v>
          </cell>
          <cell r="EJ89">
            <v>1053</v>
          </cell>
          <cell r="EK89">
            <v>2850</v>
          </cell>
          <cell r="EL89">
            <v>5684</v>
          </cell>
          <cell r="EO89">
            <v>1217</v>
          </cell>
          <cell r="ER89">
            <v>5584</v>
          </cell>
          <cell r="EU89">
            <v>2772</v>
          </cell>
          <cell r="EX89">
            <v>4355</v>
          </cell>
          <cell r="EY89">
            <v>2777</v>
          </cell>
          <cell r="EZ89">
            <v>8849</v>
          </cell>
          <cell r="FA89">
            <v>7772</v>
          </cell>
          <cell r="FB89">
            <v>6188</v>
          </cell>
          <cell r="FC89">
            <v>963</v>
          </cell>
          <cell r="FD89">
            <v>2978</v>
          </cell>
          <cell r="FE89">
            <v>12920</v>
          </cell>
          <cell r="FF89">
            <v>118831</v>
          </cell>
          <cell r="FG89">
            <v>11938</v>
          </cell>
          <cell r="FH89">
            <v>2666</v>
          </cell>
          <cell r="FI89">
            <v>133729</v>
          </cell>
          <cell r="FJ89">
            <v>-4.5999999999999996</v>
          </cell>
          <cell r="FK89">
            <v>1.6</v>
          </cell>
          <cell r="FL89">
            <v>-4.0999999999999996</v>
          </cell>
          <cell r="FQ89">
            <v>1.1000000000000001</v>
          </cell>
          <cell r="FS89">
            <v>0.7</v>
          </cell>
          <cell r="FT89">
            <v>-0.2</v>
          </cell>
          <cell r="FU89">
            <v>1.4</v>
          </cell>
          <cell r="FV89">
            <v>2.9</v>
          </cell>
          <cell r="FW89">
            <v>2.5</v>
          </cell>
          <cell r="FY89">
            <v>1.8</v>
          </cell>
          <cell r="FZ89">
            <v>1.8</v>
          </cell>
          <cell r="GA89">
            <v>1.9</v>
          </cell>
          <cell r="GB89">
            <v>7.8</v>
          </cell>
          <cell r="GC89">
            <v>3.8</v>
          </cell>
          <cell r="GG89">
            <v>1.2</v>
          </cell>
          <cell r="GH89">
            <v>-1.8</v>
          </cell>
          <cell r="GI89">
            <v>0.6</v>
          </cell>
          <cell r="GJ89">
            <v>1.8</v>
          </cell>
          <cell r="GK89">
            <v>-6.2</v>
          </cell>
          <cell r="GL89">
            <v>5.0999999999999996</v>
          </cell>
          <cell r="GM89">
            <v>1.9</v>
          </cell>
          <cell r="GN89">
            <v>-3.8</v>
          </cell>
          <cell r="GO89">
            <v>-3.4</v>
          </cell>
          <cell r="GR89">
            <v>3</v>
          </cell>
          <cell r="GU89">
            <v>1.9</v>
          </cell>
          <cell r="GX89">
            <v>2.9</v>
          </cell>
          <cell r="HA89">
            <v>2.9</v>
          </cell>
          <cell r="HB89">
            <v>2.9</v>
          </cell>
          <cell r="HC89">
            <v>0.7</v>
          </cell>
          <cell r="HD89">
            <v>4.5999999999999996</v>
          </cell>
          <cell r="HE89">
            <v>0.5</v>
          </cell>
          <cell r="HF89">
            <v>-0.4</v>
          </cell>
          <cell r="HG89">
            <v>0.1</v>
          </cell>
          <cell r="HH89">
            <v>1.3</v>
          </cell>
          <cell r="HI89">
            <v>0.5</v>
          </cell>
          <cell r="HJ89">
            <v>0.7</v>
          </cell>
          <cell r="HK89">
            <v>2.8</v>
          </cell>
          <cell r="HL89">
            <v>6429</v>
          </cell>
          <cell r="HM89">
            <v>655</v>
          </cell>
          <cell r="HN89">
            <v>7048</v>
          </cell>
          <cell r="HS89">
            <v>3634</v>
          </cell>
          <cell r="HU89">
            <v>4320</v>
          </cell>
          <cell r="HV89">
            <v>3840</v>
          </cell>
          <cell r="HW89">
            <v>3282</v>
          </cell>
          <cell r="HX89">
            <v>2281</v>
          </cell>
          <cell r="HY89">
            <v>2688</v>
          </cell>
          <cell r="IA89">
            <v>16319</v>
          </cell>
          <cell r="IB89">
            <v>2153</v>
          </cell>
          <cell r="IC89">
            <v>70</v>
          </cell>
          <cell r="ID89">
            <v>2436</v>
          </cell>
          <cell r="IE89">
            <v>4343</v>
          </cell>
          <cell r="II89">
            <v>8455</v>
          </cell>
          <cell r="IJ89">
            <v>5612</v>
          </cell>
          <cell r="IK89">
            <v>4949</v>
          </cell>
          <cell r="IL89">
            <v>3453</v>
          </cell>
          <cell r="IM89">
            <v>1486</v>
          </cell>
          <cell r="IN89">
            <v>339</v>
          </cell>
          <cell r="IO89">
            <v>992</v>
          </cell>
          <cell r="IP89">
            <v>2773</v>
          </cell>
          <cell r="IQ89">
            <v>5363</v>
          </cell>
        </row>
        <row r="90">
          <cell r="B90">
            <v>4675</v>
          </cell>
          <cell r="C90">
            <v>717</v>
          </cell>
          <cell r="D90">
            <v>5276</v>
          </cell>
          <cell r="I90">
            <v>3877</v>
          </cell>
          <cell r="K90">
            <v>4586</v>
          </cell>
          <cell r="L90">
            <v>3950</v>
          </cell>
          <cell r="M90">
            <v>3531</v>
          </cell>
          <cell r="N90">
            <v>2472</v>
          </cell>
          <cell r="O90">
            <v>3107</v>
          </cell>
          <cell r="Q90">
            <v>17795</v>
          </cell>
          <cell r="R90">
            <v>2344</v>
          </cell>
          <cell r="S90">
            <v>88</v>
          </cell>
          <cell r="T90">
            <v>2255</v>
          </cell>
          <cell r="U90">
            <v>4489</v>
          </cell>
          <cell r="Y90">
            <v>9283</v>
          </cell>
          <cell r="Z90">
            <v>5937</v>
          </cell>
          <cell r="AA90">
            <v>5331</v>
          </cell>
          <cell r="AB90">
            <v>3425</v>
          </cell>
          <cell r="AC90">
            <v>1591</v>
          </cell>
          <cell r="AD90">
            <v>361</v>
          </cell>
          <cell r="AE90">
            <v>1061</v>
          </cell>
          <cell r="AF90">
            <v>3001</v>
          </cell>
          <cell r="AG90">
            <v>5740</v>
          </cell>
          <cell r="AJ90">
            <v>1236</v>
          </cell>
          <cell r="AM90">
            <v>5684</v>
          </cell>
          <cell r="AP90">
            <v>2815</v>
          </cell>
          <cell r="AS90">
            <v>4422</v>
          </cell>
          <cell r="AT90">
            <v>2820</v>
          </cell>
          <cell r="AU90">
            <v>8836</v>
          </cell>
          <cell r="AV90">
            <v>8031</v>
          </cell>
          <cell r="AW90">
            <v>6238</v>
          </cell>
          <cell r="AX90">
            <v>972</v>
          </cell>
          <cell r="AY90">
            <v>2941</v>
          </cell>
          <cell r="AZ90">
            <v>13083</v>
          </cell>
          <cell r="BA90">
            <v>119770</v>
          </cell>
          <cell r="BB90">
            <v>12113</v>
          </cell>
          <cell r="BC90">
            <v>1914</v>
          </cell>
          <cell r="BD90">
            <v>132586</v>
          </cell>
          <cell r="BE90">
            <v>-7.1</v>
          </cell>
          <cell r="BF90">
            <v>2.2999999999999998</v>
          </cell>
          <cell r="BG90">
            <v>-6.3</v>
          </cell>
          <cell r="BL90">
            <v>2.2000000000000002</v>
          </cell>
          <cell r="BN90">
            <v>2</v>
          </cell>
          <cell r="BO90">
            <v>-0.3</v>
          </cell>
          <cell r="BP90">
            <v>0.7</v>
          </cell>
          <cell r="BQ90">
            <v>2.5</v>
          </cell>
          <cell r="BR90">
            <v>3.1</v>
          </cell>
          <cell r="BT90">
            <v>1.4</v>
          </cell>
          <cell r="BU90">
            <v>1.5</v>
          </cell>
          <cell r="BV90">
            <v>5.7</v>
          </cell>
          <cell r="BW90">
            <v>2.8</v>
          </cell>
          <cell r="BX90">
            <v>2.1</v>
          </cell>
          <cell r="CB90">
            <v>0.9</v>
          </cell>
          <cell r="CC90">
            <v>1.3</v>
          </cell>
          <cell r="CD90">
            <v>0.5</v>
          </cell>
          <cell r="CE90">
            <v>0</v>
          </cell>
          <cell r="CF90">
            <v>-1.4</v>
          </cell>
          <cell r="CG90">
            <v>4.2</v>
          </cell>
          <cell r="CH90">
            <v>2.2999999999999998</v>
          </cell>
          <cell r="CI90">
            <v>2.4</v>
          </cell>
          <cell r="CJ90">
            <v>0.6</v>
          </cell>
          <cell r="CM90">
            <v>1.9</v>
          </cell>
          <cell r="CP90">
            <v>1.9</v>
          </cell>
          <cell r="CS90">
            <v>1.8</v>
          </cell>
          <cell r="CV90">
            <v>1.8</v>
          </cell>
          <cell r="CW90">
            <v>1.8</v>
          </cell>
          <cell r="CX90">
            <v>-0.2</v>
          </cell>
          <cell r="CY90">
            <v>3.7</v>
          </cell>
          <cell r="CZ90">
            <v>0.7</v>
          </cell>
          <cell r="DA90">
            <v>0.4</v>
          </cell>
          <cell r="DB90">
            <v>-0.8</v>
          </cell>
          <cell r="DC90">
            <v>1.3</v>
          </cell>
          <cell r="DD90">
            <v>0.7</v>
          </cell>
          <cell r="DE90">
            <v>1</v>
          </cell>
          <cell r="DF90">
            <v>0.5</v>
          </cell>
          <cell r="DG90">
            <v>4627</v>
          </cell>
          <cell r="DH90">
            <v>709</v>
          </cell>
          <cell r="DI90">
            <v>5221</v>
          </cell>
          <cell r="DN90">
            <v>3871</v>
          </cell>
          <cell r="DP90">
            <v>4576</v>
          </cell>
          <cell r="DQ90">
            <v>3915</v>
          </cell>
          <cell r="DR90">
            <v>3572</v>
          </cell>
          <cell r="DS90">
            <v>2473</v>
          </cell>
          <cell r="DT90">
            <v>3112</v>
          </cell>
          <cell r="DV90">
            <v>17735</v>
          </cell>
          <cell r="DW90">
            <v>2336</v>
          </cell>
          <cell r="DX90">
            <v>86</v>
          </cell>
          <cell r="DY90">
            <v>2250</v>
          </cell>
          <cell r="DZ90">
            <v>4473</v>
          </cell>
          <cell r="ED90">
            <v>9314</v>
          </cell>
          <cell r="EE90">
            <v>5965</v>
          </cell>
          <cell r="EF90">
            <v>5322</v>
          </cell>
          <cell r="EG90">
            <v>3414</v>
          </cell>
          <cell r="EH90">
            <v>1571</v>
          </cell>
          <cell r="EI90">
            <v>376</v>
          </cell>
          <cell r="EJ90">
            <v>1033</v>
          </cell>
          <cell r="EK90">
            <v>3029</v>
          </cell>
          <cell r="EL90">
            <v>5742</v>
          </cell>
          <cell r="EO90">
            <v>1242</v>
          </cell>
          <cell r="ER90">
            <v>5685</v>
          </cell>
          <cell r="EU90">
            <v>2827</v>
          </cell>
          <cell r="EX90">
            <v>4442</v>
          </cell>
          <cell r="EY90">
            <v>2832</v>
          </cell>
          <cell r="EZ90">
            <v>8888</v>
          </cell>
          <cell r="FA90">
            <v>8086</v>
          </cell>
          <cell r="FB90">
            <v>6246</v>
          </cell>
          <cell r="FC90">
            <v>978</v>
          </cell>
          <cell r="FD90">
            <v>2941</v>
          </cell>
          <cell r="FE90">
            <v>13085</v>
          </cell>
          <cell r="FF90">
            <v>119774</v>
          </cell>
          <cell r="FG90">
            <v>12210</v>
          </cell>
          <cell r="FH90">
            <v>1881</v>
          </cell>
          <cell r="FI90">
            <v>131565</v>
          </cell>
          <cell r="FJ90">
            <v>-7.6</v>
          </cell>
          <cell r="FK90">
            <v>0.5</v>
          </cell>
          <cell r="FL90">
            <v>-7</v>
          </cell>
          <cell r="FQ90">
            <v>2.7</v>
          </cell>
          <cell r="FS90">
            <v>2.5</v>
          </cell>
          <cell r="FT90">
            <v>-1.3</v>
          </cell>
          <cell r="FU90">
            <v>1.7</v>
          </cell>
          <cell r="FV90">
            <v>2.6</v>
          </cell>
          <cell r="FW90">
            <v>3.4</v>
          </cell>
          <cell r="FY90">
            <v>0.9</v>
          </cell>
          <cell r="FZ90">
            <v>1</v>
          </cell>
          <cell r="GA90">
            <v>3.7</v>
          </cell>
          <cell r="GB90">
            <v>0.4</v>
          </cell>
          <cell r="GC90">
            <v>0.9</v>
          </cell>
          <cell r="GG90">
            <v>1.2</v>
          </cell>
          <cell r="GH90">
            <v>3.2</v>
          </cell>
          <cell r="GI90">
            <v>0.3</v>
          </cell>
          <cell r="GJ90">
            <v>-1.1000000000000001</v>
          </cell>
          <cell r="GK90">
            <v>-3.1</v>
          </cell>
          <cell r="GL90">
            <v>9.8000000000000007</v>
          </cell>
          <cell r="GM90">
            <v>-1.9</v>
          </cell>
          <cell r="GN90">
            <v>6.3</v>
          </cell>
          <cell r="GO90">
            <v>1</v>
          </cell>
          <cell r="GR90">
            <v>2</v>
          </cell>
          <cell r="GU90">
            <v>1.8</v>
          </cell>
          <cell r="GX90">
            <v>2</v>
          </cell>
          <cell r="HA90">
            <v>2</v>
          </cell>
          <cell r="HB90">
            <v>2</v>
          </cell>
          <cell r="HC90">
            <v>0.4</v>
          </cell>
          <cell r="HD90">
            <v>4</v>
          </cell>
          <cell r="HE90">
            <v>0.9</v>
          </cell>
          <cell r="HF90">
            <v>1.6</v>
          </cell>
          <cell r="HG90">
            <v>-1.2</v>
          </cell>
          <cell r="HH90">
            <v>1.3</v>
          </cell>
          <cell r="HI90">
            <v>0.8</v>
          </cell>
          <cell r="HJ90">
            <v>2.2999999999999998</v>
          </cell>
          <cell r="HK90">
            <v>-1.6</v>
          </cell>
          <cell r="HL90">
            <v>1944</v>
          </cell>
          <cell r="HM90">
            <v>728</v>
          </cell>
          <cell r="HN90">
            <v>2464</v>
          </cell>
          <cell r="HS90">
            <v>3863</v>
          </cell>
          <cell r="HU90">
            <v>4563</v>
          </cell>
          <cell r="HV90">
            <v>3764</v>
          </cell>
          <cell r="HW90">
            <v>3558</v>
          </cell>
          <cell r="HX90">
            <v>2447</v>
          </cell>
          <cell r="HY90">
            <v>3152</v>
          </cell>
          <cell r="IA90">
            <v>17628</v>
          </cell>
          <cell r="IB90">
            <v>2386</v>
          </cell>
          <cell r="IC90">
            <v>91</v>
          </cell>
          <cell r="ID90">
            <v>2097</v>
          </cell>
          <cell r="IE90">
            <v>4441</v>
          </cell>
          <cell r="II90">
            <v>9994</v>
          </cell>
          <cell r="IJ90">
            <v>5928</v>
          </cell>
          <cell r="IK90">
            <v>5280</v>
          </cell>
          <cell r="IL90">
            <v>3239</v>
          </cell>
          <cell r="IM90">
            <v>1529</v>
          </cell>
          <cell r="IN90">
            <v>364</v>
          </cell>
          <cell r="IO90">
            <v>1041</v>
          </cell>
          <cell r="IP90">
            <v>3001</v>
          </cell>
          <cell r="IQ90">
            <v>5621</v>
          </cell>
        </row>
        <row r="91">
          <cell r="B91">
            <v>4380</v>
          </cell>
          <cell r="C91">
            <v>731</v>
          </cell>
          <cell r="D91">
            <v>4981</v>
          </cell>
          <cell r="I91">
            <v>3906</v>
          </cell>
          <cell r="K91">
            <v>4610</v>
          </cell>
          <cell r="L91">
            <v>3925</v>
          </cell>
          <cell r="M91">
            <v>3594</v>
          </cell>
          <cell r="N91">
            <v>2529</v>
          </cell>
          <cell r="O91">
            <v>3176</v>
          </cell>
          <cell r="Q91">
            <v>18026</v>
          </cell>
          <cell r="R91">
            <v>2383</v>
          </cell>
          <cell r="S91">
            <v>94</v>
          </cell>
          <cell r="T91">
            <v>2297</v>
          </cell>
          <cell r="U91">
            <v>4575</v>
          </cell>
          <cell r="Y91">
            <v>9279</v>
          </cell>
          <cell r="Z91">
            <v>6073</v>
          </cell>
          <cell r="AA91">
            <v>5377</v>
          </cell>
          <cell r="AB91">
            <v>3467</v>
          </cell>
          <cell r="AC91">
            <v>1635</v>
          </cell>
          <cell r="AD91">
            <v>373</v>
          </cell>
          <cell r="AE91">
            <v>1099</v>
          </cell>
          <cell r="AF91">
            <v>3098</v>
          </cell>
          <cell r="AG91">
            <v>5916</v>
          </cell>
          <cell r="AJ91">
            <v>1256</v>
          </cell>
          <cell r="AM91">
            <v>5809</v>
          </cell>
          <cell r="AP91">
            <v>2833</v>
          </cell>
          <cell r="AS91">
            <v>4451</v>
          </cell>
          <cell r="AT91">
            <v>2838</v>
          </cell>
          <cell r="AU91">
            <v>8751</v>
          </cell>
          <cell r="AV91">
            <v>8278</v>
          </cell>
          <cell r="AW91">
            <v>6272</v>
          </cell>
          <cell r="AX91">
            <v>979</v>
          </cell>
          <cell r="AY91">
            <v>2941</v>
          </cell>
          <cell r="AZ91">
            <v>13249</v>
          </cell>
          <cell r="BA91">
            <v>120669</v>
          </cell>
          <cell r="BB91">
            <v>12227</v>
          </cell>
          <cell r="BC91">
            <v>1580</v>
          </cell>
          <cell r="BD91">
            <v>133358</v>
          </cell>
          <cell r="BE91">
            <v>-6.3</v>
          </cell>
          <cell r="BF91">
            <v>2.1</v>
          </cell>
          <cell r="BG91">
            <v>-5.6</v>
          </cell>
          <cell r="BL91">
            <v>0.8</v>
          </cell>
          <cell r="BN91">
            <v>0.5</v>
          </cell>
          <cell r="BO91">
            <v>-0.6</v>
          </cell>
          <cell r="BP91">
            <v>1.8</v>
          </cell>
          <cell r="BQ91">
            <v>2.2999999999999998</v>
          </cell>
          <cell r="BR91">
            <v>2.2000000000000002</v>
          </cell>
          <cell r="BT91">
            <v>1.3</v>
          </cell>
          <cell r="BU91">
            <v>1.7</v>
          </cell>
          <cell r="BV91">
            <v>6</v>
          </cell>
          <cell r="BW91">
            <v>1.9</v>
          </cell>
          <cell r="BX91">
            <v>1.9</v>
          </cell>
          <cell r="CB91">
            <v>0</v>
          </cell>
          <cell r="CC91">
            <v>2.2999999999999998</v>
          </cell>
          <cell r="CD91">
            <v>0.9</v>
          </cell>
          <cell r="CE91">
            <v>1.2</v>
          </cell>
          <cell r="CF91">
            <v>2.8</v>
          </cell>
          <cell r="CG91">
            <v>3.3</v>
          </cell>
          <cell r="CH91">
            <v>3.5</v>
          </cell>
          <cell r="CI91">
            <v>3.2</v>
          </cell>
          <cell r="CJ91">
            <v>3.1</v>
          </cell>
          <cell r="CM91">
            <v>1.6</v>
          </cell>
          <cell r="CP91">
            <v>2.2000000000000002</v>
          </cell>
          <cell r="CS91">
            <v>0.6</v>
          </cell>
          <cell r="CV91">
            <v>0.6</v>
          </cell>
          <cell r="CW91">
            <v>0.6</v>
          </cell>
          <cell r="CX91">
            <v>-1</v>
          </cell>
          <cell r="CY91">
            <v>3.1</v>
          </cell>
          <cell r="CZ91">
            <v>0.5</v>
          </cell>
          <cell r="DA91">
            <v>0.8</v>
          </cell>
          <cell r="DB91">
            <v>0</v>
          </cell>
          <cell r="DC91">
            <v>1.3</v>
          </cell>
          <cell r="DD91">
            <v>0.8</v>
          </cell>
          <cell r="DE91">
            <v>0.9</v>
          </cell>
          <cell r="DF91">
            <v>0.6</v>
          </cell>
          <cell r="DG91">
            <v>4301</v>
          </cell>
          <cell r="DH91">
            <v>735</v>
          </cell>
          <cell r="DI91">
            <v>4903</v>
          </cell>
          <cell r="DN91">
            <v>3933</v>
          </cell>
          <cell r="DP91">
            <v>4645</v>
          </cell>
          <cell r="DQ91">
            <v>3999</v>
          </cell>
          <cell r="DR91">
            <v>3486</v>
          </cell>
          <cell r="DS91">
            <v>2563</v>
          </cell>
          <cell r="DT91">
            <v>3181</v>
          </cell>
          <cell r="DV91">
            <v>18135</v>
          </cell>
          <cell r="DW91">
            <v>2388</v>
          </cell>
          <cell r="DX91">
            <v>95</v>
          </cell>
          <cell r="DY91">
            <v>2282</v>
          </cell>
          <cell r="DZ91">
            <v>4574</v>
          </cell>
          <cell r="ED91">
            <v>9272</v>
          </cell>
          <cell r="EE91">
            <v>6028</v>
          </cell>
          <cell r="EF91">
            <v>5400</v>
          </cell>
          <cell r="EG91">
            <v>3466</v>
          </cell>
          <cell r="EH91">
            <v>1532</v>
          </cell>
          <cell r="EI91">
            <v>362</v>
          </cell>
          <cell r="EJ91">
            <v>1111</v>
          </cell>
          <cell r="EK91">
            <v>3075</v>
          </cell>
          <cell r="EL91">
            <v>5673</v>
          </cell>
          <cell r="EO91">
            <v>1252</v>
          </cell>
          <cell r="ER91">
            <v>5771</v>
          </cell>
          <cell r="EU91">
            <v>2835</v>
          </cell>
          <cell r="EX91">
            <v>4453</v>
          </cell>
          <cell r="EY91">
            <v>2840</v>
          </cell>
          <cell r="EZ91">
            <v>8747</v>
          </cell>
          <cell r="FA91">
            <v>8246</v>
          </cell>
          <cell r="FB91">
            <v>6254</v>
          </cell>
          <cell r="FC91">
            <v>977</v>
          </cell>
          <cell r="FD91">
            <v>2913</v>
          </cell>
          <cell r="FE91">
            <v>13246</v>
          </cell>
          <cell r="FF91">
            <v>120273</v>
          </cell>
          <cell r="FG91">
            <v>12124</v>
          </cell>
          <cell r="FH91">
            <v>1586</v>
          </cell>
          <cell r="FI91">
            <v>132773</v>
          </cell>
          <cell r="FJ91">
            <v>-7</v>
          </cell>
          <cell r="FK91">
            <v>3.7</v>
          </cell>
          <cell r="FL91">
            <v>-6.1</v>
          </cell>
          <cell r="FQ91">
            <v>1.6</v>
          </cell>
          <cell r="FS91">
            <v>1.5</v>
          </cell>
          <cell r="FT91">
            <v>2.1</v>
          </cell>
          <cell r="FU91">
            <v>-2.4</v>
          </cell>
          <cell r="FV91">
            <v>3.6</v>
          </cell>
          <cell r="FW91">
            <v>2.2000000000000002</v>
          </cell>
          <cell r="FY91">
            <v>2.2999999999999998</v>
          </cell>
          <cell r="FZ91">
            <v>2.2000000000000002</v>
          </cell>
          <cell r="GA91">
            <v>10.5</v>
          </cell>
          <cell r="GB91">
            <v>1.4</v>
          </cell>
          <cell r="GC91">
            <v>2.2999999999999998</v>
          </cell>
          <cell r="GG91">
            <v>-0.4</v>
          </cell>
          <cell r="GH91">
            <v>1.1000000000000001</v>
          </cell>
          <cell r="GI91">
            <v>1.5</v>
          </cell>
          <cell r="GJ91">
            <v>1.5</v>
          </cell>
          <cell r="GK91">
            <v>-2.5</v>
          </cell>
          <cell r="GL91">
            <v>-3.5</v>
          </cell>
          <cell r="GM91">
            <v>7.6</v>
          </cell>
          <cell r="GN91">
            <v>1.5</v>
          </cell>
          <cell r="GO91">
            <v>-1.2</v>
          </cell>
          <cell r="GR91">
            <v>0.8</v>
          </cell>
          <cell r="GU91">
            <v>1.5</v>
          </cell>
          <cell r="GX91">
            <v>0.3</v>
          </cell>
          <cell r="HA91">
            <v>0.3</v>
          </cell>
          <cell r="HB91">
            <v>0.3</v>
          </cell>
          <cell r="HC91">
            <v>-1.6</v>
          </cell>
          <cell r="HD91">
            <v>2</v>
          </cell>
          <cell r="HE91">
            <v>0.1</v>
          </cell>
          <cell r="HF91">
            <v>-0.2</v>
          </cell>
          <cell r="HG91">
            <v>-1</v>
          </cell>
          <cell r="HH91">
            <v>1.2</v>
          </cell>
          <cell r="HI91">
            <v>0.4</v>
          </cell>
          <cell r="HJ91">
            <v>-0.7</v>
          </cell>
          <cell r="HK91">
            <v>0.9</v>
          </cell>
          <cell r="HL91">
            <v>3118</v>
          </cell>
          <cell r="HM91">
            <v>761</v>
          </cell>
          <cell r="HN91">
            <v>3698</v>
          </cell>
          <cell r="HS91">
            <v>4005</v>
          </cell>
          <cell r="HU91">
            <v>4728</v>
          </cell>
          <cell r="HV91">
            <v>3981</v>
          </cell>
          <cell r="HW91">
            <v>3595</v>
          </cell>
          <cell r="HX91">
            <v>2625</v>
          </cell>
          <cell r="HY91">
            <v>3304</v>
          </cell>
          <cell r="IA91">
            <v>18657</v>
          </cell>
          <cell r="IB91">
            <v>2616</v>
          </cell>
          <cell r="IC91">
            <v>112</v>
          </cell>
          <cell r="ID91">
            <v>2116</v>
          </cell>
          <cell r="IE91">
            <v>4773</v>
          </cell>
          <cell r="II91">
            <v>9066</v>
          </cell>
          <cell r="IJ91">
            <v>6057</v>
          </cell>
          <cell r="IK91">
            <v>5351</v>
          </cell>
          <cell r="IL91">
            <v>3374</v>
          </cell>
          <cell r="IM91">
            <v>1598</v>
          </cell>
          <cell r="IN91">
            <v>379</v>
          </cell>
          <cell r="IO91">
            <v>1137</v>
          </cell>
          <cell r="IP91">
            <v>3095</v>
          </cell>
          <cell r="IQ91">
            <v>5879</v>
          </cell>
        </row>
        <row r="92">
          <cell r="B92">
            <v>4263</v>
          </cell>
          <cell r="C92">
            <v>745</v>
          </cell>
          <cell r="D92">
            <v>4869</v>
          </cell>
          <cell r="I92">
            <v>3786</v>
          </cell>
          <cell r="K92">
            <v>4450</v>
          </cell>
          <cell r="L92">
            <v>3929</v>
          </cell>
          <cell r="M92">
            <v>3641</v>
          </cell>
          <cell r="N92">
            <v>2571</v>
          </cell>
          <cell r="O92">
            <v>3186</v>
          </cell>
          <cell r="Q92">
            <v>18180</v>
          </cell>
          <cell r="R92">
            <v>2412</v>
          </cell>
          <cell r="S92">
            <v>99</v>
          </cell>
          <cell r="T92">
            <v>2328</v>
          </cell>
          <cell r="U92">
            <v>4641</v>
          </cell>
          <cell r="Y92">
            <v>9245</v>
          </cell>
          <cell r="Z92">
            <v>6174</v>
          </cell>
          <cell r="AA92">
            <v>5411</v>
          </cell>
          <cell r="AB92">
            <v>3505</v>
          </cell>
          <cell r="AC92">
            <v>1665</v>
          </cell>
          <cell r="AD92">
            <v>380</v>
          </cell>
          <cell r="AE92">
            <v>1137</v>
          </cell>
          <cell r="AF92">
            <v>3166</v>
          </cell>
          <cell r="AG92">
            <v>6036</v>
          </cell>
          <cell r="AJ92">
            <v>1276</v>
          </cell>
          <cell r="AM92">
            <v>5920</v>
          </cell>
          <cell r="AP92">
            <v>2854</v>
          </cell>
          <cell r="AS92">
            <v>4484</v>
          </cell>
          <cell r="AT92">
            <v>2859</v>
          </cell>
          <cell r="AU92">
            <v>8680</v>
          </cell>
          <cell r="AV92">
            <v>8404</v>
          </cell>
          <cell r="AW92">
            <v>6298</v>
          </cell>
          <cell r="AX92">
            <v>989</v>
          </cell>
          <cell r="AY92">
            <v>2986</v>
          </cell>
          <cell r="AZ92">
            <v>13424</v>
          </cell>
          <cell r="BA92">
            <v>121282</v>
          </cell>
          <cell r="BB92">
            <v>12138</v>
          </cell>
          <cell r="BC92">
            <v>1643</v>
          </cell>
          <cell r="BD92">
            <v>134564</v>
          </cell>
          <cell r="BE92">
            <v>-2.7</v>
          </cell>
          <cell r="BF92">
            <v>1.8</v>
          </cell>
          <cell r="BG92">
            <v>-2.2999999999999998</v>
          </cell>
          <cell r="BL92">
            <v>-3.1</v>
          </cell>
          <cell r="BN92">
            <v>-3.5</v>
          </cell>
          <cell r="BO92">
            <v>0.1</v>
          </cell>
          <cell r="BP92">
            <v>1.3</v>
          </cell>
          <cell r="BQ92">
            <v>1.7</v>
          </cell>
          <cell r="BR92">
            <v>0.3</v>
          </cell>
          <cell r="BT92">
            <v>0.9</v>
          </cell>
          <cell r="BU92">
            <v>1.2</v>
          </cell>
          <cell r="BV92">
            <v>5.4</v>
          </cell>
          <cell r="BW92">
            <v>1.3</v>
          </cell>
          <cell r="BX92">
            <v>1.4</v>
          </cell>
          <cell r="CB92">
            <v>-0.4</v>
          </cell>
          <cell r="CC92">
            <v>1.7</v>
          </cell>
          <cell r="CD92">
            <v>0.6</v>
          </cell>
          <cell r="CE92">
            <v>1.1000000000000001</v>
          </cell>
          <cell r="CF92">
            <v>1.8</v>
          </cell>
          <cell r="CG92">
            <v>1.8</v>
          </cell>
          <cell r="CH92">
            <v>3.5</v>
          </cell>
          <cell r="CI92">
            <v>2.2000000000000002</v>
          </cell>
          <cell r="CJ92">
            <v>2</v>
          </cell>
          <cell r="CM92">
            <v>1.6</v>
          </cell>
          <cell r="CP92">
            <v>1.9</v>
          </cell>
          <cell r="CS92">
            <v>0.7</v>
          </cell>
          <cell r="CV92">
            <v>0.7</v>
          </cell>
          <cell r="CW92">
            <v>0.7</v>
          </cell>
          <cell r="CX92">
            <v>-0.8</v>
          </cell>
          <cell r="CY92">
            <v>1.5</v>
          </cell>
          <cell r="CZ92">
            <v>0.4</v>
          </cell>
          <cell r="DA92">
            <v>1</v>
          </cell>
          <cell r="DB92">
            <v>1.5</v>
          </cell>
          <cell r="DC92">
            <v>1.3</v>
          </cell>
          <cell r="DD92">
            <v>0.5</v>
          </cell>
          <cell r="DE92">
            <v>-0.7</v>
          </cell>
          <cell r="DF92">
            <v>0.9</v>
          </cell>
          <cell r="DG92">
            <v>4342</v>
          </cell>
          <cell r="DH92">
            <v>746</v>
          </cell>
          <cell r="DI92">
            <v>4952</v>
          </cell>
          <cell r="DN92">
            <v>3877</v>
          </cell>
          <cell r="DP92">
            <v>4562</v>
          </cell>
          <cell r="DQ92">
            <v>3848</v>
          </cell>
          <cell r="DR92">
            <v>3737</v>
          </cell>
          <cell r="DS92">
            <v>2481</v>
          </cell>
          <cell r="DT92">
            <v>3195</v>
          </cell>
          <cell r="DV92">
            <v>18014</v>
          </cell>
          <cell r="DW92">
            <v>2411</v>
          </cell>
          <cell r="DX92">
            <v>99</v>
          </cell>
          <cell r="DY92">
            <v>2337</v>
          </cell>
          <cell r="DZ92">
            <v>4645</v>
          </cell>
          <cell r="ED92">
            <v>9255</v>
          </cell>
          <cell r="EE92">
            <v>6241</v>
          </cell>
          <cell r="EF92">
            <v>5384</v>
          </cell>
          <cell r="EG92">
            <v>3512</v>
          </cell>
          <cell r="EH92">
            <v>1882</v>
          </cell>
          <cell r="EI92">
            <v>380</v>
          </cell>
          <cell r="EJ92">
            <v>1138</v>
          </cell>
          <cell r="EK92">
            <v>3204</v>
          </cell>
          <cell r="EL92">
            <v>6489</v>
          </cell>
          <cell r="EO92">
            <v>1275</v>
          </cell>
          <cell r="ER92">
            <v>5954</v>
          </cell>
          <cell r="EU92">
            <v>2847</v>
          </cell>
          <cell r="EX92">
            <v>4473</v>
          </cell>
          <cell r="EY92">
            <v>2852</v>
          </cell>
          <cell r="EZ92">
            <v>8639</v>
          </cell>
          <cell r="FA92">
            <v>8425</v>
          </cell>
          <cell r="FB92">
            <v>6349</v>
          </cell>
          <cell r="FC92">
            <v>982</v>
          </cell>
          <cell r="FD92">
            <v>2985</v>
          </cell>
          <cell r="FE92">
            <v>13422</v>
          </cell>
          <cell r="FF92">
            <v>122002</v>
          </cell>
          <cell r="FG92">
            <v>12298</v>
          </cell>
          <cell r="FH92">
            <v>936</v>
          </cell>
          <cell r="FI92">
            <v>135321</v>
          </cell>
          <cell r="FJ92">
            <v>0.9</v>
          </cell>
          <cell r="FK92">
            <v>1.5</v>
          </cell>
          <cell r="FL92">
            <v>1</v>
          </cell>
          <cell r="FQ92">
            <v>-1.4</v>
          </cell>
          <cell r="FS92">
            <v>-1.8</v>
          </cell>
          <cell r="FT92">
            <v>-3.8</v>
          </cell>
          <cell r="FU92">
            <v>7.2</v>
          </cell>
          <cell r="FV92">
            <v>-3.2</v>
          </cell>
          <cell r="FW92">
            <v>0.4</v>
          </cell>
          <cell r="FY92">
            <v>-0.7</v>
          </cell>
          <cell r="FZ92">
            <v>1</v>
          </cell>
          <cell r="GA92">
            <v>3.3</v>
          </cell>
          <cell r="GB92">
            <v>2.4</v>
          </cell>
          <cell r="GC92">
            <v>1.5</v>
          </cell>
          <cell r="GG92">
            <v>-0.2</v>
          </cell>
          <cell r="GH92">
            <v>3.5</v>
          </cell>
          <cell r="GI92">
            <v>-0.3</v>
          </cell>
          <cell r="GJ92">
            <v>1.3</v>
          </cell>
          <cell r="GK92">
            <v>22.9</v>
          </cell>
          <cell r="GL92">
            <v>5</v>
          </cell>
          <cell r="GM92">
            <v>2.4</v>
          </cell>
          <cell r="GN92">
            <v>4.2</v>
          </cell>
          <cell r="GO92">
            <v>14.4</v>
          </cell>
          <cell r="GR92">
            <v>1.8</v>
          </cell>
          <cell r="GU92">
            <v>3.2</v>
          </cell>
          <cell r="GX92">
            <v>0.4</v>
          </cell>
          <cell r="HA92">
            <v>0.4</v>
          </cell>
          <cell r="HB92">
            <v>0.4</v>
          </cell>
          <cell r="HC92">
            <v>-1.2</v>
          </cell>
          <cell r="HD92">
            <v>2.2000000000000002</v>
          </cell>
          <cell r="HE92">
            <v>1.5</v>
          </cell>
          <cell r="HF92">
            <v>0.5</v>
          </cell>
          <cell r="HG92">
            <v>2.5</v>
          </cell>
          <cell r="HH92">
            <v>1.3</v>
          </cell>
          <cell r="HI92">
            <v>1.4</v>
          </cell>
          <cell r="HJ92">
            <v>1.4</v>
          </cell>
          <cell r="HK92">
            <v>1.9</v>
          </cell>
          <cell r="HL92">
            <v>8591</v>
          </cell>
          <cell r="HM92">
            <v>754</v>
          </cell>
          <cell r="HN92">
            <v>9344</v>
          </cell>
          <cell r="HS92">
            <v>3953</v>
          </cell>
          <cell r="HU92">
            <v>4633</v>
          </cell>
          <cell r="HV92">
            <v>4149</v>
          </cell>
          <cell r="HW92">
            <v>3879</v>
          </cell>
          <cell r="HX92">
            <v>2590</v>
          </cell>
          <cell r="HY92">
            <v>3384</v>
          </cell>
          <cell r="IA92">
            <v>18945</v>
          </cell>
          <cell r="IB92">
            <v>2296</v>
          </cell>
          <cell r="IC92">
            <v>91</v>
          </cell>
          <cell r="ID92">
            <v>2469</v>
          </cell>
          <cell r="IE92">
            <v>4579</v>
          </cell>
          <cell r="II92">
            <v>9561</v>
          </cell>
          <cell r="IJ92">
            <v>6482</v>
          </cell>
          <cell r="IK92">
            <v>5837</v>
          </cell>
          <cell r="IL92">
            <v>3796</v>
          </cell>
          <cell r="IM92">
            <v>1970</v>
          </cell>
          <cell r="IN92">
            <v>378</v>
          </cell>
          <cell r="IO92">
            <v>1164</v>
          </cell>
          <cell r="IP92">
            <v>3299</v>
          </cell>
          <cell r="IQ92">
            <v>6685</v>
          </cell>
        </row>
        <row r="93">
          <cell r="B93">
            <v>4221</v>
          </cell>
          <cell r="C93">
            <v>759</v>
          </cell>
          <cell r="D93">
            <v>4834</v>
          </cell>
          <cell r="I93">
            <v>3626</v>
          </cell>
          <cell r="K93">
            <v>4234</v>
          </cell>
          <cell r="L93">
            <v>3966</v>
          </cell>
          <cell r="M93">
            <v>3636</v>
          </cell>
          <cell r="N93">
            <v>2568</v>
          </cell>
          <cell r="O93">
            <v>3141</v>
          </cell>
          <cell r="Q93">
            <v>18188</v>
          </cell>
          <cell r="R93">
            <v>2428</v>
          </cell>
          <cell r="S93">
            <v>101</v>
          </cell>
          <cell r="T93">
            <v>2362</v>
          </cell>
          <cell r="U93">
            <v>4686</v>
          </cell>
          <cell r="Y93">
            <v>9313</v>
          </cell>
          <cell r="Z93">
            <v>6197</v>
          </cell>
          <cell r="AA93">
            <v>5448</v>
          </cell>
          <cell r="AB93">
            <v>3540</v>
          </cell>
          <cell r="AC93">
            <v>1665</v>
          </cell>
          <cell r="AD93">
            <v>382</v>
          </cell>
          <cell r="AE93">
            <v>1150</v>
          </cell>
          <cell r="AF93">
            <v>3168</v>
          </cell>
          <cell r="AG93">
            <v>6048</v>
          </cell>
          <cell r="AJ93">
            <v>1304</v>
          </cell>
          <cell r="AM93">
            <v>5942</v>
          </cell>
          <cell r="AP93">
            <v>2895</v>
          </cell>
          <cell r="AS93">
            <v>4549</v>
          </cell>
          <cell r="AT93">
            <v>2900</v>
          </cell>
          <cell r="AU93">
            <v>8687</v>
          </cell>
          <cell r="AV93">
            <v>8471</v>
          </cell>
          <cell r="AW93">
            <v>6340</v>
          </cell>
          <cell r="AX93">
            <v>999</v>
          </cell>
          <cell r="AY93">
            <v>3054</v>
          </cell>
          <cell r="AZ93">
            <v>13603</v>
          </cell>
          <cell r="BA93">
            <v>121561</v>
          </cell>
          <cell r="BB93">
            <v>12029</v>
          </cell>
          <cell r="BC93">
            <v>2246</v>
          </cell>
          <cell r="BD93">
            <v>135760</v>
          </cell>
          <cell r="BE93">
            <v>-1</v>
          </cell>
          <cell r="BF93">
            <v>1.8</v>
          </cell>
          <cell r="BG93">
            <v>-0.7</v>
          </cell>
          <cell r="BL93">
            <v>-4.2</v>
          </cell>
          <cell r="BN93">
            <v>-4.9000000000000004</v>
          </cell>
          <cell r="BO93">
            <v>0.9</v>
          </cell>
          <cell r="BP93">
            <v>-0.1</v>
          </cell>
          <cell r="BQ93">
            <v>-0.1</v>
          </cell>
          <cell r="BR93">
            <v>-1.4</v>
          </cell>
          <cell r="BT93">
            <v>0</v>
          </cell>
          <cell r="BU93">
            <v>0.7</v>
          </cell>
          <cell r="BV93">
            <v>2.1</v>
          </cell>
          <cell r="BW93">
            <v>1.5</v>
          </cell>
          <cell r="BX93">
            <v>1</v>
          </cell>
          <cell r="CB93">
            <v>0.7</v>
          </cell>
          <cell r="CC93">
            <v>0.4</v>
          </cell>
          <cell r="CD93">
            <v>0.7</v>
          </cell>
          <cell r="CE93">
            <v>1</v>
          </cell>
          <cell r="CF93">
            <v>0</v>
          </cell>
          <cell r="CG93">
            <v>0.7</v>
          </cell>
          <cell r="CH93">
            <v>1.2</v>
          </cell>
          <cell r="CI93">
            <v>0.1</v>
          </cell>
          <cell r="CJ93">
            <v>0.2</v>
          </cell>
          <cell r="CM93">
            <v>2.2000000000000002</v>
          </cell>
          <cell r="CP93">
            <v>0.4</v>
          </cell>
          <cell r="CS93">
            <v>1.4</v>
          </cell>
          <cell r="CV93">
            <v>1.4</v>
          </cell>
          <cell r="CW93">
            <v>1.4</v>
          </cell>
          <cell r="CX93">
            <v>0.1</v>
          </cell>
          <cell r="CY93">
            <v>0.8</v>
          </cell>
          <cell r="CZ93">
            <v>0.7</v>
          </cell>
          <cell r="DA93">
            <v>1</v>
          </cell>
          <cell r="DB93">
            <v>2.2999999999999998</v>
          </cell>
          <cell r="DC93">
            <v>1.3</v>
          </cell>
          <cell r="DD93">
            <v>0.2</v>
          </cell>
          <cell r="DE93">
            <v>-0.9</v>
          </cell>
          <cell r="DF93">
            <v>0.9</v>
          </cell>
          <cell r="DG93">
            <v>4083</v>
          </cell>
          <cell r="DH93">
            <v>761</v>
          </cell>
          <cell r="DI93">
            <v>4693</v>
          </cell>
          <cell r="DN93">
            <v>3550</v>
          </cell>
          <cell r="DP93">
            <v>4145</v>
          </cell>
          <cell r="DQ93">
            <v>3983</v>
          </cell>
          <cell r="DR93">
            <v>3650</v>
          </cell>
          <cell r="DS93">
            <v>2701</v>
          </cell>
          <cell r="DT93">
            <v>3168</v>
          </cell>
          <cell r="DV93">
            <v>18451</v>
          </cell>
          <cell r="DW93">
            <v>2446</v>
          </cell>
          <cell r="DX93">
            <v>100</v>
          </cell>
          <cell r="DY93">
            <v>2361</v>
          </cell>
          <cell r="DZ93">
            <v>4707</v>
          </cell>
          <cell r="ED93">
            <v>9300</v>
          </cell>
          <cell r="EE93">
            <v>6220</v>
          </cell>
          <cell r="EF93">
            <v>5501</v>
          </cell>
          <cell r="EG93">
            <v>3547</v>
          </cell>
          <cell r="EH93">
            <v>1544</v>
          </cell>
          <cell r="EI93">
            <v>388</v>
          </cell>
          <cell r="EJ93">
            <v>1163</v>
          </cell>
          <cell r="EK93">
            <v>3183</v>
          </cell>
          <cell r="EL93">
            <v>5835</v>
          </cell>
          <cell r="EO93">
            <v>1307</v>
          </cell>
          <cell r="ER93">
            <v>5983</v>
          </cell>
          <cell r="EU93">
            <v>2867</v>
          </cell>
          <cell r="EX93">
            <v>4504</v>
          </cell>
          <cell r="EY93">
            <v>2872</v>
          </cell>
          <cell r="EZ93">
            <v>8670</v>
          </cell>
          <cell r="FA93">
            <v>8531</v>
          </cell>
          <cell r="FB93">
            <v>6264</v>
          </cell>
          <cell r="FC93">
            <v>1013</v>
          </cell>
          <cell r="FD93">
            <v>3072</v>
          </cell>
          <cell r="FE93">
            <v>13605</v>
          </cell>
          <cell r="FF93">
            <v>121487</v>
          </cell>
          <cell r="FG93">
            <v>12037</v>
          </cell>
          <cell r="FH93">
            <v>2745</v>
          </cell>
          <cell r="FI93">
            <v>135864</v>
          </cell>
          <cell r="FJ93">
            <v>-6</v>
          </cell>
          <cell r="FK93">
            <v>2</v>
          </cell>
          <cell r="FL93">
            <v>-5.2</v>
          </cell>
          <cell r="FQ93">
            <v>-8.4</v>
          </cell>
          <cell r="FS93">
            <v>-9.1</v>
          </cell>
          <cell r="FT93">
            <v>3.5</v>
          </cell>
          <cell r="FU93">
            <v>-2.2999999999999998</v>
          </cell>
          <cell r="FV93">
            <v>8.9</v>
          </cell>
          <cell r="FW93">
            <v>-0.8</v>
          </cell>
          <cell r="FY93">
            <v>2.4</v>
          </cell>
          <cell r="FZ93">
            <v>1.5</v>
          </cell>
          <cell r="GA93">
            <v>1.6</v>
          </cell>
          <cell r="GB93">
            <v>1</v>
          </cell>
          <cell r="GC93">
            <v>1.3</v>
          </cell>
          <cell r="GG93">
            <v>0.5</v>
          </cell>
          <cell r="GH93">
            <v>-0.3</v>
          </cell>
          <cell r="GI93">
            <v>2.2000000000000002</v>
          </cell>
          <cell r="GJ93">
            <v>1</v>
          </cell>
          <cell r="GK93">
            <v>-18</v>
          </cell>
          <cell r="GL93">
            <v>2</v>
          </cell>
          <cell r="GM93">
            <v>2.2000000000000002</v>
          </cell>
          <cell r="GN93">
            <v>-0.7</v>
          </cell>
          <cell r="GO93">
            <v>-10.1</v>
          </cell>
          <cell r="GR93">
            <v>2.5</v>
          </cell>
          <cell r="GU93">
            <v>0.5</v>
          </cell>
          <cell r="GX93">
            <v>0.7</v>
          </cell>
          <cell r="HA93">
            <v>0.7</v>
          </cell>
          <cell r="HB93">
            <v>0.7</v>
          </cell>
          <cell r="HC93">
            <v>0.4</v>
          </cell>
          <cell r="HD93">
            <v>1.3</v>
          </cell>
          <cell r="HE93">
            <v>-1.3</v>
          </cell>
          <cell r="HF93">
            <v>3.2</v>
          </cell>
          <cell r="HG93">
            <v>2.9</v>
          </cell>
          <cell r="HH93">
            <v>1.4</v>
          </cell>
          <cell r="HI93">
            <v>-0.4</v>
          </cell>
          <cell r="HJ93">
            <v>-2.1</v>
          </cell>
          <cell r="HK93">
            <v>0.4</v>
          </cell>
          <cell r="HL93">
            <v>3527</v>
          </cell>
          <cell r="HM93">
            <v>706</v>
          </cell>
          <cell r="HN93">
            <v>4084</v>
          </cell>
          <cell r="HS93">
            <v>3419</v>
          </cell>
          <cell r="HU93">
            <v>4014</v>
          </cell>
          <cell r="HV93">
            <v>3858</v>
          </cell>
          <cell r="HW93">
            <v>3406</v>
          </cell>
          <cell r="HX93">
            <v>2550</v>
          </cell>
          <cell r="HY93">
            <v>2817</v>
          </cell>
          <cell r="IA93">
            <v>17096</v>
          </cell>
          <cell r="IB93">
            <v>2281</v>
          </cell>
          <cell r="IC93">
            <v>85</v>
          </cell>
          <cell r="ID93">
            <v>2562</v>
          </cell>
          <cell r="IE93">
            <v>4607</v>
          </cell>
          <cell r="II93">
            <v>8580</v>
          </cell>
          <cell r="IJ93">
            <v>5981</v>
          </cell>
          <cell r="IK93">
            <v>5143</v>
          </cell>
          <cell r="IL93">
            <v>3537</v>
          </cell>
          <cell r="IM93">
            <v>1425</v>
          </cell>
          <cell r="IN93">
            <v>385</v>
          </cell>
          <cell r="IO93">
            <v>1099</v>
          </cell>
          <cell r="IP93">
            <v>3093</v>
          </cell>
          <cell r="IQ93">
            <v>5536</v>
          </cell>
        </row>
        <row r="94">
          <cell r="B94">
            <v>4111</v>
          </cell>
          <cell r="C94">
            <v>780</v>
          </cell>
          <cell r="D94">
            <v>4734</v>
          </cell>
          <cell r="I94">
            <v>3554</v>
          </cell>
          <cell r="K94">
            <v>4126</v>
          </cell>
          <cell r="L94">
            <v>4037</v>
          </cell>
          <cell r="M94">
            <v>3585</v>
          </cell>
          <cell r="N94">
            <v>2550</v>
          </cell>
          <cell r="O94">
            <v>3092</v>
          </cell>
          <cell r="Q94">
            <v>18170</v>
          </cell>
          <cell r="R94">
            <v>2453</v>
          </cell>
          <cell r="S94">
            <v>98</v>
          </cell>
          <cell r="T94">
            <v>2390</v>
          </cell>
          <cell r="U94">
            <v>4728</v>
          </cell>
          <cell r="Y94">
            <v>9567</v>
          </cell>
          <cell r="Z94">
            <v>6196</v>
          </cell>
          <cell r="AA94">
            <v>5528</v>
          </cell>
          <cell r="AB94">
            <v>3566</v>
          </cell>
          <cell r="AC94">
            <v>1686</v>
          </cell>
          <cell r="AD94">
            <v>381</v>
          </cell>
          <cell r="AE94">
            <v>1152</v>
          </cell>
          <cell r="AF94">
            <v>3148</v>
          </cell>
          <cell r="AG94">
            <v>6078</v>
          </cell>
          <cell r="AJ94">
            <v>1339</v>
          </cell>
          <cell r="AM94">
            <v>5917</v>
          </cell>
          <cell r="AP94">
            <v>2951</v>
          </cell>
          <cell r="AS94">
            <v>4635</v>
          </cell>
          <cell r="AT94">
            <v>2956</v>
          </cell>
          <cell r="AU94">
            <v>8782</v>
          </cell>
          <cell r="AV94">
            <v>8554</v>
          </cell>
          <cell r="AW94">
            <v>6384</v>
          </cell>
          <cell r="AX94">
            <v>1008</v>
          </cell>
          <cell r="AY94">
            <v>3101</v>
          </cell>
          <cell r="AZ94">
            <v>13784</v>
          </cell>
          <cell r="BA94">
            <v>122191</v>
          </cell>
          <cell r="BB94">
            <v>11999</v>
          </cell>
          <cell r="BC94">
            <v>2557</v>
          </cell>
          <cell r="BD94">
            <v>136486</v>
          </cell>
          <cell r="BE94">
            <v>-2.6</v>
          </cell>
          <cell r="BF94">
            <v>2.8</v>
          </cell>
          <cell r="BG94">
            <v>-2.1</v>
          </cell>
          <cell r="BL94">
            <v>-2</v>
          </cell>
          <cell r="BN94">
            <v>-2.5</v>
          </cell>
          <cell r="BO94">
            <v>1.8</v>
          </cell>
          <cell r="BP94">
            <v>-1.4</v>
          </cell>
          <cell r="BQ94">
            <v>-0.7</v>
          </cell>
          <cell r="BR94">
            <v>-1.6</v>
          </cell>
          <cell r="BT94">
            <v>-0.1</v>
          </cell>
          <cell r="BU94">
            <v>1</v>
          </cell>
          <cell r="BV94">
            <v>-2.6</v>
          </cell>
          <cell r="BW94">
            <v>1.2</v>
          </cell>
          <cell r="BX94">
            <v>0.9</v>
          </cell>
          <cell r="CB94">
            <v>2.7</v>
          </cell>
          <cell r="CC94">
            <v>0</v>
          </cell>
          <cell r="CD94">
            <v>1.5</v>
          </cell>
          <cell r="CE94">
            <v>0.7</v>
          </cell>
          <cell r="CF94">
            <v>1.3</v>
          </cell>
          <cell r="CG94">
            <v>-0.3</v>
          </cell>
          <cell r="CH94">
            <v>0.1</v>
          </cell>
          <cell r="CI94">
            <v>-0.6</v>
          </cell>
          <cell r="CJ94">
            <v>0.5</v>
          </cell>
          <cell r="CM94">
            <v>2.7</v>
          </cell>
          <cell r="CP94">
            <v>-0.4</v>
          </cell>
          <cell r="CS94">
            <v>1.9</v>
          </cell>
          <cell r="CV94">
            <v>1.9</v>
          </cell>
          <cell r="CW94">
            <v>1.9</v>
          </cell>
          <cell r="CX94">
            <v>1.1000000000000001</v>
          </cell>
          <cell r="CY94">
            <v>1</v>
          </cell>
          <cell r="CZ94">
            <v>0.7</v>
          </cell>
          <cell r="DA94">
            <v>0.9</v>
          </cell>
          <cell r="DB94">
            <v>1.6</v>
          </cell>
          <cell r="DC94">
            <v>1.3</v>
          </cell>
          <cell r="DD94">
            <v>0.5</v>
          </cell>
          <cell r="DE94">
            <v>-0.3</v>
          </cell>
          <cell r="DF94">
            <v>0.5</v>
          </cell>
          <cell r="DG94">
            <v>4331</v>
          </cell>
          <cell r="DH94">
            <v>765</v>
          </cell>
          <cell r="DI94">
            <v>4952</v>
          </cell>
          <cell r="DN94">
            <v>3457</v>
          </cell>
          <cell r="DP94">
            <v>4004</v>
          </cell>
          <cell r="DQ94">
            <v>4062</v>
          </cell>
          <cell r="DR94">
            <v>3543</v>
          </cell>
          <cell r="DS94">
            <v>2485</v>
          </cell>
          <cell r="DT94">
            <v>3046</v>
          </cell>
          <cell r="DV94">
            <v>18018</v>
          </cell>
          <cell r="DW94">
            <v>2429</v>
          </cell>
          <cell r="DX94">
            <v>102</v>
          </cell>
          <cell r="DY94">
            <v>2384</v>
          </cell>
          <cell r="DZ94">
            <v>4701</v>
          </cell>
          <cell r="ED94">
            <v>9418</v>
          </cell>
          <cell r="EE94">
            <v>6096</v>
          </cell>
          <cell r="EF94">
            <v>5450</v>
          </cell>
          <cell r="EG94">
            <v>3558</v>
          </cell>
          <cell r="EH94">
            <v>1627</v>
          </cell>
          <cell r="EI94">
            <v>380</v>
          </cell>
          <cell r="EJ94">
            <v>1142</v>
          </cell>
          <cell r="EK94">
            <v>3094</v>
          </cell>
          <cell r="EL94">
            <v>5930</v>
          </cell>
          <cell r="EO94">
            <v>1332</v>
          </cell>
          <cell r="ER94">
            <v>5928</v>
          </cell>
          <cell r="EU94">
            <v>3001</v>
          </cell>
          <cell r="EX94">
            <v>4715</v>
          </cell>
          <cell r="EY94">
            <v>3006</v>
          </cell>
          <cell r="EZ94">
            <v>8831</v>
          </cell>
          <cell r="FA94">
            <v>8419</v>
          </cell>
          <cell r="FB94">
            <v>6428</v>
          </cell>
          <cell r="FC94">
            <v>996</v>
          </cell>
          <cell r="FD94">
            <v>3099</v>
          </cell>
          <cell r="FE94">
            <v>13788</v>
          </cell>
          <cell r="FF94">
            <v>121546</v>
          </cell>
          <cell r="FG94">
            <v>11668</v>
          </cell>
          <cell r="FH94">
            <v>2889</v>
          </cell>
          <cell r="FI94">
            <v>136285</v>
          </cell>
          <cell r="FJ94">
            <v>6.1</v>
          </cell>
          <cell r="FK94">
            <v>0.5</v>
          </cell>
          <cell r="FL94">
            <v>5.5</v>
          </cell>
          <cell r="FQ94">
            <v>-2.6</v>
          </cell>
          <cell r="FS94">
            <v>-3.4</v>
          </cell>
          <cell r="FT94">
            <v>2</v>
          </cell>
          <cell r="FU94">
            <v>-2.9</v>
          </cell>
          <cell r="FV94">
            <v>-8</v>
          </cell>
          <cell r="FW94">
            <v>-3.9</v>
          </cell>
          <cell r="FY94">
            <v>-2.2999999999999998</v>
          </cell>
          <cell r="FZ94">
            <v>-0.7</v>
          </cell>
          <cell r="GA94">
            <v>1.6</v>
          </cell>
          <cell r="GB94">
            <v>1</v>
          </cell>
          <cell r="GC94">
            <v>-0.1</v>
          </cell>
          <cell r="GG94">
            <v>1.3</v>
          </cell>
          <cell r="GH94">
            <v>-2</v>
          </cell>
          <cell r="GI94">
            <v>-0.9</v>
          </cell>
          <cell r="GJ94">
            <v>0.3</v>
          </cell>
          <cell r="GK94">
            <v>5.3</v>
          </cell>
          <cell r="GL94">
            <v>-2.1</v>
          </cell>
          <cell r="GM94">
            <v>-1.8</v>
          </cell>
          <cell r="GN94">
            <v>-2.8</v>
          </cell>
          <cell r="GO94">
            <v>1.6</v>
          </cell>
          <cell r="GR94">
            <v>1.8</v>
          </cell>
          <cell r="GU94">
            <v>-0.9</v>
          </cell>
          <cell r="GX94">
            <v>4.7</v>
          </cell>
          <cell r="HA94">
            <v>4.7</v>
          </cell>
          <cell r="HB94">
            <v>4.7</v>
          </cell>
          <cell r="HC94">
            <v>1.9</v>
          </cell>
          <cell r="HD94">
            <v>-1.3</v>
          </cell>
          <cell r="HE94">
            <v>2.6</v>
          </cell>
          <cell r="HF94">
            <v>-1.7</v>
          </cell>
          <cell r="HG94">
            <v>0.9</v>
          </cell>
          <cell r="HH94">
            <v>1.3</v>
          </cell>
          <cell r="HI94">
            <v>0</v>
          </cell>
          <cell r="HJ94">
            <v>-3.1</v>
          </cell>
          <cell r="HK94">
            <v>0.3</v>
          </cell>
          <cell r="HL94">
            <v>1820</v>
          </cell>
          <cell r="HM94">
            <v>787</v>
          </cell>
          <cell r="HN94">
            <v>2374</v>
          </cell>
          <cell r="HS94">
            <v>3441</v>
          </cell>
          <cell r="HU94">
            <v>3981</v>
          </cell>
          <cell r="HV94">
            <v>3904</v>
          </cell>
          <cell r="HW94">
            <v>3537</v>
          </cell>
          <cell r="HX94">
            <v>2465</v>
          </cell>
          <cell r="HY94">
            <v>3085</v>
          </cell>
          <cell r="IA94">
            <v>17919</v>
          </cell>
          <cell r="IB94">
            <v>2480</v>
          </cell>
          <cell r="IC94">
            <v>108</v>
          </cell>
          <cell r="ID94">
            <v>2218</v>
          </cell>
          <cell r="IE94">
            <v>4668</v>
          </cell>
          <cell r="II94">
            <v>10037</v>
          </cell>
          <cell r="IJ94">
            <v>6067</v>
          </cell>
          <cell r="IK94">
            <v>5403</v>
          </cell>
          <cell r="IL94">
            <v>3377</v>
          </cell>
          <cell r="IM94">
            <v>1592</v>
          </cell>
          <cell r="IN94">
            <v>368</v>
          </cell>
          <cell r="IO94">
            <v>1155</v>
          </cell>
          <cell r="IP94">
            <v>3069</v>
          </cell>
          <cell r="IQ94">
            <v>5828</v>
          </cell>
        </row>
        <row r="95">
          <cell r="B95">
            <v>3890</v>
          </cell>
          <cell r="C95">
            <v>803</v>
          </cell>
          <cell r="D95">
            <v>4521</v>
          </cell>
          <cell r="I95">
            <v>3640</v>
          </cell>
          <cell r="K95">
            <v>4222</v>
          </cell>
          <cell r="L95">
            <v>4109</v>
          </cell>
          <cell r="M95">
            <v>3556</v>
          </cell>
          <cell r="N95">
            <v>2572</v>
          </cell>
          <cell r="O95">
            <v>3083</v>
          </cell>
          <cell r="Q95">
            <v>18285</v>
          </cell>
          <cell r="R95">
            <v>2499</v>
          </cell>
          <cell r="S95">
            <v>95</v>
          </cell>
          <cell r="T95">
            <v>2400</v>
          </cell>
          <cell r="U95">
            <v>4783</v>
          </cell>
          <cell r="Y95">
            <v>9880</v>
          </cell>
          <cell r="Z95">
            <v>6190</v>
          </cell>
          <cell r="AA95">
            <v>5636</v>
          </cell>
          <cell r="AB95">
            <v>3599</v>
          </cell>
          <cell r="AC95">
            <v>1752</v>
          </cell>
          <cell r="AD95">
            <v>377</v>
          </cell>
          <cell r="AE95">
            <v>1159</v>
          </cell>
          <cell r="AF95">
            <v>3142</v>
          </cell>
          <cell r="AG95">
            <v>6195</v>
          </cell>
          <cell r="AJ95">
            <v>1373</v>
          </cell>
          <cell r="AM95">
            <v>5974</v>
          </cell>
          <cell r="AP95">
            <v>3011</v>
          </cell>
          <cell r="AS95">
            <v>4730</v>
          </cell>
          <cell r="AT95">
            <v>3016</v>
          </cell>
          <cell r="AU95">
            <v>8924</v>
          </cell>
          <cell r="AV95">
            <v>8660</v>
          </cell>
          <cell r="AW95">
            <v>6436</v>
          </cell>
          <cell r="AX95">
            <v>1011</v>
          </cell>
          <cell r="AY95">
            <v>3108</v>
          </cell>
          <cell r="AZ95">
            <v>13967</v>
          </cell>
          <cell r="BA95">
            <v>123506</v>
          </cell>
          <cell r="BB95">
            <v>12101</v>
          </cell>
          <cell r="BC95">
            <v>2686</v>
          </cell>
          <cell r="BD95">
            <v>137380</v>
          </cell>
          <cell r="BE95">
            <v>-5.4</v>
          </cell>
          <cell r="BF95">
            <v>3</v>
          </cell>
          <cell r="BG95">
            <v>-4.5</v>
          </cell>
          <cell r="BL95">
            <v>2.4</v>
          </cell>
          <cell r="BN95">
            <v>2.2999999999999998</v>
          </cell>
          <cell r="BO95">
            <v>1.8</v>
          </cell>
          <cell r="BP95">
            <v>-0.8</v>
          </cell>
          <cell r="BQ95">
            <v>0.8</v>
          </cell>
          <cell r="BR95">
            <v>-0.3</v>
          </cell>
          <cell r="BT95">
            <v>0.6</v>
          </cell>
          <cell r="BU95">
            <v>1.9</v>
          </cell>
          <cell r="BV95">
            <v>-3.2</v>
          </cell>
          <cell r="BW95">
            <v>0.4</v>
          </cell>
          <cell r="BX95">
            <v>1.2</v>
          </cell>
          <cell r="CB95">
            <v>3.3</v>
          </cell>
          <cell r="CC95">
            <v>-0.1</v>
          </cell>
          <cell r="CD95">
            <v>2</v>
          </cell>
          <cell r="CE95">
            <v>0.9</v>
          </cell>
          <cell r="CF95">
            <v>3.9</v>
          </cell>
          <cell r="CG95">
            <v>-1.2</v>
          </cell>
          <cell r="CH95">
            <v>0.6</v>
          </cell>
          <cell r="CI95">
            <v>-0.2</v>
          </cell>
          <cell r="CJ95">
            <v>1.9</v>
          </cell>
          <cell r="CM95">
            <v>2.6</v>
          </cell>
          <cell r="CP95">
            <v>1</v>
          </cell>
          <cell r="CS95">
            <v>2</v>
          </cell>
          <cell r="CV95">
            <v>2</v>
          </cell>
          <cell r="CW95">
            <v>2</v>
          </cell>
          <cell r="CX95">
            <v>1.6</v>
          </cell>
          <cell r="CY95">
            <v>1.2</v>
          </cell>
          <cell r="CZ95">
            <v>0.8</v>
          </cell>
          <cell r="DA95">
            <v>0.3</v>
          </cell>
          <cell r="DB95">
            <v>0.2</v>
          </cell>
          <cell r="DC95">
            <v>1.3</v>
          </cell>
          <cell r="DD95">
            <v>1.1000000000000001</v>
          </cell>
          <cell r="DE95">
            <v>0.9</v>
          </cell>
          <cell r="DF95">
            <v>0.7</v>
          </cell>
          <cell r="DG95">
            <v>3795</v>
          </cell>
          <cell r="DH95">
            <v>812</v>
          </cell>
          <cell r="DI95">
            <v>4428</v>
          </cell>
          <cell r="DN95">
            <v>3750</v>
          </cell>
          <cell r="DP95">
            <v>4349</v>
          </cell>
          <cell r="DQ95">
            <v>4063</v>
          </cell>
          <cell r="DR95">
            <v>3546</v>
          </cell>
          <cell r="DS95">
            <v>2519</v>
          </cell>
          <cell r="DT95">
            <v>3090</v>
          </cell>
          <cell r="DV95">
            <v>18132</v>
          </cell>
          <cell r="DW95">
            <v>2490</v>
          </cell>
          <cell r="DX95">
            <v>94</v>
          </cell>
          <cell r="DY95">
            <v>2400</v>
          </cell>
          <cell r="DZ95">
            <v>4770</v>
          </cell>
          <cell r="ED95">
            <v>10020</v>
          </cell>
          <cell r="EE95">
            <v>6253</v>
          </cell>
          <cell r="EF95">
            <v>5661</v>
          </cell>
          <cell r="EG95">
            <v>3595</v>
          </cell>
          <cell r="EH95">
            <v>1833</v>
          </cell>
          <cell r="EI95">
            <v>373</v>
          </cell>
          <cell r="EJ95">
            <v>1137</v>
          </cell>
          <cell r="EK95">
            <v>3167</v>
          </cell>
          <cell r="EL95">
            <v>6346</v>
          </cell>
          <cell r="EO95">
            <v>1383</v>
          </cell>
          <cell r="ER95">
            <v>5843</v>
          </cell>
          <cell r="EU95">
            <v>2977</v>
          </cell>
          <cell r="EX95">
            <v>4676</v>
          </cell>
          <cell r="EY95">
            <v>2982</v>
          </cell>
          <cell r="EZ95">
            <v>8868</v>
          </cell>
          <cell r="FA95">
            <v>8717</v>
          </cell>
          <cell r="FB95">
            <v>6455</v>
          </cell>
          <cell r="FC95">
            <v>1018</v>
          </cell>
          <cell r="FD95">
            <v>3116</v>
          </cell>
          <cell r="FE95">
            <v>13963</v>
          </cell>
          <cell r="FF95">
            <v>123528</v>
          </cell>
          <cell r="FG95">
            <v>12496</v>
          </cell>
          <cell r="FH95">
            <v>2365</v>
          </cell>
          <cell r="FI95">
            <v>136989</v>
          </cell>
          <cell r="FJ95">
            <v>-12.4</v>
          </cell>
          <cell r="FK95">
            <v>6.2</v>
          </cell>
          <cell r="FL95">
            <v>-10.6</v>
          </cell>
          <cell r="FQ95">
            <v>8.5</v>
          </cell>
          <cell r="FS95">
            <v>8.6</v>
          </cell>
          <cell r="FT95">
            <v>0</v>
          </cell>
          <cell r="FU95">
            <v>0.1</v>
          </cell>
          <cell r="FV95">
            <v>1.4</v>
          </cell>
          <cell r="FW95">
            <v>1.4</v>
          </cell>
          <cell r="FY95">
            <v>0.6</v>
          </cell>
          <cell r="FZ95">
            <v>2.5</v>
          </cell>
          <cell r="GA95">
            <v>-7.3</v>
          </cell>
          <cell r="GB95">
            <v>0.6</v>
          </cell>
          <cell r="GC95">
            <v>1.5</v>
          </cell>
          <cell r="GG95">
            <v>6.4</v>
          </cell>
          <cell r="GH95">
            <v>2.6</v>
          </cell>
          <cell r="GI95">
            <v>3.9</v>
          </cell>
          <cell r="GJ95">
            <v>1</v>
          </cell>
          <cell r="GK95">
            <v>12.7</v>
          </cell>
          <cell r="GL95">
            <v>-1.7</v>
          </cell>
          <cell r="GM95">
            <v>-0.5</v>
          </cell>
          <cell r="GN95">
            <v>2.4</v>
          </cell>
          <cell r="GO95">
            <v>7</v>
          </cell>
          <cell r="GR95">
            <v>3.9</v>
          </cell>
          <cell r="GU95">
            <v>-1.4</v>
          </cell>
          <cell r="GX95">
            <v>-0.8</v>
          </cell>
          <cell r="HA95">
            <v>-0.8</v>
          </cell>
          <cell r="HB95">
            <v>-0.8</v>
          </cell>
          <cell r="HC95">
            <v>0.4</v>
          </cell>
          <cell r="HD95">
            <v>3.5</v>
          </cell>
          <cell r="HE95">
            <v>0.4</v>
          </cell>
          <cell r="HF95">
            <v>2.2999999999999998</v>
          </cell>
          <cell r="HG95">
            <v>0.6</v>
          </cell>
          <cell r="HH95">
            <v>1.3</v>
          </cell>
          <cell r="HI95">
            <v>1.6</v>
          </cell>
          <cell r="HJ95">
            <v>7.1</v>
          </cell>
          <cell r="HK95">
            <v>0.5</v>
          </cell>
          <cell r="HL95">
            <v>2982</v>
          </cell>
          <cell r="HM95">
            <v>838</v>
          </cell>
          <cell r="HN95">
            <v>3604</v>
          </cell>
          <cell r="HS95">
            <v>3834</v>
          </cell>
          <cell r="HU95">
            <v>4448</v>
          </cell>
          <cell r="HV95">
            <v>4042</v>
          </cell>
          <cell r="HW95">
            <v>3644</v>
          </cell>
          <cell r="HX95">
            <v>2585</v>
          </cell>
          <cell r="HY95">
            <v>3223</v>
          </cell>
          <cell r="IA95">
            <v>18696</v>
          </cell>
          <cell r="IB95">
            <v>2721</v>
          </cell>
          <cell r="IC95">
            <v>109</v>
          </cell>
          <cell r="ID95">
            <v>2232</v>
          </cell>
          <cell r="IE95">
            <v>4966</v>
          </cell>
          <cell r="II95">
            <v>9866</v>
          </cell>
          <cell r="IJ95">
            <v>6320</v>
          </cell>
          <cell r="IK95">
            <v>5601</v>
          </cell>
          <cell r="IL95">
            <v>3497</v>
          </cell>
          <cell r="IM95">
            <v>1907</v>
          </cell>
          <cell r="IN95">
            <v>388</v>
          </cell>
          <cell r="IO95">
            <v>1173</v>
          </cell>
          <cell r="IP95">
            <v>3185</v>
          </cell>
          <cell r="IQ95">
            <v>6560</v>
          </cell>
        </row>
        <row r="96">
          <cell r="B96">
            <v>3640</v>
          </cell>
          <cell r="C96">
            <v>817</v>
          </cell>
          <cell r="D96">
            <v>4270</v>
          </cell>
          <cell r="I96">
            <v>3784</v>
          </cell>
          <cell r="K96">
            <v>4398</v>
          </cell>
          <cell r="L96">
            <v>4090</v>
          </cell>
          <cell r="M96">
            <v>3602</v>
          </cell>
          <cell r="N96">
            <v>2640</v>
          </cell>
          <cell r="O96">
            <v>3133</v>
          </cell>
          <cell r="Q96">
            <v>18476</v>
          </cell>
          <cell r="R96">
            <v>2557</v>
          </cell>
          <cell r="S96">
            <v>96</v>
          </cell>
          <cell r="T96">
            <v>2376</v>
          </cell>
          <cell r="U96">
            <v>4840</v>
          </cell>
          <cell r="Y96">
            <v>10011</v>
          </cell>
          <cell r="Z96">
            <v>6182</v>
          </cell>
          <cell r="AA96">
            <v>5741</v>
          </cell>
          <cell r="AB96">
            <v>3642</v>
          </cell>
          <cell r="AC96">
            <v>1838</v>
          </cell>
          <cell r="AD96">
            <v>373</v>
          </cell>
          <cell r="AE96">
            <v>1164</v>
          </cell>
          <cell r="AF96">
            <v>3147</v>
          </cell>
          <cell r="AG96">
            <v>6361</v>
          </cell>
          <cell r="AJ96">
            <v>1408</v>
          </cell>
          <cell r="AM96">
            <v>6173</v>
          </cell>
          <cell r="AP96">
            <v>3073</v>
          </cell>
          <cell r="AS96">
            <v>4828</v>
          </cell>
          <cell r="AT96">
            <v>3078</v>
          </cell>
          <cell r="AU96">
            <v>9048</v>
          </cell>
          <cell r="AV96">
            <v>8754</v>
          </cell>
          <cell r="AW96">
            <v>6488</v>
          </cell>
          <cell r="AX96">
            <v>1013</v>
          </cell>
          <cell r="AY96">
            <v>3100</v>
          </cell>
          <cell r="AZ96">
            <v>14155</v>
          </cell>
          <cell r="BA96">
            <v>125008</v>
          </cell>
          <cell r="BB96">
            <v>12268</v>
          </cell>
          <cell r="BC96">
            <v>2865</v>
          </cell>
          <cell r="BD96">
            <v>138670</v>
          </cell>
          <cell r="BE96">
            <v>-6.4</v>
          </cell>
          <cell r="BF96">
            <v>1.6</v>
          </cell>
          <cell r="BG96">
            <v>-5.5</v>
          </cell>
          <cell r="BL96">
            <v>4</v>
          </cell>
          <cell r="BN96">
            <v>4.2</v>
          </cell>
          <cell r="BO96">
            <v>-0.5</v>
          </cell>
          <cell r="BP96">
            <v>1.3</v>
          </cell>
          <cell r="BQ96">
            <v>2.7</v>
          </cell>
          <cell r="BR96">
            <v>1.6</v>
          </cell>
          <cell r="BT96">
            <v>1</v>
          </cell>
          <cell r="BU96">
            <v>2.2999999999999998</v>
          </cell>
          <cell r="BV96">
            <v>1.3</v>
          </cell>
          <cell r="BW96">
            <v>-1</v>
          </cell>
          <cell r="BX96">
            <v>1.2</v>
          </cell>
          <cell r="CB96">
            <v>1.3</v>
          </cell>
          <cell r="CC96">
            <v>-0.1</v>
          </cell>
          <cell r="CD96">
            <v>1.9</v>
          </cell>
          <cell r="CE96">
            <v>1.2</v>
          </cell>
          <cell r="CF96">
            <v>4.9000000000000004</v>
          </cell>
          <cell r="CG96">
            <v>-0.9</v>
          </cell>
          <cell r="CH96">
            <v>0.4</v>
          </cell>
          <cell r="CI96">
            <v>0.2</v>
          </cell>
          <cell r="CJ96">
            <v>2.7</v>
          </cell>
          <cell r="CM96">
            <v>2.5</v>
          </cell>
          <cell r="CP96">
            <v>3.3</v>
          </cell>
          <cell r="CS96">
            <v>2.1</v>
          </cell>
          <cell r="CV96">
            <v>2.1</v>
          </cell>
          <cell r="CW96">
            <v>2.1</v>
          </cell>
          <cell r="CX96">
            <v>1.4</v>
          </cell>
          <cell r="CY96">
            <v>1.1000000000000001</v>
          </cell>
          <cell r="CZ96">
            <v>0.8</v>
          </cell>
          <cell r="DA96">
            <v>0.1</v>
          </cell>
          <cell r="DB96">
            <v>-0.2</v>
          </cell>
          <cell r="DC96">
            <v>1.3</v>
          </cell>
          <cell r="DD96">
            <v>1.2</v>
          </cell>
          <cell r="DE96">
            <v>1.4</v>
          </cell>
          <cell r="DF96">
            <v>0.9</v>
          </cell>
          <cell r="DG96">
            <v>3655</v>
          </cell>
          <cell r="DH96">
            <v>827</v>
          </cell>
          <cell r="DI96">
            <v>4292</v>
          </cell>
          <cell r="DN96">
            <v>3695</v>
          </cell>
          <cell r="DP96">
            <v>4292</v>
          </cell>
          <cell r="DQ96">
            <v>4154</v>
          </cell>
          <cell r="DR96">
            <v>3604</v>
          </cell>
          <cell r="DS96">
            <v>2689</v>
          </cell>
          <cell r="DT96">
            <v>3136</v>
          </cell>
          <cell r="DV96">
            <v>18662</v>
          </cell>
          <cell r="DW96">
            <v>2587</v>
          </cell>
          <cell r="DX96">
            <v>91</v>
          </cell>
          <cell r="DY96">
            <v>2404</v>
          </cell>
          <cell r="DZ96">
            <v>4883</v>
          </cell>
          <cell r="ED96">
            <v>10113</v>
          </cell>
          <cell r="EE96">
            <v>6204</v>
          </cell>
          <cell r="EF96">
            <v>5793</v>
          </cell>
          <cell r="EG96">
            <v>3649</v>
          </cell>
          <cell r="EH96">
            <v>1846</v>
          </cell>
          <cell r="EI96">
            <v>374</v>
          </cell>
          <cell r="EJ96">
            <v>1202</v>
          </cell>
          <cell r="EK96">
            <v>3127</v>
          </cell>
          <cell r="EL96">
            <v>6392</v>
          </cell>
          <cell r="EO96">
            <v>1406</v>
          </cell>
          <cell r="ER96">
            <v>6213</v>
          </cell>
          <cell r="EU96">
            <v>3074</v>
          </cell>
          <cell r="EX96">
            <v>4829</v>
          </cell>
          <cell r="EY96">
            <v>3079</v>
          </cell>
          <cell r="EZ96">
            <v>9089</v>
          </cell>
          <cell r="FA96">
            <v>8807</v>
          </cell>
          <cell r="FB96">
            <v>6420</v>
          </cell>
          <cell r="FC96">
            <v>1017</v>
          </cell>
          <cell r="FD96">
            <v>3098</v>
          </cell>
          <cell r="FE96">
            <v>14153</v>
          </cell>
          <cell r="FF96">
            <v>125640</v>
          </cell>
          <cell r="FG96">
            <v>11999</v>
          </cell>
          <cell r="FH96">
            <v>2242</v>
          </cell>
          <cell r="FI96">
            <v>139348</v>
          </cell>
          <cell r="FJ96">
            <v>-3.7</v>
          </cell>
          <cell r="FK96">
            <v>1.8</v>
          </cell>
          <cell r="FL96">
            <v>-3.1</v>
          </cell>
          <cell r="FQ96">
            <v>-1.4</v>
          </cell>
          <cell r="FS96">
            <v>-1.3</v>
          </cell>
          <cell r="FT96">
            <v>2.2000000000000002</v>
          </cell>
          <cell r="FU96">
            <v>1.6</v>
          </cell>
          <cell r="FV96">
            <v>6.7</v>
          </cell>
          <cell r="FW96">
            <v>1.5</v>
          </cell>
          <cell r="FY96">
            <v>2.9</v>
          </cell>
          <cell r="FZ96">
            <v>3.9</v>
          </cell>
          <cell r="GA96">
            <v>-3.2</v>
          </cell>
          <cell r="GB96">
            <v>0.2</v>
          </cell>
          <cell r="GC96">
            <v>2.4</v>
          </cell>
          <cell r="GG96">
            <v>0.9</v>
          </cell>
          <cell r="GH96">
            <v>-0.8</v>
          </cell>
          <cell r="GI96">
            <v>2.2999999999999998</v>
          </cell>
          <cell r="GJ96">
            <v>1.5</v>
          </cell>
          <cell r="GK96">
            <v>0.7</v>
          </cell>
          <cell r="GL96">
            <v>0.3</v>
          </cell>
          <cell r="GM96">
            <v>5.8</v>
          </cell>
          <cell r="GN96">
            <v>-1.3</v>
          </cell>
          <cell r="GO96">
            <v>0.7</v>
          </cell>
          <cell r="GR96">
            <v>1.6</v>
          </cell>
          <cell r="GU96">
            <v>6.3</v>
          </cell>
          <cell r="GX96">
            <v>3.3</v>
          </cell>
          <cell r="HA96">
            <v>3.3</v>
          </cell>
          <cell r="HB96">
            <v>3.3</v>
          </cell>
          <cell r="HC96">
            <v>2.5</v>
          </cell>
          <cell r="HD96">
            <v>1</v>
          </cell>
          <cell r="HE96">
            <v>-0.5</v>
          </cell>
          <cell r="HF96">
            <v>-0.2</v>
          </cell>
          <cell r="HG96">
            <v>-0.6</v>
          </cell>
          <cell r="HH96">
            <v>1.4</v>
          </cell>
          <cell r="HI96">
            <v>1.7</v>
          </cell>
          <cell r="HJ96">
            <v>-4</v>
          </cell>
          <cell r="HK96">
            <v>1.7</v>
          </cell>
          <cell r="HL96">
            <v>7015</v>
          </cell>
          <cell r="HM96">
            <v>838</v>
          </cell>
          <cell r="HN96">
            <v>7768</v>
          </cell>
          <cell r="HS96">
            <v>3767</v>
          </cell>
          <cell r="HU96">
            <v>4355</v>
          </cell>
          <cell r="HV96">
            <v>4467</v>
          </cell>
          <cell r="HW96">
            <v>3747</v>
          </cell>
          <cell r="HX96">
            <v>2802</v>
          </cell>
          <cell r="HY96">
            <v>3315</v>
          </cell>
          <cell r="IA96">
            <v>19575</v>
          </cell>
          <cell r="IB96">
            <v>2468</v>
          </cell>
          <cell r="IC96">
            <v>85</v>
          </cell>
          <cell r="ID96">
            <v>2543</v>
          </cell>
          <cell r="IE96">
            <v>4819</v>
          </cell>
          <cell r="II96">
            <v>10468</v>
          </cell>
          <cell r="IJ96">
            <v>6421</v>
          </cell>
          <cell r="IK96">
            <v>6274</v>
          </cell>
          <cell r="IL96">
            <v>3952</v>
          </cell>
          <cell r="IM96">
            <v>1923</v>
          </cell>
          <cell r="IN96">
            <v>373</v>
          </cell>
          <cell r="IO96">
            <v>1207</v>
          </cell>
          <cell r="IP96">
            <v>3208</v>
          </cell>
          <cell r="IQ96">
            <v>6562</v>
          </cell>
        </row>
        <row r="97">
          <cell r="B97">
            <v>3546</v>
          </cell>
          <cell r="C97">
            <v>811</v>
          </cell>
          <cell r="D97">
            <v>4170</v>
          </cell>
          <cell r="I97">
            <v>3801</v>
          </cell>
          <cell r="K97">
            <v>4418</v>
          </cell>
          <cell r="L97">
            <v>4004</v>
          </cell>
          <cell r="M97">
            <v>3659</v>
          </cell>
          <cell r="N97">
            <v>2735</v>
          </cell>
          <cell r="O97">
            <v>3213</v>
          </cell>
          <cell r="Q97">
            <v>18654</v>
          </cell>
          <cell r="R97">
            <v>2608</v>
          </cell>
          <cell r="S97">
            <v>105</v>
          </cell>
          <cell r="T97">
            <v>2338</v>
          </cell>
          <cell r="U97">
            <v>4896</v>
          </cell>
          <cell r="Y97">
            <v>10019</v>
          </cell>
          <cell r="Z97">
            <v>6155</v>
          </cell>
          <cell r="AA97">
            <v>5834</v>
          </cell>
          <cell r="AB97">
            <v>3694</v>
          </cell>
          <cell r="AC97">
            <v>1857</v>
          </cell>
          <cell r="AD97">
            <v>369</v>
          </cell>
          <cell r="AE97">
            <v>1160</v>
          </cell>
          <cell r="AF97">
            <v>3081</v>
          </cell>
          <cell r="AG97">
            <v>6359</v>
          </cell>
          <cell r="AJ97">
            <v>1448</v>
          </cell>
          <cell r="AM97">
            <v>6401</v>
          </cell>
          <cell r="AP97">
            <v>3139</v>
          </cell>
          <cell r="AS97">
            <v>4932</v>
          </cell>
          <cell r="AT97">
            <v>3145</v>
          </cell>
          <cell r="AU97">
            <v>9181</v>
          </cell>
          <cell r="AV97">
            <v>8775</v>
          </cell>
          <cell r="AW97">
            <v>6509</v>
          </cell>
          <cell r="AX97">
            <v>1025</v>
          </cell>
          <cell r="AY97">
            <v>3104</v>
          </cell>
          <cell r="AZ97">
            <v>14356</v>
          </cell>
          <cell r="BA97">
            <v>126086</v>
          </cell>
          <cell r="BB97">
            <v>12340</v>
          </cell>
          <cell r="BC97">
            <v>2963</v>
          </cell>
          <cell r="BD97">
            <v>140440</v>
          </cell>
          <cell r="BE97">
            <v>-2.6</v>
          </cell>
          <cell r="BF97">
            <v>-0.7</v>
          </cell>
          <cell r="BG97">
            <v>-2.2999999999999998</v>
          </cell>
          <cell r="BL97">
            <v>0.5</v>
          </cell>
          <cell r="BN97">
            <v>0.4</v>
          </cell>
          <cell r="BO97">
            <v>-2.1</v>
          </cell>
          <cell r="BP97">
            <v>1.6</v>
          </cell>
          <cell r="BQ97">
            <v>3.6</v>
          </cell>
          <cell r="BR97">
            <v>2.5</v>
          </cell>
          <cell r="BT97">
            <v>1</v>
          </cell>
          <cell r="BU97">
            <v>2</v>
          </cell>
          <cell r="BV97">
            <v>9.1999999999999993</v>
          </cell>
          <cell r="BW97">
            <v>-1.6</v>
          </cell>
          <cell r="BX97">
            <v>1.2</v>
          </cell>
          <cell r="CB97">
            <v>0.1</v>
          </cell>
          <cell r="CC97">
            <v>-0.4</v>
          </cell>
          <cell r="CD97">
            <v>1.6</v>
          </cell>
          <cell r="CE97">
            <v>1.4</v>
          </cell>
          <cell r="CF97">
            <v>1</v>
          </cell>
          <cell r="CG97">
            <v>-1.1000000000000001</v>
          </cell>
          <cell r="CH97">
            <v>-0.3</v>
          </cell>
          <cell r="CI97">
            <v>-2.1</v>
          </cell>
          <cell r="CJ97">
            <v>0</v>
          </cell>
          <cell r="CM97">
            <v>2.9</v>
          </cell>
          <cell r="CP97">
            <v>3.7</v>
          </cell>
          <cell r="CS97">
            <v>2.2000000000000002</v>
          </cell>
          <cell r="CV97">
            <v>2.2000000000000002</v>
          </cell>
          <cell r="CW97">
            <v>2.2000000000000002</v>
          </cell>
          <cell r="CX97">
            <v>1.5</v>
          </cell>
          <cell r="CY97">
            <v>0.2</v>
          </cell>
          <cell r="CZ97">
            <v>0.3</v>
          </cell>
          <cell r="DA97">
            <v>1.2</v>
          </cell>
          <cell r="DB97">
            <v>0.1</v>
          </cell>
          <cell r="DC97">
            <v>1.4</v>
          </cell>
          <cell r="DD97">
            <v>0.9</v>
          </cell>
          <cell r="DE97">
            <v>0.6</v>
          </cell>
          <cell r="DF97">
            <v>1.3</v>
          </cell>
          <cell r="DG97">
            <v>3521</v>
          </cell>
          <cell r="DH97">
            <v>798</v>
          </cell>
          <cell r="DI97">
            <v>4135</v>
          </cell>
          <cell r="DN97">
            <v>3920</v>
          </cell>
          <cell r="DP97">
            <v>4568</v>
          </cell>
          <cell r="DQ97">
            <v>4035</v>
          </cell>
          <cell r="DR97">
            <v>3686</v>
          </cell>
          <cell r="DS97">
            <v>2744</v>
          </cell>
          <cell r="DT97">
            <v>3199</v>
          </cell>
          <cell r="DV97">
            <v>18696</v>
          </cell>
          <cell r="DW97">
            <v>2590</v>
          </cell>
          <cell r="DX97">
            <v>109</v>
          </cell>
          <cell r="DY97">
            <v>2320</v>
          </cell>
          <cell r="DZ97">
            <v>4870</v>
          </cell>
          <cell r="ED97">
            <v>9974</v>
          </cell>
          <cell r="EE97">
            <v>6129</v>
          </cell>
          <cell r="EF97">
            <v>5768</v>
          </cell>
          <cell r="EG97">
            <v>3687</v>
          </cell>
          <cell r="EH97">
            <v>1810</v>
          </cell>
          <cell r="EI97">
            <v>374</v>
          </cell>
          <cell r="EJ97">
            <v>1140</v>
          </cell>
          <cell r="EK97">
            <v>3139</v>
          </cell>
          <cell r="EL97">
            <v>6295</v>
          </cell>
          <cell r="EO97">
            <v>1440</v>
          </cell>
          <cell r="ER97">
            <v>6428</v>
          </cell>
          <cell r="EU97">
            <v>3155</v>
          </cell>
          <cell r="EX97">
            <v>4956</v>
          </cell>
          <cell r="EY97">
            <v>3160</v>
          </cell>
          <cell r="EZ97">
            <v>9194</v>
          </cell>
          <cell r="FA97">
            <v>8734</v>
          </cell>
          <cell r="FB97">
            <v>6575</v>
          </cell>
          <cell r="FC97">
            <v>1013</v>
          </cell>
          <cell r="FD97">
            <v>3084</v>
          </cell>
          <cell r="FE97">
            <v>14353</v>
          </cell>
          <cell r="FF97">
            <v>126009</v>
          </cell>
          <cell r="FG97">
            <v>12524</v>
          </cell>
          <cell r="FH97">
            <v>3902</v>
          </cell>
          <cell r="FI97">
            <v>139885</v>
          </cell>
          <cell r="FJ97">
            <v>-3.7</v>
          </cell>
          <cell r="FK97">
            <v>-3.5</v>
          </cell>
          <cell r="FL97">
            <v>-3.7</v>
          </cell>
          <cell r="FQ97">
            <v>6.1</v>
          </cell>
          <cell r="FS97">
            <v>6.4</v>
          </cell>
          <cell r="FT97">
            <v>-2.9</v>
          </cell>
          <cell r="FU97">
            <v>2.2999999999999998</v>
          </cell>
          <cell r="FV97">
            <v>2</v>
          </cell>
          <cell r="FW97">
            <v>2</v>
          </cell>
          <cell r="FY97">
            <v>0.2</v>
          </cell>
          <cell r="FZ97">
            <v>0.1</v>
          </cell>
          <cell r="GA97">
            <v>19.5</v>
          </cell>
          <cell r="GB97">
            <v>-3.5</v>
          </cell>
          <cell r="GC97">
            <v>-0.3</v>
          </cell>
          <cell r="GG97">
            <v>-1.4</v>
          </cell>
          <cell r="GH97">
            <v>-1.2</v>
          </cell>
          <cell r="GI97">
            <v>-0.4</v>
          </cell>
          <cell r="GJ97">
            <v>1</v>
          </cell>
          <cell r="GK97">
            <v>-2</v>
          </cell>
          <cell r="GL97">
            <v>0</v>
          </cell>
          <cell r="GM97">
            <v>-5.2</v>
          </cell>
          <cell r="GN97">
            <v>0.4</v>
          </cell>
          <cell r="GO97">
            <v>-1.5</v>
          </cell>
          <cell r="GR97">
            <v>2.4</v>
          </cell>
          <cell r="GU97">
            <v>3.4</v>
          </cell>
          <cell r="GX97">
            <v>2.6</v>
          </cell>
          <cell r="HA97">
            <v>2.6</v>
          </cell>
          <cell r="HB97">
            <v>2.6</v>
          </cell>
          <cell r="HC97">
            <v>1.2</v>
          </cell>
          <cell r="HD97">
            <v>-0.8</v>
          </cell>
          <cell r="HE97">
            <v>2.4</v>
          </cell>
          <cell r="HF97">
            <v>-0.3</v>
          </cell>
          <cell r="HG97">
            <v>-0.5</v>
          </cell>
          <cell r="HH97">
            <v>1.4</v>
          </cell>
          <cell r="HI97">
            <v>0.3</v>
          </cell>
          <cell r="HJ97">
            <v>4.4000000000000004</v>
          </cell>
          <cell r="HK97">
            <v>0.4</v>
          </cell>
          <cell r="HL97">
            <v>2872</v>
          </cell>
          <cell r="HM97">
            <v>746</v>
          </cell>
          <cell r="HN97">
            <v>3433</v>
          </cell>
          <cell r="HS97">
            <v>3785</v>
          </cell>
          <cell r="HU97">
            <v>4439</v>
          </cell>
          <cell r="HV97">
            <v>3892</v>
          </cell>
          <cell r="HW97">
            <v>3447</v>
          </cell>
          <cell r="HX97">
            <v>2578</v>
          </cell>
          <cell r="HY97">
            <v>2842</v>
          </cell>
          <cell r="IA97">
            <v>17293</v>
          </cell>
          <cell r="IB97">
            <v>2422</v>
          </cell>
          <cell r="IC97">
            <v>93</v>
          </cell>
          <cell r="ID97">
            <v>2501</v>
          </cell>
          <cell r="IE97">
            <v>4754</v>
          </cell>
          <cell r="II97">
            <v>9216</v>
          </cell>
          <cell r="IJ97">
            <v>5889</v>
          </cell>
          <cell r="IK97">
            <v>5403</v>
          </cell>
          <cell r="IL97">
            <v>3668</v>
          </cell>
          <cell r="IM97">
            <v>1688</v>
          </cell>
          <cell r="IN97">
            <v>372</v>
          </cell>
          <cell r="IO97">
            <v>1080</v>
          </cell>
          <cell r="IP97">
            <v>3056</v>
          </cell>
          <cell r="IQ97">
            <v>5993</v>
          </cell>
        </row>
        <row r="98">
          <cell r="B98">
            <v>3732</v>
          </cell>
          <cell r="C98">
            <v>792</v>
          </cell>
          <cell r="D98">
            <v>4350</v>
          </cell>
          <cell r="I98">
            <v>3730</v>
          </cell>
          <cell r="K98">
            <v>4314</v>
          </cell>
          <cell r="L98">
            <v>3931</v>
          </cell>
          <cell r="M98">
            <v>3726</v>
          </cell>
          <cell r="N98">
            <v>2763</v>
          </cell>
          <cell r="O98">
            <v>3273</v>
          </cell>
          <cell r="Q98">
            <v>18754</v>
          </cell>
          <cell r="R98">
            <v>2636</v>
          </cell>
          <cell r="S98">
            <v>122</v>
          </cell>
          <cell r="T98">
            <v>2303</v>
          </cell>
          <cell r="U98">
            <v>4941</v>
          </cell>
          <cell r="Y98">
            <v>10093</v>
          </cell>
          <cell r="Z98">
            <v>6166</v>
          </cell>
          <cell r="AA98">
            <v>5901</v>
          </cell>
          <cell r="AB98">
            <v>3739</v>
          </cell>
          <cell r="AC98">
            <v>1861</v>
          </cell>
          <cell r="AD98">
            <v>366</v>
          </cell>
          <cell r="AE98">
            <v>1144</v>
          </cell>
          <cell r="AF98">
            <v>2969</v>
          </cell>
          <cell r="AG98">
            <v>6307</v>
          </cell>
          <cell r="AJ98">
            <v>1488</v>
          </cell>
          <cell r="AM98">
            <v>6445</v>
          </cell>
          <cell r="AP98">
            <v>3210</v>
          </cell>
          <cell r="AS98">
            <v>5042</v>
          </cell>
          <cell r="AT98">
            <v>3215</v>
          </cell>
          <cell r="AU98">
            <v>9286</v>
          </cell>
          <cell r="AV98">
            <v>8768</v>
          </cell>
          <cell r="AW98">
            <v>6500</v>
          </cell>
          <cell r="AX98">
            <v>1048</v>
          </cell>
          <cell r="AY98">
            <v>3119</v>
          </cell>
          <cell r="AZ98">
            <v>14548</v>
          </cell>
          <cell r="BA98">
            <v>127042</v>
          </cell>
          <cell r="BB98">
            <v>12432</v>
          </cell>
          <cell r="BC98">
            <v>2272</v>
          </cell>
          <cell r="BD98">
            <v>142462</v>
          </cell>
          <cell r="BE98">
            <v>5.2</v>
          </cell>
          <cell r="BF98">
            <v>-2.2999999999999998</v>
          </cell>
          <cell r="BG98">
            <v>4.3</v>
          </cell>
          <cell r="BL98">
            <v>-1.9</v>
          </cell>
          <cell r="BN98">
            <v>-2.2999999999999998</v>
          </cell>
          <cell r="BO98">
            <v>-1.8</v>
          </cell>
          <cell r="BP98">
            <v>1.8</v>
          </cell>
          <cell r="BQ98">
            <v>1</v>
          </cell>
          <cell r="BR98">
            <v>1.9</v>
          </cell>
          <cell r="BT98">
            <v>0.5</v>
          </cell>
          <cell r="BU98">
            <v>1.1000000000000001</v>
          </cell>
          <cell r="BV98">
            <v>15.7</v>
          </cell>
          <cell r="BW98">
            <v>-1.5</v>
          </cell>
          <cell r="BX98">
            <v>0.9</v>
          </cell>
          <cell r="CB98">
            <v>0.7</v>
          </cell>
          <cell r="CC98">
            <v>0.2</v>
          </cell>
          <cell r="CD98">
            <v>1.1000000000000001</v>
          </cell>
          <cell r="CE98">
            <v>1.2</v>
          </cell>
          <cell r="CF98">
            <v>0.2</v>
          </cell>
          <cell r="CG98">
            <v>-0.8</v>
          </cell>
          <cell r="CH98">
            <v>-1.4</v>
          </cell>
          <cell r="CI98">
            <v>-3.6</v>
          </cell>
          <cell r="CJ98">
            <v>-0.8</v>
          </cell>
          <cell r="CM98">
            <v>2.8</v>
          </cell>
          <cell r="CP98">
            <v>0.7</v>
          </cell>
          <cell r="CS98">
            <v>2.2000000000000002</v>
          </cell>
          <cell r="CV98">
            <v>2.2000000000000002</v>
          </cell>
          <cell r="CW98">
            <v>2.2000000000000002</v>
          </cell>
          <cell r="CX98">
            <v>1.1000000000000001</v>
          </cell>
          <cell r="CY98">
            <v>-0.1</v>
          </cell>
          <cell r="CZ98">
            <v>-0.1</v>
          </cell>
          <cell r="DA98">
            <v>2.2999999999999998</v>
          </cell>
          <cell r="DB98">
            <v>0.5</v>
          </cell>
          <cell r="DC98">
            <v>1.3</v>
          </cell>
          <cell r="DD98">
            <v>0.8</v>
          </cell>
          <cell r="DE98">
            <v>0.7</v>
          </cell>
          <cell r="DF98">
            <v>1.4</v>
          </cell>
          <cell r="DG98">
            <v>3620</v>
          </cell>
          <cell r="DH98">
            <v>802</v>
          </cell>
          <cell r="DI98">
            <v>4241</v>
          </cell>
          <cell r="DN98">
            <v>3731</v>
          </cell>
          <cell r="DP98">
            <v>4314</v>
          </cell>
          <cell r="DQ98">
            <v>3830</v>
          </cell>
          <cell r="DR98">
            <v>3703</v>
          </cell>
          <cell r="DS98">
            <v>2744</v>
          </cell>
          <cell r="DT98">
            <v>3302</v>
          </cell>
          <cell r="DV98">
            <v>18616</v>
          </cell>
          <cell r="DW98">
            <v>2641</v>
          </cell>
          <cell r="DX98">
            <v>119</v>
          </cell>
          <cell r="DY98">
            <v>2282</v>
          </cell>
          <cell r="DZ98">
            <v>4928</v>
          </cell>
          <cell r="ED98">
            <v>9857</v>
          </cell>
          <cell r="EE98">
            <v>6143</v>
          </cell>
          <cell r="EF98">
            <v>5926</v>
          </cell>
          <cell r="EG98">
            <v>3737</v>
          </cell>
          <cell r="EH98">
            <v>1894</v>
          </cell>
          <cell r="EI98">
            <v>361</v>
          </cell>
          <cell r="EJ98">
            <v>1145</v>
          </cell>
          <cell r="EK98">
            <v>2977</v>
          </cell>
          <cell r="EL98">
            <v>6360</v>
          </cell>
          <cell r="EO98">
            <v>1490</v>
          </cell>
          <cell r="ER98">
            <v>6508</v>
          </cell>
          <cell r="EU98">
            <v>3206</v>
          </cell>
          <cell r="EX98">
            <v>5036</v>
          </cell>
          <cell r="EY98">
            <v>3211</v>
          </cell>
          <cell r="EZ98">
            <v>9194</v>
          </cell>
          <cell r="FA98">
            <v>8773</v>
          </cell>
          <cell r="FB98">
            <v>6507</v>
          </cell>
          <cell r="FC98">
            <v>1045</v>
          </cell>
          <cell r="FD98">
            <v>3136</v>
          </cell>
          <cell r="FE98">
            <v>14536</v>
          </cell>
          <cell r="FF98">
            <v>126521</v>
          </cell>
          <cell r="FG98">
            <v>12360</v>
          </cell>
          <cell r="FH98">
            <v>2254</v>
          </cell>
          <cell r="FI98">
            <v>142053</v>
          </cell>
          <cell r="FJ98">
            <v>2.8</v>
          </cell>
          <cell r="FK98">
            <v>0.5</v>
          </cell>
          <cell r="FL98">
            <v>2.6</v>
          </cell>
          <cell r="FQ98">
            <v>-4.8</v>
          </cell>
          <cell r="FS98">
            <v>-5.6</v>
          </cell>
          <cell r="FT98">
            <v>-5.0999999999999996</v>
          </cell>
          <cell r="FU98">
            <v>0.5</v>
          </cell>
          <cell r="FV98">
            <v>0</v>
          </cell>
          <cell r="FW98">
            <v>3.2</v>
          </cell>
          <cell r="FY98">
            <v>-0.4</v>
          </cell>
          <cell r="FZ98">
            <v>2</v>
          </cell>
          <cell r="GA98">
            <v>9.3000000000000007</v>
          </cell>
          <cell r="GB98">
            <v>-1.7</v>
          </cell>
          <cell r="GC98">
            <v>1.2</v>
          </cell>
          <cell r="GG98">
            <v>-1.2</v>
          </cell>
          <cell r="GH98">
            <v>0.2</v>
          </cell>
          <cell r="GI98">
            <v>2.7</v>
          </cell>
          <cell r="GJ98">
            <v>1.3</v>
          </cell>
          <cell r="GK98">
            <v>4.5999999999999996</v>
          </cell>
          <cell r="GL98">
            <v>-3.4</v>
          </cell>
          <cell r="GM98">
            <v>0.4</v>
          </cell>
          <cell r="GN98">
            <v>-5.2</v>
          </cell>
          <cell r="GO98">
            <v>1</v>
          </cell>
          <cell r="GR98">
            <v>3.5</v>
          </cell>
          <cell r="GU98">
            <v>1.3</v>
          </cell>
          <cell r="GX98">
            <v>1.6</v>
          </cell>
          <cell r="HA98">
            <v>1.6</v>
          </cell>
          <cell r="HB98">
            <v>1.6</v>
          </cell>
          <cell r="HC98">
            <v>0</v>
          </cell>
          <cell r="HD98">
            <v>0.4</v>
          </cell>
          <cell r="HE98">
            <v>-1</v>
          </cell>
          <cell r="HF98">
            <v>3.1</v>
          </cell>
          <cell r="HG98">
            <v>1.7</v>
          </cell>
          <cell r="HH98">
            <v>1.3</v>
          </cell>
          <cell r="HI98">
            <v>0.4</v>
          </cell>
          <cell r="HJ98">
            <v>-1.3</v>
          </cell>
          <cell r="HK98">
            <v>1.5</v>
          </cell>
          <cell r="HL98">
            <v>1722</v>
          </cell>
          <cell r="HM98">
            <v>816</v>
          </cell>
          <cell r="HN98">
            <v>2291</v>
          </cell>
          <cell r="HS98">
            <v>3710</v>
          </cell>
          <cell r="HU98">
            <v>4282</v>
          </cell>
          <cell r="HV98">
            <v>3681</v>
          </cell>
          <cell r="HW98">
            <v>3702</v>
          </cell>
          <cell r="HX98">
            <v>2731</v>
          </cell>
          <cell r="HY98">
            <v>3347</v>
          </cell>
          <cell r="IA98">
            <v>18542</v>
          </cell>
          <cell r="IB98">
            <v>2698</v>
          </cell>
          <cell r="IC98">
            <v>127</v>
          </cell>
          <cell r="ID98">
            <v>2130</v>
          </cell>
          <cell r="IE98">
            <v>4911</v>
          </cell>
          <cell r="II98">
            <v>10414</v>
          </cell>
          <cell r="IJ98">
            <v>6099</v>
          </cell>
          <cell r="IK98">
            <v>5870</v>
          </cell>
          <cell r="IL98">
            <v>3551</v>
          </cell>
          <cell r="IM98">
            <v>1865</v>
          </cell>
          <cell r="IN98">
            <v>351</v>
          </cell>
          <cell r="IO98">
            <v>1164</v>
          </cell>
          <cell r="IP98">
            <v>2961</v>
          </cell>
          <cell r="IQ98">
            <v>6278</v>
          </cell>
        </row>
        <row r="99">
          <cell r="B99">
            <v>4052</v>
          </cell>
          <cell r="C99">
            <v>772</v>
          </cell>
          <cell r="D99">
            <v>4669</v>
          </cell>
          <cell r="I99">
            <v>3653</v>
          </cell>
          <cell r="K99">
            <v>4183</v>
          </cell>
          <cell r="L99">
            <v>3930</v>
          </cell>
          <cell r="M99">
            <v>3775</v>
          </cell>
          <cell r="N99">
            <v>2751</v>
          </cell>
          <cell r="O99">
            <v>3305</v>
          </cell>
          <cell r="Q99">
            <v>18866</v>
          </cell>
          <cell r="R99">
            <v>2655</v>
          </cell>
          <cell r="S99">
            <v>140</v>
          </cell>
          <cell r="T99">
            <v>2288</v>
          </cell>
          <cell r="U99">
            <v>4991</v>
          </cell>
          <cell r="Y99">
            <v>10348</v>
          </cell>
          <cell r="Z99">
            <v>6283</v>
          </cell>
          <cell r="AA99">
            <v>5953</v>
          </cell>
          <cell r="AB99">
            <v>3772</v>
          </cell>
          <cell r="AC99">
            <v>1874</v>
          </cell>
          <cell r="AD99">
            <v>368</v>
          </cell>
          <cell r="AE99">
            <v>1134</v>
          </cell>
          <cell r="AF99">
            <v>2909</v>
          </cell>
          <cell r="AG99">
            <v>6316</v>
          </cell>
          <cell r="AJ99">
            <v>1518</v>
          </cell>
          <cell r="AM99">
            <v>6326</v>
          </cell>
          <cell r="AP99">
            <v>3290</v>
          </cell>
          <cell r="AS99">
            <v>5168</v>
          </cell>
          <cell r="AT99">
            <v>3295</v>
          </cell>
          <cell r="AU99">
            <v>9334</v>
          </cell>
          <cell r="AV99">
            <v>8794</v>
          </cell>
          <cell r="AW99">
            <v>6502</v>
          </cell>
          <cell r="AX99">
            <v>1077</v>
          </cell>
          <cell r="AY99">
            <v>3139</v>
          </cell>
          <cell r="AZ99">
            <v>14701</v>
          </cell>
          <cell r="BA99">
            <v>128413</v>
          </cell>
          <cell r="BB99">
            <v>12648</v>
          </cell>
          <cell r="BC99">
            <v>906</v>
          </cell>
          <cell r="BD99">
            <v>143842</v>
          </cell>
          <cell r="BE99">
            <v>8.6</v>
          </cell>
          <cell r="BF99">
            <v>-2.5</v>
          </cell>
          <cell r="BG99">
            <v>7.3</v>
          </cell>
          <cell r="BL99">
            <v>-2.1</v>
          </cell>
          <cell r="BN99">
            <v>-3</v>
          </cell>
          <cell r="BO99">
            <v>0</v>
          </cell>
          <cell r="BP99">
            <v>1.3</v>
          </cell>
          <cell r="BQ99">
            <v>-0.4</v>
          </cell>
          <cell r="BR99">
            <v>1</v>
          </cell>
          <cell r="BT99">
            <v>0.6</v>
          </cell>
          <cell r="BU99">
            <v>0.7</v>
          </cell>
          <cell r="BV99">
            <v>15.3</v>
          </cell>
          <cell r="BW99">
            <v>-0.6</v>
          </cell>
          <cell r="BX99">
            <v>1</v>
          </cell>
          <cell r="CB99">
            <v>2.5</v>
          </cell>
          <cell r="CC99">
            <v>1.9</v>
          </cell>
          <cell r="CD99">
            <v>0.9</v>
          </cell>
          <cell r="CE99">
            <v>0.9</v>
          </cell>
          <cell r="CF99">
            <v>0.7</v>
          </cell>
          <cell r="CG99">
            <v>0.6</v>
          </cell>
          <cell r="CH99">
            <v>-0.9</v>
          </cell>
          <cell r="CI99">
            <v>-2</v>
          </cell>
          <cell r="CJ99">
            <v>0.1</v>
          </cell>
          <cell r="CM99">
            <v>2</v>
          </cell>
          <cell r="CP99">
            <v>-1.8</v>
          </cell>
          <cell r="CS99">
            <v>2.5</v>
          </cell>
          <cell r="CV99">
            <v>2.5</v>
          </cell>
          <cell r="CW99">
            <v>2.5</v>
          </cell>
          <cell r="CX99">
            <v>0.5</v>
          </cell>
          <cell r="CY99">
            <v>0.3</v>
          </cell>
          <cell r="CZ99">
            <v>0</v>
          </cell>
          <cell r="DA99">
            <v>2.8</v>
          </cell>
          <cell r="DB99">
            <v>0.6</v>
          </cell>
          <cell r="DC99">
            <v>1.1000000000000001</v>
          </cell>
          <cell r="DD99">
            <v>1.1000000000000001</v>
          </cell>
          <cell r="DE99">
            <v>1.7</v>
          </cell>
          <cell r="DF99">
            <v>1</v>
          </cell>
          <cell r="DG99">
            <v>4157</v>
          </cell>
          <cell r="DH99">
            <v>765</v>
          </cell>
          <cell r="DI99">
            <v>4773</v>
          </cell>
          <cell r="DN99">
            <v>3528</v>
          </cell>
          <cell r="DP99">
            <v>4035</v>
          </cell>
          <cell r="DQ99">
            <v>3947</v>
          </cell>
          <cell r="DR99">
            <v>3750</v>
          </cell>
          <cell r="DS99">
            <v>2781</v>
          </cell>
          <cell r="DT99">
            <v>3305</v>
          </cell>
          <cell r="DV99">
            <v>18864</v>
          </cell>
          <cell r="DW99">
            <v>2665</v>
          </cell>
          <cell r="DX99">
            <v>140</v>
          </cell>
          <cell r="DY99">
            <v>2336</v>
          </cell>
          <cell r="DZ99">
            <v>5033</v>
          </cell>
          <cell r="ED99">
            <v>10547</v>
          </cell>
          <cell r="EE99">
            <v>6267</v>
          </cell>
          <cell r="EF99">
            <v>5977</v>
          </cell>
          <cell r="EG99">
            <v>3793</v>
          </cell>
          <cell r="EH99">
            <v>1869</v>
          </cell>
          <cell r="EI99">
            <v>365</v>
          </cell>
          <cell r="EJ99">
            <v>1145</v>
          </cell>
          <cell r="EK99">
            <v>2812</v>
          </cell>
          <cell r="EL99">
            <v>6259</v>
          </cell>
          <cell r="EO99">
            <v>1534</v>
          </cell>
          <cell r="ER99">
            <v>6358</v>
          </cell>
          <cell r="EU99">
            <v>3272</v>
          </cell>
          <cell r="EX99">
            <v>5140</v>
          </cell>
          <cell r="EY99">
            <v>3277</v>
          </cell>
          <cell r="EZ99">
            <v>9479</v>
          </cell>
          <cell r="FA99">
            <v>8751</v>
          </cell>
          <cell r="FB99">
            <v>6470</v>
          </cell>
          <cell r="FC99">
            <v>1089</v>
          </cell>
          <cell r="FD99">
            <v>3143</v>
          </cell>
          <cell r="FE99">
            <v>14740</v>
          </cell>
          <cell r="FF99">
            <v>128615</v>
          </cell>
          <cell r="FG99">
            <v>12516</v>
          </cell>
          <cell r="FH99">
            <v>699</v>
          </cell>
          <cell r="FI99">
            <v>144901</v>
          </cell>
          <cell r="FJ99">
            <v>14.8</v>
          </cell>
          <cell r="FK99">
            <v>-4.5999999999999996</v>
          </cell>
          <cell r="FL99">
            <v>12.6</v>
          </cell>
          <cell r="FQ99">
            <v>-5.5</v>
          </cell>
          <cell r="FS99">
            <v>-6.5</v>
          </cell>
          <cell r="FT99">
            <v>3.1</v>
          </cell>
          <cell r="FU99">
            <v>1.3</v>
          </cell>
          <cell r="FV99">
            <v>1.3</v>
          </cell>
          <cell r="FW99">
            <v>0.1</v>
          </cell>
          <cell r="FY99">
            <v>1.3</v>
          </cell>
          <cell r="FZ99">
            <v>0.9</v>
          </cell>
          <cell r="GA99">
            <v>17</v>
          </cell>
          <cell r="GB99">
            <v>2.2999999999999998</v>
          </cell>
          <cell r="GC99">
            <v>2.1</v>
          </cell>
          <cell r="GG99">
            <v>7</v>
          </cell>
          <cell r="GH99">
            <v>2</v>
          </cell>
          <cell r="GI99">
            <v>0.9</v>
          </cell>
          <cell r="GJ99">
            <v>1.5</v>
          </cell>
          <cell r="GK99">
            <v>-1.3</v>
          </cell>
          <cell r="GL99">
            <v>1.1000000000000001</v>
          </cell>
          <cell r="GM99">
            <v>0</v>
          </cell>
          <cell r="GN99">
            <v>-5.5</v>
          </cell>
          <cell r="GO99">
            <v>-1.6</v>
          </cell>
          <cell r="GR99">
            <v>3</v>
          </cell>
          <cell r="GU99">
            <v>-2.2999999999999998</v>
          </cell>
          <cell r="GX99">
            <v>2.1</v>
          </cell>
          <cell r="HA99">
            <v>2.1</v>
          </cell>
          <cell r="HB99">
            <v>2.1</v>
          </cell>
          <cell r="HC99">
            <v>3.1</v>
          </cell>
          <cell r="HD99">
            <v>-0.2</v>
          </cell>
          <cell r="HE99">
            <v>-0.6</v>
          </cell>
          <cell r="HF99">
            <v>4.2</v>
          </cell>
          <cell r="HG99">
            <v>0.2</v>
          </cell>
          <cell r="HH99">
            <v>1.4</v>
          </cell>
          <cell r="HI99">
            <v>1.7</v>
          </cell>
          <cell r="HJ99">
            <v>1.3</v>
          </cell>
          <cell r="HK99">
            <v>2</v>
          </cell>
          <cell r="HL99">
            <v>2726</v>
          </cell>
          <cell r="HM99">
            <v>791</v>
          </cell>
          <cell r="HN99">
            <v>3311</v>
          </cell>
          <cell r="HS99">
            <v>3613</v>
          </cell>
          <cell r="HU99">
            <v>4133</v>
          </cell>
          <cell r="HV99">
            <v>3926</v>
          </cell>
          <cell r="HW99">
            <v>3842</v>
          </cell>
          <cell r="HX99">
            <v>2857</v>
          </cell>
          <cell r="HY99">
            <v>3470</v>
          </cell>
          <cell r="IA99">
            <v>19503</v>
          </cell>
          <cell r="IB99">
            <v>2900</v>
          </cell>
          <cell r="IC99">
            <v>163</v>
          </cell>
          <cell r="ID99">
            <v>2181</v>
          </cell>
          <cell r="IE99">
            <v>5261</v>
          </cell>
          <cell r="II99">
            <v>10352</v>
          </cell>
          <cell r="IJ99">
            <v>6362</v>
          </cell>
          <cell r="IK99">
            <v>5888</v>
          </cell>
          <cell r="IL99">
            <v>3686</v>
          </cell>
          <cell r="IM99">
            <v>1934</v>
          </cell>
          <cell r="IN99">
            <v>380</v>
          </cell>
          <cell r="IO99">
            <v>1163</v>
          </cell>
          <cell r="IP99">
            <v>2824</v>
          </cell>
          <cell r="IQ99">
            <v>6448</v>
          </cell>
        </row>
        <row r="100">
          <cell r="B100">
            <v>4392</v>
          </cell>
          <cell r="C100">
            <v>757</v>
          </cell>
          <cell r="D100">
            <v>5011</v>
          </cell>
          <cell r="I100">
            <v>3672</v>
          </cell>
          <cell r="K100">
            <v>4162</v>
          </cell>
          <cell r="L100">
            <v>4000</v>
          </cell>
          <cell r="M100">
            <v>3796</v>
          </cell>
          <cell r="N100">
            <v>2736</v>
          </cell>
          <cell r="O100">
            <v>3322</v>
          </cell>
          <cell r="Q100">
            <v>19017</v>
          </cell>
          <cell r="R100">
            <v>2677</v>
          </cell>
          <cell r="S100">
            <v>156</v>
          </cell>
          <cell r="T100">
            <v>2316</v>
          </cell>
          <cell r="U100">
            <v>5068</v>
          </cell>
          <cell r="Y100">
            <v>10536</v>
          </cell>
          <cell r="Z100">
            <v>6433</v>
          </cell>
          <cell r="AA100">
            <v>5997</v>
          </cell>
          <cell r="AB100">
            <v>3804</v>
          </cell>
          <cell r="AC100">
            <v>1890</v>
          </cell>
          <cell r="AD100">
            <v>377</v>
          </cell>
          <cell r="AE100">
            <v>1153</v>
          </cell>
          <cell r="AF100">
            <v>2981</v>
          </cell>
          <cell r="AG100">
            <v>6413</v>
          </cell>
          <cell r="AJ100">
            <v>1534</v>
          </cell>
          <cell r="AM100">
            <v>6236</v>
          </cell>
          <cell r="AP100">
            <v>3369</v>
          </cell>
          <cell r="AS100">
            <v>5293</v>
          </cell>
          <cell r="AT100">
            <v>3375</v>
          </cell>
          <cell r="AU100">
            <v>9321</v>
          </cell>
          <cell r="AV100">
            <v>8827</v>
          </cell>
          <cell r="AW100">
            <v>6547</v>
          </cell>
          <cell r="AX100">
            <v>1091</v>
          </cell>
          <cell r="AY100">
            <v>3155</v>
          </cell>
          <cell r="AZ100">
            <v>14807</v>
          </cell>
          <cell r="BA100">
            <v>130124</v>
          </cell>
          <cell r="BB100">
            <v>12892</v>
          </cell>
          <cell r="BC100">
            <v>-283</v>
          </cell>
          <cell r="BD100">
            <v>144325</v>
          </cell>
          <cell r="BE100">
            <v>8.4</v>
          </cell>
          <cell r="BF100">
            <v>-2</v>
          </cell>
          <cell r="BG100">
            <v>7.3</v>
          </cell>
          <cell r="BL100">
            <v>0.5</v>
          </cell>
          <cell r="BN100">
            <v>-0.5</v>
          </cell>
          <cell r="BO100">
            <v>1.8</v>
          </cell>
          <cell r="BP100">
            <v>0.6</v>
          </cell>
          <cell r="BQ100">
            <v>-0.5</v>
          </cell>
          <cell r="BR100">
            <v>0.5</v>
          </cell>
          <cell r="BT100">
            <v>0.8</v>
          </cell>
          <cell r="BU100">
            <v>0.8</v>
          </cell>
          <cell r="BV100">
            <v>11.4</v>
          </cell>
          <cell r="BW100">
            <v>1.2</v>
          </cell>
          <cell r="BX100">
            <v>1.5</v>
          </cell>
          <cell r="CB100">
            <v>1.8</v>
          </cell>
          <cell r="CC100">
            <v>2.4</v>
          </cell>
          <cell r="CD100">
            <v>0.7</v>
          </cell>
          <cell r="CE100">
            <v>0.8</v>
          </cell>
          <cell r="CF100">
            <v>0.9</v>
          </cell>
          <cell r="CG100">
            <v>2.4</v>
          </cell>
          <cell r="CH100">
            <v>1.7</v>
          </cell>
          <cell r="CI100">
            <v>2.5</v>
          </cell>
          <cell r="CJ100">
            <v>1.5</v>
          </cell>
          <cell r="CM100">
            <v>1</v>
          </cell>
          <cell r="CP100">
            <v>-1.4</v>
          </cell>
          <cell r="CS100">
            <v>2.4</v>
          </cell>
          <cell r="CV100">
            <v>2.4</v>
          </cell>
          <cell r="CW100">
            <v>2.4</v>
          </cell>
          <cell r="CX100">
            <v>-0.1</v>
          </cell>
          <cell r="CY100">
            <v>0.4</v>
          </cell>
          <cell r="CZ100">
            <v>0.7</v>
          </cell>
          <cell r="DA100">
            <v>1.2</v>
          </cell>
          <cell r="DB100">
            <v>0.5</v>
          </cell>
          <cell r="DC100">
            <v>0.7</v>
          </cell>
          <cell r="DD100">
            <v>1.3</v>
          </cell>
          <cell r="DE100">
            <v>1.9</v>
          </cell>
          <cell r="DF100">
            <v>0.3</v>
          </cell>
          <cell r="DG100">
            <v>4353</v>
          </cell>
          <cell r="DH100">
            <v>758</v>
          </cell>
          <cell r="DI100">
            <v>4971</v>
          </cell>
          <cell r="DN100">
            <v>3777</v>
          </cell>
          <cell r="DP100">
            <v>4292</v>
          </cell>
          <cell r="DQ100">
            <v>4052</v>
          </cell>
          <cell r="DR100">
            <v>3883</v>
          </cell>
          <cell r="DS100">
            <v>2693</v>
          </cell>
          <cell r="DT100">
            <v>3307</v>
          </cell>
          <cell r="DV100">
            <v>19125</v>
          </cell>
          <cell r="DW100">
            <v>2660</v>
          </cell>
          <cell r="DX100">
            <v>160</v>
          </cell>
          <cell r="DY100">
            <v>2270</v>
          </cell>
          <cell r="DZ100">
            <v>5023</v>
          </cell>
          <cell r="ED100">
            <v>10482</v>
          </cell>
          <cell r="EE100">
            <v>6433</v>
          </cell>
          <cell r="EF100">
            <v>5972</v>
          </cell>
          <cell r="EG100">
            <v>3777</v>
          </cell>
          <cell r="EH100">
            <v>1870</v>
          </cell>
          <cell r="EI100">
            <v>381</v>
          </cell>
          <cell r="EJ100">
            <v>1129</v>
          </cell>
          <cell r="EK100">
            <v>3009</v>
          </cell>
          <cell r="EL100">
            <v>6391</v>
          </cell>
          <cell r="EO100">
            <v>1523</v>
          </cell>
          <cell r="ER100">
            <v>6056</v>
          </cell>
          <cell r="EU100">
            <v>3364</v>
          </cell>
          <cell r="EX100">
            <v>5285</v>
          </cell>
          <cell r="EY100">
            <v>3370</v>
          </cell>
          <cell r="EZ100">
            <v>9212</v>
          </cell>
          <cell r="FA100">
            <v>8903</v>
          </cell>
          <cell r="FB100">
            <v>6501</v>
          </cell>
          <cell r="FC100">
            <v>1090</v>
          </cell>
          <cell r="FD100">
            <v>3144</v>
          </cell>
          <cell r="FE100">
            <v>14789</v>
          </cell>
          <cell r="FF100">
            <v>130004</v>
          </cell>
          <cell r="FG100">
            <v>13043</v>
          </cell>
          <cell r="FH100">
            <v>-391</v>
          </cell>
          <cell r="FI100">
            <v>144318</v>
          </cell>
          <cell r="FJ100">
            <v>4.7</v>
          </cell>
          <cell r="FK100">
            <v>-0.9</v>
          </cell>
          <cell r="FL100">
            <v>4.0999999999999996</v>
          </cell>
          <cell r="FQ100">
            <v>7.1</v>
          </cell>
          <cell r="FS100">
            <v>6.4</v>
          </cell>
          <cell r="FT100">
            <v>2.7</v>
          </cell>
          <cell r="FU100">
            <v>3.5</v>
          </cell>
          <cell r="FV100">
            <v>-3.2</v>
          </cell>
          <cell r="FW100">
            <v>0</v>
          </cell>
          <cell r="FY100">
            <v>1.4</v>
          </cell>
          <cell r="FZ100">
            <v>-0.2</v>
          </cell>
          <cell r="GA100">
            <v>14.7</v>
          </cell>
          <cell r="GB100">
            <v>-2.8</v>
          </cell>
          <cell r="GC100">
            <v>-0.2</v>
          </cell>
          <cell r="GG100">
            <v>-0.6</v>
          </cell>
          <cell r="GH100">
            <v>2.6</v>
          </cell>
          <cell r="GI100">
            <v>-0.1</v>
          </cell>
          <cell r="GJ100">
            <v>-0.4</v>
          </cell>
          <cell r="GK100">
            <v>0</v>
          </cell>
          <cell r="GL100">
            <v>4.2</v>
          </cell>
          <cell r="GM100">
            <v>-1.4</v>
          </cell>
          <cell r="GN100">
            <v>7</v>
          </cell>
          <cell r="GO100">
            <v>2.1</v>
          </cell>
          <cell r="GR100">
            <v>-0.7</v>
          </cell>
          <cell r="GU100">
            <v>-4.7</v>
          </cell>
          <cell r="GX100">
            <v>2.8</v>
          </cell>
          <cell r="HA100">
            <v>2.8</v>
          </cell>
          <cell r="HB100">
            <v>2.8</v>
          </cell>
          <cell r="HC100">
            <v>-2.8</v>
          </cell>
          <cell r="HD100">
            <v>1.7</v>
          </cell>
          <cell r="HE100">
            <v>0.5</v>
          </cell>
          <cell r="HF100">
            <v>0.2</v>
          </cell>
          <cell r="HG100">
            <v>0</v>
          </cell>
          <cell r="HH100">
            <v>0.3</v>
          </cell>
          <cell r="HI100">
            <v>1.1000000000000001</v>
          </cell>
          <cell r="HJ100">
            <v>4.2</v>
          </cell>
          <cell r="HK100">
            <v>-0.4</v>
          </cell>
          <cell r="HL100">
            <v>9351</v>
          </cell>
          <cell r="HM100">
            <v>765</v>
          </cell>
          <cell r="HN100">
            <v>10135</v>
          </cell>
          <cell r="HS100">
            <v>3849</v>
          </cell>
          <cell r="HU100">
            <v>4340</v>
          </cell>
          <cell r="HV100">
            <v>4357</v>
          </cell>
          <cell r="HW100">
            <v>4023</v>
          </cell>
          <cell r="HX100">
            <v>2806</v>
          </cell>
          <cell r="HY100">
            <v>3478</v>
          </cell>
          <cell r="IA100">
            <v>19998</v>
          </cell>
          <cell r="IB100">
            <v>2544</v>
          </cell>
          <cell r="IC100">
            <v>149</v>
          </cell>
          <cell r="ID100">
            <v>2404</v>
          </cell>
          <cell r="IE100">
            <v>4951</v>
          </cell>
          <cell r="II100">
            <v>10895</v>
          </cell>
          <cell r="IJ100">
            <v>6629</v>
          </cell>
          <cell r="IK100">
            <v>6503</v>
          </cell>
          <cell r="IL100">
            <v>4098</v>
          </cell>
          <cell r="IM100">
            <v>1933</v>
          </cell>
          <cell r="IN100">
            <v>381</v>
          </cell>
          <cell r="IO100">
            <v>1126</v>
          </cell>
          <cell r="IP100">
            <v>3081</v>
          </cell>
          <cell r="IQ100">
            <v>6541</v>
          </cell>
        </row>
        <row r="101">
          <cell r="B101">
            <v>4478</v>
          </cell>
          <cell r="C101">
            <v>744</v>
          </cell>
          <cell r="D101">
            <v>5090</v>
          </cell>
          <cell r="I101">
            <v>3780</v>
          </cell>
          <cell r="K101">
            <v>4265</v>
          </cell>
          <cell r="L101">
            <v>4077</v>
          </cell>
          <cell r="M101">
            <v>3795</v>
          </cell>
          <cell r="N101">
            <v>2724</v>
          </cell>
          <cell r="O101">
            <v>3384</v>
          </cell>
          <cell r="Q101">
            <v>19117</v>
          </cell>
          <cell r="R101">
            <v>2695</v>
          </cell>
          <cell r="S101">
            <v>166</v>
          </cell>
          <cell r="T101">
            <v>2389</v>
          </cell>
          <cell r="U101">
            <v>5158</v>
          </cell>
          <cell r="Y101">
            <v>10491</v>
          </cell>
          <cell r="Z101">
            <v>6482</v>
          </cell>
          <cell r="AA101">
            <v>6016</v>
          </cell>
          <cell r="AB101">
            <v>3830</v>
          </cell>
          <cell r="AC101">
            <v>1893</v>
          </cell>
          <cell r="AD101">
            <v>387</v>
          </cell>
          <cell r="AE101">
            <v>1183</v>
          </cell>
          <cell r="AF101">
            <v>3113</v>
          </cell>
          <cell r="AG101">
            <v>6512</v>
          </cell>
          <cell r="AJ101">
            <v>1546</v>
          </cell>
          <cell r="AM101">
            <v>6264</v>
          </cell>
          <cell r="AP101">
            <v>3424</v>
          </cell>
          <cell r="AS101">
            <v>5379</v>
          </cell>
          <cell r="AT101">
            <v>3430</v>
          </cell>
          <cell r="AU101">
            <v>9219</v>
          </cell>
          <cell r="AV101">
            <v>8837</v>
          </cell>
          <cell r="AW101">
            <v>6648</v>
          </cell>
          <cell r="AX101">
            <v>1087</v>
          </cell>
          <cell r="AY101">
            <v>3178</v>
          </cell>
          <cell r="AZ101">
            <v>14885</v>
          </cell>
          <cell r="BA101">
            <v>131214</v>
          </cell>
          <cell r="BB101">
            <v>13017</v>
          </cell>
          <cell r="BC101">
            <v>-275</v>
          </cell>
          <cell r="BD101">
            <v>144180</v>
          </cell>
          <cell r="BE101">
            <v>2</v>
          </cell>
          <cell r="BF101">
            <v>-1.7</v>
          </cell>
          <cell r="BG101">
            <v>1.6</v>
          </cell>
          <cell r="BL101">
            <v>2.9</v>
          </cell>
          <cell r="BN101">
            <v>2.5</v>
          </cell>
          <cell r="BO101">
            <v>1.9</v>
          </cell>
          <cell r="BP101">
            <v>0</v>
          </cell>
          <cell r="BQ101">
            <v>-0.4</v>
          </cell>
          <cell r="BR101">
            <v>1.9</v>
          </cell>
          <cell r="BT101">
            <v>0.5</v>
          </cell>
          <cell r="BU101">
            <v>0.7</v>
          </cell>
          <cell r="BV101">
            <v>6.1</v>
          </cell>
          <cell r="BW101">
            <v>3.2</v>
          </cell>
          <cell r="BX101">
            <v>1.8</v>
          </cell>
          <cell r="CB101">
            <v>-0.4</v>
          </cell>
          <cell r="CC101">
            <v>0.8</v>
          </cell>
          <cell r="CD101">
            <v>0.3</v>
          </cell>
          <cell r="CE101">
            <v>0.7</v>
          </cell>
          <cell r="CF101">
            <v>0.2</v>
          </cell>
          <cell r="CG101">
            <v>2.6</v>
          </cell>
          <cell r="CH101">
            <v>2.6</v>
          </cell>
          <cell r="CI101">
            <v>4.4000000000000004</v>
          </cell>
          <cell r="CJ101">
            <v>1.5</v>
          </cell>
          <cell r="CM101">
            <v>0.8</v>
          </cell>
          <cell r="CP101">
            <v>0.4</v>
          </cell>
          <cell r="CS101">
            <v>1.6</v>
          </cell>
          <cell r="CV101">
            <v>1.6</v>
          </cell>
          <cell r="CW101">
            <v>1.6</v>
          </cell>
          <cell r="CX101">
            <v>-1.1000000000000001</v>
          </cell>
          <cell r="CY101">
            <v>0.1</v>
          </cell>
          <cell r="CZ101">
            <v>1.5</v>
          </cell>
          <cell r="DA101">
            <v>-0.3</v>
          </cell>
          <cell r="DB101">
            <v>0.7</v>
          </cell>
          <cell r="DC101">
            <v>0.5</v>
          </cell>
          <cell r="DD101">
            <v>0.8</v>
          </cell>
          <cell r="DE101">
            <v>1</v>
          </cell>
          <cell r="DF101">
            <v>-0.1</v>
          </cell>
          <cell r="DG101">
            <v>4493</v>
          </cell>
          <cell r="DH101">
            <v>740</v>
          </cell>
          <cell r="DI101">
            <v>5103</v>
          </cell>
          <cell r="DN101">
            <v>3663</v>
          </cell>
          <cell r="DP101">
            <v>4106</v>
          </cell>
          <cell r="DQ101">
            <v>4024</v>
          </cell>
          <cell r="DR101">
            <v>3702</v>
          </cell>
          <cell r="DS101">
            <v>2725</v>
          </cell>
          <cell r="DT101">
            <v>3346</v>
          </cell>
          <cell r="DV101">
            <v>18945</v>
          </cell>
          <cell r="DW101">
            <v>2698</v>
          </cell>
          <cell r="DX101">
            <v>165</v>
          </cell>
          <cell r="DY101">
            <v>2381</v>
          </cell>
          <cell r="DZ101">
            <v>5156</v>
          </cell>
          <cell r="ED101">
            <v>10598</v>
          </cell>
          <cell r="EE101">
            <v>6541</v>
          </cell>
          <cell r="EF101">
            <v>5997</v>
          </cell>
          <cell r="EG101">
            <v>3833</v>
          </cell>
          <cell r="EH101">
            <v>1902</v>
          </cell>
          <cell r="EI101">
            <v>385</v>
          </cell>
          <cell r="EJ101">
            <v>1181</v>
          </cell>
          <cell r="EK101">
            <v>3087</v>
          </cell>
          <cell r="EL101">
            <v>6514</v>
          </cell>
          <cell r="EO101">
            <v>1543</v>
          </cell>
          <cell r="ER101">
            <v>6356</v>
          </cell>
          <cell r="EU101">
            <v>3473</v>
          </cell>
          <cell r="EX101">
            <v>5455</v>
          </cell>
          <cell r="EY101">
            <v>3479</v>
          </cell>
          <cell r="EZ101">
            <v>9295</v>
          </cell>
          <cell r="FA101">
            <v>8774</v>
          </cell>
          <cell r="FB101">
            <v>6736</v>
          </cell>
          <cell r="FC101">
            <v>1090</v>
          </cell>
          <cell r="FD101">
            <v>3181</v>
          </cell>
          <cell r="FE101">
            <v>14880</v>
          </cell>
          <cell r="FF101">
            <v>131158</v>
          </cell>
          <cell r="FG101">
            <v>12930</v>
          </cell>
          <cell r="FH101">
            <v>-355</v>
          </cell>
          <cell r="FI101">
            <v>143112</v>
          </cell>
          <cell r="FJ101">
            <v>3.2</v>
          </cell>
          <cell r="FK101">
            <v>-2.4</v>
          </cell>
          <cell r="FL101">
            <v>2.7</v>
          </cell>
          <cell r="FQ101">
            <v>-3</v>
          </cell>
          <cell r="FS101">
            <v>-4.3</v>
          </cell>
          <cell r="FT101">
            <v>-0.7</v>
          </cell>
          <cell r="FU101">
            <v>-4.7</v>
          </cell>
          <cell r="FV101">
            <v>1.2</v>
          </cell>
          <cell r="FW101">
            <v>1.2</v>
          </cell>
          <cell r="FY101">
            <v>-0.9</v>
          </cell>
          <cell r="FZ101">
            <v>1.4</v>
          </cell>
          <cell r="GA101">
            <v>2.9</v>
          </cell>
          <cell r="GB101">
            <v>4.9000000000000004</v>
          </cell>
          <cell r="GC101">
            <v>2.6</v>
          </cell>
          <cell r="GG101">
            <v>1.1000000000000001</v>
          </cell>
          <cell r="GH101">
            <v>1.7</v>
          </cell>
          <cell r="GI101">
            <v>0.4</v>
          </cell>
          <cell r="GJ101">
            <v>1.5</v>
          </cell>
          <cell r="GK101">
            <v>1.7</v>
          </cell>
          <cell r="GL101">
            <v>1.1000000000000001</v>
          </cell>
          <cell r="GM101">
            <v>4.5999999999999996</v>
          </cell>
          <cell r="GN101">
            <v>2.6</v>
          </cell>
          <cell r="GO101">
            <v>1.9</v>
          </cell>
          <cell r="GR101">
            <v>1.3</v>
          </cell>
          <cell r="GU101">
            <v>5</v>
          </cell>
          <cell r="GX101">
            <v>3.2</v>
          </cell>
          <cell r="HA101">
            <v>3.2</v>
          </cell>
          <cell r="HB101">
            <v>3.2</v>
          </cell>
          <cell r="HC101">
            <v>0.9</v>
          </cell>
          <cell r="HD101">
            <v>-1.4</v>
          </cell>
          <cell r="HE101">
            <v>3.6</v>
          </cell>
          <cell r="HF101">
            <v>0</v>
          </cell>
          <cell r="HG101">
            <v>1.2</v>
          </cell>
          <cell r="HH101">
            <v>0.6</v>
          </cell>
          <cell r="HI101">
            <v>0.9</v>
          </cell>
          <cell r="HJ101">
            <v>-0.9</v>
          </cell>
          <cell r="HK101">
            <v>-0.8</v>
          </cell>
          <cell r="HL101">
            <v>3321</v>
          </cell>
          <cell r="HM101">
            <v>695</v>
          </cell>
          <cell r="HN101">
            <v>3865</v>
          </cell>
          <cell r="HS101">
            <v>3537</v>
          </cell>
          <cell r="HU101">
            <v>4013</v>
          </cell>
          <cell r="HV101">
            <v>3883</v>
          </cell>
          <cell r="HW101">
            <v>3475</v>
          </cell>
          <cell r="HX101">
            <v>2544</v>
          </cell>
          <cell r="HY101">
            <v>2967</v>
          </cell>
          <cell r="IA101">
            <v>17484</v>
          </cell>
          <cell r="IB101">
            <v>2524</v>
          </cell>
          <cell r="IC101">
            <v>142</v>
          </cell>
          <cell r="ID101">
            <v>2566</v>
          </cell>
          <cell r="IE101">
            <v>5022</v>
          </cell>
          <cell r="II101">
            <v>9755</v>
          </cell>
          <cell r="IJ101">
            <v>6270</v>
          </cell>
          <cell r="IK101">
            <v>5627</v>
          </cell>
          <cell r="IL101">
            <v>3805</v>
          </cell>
          <cell r="IM101">
            <v>1793</v>
          </cell>
          <cell r="IN101">
            <v>382</v>
          </cell>
          <cell r="IO101">
            <v>1129</v>
          </cell>
          <cell r="IP101">
            <v>3012</v>
          </cell>
          <cell r="IQ101">
            <v>6235</v>
          </cell>
        </row>
        <row r="102">
          <cell r="B102">
            <v>4223</v>
          </cell>
          <cell r="C102">
            <v>731</v>
          </cell>
          <cell r="D102">
            <v>4818</v>
          </cell>
          <cell r="I102">
            <v>3861</v>
          </cell>
          <cell r="K102">
            <v>4360</v>
          </cell>
          <cell r="L102">
            <v>4111</v>
          </cell>
          <cell r="M102">
            <v>3758</v>
          </cell>
          <cell r="N102">
            <v>2644</v>
          </cell>
          <cell r="O102">
            <v>3404</v>
          </cell>
          <cell r="Q102">
            <v>18894</v>
          </cell>
          <cell r="R102">
            <v>2712</v>
          </cell>
          <cell r="S102">
            <v>166</v>
          </cell>
          <cell r="T102">
            <v>2493</v>
          </cell>
          <cell r="U102">
            <v>5246</v>
          </cell>
          <cell r="Y102">
            <v>10216</v>
          </cell>
          <cell r="Z102">
            <v>6400</v>
          </cell>
          <cell r="AA102">
            <v>6034</v>
          </cell>
          <cell r="AB102">
            <v>3846</v>
          </cell>
          <cell r="AC102">
            <v>1865</v>
          </cell>
          <cell r="AD102">
            <v>389</v>
          </cell>
          <cell r="AE102">
            <v>1196</v>
          </cell>
          <cell r="AF102">
            <v>3136</v>
          </cell>
          <cell r="AG102">
            <v>6474</v>
          </cell>
          <cell r="AJ102">
            <v>1568</v>
          </cell>
          <cell r="AM102">
            <v>6342</v>
          </cell>
          <cell r="AP102">
            <v>3431</v>
          </cell>
          <cell r="AS102">
            <v>5390</v>
          </cell>
          <cell r="AT102">
            <v>3437</v>
          </cell>
          <cell r="AU102">
            <v>9105</v>
          </cell>
          <cell r="AV102">
            <v>8805</v>
          </cell>
          <cell r="AW102">
            <v>6750</v>
          </cell>
          <cell r="AX102">
            <v>1083</v>
          </cell>
          <cell r="AY102">
            <v>3212</v>
          </cell>
          <cell r="AZ102">
            <v>14965</v>
          </cell>
          <cell r="BA102">
            <v>130737</v>
          </cell>
          <cell r="BB102">
            <v>12854</v>
          </cell>
          <cell r="BC102">
            <v>472</v>
          </cell>
          <cell r="BD102">
            <v>143849</v>
          </cell>
          <cell r="BE102">
            <v>-5.7</v>
          </cell>
          <cell r="BF102">
            <v>-1.6</v>
          </cell>
          <cell r="BG102">
            <v>-5.4</v>
          </cell>
          <cell r="BL102">
            <v>2.1</v>
          </cell>
          <cell r="BN102">
            <v>2.2000000000000002</v>
          </cell>
          <cell r="BO102">
            <v>0.8</v>
          </cell>
          <cell r="BP102">
            <v>-1</v>
          </cell>
          <cell r="BQ102">
            <v>-3</v>
          </cell>
          <cell r="BR102">
            <v>0.6</v>
          </cell>
          <cell r="BT102">
            <v>-1.2</v>
          </cell>
          <cell r="BU102">
            <v>0.6</v>
          </cell>
          <cell r="BV102">
            <v>-0.1</v>
          </cell>
          <cell r="BW102">
            <v>4.3</v>
          </cell>
          <cell r="BX102">
            <v>1.7</v>
          </cell>
          <cell r="CB102">
            <v>-2.6</v>
          </cell>
          <cell r="CC102">
            <v>-1.3</v>
          </cell>
          <cell r="CD102">
            <v>0.3</v>
          </cell>
          <cell r="CE102">
            <v>0.4</v>
          </cell>
          <cell r="CF102">
            <v>-1.5</v>
          </cell>
          <cell r="CG102">
            <v>0.4</v>
          </cell>
          <cell r="CH102">
            <v>1.1000000000000001</v>
          </cell>
          <cell r="CI102">
            <v>0.7</v>
          </cell>
          <cell r="CJ102">
            <v>-0.6</v>
          </cell>
          <cell r="CM102">
            <v>1.4</v>
          </cell>
          <cell r="CP102">
            <v>1.2</v>
          </cell>
          <cell r="CS102">
            <v>0.2</v>
          </cell>
          <cell r="CV102">
            <v>0.2</v>
          </cell>
          <cell r="CW102">
            <v>0.2</v>
          </cell>
          <cell r="CX102">
            <v>-1.2</v>
          </cell>
          <cell r="CY102">
            <v>-0.4</v>
          </cell>
          <cell r="CZ102">
            <v>1.5</v>
          </cell>
          <cell r="DA102">
            <v>-0.3</v>
          </cell>
          <cell r="DB102">
            <v>1.1000000000000001</v>
          </cell>
          <cell r="DC102">
            <v>0.5</v>
          </cell>
          <cell r="DD102">
            <v>-0.4</v>
          </cell>
          <cell r="DE102">
            <v>-1.3</v>
          </cell>
          <cell r="DF102">
            <v>-0.2</v>
          </cell>
          <cell r="DG102">
            <v>4438</v>
          </cell>
          <cell r="DH102">
            <v>741</v>
          </cell>
          <cell r="DI102">
            <v>5045</v>
          </cell>
          <cell r="DN102">
            <v>4008</v>
          </cell>
          <cell r="DP102">
            <v>4545</v>
          </cell>
          <cell r="DQ102">
            <v>4129</v>
          </cell>
          <cell r="DR102">
            <v>3793</v>
          </cell>
          <cell r="DS102">
            <v>2672</v>
          </cell>
          <cell r="DT102">
            <v>3404</v>
          </cell>
          <cell r="DV102">
            <v>19010</v>
          </cell>
          <cell r="DW102">
            <v>2724</v>
          </cell>
          <cell r="DX102">
            <v>168</v>
          </cell>
          <cell r="DY102">
            <v>2508</v>
          </cell>
          <cell r="DZ102">
            <v>5275</v>
          </cell>
          <cell r="ED102">
            <v>10081</v>
          </cell>
          <cell r="EE102">
            <v>6403</v>
          </cell>
          <cell r="EF102">
            <v>6098</v>
          </cell>
          <cell r="EG102">
            <v>3868</v>
          </cell>
          <cell r="EH102">
            <v>1907</v>
          </cell>
          <cell r="EI102">
            <v>390</v>
          </cell>
          <cell r="EJ102">
            <v>1229</v>
          </cell>
          <cell r="EK102">
            <v>3253</v>
          </cell>
          <cell r="EL102">
            <v>6615</v>
          </cell>
          <cell r="EO102">
            <v>1572</v>
          </cell>
          <cell r="ER102">
            <v>6355</v>
          </cell>
          <cell r="EU102">
            <v>3380</v>
          </cell>
          <cell r="EX102">
            <v>5311</v>
          </cell>
          <cell r="EY102">
            <v>3386</v>
          </cell>
          <cell r="EZ102">
            <v>9102</v>
          </cell>
          <cell r="FA102">
            <v>8835</v>
          </cell>
          <cell r="FB102">
            <v>6679</v>
          </cell>
          <cell r="FC102">
            <v>1071</v>
          </cell>
          <cell r="FD102">
            <v>3206</v>
          </cell>
          <cell r="FE102">
            <v>14965</v>
          </cell>
          <cell r="FF102">
            <v>131438</v>
          </cell>
          <cell r="FG102">
            <v>13062</v>
          </cell>
          <cell r="FH102">
            <v>109</v>
          </cell>
          <cell r="FI102">
            <v>144528</v>
          </cell>
          <cell r="FJ102">
            <v>-1.2</v>
          </cell>
          <cell r="FK102">
            <v>0.1</v>
          </cell>
          <cell r="FL102">
            <v>-1.2</v>
          </cell>
          <cell r="FQ102">
            <v>9.4</v>
          </cell>
          <cell r="FS102">
            <v>10.7</v>
          </cell>
          <cell r="FT102">
            <v>2.6</v>
          </cell>
          <cell r="FU102">
            <v>2.5</v>
          </cell>
          <cell r="FV102">
            <v>-2</v>
          </cell>
          <cell r="FW102">
            <v>1.8</v>
          </cell>
          <cell r="FY102">
            <v>0.3</v>
          </cell>
          <cell r="FZ102">
            <v>0.9</v>
          </cell>
          <cell r="GA102">
            <v>2.2000000000000002</v>
          </cell>
          <cell r="GB102">
            <v>5.3</v>
          </cell>
          <cell r="GC102">
            <v>2.2999999999999998</v>
          </cell>
          <cell r="GG102">
            <v>-4.9000000000000004</v>
          </cell>
          <cell r="GH102">
            <v>-2.1</v>
          </cell>
          <cell r="GI102">
            <v>1.7</v>
          </cell>
          <cell r="GJ102">
            <v>0.9</v>
          </cell>
          <cell r="GK102">
            <v>0.3</v>
          </cell>
          <cell r="GL102">
            <v>1.4</v>
          </cell>
          <cell r="GM102">
            <v>4</v>
          </cell>
          <cell r="GN102">
            <v>5.4</v>
          </cell>
          <cell r="GO102">
            <v>1.6</v>
          </cell>
          <cell r="GR102">
            <v>1.9</v>
          </cell>
          <cell r="GU102">
            <v>0</v>
          </cell>
          <cell r="GX102">
            <v>-2.7</v>
          </cell>
          <cell r="HA102">
            <v>-2.7</v>
          </cell>
          <cell r="HB102">
            <v>-2.7</v>
          </cell>
          <cell r="HC102">
            <v>-2.1</v>
          </cell>
          <cell r="HD102">
            <v>0.7</v>
          </cell>
          <cell r="HE102">
            <v>-0.8</v>
          </cell>
          <cell r="HF102">
            <v>-1.8</v>
          </cell>
          <cell r="HG102">
            <v>0.8</v>
          </cell>
          <cell r="HH102">
            <v>0.6</v>
          </cell>
          <cell r="HI102">
            <v>0.2</v>
          </cell>
          <cell r="HJ102">
            <v>1</v>
          </cell>
          <cell r="HK102">
            <v>1</v>
          </cell>
          <cell r="HL102">
            <v>2042</v>
          </cell>
          <cell r="HM102">
            <v>754</v>
          </cell>
          <cell r="HN102">
            <v>2582</v>
          </cell>
          <cell r="HS102">
            <v>3977</v>
          </cell>
          <cell r="HU102">
            <v>4493</v>
          </cell>
          <cell r="HV102">
            <v>3987</v>
          </cell>
          <cell r="HW102">
            <v>3788</v>
          </cell>
          <cell r="HX102">
            <v>2664</v>
          </cell>
          <cell r="HY102">
            <v>3448</v>
          </cell>
          <cell r="IA102">
            <v>18959</v>
          </cell>
          <cell r="IB102">
            <v>2779</v>
          </cell>
          <cell r="IC102">
            <v>178</v>
          </cell>
          <cell r="ID102">
            <v>2343</v>
          </cell>
          <cell r="IE102">
            <v>5252</v>
          </cell>
          <cell r="II102">
            <v>10707</v>
          </cell>
          <cell r="IJ102">
            <v>6383</v>
          </cell>
          <cell r="IK102">
            <v>6027</v>
          </cell>
          <cell r="IL102">
            <v>3681</v>
          </cell>
          <cell r="IM102">
            <v>1888</v>
          </cell>
          <cell r="IN102">
            <v>379</v>
          </cell>
          <cell r="IO102">
            <v>1267</v>
          </cell>
          <cell r="IP102">
            <v>3244</v>
          </cell>
          <cell r="IQ102">
            <v>6554</v>
          </cell>
        </row>
        <row r="103">
          <cell r="B103">
            <v>3797</v>
          </cell>
          <cell r="C103">
            <v>721</v>
          </cell>
          <cell r="D103">
            <v>4370</v>
          </cell>
          <cell r="I103">
            <v>3865</v>
          </cell>
          <cell r="K103">
            <v>4380</v>
          </cell>
          <cell r="L103">
            <v>4107</v>
          </cell>
          <cell r="M103">
            <v>3671</v>
          </cell>
          <cell r="N103">
            <v>2462</v>
          </cell>
          <cell r="O103">
            <v>3262</v>
          </cell>
          <cell r="Q103">
            <v>18214</v>
          </cell>
          <cell r="R103">
            <v>2719</v>
          </cell>
          <cell r="S103">
            <v>160</v>
          </cell>
          <cell r="T103">
            <v>2561</v>
          </cell>
          <cell r="U103">
            <v>5287</v>
          </cell>
          <cell r="Y103">
            <v>9810</v>
          </cell>
          <cell r="Z103">
            <v>6185</v>
          </cell>
          <cell r="AA103">
            <v>6052</v>
          </cell>
          <cell r="AB103">
            <v>3835</v>
          </cell>
          <cell r="AC103">
            <v>1828</v>
          </cell>
          <cell r="AD103">
            <v>381</v>
          </cell>
          <cell r="AE103">
            <v>1169</v>
          </cell>
          <cell r="AF103">
            <v>3009</v>
          </cell>
          <cell r="AG103">
            <v>6321</v>
          </cell>
          <cell r="AJ103">
            <v>1594</v>
          </cell>
          <cell r="AM103">
            <v>6360</v>
          </cell>
          <cell r="AP103">
            <v>3380</v>
          </cell>
          <cell r="AS103">
            <v>5310</v>
          </cell>
          <cell r="AT103">
            <v>3386</v>
          </cell>
          <cell r="AU103">
            <v>9078</v>
          </cell>
          <cell r="AV103">
            <v>8734</v>
          </cell>
          <cell r="AW103">
            <v>6804</v>
          </cell>
          <cell r="AX103">
            <v>1088</v>
          </cell>
          <cell r="AY103">
            <v>3234</v>
          </cell>
          <cell r="AZ103">
            <v>15057</v>
          </cell>
          <cell r="BA103">
            <v>128554</v>
          </cell>
          <cell r="BB103">
            <v>12446</v>
          </cell>
          <cell r="BC103">
            <v>1431</v>
          </cell>
          <cell r="BD103">
            <v>143066</v>
          </cell>
          <cell r="BE103">
            <v>-10.1</v>
          </cell>
          <cell r="BF103">
            <v>-1.5</v>
          </cell>
          <cell r="BG103">
            <v>-9.3000000000000007</v>
          </cell>
          <cell r="BL103">
            <v>0.1</v>
          </cell>
          <cell r="BN103">
            <v>0.5</v>
          </cell>
          <cell r="BO103">
            <v>-0.1</v>
          </cell>
          <cell r="BP103">
            <v>-2.2999999999999998</v>
          </cell>
          <cell r="BQ103">
            <v>-6.9</v>
          </cell>
          <cell r="BR103">
            <v>-4.0999999999999996</v>
          </cell>
          <cell r="BT103">
            <v>-3.6</v>
          </cell>
          <cell r="BU103">
            <v>0.2</v>
          </cell>
          <cell r="BV103">
            <v>-3.7</v>
          </cell>
          <cell r="BW103">
            <v>2.7</v>
          </cell>
          <cell r="BX103">
            <v>0.8</v>
          </cell>
          <cell r="CB103">
            <v>-4</v>
          </cell>
          <cell r="CC103">
            <v>-3.4</v>
          </cell>
          <cell r="CD103">
            <v>0.3</v>
          </cell>
          <cell r="CE103">
            <v>-0.3</v>
          </cell>
          <cell r="CF103">
            <v>-2</v>
          </cell>
          <cell r="CG103">
            <v>-2</v>
          </cell>
          <cell r="CH103">
            <v>-2.2999999999999998</v>
          </cell>
          <cell r="CI103">
            <v>-4.0999999999999996</v>
          </cell>
          <cell r="CJ103">
            <v>-2.4</v>
          </cell>
          <cell r="CM103">
            <v>1.7</v>
          </cell>
          <cell r="CP103">
            <v>0.3</v>
          </cell>
          <cell r="CS103">
            <v>-1.5</v>
          </cell>
          <cell r="CV103">
            <v>-1.5</v>
          </cell>
          <cell r="CW103">
            <v>-1.5</v>
          </cell>
          <cell r="CX103">
            <v>-0.3</v>
          </cell>
          <cell r="CY103">
            <v>-0.8</v>
          </cell>
          <cell r="CZ103">
            <v>0.8</v>
          </cell>
          <cell r="DA103">
            <v>0.4</v>
          </cell>
          <cell r="DB103">
            <v>0.7</v>
          </cell>
          <cell r="DC103">
            <v>0.6</v>
          </cell>
          <cell r="DD103">
            <v>-1.7</v>
          </cell>
          <cell r="DE103">
            <v>-3.2</v>
          </cell>
          <cell r="DF103">
            <v>-0.5</v>
          </cell>
          <cell r="DG103">
            <v>3584</v>
          </cell>
          <cell r="DH103">
            <v>715</v>
          </cell>
          <cell r="DI103">
            <v>4147</v>
          </cell>
          <cell r="DN103">
            <v>3788</v>
          </cell>
          <cell r="DP103">
            <v>4294</v>
          </cell>
          <cell r="DQ103">
            <v>4146</v>
          </cell>
          <cell r="DR103">
            <v>3719</v>
          </cell>
          <cell r="DS103">
            <v>2548</v>
          </cell>
          <cell r="DT103">
            <v>3435</v>
          </cell>
          <cell r="DV103">
            <v>18555</v>
          </cell>
          <cell r="DW103">
            <v>2709</v>
          </cell>
          <cell r="DX103">
            <v>160</v>
          </cell>
          <cell r="DY103">
            <v>2576</v>
          </cell>
          <cell r="DZ103">
            <v>5284</v>
          </cell>
          <cell r="ED103">
            <v>9955</v>
          </cell>
          <cell r="EE103">
            <v>6131</v>
          </cell>
          <cell r="EF103">
            <v>5983</v>
          </cell>
          <cell r="EG103">
            <v>3821</v>
          </cell>
          <cell r="EH103">
            <v>1796</v>
          </cell>
          <cell r="EI103">
            <v>385</v>
          </cell>
          <cell r="EJ103">
            <v>1161</v>
          </cell>
          <cell r="EK103">
            <v>2973</v>
          </cell>
          <cell r="EL103">
            <v>6253</v>
          </cell>
          <cell r="EO103">
            <v>1590</v>
          </cell>
          <cell r="ER103">
            <v>6383</v>
          </cell>
          <cell r="EU103">
            <v>3425</v>
          </cell>
          <cell r="EX103">
            <v>5381</v>
          </cell>
          <cell r="EY103">
            <v>3431</v>
          </cell>
          <cell r="EZ103">
            <v>8987</v>
          </cell>
          <cell r="FA103">
            <v>8763</v>
          </cell>
          <cell r="FB103">
            <v>6842</v>
          </cell>
          <cell r="FC103">
            <v>1092</v>
          </cell>
          <cell r="FD103">
            <v>3243</v>
          </cell>
          <cell r="FE103">
            <v>15056</v>
          </cell>
          <cell r="FF103">
            <v>128724</v>
          </cell>
          <cell r="FG103">
            <v>12277</v>
          </cell>
          <cell r="FH103">
            <v>2256</v>
          </cell>
          <cell r="FI103">
            <v>143463</v>
          </cell>
          <cell r="FJ103">
            <v>-19.2</v>
          </cell>
          <cell r="FK103">
            <v>-3.4</v>
          </cell>
          <cell r="FL103">
            <v>-17.8</v>
          </cell>
          <cell r="FQ103">
            <v>-5.5</v>
          </cell>
          <cell r="FS103">
            <v>-5.5</v>
          </cell>
          <cell r="FT103">
            <v>0.4</v>
          </cell>
          <cell r="FU103">
            <v>-2</v>
          </cell>
          <cell r="FV103">
            <v>-4.5999999999999996</v>
          </cell>
          <cell r="FW103">
            <v>0.9</v>
          </cell>
          <cell r="FY103">
            <v>-2.4</v>
          </cell>
          <cell r="FZ103">
            <v>-0.6</v>
          </cell>
          <cell r="GA103">
            <v>-4.7</v>
          </cell>
          <cell r="GB103">
            <v>2.7</v>
          </cell>
          <cell r="GC103">
            <v>0.2</v>
          </cell>
          <cell r="GG103">
            <v>-1.3</v>
          </cell>
          <cell r="GH103">
            <v>-4.3</v>
          </cell>
          <cell r="GI103">
            <v>-1.9</v>
          </cell>
          <cell r="GJ103">
            <v>-1.2</v>
          </cell>
          <cell r="GK103">
            <v>-5.8</v>
          </cell>
          <cell r="GL103">
            <v>-1.5</v>
          </cell>
          <cell r="GM103">
            <v>-5.5</v>
          </cell>
          <cell r="GN103">
            <v>-8.6</v>
          </cell>
          <cell r="GO103">
            <v>-5.5</v>
          </cell>
          <cell r="GR103">
            <v>1.1000000000000001</v>
          </cell>
          <cell r="GU103">
            <v>0.4</v>
          </cell>
          <cell r="GX103">
            <v>1.3</v>
          </cell>
          <cell r="HA103">
            <v>1.3</v>
          </cell>
          <cell r="HB103">
            <v>1.3</v>
          </cell>
          <cell r="HC103">
            <v>-1.3</v>
          </cell>
          <cell r="HD103">
            <v>-0.8</v>
          </cell>
          <cell r="HE103">
            <v>2.4</v>
          </cell>
          <cell r="HF103">
            <v>2</v>
          </cell>
          <cell r="HG103">
            <v>1.1000000000000001</v>
          </cell>
          <cell r="HH103">
            <v>0.6</v>
          </cell>
          <cell r="HI103">
            <v>-2.1</v>
          </cell>
          <cell r="HJ103">
            <v>-6</v>
          </cell>
          <cell r="HK103">
            <v>-0.7</v>
          </cell>
          <cell r="HL103">
            <v>3315</v>
          </cell>
          <cell r="HM103">
            <v>735</v>
          </cell>
          <cell r="HN103">
            <v>3883</v>
          </cell>
          <cell r="HS103">
            <v>3878</v>
          </cell>
          <cell r="HU103">
            <v>4399</v>
          </cell>
          <cell r="HV103">
            <v>4124</v>
          </cell>
          <cell r="HW103">
            <v>3800</v>
          </cell>
          <cell r="HX103">
            <v>2627</v>
          </cell>
          <cell r="HY103">
            <v>3595</v>
          </cell>
          <cell r="IA103">
            <v>19173</v>
          </cell>
          <cell r="IB103">
            <v>2938</v>
          </cell>
          <cell r="IC103">
            <v>185</v>
          </cell>
          <cell r="ID103">
            <v>2404</v>
          </cell>
          <cell r="IE103">
            <v>5498</v>
          </cell>
          <cell r="II103">
            <v>9718</v>
          </cell>
          <cell r="IJ103">
            <v>6223</v>
          </cell>
          <cell r="IK103">
            <v>5877</v>
          </cell>
          <cell r="IL103">
            <v>3705</v>
          </cell>
          <cell r="IM103">
            <v>1844</v>
          </cell>
          <cell r="IN103">
            <v>398</v>
          </cell>
          <cell r="IO103">
            <v>1188</v>
          </cell>
          <cell r="IP103">
            <v>2980</v>
          </cell>
          <cell r="IQ103">
            <v>6403</v>
          </cell>
        </row>
        <row r="104">
          <cell r="B104">
            <v>3283</v>
          </cell>
          <cell r="C104">
            <v>720</v>
          </cell>
          <cell r="D104">
            <v>3840</v>
          </cell>
          <cell r="I104">
            <v>3865</v>
          </cell>
          <cell r="K104">
            <v>4407</v>
          </cell>
          <cell r="L104">
            <v>4058</v>
          </cell>
          <cell r="M104">
            <v>3575</v>
          </cell>
          <cell r="N104">
            <v>2291</v>
          </cell>
          <cell r="O104">
            <v>3002</v>
          </cell>
          <cell r="Q104">
            <v>17422</v>
          </cell>
          <cell r="R104">
            <v>2720</v>
          </cell>
          <cell r="S104">
            <v>155</v>
          </cell>
          <cell r="T104">
            <v>2544</v>
          </cell>
          <cell r="U104">
            <v>5269</v>
          </cell>
          <cell r="Y104">
            <v>9346</v>
          </cell>
          <cell r="Z104">
            <v>5891</v>
          </cell>
          <cell r="AA104">
            <v>6062</v>
          </cell>
          <cell r="AB104">
            <v>3809</v>
          </cell>
          <cell r="AC104">
            <v>1832</v>
          </cell>
          <cell r="AD104">
            <v>365</v>
          </cell>
          <cell r="AE104">
            <v>1114</v>
          </cell>
          <cell r="AF104">
            <v>2850</v>
          </cell>
          <cell r="AG104">
            <v>6204</v>
          </cell>
          <cell r="AJ104">
            <v>1610</v>
          </cell>
          <cell r="AM104">
            <v>6333</v>
          </cell>
          <cell r="AP104">
            <v>3322</v>
          </cell>
          <cell r="AS104">
            <v>5220</v>
          </cell>
          <cell r="AT104">
            <v>3328</v>
          </cell>
          <cell r="AU104">
            <v>9118</v>
          </cell>
          <cell r="AV104">
            <v>8648</v>
          </cell>
          <cell r="AW104">
            <v>6804</v>
          </cell>
          <cell r="AX104">
            <v>1093</v>
          </cell>
          <cell r="AY104">
            <v>3230</v>
          </cell>
          <cell r="AZ104">
            <v>15142</v>
          </cell>
          <cell r="BA104">
            <v>125766</v>
          </cell>
          <cell r="BB104">
            <v>12041</v>
          </cell>
          <cell r="BC104">
            <v>2102</v>
          </cell>
          <cell r="BD104">
            <v>141328</v>
          </cell>
          <cell r="BE104">
            <v>-13.5</v>
          </cell>
          <cell r="BF104">
            <v>-0.1</v>
          </cell>
          <cell r="BG104">
            <v>-12.1</v>
          </cell>
          <cell r="BL104">
            <v>0</v>
          </cell>
          <cell r="BN104">
            <v>0.6</v>
          </cell>
          <cell r="BO104">
            <v>-1.2</v>
          </cell>
          <cell r="BP104">
            <v>-2.6</v>
          </cell>
          <cell r="BQ104">
            <v>-6.9</v>
          </cell>
          <cell r="BR104">
            <v>-8</v>
          </cell>
          <cell r="BT104">
            <v>-4.3</v>
          </cell>
          <cell r="BU104">
            <v>0</v>
          </cell>
          <cell r="BV104">
            <v>-2.8</v>
          </cell>
          <cell r="BW104">
            <v>-0.6</v>
          </cell>
          <cell r="BX104">
            <v>-0.4</v>
          </cell>
          <cell r="CB104">
            <v>-4.7</v>
          </cell>
          <cell r="CC104">
            <v>-4.8</v>
          </cell>
          <cell r="CD104">
            <v>0.2</v>
          </cell>
          <cell r="CE104">
            <v>-0.7</v>
          </cell>
          <cell r="CF104">
            <v>0.2</v>
          </cell>
          <cell r="CG104">
            <v>-4.2</v>
          </cell>
          <cell r="CH104">
            <v>-4.7</v>
          </cell>
          <cell r="CI104">
            <v>-5.3</v>
          </cell>
          <cell r="CJ104">
            <v>-1.8</v>
          </cell>
          <cell r="CM104">
            <v>1</v>
          </cell>
          <cell r="CP104">
            <v>-0.4</v>
          </cell>
          <cell r="CS104">
            <v>-1.7</v>
          </cell>
          <cell r="CV104">
            <v>-1.7</v>
          </cell>
          <cell r="CW104">
            <v>-1.7</v>
          </cell>
          <cell r="CX104">
            <v>0.4</v>
          </cell>
          <cell r="CY104">
            <v>-1</v>
          </cell>
          <cell r="CZ104">
            <v>0</v>
          </cell>
          <cell r="DA104">
            <v>0.4</v>
          </cell>
          <cell r="DB104">
            <v>-0.1</v>
          </cell>
          <cell r="DC104">
            <v>0.6</v>
          </cell>
          <cell r="DD104">
            <v>-2.2000000000000002</v>
          </cell>
          <cell r="DE104">
            <v>-3.3</v>
          </cell>
          <cell r="DF104">
            <v>-1.2</v>
          </cell>
          <cell r="DG104">
            <v>3392</v>
          </cell>
          <cell r="DH104">
            <v>712</v>
          </cell>
          <cell r="DI104">
            <v>3948</v>
          </cell>
          <cell r="DN104">
            <v>3895</v>
          </cell>
          <cell r="DP104">
            <v>4430</v>
          </cell>
          <cell r="DQ104">
            <v>4024</v>
          </cell>
          <cell r="DR104">
            <v>3545</v>
          </cell>
          <cell r="DS104">
            <v>2170</v>
          </cell>
          <cell r="DT104">
            <v>2878</v>
          </cell>
          <cell r="DV104">
            <v>17096</v>
          </cell>
          <cell r="DW104">
            <v>2729</v>
          </cell>
          <cell r="DX104">
            <v>152</v>
          </cell>
          <cell r="DY104">
            <v>2568</v>
          </cell>
          <cell r="DZ104">
            <v>5289</v>
          </cell>
          <cell r="ED104">
            <v>9300</v>
          </cell>
          <cell r="EE104">
            <v>6022</v>
          </cell>
          <cell r="EF104">
            <v>6087</v>
          </cell>
          <cell r="EG104">
            <v>3823</v>
          </cell>
          <cell r="EH104">
            <v>1780</v>
          </cell>
          <cell r="EI104">
            <v>363</v>
          </cell>
          <cell r="EJ104">
            <v>1109</v>
          </cell>
          <cell r="EK104">
            <v>2808</v>
          </cell>
          <cell r="EL104">
            <v>6077</v>
          </cell>
          <cell r="EO104">
            <v>1620</v>
          </cell>
          <cell r="ER104">
            <v>6296</v>
          </cell>
          <cell r="EU104">
            <v>3315</v>
          </cell>
          <cell r="EX104">
            <v>5209</v>
          </cell>
          <cell r="EY104">
            <v>3321</v>
          </cell>
          <cell r="EZ104">
            <v>9190</v>
          </cell>
          <cell r="FA104">
            <v>8622</v>
          </cell>
          <cell r="FB104">
            <v>6837</v>
          </cell>
          <cell r="FC104">
            <v>1098</v>
          </cell>
          <cell r="FD104">
            <v>3243</v>
          </cell>
          <cell r="FE104">
            <v>15144</v>
          </cell>
          <cell r="FF104">
            <v>125485</v>
          </cell>
          <cell r="FG104">
            <v>12174</v>
          </cell>
          <cell r="FH104">
            <v>1477</v>
          </cell>
          <cell r="FI104">
            <v>141235</v>
          </cell>
          <cell r="FJ104">
            <v>-5.3</v>
          </cell>
          <cell r="FK104">
            <v>-0.5</v>
          </cell>
          <cell r="FL104">
            <v>-4.8</v>
          </cell>
          <cell r="FQ104">
            <v>2.8</v>
          </cell>
          <cell r="FS104">
            <v>3.2</v>
          </cell>
          <cell r="FT104">
            <v>-2.9</v>
          </cell>
          <cell r="FU104">
            <v>-4.7</v>
          </cell>
          <cell r="FV104">
            <v>-14.8</v>
          </cell>
          <cell r="FW104">
            <v>-16.2</v>
          </cell>
          <cell r="FY104">
            <v>-7.9</v>
          </cell>
          <cell r="FZ104">
            <v>0.7</v>
          </cell>
          <cell r="GA104">
            <v>-5.3</v>
          </cell>
          <cell r="GB104">
            <v>-0.3</v>
          </cell>
          <cell r="GC104">
            <v>0.1</v>
          </cell>
          <cell r="GG104">
            <v>-6.6</v>
          </cell>
          <cell r="GH104">
            <v>-1.8</v>
          </cell>
          <cell r="GI104">
            <v>1.7</v>
          </cell>
          <cell r="GJ104">
            <v>0.1</v>
          </cell>
          <cell r="GK104">
            <v>-0.9</v>
          </cell>
          <cell r="GL104">
            <v>-5.6</v>
          </cell>
          <cell r="GM104">
            <v>-4.5</v>
          </cell>
          <cell r="GN104">
            <v>-5.5</v>
          </cell>
          <cell r="GO104">
            <v>-2.8</v>
          </cell>
          <cell r="GR104">
            <v>1.9</v>
          </cell>
          <cell r="GU104">
            <v>-1.4</v>
          </cell>
          <cell r="GX104">
            <v>-3.2</v>
          </cell>
          <cell r="HA104">
            <v>-3.2</v>
          </cell>
          <cell r="HB104">
            <v>-3.2</v>
          </cell>
          <cell r="HC104">
            <v>2.2999999999999998</v>
          </cell>
          <cell r="HD104">
            <v>-1.6</v>
          </cell>
          <cell r="HE104">
            <v>-0.1</v>
          </cell>
          <cell r="HF104">
            <v>0.5</v>
          </cell>
          <cell r="HG104">
            <v>0</v>
          </cell>
          <cell r="HH104">
            <v>0.6</v>
          </cell>
          <cell r="HI104">
            <v>-2.5</v>
          </cell>
          <cell r="HJ104">
            <v>-0.8</v>
          </cell>
          <cell r="HK104">
            <v>-1.6</v>
          </cell>
          <cell r="HL104">
            <v>6214</v>
          </cell>
          <cell r="HM104">
            <v>717</v>
          </cell>
          <cell r="HN104">
            <v>6866</v>
          </cell>
          <cell r="HS104">
            <v>3973</v>
          </cell>
          <cell r="HU104">
            <v>4489</v>
          </cell>
          <cell r="HV104">
            <v>4314</v>
          </cell>
          <cell r="HW104">
            <v>3665</v>
          </cell>
          <cell r="HX104">
            <v>2251</v>
          </cell>
          <cell r="HY104">
            <v>2999</v>
          </cell>
          <cell r="IA104">
            <v>17806</v>
          </cell>
          <cell r="IB104">
            <v>2613</v>
          </cell>
          <cell r="IC104">
            <v>140</v>
          </cell>
          <cell r="ID104">
            <v>2710</v>
          </cell>
          <cell r="IE104">
            <v>5222</v>
          </cell>
          <cell r="II104">
            <v>9646</v>
          </cell>
          <cell r="IJ104">
            <v>6180</v>
          </cell>
          <cell r="IK104">
            <v>6643</v>
          </cell>
          <cell r="IL104">
            <v>4155</v>
          </cell>
          <cell r="IM104">
            <v>1835</v>
          </cell>
          <cell r="IN104">
            <v>364</v>
          </cell>
          <cell r="IO104">
            <v>1101</v>
          </cell>
          <cell r="IP104">
            <v>2862</v>
          </cell>
          <cell r="IQ104">
            <v>6203</v>
          </cell>
        </row>
        <row r="105">
          <cell r="B105">
            <v>3199</v>
          </cell>
          <cell r="C105">
            <v>727</v>
          </cell>
          <cell r="D105">
            <v>3759</v>
          </cell>
          <cell r="I105">
            <v>3896</v>
          </cell>
          <cell r="K105">
            <v>4472</v>
          </cell>
          <cell r="L105">
            <v>3982</v>
          </cell>
          <cell r="M105">
            <v>3506</v>
          </cell>
          <cell r="N105">
            <v>2258</v>
          </cell>
          <cell r="O105">
            <v>2795</v>
          </cell>
          <cell r="Q105">
            <v>16964</v>
          </cell>
          <cell r="R105">
            <v>2730</v>
          </cell>
          <cell r="S105">
            <v>155</v>
          </cell>
          <cell r="T105">
            <v>2496</v>
          </cell>
          <cell r="U105">
            <v>5250</v>
          </cell>
          <cell r="Y105">
            <v>8947</v>
          </cell>
          <cell r="Z105">
            <v>5668</v>
          </cell>
          <cell r="AA105">
            <v>6071</v>
          </cell>
          <cell r="AB105">
            <v>3809</v>
          </cell>
          <cell r="AC105">
            <v>1864</v>
          </cell>
          <cell r="AD105">
            <v>353</v>
          </cell>
          <cell r="AE105">
            <v>1067</v>
          </cell>
          <cell r="AF105">
            <v>2760</v>
          </cell>
          <cell r="AG105">
            <v>6180</v>
          </cell>
          <cell r="AJ105">
            <v>1615</v>
          </cell>
          <cell r="AM105">
            <v>6371</v>
          </cell>
          <cell r="AP105">
            <v>3287</v>
          </cell>
          <cell r="AS105">
            <v>5165</v>
          </cell>
          <cell r="AT105">
            <v>3293</v>
          </cell>
          <cell r="AU105">
            <v>9254</v>
          </cell>
          <cell r="AV105">
            <v>8620</v>
          </cell>
          <cell r="AW105">
            <v>6795</v>
          </cell>
          <cell r="AX105">
            <v>1096</v>
          </cell>
          <cell r="AY105">
            <v>3217</v>
          </cell>
          <cell r="AZ105">
            <v>15220</v>
          </cell>
          <cell r="BA105">
            <v>124444</v>
          </cell>
          <cell r="BB105">
            <v>11882</v>
          </cell>
          <cell r="BC105">
            <v>2266</v>
          </cell>
          <cell r="BD105">
            <v>139945</v>
          </cell>
          <cell r="BE105">
            <v>-2.6</v>
          </cell>
          <cell r="BF105">
            <v>1</v>
          </cell>
          <cell r="BG105">
            <v>-2.1</v>
          </cell>
          <cell r="BL105">
            <v>0.8</v>
          </cell>
          <cell r="BN105">
            <v>1.5</v>
          </cell>
          <cell r="BO105">
            <v>-1.9</v>
          </cell>
          <cell r="BP105">
            <v>-1.9</v>
          </cell>
          <cell r="BQ105">
            <v>-1.5</v>
          </cell>
          <cell r="BR105">
            <v>-6.9</v>
          </cell>
          <cell r="BT105">
            <v>-2.6</v>
          </cell>
          <cell r="BU105">
            <v>0.4</v>
          </cell>
          <cell r="BV105">
            <v>-0.2</v>
          </cell>
          <cell r="BW105">
            <v>-1.9</v>
          </cell>
          <cell r="BX105">
            <v>-0.4</v>
          </cell>
          <cell r="CB105">
            <v>-4.3</v>
          </cell>
          <cell r="CC105">
            <v>-3.8</v>
          </cell>
          <cell r="CD105">
            <v>0.1</v>
          </cell>
          <cell r="CE105">
            <v>0</v>
          </cell>
          <cell r="CF105">
            <v>1.7</v>
          </cell>
          <cell r="CG105">
            <v>-3.1</v>
          </cell>
          <cell r="CH105">
            <v>-4.2</v>
          </cell>
          <cell r="CI105">
            <v>-3.2</v>
          </cell>
          <cell r="CJ105">
            <v>-0.4</v>
          </cell>
          <cell r="CM105">
            <v>0.3</v>
          </cell>
          <cell r="CP105">
            <v>0.6</v>
          </cell>
          <cell r="CS105">
            <v>-1.1000000000000001</v>
          </cell>
          <cell r="CV105">
            <v>-1.1000000000000001</v>
          </cell>
          <cell r="CW105">
            <v>-1.1000000000000001</v>
          </cell>
          <cell r="CX105">
            <v>1.5</v>
          </cell>
          <cell r="CY105">
            <v>-0.3</v>
          </cell>
          <cell r="CZ105">
            <v>-0.1</v>
          </cell>
          <cell r="DA105">
            <v>0.3</v>
          </cell>
          <cell r="DB105">
            <v>-0.4</v>
          </cell>
          <cell r="DC105">
            <v>0.5</v>
          </cell>
          <cell r="DD105">
            <v>-1.1000000000000001</v>
          </cell>
          <cell r="DE105">
            <v>-1.3</v>
          </cell>
          <cell r="DF105">
            <v>-1</v>
          </cell>
          <cell r="DG105">
            <v>3247</v>
          </cell>
          <cell r="DH105">
            <v>734</v>
          </cell>
          <cell r="DI105">
            <v>3813</v>
          </cell>
          <cell r="DN105">
            <v>3828</v>
          </cell>
          <cell r="DP105">
            <v>4393</v>
          </cell>
          <cell r="DQ105">
            <v>3990</v>
          </cell>
          <cell r="DR105">
            <v>3453</v>
          </cell>
          <cell r="DS105">
            <v>2208</v>
          </cell>
          <cell r="DT105">
            <v>2746</v>
          </cell>
          <cell r="DV105">
            <v>16721</v>
          </cell>
          <cell r="DW105">
            <v>2721</v>
          </cell>
          <cell r="DX105">
            <v>153</v>
          </cell>
          <cell r="DY105">
            <v>2466</v>
          </cell>
          <cell r="DZ105">
            <v>5215</v>
          </cell>
          <cell r="ED105">
            <v>8887</v>
          </cell>
          <cell r="EE105">
            <v>5561</v>
          </cell>
          <cell r="EF105">
            <v>6099</v>
          </cell>
          <cell r="EG105">
            <v>3780</v>
          </cell>
          <cell r="EH105">
            <v>1924</v>
          </cell>
          <cell r="EI105">
            <v>353</v>
          </cell>
          <cell r="EJ105">
            <v>1068</v>
          </cell>
          <cell r="EK105">
            <v>2767</v>
          </cell>
          <cell r="EL105">
            <v>6303</v>
          </cell>
          <cell r="EO105">
            <v>1616</v>
          </cell>
          <cell r="ER105">
            <v>6358</v>
          </cell>
          <cell r="EU105">
            <v>3233</v>
          </cell>
          <cell r="EX105">
            <v>5080</v>
          </cell>
          <cell r="EY105">
            <v>3239</v>
          </cell>
          <cell r="EZ105">
            <v>9255</v>
          </cell>
          <cell r="FA105">
            <v>8612</v>
          </cell>
          <cell r="FB105">
            <v>6758</v>
          </cell>
          <cell r="FC105">
            <v>1096</v>
          </cell>
          <cell r="FD105">
            <v>3201</v>
          </cell>
          <cell r="FE105">
            <v>15225</v>
          </cell>
          <cell r="FF105">
            <v>123835</v>
          </cell>
          <cell r="FG105">
            <v>11664</v>
          </cell>
          <cell r="FH105">
            <v>2612</v>
          </cell>
          <cell r="FI105">
            <v>139810</v>
          </cell>
          <cell r="FJ105">
            <v>-4.3</v>
          </cell>
          <cell r="FK105">
            <v>3.1</v>
          </cell>
          <cell r="FL105">
            <v>-3.4</v>
          </cell>
          <cell r="FQ105">
            <v>-1.7</v>
          </cell>
          <cell r="FS105">
            <v>-0.8</v>
          </cell>
          <cell r="FT105">
            <v>-0.8</v>
          </cell>
          <cell r="FU105">
            <v>-2.6</v>
          </cell>
          <cell r="FV105">
            <v>1.8</v>
          </cell>
          <cell r="FW105">
            <v>-4.5999999999999996</v>
          </cell>
          <cell r="FY105">
            <v>-2.2000000000000002</v>
          </cell>
          <cell r="FZ105">
            <v>-0.3</v>
          </cell>
          <cell r="GA105">
            <v>1.1000000000000001</v>
          </cell>
          <cell r="GB105">
            <v>-4</v>
          </cell>
          <cell r="GC105">
            <v>-1.4</v>
          </cell>
          <cell r="GG105">
            <v>-4.4000000000000004</v>
          </cell>
          <cell r="GH105">
            <v>-7.7</v>
          </cell>
          <cell r="GI105">
            <v>0.2</v>
          </cell>
          <cell r="GJ105">
            <v>-1.1000000000000001</v>
          </cell>
          <cell r="GK105">
            <v>8.1</v>
          </cell>
          <cell r="GL105">
            <v>-2.6</v>
          </cell>
          <cell r="GM105">
            <v>-3.7</v>
          </cell>
          <cell r="GN105">
            <v>-1.5</v>
          </cell>
          <cell r="GO105">
            <v>3.7</v>
          </cell>
          <cell r="GR105">
            <v>-0.3</v>
          </cell>
          <cell r="GU105">
            <v>1</v>
          </cell>
          <cell r="GX105">
            <v>-2.5</v>
          </cell>
          <cell r="HA105">
            <v>-2.5</v>
          </cell>
          <cell r="HB105">
            <v>-2.5</v>
          </cell>
          <cell r="HC105">
            <v>0.7</v>
          </cell>
          <cell r="HD105">
            <v>-0.1</v>
          </cell>
          <cell r="HE105">
            <v>-1.2</v>
          </cell>
          <cell r="HF105">
            <v>-0.1</v>
          </cell>
          <cell r="HG105">
            <v>-1.3</v>
          </cell>
          <cell r="HH105">
            <v>0.5</v>
          </cell>
          <cell r="HI105">
            <v>-1.3</v>
          </cell>
          <cell r="HJ105">
            <v>-4.2</v>
          </cell>
          <cell r="HK105">
            <v>-1</v>
          </cell>
          <cell r="HL105">
            <v>2420</v>
          </cell>
          <cell r="HM105">
            <v>695</v>
          </cell>
          <cell r="HN105">
            <v>2935</v>
          </cell>
          <cell r="HS105">
            <v>3698</v>
          </cell>
          <cell r="HU105">
            <v>4283</v>
          </cell>
          <cell r="HV105">
            <v>3843</v>
          </cell>
          <cell r="HW105">
            <v>3262</v>
          </cell>
          <cell r="HX105">
            <v>2052</v>
          </cell>
          <cell r="HY105">
            <v>2430</v>
          </cell>
          <cell r="IA105">
            <v>15427</v>
          </cell>
          <cell r="IB105">
            <v>2549</v>
          </cell>
          <cell r="IC105">
            <v>132</v>
          </cell>
          <cell r="ID105">
            <v>2654</v>
          </cell>
          <cell r="IE105">
            <v>5089</v>
          </cell>
          <cell r="II105">
            <v>8136</v>
          </cell>
          <cell r="IJ105">
            <v>5339</v>
          </cell>
          <cell r="IK105">
            <v>5733</v>
          </cell>
          <cell r="IL105">
            <v>3747</v>
          </cell>
          <cell r="IM105">
            <v>1831</v>
          </cell>
          <cell r="IN105">
            <v>349</v>
          </cell>
          <cell r="IO105">
            <v>1022</v>
          </cell>
          <cell r="IP105">
            <v>2709</v>
          </cell>
          <cell r="IQ105">
            <v>6062</v>
          </cell>
        </row>
        <row r="106">
          <cell r="B106">
            <v>3719</v>
          </cell>
          <cell r="C106">
            <v>733</v>
          </cell>
          <cell r="D106">
            <v>4300</v>
          </cell>
          <cell r="I106">
            <v>3958</v>
          </cell>
          <cell r="K106">
            <v>4566</v>
          </cell>
          <cell r="L106">
            <v>3927</v>
          </cell>
          <cell r="M106">
            <v>3520</v>
          </cell>
          <cell r="N106">
            <v>2327</v>
          </cell>
          <cell r="O106">
            <v>2758</v>
          </cell>
          <cell r="Q106">
            <v>17015</v>
          </cell>
          <cell r="R106">
            <v>2760</v>
          </cell>
          <cell r="S106">
            <v>159</v>
          </cell>
          <cell r="T106">
            <v>2467</v>
          </cell>
          <cell r="U106">
            <v>5275</v>
          </cell>
          <cell r="Y106">
            <v>8793</v>
          </cell>
          <cell r="Z106">
            <v>5640</v>
          </cell>
          <cell r="AA106">
            <v>6085</v>
          </cell>
          <cell r="AB106">
            <v>3850</v>
          </cell>
          <cell r="AC106">
            <v>1859</v>
          </cell>
          <cell r="AD106">
            <v>354</v>
          </cell>
          <cell r="AE106">
            <v>1053</v>
          </cell>
          <cell r="AF106">
            <v>2793</v>
          </cell>
          <cell r="AG106">
            <v>6176</v>
          </cell>
          <cell r="AJ106">
            <v>1627</v>
          </cell>
          <cell r="AM106">
            <v>6470</v>
          </cell>
          <cell r="AP106">
            <v>3280</v>
          </cell>
          <cell r="AS106">
            <v>5153</v>
          </cell>
          <cell r="AT106">
            <v>3286</v>
          </cell>
          <cell r="AU106">
            <v>9441</v>
          </cell>
          <cell r="AV106">
            <v>8690</v>
          </cell>
          <cell r="AW106">
            <v>6827</v>
          </cell>
          <cell r="AX106">
            <v>1102</v>
          </cell>
          <cell r="AY106">
            <v>3221</v>
          </cell>
          <cell r="AZ106">
            <v>15293</v>
          </cell>
          <cell r="BA106">
            <v>125551</v>
          </cell>
          <cell r="BB106">
            <v>12033</v>
          </cell>
          <cell r="BC106">
            <v>1913</v>
          </cell>
          <cell r="BD106">
            <v>140405</v>
          </cell>
          <cell r="BE106">
            <v>16.3</v>
          </cell>
          <cell r="BF106">
            <v>0.9</v>
          </cell>
          <cell r="BG106">
            <v>14.4</v>
          </cell>
          <cell r="BL106">
            <v>1.6</v>
          </cell>
          <cell r="BN106">
            <v>2.1</v>
          </cell>
          <cell r="BO106">
            <v>-1.4</v>
          </cell>
          <cell r="BP106">
            <v>0.4</v>
          </cell>
          <cell r="BQ106">
            <v>3.1</v>
          </cell>
          <cell r="BR106">
            <v>-1.3</v>
          </cell>
          <cell r="BT106">
            <v>0.3</v>
          </cell>
          <cell r="BU106">
            <v>1.1000000000000001</v>
          </cell>
          <cell r="BV106">
            <v>2.5</v>
          </cell>
          <cell r="BW106">
            <v>-1.2</v>
          </cell>
          <cell r="BX106">
            <v>0.5</v>
          </cell>
          <cell r="CB106">
            <v>-1.7</v>
          </cell>
          <cell r="CC106">
            <v>-0.5</v>
          </cell>
          <cell r="CD106">
            <v>0.2</v>
          </cell>
          <cell r="CE106">
            <v>1.1000000000000001</v>
          </cell>
          <cell r="CF106">
            <v>-0.3</v>
          </cell>
          <cell r="CG106">
            <v>0.3</v>
          </cell>
          <cell r="CH106">
            <v>-1.3</v>
          </cell>
          <cell r="CI106">
            <v>1.2</v>
          </cell>
          <cell r="CJ106">
            <v>-0.1</v>
          </cell>
          <cell r="CM106">
            <v>0.7</v>
          </cell>
          <cell r="CP106">
            <v>1.5</v>
          </cell>
          <cell r="CS106">
            <v>-0.2</v>
          </cell>
          <cell r="CV106">
            <v>-0.2</v>
          </cell>
          <cell r="CW106">
            <v>-0.2</v>
          </cell>
          <cell r="CX106">
            <v>2</v>
          </cell>
          <cell r="CY106">
            <v>0.8</v>
          </cell>
          <cell r="CZ106">
            <v>0.5</v>
          </cell>
          <cell r="DA106">
            <v>0.6</v>
          </cell>
          <cell r="DB106">
            <v>0.1</v>
          </cell>
          <cell r="DC106">
            <v>0.5</v>
          </cell>
          <cell r="DD106">
            <v>0.9</v>
          </cell>
          <cell r="DE106">
            <v>1.3</v>
          </cell>
          <cell r="DF106">
            <v>0.3</v>
          </cell>
          <cell r="DG106">
            <v>3072</v>
          </cell>
          <cell r="DH106">
            <v>737</v>
          </cell>
          <cell r="DI106">
            <v>3635</v>
          </cell>
          <cell r="DN106">
            <v>4035</v>
          </cell>
          <cell r="DP106">
            <v>4673</v>
          </cell>
          <cell r="DQ106">
            <v>3934</v>
          </cell>
          <cell r="DR106">
            <v>3584</v>
          </cell>
          <cell r="DS106">
            <v>2433</v>
          </cell>
          <cell r="DT106">
            <v>2778</v>
          </cell>
          <cell r="DV106">
            <v>17326</v>
          </cell>
          <cell r="DW106">
            <v>2763</v>
          </cell>
          <cell r="DX106">
            <v>164</v>
          </cell>
          <cell r="DY106">
            <v>2447</v>
          </cell>
          <cell r="DZ106">
            <v>5275</v>
          </cell>
          <cell r="ED106">
            <v>8828</v>
          </cell>
          <cell r="EE106">
            <v>5554</v>
          </cell>
          <cell r="EF106">
            <v>6055</v>
          </cell>
          <cell r="EG106">
            <v>3852</v>
          </cell>
          <cell r="EH106">
            <v>1887</v>
          </cell>
          <cell r="EI106">
            <v>344</v>
          </cell>
          <cell r="EJ106">
            <v>1053</v>
          </cell>
          <cell r="EK106">
            <v>2808</v>
          </cell>
          <cell r="EL106">
            <v>6206</v>
          </cell>
          <cell r="EO106">
            <v>1619</v>
          </cell>
          <cell r="ER106">
            <v>6479</v>
          </cell>
          <cell r="EU106">
            <v>3341</v>
          </cell>
          <cell r="EX106">
            <v>5248</v>
          </cell>
          <cell r="EY106">
            <v>3346</v>
          </cell>
          <cell r="EZ106">
            <v>9369</v>
          </cell>
          <cell r="FA106">
            <v>8627</v>
          </cell>
          <cell r="FB106">
            <v>6803</v>
          </cell>
          <cell r="FC106">
            <v>1093</v>
          </cell>
          <cell r="FD106">
            <v>3211</v>
          </cell>
          <cell r="FE106">
            <v>15288</v>
          </cell>
          <cell r="FF106">
            <v>125270</v>
          </cell>
          <cell r="FG106">
            <v>12086</v>
          </cell>
          <cell r="FH106">
            <v>2062</v>
          </cell>
          <cell r="FI106">
            <v>139540</v>
          </cell>
          <cell r="FJ106">
            <v>-5.4</v>
          </cell>
          <cell r="FK106">
            <v>0.4</v>
          </cell>
          <cell r="FL106">
            <v>-4.7</v>
          </cell>
          <cell r="FQ106">
            <v>5.4</v>
          </cell>
          <cell r="FS106">
            <v>6.4</v>
          </cell>
          <cell r="FT106">
            <v>-1.4</v>
          </cell>
          <cell r="FU106">
            <v>3.8</v>
          </cell>
          <cell r="FV106">
            <v>10.199999999999999</v>
          </cell>
          <cell r="FW106">
            <v>1.1000000000000001</v>
          </cell>
          <cell r="FY106">
            <v>3.6</v>
          </cell>
          <cell r="FZ106">
            <v>1.6</v>
          </cell>
          <cell r="GA106">
            <v>6.7</v>
          </cell>
          <cell r="GB106">
            <v>-0.8</v>
          </cell>
          <cell r="GC106">
            <v>1.1000000000000001</v>
          </cell>
          <cell r="GG106">
            <v>-0.7</v>
          </cell>
          <cell r="GH106">
            <v>-0.1</v>
          </cell>
          <cell r="GI106">
            <v>-0.7</v>
          </cell>
          <cell r="GJ106">
            <v>1.9</v>
          </cell>
          <cell r="GK106">
            <v>-1.9</v>
          </cell>
          <cell r="GL106">
            <v>-2.7</v>
          </cell>
          <cell r="GM106">
            <v>-1.4</v>
          </cell>
          <cell r="GN106">
            <v>1.5</v>
          </cell>
          <cell r="GO106">
            <v>-1.5</v>
          </cell>
          <cell r="GR106">
            <v>0.2</v>
          </cell>
          <cell r="GU106">
            <v>1.9</v>
          </cell>
          <cell r="GX106">
            <v>3.3</v>
          </cell>
          <cell r="HA106">
            <v>3.3</v>
          </cell>
          <cell r="HB106">
            <v>3.3</v>
          </cell>
          <cell r="HC106">
            <v>1.2</v>
          </cell>
          <cell r="HD106">
            <v>0.2</v>
          </cell>
          <cell r="HE106">
            <v>0.7</v>
          </cell>
          <cell r="HF106">
            <v>-0.3</v>
          </cell>
          <cell r="HG106">
            <v>0.3</v>
          </cell>
          <cell r="HH106">
            <v>0.4</v>
          </cell>
          <cell r="HI106">
            <v>1.2</v>
          </cell>
          <cell r="HJ106">
            <v>3.6</v>
          </cell>
          <cell r="HK106">
            <v>-0.2</v>
          </cell>
          <cell r="HL106">
            <v>1346</v>
          </cell>
          <cell r="HM106">
            <v>750</v>
          </cell>
          <cell r="HN106">
            <v>1860</v>
          </cell>
          <cell r="HS106">
            <v>3996</v>
          </cell>
          <cell r="HU106">
            <v>4618</v>
          </cell>
          <cell r="HV106">
            <v>3813</v>
          </cell>
          <cell r="HW106">
            <v>3574</v>
          </cell>
          <cell r="HX106">
            <v>2429</v>
          </cell>
          <cell r="HY106">
            <v>2812</v>
          </cell>
          <cell r="IA106">
            <v>17291</v>
          </cell>
          <cell r="IB106">
            <v>2820</v>
          </cell>
          <cell r="IC106">
            <v>172</v>
          </cell>
          <cell r="ID106">
            <v>2288</v>
          </cell>
          <cell r="IE106">
            <v>5255</v>
          </cell>
          <cell r="II106">
            <v>9470</v>
          </cell>
          <cell r="IJ106">
            <v>5524</v>
          </cell>
          <cell r="IK106">
            <v>5971</v>
          </cell>
          <cell r="IL106">
            <v>3668</v>
          </cell>
          <cell r="IM106">
            <v>1876</v>
          </cell>
          <cell r="IN106">
            <v>334</v>
          </cell>
          <cell r="IO106">
            <v>1080</v>
          </cell>
          <cell r="IP106">
            <v>2804</v>
          </cell>
          <cell r="IQ106">
            <v>6171</v>
          </cell>
        </row>
        <row r="107">
          <cell r="B107">
            <v>4441</v>
          </cell>
          <cell r="C107">
            <v>733</v>
          </cell>
          <cell r="D107">
            <v>5044</v>
          </cell>
          <cell r="I107">
            <v>4003</v>
          </cell>
          <cell r="K107">
            <v>4628</v>
          </cell>
          <cell r="L107">
            <v>3909</v>
          </cell>
          <cell r="M107">
            <v>3645</v>
          </cell>
          <cell r="N107">
            <v>2392</v>
          </cell>
          <cell r="O107">
            <v>2821</v>
          </cell>
          <cell r="Q107">
            <v>17351</v>
          </cell>
          <cell r="R107">
            <v>2811</v>
          </cell>
          <cell r="S107">
            <v>164</v>
          </cell>
          <cell r="T107">
            <v>2463</v>
          </cell>
          <cell r="U107">
            <v>5347</v>
          </cell>
          <cell r="Y107">
            <v>8883</v>
          </cell>
          <cell r="Z107">
            <v>5808</v>
          </cell>
          <cell r="AA107">
            <v>6129</v>
          </cell>
          <cell r="AB107">
            <v>3892</v>
          </cell>
          <cell r="AC107">
            <v>1841</v>
          </cell>
          <cell r="AD107">
            <v>363</v>
          </cell>
          <cell r="AE107">
            <v>1085</v>
          </cell>
          <cell r="AF107">
            <v>2914</v>
          </cell>
          <cell r="AG107">
            <v>6220</v>
          </cell>
          <cell r="AJ107">
            <v>1657</v>
          </cell>
          <cell r="AM107">
            <v>6595</v>
          </cell>
          <cell r="AP107">
            <v>3300</v>
          </cell>
          <cell r="AS107">
            <v>5184</v>
          </cell>
          <cell r="AT107">
            <v>3306</v>
          </cell>
          <cell r="AU107">
            <v>9648</v>
          </cell>
          <cell r="AV107">
            <v>8774</v>
          </cell>
          <cell r="AW107">
            <v>6928</v>
          </cell>
          <cell r="AX107">
            <v>1121</v>
          </cell>
          <cell r="AY107">
            <v>3251</v>
          </cell>
          <cell r="AZ107">
            <v>15370</v>
          </cell>
          <cell r="BA107">
            <v>128174</v>
          </cell>
          <cell r="BB107">
            <v>12361</v>
          </cell>
          <cell r="BC107">
            <v>1650</v>
          </cell>
          <cell r="BD107">
            <v>142787</v>
          </cell>
          <cell r="BE107">
            <v>19.399999999999999</v>
          </cell>
          <cell r="BF107">
            <v>-0.1</v>
          </cell>
          <cell r="BG107">
            <v>17.3</v>
          </cell>
          <cell r="BL107">
            <v>1.1000000000000001</v>
          </cell>
          <cell r="BN107">
            <v>1.4</v>
          </cell>
          <cell r="BO107">
            <v>-0.5</v>
          </cell>
          <cell r="BP107">
            <v>3.5</v>
          </cell>
          <cell r="BQ107">
            <v>2.8</v>
          </cell>
          <cell r="BR107">
            <v>2.2999999999999998</v>
          </cell>
          <cell r="BT107">
            <v>2</v>
          </cell>
          <cell r="BU107">
            <v>1.9</v>
          </cell>
          <cell r="BV107">
            <v>3.6</v>
          </cell>
          <cell r="BW107">
            <v>-0.1</v>
          </cell>
          <cell r="BX107">
            <v>1.4</v>
          </cell>
          <cell r="CB107">
            <v>1</v>
          </cell>
          <cell r="CC107">
            <v>3</v>
          </cell>
          <cell r="CD107">
            <v>0.7</v>
          </cell>
          <cell r="CE107">
            <v>1.1000000000000001</v>
          </cell>
          <cell r="CF107">
            <v>-0.9</v>
          </cell>
          <cell r="CG107">
            <v>2.4</v>
          </cell>
          <cell r="CH107">
            <v>3.1</v>
          </cell>
          <cell r="CI107">
            <v>4.4000000000000004</v>
          </cell>
          <cell r="CJ107">
            <v>0.7</v>
          </cell>
          <cell r="CM107">
            <v>1.9</v>
          </cell>
          <cell r="CP107">
            <v>1.9</v>
          </cell>
          <cell r="CS107">
            <v>0.6</v>
          </cell>
          <cell r="CV107">
            <v>0.6</v>
          </cell>
          <cell r="CW107">
            <v>0.6</v>
          </cell>
          <cell r="CX107">
            <v>2.2000000000000002</v>
          </cell>
          <cell r="CY107">
            <v>1</v>
          </cell>
          <cell r="CZ107">
            <v>1.5</v>
          </cell>
          <cell r="DA107">
            <v>1.6</v>
          </cell>
          <cell r="DB107">
            <v>0.9</v>
          </cell>
          <cell r="DC107">
            <v>0.5</v>
          </cell>
          <cell r="DD107">
            <v>2.1</v>
          </cell>
          <cell r="DE107">
            <v>2.7</v>
          </cell>
          <cell r="DF107">
            <v>1.7</v>
          </cell>
          <cell r="DG107">
            <v>5109</v>
          </cell>
          <cell r="DH107">
            <v>732</v>
          </cell>
          <cell r="DI107">
            <v>5731</v>
          </cell>
          <cell r="DN107">
            <v>4012</v>
          </cell>
          <cell r="DP107">
            <v>4629</v>
          </cell>
          <cell r="DQ107">
            <v>3893</v>
          </cell>
          <cell r="DR107">
            <v>3578</v>
          </cell>
          <cell r="DS107">
            <v>2396</v>
          </cell>
          <cell r="DT107">
            <v>2848</v>
          </cell>
          <cell r="DV107">
            <v>17254</v>
          </cell>
          <cell r="DW107">
            <v>2801</v>
          </cell>
          <cell r="DX107">
            <v>160</v>
          </cell>
          <cell r="DY107">
            <v>2499</v>
          </cell>
          <cell r="DZ107">
            <v>5351</v>
          </cell>
          <cell r="ED107">
            <v>8738</v>
          </cell>
          <cell r="EE107">
            <v>5877</v>
          </cell>
          <cell r="EF107">
            <v>6124</v>
          </cell>
          <cell r="EG107">
            <v>3898</v>
          </cell>
          <cell r="EH107">
            <v>1801</v>
          </cell>
          <cell r="EI107">
            <v>376</v>
          </cell>
          <cell r="EJ107">
            <v>1071</v>
          </cell>
          <cell r="EK107">
            <v>2869</v>
          </cell>
          <cell r="EL107">
            <v>6157</v>
          </cell>
          <cell r="EO107">
            <v>1645</v>
          </cell>
          <cell r="ER107">
            <v>6587</v>
          </cell>
          <cell r="EU107">
            <v>3267</v>
          </cell>
          <cell r="EX107">
            <v>5132</v>
          </cell>
          <cell r="EY107">
            <v>3273</v>
          </cell>
          <cell r="EZ107">
            <v>9719</v>
          </cell>
          <cell r="FA107">
            <v>8905</v>
          </cell>
          <cell r="FB107">
            <v>6938</v>
          </cell>
          <cell r="FC107">
            <v>1128</v>
          </cell>
          <cell r="FD107">
            <v>3253</v>
          </cell>
          <cell r="FE107">
            <v>15369</v>
          </cell>
          <cell r="FF107">
            <v>128713</v>
          </cell>
          <cell r="FG107">
            <v>12450</v>
          </cell>
          <cell r="FH107">
            <v>1457</v>
          </cell>
          <cell r="FI107">
            <v>143394</v>
          </cell>
          <cell r="FJ107">
            <v>66.3</v>
          </cell>
          <cell r="FK107">
            <v>-0.7</v>
          </cell>
          <cell r="FL107">
            <v>57.7</v>
          </cell>
          <cell r="FQ107">
            <v>-0.6</v>
          </cell>
          <cell r="FS107">
            <v>-0.9</v>
          </cell>
          <cell r="FT107">
            <v>-1</v>
          </cell>
          <cell r="FU107">
            <v>-0.2</v>
          </cell>
          <cell r="FV107">
            <v>-1.5</v>
          </cell>
          <cell r="FW107">
            <v>2.5</v>
          </cell>
          <cell r="FY107">
            <v>-0.4</v>
          </cell>
          <cell r="FZ107">
            <v>1.4</v>
          </cell>
          <cell r="GA107">
            <v>-2.2999999999999998</v>
          </cell>
          <cell r="GB107">
            <v>2.2000000000000002</v>
          </cell>
          <cell r="GC107">
            <v>1.4</v>
          </cell>
          <cell r="GG107">
            <v>-1</v>
          </cell>
          <cell r="GH107">
            <v>5.8</v>
          </cell>
          <cell r="GI107">
            <v>1.1000000000000001</v>
          </cell>
          <cell r="GJ107">
            <v>1.2</v>
          </cell>
          <cell r="GK107">
            <v>-4.5999999999999996</v>
          </cell>
          <cell r="GL107">
            <v>9.3000000000000007</v>
          </cell>
          <cell r="GM107">
            <v>1.6</v>
          </cell>
          <cell r="GN107">
            <v>2.2000000000000002</v>
          </cell>
          <cell r="GO107">
            <v>-0.8</v>
          </cell>
          <cell r="GR107">
            <v>1.6</v>
          </cell>
          <cell r="GU107">
            <v>1.7</v>
          </cell>
          <cell r="GX107">
            <v>-2.2000000000000002</v>
          </cell>
          <cell r="HA107">
            <v>-2.2000000000000002</v>
          </cell>
          <cell r="HB107">
            <v>-2.2000000000000002</v>
          </cell>
          <cell r="HC107">
            <v>3.7</v>
          </cell>
          <cell r="HD107">
            <v>3.2</v>
          </cell>
          <cell r="HE107">
            <v>2</v>
          </cell>
          <cell r="HF107">
            <v>3.2</v>
          </cell>
          <cell r="HG107">
            <v>1.3</v>
          </cell>
          <cell r="HH107">
            <v>0.5</v>
          </cell>
          <cell r="HI107">
            <v>2.7</v>
          </cell>
          <cell r="HJ107">
            <v>3</v>
          </cell>
          <cell r="HK107">
            <v>2.8</v>
          </cell>
          <cell r="HL107">
            <v>2991</v>
          </cell>
          <cell r="HM107">
            <v>750</v>
          </cell>
          <cell r="HN107">
            <v>3559</v>
          </cell>
          <cell r="HS107">
            <v>4109</v>
          </cell>
          <cell r="HU107">
            <v>4746</v>
          </cell>
          <cell r="HV107">
            <v>3871</v>
          </cell>
          <cell r="HW107">
            <v>3652</v>
          </cell>
          <cell r="HX107">
            <v>2484</v>
          </cell>
          <cell r="HY107">
            <v>2991</v>
          </cell>
          <cell r="IA107">
            <v>17850</v>
          </cell>
          <cell r="IB107">
            <v>3033</v>
          </cell>
          <cell r="IC107">
            <v>185</v>
          </cell>
          <cell r="ID107">
            <v>2334</v>
          </cell>
          <cell r="IE107">
            <v>5572</v>
          </cell>
          <cell r="II107">
            <v>8473</v>
          </cell>
          <cell r="IJ107">
            <v>5968</v>
          </cell>
          <cell r="IK107">
            <v>6003</v>
          </cell>
          <cell r="IL107">
            <v>3771</v>
          </cell>
          <cell r="IM107">
            <v>1835</v>
          </cell>
          <cell r="IN107">
            <v>389</v>
          </cell>
          <cell r="IO107">
            <v>1083</v>
          </cell>
          <cell r="IP107">
            <v>2878</v>
          </cell>
          <cell r="IQ107">
            <v>6288</v>
          </cell>
        </row>
        <row r="108">
          <cell r="B108">
            <v>4941</v>
          </cell>
          <cell r="C108">
            <v>733</v>
          </cell>
          <cell r="D108">
            <v>5561</v>
          </cell>
          <cell r="I108">
            <v>4090</v>
          </cell>
          <cell r="K108">
            <v>4729</v>
          </cell>
          <cell r="L108">
            <v>3944</v>
          </cell>
          <cell r="M108">
            <v>3734</v>
          </cell>
          <cell r="N108">
            <v>2419</v>
          </cell>
          <cell r="O108">
            <v>2844</v>
          </cell>
          <cell r="Q108">
            <v>17595</v>
          </cell>
          <cell r="R108">
            <v>2867</v>
          </cell>
          <cell r="S108">
            <v>170</v>
          </cell>
          <cell r="T108">
            <v>2482</v>
          </cell>
          <cell r="U108">
            <v>5440</v>
          </cell>
          <cell r="Y108">
            <v>9117</v>
          </cell>
          <cell r="Z108">
            <v>6015</v>
          </cell>
          <cell r="AA108">
            <v>6228</v>
          </cell>
          <cell r="AB108">
            <v>3899</v>
          </cell>
          <cell r="AC108">
            <v>1861</v>
          </cell>
          <cell r="AD108">
            <v>373</v>
          </cell>
          <cell r="AE108">
            <v>1158</v>
          </cell>
          <cell r="AF108">
            <v>3100</v>
          </cell>
          <cell r="AG108">
            <v>6391</v>
          </cell>
          <cell r="AJ108">
            <v>1697</v>
          </cell>
          <cell r="AM108">
            <v>6648</v>
          </cell>
          <cell r="AP108">
            <v>3317</v>
          </cell>
          <cell r="AS108">
            <v>5212</v>
          </cell>
          <cell r="AT108">
            <v>3323</v>
          </cell>
          <cell r="AU108">
            <v>9868</v>
          </cell>
          <cell r="AV108">
            <v>8883</v>
          </cell>
          <cell r="AW108">
            <v>7050</v>
          </cell>
          <cell r="AX108">
            <v>1148</v>
          </cell>
          <cell r="AY108">
            <v>3276</v>
          </cell>
          <cell r="AZ108">
            <v>15457</v>
          </cell>
          <cell r="BA108">
            <v>130900</v>
          </cell>
          <cell r="BB108">
            <v>12707</v>
          </cell>
          <cell r="BC108">
            <v>1528</v>
          </cell>
          <cell r="BD108">
            <v>146082</v>
          </cell>
          <cell r="BE108">
            <v>11.3</v>
          </cell>
          <cell r="BF108">
            <v>0.1</v>
          </cell>
          <cell r="BG108">
            <v>10.199999999999999</v>
          </cell>
          <cell r="BL108">
            <v>2.2000000000000002</v>
          </cell>
          <cell r="BN108">
            <v>2.2000000000000002</v>
          </cell>
          <cell r="BO108">
            <v>0.9</v>
          </cell>
          <cell r="BP108">
            <v>2.5</v>
          </cell>
          <cell r="BQ108">
            <v>1.1000000000000001</v>
          </cell>
          <cell r="BR108">
            <v>0.8</v>
          </cell>
          <cell r="BT108">
            <v>1.4</v>
          </cell>
          <cell r="BU108">
            <v>2</v>
          </cell>
          <cell r="BV108">
            <v>3.6</v>
          </cell>
          <cell r="BW108">
            <v>0.7</v>
          </cell>
          <cell r="BX108">
            <v>1.7</v>
          </cell>
          <cell r="CB108">
            <v>2.6</v>
          </cell>
          <cell r="CC108">
            <v>3.6</v>
          </cell>
          <cell r="CD108">
            <v>1.6</v>
          </cell>
          <cell r="CE108">
            <v>0.2</v>
          </cell>
          <cell r="CF108">
            <v>1.1000000000000001</v>
          </cell>
          <cell r="CG108">
            <v>2.8</v>
          </cell>
          <cell r="CH108">
            <v>6.7</v>
          </cell>
          <cell r="CI108">
            <v>6.4</v>
          </cell>
          <cell r="CJ108">
            <v>2.8</v>
          </cell>
          <cell r="CM108">
            <v>2.4</v>
          </cell>
          <cell r="CP108">
            <v>0.8</v>
          </cell>
          <cell r="CS108">
            <v>0.5</v>
          </cell>
          <cell r="CV108">
            <v>0.5</v>
          </cell>
          <cell r="CW108">
            <v>0.5</v>
          </cell>
          <cell r="CX108">
            <v>2.2999999999999998</v>
          </cell>
          <cell r="CY108">
            <v>1.2</v>
          </cell>
          <cell r="CZ108">
            <v>1.8</v>
          </cell>
          <cell r="DA108">
            <v>2.4</v>
          </cell>
          <cell r="DB108">
            <v>0.8</v>
          </cell>
          <cell r="DC108">
            <v>0.6</v>
          </cell>
          <cell r="DD108">
            <v>2.1</v>
          </cell>
          <cell r="DE108">
            <v>2.8</v>
          </cell>
          <cell r="DF108">
            <v>2.2999999999999998</v>
          </cell>
          <cell r="DG108">
            <v>4933</v>
          </cell>
          <cell r="DH108">
            <v>727</v>
          </cell>
          <cell r="DI108">
            <v>5549</v>
          </cell>
          <cell r="DN108">
            <v>3998</v>
          </cell>
          <cell r="DP108">
            <v>4618</v>
          </cell>
          <cell r="DQ108">
            <v>3935</v>
          </cell>
          <cell r="DR108">
            <v>3720</v>
          </cell>
          <cell r="DS108">
            <v>2359</v>
          </cell>
          <cell r="DT108">
            <v>2863</v>
          </cell>
          <cell r="DV108">
            <v>17567</v>
          </cell>
          <cell r="DW108">
            <v>2877</v>
          </cell>
          <cell r="DX108">
            <v>172</v>
          </cell>
          <cell r="DY108">
            <v>2471</v>
          </cell>
          <cell r="DZ108">
            <v>5447</v>
          </cell>
          <cell r="ED108">
            <v>9357</v>
          </cell>
          <cell r="EE108">
            <v>6057</v>
          </cell>
          <cell r="EF108">
            <v>6214</v>
          </cell>
          <cell r="EG108">
            <v>3934</v>
          </cell>
          <cell r="EH108">
            <v>1809</v>
          </cell>
          <cell r="EI108">
            <v>369</v>
          </cell>
          <cell r="EJ108">
            <v>1149</v>
          </cell>
          <cell r="EK108">
            <v>3115</v>
          </cell>
          <cell r="EL108">
            <v>6271</v>
          </cell>
          <cell r="EO108">
            <v>1716</v>
          </cell>
          <cell r="ER108">
            <v>6683</v>
          </cell>
          <cell r="EU108">
            <v>3339</v>
          </cell>
          <cell r="EX108">
            <v>5245</v>
          </cell>
          <cell r="EY108">
            <v>3344</v>
          </cell>
          <cell r="EZ108">
            <v>9861</v>
          </cell>
          <cell r="FA108">
            <v>8824</v>
          </cell>
          <cell r="FB108">
            <v>7091</v>
          </cell>
          <cell r="FC108">
            <v>1144</v>
          </cell>
          <cell r="FD108">
            <v>3289</v>
          </cell>
          <cell r="FE108">
            <v>15453</v>
          </cell>
          <cell r="FF108">
            <v>131062</v>
          </cell>
          <cell r="FG108">
            <v>12612</v>
          </cell>
          <cell r="FH108">
            <v>1066</v>
          </cell>
          <cell r="FI108">
            <v>145813</v>
          </cell>
          <cell r="FJ108">
            <v>-3.4</v>
          </cell>
          <cell r="FK108">
            <v>-0.6</v>
          </cell>
          <cell r="FL108">
            <v>-3.2</v>
          </cell>
          <cell r="FQ108">
            <v>-0.3</v>
          </cell>
          <cell r="FS108">
            <v>-0.2</v>
          </cell>
          <cell r="FT108">
            <v>1.1000000000000001</v>
          </cell>
          <cell r="FU108">
            <v>4</v>
          </cell>
          <cell r="FV108">
            <v>-1.5</v>
          </cell>
          <cell r="FW108">
            <v>0.5</v>
          </cell>
          <cell r="FY108">
            <v>1.8</v>
          </cell>
          <cell r="FZ108">
            <v>2.7</v>
          </cell>
          <cell r="GA108">
            <v>7.2</v>
          </cell>
          <cell r="GB108">
            <v>-1.1000000000000001</v>
          </cell>
          <cell r="GC108">
            <v>1.8</v>
          </cell>
          <cell r="GG108">
            <v>7.1</v>
          </cell>
          <cell r="GH108">
            <v>3.1</v>
          </cell>
          <cell r="GI108">
            <v>1.5</v>
          </cell>
          <cell r="GJ108">
            <v>0.9</v>
          </cell>
          <cell r="GK108">
            <v>0.5</v>
          </cell>
          <cell r="GL108">
            <v>-1.7</v>
          </cell>
          <cell r="GM108">
            <v>7.3</v>
          </cell>
          <cell r="GN108">
            <v>8.5</v>
          </cell>
          <cell r="GO108">
            <v>1.9</v>
          </cell>
          <cell r="GR108">
            <v>4.3</v>
          </cell>
          <cell r="GU108">
            <v>1.5</v>
          </cell>
          <cell r="GX108">
            <v>2.2000000000000002</v>
          </cell>
          <cell r="HA108">
            <v>2.2000000000000002</v>
          </cell>
          <cell r="HB108">
            <v>2.2000000000000002</v>
          </cell>
          <cell r="HC108">
            <v>1.5</v>
          </cell>
          <cell r="HD108">
            <v>-0.9</v>
          </cell>
          <cell r="HE108">
            <v>2.2000000000000002</v>
          </cell>
          <cell r="HF108">
            <v>1.4</v>
          </cell>
          <cell r="HG108">
            <v>1.1000000000000001</v>
          </cell>
          <cell r="HH108">
            <v>0.5</v>
          </cell>
          <cell r="HI108">
            <v>1.8</v>
          </cell>
          <cell r="HJ108">
            <v>1.3</v>
          </cell>
          <cell r="HK108">
            <v>1.7</v>
          </cell>
          <cell r="HL108">
            <v>10011</v>
          </cell>
          <cell r="HM108">
            <v>735</v>
          </cell>
          <cell r="HN108">
            <v>10801</v>
          </cell>
          <cell r="HS108">
            <v>4082</v>
          </cell>
          <cell r="HU108">
            <v>4693</v>
          </cell>
          <cell r="HV108">
            <v>4210</v>
          </cell>
          <cell r="HW108">
            <v>3846</v>
          </cell>
          <cell r="HX108">
            <v>2452</v>
          </cell>
          <cell r="HY108">
            <v>2980</v>
          </cell>
          <cell r="IA108">
            <v>18291</v>
          </cell>
          <cell r="IB108">
            <v>2762</v>
          </cell>
          <cell r="IC108">
            <v>161</v>
          </cell>
          <cell r="ID108">
            <v>2603</v>
          </cell>
          <cell r="IE108">
            <v>5375</v>
          </cell>
          <cell r="II108">
            <v>9684</v>
          </cell>
          <cell r="IJ108">
            <v>6222</v>
          </cell>
          <cell r="IK108">
            <v>6817</v>
          </cell>
          <cell r="IL108">
            <v>4277</v>
          </cell>
          <cell r="IM108">
            <v>1865</v>
          </cell>
          <cell r="IN108">
            <v>374</v>
          </cell>
          <cell r="IO108">
            <v>1149</v>
          </cell>
          <cell r="IP108">
            <v>3170</v>
          </cell>
          <cell r="IQ108">
            <v>6427</v>
          </cell>
        </row>
        <row r="109">
          <cell r="B109">
            <v>4988</v>
          </cell>
          <cell r="C109">
            <v>739</v>
          </cell>
          <cell r="D109">
            <v>5615</v>
          </cell>
          <cell r="I109">
            <v>4227</v>
          </cell>
          <cell r="K109">
            <v>4896</v>
          </cell>
          <cell r="L109">
            <v>4036</v>
          </cell>
          <cell r="M109">
            <v>3743</v>
          </cell>
          <cell r="N109">
            <v>2465</v>
          </cell>
          <cell r="O109">
            <v>2865</v>
          </cell>
          <cell r="Q109">
            <v>17892</v>
          </cell>
          <cell r="R109">
            <v>2919</v>
          </cell>
          <cell r="S109">
            <v>177</v>
          </cell>
          <cell r="T109">
            <v>2507</v>
          </cell>
          <cell r="U109">
            <v>5532</v>
          </cell>
          <cell r="Y109">
            <v>9381</v>
          </cell>
          <cell r="Z109">
            <v>6138</v>
          </cell>
          <cell r="AA109">
            <v>6338</v>
          </cell>
          <cell r="AB109">
            <v>3872</v>
          </cell>
          <cell r="AC109">
            <v>1933</v>
          </cell>
          <cell r="AD109">
            <v>383</v>
          </cell>
          <cell r="AE109">
            <v>1233</v>
          </cell>
          <cell r="AF109">
            <v>3295</v>
          </cell>
          <cell r="AG109">
            <v>6665</v>
          </cell>
          <cell r="AJ109">
            <v>1725</v>
          </cell>
          <cell r="AM109">
            <v>6655</v>
          </cell>
          <cell r="AP109">
            <v>3368</v>
          </cell>
          <cell r="AS109">
            <v>5291</v>
          </cell>
          <cell r="AT109">
            <v>3373</v>
          </cell>
          <cell r="AU109">
            <v>10064</v>
          </cell>
          <cell r="AV109">
            <v>9038</v>
          </cell>
          <cell r="AW109">
            <v>7164</v>
          </cell>
          <cell r="AX109">
            <v>1178</v>
          </cell>
          <cell r="AY109">
            <v>3265</v>
          </cell>
          <cell r="AZ109">
            <v>15533</v>
          </cell>
          <cell r="BA109">
            <v>133269</v>
          </cell>
          <cell r="BB109">
            <v>13001</v>
          </cell>
          <cell r="BC109">
            <v>1755</v>
          </cell>
          <cell r="BD109">
            <v>149072</v>
          </cell>
          <cell r="BE109">
            <v>1</v>
          </cell>
          <cell r="BF109">
            <v>0.8</v>
          </cell>
          <cell r="BG109">
            <v>1</v>
          </cell>
          <cell r="BL109">
            <v>3.4</v>
          </cell>
          <cell r="BN109">
            <v>3.5</v>
          </cell>
          <cell r="BO109">
            <v>2.2999999999999998</v>
          </cell>
          <cell r="BP109">
            <v>0.2</v>
          </cell>
          <cell r="BQ109">
            <v>1.9</v>
          </cell>
          <cell r="BR109">
            <v>0.8</v>
          </cell>
          <cell r="BT109">
            <v>1.7</v>
          </cell>
          <cell r="BU109">
            <v>1.8</v>
          </cell>
          <cell r="BV109">
            <v>3.8</v>
          </cell>
          <cell r="BW109">
            <v>1</v>
          </cell>
          <cell r="BX109">
            <v>1.7</v>
          </cell>
          <cell r="CB109">
            <v>2.9</v>
          </cell>
          <cell r="CC109">
            <v>2</v>
          </cell>
          <cell r="CD109">
            <v>1.8</v>
          </cell>
          <cell r="CE109">
            <v>-0.7</v>
          </cell>
          <cell r="CF109">
            <v>3.8</v>
          </cell>
          <cell r="CG109">
            <v>2.8</v>
          </cell>
          <cell r="CH109">
            <v>6.5</v>
          </cell>
          <cell r="CI109">
            <v>6.3</v>
          </cell>
          <cell r="CJ109">
            <v>4.3</v>
          </cell>
          <cell r="CM109">
            <v>1.7</v>
          </cell>
          <cell r="CP109">
            <v>0.1</v>
          </cell>
          <cell r="CS109">
            <v>1.5</v>
          </cell>
          <cell r="CV109">
            <v>1.5</v>
          </cell>
          <cell r="CW109">
            <v>1.5</v>
          </cell>
          <cell r="CX109">
            <v>2</v>
          </cell>
          <cell r="CY109">
            <v>1.7</v>
          </cell>
          <cell r="CZ109">
            <v>1.6</v>
          </cell>
          <cell r="DA109">
            <v>2.6</v>
          </cell>
          <cell r="DB109">
            <v>-0.3</v>
          </cell>
          <cell r="DC109">
            <v>0.5</v>
          </cell>
          <cell r="DD109">
            <v>1.8</v>
          </cell>
          <cell r="DE109">
            <v>2.2999999999999998</v>
          </cell>
          <cell r="DF109">
            <v>2</v>
          </cell>
          <cell r="DG109">
            <v>4787</v>
          </cell>
          <cell r="DH109">
            <v>741</v>
          </cell>
          <cell r="DI109">
            <v>5409</v>
          </cell>
          <cell r="DN109">
            <v>4271</v>
          </cell>
          <cell r="DP109">
            <v>4959</v>
          </cell>
          <cell r="DQ109">
            <v>4016</v>
          </cell>
          <cell r="DR109">
            <v>3950</v>
          </cell>
          <cell r="DS109">
            <v>2472</v>
          </cell>
          <cell r="DT109">
            <v>2837</v>
          </cell>
          <cell r="DV109">
            <v>18012</v>
          </cell>
          <cell r="DW109">
            <v>2928</v>
          </cell>
          <cell r="DX109">
            <v>179</v>
          </cell>
          <cell r="DY109">
            <v>2481</v>
          </cell>
          <cell r="DZ109">
            <v>5530</v>
          </cell>
          <cell r="ED109">
            <v>9149</v>
          </cell>
          <cell r="EE109">
            <v>6140</v>
          </cell>
          <cell r="EF109">
            <v>6377</v>
          </cell>
          <cell r="EG109">
            <v>3841</v>
          </cell>
          <cell r="EH109">
            <v>2023</v>
          </cell>
          <cell r="EI109">
            <v>378</v>
          </cell>
          <cell r="EJ109">
            <v>1263</v>
          </cell>
          <cell r="EK109">
            <v>3313</v>
          </cell>
          <cell r="EL109">
            <v>6847</v>
          </cell>
          <cell r="EO109">
            <v>1728</v>
          </cell>
          <cell r="ER109">
            <v>6687</v>
          </cell>
          <cell r="EU109">
            <v>3354</v>
          </cell>
          <cell r="EX109">
            <v>5269</v>
          </cell>
          <cell r="EY109">
            <v>3360</v>
          </cell>
          <cell r="EZ109">
            <v>10022</v>
          </cell>
          <cell r="FA109">
            <v>8929</v>
          </cell>
          <cell r="FB109">
            <v>7119</v>
          </cell>
          <cell r="FC109">
            <v>1179</v>
          </cell>
          <cell r="FD109">
            <v>3275</v>
          </cell>
          <cell r="FE109">
            <v>15537</v>
          </cell>
          <cell r="FF109">
            <v>133082</v>
          </cell>
          <cell r="FG109">
            <v>13125</v>
          </cell>
          <cell r="FH109">
            <v>2540</v>
          </cell>
          <cell r="FI109">
            <v>149481</v>
          </cell>
          <cell r="FJ109">
            <v>-3</v>
          </cell>
          <cell r="FK109">
            <v>2</v>
          </cell>
          <cell r="FL109">
            <v>-2.5</v>
          </cell>
          <cell r="FQ109">
            <v>6.8</v>
          </cell>
          <cell r="FS109">
            <v>7.4</v>
          </cell>
          <cell r="FT109">
            <v>2.1</v>
          </cell>
          <cell r="FU109">
            <v>6.2</v>
          </cell>
          <cell r="FV109">
            <v>4.8</v>
          </cell>
          <cell r="FW109">
            <v>-0.9</v>
          </cell>
          <cell r="FY109">
            <v>2.5</v>
          </cell>
          <cell r="FZ109">
            <v>1.8</v>
          </cell>
          <cell r="GA109">
            <v>4.2</v>
          </cell>
          <cell r="GB109">
            <v>0.4</v>
          </cell>
          <cell r="GC109">
            <v>1.5</v>
          </cell>
          <cell r="GG109">
            <v>-2.2000000000000002</v>
          </cell>
          <cell r="GH109">
            <v>1.4</v>
          </cell>
          <cell r="GI109">
            <v>2.6</v>
          </cell>
          <cell r="GJ109">
            <v>-2.4</v>
          </cell>
          <cell r="GK109">
            <v>11.8</v>
          </cell>
          <cell r="GL109">
            <v>2.2000000000000002</v>
          </cell>
          <cell r="GM109">
            <v>9.9</v>
          </cell>
          <cell r="GN109">
            <v>6.4</v>
          </cell>
          <cell r="GO109">
            <v>9.1999999999999993</v>
          </cell>
          <cell r="GR109">
            <v>0.7</v>
          </cell>
          <cell r="GU109">
            <v>0.1</v>
          </cell>
          <cell r="GX109">
            <v>0.5</v>
          </cell>
          <cell r="HA109">
            <v>0.5</v>
          </cell>
          <cell r="HB109">
            <v>0.5</v>
          </cell>
          <cell r="HC109">
            <v>1.6</v>
          </cell>
          <cell r="HD109">
            <v>1.2</v>
          </cell>
          <cell r="HE109">
            <v>0.4</v>
          </cell>
          <cell r="HF109">
            <v>3.1</v>
          </cell>
          <cell r="HG109">
            <v>-0.4</v>
          </cell>
          <cell r="HH109">
            <v>0.5</v>
          </cell>
          <cell r="HI109">
            <v>1.5</v>
          </cell>
          <cell r="HJ109">
            <v>4.0999999999999996</v>
          </cell>
          <cell r="HK109">
            <v>2.5</v>
          </cell>
          <cell r="HL109">
            <v>4749</v>
          </cell>
          <cell r="HM109">
            <v>702</v>
          </cell>
          <cell r="HN109">
            <v>5344</v>
          </cell>
          <cell r="HS109">
            <v>4137</v>
          </cell>
          <cell r="HU109">
            <v>4836</v>
          </cell>
          <cell r="HV109">
            <v>3880</v>
          </cell>
          <cell r="HW109">
            <v>3751</v>
          </cell>
          <cell r="HX109">
            <v>2292</v>
          </cell>
          <cell r="HY109">
            <v>2533</v>
          </cell>
          <cell r="IA109">
            <v>16674</v>
          </cell>
          <cell r="IB109">
            <v>2754</v>
          </cell>
          <cell r="IC109">
            <v>154</v>
          </cell>
          <cell r="ID109">
            <v>2682</v>
          </cell>
          <cell r="IE109">
            <v>5403</v>
          </cell>
          <cell r="II109">
            <v>8368</v>
          </cell>
          <cell r="IJ109">
            <v>5910</v>
          </cell>
          <cell r="IK109">
            <v>6001</v>
          </cell>
          <cell r="IL109">
            <v>3810</v>
          </cell>
          <cell r="IM109">
            <v>1939</v>
          </cell>
          <cell r="IN109">
            <v>373</v>
          </cell>
          <cell r="IO109">
            <v>1215</v>
          </cell>
          <cell r="IP109">
            <v>3251</v>
          </cell>
          <cell r="IQ109">
            <v>6616</v>
          </cell>
        </row>
        <row r="110">
          <cell r="B110">
            <v>4840</v>
          </cell>
          <cell r="C110">
            <v>747</v>
          </cell>
          <cell r="D110">
            <v>5468</v>
          </cell>
          <cell r="I110">
            <v>4386</v>
          </cell>
          <cell r="K110">
            <v>5100</v>
          </cell>
          <cell r="L110">
            <v>4086</v>
          </cell>
          <cell r="M110">
            <v>3694</v>
          </cell>
          <cell r="N110">
            <v>2526</v>
          </cell>
          <cell r="O110">
            <v>2914</v>
          </cell>
          <cell r="Q110">
            <v>18167</v>
          </cell>
          <cell r="R110">
            <v>2957</v>
          </cell>
          <cell r="S110">
            <v>184</v>
          </cell>
          <cell r="T110">
            <v>2556</v>
          </cell>
          <cell r="U110">
            <v>5627</v>
          </cell>
          <cell r="Y110">
            <v>9606</v>
          </cell>
          <cell r="Z110">
            <v>6215</v>
          </cell>
          <cell r="AA110">
            <v>6425</v>
          </cell>
          <cell r="AB110">
            <v>3856</v>
          </cell>
          <cell r="AC110">
            <v>2001</v>
          </cell>
          <cell r="AD110">
            <v>392</v>
          </cell>
          <cell r="AE110">
            <v>1282</v>
          </cell>
          <cell r="AF110">
            <v>3416</v>
          </cell>
          <cell r="AG110">
            <v>6877</v>
          </cell>
          <cell r="AJ110">
            <v>1747</v>
          </cell>
          <cell r="AM110">
            <v>6656</v>
          </cell>
          <cell r="AP110">
            <v>3471</v>
          </cell>
          <cell r="AS110">
            <v>5453</v>
          </cell>
          <cell r="AT110">
            <v>3477</v>
          </cell>
          <cell r="AU110">
            <v>10222</v>
          </cell>
          <cell r="AV110">
            <v>9200</v>
          </cell>
          <cell r="AW110">
            <v>7278</v>
          </cell>
          <cell r="AX110">
            <v>1205</v>
          </cell>
          <cell r="AY110">
            <v>3238</v>
          </cell>
          <cell r="AZ110">
            <v>15593</v>
          </cell>
          <cell r="BA110">
            <v>135273</v>
          </cell>
          <cell r="BB110">
            <v>13276</v>
          </cell>
          <cell r="BC110">
            <v>2090</v>
          </cell>
          <cell r="BD110">
            <v>151137</v>
          </cell>
          <cell r="BE110">
            <v>-3</v>
          </cell>
          <cell r="BF110">
            <v>1.1000000000000001</v>
          </cell>
          <cell r="BG110">
            <v>-2.6</v>
          </cell>
          <cell r="BL110">
            <v>3.7</v>
          </cell>
          <cell r="BN110">
            <v>4.2</v>
          </cell>
          <cell r="BO110">
            <v>1.2</v>
          </cell>
          <cell r="BP110">
            <v>-1.3</v>
          </cell>
          <cell r="BQ110">
            <v>2.5</v>
          </cell>
          <cell r="BR110">
            <v>1.7</v>
          </cell>
          <cell r="BT110">
            <v>1.5</v>
          </cell>
          <cell r="BU110">
            <v>1.3</v>
          </cell>
          <cell r="BV110">
            <v>4.3</v>
          </cell>
          <cell r="BW110">
            <v>2</v>
          </cell>
          <cell r="BX110">
            <v>1.7</v>
          </cell>
          <cell r="CB110">
            <v>2.4</v>
          </cell>
          <cell r="CC110">
            <v>1.3</v>
          </cell>
          <cell r="CD110">
            <v>1.4</v>
          </cell>
          <cell r="CE110">
            <v>-0.4</v>
          </cell>
          <cell r="CF110">
            <v>3.5</v>
          </cell>
          <cell r="CG110">
            <v>2.4</v>
          </cell>
          <cell r="CH110">
            <v>4</v>
          </cell>
          <cell r="CI110">
            <v>3.7</v>
          </cell>
          <cell r="CJ110">
            <v>3.2</v>
          </cell>
          <cell r="CM110">
            <v>1.3</v>
          </cell>
          <cell r="CP110">
            <v>0</v>
          </cell>
          <cell r="CS110">
            <v>3.1</v>
          </cell>
          <cell r="CV110">
            <v>3.1</v>
          </cell>
          <cell r="CW110">
            <v>3.1</v>
          </cell>
          <cell r="CX110">
            <v>1.6</v>
          </cell>
          <cell r="CY110">
            <v>1.8</v>
          </cell>
          <cell r="CZ110">
            <v>1.6</v>
          </cell>
          <cell r="DA110">
            <v>2.2999999999999998</v>
          </cell>
          <cell r="DB110">
            <v>-0.8</v>
          </cell>
          <cell r="DC110">
            <v>0.4</v>
          </cell>
          <cell r="DD110">
            <v>1.5</v>
          </cell>
          <cell r="DE110">
            <v>2.1</v>
          </cell>
          <cell r="DF110">
            <v>1.4</v>
          </cell>
          <cell r="DG110">
            <v>4950</v>
          </cell>
          <cell r="DH110">
            <v>749</v>
          </cell>
          <cell r="DI110">
            <v>5584</v>
          </cell>
          <cell r="DN110">
            <v>4412</v>
          </cell>
          <cell r="DP110">
            <v>5101</v>
          </cell>
          <cell r="DQ110">
            <v>4128</v>
          </cell>
          <cell r="DR110">
            <v>3457</v>
          </cell>
          <cell r="DS110">
            <v>2571</v>
          </cell>
          <cell r="DT110">
            <v>2883</v>
          </cell>
          <cell r="DV110">
            <v>17921</v>
          </cell>
          <cell r="DW110">
            <v>2936</v>
          </cell>
          <cell r="DX110">
            <v>182</v>
          </cell>
          <cell r="DY110">
            <v>2590</v>
          </cell>
          <cell r="DZ110">
            <v>5618</v>
          </cell>
          <cell r="ED110">
            <v>9820</v>
          </cell>
          <cell r="EE110">
            <v>6143</v>
          </cell>
          <cell r="EF110">
            <v>6413</v>
          </cell>
          <cell r="EG110">
            <v>3852</v>
          </cell>
          <cell r="EH110">
            <v>1947</v>
          </cell>
          <cell r="EI110">
            <v>398</v>
          </cell>
          <cell r="EJ110">
            <v>1279</v>
          </cell>
          <cell r="EK110">
            <v>3425</v>
          </cell>
          <cell r="EL110">
            <v>6817</v>
          </cell>
          <cell r="EO110">
            <v>1739</v>
          </cell>
          <cell r="ER110">
            <v>6555</v>
          </cell>
          <cell r="EU110">
            <v>3437</v>
          </cell>
          <cell r="EX110">
            <v>5399</v>
          </cell>
          <cell r="EY110">
            <v>3443</v>
          </cell>
          <cell r="EZ110">
            <v>10253</v>
          </cell>
          <cell r="FA110">
            <v>9347</v>
          </cell>
          <cell r="FB110">
            <v>7296</v>
          </cell>
          <cell r="FC110">
            <v>1206</v>
          </cell>
          <cell r="FD110">
            <v>3230</v>
          </cell>
          <cell r="FE110">
            <v>15622</v>
          </cell>
          <cell r="FF110">
            <v>135132</v>
          </cell>
          <cell r="FG110">
            <v>13125</v>
          </cell>
          <cell r="FH110">
            <v>1456</v>
          </cell>
          <cell r="FI110">
            <v>151202</v>
          </cell>
          <cell r="FJ110">
            <v>3.4</v>
          </cell>
          <cell r="FK110">
            <v>1</v>
          </cell>
          <cell r="FL110">
            <v>3.2</v>
          </cell>
          <cell r="FQ110">
            <v>3.3</v>
          </cell>
          <cell r="FS110">
            <v>2.9</v>
          </cell>
          <cell r="FT110">
            <v>2.8</v>
          </cell>
          <cell r="FU110">
            <v>-12.5</v>
          </cell>
          <cell r="FV110">
            <v>4</v>
          </cell>
          <cell r="FW110">
            <v>1.6</v>
          </cell>
          <cell r="FY110">
            <v>-0.5</v>
          </cell>
          <cell r="FZ110">
            <v>0.3</v>
          </cell>
          <cell r="GA110">
            <v>1.6</v>
          </cell>
          <cell r="GB110">
            <v>4.4000000000000004</v>
          </cell>
          <cell r="GC110">
            <v>1.6</v>
          </cell>
          <cell r="GG110">
            <v>7.3</v>
          </cell>
          <cell r="GH110">
            <v>0</v>
          </cell>
          <cell r="GI110">
            <v>0.6</v>
          </cell>
          <cell r="GJ110">
            <v>0.3</v>
          </cell>
          <cell r="GK110">
            <v>-3.7</v>
          </cell>
          <cell r="GL110">
            <v>5.3</v>
          </cell>
          <cell r="GM110">
            <v>1.3</v>
          </cell>
          <cell r="GN110">
            <v>3.4</v>
          </cell>
          <cell r="GO110">
            <v>-0.4</v>
          </cell>
          <cell r="GR110">
            <v>0.7</v>
          </cell>
          <cell r="GU110">
            <v>-2</v>
          </cell>
          <cell r="GX110">
            <v>2.5</v>
          </cell>
          <cell r="HA110">
            <v>2.5</v>
          </cell>
          <cell r="HB110">
            <v>2.5</v>
          </cell>
          <cell r="HC110">
            <v>2.2999999999999998</v>
          </cell>
          <cell r="HD110">
            <v>4.7</v>
          </cell>
          <cell r="HE110">
            <v>2.5</v>
          </cell>
          <cell r="HF110">
            <v>2.2999999999999998</v>
          </cell>
          <cell r="HG110">
            <v>-1.4</v>
          </cell>
          <cell r="HH110">
            <v>0.5</v>
          </cell>
          <cell r="HI110">
            <v>1.5</v>
          </cell>
          <cell r="HJ110">
            <v>0</v>
          </cell>
          <cell r="HK110">
            <v>1.2</v>
          </cell>
          <cell r="HL110">
            <v>2027</v>
          </cell>
          <cell r="HM110">
            <v>761</v>
          </cell>
          <cell r="HN110">
            <v>2570</v>
          </cell>
          <cell r="HS110">
            <v>4365</v>
          </cell>
          <cell r="HU110">
            <v>5033</v>
          </cell>
          <cell r="HV110">
            <v>4011</v>
          </cell>
          <cell r="HW110">
            <v>3455</v>
          </cell>
          <cell r="HX110">
            <v>2569</v>
          </cell>
          <cell r="HY110">
            <v>2928</v>
          </cell>
          <cell r="IA110">
            <v>17940</v>
          </cell>
          <cell r="IB110">
            <v>2994</v>
          </cell>
          <cell r="IC110">
            <v>191</v>
          </cell>
          <cell r="ID110">
            <v>2422</v>
          </cell>
          <cell r="IE110">
            <v>5596</v>
          </cell>
          <cell r="II110">
            <v>10539</v>
          </cell>
          <cell r="IJ110">
            <v>6118</v>
          </cell>
          <cell r="IK110">
            <v>6307</v>
          </cell>
          <cell r="IL110">
            <v>3668</v>
          </cell>
          <cell r="IM110">
            <v>1941</v>
          </cell>
          <cell r="IN110">
            <v>385</v>
          </cell>
          <cell r="IO110">
            <v>1314</v>
          </cell>
          <cell r="IP110">
            <v>3423</v>
          </cell>
          <cell r="IQ110">
            <v>6762</v>
          </cell>
        </row>
        <row r="111">
          <cell r="B111">
            <v>4873</v>
          </cell>
          <cell r="C111">
            <v>747</v>
          </cell>
          <cell r="D111">
            <v>5502</v>
          </cell>
          <cell r="I111">
            <v>4465</v>
          </cell>
          <cell r="K111">
            <v>5209</v>
          </cell>
          <cell r="L111">
            <v>4046</v>
          </cell>
          <cell r="M111">
            <v>3662</v>
          </cell>
          <cell r="N111">
            <v>2545</v>
          </cell>
          <cell r="O111">
            <v>2978</v>
          </cell>
          <cell r="Q111">
            <v>18268</v>
          </cell>
          <cell r="R111">
            <v>2990</v>
          </cell>
          <cell r="S111">
            <v>192</v>
          </cell>
          <cell r="T111">
            <v>2625</v>
          </cell>
          <cell r="U111">
            <v>5727</v>
          </cell>
          <cell r="Y111">
            <v>9853</v>
          </cell>
          <cell r="Z111">
            <v>6299</v>
          </cell>
          <cell r="AA111">
            <v>6512</v>
          </cell>
          <cell r="AB111">
            <v>3877</v>
          </cell>
          <cell r="AC111">
            <v>2032</v>
          </cell>
          <cell r="AD111">
            <v>401</v>
          </cell>
          <cell r="AE111">
            <v>1300</v>
          </cell>
          <cell r="AF111">
            <v>3449</v>
          </cell>
          <cell r="AG111">
            <v>6967</v>
          </cell>
          <cell r="AJ111">
            <v>1781</v>
          </cell>
          <cell r="AM111">
            <v>6718</v>
          </cell>
          <cell r="AP111">
            <v>3577</v>
          </cell>
          <cell r="AS111">
            <v>5618</v>
          </cell>
          <cell r="AT111">
            <v>3582</v>
          </cell>
          <cell r="AU111">
            <v>10309</v>
          </cell>
          <cell r="AV111">
            <v>9319</v>
          </cell>
          <cell r="AW111">
            <v>7407</v>
          </cell>
          <cell r="AX111">
            <v>1231</v>
          </cell>
          <cell r="AY111">
            <v>3230</v>
          </cell>
          <cell r="AZ111">
            <v>15665</v>
          </cell>
          <cell r="BA111">
            <v>137065</v>
          </cell>
          <cell r="BB111">
            <v>13513</v>
          </cell>
          <cell r="BC111">
            <v>2141</v>
          </cell>
          <cell r="BD111">
            <v>152517</v>
          </cell>
          <cell r="BE111">
            <v>0.7</v>
          </cell>
          <cell r="BF111">
            <v>0</v>
          </cell>
          <cell r="BG111">
            <v>0.6</v>
          </cell>
          <cell r="BL111">
            <v>1.8</v>
          </cell>
          <cell r="BN111">
            <v>2.1</v>
          </cell>
          <cell r="BO111">
            <v>-1</v>
          </cell>
          <cell r="BP111">
            <v>-0.9</v>
          </cell>
          <cell r="BQ111">
            <v>0.7</v>
          </cell>
          <cell r="BR111">
            <v>2.2000000000000002</v>
          </cell>
          <cell r="BT111">
            <v>0.6</v>
          </cell>
          <cell r="BU111">
            <v>1.1000000000000001</v>
          </cell>
          <cell r="BV111">
            <v>3.9</v>
          </cell>
          <cell r="BW111">
            <v>2.7</v>
          </cell>
          <cell r="BX111">
            <v>1.8</v>
          </cell>
          <cell r="CB111">
            <v>2.6</v>
          </cell>
          <cell r="CC111">
            <v>1.3</v>
          </cell>
          <cell r="CD111">
            <v>1.4</v>
          </cell>
          <cell r="CE111">
            <v>0.5</v>
          </cell>
          <cell r="CF111">
            <v>1.6</v>
          </cell>
          <cell r="CG111">
            <v>2.2000000000000002</v>
          </cell>
          <cell r="CH111">
            <v>1.4</v>
          </cell>
          <cell r="CI111">
            <v>1</v>
          </cell>
          <cell r="CJ111">
            <v>1.3</v>
          </cell>
          <cell r="CM111">
            <v>1.9</v>
          </cell>
          <cell r="CP111">
            <v>0.9</v>
          </cell>
          <cell r="CS111">
            <v>3</v>
          </cell>
          <cell r="CV111">
            <v>3</v>
          </cell>
          <cell r="CW111">
            <v>3</v>
          </cell>
          <cell r="CX111">
            <v>0.8</v>
          </cell>
          <cell r="CY111">
            <v>1.3</v>
          </cell>
          <cell r="CZ111">
            <v>1.8</v>
          </cell>
          <cell r="DA111">
            <v>2.2000000000000002</v>
          </cell>
          <cell r="DB111">
            <v>-0.3</v>
          </cell>
          <cell r="DC111">
            <v>0.5</v>
          </cell>
          <cell r="DD111">
            <v>1.3</v>
          </cell>
          <cell r="DE111">
            <v>1.8</v>
          </cell>
          <cell r="DF111">
            <v>0.9</v>
          </cell>
          <cell r="DG111">
            <v>4791</v>
          </cell>
          <cell r="DH111">
            <v>744</v>
          </cell>
          <cell r="DI111">
            <v>5416</v>
          </cell>
          <cell r="DN111">
            <v>4485</v>
          </cell>
          <cell r="DP111">
            <v>5264</v>
          </cell>
          <cell r="DQ111">
            <v>4113</v>
          </cell>
          <cell r="DR111">
            <v>3781</v>
          </cell>
          <cell r="DS111">
            <v>2530</v>
          </cell>
          <cell r="DT111">
            <v>3045</v>
          </cell>
          <cell r="DV111">
            <v>18714</v>
          </cell>
          <cell r="DW111">
            <v>3020</v>
          </cell>
          <cell r="DX111">
            <v>191</v>
          </cell>
          <cell r="DY111">
            <v>2585</v>
          </cell>
          <cell r="DZ111">
            <v>5735</v>
          </cell>
          <cell r="ED111">
            <v>9707</v>
          </cell>
          <cell r="EE111">
            <v>6371</v>
          </cell>
          <cell r="EF111">
            <v>6500</v>
          </cell>
          <cell r="EG111">
            <v>3883</v>
          </cell>
          <cell r="EH111">
            <v>2048</v>
          </cell>
          <cell r="EI111">
            <v>403</v>
          </cell>
          <cell r="EJ111">
            <v>1291</v>
          </cell>
          <cell r="EK111">
            <v>3472</v>
          </cell>
          <cell r="EL111">
            <v>6985</v>
          </cell>
          <cell r="EO111">
            <v>1770</v>
          </cell>
          <cell r="ER111">
            <v>6812</v>
          </cell>
          <cell r="EU111">
            <v>3627</v>
          </cell>
          <cell r="EX111">
            <v>5696</v>
          </cell>
          <cell r="EY111">
            <v>3631</v>
          </cell>
          <cell r="EZ111">
            <v>10337</v>
          </cell>
          <cell r="FA111">
            <v>9295</v>
          </cell>
          <cell r="FB111">
            <v>7406</v>
          </cell>
          <cell r="FC111">
            <v>1233</v>
          </cell>
          <cell r="FD111">
            <v>3211</v>
          </cell>
          <cell r="FE111">
            <v>15624</v>
          </cell>
          <cell r="FF111">
            <v>137678</v>
          </cell>
          <cell r="FG111">
            <v>13685</v>
          </cell>
          <cell r="FH111">
            <v>2357</v>
          </cell>
          <cell r="FI111">
            <v>152595</v>
          </cell>
          <cell r="FJ111">
            <v>-3.2</v>
          </cell>
          <cell r="FK111">
            <v>-0.7</v>
          </cell>
          <cell r="FL111">
            <v>-3</v>
          </cell>
          <cell r="FQ111">
            <v>1.7</v>
          </cell>
          <cell r="FS111">
            <v>3.2</v>
          </cell>
          <cell r="FT111">
            <v>-0.4</v>
          </cell>
          <cell r="FU111">
            <v>9.4</v>
          </cell>
          <cell r="FV111">
            <v>-1.6</v>
          </cell>
          <cell r="FW111">
            <v>5.6</v>
          </cell>
          <cell r="FY111">
            <v>4.4000000000000004</v>
          </cell>
          <cell r="FZ111">
            <v>2.8</v>
          </cell>
          <cell r="GA111">
            <v>5.4</v>
          </cell>
          <cell r="GB111">
            <v>-0.2</v>
          </cell>
          <cell r="GC111">
            <v>2.1</v>
          </cell>
          <cell r="GG111">
            <v>-1.1000000000000001</v>
          </cell>
          <cell r="GH111">
            <v>3.7</v>
          </cell>
          <cell r="GI111">
            <v>1.4</v>
          </cell>
          <cell r="GJ111">
            <v>0.8</v>
          </cell>
          <cell r="GK111">
            <v>5.2</v>
          </cell>
          <cell r="GL111">
            <v>1.4</v>
          </cell>
          <cell r="GM111">
            <v>0.9</v>
          </cell>
          <cell r="GN111">
            <v>1.4</v>
          </cell>
          <cell r="GO111">
            <v>2.5</v>
          </cell>
          <cell r="GR111">
            <v>1.8</v>
          </cell>
          <cell r="GU111">
            <v>3.9</v>
          </cell>
          <cell r="GX111">
            <v>5.5</v>
          </cell>
          <cell r="HA111">
            <v>5.5</v>
          </cell>
          <cell r="HB111">
            <v>5.5</v>
          </cell>
          <cell r="HC111">
            <v>0.8</v>
          </cell>
          <cell r="HD111">
            <v>-0.6</v>
          </cell>
          <cell r="HE111">
            <v>1.5</v>
          </cell>
          <cell r="HF111">
            <v>2.2000000000000002</v>
          </cell>
          <cell r="HG111">
            <v>-0.6</v>
          </cell>
          <cell r="HH111">
            <v>0</v>
          </cell>
          <cell r="HI111">
            <v>1.9</v>
          </cell>
          <cell r="HJ111">
            <v>4.3</v>
          </cell>
          <cell r="HK111">
            <v>0.9</v>
          </cell>
          <cell r="HL111">
            <v>3531</v>
          </cell>
          <cell r="HM111">
            <v>763</v>
          </cell>
          <cell r="HN111">
            <v>4123</v>
          </cell>
          <cell r="HS111">
            <v>4667</v>
          </cell>
          <cell r="HU111">
            <v>5450</v>
          </cell>
          <cell r="HV111">
            <v>4073</v>
          </cell>
          <cell r="HW111">
            <v>3800</v>
          </cell>
          <cell r="HX111">
            <v>2641</v>
          </cell>
          <cell r="HY111">
            <v>3179</v>
          </cell>
          <cell r="IA111">
            <v>19213</v>
          </cell>
          <cell r="IB111">
            <v>3238</v>
          </cell>
          <cell r="IC111">
            <v>226</v>
          </cell>
          <cell r="ID111">
            <v>2404</v>
          </cell>
          <cell r="IE111">
            <v>5945</v>
          </cell>
          <cell r="II111">
            <v>9598</v>
          </cell>
          <cell r="IJ111">
            <v>6479</v>
          </cell>
          <cell r="IK111">
            <v>6328</v>
          </cell>
          <cell r="IL111">
            <v>3807</v>
          </cell>
          <cell r="IM111">
            <v>2072</v>
          </cell>
          <cell r="IN111">
            <v>418</v>
          </cell>
          <cell r="IO111">
            <v>1319</v>
          </cell>
          <cell r="IP111">
            <v>3472</v>
          </cell>
          <cell r="IQ111">
            <v>7094</v>
          </cell>
        </row>
        <row r="112">
          <cell r="B112">
            <v>4952</v>
          </cell>
          <cell r="C112">
            <v>736</v>
          </cell>
          <cell r="D112">
            <v>5581</v>
          </cell>
          <cell r="I112">
            <v>4542</v>
          </cell>
          <cell r="K112">
            <v>5302</v>
          </cell>
          <cell r="L112">
            <v>4001</v>
          </cell>
          <cell r="M112">
            <v>3737</v>
          </cell>
          <cell r="N112">
            <v>2552</v>
          </cell>
          <cell r="O112">
            <v>3041</v>
          </cell>
          <cell r="Q112">
            <v>18382</v>
          </cell>
          <cell r="R112">
            <v>3031</v>
          </cell>
          <cell r="S112">
            <v>196</v>
          </cell>
          <cell r="T112">
            <v>2663</v>
          </cell>
          <cell r="U112">
            <v>5810</v>
          </cell>
          <cell r="Y112">
            <v>10062</v>
          </cell>
          <cell r="Z112">
            <v>6378</v>
          </cell>
          <cell r="AA112">
            <v>6615</v>
          </cell>
          <cell r="AB112">
            <v>3934</v>
          </cell>
          <cell r="AC112">
            <v>2033</v>
          </cell>
          <cell r="AD112">
            <v>406</v>
          </cell>
          <cell r="AE112">
            <v>1316</v>
          </cell>
          <cell r="AF112">
            <v>3453</v>
          </cell>
          <cell r="AG112">
            <v>7000</v>
          </cell>
          <cell r="AJ112">
            <v>1822</v>
          </cell>
          <cell r="AM112">
            <v>6873</v>
          </cell>
          <cell r="AP112">
            <v>3655</v>
          </cell>
          <cell r="AS112">
            <v>5740</v>
          </cell>
          <cell r="AT112">
            <v>3660</v>
          </cell>
          <cell r="AU112">
            <v>10308</v>
          </cell>
          <cell r="AV112">
            <v>9308</v>
          </cell>
          <cell r="AW112">
            <v>7527</v>
          </cell>
          <cell r="AX112">
            <v>1257</v>
          </cell>
          <cell r="AY112">
            <v>3256</v>
          </cell>
          <cell r="AZ112">
            <v>15774</v>
          </cell>
          <cell r="BA112">
            <v>138659</v>
          </cell>
          <cell r="BB112">
            <v>13726</v>
          </cell>
          <cell r="BC112">
            <v>1832</v>
          </cell>
          <cell r="BD112">
            <v>153873</v>
          </cell>
          <cell r="BE112">
            <v>1.6</v>
          </cell>
          <cell r="BF112">
            <v>-1.5</v>
          </cell>
          <cell r="BG112">
            <v>1.4</v>
          </cell>
          <cell r="BL112">
            <v>1.7</v>
          </cell>
          <cell r="BN112">
            <v>1.8</v>
          </cell>
          <cell r="BO112">
            <v>-1.1000000000000001</v>
          </cell>
          <cell r="BP112">
            <v>2.1</v>
          </cell>
          <cell r="BQ112">
            <v>0.3</v>
          </cell>
          <cell r="BR112">
            <v>2.1</v>
          </cell>
          <cell r="BT112">
            <v>0.6</v>
          </cell>
          <cell r="BU112">
            <v>1.4</v>
          </cell>
          <cell r="BV112">
            <v>2.2999999999999998</v>
          </cell>
          <cell r="BW112">
            <v>1.5</v>
          </cell>
          <cell r="BX112">
            <v>1.5</v>
          </cell>
          <cell r="CB112">
            <v>2.1</v>
          </cell>
          <cell r="CC112">
            <v>1.3</v>
          </cell>
          <cell r="CD112">
            <v>1.6</v>
          </cell>
          <cell r="CE112">
            <v>1.5</v>
          </cell>
          <cell r="CF112">
            <v>0</v>
          </cell>
          <cell r="CG112">
            <v>1.3</v>
          </cell>
          <cell r="CH112">
            <v>1.2</v>
          </cell>
          <cell r="CI112">
            <v>0.1</v>
          </cell>
          <cell r="CJ112">
            <v>0.5</v>
          </cell>
          <cell r="CM112">
            <v>2.2999999999999998</v>
          </cell>
          <cell r="CP112">
            <v>2.2999999999999998</v>
          </cell>
          <cell r="CS112">
            <v>2.2000000000000002</v>
          </cell>
          <cell r="CV112">
            <v>2.2000000000000002</v>
          </cell>
          <cell r="CW112">
            <v>2.2000000000000002</v>
          </cell>
          <cell r="CX112">
            <v>0</v>
          </cell>
          <cell r="CY112">
            <v>-0.1</v>
          </cell>
          <cell r="CZ112">
            <v>1.6</v>
          </cell>
          <cell r="DA112">
            <v>2.1</v>
          </cell>
          <cell r="DB112">
            <v>0.8</v>
          </cell>
          <cell r="DC112">
            <v>0.7</v>
          </cell>
          <cell r="DD112">
            <v>1.2</v>
          </cell>
          <cell r="DE112">
            <v>1.6</v>
          </cell>
          <cell r="DF112">
            <v>0.9</v>
          </cell>
          <cell r="DG112">
            <v>4945</v>
          </cell>
          <cell r="DH112">
            <v>745</v>
          </cell>
          <cell r="DI112">
            <v>5574</v>
          </cell>
          <cell r="DN112">
            <v>4545</v>
          </cell>
          <cell r="DP112">
            <v>5296</v>
          </cell>
          <cell r="DQ112">
            <v>3879</v>
          </cell>
          <cell r="DR112">
            <v>3677</v>
          </cell>
          <cell r="DS112">
            <v>2540</v>
          </cell>
          <cell r="DT112">
            <v>3000</v>
          </cell>
          <cell r="DV112">
            <v>18010</v>
          </cell>
          <cell r="DW112">
            <v>3000</v>
          </cell>
          <cell r="DX112">
            <v>199</v>
          </cell>
          <cell r="DY112">
            <v>2699</v>
          </cell>
          <cell r="DZ112">
            <v>5802</v>
          </cell>
          <cell r="ED112">
            <v>10068</v>
          </cell>
          <cell r="EE112">
            <v>6336</v>
          </cell>
          <cell r="EF112">
            <v>6603</v>
          </cell>
          <cell r="EG112">
            <v>3923</v>
          </cell>
          <cell r="EH112">
            <v>2049</v>
          </cell>
          <cell r="EI112">
            <v>401</v>
          </cell>
          <cell r="EJ112">
            <v>1327</v>
          </cell>
          <cell r="EK112">
            <v>3411</v>
          </cell>
          <cell r="EL112">
            <v>6997</v>
          </cell>
          <cell r="EO112">
            <v>1837</v>
          </cell>
          <cell r="ER112">
            <v>6780</v>
          </cell>
          <cell r="EU112">
            <v>3658</v>
          </cell>
          <cell r="EX112">
            <v>5746</v>
          </cell>
          <cell r="EY112">
            <v>3663</v>
          </cell>
          <cell r="EZ112">
            <v>10317</v>
          </cell>
          <cell r="FA112">
            <v>9282</v>
          </cell>
          <cell r="FB112">
            <v>7517</v>
          </cell>
          <cell r="FC112">
            <v>1249</v>
          </cell>
          <cell r="FD112">
            <v>3269</v>
          </cell>
          <cell r="FE112">
            <v>15779</v>
          </cell>
          <cell r="FF112">
            <v>138092</v>
          </cell>
          <cell r="FG112">
            <v>13587</v>
          </cell>
          <cell r="FH112">
            <v>2331</v>
          </cell>
          <cell r="FI112">
            <v>153677</v>
          </cell>
          <cell r="FJ112">
            <v>3.2</v>
          </cell>
          <cell r="FK112">
            <v>0.2</v>
          </cell>
          <cell r="FL112">
            <v>2.9</v>
          </cell>
          <cell r="FQ112">
            <v>1.3</v>
          </cell>
          <cell r="FS112">
            <v>0.6</v>
          </cell>
          <cell r="FT112">
            <v>-5.7</v>
          </cell>
          <cell r="FU112">
            <v>-2.7</v>
          </cell>
          <cell r="FV112">
            <v>0.4</v>
          </cell>
          <cell r="FW112">
            <v>-1.5</v>
          </cell>
          <cell r="FY112">
            <v>-3.8</v>
          </cell>
          <cell r="FZ112">
            <v>-0.6</v>
          </cell>
          <cell r="GA112">
            <v>3.8</v>
          </cell>
          <cell r="GB112">
            <v>4.4000000000000004</v>
          </cell>
          <cell r="GC112">
            <v>1.2</v>
          </cell>
          <cell r="GG112">
            <v>3.7</v>
          </cell>
          <cell r="GH112">
            <v>-0.5</v>
          </cell>
          <cell r="GI112">
            <v>1.6</v>
          </cell>
          <cell r="GJ112">
            <v>1</v>
          </cell>
          <cell r="GK112">
            <v>0</v>
          </cell>
          <cell r="GL112">
            <v>-0.5</v>
          </cell>
          <cell r="GM112">
            <v>2.8</v>
          </cell>
          <cell r="GN112">
            <v>-1.8</v>
          </cell>
          <cell r="GO112">
            <v>0.2</v>
          </cell>
          <cell r="GR112">
            <v>3.8</v>
          </cell>
          <cell r="GU112">
            <v>-0.5</v>
          </cell>
          <cell r="GX112">
            <v>0.9</v>
          </cell>
          <cell r="HA112">
            <v>0.9</v>
          </cell>
          <cell r="HB112">
            <v>0.9</v>
          </cell>
          <cell r="HC112">
            <v>-0.2</v>
          </cell>
          <cell r="HD112">
            <v>-0.1</v>
          </cell>
          <cell r="HE112">
            <v>1.5</v>
          </cell>
          <cell r="HF112">
            <v>1.3</v>
          </cell>
          <cell r="HG112">
            <v>1.8</v>
          </cell>
          <cell r="HH112">
            <v>1</v>
          </cell>
          <cell r="HI112">
            <v>0.3</v>
          </cell>
          <cell r="HJ112">
            <v>-0.7</v>
          </cell>
          <cell r="HK112">
            <v>0.7</v>
          </cell>
          <cell r="HL112">
            <v>9632</v>
          </cell>
          <cell r="HM112">
            <v>749</v>
          </cell>
          <cell r="HN112">
            <v>10417</v>
          </cell>
          <cell r="HS112">
            <v>4643</v>
          </cell>
          <cell r="HU112">
            <v>5433</v>
          </cell>
          <cell r="HV112">
            <v>4162</v>
          </cell>
          <cell r="HW112">
            <v>3742</v>
          </cell>
          <cell r="HX112">
            <v>2645</v>
          </cell>
          <cell r="HY112">
            <v>3107</v>
          </cell>
          <cell r="IA112">
            <v>18909</v>
          </cell>
          <cell r="IB112">
            <v>2886</v>
          </cell>
          <cell r="IC112">
            <v>187</v>
          </cell>
          <cell r="ID112">
            <v>2829</v>
          </cell>
          <cell r="IE112">
            <v>5728</v>
          </cell>
          <cell r="II112">
            <v>10525</v>
          </cell>
          <cell r="IJ112">
            <v>6506</v>
          </cell>
          <cell r="IK112">
            <v>7275</v>
          </cell>
          <cell r="IL112">
            <v>4238</v>
          </cell>
          <cell r="IM112">
            <v>2119</v>
          </cell>
          <cell r="IN112">
            <v>407</v>
          </cell>
          <cell r="IO112">
            <v>1342</v>
          </cell>
          <cell r="IP112">
            <v>3474</v>
          </cell>
          <cell r="IQ112">
            <v>7170</v>
          </cell>
        </row>
        <row r="113">
          <cell r="B113">
            <v>5031</v>
          </cell>
          <cell r="C113">
            <v>723</v>
          </cell>
          <cell r="D113">
            <v>5647</v>
          </cell>
          <cell r="I113">
            <v>4796</v>
          </cell>
          <cell r="K113">
            <v>5590</v>
          </cell>
          <cell r="L113">
            <v>4003</v>
          </cell>
          <cell r="M113">
            <v>3862</v>
          </cell>
          <cell r="N113">
            <v>2594</v>
          </cell>
          <cell r="O113">
            <v>3070</v>
          </cell>
          <cell r="Q113">
            <v>18597</v>
          </cell>
          <cell r="R113">
            <v>3085</v>
          </cell>
          <cell r="S113">
            <v>195</v>
          </cell>
          <cell r="T113">
            <v>2661</v>
          </cell>
          <cell r="U113">
            <v>5870</v>
          </cell>
          <cell r="Y113">
            <v>10207</v>
          </cell>
          <cell r="Z113">
            <v>6404</v>
          </cell>
          <cell r="AA113">
            <v>6715</v>
          </cell>
          <cell r="AB113">
            <v>3994</v>
          </cell>
          <cell r="AC113">
            <v>2031</v>
          </cell>
          <cell r="AD113">
            <v>412</v>
          </cell>
          <cell r="AE113">
            <v>1357</v>
          </cell>
          <cell r="AF113">
            <v>3472</v>
          </cell>
          <cell r="AG113">
            <v>7075</v>
          </cell>
          <cell r="AJ113">
            <v>1865</v>
          </cell>
          <cell r="AM113">
            <v>7060</v>
          </cell>
          <cell r="AP113">
            <v>3697</v>
          </cell>
          <cell r="AS113">
            <v>5808</v>
          </cell>
          <cell r="AT113">
            <v>3704</v>
          </cell>
          <cell r="AU113">
            <v>10296</v>
          </cell>
          <cell r="AV113">
            <v>9263</v>
          </cell>
          <cell r="AW113">
            <v>7618</v>
          </cell>
          <cell r="AX113">
            <v>1275</v>
          </cell>
          <cell r="AY113">
            <v>3302</v>
          </cell>
          <cell r="AZ113">
            <v>15922</v>
          </cell>
          <cell r="BA113">
            <v>140426</v>
          </cell>
          <cell r="BB113">
            <v>13948</v>
          </cell>
          <cell r="BC113">
            <v>1737</v>
          </cell>
          <cell r="BD113">
            <v>156139</v>
          </cell>
          <cell r="BE113">
            <v>1.6</v>
          </cell>
          <cell r="BF113">
            <v>-1.7</v>
          </cell>
          <cell r="BG113">
            <v>1.2</v>
          </cell>
          <cell r="BL113">
            <v>5.6</v>
          </cell>
          <cell r="BN113">
            <v>5.4</v>
          </cell>
          <cell r="BO113">
            <v>0</v>
          </cell>
          <cell r="BP113">
            <v>3.3</v>
          </cell>
          <cell r="BQ113">
            <v>1.6</v>
          </cell>
          <cell r="BR113">
            <v>1</v>
          </cell>
          <cell r="BT113">
            <v>1.2</v>
          </cell>
          <cell r="BU113">
            <v>1.8</v>
          </cell>
          <cell r="BV113">
            <v>-0.5</v>
          </cell>
          <cell r="BW113">
            <v>-0.1</v>
          </cell>
          <cell r="BX113">
            <v>1</v>
          </cell>
          <cell r="CB113">
            <v>1.4</v>
          </cell>
          <cell r="CC113">
            <v>0.4</v>
          </cell>
          <cell r="CD113">
            <v>1.5</v>
          </cell>
          <cell r="CE113">
            <v>1.5</v>
          </cell>
          <cell r="CF113">
            <v>-0.1</v>
          </cell>
          <cell r="CG113">
            <v>1.5</v>
          </cell>
          <cell r="CH113">
            <v>3.1</v>
          </cell>
          <cell r="CI113">
            <v>0.6</v>
          </cell>
          <cell r="CJ113">
            <v>1.1000000000000001</v>
          </cell>
          <cell r="CM113">
            <v>2.4</v>
          </cell>
          <cell r="CP113">
            <v>2.7</v>
          </cell>
          <cell r="CS113">
            <v>1.2</v>
          </cell>
          <cell r="CV113">
            <v>1.2</v>
          </cell>
          <cell r="CW113">
            <v>1.2</v>
          </cell>
          <cell r="CX113">
            <v>-0.1</v>
          </cell>
          <cell r="CY113">
            <v>-0.5</v>
          </cell>
          <cell r="CZ113">
            <v>1.2</v>
          </cell>
          <cell r="DA113">
            <v>1.4</v>
          </cell>
          <cell r="DB113">
            <v>1.4</v>
          </cell>
          <cell r="DC113">
            <v>0.9</v>
          </cell>
          <cell r="DD113">
            <v>1.3</v>
          </cell>
          <cell r="DE113">
            <v>1.6</v>
          </cell>
          <cell r="DF113">
            <v>1.5</v>
          </cell>
          <cell r="DG113">
            <v>5043</v>
          </cell>
          <cell r="DH113">
            <v>713</v>
          </cell>
          <cell r="DI113">
            <v>5653</v>
          </cell>
          <cell r="DN113">
            <v>4641</v>
          </cell>
          <cell r="DP113">
            <v>5408</v>
          </cell>
          <cell r="DQ113">
            <v>4000</v>
          </cell>
          <cell r="DR113">
            <v>3865</v>
          </cell>
          <cell r="DS113">
            <v>2568</v>
          </cell>
          <cell r="DT113">
            <v>3064</v>
          </cell>
          <cell r="DV113">
            <v>18550</v>
          </cell>
          <cell r="DW113">
            <v>3096</v>
          </cell>
          <cell r="DX113">
            <v>197</v>
          </cell>
          <cell r="DY113">
            <v>2674</v>
          </cell>
          <cell r="DZ113">
            <v>5896</v>
          </cell>
          <cell r="ED113">
            <v>10404</v>
          </cell>
          <cell r="EE113">
            <v>6420</v>
          </cell>
          <cell r="EF113">
            <v>6746</v>
          </cell>
          <cell r="EG113">
            <v>4001</v>
          </cell>
          <cell r="EH113">
            <v>2030</v>
          </cell>
          <cell r="EI113">
            <v>412</v>
          </cell>
          <cell r="EJ113">
            <v>1330</v>
          </cell>
          <cell r="EK113">
            <v>3475</v>
          </cell>
          <cell r="EL113">
            <v>7068</v>
          </cell>
          <cell r="EO113">
            <v>1871</v>
          </cell>
          <cell r="ER113">
            <v>7105</v>
          </cell>
          <cell r="EU113">
            <v>3680</v>
          </cell>
          <cell r="EX113">
            <v>5781</v>
          </cell>
          <cell r="EY113">
            <v>3686</v>
          </cell>
          <cell r="EZ113">
            <v>10245</v>
          </cell>
          <cell r="FA113">
            <v>9350</v>
          </cell>
          <cell r="FB113">
            <v>7651</v>
          </cell>
          <cell r="FC113">
            <v>1284</v>
          </cell>
          <cell r="FD113">
            <v>3300</v>
          </cell>
          <cell r="FE113">
            <v>15933</v>
          </cell>
          <cell r="FF113">
            <v>140512</v>
          </cell>
          <cell r="FG113">
            <v>13984</v>
          </cell>
          <cell r="FH113">
            <v>1074</v>
          </cell>
          <cell r="FI113">
            <v>155569</v>
          </cell>
          <cell r="FJ113">
            <v>2</v>
          </cell>
          <cell r="FK113">
            <v>-4.4000000000000004</v>
          </cell>
          <cell r="FL113">
            <v>1.4</v>
          </cell>
          <cell r="FQ113">
            <v>2.1</v>
          </cell>
          <cell r="FS113">
            <v>2.1</v>
          </cell>
          <cell r="FT113">
            <v>3.1</v>
          </cell>
          <cell r="FU113">
            <v>5.0999999999999996</v>
          </cell>
          <cell r="FV113">
            <v>1.1000000000000001</v>
          </cell>
          <cell r="FW113">
            <v>2.1</v>
          </cell>
          <cell r="FY113">
            <v>3</v>
          </cell>
          <cell r="FZ113">
            <v>3.2</v>
          </cell>
          <cell r="GA113">
            <v>-1.1000000000000001</v>
          </cell>
          <cell r="GB113">
            <v>-0.9</v>
          </cell>
          <cell r="GC113">
            <v>1.6</v>
          </cell>
          <cell r="GG113">
            <v>3.3</v>
          </cell>
          <cell r="GH113">
            <v>1.3</v>
          </cell>
          <cell r="GI113">
            <v>2.2000000000000002</v>
          </cell>
          <cell r="GJ113">
            <v>2</v>
          </cell>
          <cell r="GK113">
            <v>-0.9</v>
          </cell>
          <cell r="GL113">
            <v>2.8</v>
          </cell>
          <cell r="GM113">
            <v>0.3</v>
          </cell>
          <cell r="GN113">
            <v>1.9</v>
          </cell>
          <cell r="GO113">
            <v>1</v>
          </cell>
          <cell r="GR113">
            <v>1.9</v>
          </cell>
          <cell r="GU113">
            <v>4.8</v>
          </cell>
          <cell r="GX113">
            <v>0.6</v>
          </cell>
          <cell r="HA113">
            <v>0.6</v>
          </cell>
          <cell r="HB113">
            <v>0.6</v>
          </cell>
          <cell r="HC113">
            <v>-0.7</v>
          </cell>
          <cell r="HD113">
            <v>0.7</v>
          </cell>
          <cell r="HE113">
            <v>1.8</v>
          </cell>
          <cell r="HF113">
            <v>2.8</v>
          </cell>
          <cell r="HG113">
            <v>0.9</v>
          </cell>
          <cell r="HH113">
            <v>1</v>
          </cell>
          <cell r="HI113">
            <v>1.8</v>
          </cell>
          <cell r="HJ113">
            <v>2.9</v>
          </cell>
          <cell r="HK113">
            <v>1.2</v>
          </cell>
          <cell r="HL113">
            <v>3690</v>
          </cell>
          <cell r="HM113">
            <v>679</v>
          </cell>
          <cell r="HN113">
            <v>4236</v>
          </cell>
          <cell r="HS113">
            <v>4512</v>
          </cell>
          <cell r="HU113">
            <v>5200</v>
          </cell>
          <cell r="HV113">
            <v>3834</v>
          </cell>
          <cell r="HW113">
            <v>3748</v>
          </cell>
          <cell r="HX113">
            <v>2363</v>
          </cell>
          <cell r="HY113">
            <v>2800</v>
          </cell>
          <cell r="IA113">
            <v>17198</v>
          </cell>
          <cell r="IB113">
            <v>2961</v>
          </cell>
          <cell r="IC113">
            <v>169</v>
          </cell>
          <cell r="ID113">
            <v>2896</v>
          </cell>
          <cell r="IE113">
            <v>5828</v>
          </cell>
          <cell r="II113">
            <v>9502</v>
          </cell>
          <cell r="IJ113">
            <v>6174</v>
          </cell>
          <cell r="IK113">
            <v>6360</v>
          </cell>
          <cell r="IL113">
            <v>3969</v>
          </cell>
          <cell r="IM113">
            <v>1950</v>
          </cell>
          <cell r="IN113">
            <v>408</v>
          </cell>
          <cell r="IO113">
            <v>1269</v>
          </cell>
          <cell r="IP113">
            <v>3405</v>
          </cell>
          <cell r="IQ113">
            <v>6833</v>
          </cell>
        </row>
        <row r="114">
          <cell r="B114">
            <v>4978</v>
          </cell>
          <cell r="C114">
            <v>715</v>
          </cell>
          <cell r="D114">
            <v>5560</v>
          </cell>
          <cell r="I114">
            <v>5144</v>
          </cell>
          <cell r="K114">
            <v>5975</v>
          </cell>
          <cell r="L114">
            <v>4016</v>
          </cell>
          <cell r="M114">
            <v>3925</v>
          </cell>
          <cell r="N114">
            <v>2649</v>
          </cell>
          <cell r="O114">
            <v>3095</v>
          </cell>
          <cell r="Q114">
            <v>18852</v>
          </cell>
          <cell r="R114">
            <v>3143</v>
          </cell>
          <cell r="S114">
            <v>191</v>
          </cell>
          <cell r="T114">
            <v>2624</v>
          </cell>
          <cell r="U114">
            <v>5907</v>
          </cell>
          <cell r="Y114">
            <v>10400</v>
          </cell>
          <cell r="Z114">
            <v>6386</v>
          </cell>
          <cell r="AA114">
            <v>6803</v>
          </cell>
          <cell r="AB114">
            <v>4048</v>
          </cell>
          <cell r="AC114">
            <v>2054</v>
          </cell>
          <cell r="AD114">
            <v>420</v>
          </cell>
          <cell r="AE114">
            <v>1405</v>
          </cell>
          <cell r="AF114">
            <v>3506</v>
          </cell>
          <cell r="AG114">
            <v>7202</v>
          </cell>
          <cell r="AJ114">
            <v>1909</v>
          </cell>
          <cell r="AM114">
            <v>7210</v>
          </cell>
          <cell r="AP114">
            <v>3758</v>
          </cell>
          <cell r="AS114">
            <v>5906</v>
          </cell>
          <cell r="AT114">
            <v>3767</v>
          </cell>
          <cell r="AU114">
            <v>10360</v>
          </cell>
          <cell r="AV114">
            <v>9410</v>
          </cell>
          <cell r="AW114">
            <v>7701</v>
          </cell>
          <cell r="AX114">
            <v>1283</v>
          </cell>
          <cell r="AY114">
            <v>3355</v>
          </cell>
          <cell r="AZ114">
            <v>16083</v>
          </cell>
          <cell r="BA114">
            <v>142508</v>
          </cell>
          <cell r="BB114">
            <v>14139</v>
          </cell>
          <cell r="BC114">
            <v>1740</v>
          </cell>
          <cell r="BD114">
            <v>158722</v>
          </cell>
          <cell r="BE114">
            <v>-1.1000000000000001</v>
          </cell>
          <cell r="BF114">
            <v>-1.1000000000000001</v>
          </cell>
          <cell r="BG114">
            <v>-1.5</v>
          </cell>
          <cell r="BL114">
            <v>7.3</v>
          </cell>
          <cell r="BN114">
            <v>6.9</v>
          </cell>
          <cell r="BO114">
            <v>0.3</v>
          </cell>
          <cell r="BP114">
            <v>1.6</v>
          </cell>
          <cell r="BQ114">
            <v>2.1</v>
          </cell>
          <cell r="BR114">
            <v>0.8</v>
          </cell>
          <cell r="BT114">
            <v>1.4</v>
          </cell>
          <cell r="BU114">
            <v>1.9</v>
          </cell>
          <cell r="BV114">
            <v>-2.1</v>
          </cell>
          <cell r="BW114">
            <v>-1.4</v>
          </cell>
          <cell r="BX114">
            <v>0.6</v>
          </cell>
          <cell r="CB114">
            <v>1.9</v>
          </cell>
          <cell r="CC114">
            <v>-0.3</v>
          </cell>
          <cell r="CD114">
            <v>1.3</v>
          </cell>
          <cell r="CE114">
            <v>1.4</v>
          </cell>
          <cell r="CF114">
            <v>1.1000000000000001</v>
          </cell>
          <cell r="CG114">
            <v>1.9</v>
          </cell>
          <cell r="CH114">
            <v>3.6</v>
          </cell>
          <cell r="CI114">
            <v>1</v>
          </cell>
          <cell r="CJ114">
            <v>1.8</v>
          </cell>
          <cell r="CM114">
            <v>2.4</v>
          </cell>
          <cell r="CP114">
            <v>2.1</v>
          </cell>
          <cell r="CS114">
            <v>1.6</v>
          </cell>
          <cell r="CV114">
            <v>1.7</v>
          </cell>
          <cell r="CW114">
            <v>1.7</v>
          </cell>
          <cell r="CX114">
            <v>0.6</v>
          </cell>
          <cell r="CY114">
            <v>1.6</v>
          </cell>
          <cell r="CZ114">
            <v>1.1000000000000001</v>
          </cell>
          <cell r="DA114">
            <v>0.6</v>
          </cell>
          <cell r="DB114">
            <v>1.6</v>
          </cell>
          <cell r="DC114">
            <v>1</v>
          </cell>
          <cell r="DD114">
            <v>1.5</v>
          </cell>
          <cell r="DE114">
            <v>1.4</v>
          </cell>
          <cell r="DF114">
            <v>1.7</v>
          </cell>
          <cell r="DG114">
            <v>5065</v>
          </cell>
          <cell r="DH114">
            <v>714</v>
          </cell>
          <cell r="DI114">
            <v>5675</v>
          </cell>
          <cell r="DN114">
            <v>5186</v>
          </cell>
          <cell r="DP114">
            <v>6032</v>
          </cell>
          <cell r="DQ114">
            <v>4127</v>
          </cell>
          <cell r="DR114">
            <v>3978</v>
          </cell>
          <cell r="DS114">
            <v>2684</v>
          </cell>
          <cell r="DT114">
            <v>3140</v>
          </cell>
          <cell r="DV114">
            <v>19096</v>
          </cell>
          <cell r="DW114">
            <v>3135</v>
          </cell>
          <cell r="DX114">
            <v>187</v>
          </cell>
          <cell r="DY114">
            <v>2599</v>
          </cell>
          <cell r="DZ114">
            <v>5875</v>
          </cell>
          <cell r="ED114">
            <v>10082</v>
          </cell>
          <cell r="EE114">
            <v>6424</v>
          </cell>
          <cell r="EF114">
            <v>6785</v>
          </cell>
          <cell r="EG114">
            <v>4062</v>
          </cell>
          <cell r="EH114">
            <v>2016</v>
          </cell>
          <cell r="EI114">
            <v>423</v>
          </cell>
          <cell r="EJ114">
            <v>1415</v>
          </cell>
          <cell r="EK114">
            <v>3516</v>
          </cell>
          <cell r="EL114">
            <v>7164</v>
          </cell>
          <cell r="EO114">
            <v>1880</v>
          </cell>
          <cell r="ER114">
            <v>7266</v>
          </cell>
          <cell r="EU114">
            <v>3752</v>
          </cell>
          <cell r="EX114">
            <v>5899</v>
          </cell>
          <cell r="EY114">
            <v>3762</v>
          </cell>
          <cell r="EZ114">
            <v>10366</v>
          </cell>
          <cell r="FA114">
            <v>9232</v>
          </cell>
          <cell r="FB114">
            <v>7673</v>
          </cell>
          <cell r="FC114">
            <v>1292</v>
          </cell>
          <cell r="FD114">
            <v>3357</v>
          </cell>
          <cell r="FE114">
            <v>16079</v>
          </cell>
          <cell r="FF114">
            <v>142299</v>
          </cell>
          <cell r="FG114">
            <v>14141</v>
          </cell>
          <cell r="FH114">
            <v>1597</v>
          </cell>
          <cell r="FI114">
            <v>159013</v>
          </cell>
          <cell r="FJ114">
            <v>0.4</v>
          </cell>
          <cell r="FK114">
            <v>0.1</v>
          </cell>
          <cell r="FL114">
            <v>0.4</v>
          </cell>
          <cell r="FQ114">
            <v>11.7</v>
          </cell>
          <cell r="FS114">
            <v>11.5</v>
          </cell>
          <cell r="FT114">
            <v>3.2</v>
          </cell>
          <cell r="FU114">
            <v>2.9</v>
          </cell>
          <cell r="FV114">
            <v>4.5</v>
          </cell>
          <cell r="FW114">
            <v>2.5</v>
          </cell>
          <cell r="FY114">
            <v>2.9</v>
          </cell>
          <cell r="FZ114">
            <v>1.3</v>
          </cell>
          <cell r="GA114">
            <v>-4.7</v>
          </cell>
          <cell r="GB114">
            <v>-2.8</v>
          </cell>
          <cell r="GC114">
            <v>-0.4</v>
          </cell>
          <cell r="GG114">
            <v>-3.1</v>
          </cell>
          <cell r="GH114">
            <v>0.1</v>
          </cell>
          <cell r="GI114">
            <v>0.6</v>
          </cell>
          <cell r="GJ114">
            <v>1.5</v>
          </cell>
          <cell r="GK114">
            <v>-0.7</v>
          </cell>
          <cell r="GL114">
            <v>2.6</v>
          </cell>
          <cell r="GM114">
            <v>6.4</v>
          </cell>
          <cell r="GN114">
            <v>1.2</v>
          </cell>
          <cell r="GO114">
            <v>1.4</v>
          </cell>
          <cell r="GR114">
            <v>0.5</v>
          </cell>
          <cell r="GU114">
            <v>2.2999999999999998</v>
          </cell>
          <cell r="GX114">
            <v>2</v>
          </cell>
          <cell r="HA114">
            <v>2</v>
          </cell>
          <cell r="HB114">
            <v>2.1</v>
          </cell>
          <cell r="HC114">
            <v>1.2</v>
          </cell>
          <cell r="HD114">
            <v>-1.3</v>
          </cell>
          <cell r="HE114">
            <v>0.3</v>
          </cell>
          <cell r="HF114">
            <v>0.6</v>
          </cell>
          <cell r="HG114">
            <v>1.7</v>
          </cell>
          <cell r="HH114">
            <v>0.9</v>
          </cell>
          <cell r="HI114">
            <v>1.3</v>
          </cell>
          <cell r="HJ114">
            <v>1.1000000000000001</v>
          </cell>
          <cell r="HK114">
            <v>2.2000000000000002</v>
          </cell>
          <cell r="HL114">
            <v>2991</v>
          </cell>
          <cell r="HM114">
            <v>725</v>
          </cell>
          <cell r="HN114">
            <v>3542</v>
          </cell>
          <cell r="HS114">
            <v>5035</v>
          </cell>
          <cell r="HU114">
            <v>5917</v>
          </cell>
          <cell r="HV114">
            <v>4050</v>
          </cell>
          <cell r="HW114">
            <v>4010</v>
          </cell>
          <cell r="HX114">
            <v>2674</v>
          </cell>
          <cell r="HY114">
            <v>3163</v>
          </cell>
          <cell r="IA114">
            <v>19049</v>
          </cell>
          <cell r="IB114">
            <v>3166</v>
          </cell>
          <cell r="IC114">
            <v>193</v>
          </cell>
          <cell r="ID114">
            <v>2428</v>
          </cell>
          <cell r="IE114">
            <v>5807</v>
          </cell>
          <cell r="II114">
            <v>10636</v>
          </cell>
          <cell r="IJ114">
            <v>6393</v>
          </cell>
          <cell r="IK114">
            <v>6670</v>
          </cell>
          <cell r="IL114">
            <v>3855</v>
          </cell>
          <cell r="IM114">
            <v>2002</v>
          </cell>
          <cell r="IN114">
            <v>408</v>
          </cell>
          <cell r="IO114">
            <v>1433</v>
          </cell>
          <cell r="IP114">
            <v>3524</v>
          </cell>
          <cell r="IQ114">
            <v>7115</v>
          </cell>
        </row>
        <row r="115">
          <cell r="B115">
            <v>4821</v>
          </cell>
          <cell r="C115">
            <v>711</v>
          </cell>
          <cell r="D115">
            <v>5346</v>
          </cell>
          <cell r="E115">
            <v>875</v>
          </cell>
          <cell r="F115">
            <v>3194</v>
          </cell>
          <cell r="G115">
            <v>844</v>
          </cell>
          <cell r="H115">
            <v>1468</v>
          </cell>
          <cell r="I115">
            <v>5382</v>
          </cell>
          <cell r="J115">
            <v>1796</v>
          </cell>
          <cell r="K115">
            <v>6272</v>
          </cell>
          <cell r="L115">
            <v>3978</v>
          </cell>
          <cell r="M115">
            <v>3950</v>
          </cell>
          <cell r="N115">
            <v>2663</v>
          </cell>
          <cell r="O115">
            <v>3116</v>
          </cell>
          <cell r="Q115">
            <v>18994</v>
          </cell>
          <cell r="R115">
            <v>3179</v>
          </cell>
          <cell r="S115">
            <v>188</v>
          </cell>
          <cell r="T115">
            <v>2600</v>
          </cell>
          <cell r="U115">
            <v>5927</v>
          </cell>
          <cell r="Y115">
            <v>10550</v>
          </cell>
          <cell r="Z115">
            <v>6387</v>
          </cell>
          <cell r="AA115">
            <v>6831</v>
          </cell>
          <cell r="AB115">
            <v>4090</v>
          </cell>
          <cell r="AC115">
            <v>2115</v>
          </cell>
          <cell r="AD115">
            <v>426</v>
          </cell>
          <cell r="AE115">
            <v>1435</v>
          </cell>
          <cell r="AF115">
            <v>3541</v>
          </cell>
          <cell r="AG115">
            <v>7360</v>
          </cell>
          <cell r="AJ115">
            <v>1952</v>
          </cell>
          <cell r="AM115">
            <v>7367</v>
          </cell>
          <cell r="AP115">
            <v>3867</v>
          </cell>
          <cell r="AS115">
            <v>6079</v>
          </cell>
          <cell r="AT115">
            <v>3877</v>
          </cell>
          <cell r="AU115">
            <v>10501</v>
          </cell>
          <cell r="AV115">
            <v>9629</v>
          </cell>
          <cell r="AW115">
            <v>7790</v>
          </cell>
          <cell r="AX115">
            <v>1291</v>
          </cell>
          <cell r="AY115">
            <v>3408</v>
          </cell>
          <cell r="AZ115">
            <v>16234</v>
          </cell>
          <cell r="BA115">
            <v>144443</v>
          </cell>
          <cell r="BB115">
            <v>14287</v>
          </cell>
          <cell r="BC115">
            <v>1919</v>
          </cell>
          <cell r="BD115">
            <v>160706</v>
          </cell>
          <cell r="BE115">
            <v>-3.1</v>
          </cell>
          <cell r="BF115">
            <v>-0.6</v>
          </cell>
          <cell r="BG115">
            <v>-3.8</v>
          </cell>
          <cell r="BL115">
            <v>4.5999999999999996</v>
          </cell>
          <cell r="BN115">
            <v>5</v>
          </cell>
          <cell r="BO115">
            <v>-0.9</v>
          </cell>
          <cell r="BP115">
            <v>0.6</v>
          </cell>
          <cell r="BQ115">
            <v>0.5</v>
          </cell>
          <cell r="BR115">
            <v>0.7</v>
          </cell>
          <cell r="BT115">
            <v>0.8</v>
          </cell>
          <cell r="BU115">
            <v>1.1000000000000001</v>
          </cell>
          <cell r="BV115">
            <v>-1.7</v>
          </cell>
          <cell r="BW115">
            <v>-0.9</v>
          </cell>
          <cell r="BX115">
            <v>0.3</v>
          </cell>
          <cell r="CB115">
            <v>1.4</v>
          </cell>
          <cell r="CC115">
            <v>0</v>
          </cell>
          <cell r="CD115">
            <v>0.4</v>
          </cell>
          <cell r="CE115">
            <v>1</v>
          </cell>
          <cell r="CF115">
            <v>3</v>
          </cell>
          <cell r="CG115">
            <v>1.4</v>
          </cell>
          <cell r="CH115">
            <v>2.1</v>
          </cell>
          <cell r="CI115">
            <v>1</v>
          </cell>
          <cell r="CJ115">
            <v>2.2000000000000002</v>
          </cell>
          <cell r="CM115">
            <v>2.2000000000000002</v>
          </cell>
          <cell r="CP115">
            <v>2.2000000000000002</v>
          </cell>
          <cell r="CS115">
            <v>2.9</v>
          </cell>
          <cell r="CV115">
            <v>2.9</v>
          </cell>
          <cell r="CW115">
            <v>2.9</v>
          </cell>
          <cell r="CX115">
            <v>1.4</v>
          </cell>
          <cell r="CY115">
            <v>2.2999999999999998</v>
          </cell>
          <cell r="CZ115">
            <v>1.2</v>
          </cell>
          <cell r="DA115">
            <v>0.6</v>
          </cell>
          <cell r="DB115">
            <v>1.6</v>
          </cell>
          <cell r="DC115">
            <v>0.9</v>
          </cell>
          <cell r="DD115">
            <v>1.4</v>
          </cell>
          <cell r="DE115">
            <v>1</v>
          </cell>
          <cell r="DF115">
            <v>1.3</v>
          </cell>
          <cell r="DG115">
            <v>4832</v>
          </cell>
          <cell r="DH115">
            <v>717</v>
          </cell>
          <cell r="DI115">
            <v>5335</v>
          </cell>
          <cell r="DJ115">
            <v>905</v>
          </cell>
          <cell r="DK115">
            <v>3094</v>
          </cell>
          <cell r="DL115">
            <v>893</v>
          </cell>
          <cell r="DM115">
            <v>1466</v>
          </cell>
          <cell r="DN115">
            <v>5557</v>
          </cell>
          <cell r="DO115">
            <v>1951</v>
          </cell>
          <cell r="DP115">
            <v>6467</v>
          </cell>
          <cell r="DQ115">
            <v>3931</v>
          </cell>
          <cell r="DR115">
            <v>3913</v>
          </cell>
          <cell r="DS115">
            <v>2664</v>
          </cell>
          <cell r="DT115">
            <v>3038</v>
          </cell>
          <cell r="DV115">
            <v>18890</v>
          </cell>
          <cell r="DW115">
            <v>3202</v>
          </cell>
          <cell r="DX115">
            <v>188</v>
          </cell>
          <cell r="DY115">
            <v>2618</v>
          </cell>
          <cell r="DZ115">
            <v>5967</v>
          </cell>
          <cell r="ED115">
            <v>10736</v>
          </cell>
          <cell r="EE115">
            <v>6307</v>
          </cell>
          <cell r="EF115">
            <v>6811</v>
          </cell>
          <cell r="EG115">
            <v>4069</v>
          </cell>
          <cell r="EH115">
            <v>2112</v>
          </cell>
          <cell r="EI115">
            <v>426</v>
          </cell>
          <cell r="EJ115">
            <v>1456</v>
          </cell>
          <cell r="EK115">
            <v>3547</v>
          </cell>
          <cell r="EL115">
            <v>7372</v>
          </cell>
          <cell r="EO115">
            <v>1978</v>
          </cell>
          <cell r="ER115">
            <v>7335</v>
          </cell>
          <cell r="EU115">
            <v>3849</v>
          </cell>
          <cell r="EX115">
            <v>6051</v>
          </cell>
          <cell r="EY115">
            <v>3859</v>
          </cell>
          <cell r="EZ115">
            <v>10497</v>
          </cell>
          <cell r="FA115">
            <v>9607</v>
          </cell>
          <cell r="FB115">
            <v>7787</v>
          </cell>
          <cell r="FC115">
            <v>1271</v>
          </cell>
          <cell r="FD115">
            <v>3402</v>
          </cell>
          <cell r="FE115">
            <v>16237</v>
          </cell>
          <cell r="FF115">
            <v>144728</v>
          </cell>
          <cell r="FG115">
            <v>14262</v>
          </cell>
          <cell r="FH115">
            <v>2855</v>
          </cell>
          <cell r="FI115">
            <v>161456</v>
          </cell>
          <cell r="FJ115">
            <v>-4.5999999999999996</v>
          </cell>
          <cell r="FK115">
            <v>0.4</v>
          </cell>
          <cell r="FL115">
            <v>-6</v>
          </cell>
          <cell r="FQ115">
            <v>7.2</v>
          </cell>
          <cell r="FS115">
            <v>7.2</v>
          </cell>
          <cell r="FT115">
            <v>-4.8</v>
          </cell>
          <cell r="FU115">
            <v>-1.6</v>
          </cell>
          <cell r="FV115">
            <v>-0.7</v>
          </cell>
          <cell r="FW115">
            <v>-3.2</v>
          </cell>
          <cell r="FY115">
            <v>-1.1000000000000001</v>
          </cell>
          <cell r="FZ115">
            <v>2.1</v>
          </cell>
          <cell r="GA115">
            <v>0.6</v>
          </cell>
          <cell r="GB115">
            <v>0.7</v>
          </cell>
          <cell r="GC115">
            <v>1.6</v>
          </cell>
          <cell r="GG115">
            <v>6.5</v>
          </cell>
          <cell r="GH115">
            <v>-1.8</v>
          </cell>
          <cell r="GI115">
            <v>0.4</v>
          </cell>
          <cell r="GJ115">
            <v>0.2</v>
          </cell>
          <cell r="GK115">
            <v>4.7</v>
          </cell>
          <cell r="GL115">
            <v>0.7</v>
          </cell>
          <cell r="GM115">
            <v>2.9</v>
          </cell>
          <cell r="GN115">
            <v>0.9</v>
          </cell>
          <cell r="GO115">
            <v>2.9</v>
          </cell>
          <cell r="GR115">
            <v>5.2</v>
          </cell>
          <cell r="GU115">
            <v>0.9</v>
          </cell>
          <cell r="GX115">
            <v>2.6</v>
          </cell>
          <cell r="HA115">
            <v>2.6</v>
          </cell>
          <cell r="HB115">
            <v>2.6</v>
          </cell>
          <cell r="HC115">
            <v>1.3</v>
          </cell>
          <cell r="HD115">
            <v>4.0999999999999996</v>
          </cell>
          <cell r="HE115">
            <v>1.5</v>
          </cell>
          <cell r="HF115">
            <v>-1.6</v>
          </cell>
          <cell r="HG115">
            <v>1.3</v>
          </cell>
          <cell r="HH115">
            <v>1</v>
          </cell>
          <cell r="HI115">
            <v>1.7</v>
          </cell>
          <cell r="HJ115">
            <v>0.9</v>
          </cell>
          <cell r="HK115">
            <v>1.5</v>
          </cell>
          <cell r="HL115">
            <v>3810</v>
          </cell>
          <cell r="HM115">
            <v>737</v>
          </cell>
          <cell r="HN115">
            <v>4385</v>
          </cell>
          <cell r="HO115">
            <v>972</v>
          </cell>
          <cell r="HP115">
            <v>3152</v>
          </cell>
          <cell r="HQ115">
            <v>913</v>
          </cell>
          <cell r="HR115">
            <v>1552</v>
          </cell>
          <cell r="HS115">
            <v>5741</v>
          </cell>
          <cell r="HT115">
            <v>1892</v>
          </cell>
          <cell r="HU115">
            <v>6755</v>
          </cell>
          <cell r="HV115">
            <v>3892</v>
          </cell>
          <cell r="HW115">
            <v>3919</v>
          </cell>
          <cell r="HX115">
            <v>2767</v>
          </cell>
          <cell r="HY115">
            <v>3154</v>
          </cell>
          <cell r="IA115">
            <v>19371</v>
          </cell>
          <cell r="IB115">
            <v>3426</v>
          </cell>
          <cell r="IC115">
            <v>222</v>
          </cell>
          <cell r="ID115">
            <v>2446</v>
          </cell>
          <cell r="IE115">
            <v>6188</v>
          </cell>
          <cell r="II115">
            <v>10671</v>
          </cell>
          <cell r="IJ115">
            <v>6438</v>
          </cell>
          <cell r="IK115">
            <v>6655</v>
          </cell>
          <cell r="IL115">
            <v>3997</v>
          </cell>
          <cell r="IM115">
            <v>2117</v>
          </cell>
          <cell r="IN115">
            <v>441</v>
          </cell>
          <cell r="IO115">
            <v>1470</v>
          </cell>
          <cell r="IP115">
            <v>3557</v>
          </cell>
          <cell r="IQ115">
            <v>7459</v>
          </cell>
        </row>
        <row r="116">
          <cell r="B116">
            <v>4709</v>
          </cell>
          <cell r="C116">
            <v>707</v>
          </cell>
          <cell r="D116">
            <v>5178</v>
          </cell>
          <cell r="E116">
            <v>897</v>
          </cell>
          <cell r="F116">
            <v>3033</v>
          </cell>
          <cell r="G116">
            <v>788</v>
          </cell>
          <cell r="H116">
            <v>1491</v>
          </cell>
          <cell r="I116">
            <v>5338</v>
          </cell>
          <cell r="J116">
            <v>1698</v>
          </cell>
          <cell r="K116">
            <v>6274</v>
          </cell>
          <cell r="L116">
            <v>3923</v>
          </cell>
          <cell r="M116">
            <v>3893</v>
          </cell>
          <cell r="N116">
            <v>2607</v>
          </cell>
          <cell r="O116">
            <v>3062</v>
          </cell>
          <cell r="Q116">
            <v>18806</v>
          </cell>
          <cell r="R116">
            <v>3194</v>
          </cell>
          <cell r="S116">
            <v>189</v>
          </cell>
          <cell r="T116">
            <v>2643</v>
          </cell>
          <cell r="U116">
            <v>5976</v>
          </cell>
          <cell r="Y116">
            <v>10642</v>
          </cell>
          <cell r="Z116">
            <v>6376</v>
          </cell>
          <cell r="AA116">
            <v>6799</v>
          </cell>
          <cell r="AB116">
            <v>4124</v>
          </cell>
          <cell r="AC116">
            <v>2164</v>
          </cell>
          <cell r="AD116">
            <v>436</v>
          </cell>
          <cell r="AE116">
            <v>1437</v>
          </cell>
          <cell r="AF116">
            <v>3555</v>
          </cell>
          <cell r="AG116">
            <v>7475</v>
          </cell>
          <cell r="AJ116">
            <v>1985</v>
          </cell>
          <cell r="AM116">
            <v>7594</v>
          </cell>
          <cell r="AP116">
            <v>3974</v>
          </cell>
          <cell r="AS116">
            <v>6248</v>
          </cell>
          <cell r="AT116">
            <v>3985</v>
          </cell>
          <cell r="AU116">
            <v>10669</v>
          </cell>
          <cell r="AV116">
            <v>9750</v>
          </cell>
          <cell r="AW116">
            <v>7890</v>
          </cell>
          <cell r="AX116">
            <v>1311</v>
          </cell>
          <cell r="AY116">
            <v>3458</v>
          </cell>
          <cell r="AZ116">
            <v>16384</v>
          </cell>
          <cell r="BA116">
            <v>145377</v>
          </cell>
          <cell r="BB116">
            <v>14192</v>
          </cell>
          <cell r="BC116">
            <v>2239</v>
          </cell>
          <cell r="BD116">
            <v>161543</v>
          </cell>
          <cell r="BE116">
            <v>-2.2999999999999998</v>
          </cell>
          <cell r="BF116">
            <v>-0.6</v>
          </cell>
          <cell r="BG116">
            <v>-3.1</v>
          </cell>
          <cell r="BH116">
            <v>2.5</v>
          </cell>
          <cell r="BI116">
            <v>-5.0999999999999996</v>
          </cell>
          <cell r="BJ116">
            <v>-6.7</v>
          </cell>
          <cell r="BK116">
            <v>1.6</v>
          </cell>
          <cell r="BL116">
            <v>-0.8</v>
          </cell>
          <cell r="BM116">
            <v>-5.5</v>
          </cell>
          <cell r="BN116">
            <v>0</v>
          </cell>
          <cell r="BO116">
            <v>-1.4</v>
          </cell>
          <cell r="BP116">
            <v>-1.4</v>
          </cell>
          <cell r="BQ116">
            <v>-2.1</v>
          </cell>
          <cell r="BR116">
            <v>-1.7</v>
          </cell>
          <cell r="BT116">
            <v>-1</v>
          </cell>
          <cell r="BU116">
            <v>0.5</v>
          </cell>
          <cell r="BV116">
            <v>0.6</v>
          </cell>
          <cell r="BW116">
            <v>1.7</v>
          </cell>
          <cell r="BX116">
            <v>0.8</v>
          </cell>
          <cell r="CB116">
            <v>0.9</v>
          </cell>
          <cell r="CC116">
            <v>-0.2</v>
          </cell>
          <cell r="CD116">
            <v>-0.5</v>
          </cell>
          <cell r="CE116">
            <v>0.8</v>
          </cell>
          <cell r="CF116">
            <v>2.2999999999999998</v>
          </cell>
          <cell r="CG116">
            <v>2.2999999999999998</v>
          </cell>
          <cell r="CH116">
            <v>0.2</v>
          </cell>
          <cell r="CI116">
            <v>0.4</v>
          </cell>
          <cell r="CJ116">
            <v>1.6</v>
          </cell>
          <cell r="CM116">
            <v>1.7</v>
          </cell>
          <cell r="CP116">
            <v>3.1</v>
          </cell>
          <cell r="CS116">
            <v>2.8</v>
          </cell>
          <cell r="CV116">
            <v>2.8</v>
          </cell>
          <cell r="CW116">
            <v>2.8</v>
          </cell>
          <cell r="CX116">
            <v>1.6</v>
          </cell>
          <cell r="CY116">
            <v>1.2</v>
          </cell>
          <cell r="CZ116">
            <v>1.3</v>
          </cell>
          <cell r="DA116">
            <v>1.6</v>
          </cell>
          <cell r="DB116">
            <v>1.5</v>
          </cell>
          <cell r="DC116">
            <v>0.9</v>
          </cell>
          <cell r="DD116">
            <v>0.6</v>
          </cell>
          <cell r="DE116">
            <v>-0.7</v>
          </cell>
          <cell r="DF116">
            <v>0.5</v>
          </cell>
          <cell r="DG116">
            <v>4500</v>
          </cell>
          <cell r="DH116">
            <v>706</v>
          </cell>
          <cell r="DI116">
            <v>4985</v>
          </cell>
          <cell r="DJ116">
            <v>855</v>
          </cell>
          <cell r="DK116">
            <v>3135</v>
          </cell>
          <cell r="DL116">
            <v>738</v>
          </cell>
          <cell r="DM116">
            <v>1486</v>
          </cell>
          <cell r="DN116">
            <v>5232</v>
          </cell>
          <cell r="DO116">
            <v>1451</v>
          </cell>
          <cell r="DP116">
            <v>6088</v>
          </cell>
          <cell r="DQ116">
            <v>3896</v>
          </cell>
          <cell r="DR116">
            <v>3919</v>
          </cell>
          <cell r="DS116">
            <v>2618</v>
          </cell>
          <cell r="DT116">
            <v>3162</v>
          </cell>
          <cell r="DV116">
            <v>18903</v>
          </cell>
          <cell r="DW116">
            <v>3195</v>
          </cell>
          <cell r="DX116">
            <v>189</v>
          </cell>
          <cell r="DY116">
            <v>2586</v>
          </cell>
          <cell r="DZ116">
            <v>5941</v>
          </cell>
          <cell r="ED116">
            <v>10688</v>
          </cell>
          <cell r="EE116">
            <v>6410</v>
          </cell>
          <cell r="EF116">
            <v>6901</v>
          </cell>
          <cell r="EG116">
            <v>4140</v>
          </cell>
          <cell r="EH116">
            <v>2223</v>
          </cell>
          <cell r="EI116">
            <v>434</v>
          </cell>
          <cell r="EJ116">
            <v>1426</v>
          </cell>
          <cell r="EK116">
            <v>3534</v>
          </cell>
          <cell r="EL116">
            <v>7541</v>
          </cell>
          <cell r="EO116">
            <v>1985</v>
          </cell>
          <cell r="ER116">
            <v>7540</v>
          </cell>
          <cell r="EU116">
            <v>4006</v>
          </cell>
          <cell r="EX116">
            <v>6298</v>
          </cell>
          <cell r="EY116">
            <v>4017</v>
          </cell>
          <cell r="EZ116">
            <v>10680</v>
          </cell>
          <cell r="FA116">
            <v>10108</v>
          </cell>
          <cell r="FB116">
            <v>7892</v>
          </cell>
          <cell r="FC116">
            <v>1313</v>
          </cell>
          <cell r="FD116">
            <v>3473</v>
          </cell>
          <cell r="FE116">
            <v>16385</v>
          </cell>
          <cell r="FF116">
            <v>145577</v>
          </cell>
          <cell r="FG116">
            <v>14249</v>
          </cell>
          <cell r="FH116">
            <v>1368</v>
          </cell>
          <cell r="FI116">
            <v>160903</v>
          </cell>
          <cell r="FJ116">
            <v>-6.9</v>
          </cell>
          <cell r="FK116">
            <v>-1.5</v>
          </cell>
          <cell r="FL116">
            <v>-6.6</v>
          </cell>
          <cell r="FM116">
            <v>-5.5</v>
          </cell>
          <cell r="FN116">
            <v>1.3</v>
          </cell>
          <cell r="FO116">
            <v>-17.399999999999999</v>
          </cell>
          <cell r="FP116">
            <v>1.4</v>
          </cell>
          <cell r="FQ116">
            <v>-5.8</v>
          </cell>
          <cell r="FR116">
            <v>-25.6</v>
          </cell>
          <cell r="FS116">
            <v>-5.9</v>
          </cell>
          <cell r="FT116">
            <v>-0.9</v>
          </cell>
          <cell r="FU116">
            <v>0.2</v>
          </cell>
          <cell r="FV116">
            <v>-1.7</v>
          </cell>
          <cell r="FW116">
            <v>4.0999999999999996</v>
          </cell>
          <cell r="FY116">
            <v>0.1</v>
          </cell>
          <cell r="FZ116">
            <v>-0.2</v>
          </cell>
          <cell r="GA116">
            <v>0.6</v>
          </cell>
          <cell r="GB116">
            <v>-1.2</v>
          </cell>
          <cell r="GC116">
            <v>-0.4</v>
          </cell>
          <cell r="GG116">
            <v>-0.4</v>
          </cell>
          <cell r="GH116">
            <v>1.6</v>
          </cell>
          <cell r="GI116">
            <v>1.3</v>
          </cell>
          <cell r="GJ116">
            <v>1.7</v>
          </cell>
          <cell r="GK116">
            <v>5.3</v>
          </cell>
          <cell r="GL116">
            <v>1.9</v>
          </cell>
          <cell r="GM116">
            <v>-2</v>
          </cell>
          <cell r="GN116">
            <v>-0.4</v>
          </cell>
          <cell r="GO116">
            <v>2.2999999999999998</v>
          </cell>
          <cell r="GR116">
            <v>0.4</v>
          </cell>
          <cell r="GU116">
            <v>2.8</v>
          </cell>
          <cell r="GX116">
            <v>4.0999999999999996</v>
          </cell>
          <cell r="HA116">
            <v>4.0999999999999996</v>
          </cell>
          <cell r="HB116">
            <v>4.0999999999999996</v>
          </cell>
          <cell r="HC116">
            <v>1.7</v>
          </cell>
          <cell r="HD116">
            <v>5.2</v>
          </cell>
          <cell r="HE116">
            <v>1.3</v>
          </cell>
          <cell r="HF116">
            <v>3.3</v>
          </cell>
          <cell r="HG116">
            <v>2.1</v>
          </cell>
          <cell r="HH116">
            <v>0.9</v>
          </cell>
          <cell r="HI116">
            <v>0.6</v>
          </cell>
          <cell r="HJ116">
            <v>-0.1</v>
          </cell>
          <cell r="HK116">
            <v>-0.3</v>
          </cell>
          <cell r="HL116">
            <v>8270</v>
          </cell>
          <cell r="HM116">
            <v>712</v>
          </cell>
          <cell r="HN116">
            <v>8368</v>
          </cell>
          <cell r="HO116">
            <v>846</v>
          </cell>
          <cell r="HP116">
            <v>3134</v>
          </cell>
          <cell r="HQ116">
            <v>720</v>
          </cell>
          <cell r="HR116">
            <v>1484</v>
          </cell>
          <cell r="HS116">
            <v>5229</v>
          </cell>
          <cell r="HT116">
            <v>1671</v>
          </cell>
          <cell r="HU116">
            <v>6110</v>
          </cell>
          <cell r="HV116">
            <v>4177</v>
          </cell>
          <cell r="HW116">
            <v>3986</v>
          </cell>
          <cell r="HX116">
            <v>2712</v>
          </cell>
          <cell r="HY116">
            <v>3261</v>
          </cell>
          <cell r="IA116">
            <v>19770</v>
          </cell>
          <cell r="IB116">
            <v>3074</v>
          </cell>
          <cell r="IC116">
            <v>177</v>
          </cell>
          <cell r="ID116">
            <v>2697</v>
          </cell>
          <cell r="IE116">
            <v>5845</v>
          </cell>
          <cell r="II116">
            <v>11094</v>
          </cell>
          <cell r="IJ116">
            <v>6622</v>
          </cell>
          <cell r="IK116">
            <v>7615</v>
          </cell>
          <cell r="IL116">
            <v>4474</v>
          </cell>
          <cell r="IM116">
            <v>2292</v>
          </cell>
          <cell r="IN116">
            <v>455</v>
          </cell>
          <cell r="IO116">
            <v>1460</v>
          </cell>
          <cell r="IP116">
            <v>3588</v>
          </cell>
          <cell r="IQ116">
            <v>7676</v>
          </cell>
        </row>
        <row r="117">
          <cell r="B117">
            <v>4678</v>
          </cell>
          <cell r="C117">
            <v>704</v>
          </cell>
          <cell r="D117">
            <v>5132</v>
          </cell>
          <cell r="E117">
            <v>933</v>
          </cell>
          <cell r="F117">
            <v>2799</v>
          </cell>
          <cell r="G117">
            <v>742</v>
          </cell>
          <cell r="H117">
            <v>1527</v>
          </cell>
          <cell r="I117">
            <v>5044</v>
          </cell>
          <cell r="J117">
            <v>1580</v>
          </cell>
          <cell r="K117">
            <v>5950</v>
          </cell>
          <cell r="L117">
            <v>3952</v>
          </cell>
          <cell r="M117">
            <v>3818</v>
          </cell>
          <cell r="N117">
            <v>2543</v>
          </cell>
          <cell r="O117">
            <v>3017</v>
          </cell>
          <cell r="Q117">
            <v>18638</v>
          </cell>
          <cell r="R117">
            <v>3224</v>
          </cell>
          <cell r="S117">
            <v>190</v>
          </cell>
          <cell r="T117">
            <v>2718</v>
          </cell>
          <cell r="U117">
            <v>6064</v>
          </cell>
          <cell r="Y117">
            <v>10610</v>
          </cell>
          <cell r="Z117">
            <v>6357</v>
          </cell>
          <cell r="AA117">
            <v>6752</v>
          </cell>
          <cell r="AB117">
            <v>4156</v>
          </cell>
          <cell r="AC117">
            <v>2164</v>
          </cell>
          <cell r="AD117">
            <v>451</v>
          </cell>
          <cell r="AE117">
            <v>1426</v>
          </cell>
          <cell r="AF117">
            <v>3559</v>
          </cell>
          <cell r="AG117">
            <v>7517</v>
          </cell>
          <cell r="AJ117">
            <v>2005</v>
          </cell>
          <cell r="AM117">
            <v>7965</v>
          </cell>
          <cell r="AP117">
            <v>4053</v>
          </cell>
          <cell r="AS117">
            <v>6373</v>
          </cell>
          <cell r="AT117">
            <v>4066</v>
          </cell>
          <cell r="AU117">
            <v>10824</v>
          </cell>
          <cell r="AV117">
            <v>9816</v>
          </cell>
          <cell r="AW117">
            <v>7975</v>
          </cell>
          <cell r="AX117">
            <v>1334</v>
          </cell>
          <cell r="AY117">
            <v>3501</v>
          </cell>
          <cell r="AZ117">
            <v>16531</v>
          </cell>
          <cell r="BA117">
            <v>145566</v>
          </cell>
          <cell r="BB117">
            <v>13871</v>
          </cell>
          <cell r="BC117">
            <v>2452</v>
          </cell>
          <cell r="BD117">
            <v>161526</v>
          </cell>
          <cell r="BE117">
            <v>-0.7</v>
          </cell>
          <cell r="BF117">
            <v>-0.4</v>
          </cell>
          <cell r="BG117">
            <v>-0.9</v>
          </cell>
          <cell r="BH117">
            <v>4</v>
          </cell>
          <cell r="BI117">
            <v>-7.7</v>
          </cell>
          <cell r="BJ117">
            <v>-5.7</v>
          </cell>
          <cell r="BK117">
            <v>2.4</v>
          </cell>
          <cell r="BL117">
            <v>-5.5</v>
          </cell>
          <cell r="BM117">
            <v>-7</v>
          </cell>
          <cell r="BN117">
            <v>-5.2</v>
          </cell>
          <cell r="BO117">
            <v>0.7</v>
          </cell>
          <cell r="BP117">
            <v>-1.9</v>
          </cell>
          <cell r="BQ117">
            <v>-2.5</v>
          </cell>
          <cell r="BR117">
            <v>-1.5</v>
          </cell>
          <cell r="BT117">
            <v>-0.9</v>
          </cell>
          <cell r="BU117">
            <v>1</v>
          </cell>
          <cell r="BV117">
            <v>0.6</v>
          </cell>
          <cell r="BW117">
            <v>2.8</v>
          </cell>
          <cell r="BX117">
            <v>1.5</v>
          </cell>
          <cell r="CB117">
            <v>-0.3</v>
          </cell>
          <cell r="CC117">
            <v>-0.3</v>
          </cell>
          <cell r="CD117">
            <v>-0.7</v>
          </cell>
          <cell r="CE117">
            <v>0.8</v>
          </cell>
          <cell r="CF117">
            <v>0</v>
          </cell>
          <cell r="CG117">
            <v>3.4</v>
          </cell>
          <cell r="CH117">
            <v>-0.8</v>
          </cell>
          <cell r="CI117">
            <v>0.1</v>
          </cell>
          <cell r="CJ117">
            <v>0.6</v>
          </cell>
          <cell r="CM117">
            <v>1</v>
          </cell>
          <cell r="CP117">
            <v>4.9000000000000004</v>
          </cell>
          <cell r="CS117">
            <v>2</v>
          </cell>
          <cell r="CV117">
            <v>2</v>
          </cell>
          <cell r="CW117">
            <v>2</v>
          </cell>
          <cell r="CX117">
            <v>1.4</v>
          </cell>
          <cell r="CY117">
            <v>0.7</v>
          </cell>
          <cell r="CZ117">
            <v>1.1000000000000001</v>
          </cell>
          <cell r="DA117">
            <v>1.8</v>
          </cell>
          <cell r="DB117">
            <v>1.2</v>
          </cell>
          <cell r="DC117">
            <v>0.9</v>
          </cell>
          <cell r="DD117">
            <v>0.1</v>
          </cell>
          <cell r="DE117">
            <v>-2.2999999999999998</v>
          </cell>
          <cell r="DF117">
            <v>0</v>
          </cell>
          <cell r="DG117">
            <v>4867</v>
          </cell>
          <cell r="DH117">
            <v>700</v>
          </cell>
          <cell r="DI117">
            <v>5297</v>
          </cell>
          <cell r="DJ117">
            <v>942</v>
          </cell>
          <cell r="DK117">
            <v>2885</v>
          </cell>
          <cell r="DL117">
            <v>756</v>
          </cell>
          <cell r="DM117">
            <v>1537</v>
          </cell>
          <cell r="DN117">
            <v>5130</v>
          </cell>
          <cell r="DO117">
            <v>1770</v>
          </cell>
          <cell r="DP117">
            <v>6157</v>
          </cell>
          <cell r="DQ117">
            <v>3946</v>
          </cell>
          <cell r="DR117">
            <v>3833</v>
          </cell>
          <cell r="DS117">
            <v>2545</v>
          </cell>
          <cell r="DT117">
            <v>2995</v>
          </cell>
          <cell r="DV117">
            <v>18591</v>
          </cell>
          <cell r="DW117">
            <v>3181</v>
          </cell>
          <cell r="DX117">
            <v>187</v>
          </cell>
          <cell r="DY117">
            <v>2748</v>
          </cell>
          <cell r="DZ117">
            <v>6025</v>
          </cell>
          <cell r="ED117">
            <v>10517</v>
          </cell>
          <cell r="EE117">
            <v>6413</v>
          </cell>
          <cell r="EF117">
            <v>6629</v>
          </cell>
          <cell r="EG117">
            <v>4144</v>
          </cell>
          <cell r="EH117">
            <v>2128</v>
          </cell>
          <cell r="EI117">
            <v>444</v>
          </cell>
          <cell r="EJ117">
            <v>1416</v>
          </cell>
          <cell r="EK117">
            <v>3595</v>
          </cell>
          <cell r="EL117">
            <v>7460</v>
          </cell>
          <cell r="EO117">
            <v>2000</v>
          </cell>
          <cell r="ER117">
            <v>7995</v>
          </cell>
          <cell r="EU117">
            <v>4067</v>
          </cell>
          <cell r="EX117">
            <v>6394</v>
          </cell>
          <cell r="EY117">
            <v>4078</v>
          </cell>
          <cell r="EZ117">
            <v>10814</v>
          </cell>
          <cell r="FA117">
            <v>9527</v>
          </cell>
          <cell r="FB117">
            <v>7986</v>
          </cell>
          <cell r="FC117">
            <v>1339</v>
          </cell>
          <cell r="FD117">
            <v>3491</v>
          </cell>
          <cell r="FE117">
            <v>16528</v>
          </cell>
          <cell r="FF117">
            <v>145651</v>
          </cell>
          <cell r="FG117">
            <v>14016</v>
          </cell>
          <cell r="FH117">
            <v>2575</v>
          </cell>
          <cell r="FI117">
            <v>161939</v>
          </cell>
          <cell r="FJ117">
            <v>8.1</v>
          </cell>
          <cell r="FK117">
            <v>-0.9</v>
          </cell>
          <cell r="FL117">
            <v>6.3</v>
          </cell>
          <cell r="FM117">
            <v>10.1</v>
          </cell>
          <cell r="FN117">
            <v>-8</v>
          </cell>
          <cell r="FO117">
            <v>2.5</v>
          </cell>
          <cell r="FP117">
            <v>3.4</v>
          </cell>
          <cell r="FQ117">
            <v>-1.9</v>
          </cell>
          <cell r="FR117">
            <v>22</v>
          </cell>
          <cell r="FS117">
            <v>1.1000000000000001</v>
          </cell>
          <cell r="FT117">
            <v>1.3</v>
          </cell>
          <cell r="FU117">
            <v>-2.2000000000000002</v>
          </cell>
          <cell r="FV117">
            <v>-2.8</v>
          </cell>
          <cell r="FW117">
            <v>-5.3</v>
          </cell>
          <cell r="FY117">
            <v>-1.7</v>
          </cell>
          <cell r="FZ117">
            <v>-0.4</v>
          </cell>
          <cell r="GA117">
            <v>-1.1000000000000001</v>
          </cell>
          <cell r="GB117">
            <v>6.3</v>
          </cell>
          <cell r="GC117">
            <v>1.4</v>
          </cell>
          <cell r="GG117">
            <v>-1.6</v>
          </cell>
          <cell r="GH117">
            <v>0.1</v>
          </cell>
          <cell r="GI117">
            <v>-3.9</v>
          </cell>
          <cell r="GJ117">
            <v>0.1</v>
          </cell>
          <cell r="GK117">
            <v>-4.3</v>
          </cell>
          <cell r="GL117">
            <v>2.2000000000000002</v>
          </cell>
          <cell r="GM117">
            <v>-0.7</v>
          </cell>
          <cell r="GN117">
            <v>1.7</v>
          </cell>
          <cell r="GO117">
            <v>-1.1000000000000001</v>
          </cell>
          <cell r="GR117">
            <v>0.7</v>
          </cell>
          <cell r="GU117">
            <v>6</v>
          </cell>
          <cell r="GX117">
            <v>1.5</v>
          </cell>
          <cell r="HA117">
            <v>1.5</v>
          </cell>
          <cell r="HB117">
            <v>1.5</v>
          </cell>
          <cell r="HC117">
            <v>1.3</v>
          </cell>
          <cell r="HD117">
            <v>-5.8</v>
          </cell>
          <cell r="HE117">
            <v>1.2</v>
          </cell>
          <cell r="HF117">
            <v>2</v>
          </cell>
          <cell r="HG117">
            <v>0.5</v>
          </cell>
          <cell r="HH117">
            <v>0.9</v>
          </cell>
          <cell r="HI117">
            <v>0.1</v>
          </cell>
          <cell r="HJ117">
            <v>-1.6</v>
          </cell>
          <cell r="HK117">
            <v>0.6</v>
          </cell>
          <cell r="HL117">
            <v>3675</v>
          </cell>
          <cell r="HM117">
            <v>666</v>
          </cell>
          <cell r="HN117">
            <v>4218</v>
          </cell>
          <cell r="HO117">
            <v>896</v>
          </cell>
          <cell r="HP117">
            <v>2902</v>
          </cell>
          <cell r="HQ117">
            <v>759</v>
          </cell>
          <cell r="HR117">
            <v>1481</v>
          </cell>
          <cell r="HS117">
            <v>5038</v>
          </cell>
          <cell r="HT117">
            <v>1534</v>
          </cell>
          <cell r="HU117">
            <v>5902</v>
          </cell>
          <cell r="HV117">
            <v>3788</v>
          </cell>
          <cell r="HW117">
            <v>3715</v>
          </cell>
          <cell r="HX117">
            <v>2345</v>
          </cell>
          <cell r="HY117">
            <v>2731</v>
          </cell>
          <cell r="IA117">
            <v>17230</v>
          </cell>
          <cell r="IB117">
            <v>3062</v>
          </cell>
          <cell r="IC117">
            <v>160</v>
          </cell>
          <cell r="ID117">
            <v>2935</v>
          </cell>
          <cell r="IE117">
            <v>5953</v>
          </cell>
          <cell r="II117">
            <v>9615</v>
          </cell>
          <cell r="IJ117">
            <v>6104</v>
          </cell>
          <cell r="IK117">
            <v>6221</v>
          </cell>
          <cell r="IL117">
            <v>4148</v>
          </cell>
          <cell r="IM117">
            <v>2047</v>
          </cell>
          <cell r="IN117">
            <v>438</v>
          </cell>
          <cell r="IO117">
            <v>1325</v>
          </cell>
          <cell r="IP117">
            <v>3556</v>
          </cell>
          <cell r="IQ117">
            <v>7266</v>
          </cell>
        </row>
        <row r="118">
          <cell r="B118">
            <v>4699</v>
          </cell>
          <cell r="C118">
            <v>707</v>
          </cell>
          <cell r="D118">
            <v>5189</v>
          </cell>
          <cell r="E118">
            <v>968</v>
          </cell>
          <cell r="F118">
            <v>2619</v>
          </cell>
          <cell r="G118">
            <v>725</v>
          </cell>
          <cell r="H118">
            <v>1568</v>
          </cell>
          <cell r="I118">
            <v>4769</v>
          </cell>
          <cell r="J118">
            <v>1423</v>
          </cell>
          <cell r="K118">
            <v>5577</v>
          </cell>
          <cell r="L118">
            <v>4059</v>
          </cell>
          <cell r="M118">
            <v>3806</v>
          </cell>
          <cell r="N118">
            <v>2529</v>
          </cell>
          <cell r="O118">
            <v>2996</v>
          </cell>
          <cell r="Q118">
            <v>18654</v>
          </cell>
          <cell r="R118">
            <v>3271</v>
          </cell>
          <cell r="S118">
            <v>188</v>
          </cell>
          <cell r="T118">
            <v>2738</v>
          </cell>
          <cell r="U118">
            <v>6131</v>
          </cell>
          <cell r="Y118">
            <v>10461</v>
          </cell>
          <cell r="Z118">
            <v>6312</v>
          </cell>
          <cell r="AA118">
            <v>6707</v>
          </cell>
          <cell r="AB118">
            <v>4187</v>
          </cell>
          <cell r="AC118">
            <v>2128</v>
          </cell>
          <cell r="AD118">
            <v>465</v>
          </cell>
          <cell r="AE118">
            <v>1424</v>
          </cell>
          <cell r="AF118">
            <v>3573</v>
          </cell>
          <cell r="AG118">
            <v>7519</v>
          </cell>
          <cell r="AJ118">
            <v>2026</v>
          </cell>
          <cell r="AM118">
            <v>8462</v>
          </cell>
          <cell r="AP118">
            <v>4127</v>
          </cell>
          <cell r="AS118">
            <v>6495</v>
          </cell>
          <cell r="AT118">
            <v>4144</v>
          </cell>
          <cell r="AU118">
            <v>10930</v>
          </cell>
          <cell r="AV118">
            <v>9993</v>
          </cell>
          <cell r="AW118">
            <v>8015</v>
          </cell>
          <cell r="AX118">
            <v>1342</v>
          </cell>
          <cell r="AY118">
            <v>3539</v>
          </cell>
          <cell r="AZ118">
            <v>16676</v>
          </cell>
          <cell r="BA118">
            <v>145510</v>
          </cell>
          <cell r="BB118">
            <v>13541</v>
          </cell>
          <cell r="BC118">
            <v>2941</v>
          </cell>
          <cell r="BD118">
            <v>161728</v>
          </cell>
          <cell r="BE118">
            <v>0.4</v>
          </cell>
          <cell r="BF118">
            <v>0.5</v>
          </cell>
          <cell r="BG118">
            <v>1.1000000000000001</v>
          </cell>
          <cell r="BH118">
            <v>3.8</v>
          </cell>
          <cell r="BI118">
            <v>-6.4</v>
          </cell>
          <cell r="BJ118">
            <v>-2.2999999999999998</v>
          </cell>
          <cell r="BK118">
            <v>2.7</v>
          </cell>
          <cell r="BL118">
            <v>-5.5</v>
          </cell>
          <cell r="BM118">
            <v>-9.9</v>
          </cell>
          <cell r="BN118">
            <v>-6.3</v>
          </cell>
          <cell r="BO118">
            <v>2.7</v>
          </cell>
          <cell r="BP118">
            <v>-0.3</v>
          </cell>
          <cell r="BQ118">
            <v>-0.5</v>
          </cell>
          <cell r="BR118">
            <v>-0.7</v>
          </cell>
          <cell r="BT118">
            <v>0.1</v>
          </cell>
          <cell r="BU118">
            <v>1.4</v>
          </cell>
          <cell r="BV118">
            <v>-0.9</v>
          </cell>
          <cell r="BW118">
            <v>0.8</v>
          </cell>
          <cell r="BX118">
            <v>1.1000000000000001</v>
          </cell>
          <cell r="CB118">
            <v>-1.4</v>
          </cell>
          <cell r="CC118">
            <v>-0.7</v>
          </cell>
          <cell r="CD118">
            <v>-0.7</v>
          </cell>
          <cell r="CE118">
            <v>0.8</v>
          </cell>
          <cell r="CF118">
            <v>-1.7</v>
          </cell>
          <cell r="CG118">
            <v>3.1</v>
          </cell>
          <cell r="CH118">
            <v>-0.1</v>
          </cell>
          <cell r="CI118">
            <v>0.4</v>
          </cell>
          <cell r="CJ118">
            <v>0</v>
          </cell>
          <cell r="CM118">
            <v>1</v>
          </cell>
          <cell r="CP118">
            <v>6.2</v>
          </cell>
          <cell r="CS118">
            <v>1.8</v>
          </cell>
          <cell r="CV118">
            <v>1.9</v>
          </cell>
          <cell r="CW118">
            <v>1.9</v>
          </cell>
          <cell r="CX118">
            <v>1</v>
          </cell>
          <cell r="CY118">
            <v>1.8</v>
          </cell>
          <cell r="CZ118">
            <v>0.5</v>
          </cell>
          <cell r="DA118">
            <v>0.6</v>
          </cell>
          <cell r="DB118">
            <v>1.1000000000000001</v>
          </cell>
          <cell r="DC118">
            <v>0.9</v>
          </cell>
          <cell r="DD118">
            <v>0</v>
          </cell>
          <cell r="DE118">
            <v>-2.4</v>
          </cell>
          <cell r="DF118">
            <v>0.1</v>
          </cell>
          <cell r="DG118">
            <v>4657</v>
          </cell>
          <cell r="DH118">
            <v>704</v>
          </cell>
          <cell r="DI118">
            <v>5141</v>
          </cell>
          <cell r="DJ118">
            <v>996</v>
          </cell>
          <cell r="DK118">
            <v>2437</v>
          </cell>
          <cell r="DL118">
            <v>732</v>
          </cell>
          <cell r="DM118">
            <v>1545</v>
          </cell>
          <cell r="DN118">
            <v>4718</v>
          </cell>
          <cell r="DO118">
            <v>1425</v>
          </cell>
          <cell r="DP118">
            <v>5516</v>
          </cell>
          <cell r="DQ118">
            <v>4067</v>
          </cell>
          <cell r="DR118">
            <v>3748</v>
          </cell>
          <cell r="DS118">
            <v>2465</v>
          </cell>
          <cell r="DT118">
            <v>2868</v>
          </cell>
          <cell r="DV118">
            <v>18458</v>
          </cell>
          <cell r="DW118">
            <v>3301</v>
          </cell>
          <cell r="DX118">
            <v>196</v>
          </cell>
          <cell r="DY118">
            <v>2779</v>
          </cell>
          <cell r="DZ118">
            <v>6211</v>
          </cell>
          <cell r="ED118">
            <v>10502</v>
          </cell>
          <cell r="EE118">
            <v>6227</v>
          </cell>
          <cell r="EF118">
            <v>6744</v>
          </cell>
          <cell r="EG118">
            <v>4197</v>
          </cell>
          <cell r="EH118">
            <v>2136</v>
          </cell>
          <cell r="EI118">
            <v>479</v>
          </cell>
          <cell r="EJ118">
            <v>1433</v>
          </cell>
          <cell r="EK118">
            <v>3541</v>
          </cell>
          <cell r="EL118">
            <v>7549</v>
          </cell>
          <cell r="EO118">
            <v>2022</v>
          </cell>
          <cell r="ER118">
            <v>8460</v>
          </cell>
          <cell r="EU118">
            <v>4082</v>
          </cell>
          <cell r="EX118">
            <v>6417</v>
          </cell>
          <cell r="EY118">
            <v>4093</v>
          </cell>
          <cell r="EZ118">
            <v>10943</v>
          </cell>
          <cell r="FA118">
            <v>9845</v>
          </cell>
          <cell r="FB118">
            <v>8025</v>
          </cell>
          <cell r="FC118">
            <v>1353</v>
          </cell>
          <cell r="FD118">
            <v>3539</v>
          </cell>
          <cell r="FE118">
            <v>16677</v>
          </cell>
          <cell r="FF118">
            <v>145015</v>
          </cell>
          <cell r="FG118">
            <v>13330</v>
          </cell>
          <cell r="FH118">
            <v>3524</v>
          </cell>
          <cell r="FI118">
            <v>161620</v>
          </cell>
          <cell r="FJ118">
            <v>-4.3</v>
          </cell>
          <cell r="FK118">
            <v>0.6</v>
          </cell>
          <cell r="FL118">
            <v>-2.9</v>
          </cell>
          <cell r="FM118">
            <v>5.7</v>
          </cell>
          <cell r="FN118">
            <v>-15.5</v>
          </cell>
          <cell r="FO118">
            <v>-3.2</v>
          </cell>
          <cell r="FP118">
            <v>0.6</v>
          </cell>
          <cell r="FQ118">
            <v>-8</v>
          </cell>
          <cell r="FR118">
            <v>-19.5</v>
          </cell>
          <cell r="FS118">
            <v>-10.4</v>
          </cell>
          <cell r="FT118">
            <v>3.1</v>
          </cell>
          <cell r="FU118">
            <v>-2.2000000000000002</v>
          </cell>
          <cell r="FV118">
            <v>-3.1</v>
          </cell>
          <cell r="FW118">
            <v>-4.3</v>
          </cell>
          <cell r="FY118">
            <v>-0.7</v>
          </cell>
          <cell r="FZ118">
            <v>3.8</v>
          </cell>
          <cell r="GA118">
            <v>4.5999999999999996</v>
          </cell>
          <cell r="GB118">
            <v>1.1000000000000001</v>
          </cell>
          <cell r="GC118">
            <v>3.1</v>
          </cell>
          <cell r="GG118">
            <v>-0.1</v>
          </cell>
          <cell r="GH118">
            <v>-2.9</v>
          </cell>
          <cell r="GI118">
            <v>1.7</v>
          </cell>
          <cell r="GJ118">
            <v>1.3</v>
          </cell>
          <cell r="GK118">
            <v>0.3</v>
          </cell>
          <cell r="GL118">
            <v>8</v>
          </cell>
          <cell r="GM118">
            <v>1.2</v>
          </cell>
          <cell r="GN118">
            <v>-1.5</v>
          </cell>
          <cell r="GO118">
            <v>1.2</v>
          </cell>
          <cell r="GR118">
            <v>1.1000000000000001</v>
          </cell>
          <cell r="GU118">
            <v>5.8</v>
          </cell>
          <cell r="GX118">
            <v>0.4</v>
          </cell>
          <cell r="HA118">
            <v>0.4</v>
          </cell>
          <cell r="HB118">
            <v>0.4</v>
          </cell>
          <cell r="HC118">
            <v>1.2</v>
          </cell>
          <cell r="HD118">
            <v>3.3</v>
          </cell>
          <cell r="HE118">
            <v>0.5</v>
          </cell>
          <cell r="HF118">
            <v>1.1000000000000001</v>
          </cell>
          <cell r="HG118">
            <v>1.4</v>
          </cell>
          <cell r="HH118">
            <v>0.9</v>
          </cell>
          <cell r="HI118">
            <v>-0.4</v>
          </cell>
          <cell r="HJ118">
            <v>-4.9000000000000004</v>
          </cell>
          <cell r="HK118">
            <v>-0.2</v>
          </cell>
          <cell r="HL118">
            <v>3101</v>
          </cell>
          <cell r="HM118">
            <v>711</v>
          </cell>
          <cell r="HN118">
            <v>3787</v>
          </cell>
          <cell r="HO118">
            <v>983</v>
          </cell>
          <cell r="HP118">
            <v>2363</v>
          </cell>
          <cell r="HQ118">
            <v>725</v>
          </cell>
          <cell r="HR118">
            <v>1518</v>
          </cell>
          <cell r="HS118">
            <v>4629</v>
          </cell>
          <cell r="HT118">
            <v>1499</v>
          </cell>
          <cell r="HU118">
            <v>5462</v>
          </cell>
          <cell r="HV118">
            <v>3983</v>
          </cell>
          <cell r="HW118">
            <v>3793</v>
          </cell>
          <cell r="HX118">
            <v>2468</v>
          </cell>
          <cell r="HY118">
            <v>2918</v>
          </cell>
          <cell r="IA118">
            <v>18471</v>
          </cell>
          <cell r="IB118">
            <v>3316</v>
          </cell>
          <cell r="IC118">
            <v>203</v>
          </cell>
          <cell r="ID118">
            <v>2654</v>
          </cell>
          <cell r="IE118">
            <v>6158</v>
          </cell>
          <cell r="II118">
            <v>11063</v>
          </cell>
          <cell r="IJ118">
            <v>6193</v>
          </cell>
          <cell r="IK118">
            <v>6593</v>
          </cell>
          <cell r="IL118">
            <v>3932</v>
          </cell>
          <cell r="IM118">
            <v>2143</v>
          </cell>
          <cell r="IN118">
            <v>450</v>
          </cell>
          <cell r="IO118">
            <v>1477</v>
          </cell>
          <cell r="IP118">
            <v>3516</v>
          </cell>
          <cell r="IQ118">
            <v>7521</v>
          </cell>
        </row>
        <row r="119">
          <cell r="B119">
            <v>4668</v>
          </cell>
          <cell r="C119">
            <v>711</v>
          </cell>
          <cell r="D119">
            <v>5214</v>
          </cell>
          <cell r="E119">
            <v>1012</v>
          </cell>
          <cell r="F119">
            <v>2652</v>
          </cell>
          <cell r="G119">
            <v>746</v>
          </cell>
          <cell r="H119">
            <v>1623</v>
          </cell>
          <cell r="I119">
            <v>4686</v>
          </cell>
          <cell r="J119">
            <v>1224</v>
          </cell>
          <cell r="K119">
            <v>5412</v>
          </cell>
          <cell r="L119">
            <v>4129</v>
          </cell>
          <cell r="M119">
            <v>3859</v>
          </cell>
          <cell r="N119">
            <v>2570</v>
          </cell>
          <cell r="O119">
            <v>3008</v>
          </cell>
          <cell r="P119">
            <v>4591</v>
          </cell>
          <cell r="Q119">
            <v>18780</v>
          </cell>
          <cell r="R119">
            <v>3309</v>
          </cell>
          <cell r="S119">
            <v>186</v>
          </cell>
          <cell r="T119">
            <v>2696</v>
          </cell>
          <cell r="U119">
            <v>6147</v>
          </cell>
          <cell r="Y119">
            <v>10325</v>
          </cell>
          <cell r="Z119">
            <v>6251</v>
          </cell>
          <cell r="AA119">
            <v>6670</v>
          </cell>
          <cell r="AB119">
            <v>4218</v>
          </cell>
          <cell r="AC119">
            <v>2105</v>
          </cell>
          <cell r="AD119">
            <v>477</v>
          </cell>
          <cell r="AE119">
            <v>1434</v>
          </cell>
          <cell r="AF119">
            <v>3602</v>
          </cell>
          <cell r="AG119">
            <v>7547</v>
          </cell>
          <cell r="AJ119">
            <v>2061</v>
          </cell>
          <cell r="AM119">
            <v>8987</v>
          </cell>
          <cell r="AP119">
            <v>4189</v>
          </cell>
          <cell r="AS119">
            <v>6592</v>
          </cell>
          <cell r="AT119">
            <v>4206</v>
          </cell>
          <cell r="AU119">
            <v>10974</v>
          </cell>
          <cell r="AV119">
            <v>10156</v>
          </cell>
          <cell r="AW119">
            <v>8024</v>
          </cell>
          <cell r="AX119">
            <v>1334</v>
          </cell>
          <cell r="AY119">
            <v>3571</v>
          </cell>
          <cell r="AZ119">
            <v>16817</v>
          </cell>
          <cell r="BA119">
            <v>145904</v>
          </cell>
          <cell r="BB119">
            <v>13414</v>
          </cell>
          <cell r="BC119">
            <v>3621</v>
          </cell>
          <cell r="BD119">
            <v>162668</v>
          </cell>
          <cell r="BE119">
            <v>-0.7</v>
          </cell>
          <cell r="BF119">
            <v>0.6</v>
          </cell>
          <cell r="BG119">
            <v>0.5</v>
          </cell>
          <cell r="BH119">
            <v>4.5999999999999996</v>
          </cell>
          <cell r="BI119">
            <v>1.3</v>
          </cell>
          <cell r="BJ119">
            <v>2.8</v>
          </cell>
          <cell r="BK119">
            <v>3.5</v>
          </cell>
          <cell r="BL119">
            <v>-1.7</v>
          </cell>
          <cell r="BM119">
            <v>-14</v>
          </cell>
          <cell r="BN119">
            <v>-3</v>
          </cell>
          <cell r="BO119">
            <v>1.7</v>
          </cell>
          <cell r="BP119">
            <v>1.4</v>
          </cell>
          <cell r="BQ119">
            <v>1.6</v>
          </cell>
          <cell r="BR119">
            <v>0.4</v>
          </cell>
          <cell r="BT119">
            <v>0.7</v>
          </cell>
          <cell r="BU119">
            <v>1.2</v>
          </cell>
          <cell r="BV119">
            <v>-1.1000000000000001</v>
          </cell>
          <cell r="BW119">
            <v>-1.5</v>
          </cell>
          <cell r="BX119">
            <v>0.3</v>
          </cell>
          <cell r="CB119">
            <v>-1.3</v>
          </cell>
          <cell r="CC119">
            <v>-1</v>
          </cell>
          <cell r="CD119">
            <v>-0.6</v>
          </cell>
          <cell r="CE119">
            <v>0.7</v>
          </cell>
          <cell r="CF119">
            <v>-1.1000000000000001</v>
          </cell>
          <cell r="CG119">
            <v>2.6</v>
          </cell>
          <cell r="CH119">
            <v>0.7</v>
          </cell>
          <cell r="CI119">
            <v>0.8</v>
          </cell>
          <cell r="CJ119">
            <v>0.4</v>
          </cell>
          <cell r="CM119">
            <v>1.7</v>
          </cell>
          <cell r="CP119">
            <v>6.2</v>
          </cell>
          <cell r="CS119">
            <v>1.5</v>
          </cell>
          <cell r="CV119">
            <v>1.5</v>
          </cell>
          <cell r="CW119">
            <v>1.5</v>
          </cell>
          <cell r="CX119">
            <v>0.4</v>
          </cell>
          <cell r="CY119">
            <v>1.6</v>
          </cell>
          <cell r="CZ119">
            <v>0.1</v>
          </cell>
          <cell r="DA119">
            <v>-0.6</v>
          </cell>
          <cell r="DB119">
            <v>0.9</v>
          </cell>
          <cell r="DC119">
            <v>0.8</v>
          </cell>
          <cell r="DD119">
            <v>0.3</v>
          </cell>
          <cell r="DE119">
            <v>-0.9</v>
          </cell>
          <cell r="DF119">
            <v>0.6</v>
          </cell>
          <cell r="DG119">
            <v>4618</v>
          </cell>
          <cell r="DH119">
            <v>718</v>
          </cell>
          <cell r="DI119">
            <v>5185</v>
          </cell>
          <cell r="DJ119">
            <v>989</v>
          </cell>
          <cell r="DK119">
            <v>2567</v>
          </cell>
          <cell r="DL119">
            <v>714</v>
          </cell>
          <cell r="DM119">
            <v>1656</v>
          </cell>
          <cell r="DN119">
            <v>4575</v>
          </cell>
          <cell r="DO119">
            <v>1175</v>
          </cell>
          <cell r="DP119">
            <v>5208</v>
          </cell>
          <cell r="DQ119">
            <v>4150</v>
          </cell>
          <cell r="DR119">
            <v>3844</v>
          </cell>
          <cell r="DS119">
            <v>2632</v>
          </cell>
          <cell r="DT119">
            <v>3192</v>
          </cell>
          <cell r="DU119">
            <v>4577</v>
          </cell>
          <cell r="DV119">
            <v>19034</v>
          </cell>
          <cell r="DW119">
            <v>3323</v>
          </cell>
          <cell r="DX119">
            <v>179</v>
          </cell>
          <cell r="DY119">
            <v>2698</v>
          </cell>
          <cell r="DZ119">
            <v>6148</v>
          </cell>
          <cell r="ED119">
            <v>10351</v>
          </cell>
          <cell r="EE119">
            <v>6313</v>
          </cell>
          <cell r="EF119">
            <v>6715</v>
          </cell>
          <cell r="EG119">
            <v>4209</v>
          </cell>
          <cell r="EH119">
            <v>2105</v>
          </cell>
          <cell r="EI119">
            <v>469</v>
          </cell>
          <cell r="EJ119">
            <v>1427</v>
          </cell>
          <cell r="EK119">
            <v>3598</v>
          </cell>
          <cell r="EL119">
            <v>7516</v>
          </cell>
          <cell r="EO119">
            <v>2067</v>
          </cell>
          <cell r="ER119">
            <v>8953</v>
          </cell>
          <cell r="EU119">
            <v>4209</v>
          </cell>
          <cell r="EX119">
            <v>6628</v>
          </cell>
          <cell r="EY119">
            <v>4231</v>
          </cell>
          <cell r="EZ119">
            <v>11009</v>
          </cell>
          <cell r="FA119">
            <v>10418</v>
          </cell>
          <cell r="FB119">
            <v>8021</v>
          </cell>
          <cell r="FC119">
            <v>1320</v>
          </cell>
          <cell r="FD119">
            <v>3574</v>
          </cell>
          <cell r="FE119">
            <v>16820</v>
          </cell>
          <cell r="FF119">
            <v>146325</v>
          </cell>
          <cell r="FG119">
            <v>13365</v>
          </cell>
          <cell r="FH119">
            <v>2687</v>
          </cell>
          <cell r="FI119">
            <v>162111</v>
          </cell>
          <cell r="FJ119">
            <v>-0.8</v>
          </cell>
          <cell r="FK119">
            <v>2.1</v>
          </cell>
          <cell r="FL119">
            <v>0.9</v>
          </cell>
          <cell r="FM119">
            <v>-0.7</v>
          </cell>
          <cell r="FN119">
            <v>5.3</v>
          </cell>
          <cell r="FO119">
            <v>-2.5</v>
          </cell>
          <cell r="FP119">
            <v>7.2</v>
          </cell>
          <cell r="FQ119">
            <v>-3</v>
          </cell>
          <cell r="FR119">
            <v>-17.5</v>
          </cell>
          <cell r="FS119">
            <v>-5.6</v>
          </cell>
          <cell r="FT119">
            <v>2</v>
          </cell>
          <cell r="FU119">
            <v>2.6</v>
          </cell>
          <cell r="FV119">
            <v>6.8</v>
          </cell>
          <cell r="FW119">
            <v>11.3</v>
          </cell>
          <cell r="FY119">
            <v>3.1</v>
          </cell>
          <cell r="FZ119">
            <v>0.7</v>
          </cell>
          <cell r="GA119">
            <v>-8.6</v>
          </cell>
          <cell r="GB119">
            <v>-2.9</v>
          </cell>
          <cell r="GC119">
            <v>-1</v>
          </cell>
          <cell r="GG119">
            <v>-1.4</v>
          </cell>
          <cell r="GH119">
            <v>1.4</v>
          </cell>
          <cell r="GI119">
            <v>-0.4</v>
          </cell>
          <cell r="GJ119">
            <v>0.3</v>
          </cell>
          <cell r="GK119">
            <v>-1.4</v>
          </cell>
          <cell r="GL119">
            <v>-2.1</v>
          </cell>
          <cell r="GM119">
            <v>-0.4</v>
          </cell>
          <cell r="GN119">
            <v>1.6</v>
          </cell>
          <cell r="GO119">
            <v>-0.4</v>
          </cell>
          <cell r="GR119">
            <v>2.2000000000000002</v>
          </cell>
          <cell r="GU119">
            <v>5.8</v>
          </cell>
          <cell r="GX119">
            <v>3.1</v>
          </cell>
          <cell r="HA119">
            <v>3.3</v>
          </cell>
          <cell r="HB119">
            <v>3.4</v>
          </cell>
          <cell r="HC119">
            <v>0.6</v>
          </cell>
          <cell r="HD119">
            <v>5.8</v>
          </cell>
          <cell r="HE119">
            <v>0</v>
          </cell>
          <cell r="HF119">
            <v>-2.5</v>
          </cell>
          <cell r="HG119">
            <v>1</v>
          </cell>
          <cell r="HH119">
            <v>0.9</v>
          </cell>
          <cell r="HI119">
            <v>0.9</v>
          </cell>
          <cell r="HJ119">
            <v>0.3</v>
          </cell>
          <cell r="HK119">
            <v>0.3</v>
          </cell>
          <cell r="HL119">
            <v>3789</v>
          </cell>
          <cell r="HM119">
            <v>732</v>
          </cell>
          <cell r="HN119">
            <v>4466</v>
          </cell>
          <cell r="HO119">
            <v>1061</v>
          </cell>
          <cell r="HP119">
            <v>2627</v>
          </cell>
          <cell r="HQ119">
            <v>734</v>
          </cell>
          <cell r="HR119">
            <v>1740</v>
          </cell>
          <cell r="HS119">
            <v>4780</v>
          </cell>
          <cell r="HT119">
            <v>1147</v>
          </cell>
          <cell r="HU119">
            <v>5553</v>
          </cell>
          <cell r="HV119">
            <v>4122</v>
          </cell>
          <cell r="HW119">
            <v>3869</v>
          </cell>
          <cell r="HX119">
            <v>2775</v>
          </cell>
          <cell r="HY119">
            <v>3373</v>
          </cell>
          <cell r="HZ119">
            <v>4766</v>
          </cell>
          <cell r="IA119">
            <v>19681</v>
          </cell>
          <cell r="IB119">
            <v>3547</v>
          </cell>
          <cell r="IC119">
            <v>212</v>
          </cell>
          <cell r="ID119">
            <v>2577</v>
          </cell>
          <cell r="IE119">
            <v>6409</v>
          </cell>
          <cell r="II119">
            <v>10265</v>
          </cell>
          <cell r="IJ119">
            <v>6387</v>
          </cell>
          <cell r="IK119">
            <v>6560</v>
          </cell>
          <cell r="IL119">
            <v>4120</v>
          </cell>
          <cell r="IM119">
            <v>2099</v>
          </cell>
          <cell r="IN119">
            <v>488</v>
          </cell>
          <cell r="IO119">
            <v>1451</v>
          </cell>
          <cell r="IP119">
            <v>3597</v>
          </cell>
          <cell r="IQ119">
            <v>7571</v>
          </cell>
        </row>
        <row r="120">
          <cell r="B120">
            <v>4647</v>
          </cell>
          <cell r="C120">
            <v>703</v>
          </cell>
          <cell r="D120">
            <v>5226</v>
          </cell>
          <cell r="E120">
            <v>1069</v>
          </cell>
          <cell r="F120">
            <v>2843</v>
          </cell>
          <cell r="G120">
            <v>766</v>
          </cell>
          <cell r="H120">
            <v>1692</v>
          </cell>
          <cell r="I120">
            <v>4797</v>
          </cell>
          <cell r="J120">
            <v>1065</v>
          </cell>
          <cell r="K120">
            <v>5533</v>
          </cell>
          <cell r="L120">
            <v>4165</v>
          </cell>
          <cell r="M120">
            <v>3952</v>
          </cell>
          <cell r="N120">
            <v>2641</v>
          </cell>
          <cell r="O120">
            <v>3046</v>
          </cell>
          <cell r="P120">
            <v>4628</v>
          </cell>
          <cell r="Q120">
            <v>19005</v>
          </cell>
          <cell r="R120">
            <v>3331</v>
          </cell>
          <cell r="S120">
            <v>186</v>
          </cell>
          <cell r="T120">
            <v>2648</v>
          </cell>
          <cell r="U120">
            <v>6142</v>
          </cell>
          <cell r="Y120">
            <v>10234</v>
          </cell>
          <cell r="Z120">
            <v>6220</v>
          </cell>
          <cell r="AA120">
            <v>6619</v>
          </cell>
          <cell r="AB120">
            <v>4253</v>
          </cell>
          <cell r="AC120">
            <v>2116</v>
          </cell>
          <cell r="AD120">
            <v>488</v>
          </cell>
          <cell r="AE120">
            <v>1434</v>
          </cell>
          <cell r="AF120">
            <v>3632</v>
          </cell>
          <cell r="AG120">
            <v>7599</v>
          </cell>
          <cell r="AJ120">
            <v>2112</v>
          </cell>
          <cell r="AM120">
            <v>9477</v>
          </cell>
          <cell r="AP120">
            <v>4253</v>
          </cell>
          <cell r="AS120">
            <v>6675</v>
          </cell>
          <cell r="AT120">
            <v>4256</v>
          </cell>
          <cell r="AU120">
            <v>10990</v>
          </cell>
          <cell r="AV120">
            <v>10181</v>
          </cell>
          <cell r="AW120">
            <v>8044</v>
          </cell>
          <cell r="AX120">
            <v>1325</v>
          </cell>
          <cell r="AY120">
            <v>3596</v>
          </cell>
          <cell r="AZ120">
            <v>16950</v>
          </cell>
          <cell r="BA120">
            <v>146983</v>
          </cell>
          <cell r="BB120">
            <v>13550</v>
          </cell>
          <cell r="BC120">
            <v>4058</v>
          </cell>
          <cell r="BD120">
            <v>164305</v>
          </cell>
          <cell r="BE120">
            <v>-0.4</v>
          </cell>
          <cell r="BF120">
            <v>-1.1000000000000001</v>
          </cell>
          <cell r="BG120">
            <v>0.2</v>
          </cell>
          <cell r="BH120">
            <v>5.6</v>
          </cell>
          <cell r="BI120">
            <v>7.2</v>
          </cell>
          <cell r="BJ120">
            <v>2.7</v>
          </cell>
          <cell r="BK120">
            <v>4.3</v>
          </cell>
          <cell r="BL120">
            <v>2.4</v>
          </cell>
          <cell r="BM120">
            <v>-13</v>
          </cell>
          <cell r="BN120">
            <v>2.2000000000000002</v>
          </cell>
          <cell r="BO120">
            <v>0.9</v>
          </cell>
          <cell r="BP120">
            <v>2.4</v>
          </cell>
          <cell r="BQ120">
            <v>2.8</v>
          </cell>
          <cell r="BR120">
            <v>1.3</v>
          </cell>
          <cell r="BS120">
            <v>0.8</v>
          </cell>
          <cell r="BT120">
            <v>1.2</v>
          </cell>
          <cell r="BU120">
            <v>0.7</v>
          </cell>
          <cell r="BV120">
            <v>-0.3</v>
          </cell>
          <cell r="BW120">
            <v>-1.8</v>
          </cell>
          <cell r="BX120">
            <v>-0.1</v>
          </cell>
          <cell r="CB120">
            <v>-0.9</v>
          </cell>
          <cell r="CC120">
            <v>-0.5</v>
          </cell>
          <cell r="CD120">
            <v>-0.8</v>
          </cell>
          <cell r="CE120">
            <v>0.8</v>
          </cell>
          <cell r="CF120">
            <v>0.5</v>
          </cell>
          <cell r="CG120">
            <v>2.2999999999999998</v>
          </cell>
          <cell r="CH120">
            <v>0</v>
          </cell>
          <cell r="CI120">
            <v>0.9</v>
          </cell>
          <cell r="CJ120">
            <v>0.7</v>
          </cell>
          <cell r="CM120">
            <v>2.5</v>
          </cell>
          <cell r="CP120">
            <v>5.4</v>
          </cell>
          <cell r="CS120">
            <v>1.5</v>
          </cell>
          <cell r="CV120">
            <v>1.3</v>
          </cell>
          <cell r="CW120">
            <v>1.2</v>
          </cell>
          <cell r="CX120">
            <v>0.1</v>
          </cell>
          <cell r="CY120">
            <v>0.3</v>
          </cell>
          <cell r="CZ120">
            <v>0.2</v>
          </cell>
          <cell r="DA120">
            <v>-0.7</v>
          </cell>
          <cell r="DB120">
            <v>0.7</v>
          </cell>
          <cell r="DC120">
            <v>0.8</v>
          </cell>
          <cell r="DD120">
            <v>0.7</v>
          </cell>
          <cell r="DE120">
            <v>1</v>
          </cell>
          <cell r="DF120">
            <v>1</v>
          </cell>
          <cell r="DG120">
            <v>4725</v>
          </cell>
          <cell r="DH120">
            <v>708</v>
          </cell>
          <cell r="DI120">
            <v>5306</v>
          </cell>
          <cell r="DJ120">
            <v>1030</v>
          </cell>
          <cell r="DK120">
            <v>3058</v>
          </cell>
          <cell r="DL120">
            <v>800</v>
          </cell>
          <cell r="DM120">
            <v>1652</v>
          </cell>
          <cell r="DN120">
            <v>4864</v>
          </cell>
          <cell r="DO120">
            <v>1056</v>
          </cell>
          <cell r="DP120">
            <v>5625</v>
          </cell>
          <cell r="DQ120">
            <v>4203</v>
          </cell>
          <cell r="DR120">
            <v>4043</v>
          </cell>
          <cell r="DS120">
            <v>2614</v>
          </cell>
          <cell r="DT120">
            <v>2918</v>
          </cell>
          <cell r="DU120">
            <v>4670</v>
          </cell>
          <cell r="DV120">
            <v>18930</v>
          </cell>
          <cell r="DW120">
            <v>3320</v>
          </cell>
          <cell r="DX120">
            <v>187</v>
          </cell>
          <cell r="DY120">
            <v>2581</v>
          </cell>
          <cell r="DZ120">
            <v>6090</v>
          </cell>
          <cell r="ED120">
            <v>10211</v>
          </cell>
          <cell r="EE120">
            <v>6205</v>
          </cell>
          <cell r="EF120">
            <v>6582</v>
          </cell>
          <cell r="EG120">
            <v>4261</v>
          </cell>
          <cell r="EH120">
            <v>2101</v>
          </cell>
          <cell r="EI120">
            <v>483</v>
          </cell>
          <cell r="EJ120">
            <v>1440</v>
          </cell>
          <cell r="EK120">
            <v>3659</v>
          </cell>
          <cell r="EL120">
            <v>7605</v>
          </cell>
          <cell r="EO120">
            <v>2109</v>
          </cell>
          <cell r="ER120">
            <v>9580</v>
          </cell>
          <cell r="EU120">
            <v>4309</v>
          </cell>
          <cell r="EX120">
            <v>6762</v>
          </cell>
          <cell r="EY120">
            <v>4312</v>
          </cell>
          <cell r="EZ120">
            <v>10954</v>
          </cell>
          <cell r="FA120">
            <v>10371</v>
          </cell>
          <cell r="FB120">
            <v>8050</v>
          </cell>
          <cell r="FC120">
            <v>1331</v>
          </cell>
          <cell r="FD120">
            <v>3601</v>
          </cell>
          <cell r="FE120">
            <v>16950</v>
          </cell>
          <cell r="FF120">
            <v>146646</v>
          </cell>
          <cell r="FG120">
            <v>13696</v>
          </cell>
          <cell r="FH120">
            <v>4760</v>
          </cell>
          <cell r="FI120">
            <v>164805</v>
          </cell>
          <cell r="FJ120">
            <v>2.2999999999999998</v>
          </cell>
          <cell r="FK120">
            <v>-1.4</v>
          </cell>
          <cell r="FL120">
            <v>2.2999999999999998</v>
          </cell>
          <cell r="FM120">
            <v>4.2</v>
          </cell>
          <cell r="FN120">
            <v>19.100000000000001</v>
          </cell>
          <cell r="FO120">
            <v>12.1</v>
          </cell>
          <cell r="FP120">
            <v>-0.3</v>
          </cell>
          <cell r="FQ120">
            <v>6.3</v>
          </cell>
          <cell r="FR120">
            <v>-10.1</v>
          </cell>
          <cell r="FS120">
            <v>8</v>
          </cell>
          <cell r="FT120">
            <v>1.3</v>
          </cell>
          <cell r="FU120">
            <v>5.2</v>
          </cell>
          <cell r="FV120">
            <v>-0.7</v>
          </cell>
          <cell r="FW120">
            <v>-8.6</v>
          </cell>
          <cell r="FX120">
            <v>2</v>
          </cell>
          <cell r="FY120">
            <v>-0.5</v>
          </cell>
          <cell r="FZ120">
            <v>-0.1</v>
          </cell>
          <cell r="GA120">
            <v>4.7</v>
          </cell>
          <cell r="GB120">
            <v>-4.4000000000000004</v>
          </cell>
          <cell r="GC120">
            <v>-1</v>
          </cell>
          <cell r="GG120">
            <v>-1.4</v>
          </cell>
          <cell r="GH120">
            <v>-1.7</v>
          </cell>
          <cell r="GI120">
            <v>-2</v>
          </cell>
          <cell r="GJ120">
            <v>1.2</v>
          </cell>
          <cell r="GK120">
            <v>-0.2</v>
          </cell>
          <cell r="GL120">
            <v>2.8</v>
          </cell>
          <cell r="GM120">
            <v>0.9</v>
          </cell>
          <cell r="GN120">
            <v>1.7</v>
          </cell>
          <cell r="GO120">
            <v>1.2</v>
          </cell>
          <cell r="GR120">
            <v>2</v>
          </cell>
          <cell r="GU120">
            <v>7</v>
          </cell>
          <cell r="GX120">
            <v>2.4</v>
          </cell>
          <cell r="HA120">
            <v>2</v>
          </cell>
          <cell r="HB120">
            <v>1.9</v>
          </cell>
          <cell r="HC120">
            <v>-0.5</v>
          </cell>
          <cell r="HD120">
            <v>-0.5</v>
          </cell>
          <cell r="HE120">
            <v>0.4</v>
          </cell>
          <cell r="HF120">
            <v>0.9</v>
          </cell>
          <cell r="HG120">
            <v>0.7</v>
          </cell>
          <cell r="HH120">
            <v>0.8</v>
          </cell>
          <cell r="HI120">
            <v>0.2</v>
          </cell>
          <cell r="HJ120">
            <v>2.5</v>
          </cell>
          <cell r="HK120">
            <v>1.7</v>
          </cell>
          <cell r="HL120">
            <v>7706</v>
          </cell>
          <cell r="HM120">
            <v>724</v>
          </cell>
          <cell r="HN120">
            <v>8043</v>
          </cell>
          <cell r="HO120">
            <v>1025</v>
          </cell>
          <cell r="HP120">
            <v>3060</v>
          </cell>
          <cell r="HQ120">
            <v>787</v>
          </cell>
          <cell r="HR120">
            <v>1660</v>
          </cell>
          <cell r="HS120">
            <v>4848</v>
          </cell>
          <cell r="HT120">
            <v>1197</v>
          </cell>
          <cell r="HU120">
            <v>5648</v>
          </cell>
          <cell r="HV120">
            <v>4492</v>
          </cell>
          <cell r="HW120">
            <v>4133</v>
          </cell>
          <cell r="HX120">
            <v>2709</v>
          </cell>
          <cell r="HY120">
            <v>2974</v>
          </cell>
          <cell r="HZ120">
            <v>4904</v>
          </cell>
          <cell r="IA120">
            <v>19733</v>
          </cell>
          <cell r="IB120">
            <v>3198</v>
          </cell>
          <cell r="IC120">
            <v>175</v>
          </cell>
          <cell r="ID120">
            <v>2682</v>
          </cell>
          <cell r="IE120">
            <v>5981</v>
          </cell>
          <cell r="II120">
            <v>10559</v>
          </cell>
          <cell r="IJ120">
            <v>6424</v>
          </cell>
          <cell r="IK120">
            <v>7307</v>
          </cell>
          <cell r="IL120">
            <v>4588</v>
          </cell>
          <cell r="IM120">
            <v>2169</v>
          </cell>
          <cell r="IN120">
            <v>505</v>
          </cell>
          <cell r="IO120">
            <v>1479</v>
          </cell>
          <cell r="IP120">
            <v>3725</v>
          </cell>
          <cell r="IQ120">
            <v>7799</v>
          </cell>
        </row>
        <row r="121">
          <cell r="B121">
            <v>4643</v>
          </cell>
          <cell r="C121">
            <v>701</v>
          </cell>
          <cell r="D121">
            <v>5238</v>
          </cell>
          <cell r="E121">
            <v>1085</v>
          </cell>
          <cell r="F121">
            <v>2993</v>
          </cell>
          <cell r="G121">
            <v>786</v>
          </cell>
          <cell r="H121">
            <v>1752</v>
          </cell>
          <cell r="I121">
            <v>4965</v>
          </cell>
          <cell r="J121">
            <v>1080</v>
          </cell>
          <cell r="K121">
            <v>5792</v>
          </cell>
          <cell r="L121">
            <v>4211</v>
          </cell>
          <cell r="M121">
            <v>4043</v>
          </cell>
          <cell r="N121">
            <v>2701</v>
          </cell>
          <cell r="O121">
            <v>3074</v>
          </cell>
          <cell r="P121">
            <v>4668</v>
          </cell>
          <cell r="Q121">
            <v>19275</v>
          </cell>
          <cell r="R121">
            <v>3361</v>
          </cell>
          <cell r="S121">
            <v>188</v>
          </cell>
          <cell r="T121">
            <v>2656</v>
          </cell>
          <cell r="U121">
            <v>6189</v>
          </cell>
          <cell r="Y121">
            <v>10248</v>
          </cell>
          <cell r="Z121">
            <v>6240</v>
          </cell>
          <cell r="AA121">
            <v>6571</v>
          </cell>
          <cell r="AB121">
            <v>4290</v>
          </cell>
          <cell r="AC121">
            <v>2142</v>
          </cell>
          <cell r="AD121">
            <v>500</v>
          </cell>
          <cell r="AE121">
            <v>1428</v>
          </cell>
          <cell r="AF121">
            <v>3654</v>
          </cell>
          <cell r="AG121">
            <v>7644</v>
          </cell>
          <cell r="AJ121">
            <v>2173</v>
          </cell>
          <cell r="AM121">
            <v>9966</v>
          </cell>
          <cell r="AP121">
            <v>4365</v>
          </cell>
          <cell r="AS121">
            <v>6789</v>
          </cell>
          <cell r="AT121">
            <v>4318</v>
          </cell>
          <cell r="AU121">
            <v>11055</v>
          </cell>
          <cell r="AV121">
            <v>10103</v>
          </cell>
          <cell r="AW121">
            <v>8144</v>
          </cell>
          <cell r="AX121">
            <v>1323</v>
          </cell>
          <cell r="AY121">
            <v>3607</v>
          </cell>
          <cell r="AZ121">
            <v>17080</v>
          </cell>
          <cell r="BA121">
            <v>148685</v>
          </cell>
          <cell r="BB121">
            <v>13831</v>
          </cell>
          <cell r="BC121">
            <v>4352</v>
          </cell>
          <cell r="BD121">
            <v>166559</v>
          </cell>
          <cell r="BE121">
            <v>-0.1</v>
          </cell>
          <cell r="BF121">
            <v>-0.4</v>
          </cell>
          <cell r="BG121">
            <v>0.2</v>
          </cell>
          <cell r="BH121">
            <v>1.5</v>
          </cell>
          <cell r="BI121">
            <v>5.3</v>
          </cell>
          <cell r="BJ121">
            <v>2.6</v>
          </cell>
          <cell r="BK121">
            <v>3.6</v>
          </cell>
          <cell r="BL121">
            <v>3.5</v>
          </cell>
          <cell r="BM121">
            <v>1.4</v>
          </cell>
          <cell r="BN121">
            <v>4.7</v>
          </cell>
          <cell r="BO121">
            <v>1.1000000000000001</v>
          </cell>
          <cell r="BP121">
            <v>2.2999999999999998</v>
          </cell>
          <cell r="BQ121">
            <v>2.2999999999999998</v>
          </cell>
          <cell r="BR121">
            <v>0.9</v>
          </cell>
          <cell r="BS121">
            <v>0.8</v>
          </cell>
          <cell r="BT121">
            <v>1.4</v>
          </cell>
          <cell r="BU121">
            <v>0.9</v>
          </cell>
          <cell r="BV121">
            <v>1.3</v>
          </cell>
          <cell r="BW121">
            <v>0.3</v>
          </cell>
          <cell r="BX121">
            <v>0.8</v>
          </cell>
          <cell r="CB121">
            <v>0.1</v>
          </cell>
          <cell r="CC121">
            <v>0.3</v>
          </cell>
          <cell r="CD121">
            <v>-0.7</v>
          </cell>
          <cell r="CE121">
            <v>0.9</v>
          </cell>
          <cell r="CF121">
            <v>1.2</v>
          </cell>
          <cell r="CG121">
            <v>2.4</v>
          </cell>
          <cell r="CH121">
            <v>-0.4</v>
          </cell>
          <cell r="CI121">
            <v>0.6</v>
          </cell>
          <cell r="CJ121">
            <v>0.6</v>
          </cell>
          <cell r="CM121">
            <v>2.9</v>
          </cell>
          <cell r="CP121">
            <v>5.2</v>
          </cell>
          <cell r="CS121">
            <v>2.6</v>
          </cell>
          <cell r="CV121">
            <v>1.7</v>
          </cell>
          <cell r="CW121">
            <v>1.4</v>
          </cell>
          <cell r="CX121">
            <v>0.6</v>
          </cell>
          <cell r="CY121">
            <v>-0.8</v>
          </cell>
          <cell r="CZ121">
            <v>1.2</v>
          </cell>
          <cell r="DA121">
            <v>-0.1</v>
          </cell>
          <cell r="DB121">
            <v>0.3</v>
          </cell>
          <cell r="DC121">
            <v>0.8</v>
          </cell>
          <cell r="DD121">
            <v>1.2</v>
          </cell>
          <cell r="DE121">
            <v>2.1</v>
          </cell>
          <cell r="DF121">
            <v>1.4</v>
          </cell>
          <cell r="DG121">
            <v>4537</v>
          </cell>
          <cell r="DH121">
            <v>699</v>
          </cell>
          <cell r="DI121">
            <v>5140</v>
          </cell>
          <cell r="DJ121">
            <v>1155</v>
          </cell>
          <cell r="DK121">
            <v>2898</v>
          </cell>
          <cell r="DL121">
            <v>786</v>
          </cell>
          <cell r="DM121">
            <v>1789</v>
          </cell>
          <cell r="DN121">
            <v>5020</v>
          </cell>
          <cell r="DO121">
            <v>1060</v>
          </cell>
          <cell r="DP121">
            <v>5871</v>
          </cell>
          <cell r="DQ121">
            <v>4111</v>
          </cell>
          <cell r="DR121">
            <v>3971</v>
          </cell>
          <cell r="DS121">
            <v>2712</v>
          </cell>
          <cell r="DT121">
            <v>3117</v>
          </cell>
          <cell r="DU121">
            <v>4610</v>
          </cell>
          <cell r="DV121">
            <v>19159</v>
          </cell>
          <cell r="DW121">
            <v>3342</v>
          </cell>
          <cell r="DX121">
            <v>189</v>
          </cell>
          <cell r="DY121">
            <v>2686</v>
          </cell>
          <cell r="DZ121">
            <v>6189</v>
          </cell>
          <cell r="ED121">
            <v>10183</v>
          </cell>
          <cell r="EE121">
            <v>6224</v>
          </cell>
          <cell r="EF121">
            <v>6577</v>
          </cell>
          <cell r="EG121">
            <v>4294</v>
          </cell>
          <cell r="EH121">
            <v>2149</v>
          </cell>
          <cell r="EI121">
            <v>510</v>
          </cell>
          <cell r="EJ121">
            <v>1441</v>
          </cell>
          <cell r="EK121">
            <v>3648</v>
          </cell>
          <cell r="EL121">
            <v>7681</v>
          </cell>
          <cell r="EO121">
            <v>2159</v>
          </cell>
          <cell r="ER121">
            <v>9891</v>
          </cell>
          <cell r="EU121">
            <v>4259</v>
          </cell>
          <cell r="EX121">
            <v>6631</v>
          </cell>
          <cell r="EY121">
            <v>4219</v>
          </cell>
          <cell r="EZ121">
            <v>11050</v>
          </cell>
          <cell r="FA121">
            <v>9622</v>
          </cell>
          <cell r="FB121">
            <v>8102</v>
          </cell>
          <cell r="FC121">
            <v>1324</v>
          </cell>
          <cell r="FD121">
            <v>3606</v>
          </cell>
          <cell r="FE121">
            <v>17078</v>
          </cell>
          <cell r="FF121">
            <v>148800</v>
          </cell>
          <cell r="FG121">
            <v>13697</v>
          </cell>
          <cell r="FH121">
            <v>4273</v>
          </cell>
          <cell r="FI121">
            <v>166470</v>
          </cell>
          <cell r="FJ121">
            <v>-4</v>
          </cell>
          <cell r="FK121">
            <v>-1.3</v>
          </cell>
          <cell r="FL121">
            <v>-3.1</v>
          </cell>
          <cell r="FM121">
            <v>12.1</v>
          </cell>
          <cell r="FN121">
            <v>-5.2</v>
          </cell>
          <cell r="FO121">
            <v>-1.8</v>
          </cell>
          <cell r="FP121">
            <v>8.3000000000000007</v>
          </cell>
          <cell r="FQ121">
            <v>3.2</v>
          </cell>
          <cell r="FR121">
            <v>0.4</v>
          </cell>
          <cell r="FS121">
            <v>4.4000000000000004</v>
          </cell>
          <cell r="FT121">
            <v>-2.2000000000000002</v>
          </cell>
          <cell r="FU121">
            <v>-1.8</v>
          </cell>
          <cell r="FV121">
            <v>3.7</v>
          </cell>
          <cell r="FW121">
            <v>6.8</v>
          </cell>
          <cell r="FX121">
            <v>-1.3</v>
          </cell>
          <cell r="FY121">
            <v>1.2</v>
          </cell>
          <cell r="FZ121">
            <v>0.7</v>
          </cell>
          <cell r="GA121">
            <v>1</v>
          </cell>
          <cell r="GB121">
            <v>4.0999999999999996</v>
          </cell>
          <cell r="GC121">
            <v>1.6</v>
          </cell>
          <cell r="GG121">
            <v>-0.3</v>
          </cell>
          <cell r="GH121">
            <v>0.3</v>
          </cell>
          <cell r="GI121">
            <v>-0.1</v>
          </cell>
          <cell r="GJ121">
            <v>0.8</v>
          </cell>
          <cell r="GK121">
            <v>2.2999999999999998</v>
          </cell>
          <cell r="GL121">
            <v>5.7</v>
          </cell>
          <cell r="GM121">
            <v>0.1</v>
          </cell>
          <cell r="GN121">
            <v>-0.3</v>
          </cell>
          <cell r="GO121">
            <v>1</v>
          </cell>
          <cell r="GR121">
            <v>2.4</v>
          </cell>
          <cell r="GU121">
            <v>3.2</v>
          </cell>
          <cell r="GX121">
            <v>-1.2</v>
          </cell>
          <cell r="HA121">
            <v>-1.9</v>
          </cell>
          <cell r="HB121">
            <v>-2.2000000000000002</v>
          </cell>
          <cell r="HC121">
            <v>0.9</v>
          </cell>
          <cell r="HD121">
            <v>-7.2</v>
          </cell>
          <cell r="HE121">
            <v>0.6</v>
          </cell>
          <cell r="HF121">
            <v>-0.5</v>
          </cell>
          <cell r="HG121">
            <v>0.1</v>
          </cell>
          <cell r="HH121">
            <v>0.8</v>
          </cell>
          <cell r="HI121">
            <v>1.5</v>
          </cell>
          <cell r="HJ121">
            <v>0</v>
          </cell>
          <cell r="HK121">
            <v>1</v>
          </cell>
          <cell r="HL121">
            <v>4015</v>
          </cell>
          <cell r="HM121">
            <v>684</v>
          </cell>
          <cell r="HN121">
            <v>4637</v>
          </cell>
          <cell r="HO121">
            <v>1113</v>
          </cell>
          <cell r="HP121">
            <v>2919</v>
          </cell>
          <cell r="HQ121">
            <v>784</v>
          </cell>
          <cell r="HR121">
            <v>1724</v>
          </cell>
          <cell r="HS121">
            <v>4935</v>
          </cell>
          <cell r="HT121">
            <v>908</v>
          </cell>
          <cell r="HU121">
            <v>5682</v>
          </cell>
          <cell r="HV121">
            <v>3965</v>
          </cell>
          <cell r="HW121">
            <v>3819</v>
          </cell>
          <cell r="HX121">
            <v>2493</v>
          </cell>
          <cell r="HY121">
            <v>2851</v>
          </cell>
          <cell r="HZ121">
            <v>4227</v>
          </cell>
          <cell r="IA121">
            <v>17849</v>
          </cell>
          <cell r="IB121">
            <v>3197</v>
          </cell>
          <cell r="IC121">
            <v>162</v>
          </cell>
          <cell r="ID121">
            <v>2845</v>
          </cell>
          <cell r="IE121">
            <v>6063</v>
          </cell>
          <cell r="II121">
            <v>9363</v>
          </cell>
          <cell r="IJ121">
            <v>5940</v>
          </cell>
          <cell r="IK121">
            <v>6164</v>
          </cell>
          <cell r="IL121">
            <v>4305</v>
          </cell>
          <cell r="IM121">
            <v>2078</v>
          </cell>
          <cell r="IN121">
            <v>502</v>
          </cell>
          <cell r="IO121">
            <v>1390</v>
          </cell>
          <cell r="IP121">
            <v>3603</v>
          </cell>
          <cell r="IQ121">
            <v>7499</v>
          </cell>
        </row>
        <row r="122">
          <cell r="B122">
            <v>4605</v>
          </cell>
          <cell r="C122">
            <v>719</v>
          </cell>
          <cell r="D122">
            <v>5227</v>
          </cell>
          <cell r="E122">
            <v>1071</v>
          </cell>
          <cell r="F122">
            <v>2993</v>
          </cell>
          <cell r="G122">
            <v>805</v>
          </cell>
          <cell r="H122">
            <v>1825</v>
          </cell>
          <cell r="I122">
            <v>5182</v>
          </cell>
          <cell r="J122">
            <v>1203</v>
          </cell>
          <cell r="K122">
            <v>6087</v>
          </cell>
          <cell r="L122">
            <v>4301</v>
          </cell>
          <cell r="M122">
            <v>4130</v>
          </cell>
          <cell r="N122">
            <v>2761</v>
          </cell>
          <cell r="O122">
            <v>3106</v>
          </cell>
          <cell r="P122">
            <v>4710</v>
          </cell>
          <cell r="Q122">
            <v>19639</v>
          </cell>
          <cell r="R122">
            <v>3430</v>
          </cell>
          <cell r="S122">
            <v>192</v>
          </cell>
          <cell r="T122">
            <v>2691</v>
          </cell>
          <cell r="U122">
            <v>6300</v>
          </cell>
          <cell r="Y122">
            <v>10444</v>
          </cell>
          <cell r="Z122">
            <v>6331</v>
          </cell>
          <cell r="AA122">
            <v>6592</v>
          </cell>
          <cell r="AB122">
            <v>4358</v>
          </cell>
          <cell r="AC122">
            <v>2172</v>
          </cell>
          <cell r="AD122">
            <v>513</v>
          </cell>
          <cell r="AE122">
            <v>1438</v>
          </cell>
          <cell r="AF122">
            <v>3677</v>
          </cell>
          <cell r="AG122">
            <v>7721</v>
          </cell>
          <cell r="AJ122">
            <v>2222</v>
          </cell>
          <cell r="AM122">
            <v>10502</v>
          </cell>
          <cell r="AP122">
            <v>4506</v>
          </cell>
          <cell r="AS122">
            <v>6910</v>
          </cell>
          <cell r="AT122">
            <v>4375</v>
          </cell>
          <cell r="AU122">
            <v>11208</v>
          </cell>
          <cell r="AV122">
            <v>10181</v>
          </cell>
          <cell r="AW122">
            <v>8322</v>
          </cell>
          <cell r="AX122">
            <v>1332</v>
          </cell>
          <cell r="AY122">
            <v>3625</v>
          </cell>
          <cell r="AZ122">
            <v>17210</v>
          </cell>
          <cell r="BA122">
            <v>151155</v>
          </cell>
          <cell r="BB122">
            <v>14025</v>
          </cell>
          <cell r="BC122">
            <v>4411</v>
          </cell>
          <cell r="BD122">
            <v>169280</v>
          </cell>
          <cell r="BE122">
            <v>-0.8</v>
          </cell>
          <cell r="BF122">
            <v>2.6</v>
          </cell>
          <cell r="BG122">
            <v>-0.2</v>
          </cell>
          <cell r="BH122">
            <v>-1.3</v>
          </cell>
          <cell r="BI122">
            <v>0</v>
          </cell>
          <cell r="BJ122">
            <v>2.4</v>
          </cell>
          <cell r="BK122">
            <v>4.2</v>
          </cell>
          <cell r="BL122">
            <v>4.4000000000000004</v>
          </cell>
          <cell r="BM122">
            <v>11.5</v>
          </cell>
          <cell r="BN122">
            <v>5.0999999999999996</v>
          </cell>
          <cell r="BO122">
            <v>2.1</v>
          </cell>
          <cell r="BP122">
            <v>2.2000000000000002</v>
          </cell>
          <cell r="BQ122">
            <v>2.2000000000000002</v>
          </cell>
          <cell r="BR122">
            <v>1.1000000000000001</v>
          </cell>
          <cell r="BS122">
            <v>0.9</v>
          </cell>
          <cell r="BT122">
            <v>1.9</v>
          </cell>
          <cell r="BU122">
            <v>2.1</v>
          </cell>
          <cell r="BV122">
            <v>2</v>
          </cell>
          <cell r="BW122">
            <v>1.3</v>
          </cell>
          <cell r="BX122">
            <v>1.8</v>
          </cell>
          <cell r="CB122">
            <v>1.9</v>
          </cell>
          <cell r="CC122">
            <v>1.5</v>
          </cell>
          <cell r="CD122">
            <v>0.3</v>
          </cell>
          <cell r="CE122">
            <v>1.6</v>
          </cell>
          <cell r="CF122">
            <v>1.4</v>
          </cell>
          <cell r="CG122">
            <v>2.7</v>
          </cell>
          <cell r="CH122">
            <v>0.7</v>
          </cell>
          <cell r="CI122">
            <v>0.6</v>
          </cell>
          <cell r="CJ122">
            <v>1</v>
          </cell>
          <cell r="CM122">
            <v>2.2999999999999998</v>
          </cell>
          <cell r="CP122">
            <v>5.4</v>
          </cell>
          <cell r="CS122">
            <v>3.2</v>
          </cell>
          <cell r="CV122">
            <v>1.8</v>
          </cell>
          <cell r="CW122">
            <v>1.3</v>
          </cell>
          <cell r="CX122">
            <v>1.4</v>
          </cell>
          <cell r="CY122">
            <v>0.8</v>
          </cell>
          <cell r="CZ122">
            <v>2.2000000000000002</v>
          </cell>
          <cell r="DA122">
            <v>0.6</v>
          </cell>
          <cell r="DB122">
            <v>0.5</v>
          </cell>
          <cell r="DC122">
            <v>0.8</v>
          </cell>
          <cell r="DD122">
            <v>1.7</v>
          </cell>
          <cell r="DE122">
            <v>1.4</v>
          </cell>
          <cell r="DF122">
            <v>1.6</v>
          </cell>
          <cell r="DG122">
            <v>4779</v>
          </cell>
          <cell r="DH122">
            <v>692</v>
          </cell>
          <cell r="DI122">
            <v>5350</v>
          </cell>
          <cell r="DJ122">
            <v>1095</v>
          </cell>
          <cell r="DK122">
            <v>3009</v>
          </cell>
          <cell r="DL122">
            <v>780</v>
          </cell>
          <cell r="DM122">
            <v>1827</v>
          </cell>
          <cell r="DN122">
            <v>5185</v>
          </cell>
          <cell r="DO122">
            <v>1212</v>
          </cell>
          <cell r="DP122">
            <v>6092</v>
          </cell>
          <cell r="DQ122">
            <v>4362</v>
          </cell>
          <cell r="DR122">
            <v>4141</v>
          </cell>
          <cell r="DS122">
            <v>2767</v>
          </cell>
          <cell r="DT122">
            <v>3101</v>
          </cell>
          <cell r="DU122">
            <v>4761</v>
          </cell>
          <cell r="DV122">
            <v>19767</v>
          </cell>
          <cell r="DW122">
            <v>3440</v>
          </cell>
          <cell r="DX122">
            <v>191</v>
          </cell>
          <cell r="DY122">
            <v>2705</v>
          </cell>
          <cell r="DZ122">
            <v>6319</v>
          </cell>
          <cell r="ED122">
            <v>10507</v>
          </cell>
          <cell r="EE122">
            <v>6319</v>
          </cell>
          <cell r="EF122">
            <v>6558</v>
          </cell>
          <cell r="EG122">
            <v>4342</v>
          </cell>
          <cell r="EH122">
            <v>2180</v>
          </cell>
          <cell r="EI122">
            <v>509</v>
          </cell>
          <cell r="EJ122">
            <v>1408</v>
          </cell>
          <cell r="EK122">
            <v>3664</v>
          </cell>
          <cell r="EL122">
            <v>7675</v>
          </cell>
          <cell r="EO122">
            <v>2255</v>
          </cell>
          <cell r="ER122">
            <v>10430</v>
          </cell>
          <cell r="EU122">
            <v>4526</v>
          </cell>
          <cell r="EX122">
            <v>6958</v>
          </cell>
          <cell r="EY122">
            <v>4410</v>
          </cell>
          <cell r="EZ122">
            <v>11181</v>
          </cell>
          <cell r="FA122">
            <v>10406</v>
          </cell>
          <cell r="FB122">
            <v>8310</v>
          </cell>
          <cell r="FC122">
            <v>1326</v>
          </cell>
          <cell r="FD122">
            <v>3626</v>
          </cell>
          <cell r="FE122">
            <v>17211</v>
          </cell>
          <cell r="FF122">
            <v>151102</v>
          </cell>
          <cell r="FG122">
            <v>14115</v>
          </cell>
          <cell r="FH122">
            <v>4133</v>
          </cell>
          <cell r="FI122">
            <v>169030</v>
          </cell>
          <cell r="FJ122">
            <v>5.3</v>
          </cell>
          <cell r="FK122">
            <v>-1</v>
          </cell>
          <cell r="FL122">
            <v>4.0999999999999996</v>
          </cell>
          <cell r="FM122">
            <v>-5.2</v>
          </cell>
          <cell r="FN122">
            <v>3.8</v>
          </cell>
          <cell r="FO122">
            <v>-0.8</v>
          </cell>
          <cell r="FP122">
            <v>2.2000000000000002</v>
          </cell>
          <cell r="FQ122">
            <v>3.3</v>
          </cell>
          <cell r="FR122">
            <v>14.3</v>
          </cell>
          <cell r="FS122">
            <v>3.8</v>
          </cell>
          <cell r="FT122">
            <v>6.1</v>
          </cell>
          <cell r="FU122">
            <v>4.3</v>
          </cell>
          <cell r="FV122">
            <v>2.1</v>
          </cell>
          <cell r="FW122">
            <v>-0.5</v>
          </cell>
          <cell r="FX122">
            <v>3.3</v>
          </cell>
          <cell r="FY122">
            <v>3.2</v>
          </cell>
          <cell r="FZ122">
            <v>2.9</v>
          </cell>
          <cell r="GA122">
            <v>0.9</v>
          </cell>
          <cell r="GB122">
            <v>0.7</v>
          </cell>
          <cell r="GC122">
            <v>2.1</v>
          </cell>
          <cell r="GG122">
            <v>3.2</v>
          </cell>
          <cell r="GH122">
            <v>1.5</v>
          </cell>
          <cell r="GI122">
            <v>-0.3</v>
          </cell>
          <cell r="GJ122">
            <v>1.1000000000000001</v>
          </cell>
          <cell r="GK122">
            <v>1.4</v>
          </cell>
          <cell r="GL122">
            <v>-0.3</v>
          </cell>
          <cell r="GM122">
            <v>-2.2999999999999998</v>
          </cell>
          <cell r="GN122">
            <v>0.4</v>
          </cell>
          <cell r="GO122">
            <v>-0.1</v>
          </cell>
          <cell r="GR122">
            <v>4.5</v>
          </cell>
          <cell r="GU122">
            <v>5.5</v>
          </cell>
          <cell r="GX122">
            <v>6.3</v>
          </cell>
          <cell r="HA122">
            <v>4.9000000000000004</v>
          </cell>
          <cell r="HB122">
            <v>4.5</v>
          </cell>
          <cell r="HC122">
            <v>1.2</v>
          </cell>
          <cell r="HD122">
            <v>8.1</v>
          </cell>
          <cell r="HE122">
            <v>2.6</v>
          </cell>
          <cell r="HF122">
            <v>0.2</v>
          </cell>
          <cell r="HG122">
            <v>0.6</v>
          </cell>
          <cell r="HH122">
            <v>0.8</v>
          </cell>
          <cell r="HI122">
            <v>1.5</v>
          </cell>
          <cell r="HJ122">
            <v>3.1</v>
          </cell>
          <cell r="HK122">
            <v>1.5</v>
          </cell>
          <cell r="HL122">
            <v>3148</v>
          </cell>
          <cell r="HM122">
            <v>677</v>
          </cell>
          <cell r="HN122">
            <v>3836</v>
          </cell>
          <cell r="HO122">
            <v>1071</v>
          </cell>
          <cell r="HP122">
            <v>2926</v>
          </cell>
          <cell r="HQ122">
            <v>775</v>
          </cell>
          <cell r="HR122">
            <v>1800</v>
          </cell>
          <cell r="HS122">
            <v>5080</v>
          </cell>
          <cell r="HT122">
            <v>1252</v>
          </cell>
          <cell r="HU122">
            <v>5912</v>
          </cell>
          <cell r="HV122">
            <v>4246</v>
          </cell>
          <cell r="HW122">
            <v>4177</v>
          </cell>
          <cell r="HX122">
            <v>2748</v>
          </cell>
          <cell r="HY122">
            <v>3131</v>
          </cell>
          <cell r="HZ122">
            <v>4721</v>
          </cell>
          <cell r="IA122">
            <v>19628</v>
          </cell>
          <cell r="IB122">
            <v>3483</v>
          </cell>
          <cell r="IC122">
            <v>198</v>
          </cell>
          <cell r="ID122">
            <v>2566</v>
          </cell>
          <cell r="IE122">
            <v>6293</v>
          </cell>
          <cell r="II122">
            <v>11065</v>
          </cell>
          <cell r="IJ122">
            <v>6310</v>
          </cell>
          <cell r="IK122">
            <v>6401</v>
          </cell>
          <cell r="IL122">
            <v>4092</v>
          </cell>
          <cell r="IM122">
            <v>2190</v>
          </cell>
          <cell r="IN122">
            <v>476</v>
          </cell>
          <cell r="IO122">
            <v>1395</v>
          </cell>
          <cell r="IP122">
            <v>3644</v>
          </cell>
          <cell r="IQ122">
            <v>7608</v>
          </cell>
        </row>
        <row r="123">
          <cell r="B123">
            <v>4651</v>
          </cell>
          <cell r="C123">
            <v>753</v>
          </cell>
          <cell r="D123">
            <v>5300</v>
          </cell>
          <cell r="E123">
            <v>1059</v>
          </cell>
          <cell r="F123">
            <v>2927</v>
          </cell>
          <cell r="G123">
            <v>816</v>
          </cell>
          <cell r="H123">
            <v>1930</v>
          </cell>
          <cell r="I123">
            <v>5484</v>
          </cell>
          <cell r="J123">
            <v>1337</v>
          </cell>
          <cell r="K123">
            <v>6424</v>
          </cell>
          <cell r="L123">
            <v>4405</v>
          </cell>
          <cell r="M123">
            <v>4262</v>
          </cell>
          <cell r="N123">
            <v>2847</v>
          </cell>
          <cell r="O123">
            <v>3150</v>
          </cell>
          <cell r="P123">
            <v>4776</v>
          </cell>
          <cell r="Q123">
            <v>20109</v>
          </cell>
          <cell r="R123">
            <v>3512</v>
          </cell>
          <cell r="S123">
            <v>195</v>
          </cell>
          <cell r="T123">
            <v>2713</v>
          </cell>
          <cell r="U123">
            <v>6415</v>
          </cell>
          <cell r="Y123">
            <v>10763</v>
          </cell>
          <cell r="Z123">
            <v>6499</v>
          </cell>
          <cell r="AA123">
            <v>6649</v>
          </cell>
          <cell r="AB123">
            <v>4452</v>
          </cell>
          <cell r="AC123">
            <v>2196</v>
          </cell>
          <cell r="AD123">
            <v>527</v>
          </cell>
          <cell r="AE123">
            <v>1460</v>
          </cell>
          <cell r="AF123">
            <v>3716</v>
          </cell>
          <cell r="AG123">
            <v>7823</v>
          </cell>
          <cell r="AJ123">
            <v>2275</v>
          </cell>
          <cell r="AM123">
            <v>11014</v>
          </cell>
          <cell r="AP123">
            <v>4646</v>
          </cell>
          <cell r="AS123">
            <v>7023</v>
          </cell>
          <cell r="AT123">
            <v>4426</v>
          </cell>
          <cell r="AU123">
            <v>11421</v>
          </cell>
          <cell r="AV123">
            <v>10399</v>
          </cell>
          <cell r="AW123">
            <v>8500</v>
          </cell>
          <cell r="AX123">
            <v>1345</v>
          </cell>
          <cell r="AY123">
            <v>3661</v>
          </cell>
          <cell r="AZ123">
            <v>17342</v>
          </cell>
          <cell r="BA123">
            <v>154320</v>
          </cell>
          <cell r="BB123">
            <v>14165</v>
          </cell>
          <cell r="BC123">
            <v>4100</v>
          </cell>
          <cell r="BD123">
            <v>172283</v>
          </cell>
          <cell r="BE123">
            <v>1</v>
          </cell>
          <cell r="BF123">
            <v>4.5999999999999996</v>
          </cell>
          <cell r="BG123">
            <v>1.4</v>
          </cell>
          <cell r="BH123">
            <v>-1.1000000000000001</v>
          </cell>
          <cell r="BI123">
            <v>-2.2000000000000002</v>
          </cell>
          <cell r="BJ123">
            <v>1.4</v>
          </cell>
          <cell r="BK123">
            <v>5.7</v>
          </cell>
          <cell r="BL123">
            <v>5.8</v>
          </cell>
          <cell r="BM123">
            <v>11.1</v>
          </cell>
          <cell r="BN123">
            <v>5.5</v>
          </cell>
          <cell r="BO123">
            <v>2.4</v>
          </cell>
          <cell r="BP123">
            <v>3.2</v>
          </cell>
          <cell r="BQ123">
            <v>3.1</v>
          </cell>
          <cell r="BR123">
            <v>1.4</v>
          </cell>
          <cell r="BS123">
            <v>1.4</v>
          </cell>
          <cell r="BT123">
            <v>2.4</v>
          </cell>
          <cell r="BU123">
            <v>2.4</v>
          </cell>
          <cell r="BV123">
            <v>1.7</v>
          </cell>
          <cell r="BW123">
            <v>0.8</v>
          </cell>
          <cell r="BX123">
            <v>1.8</v>
          </cell>
          <cell r="CB123">
            <v>3.1</v>
          </cell>
          <cell r="CC123">
            <v>2.6</v>
          </cell>
          <cell r="CD123">
            <v>0.9</v>
          </cell>
          <cell r="CE123">
            <v>2.2000000000000002</v>
          </cell>
          <cell r="CF123">
            <v>1.1000000000000001</v>
          </cell>
          <cell r="CG123">
            <v>2.7</v>
          </cell>
          <cell r="CH123">
            <v>1.5</v>
          </cell>
          <cell r="CI123">
            <v>1.1000000000000001</v>
          </cell>
          <cell r="CJ123">
            <v>1.3</v>
          </cell>
          <cell r="CM123">
            <v>2.4</v>
          </cell>
          <cell r="CP123">
            <v>4.9000000000000004</v>
          </cell>
          <cell r="CS123">
            <v>3.1</v>
          </cell>
          <cell r="CV123">
            <v>1.6</v>
          </cell>
          <cell r="CW123">
            <v>1.2</v>
          </cell>
          <cell r="CX123">
            <v>1.9</v>
          </cell>
          <cell r="CY123">
            <v>2.1</v>
          </cell>
          <cell r="CZ123">
            <v>2.1</v>
          </cell>
          <cell r="DA123">
            <v>1</v>
          </cell>
          <cell r="DB123">
            <v>1</v>
          </cell>
          <cell r="DC123">
            <v>0.8</v>
          </cell>
          <cell r="DD123">
            <v>2.1</v>
          </cell>
          <cell r="DE123">
            <v>1</v>
          </cell>
          <cell r="DF123">
            <v>1.8</v>
          </cell>
          <cell r="DG123">
            <v>4416</v>
          </cell>
          <cell r="DH123">
            <v>781</v>
          </cell>
          <cell r="DI123">
            <v>5123</v>
          </cell>
          <cell r="DJ123">
            <v>915</v>
          </cell>
          <cell r="DK123">
            <v>2963</v>
          </cell>
          <cell r="DL123">
            <v>827</v>
          </cell>
          <cell r="DM123">
            <v>1858</v>
          </cell>
          <cell r="DN123">
            <v>5246</v>
          </cell>
          <cell r="DO123">
            <v>1338</v>
          </cell>
          <cell r="DP123">
            <v>6161</v>
          </cell>
          <cell r="DQ123">
            <v>4394</v>
          </cell>
          <cell r="DR123">
            <v>4255</v>
          </cell>
          <cell r="DS123">
            <v>2807</v>
          </cell>
          <cell r="DT123">
            <v>3172</v>
          </cell>
          <cell r="DU123">
            <v>4738</v>
          </cell>
          <cell r="DV123">
            <v>20016</v>
          </cell>
          <cell r="DW123">
            <v>3504</v>
          </cell>
          <cell r="DX123">
            <v>196</v>
          </cell>
          <cell r="DY123">
            <v>2709</v>
          </cell>
          <cell r="DZ123">
            <v>6403</v>
          </cell>
          <cell r="ED123">
            <v>10670</v>
          </cell>
          <cell r="EE123">
            <v>6505</v>
          </cell>
          <cell r="EF123">
            <v>6688</v>
          </cell>
          <cell r="EG123">
            <v>4439</v>
          </cell>
          <cell r="EH123">
            <v>2198</v>
          </cell>
          <cell r="EI123">
            <v>524</v>
          </cell>
          <cell r="EJ123">
            <v>1460</v>
          </cell>
          <cell r="EK123">
            <v>3703</v>
          </cell>
          <cell r="EL123">
            <v>7807</v>
          </cell>
          <cell r="EO123">
            <v>2257</v>
          </cell>
          <cell r="ER123">
            <v>11076</v>
          </cell>
          <cell r="EU123">
            <v>4738</v>
          </cell>
          <cell r="EX123">
            <v>7148</v>
          </cell>
          <cell r="EY123">
            <v>4501</v>
          </cell>
          <cell r="EZ123">
            <v>11451</v>
          </cell>
          <cell r="FA123">
            <v>10443</v>
          </cell>
          <cell r="FB123">
            <v>8564</v>
          </cell>
          <cell r="FC123">
            <v>1347</v>
          </cell>
          <cell r="FD123">
            <v>3638</v>
          </cell>
          <cell r="FE123">
            <v>17342</v>
          </cell>
          <cell r="FF123">
            <v>153887</v>
          </cell>
          <cell r="FG123">
            <v>14265</v>
          </cell>
          <cell r="FH123">
            <v>4232</v>
          </cell>
          <cell r="FI123">
            <v>172071</v>
          </cell>
          <cell r="FJ123">
            <v>-7.6</v>
          </cell>
          <cell r="FK123">
            <v>12.9</v>
          </cell>
          <cell r="FL123">
            <v>-4.2</v>
          </cell>
          <cell r="FM123">
            <v>-16.399999999999999</v>
          </cell>
          <cell r="FN123">
            <v>-1.5</v>
          </cell>
          <cell r="FO123">
            <v>6</v>
          </cell>
          <cell r="FP123">
            <v>1.7</v>
          </cell>
          <cell r="FQ123">
            <v>1.2</v>
          </cell>
          <cell r="FR123">
            <v>10.4</v>
          </cell>
          <cell r="FS123">
            <v>1.1000000000000001</v>
          </cell>
          <cell r="FT123">
            <v>0.7</v>
          </cell>
          <cell r="FU123">
            <v>2.8</v>
          </cell>
          <cell r="FV123">
            <v>1.4</v>
          </cell>
          <cell r="FW123">
            <v>2.2999999999999998</v>
          </cell>
          <cell r="FX123">
            <v>-0.5</v>
          </cell>
          <cell r="FY123">
            <v>1.3</v>
          </cell>
          <cell r="FZ123">
            <v>1.9</v>
          </cell>
          <cell r="GA123">
            <v>2.4</v>
          </cell>
          <cell r="GB123">
            <v>0.1</v>
          </cell>
          <cell r="GC123">
            <v>1.3</v>
          </cell>
          <cell r="GG123">
            <v>1.6</v>
          </cell>
          <cell r="GH123">
            <v>2.9</v>
          </cell>
          <cell r="GI123">
            <v>2</v>
          </cell>
          <cell r="GJ123">
            <v>2.2000000000000002</v>
          </cell>
          <cell r="GK123">
            <v>0.8</v>
          </cell>
          <cell r="GL123">
            <v>3</v>
          </cell>
          <cell r="GM123">
            <v>3.7</v>
          </cell>
          <cell r="GN123">
            <v>1</v>
          </cell>
          <cell r="GO123">
            <v>1.7</v>
          </cell>
          <cell r="GR123">
            <v>0.1</v>
          </cell>
          <cell r="GU123">
            <v>6.2</v>
          </cell>
          <cell r="GX123">
            <v>4.7</v>
          </cell>
          <cell r="HA123">
            <v>2.7</v>
          </cell>
          <cell r="HB123">
            <v>2.1</v>
          </cell>
          <cell r="HC123">
            <v>2.4</v>
          </cell>
          <cell r="HD123">
            <v>0.4</v>
          </cell>
          <cell r="HE123">
            <v>3.1</v>
          </cell>
          <cell r="HF123">
            <v>1.6</v>
          </cell>
          <cell r="HG123">
            <v>0.3</v>
          </cell>
          <cell r="HH123">
            <v>0.8</v>
          </cell>
          <cell r="HI123">
            <v>1.8</v>
          </cell>
          <cell r="HJ123">
            <v>1.1000000000000001</v>
          </cell>
          <cell r="HK123">
            <v>1.8</v>
          </cell>
          <cell r="HL123">
            <v>3801</v>
          </cell>
          <cell r="HM123">
            <v>791</v>
          </cell>
          <cell r="HN123">
            <v>4584</v>
          </cell>
          <cell r="HO123">
            <v>976</v>
          </cell>
          <cell r="HP123">
            <v>3042</v>
          </cell>
          <cell r="HQ123">
            <v>850</v>
          </cell>
          <cell r="HR123">
            <v>1936</v>
          </cell>
          <cell r="HS123">
            <v>5474</v>
          </cell>
          <cell r="HT123">
            <v>1301</v>
          </cell>
          <cell r="HU123">
            <v>6357</v>
          </cell>
          <cell r="HV123">
            <v>4382</v>
          </cell>
          <cell r="HW123">
            <v>4308</v>
          </cell>
          <cell r="HX123">
            <v>2958</v>
          </cell>
          <cell r="HY123">
            <v>3340</v>
          </cell>
          <cell r="HZ123">
            <v>4933</v>
          </cell>
          <cell r="IA123">
            <v>20701</v>
          </cell>
          <cell r="IB123">
            <v>3730</v>
          </cell>
          <cell r="IC123">
            <v>232</v>
          </cell>
          <cell r="ID123">
            <v>2579</v>
          </cell>
          <cell r="IE123">
            <v>6670</v>
          </cell>
          <cell r="II123">
            <v>10716</v>
          </cell>
          <cell r="IJ123">
            <v>6588</v>
          </cell>
          <cell r="IK123">
            <v>6542</v>
          </cell>
          <cell r="IL123">
            <v>4362</v>
          </cell>
          <cell r="IM123">
            <v>2199</v>
          </cell>
          <cell r="IN123">
            <v>545</v>
          </cell>
          <cell r="IO123">
            <v>1476</v>
          </cell>
          <cell r="IP123">
            <v>3713</v>
          </cell>
          <cell r="IQ123">
            <v>7854</v>
          </cell>
        </row>
        <row r="124">
          <cell r="B124">
            <v>4630</v>
          </cell>
          <cell r="C124">
            <v>768</v>
          </cell>
          <cell r="D124">
            <v>5287</v>
          </cell>
          <cell r="E124">
            <v>1053</v>
          </cell>
          <cell r="F124">
            <v>2882</v>
          </cell>
          <cell r="G124">
            <v>822</v>
          </cell>
          <cell r="H124">
            <v>2026</v>
          </cell>
          <cell r="I124">
            <v>5783</v>
          </cell>
          <cell r="J124">
            <v>1429</v>
          </cell>
          <cell r="K124">
            <v>6742</v>
          </cell>
          <cell r="L124">
            <v>4466</v>
          </cell>
          <cell r="M124">
            <v>4358</v>
          </cell>
          <cell r="N124">
            <v>2901</v>
          </cell>
          <cell r="O124">
            <v>3191</v>
          </cell>
          <cell r="P124">
            <v>4844</v>
          </cell>
          <cell r="Q124">
            <v>20468</v>
          </cell>
          <cell r="R124">
            <v>3565</v>
          </cell>
          <cell r="S124">
            <v>199</v>
          </cell>
          <cell r="T124">
            <v>2722</v>
          </cell>
          <cell r="U124">
            <v>6489</v>
          </cell>
          <cell r="Y124">
            <v>11061</v>
          </cell>
          <cell r="Z124">
            <v>6667</v>
          </cell>
          <cell r="AA124">
            <v>6704</v>
          </cell>
          <cell r="AB124">
            <v>4540</v>
          </cell>
          <cell r="AC124">
            <v>2230</v>
          </cell>
          <cell r="AD124">
            <v>543</v>
          </cell>
          <cell r="AE124">
            <v>1469</v>
          </cell>
          <cell r="AF124">
            <v>3746</v>
          </cell>
          <cell r="AG124">
            <v>7922</v>
          </cell>
          <cell r="AJ124">
            <v>2320</v>
          </cell>
          <cell r="AM124">
            <v>11374</v>
          </cell>
          <cell r="AP124">
            <v>4744</v>
          </cell>
          <cell r="AS124">
            <v>7110</v>
          </cell>
          <cell r="AT124">
            <v>4468</v>
          </cell>
          <cell r="AU124">
            <v>11617</v>
          </cell>
          <cell r="AV124">
            <v>10535</v>
          </cell>
          <cell r="AW124">
            <v>8614</v>
          </cell>
          <cell r="AX124">
            <v>1364</v>
          </cell>
          <cell r="AY124">
            <v>3708</v>
          </cell>
          <cell r="AZ124">
            <v>17479</v>
          </cell>
          <cell r="BA124">
            <v>157268</v>
          </cell>
          <cell r="BB124">
            <v>14320</v>
          </cell>
          <cell r="BC124">
            <v>3529</v>
          </cell>
          <cell r="BD124">
            <v>174824</v>
          </cell>
          <cell r="BE124">
            <v>-0.4</v>
          </cell>
          <cell r="BF124">
            <v>2.1</v>
          </cell>
          <cell r="BG124">
            <v>-0.2</v>
          </cell>
          <cell r="BH124">
            <v>-0.6</v>
          </cell>
          <cell r="BI124">
            <v>-1.5</v>
          </cell>
          <cell r="BJ124">
            <v>0.8</v>
          </cell>
          <cell r="BK124">
            <v>5</v>
          </cell>
          <cell r="BL124">
            <v>5.5</v>
          </cell>
          <cell r="BM124">
            <v>6.9</v>
          </cell>
          <cell r="BN124">
            <v>5</v>
          </cell>
          <cell r="BO124">
            <v>1.4</v>
          </cell>
          <cell r="BP124">
            <v>2.2999999999999998</v>
          </cell>
          <cell r="BQ124">
            <v>1.9</v>
          </cell>
          <cell r="BR124">
            <v>1.3</v>
          </cell>
          <cell r="BS124">
            <v>1.4</v>
          </cell>
          <cell r="BT124">
            <v>1.8</v>
          </cell>
          <cell r="BU124">
            <v>1.5</v>
          </cell>
          <cell r="BV124">
            <v>2.1</v>
          </cell>
          <cell r="BW124">
            <v>0.3</v>
          </cell>
          <cell r="BX124">
            <v>1.2</v>
          </cell>
          <cell r="CB124">
            <v>2.8</v>
          </cell>
          <cell r="CC124">
            <v>2.6</v>
          </cell>
          <cell r="CD124">
            <v>0.8</v>
          </cell>
          <cell r="CE124">
            <v>2</v>
          </cell>
          <cell r="CF124">
            <v>1.5</v>
          </cell>
          <cell r="CG124">
            <v>2.9</v>
          </cell>
          <cell r="CH124">
            <v>0.7</v>
          </cell>
          <cell r="CI124">
            <v>0.8</v>
          </cell>
          <cell r="CJ124">
            <v>1.3</v>
          </cell>
          <cell r="CM124">
            <v>2</v>
          </cell>
          <cell r="CP124">
            <v>3.3</v>
          </cell>
          <cell r="CS124">
            <v>2.1</v>
          </cell>
          <cell r="CV124">
            <v>1.2</v>
          </cell>
          <cell r="CW124">
            <v>1</v>
          </cell>
          <cell r="CX124">
            <v>1.7</v>
          </cell>
          <cell r="CY124">
            <v>1.3</v>
          </cell>
          <cell r="CZ124">
            <v>1.3</v>
          </cell>
          <cell r="DA124">
            <v>1.4</v>
          </cell>
          <cell r="DB124">
            <v>1.3</v>
          </cell>
          <cell r="DC124">
            <v>0.8</v>
          </cell>
          <cell r="DD124">
            <v>1.9</v>
          </cell>
          <cell r="DE124">
            <v>1.1000000000000001</v>
          </cell>
          <cell r="DF124">
            <v>1.5</v>
          </cell>
          <cell r="DG124">
            <v>4723</v>
          </cell>
          <cell r="DH124">
            <v>772</v>
          </cell>
          <cell r="DI124">
            <v>5375</v>
          </cell>
          <cell r="DJ124">
            <v>1182</v>
          </cell>
          <cell r="DK124">
            <v>2840</v>
          </cell>
          <cell r="DL124">
            <v>847</v>
          </cell>
          <cell r="DM124">
            <v>2098</v>
          </cell>
          <cell r="DN124">
            <v>6071</v>
          </cell>
          <cell r="DO124">
            <v>1497</v>
          </cell>
          <cell r="DP124">
            <v>7075</v>
          </cell>
          <cell r="DQ124">
            <v>4480</v>
          </cell>
          <cell r="DR124">
            <v>4346</v>
          </cell>
          <cell r="DS124">
            <v>2938</v>
          </cell>
          <cell r="DT124">
            <v>3165</v>
          </cell>
          <cell r="DU124">
            <v>4850</v>
          </cell>
          <cell r="DV124">
            <v>20513</v>
          </cell>
          <cell r="DW124">
            <v>3586</v>
          </cell>
          <cell r="DX124">
            <v>198</v>
          </cell>
          <cell r="DY124">
            <v>2709</v>
          </cell>
          <cell r="DZ124">
            <v>6502</v>
          </cell>
          <cell r="ED124">
            <v>11174</v>
          </cell>
          <cell r="EE124">
            <v>6690</v>
          </cell>
          <cell r="EF124">
            <v>6698</v>
          </cell>
          <cell r="EG124">
            <v>4582</v>
          </cell>
          <cell r="EH124">
            <v>2214</v>
          </cell>
          <cell r="EI124">
            <v>546</v>
          </cell>
          <cell r="EJ124">
            <v>1507</v>
          </cell>
          <cell r="EK124">
            <v>3789</v>
          </cell>
          <cell r="EL124">
            <v>7987</v>
          </cell>
          <cell r="EO124">
            <v>2296</v>
          </cell>
          <cell r="ER124">
            <v>11436</v>
          </cell>
          <cell r="EU124">
            <v>4651</v>
          </cell>
          <cell r="EX124">
            <v>6964</v>
          </cell>
          <cell r="EY124">
            <v>4375</v>
          </cell>
          <cell r="EZ124">
            <v>11601</v>
          </cell>
          <cell r="FA124">
            <v>10488</v>
          </cell>
          <cell r="FB124">
            <v>8615</v>
          </cell>
          <cell r="FC124">
            <v>1370</v>
          </cell>
          <cell r="FD124">
            <v>3734</v>
          </cell>
          <cell r="FE124">
            <v>17477</v>
          </cell>
          <cell r="FF124">
            <v>157898</v>
          </cell>
          <cell r="FG124">
            <v>14108</v>
          </cell>
          <cell r="FH124">
            <v>3783</v>
          </cell>
          <cell r="FI124">
            <v>175521</v>
          </cell>
          <cell r="FJ124">
            <v>7</v>
          </cell>
          <cell r="FK124">
            <v>-1.1000000000000001</v>
          </cell>
          <cell r="FL124">
            <v>4.9000000000000004</v>
          </cell>
          <cell r="FM124">
            <v>29.2</v>
          </cell>
          <cell r="FN124">
            <v>-4.2</v>
          </cell>
          <cell r="FO124">
            <v>2.5</v>
          </cell>
          <cell r="FP124">
            <v>12.9</v>
          </cell>
          <cell r="FQ124">
            <v>15.7</v>
          </cell>
          <cell r="FR124">
            <v>11.9</v>
          </cell>
          <cell r="FS124">
            <v>14.8</v>
          </cell>
          <cell r="FT124">
            <v>2</v>
          </cell>
          <cell r="FU124">
            <v>2.1</v>
          </cell>
          <cell r="FV124">
            <v>4.7</v>
          </cell>
          <cell r="FW124">
            <v>-0.2</v>
          </cell>
          <cell r="FX124">
            <v>2.4</v>
          </cell>
          <cell r="FY124">
            <v>2.5</v>
          </cell>
          <cell r="FZ124">
            <v>2.2999999999999998</v>
          </cell>
          <cell r="GA124">
            <v>1</v>
          </cell>
          <cell r="GB124">
            <v>0</v>
          </cell>
          <cell r="GC124">
            <v>1.5</v>
          </cell>
          <cell r="GG124">
            <v>4.7</v>
          </cell>
          <cell r="GH124">
            <v>2.8</v>
          </cell>
          <cell r="GI124">
            <v>0.1</v>
          </cell>
          <cell r="GJ124">
            <v>3.2</v>
          </cell>
          <cell r="GK124">
            <v>0.7</v>
          </cell>
          <cell r="GL124">
            <v>4.3</v>
          </cell>
          <cell r="GM124">
            <v>3.2</v>
          </cell>
          <cell r="GN124">
            <v>2.2999999999999998</v>
          </cell>
          <cell r="GO124">
            <v>2.2999999999999998</v>
          </cell>
          <cell r="GR124">
            <v>1.7</v>
          </cell>
          <cell r="GU124">
            <v>3.2</v>
          </cell>
          <cell r="GX124">
            <v>-1.8</v>
          </cell>
          <cell r="HA124">
            <v>-2.6</v>
          </cell>
          <cell r="HB124">
            <v>-2.8</v>
          </cell>
          <cell r="HC124">
            <v>1.3</v>
          </cell>
          <cell r="HD124">
            <v>0.4</v>
          </cell>
          <cell r="HE124">
            <v>0.6</v>
          </cell>
          <cell r="HF124">
            <v>1.6</v>
          </cell>
          <cell r="HG124">
            <v>2.6</v>
          </cell>
          <cell r="HH124">
            <v>0.8</v>
          </cell>
          <cell r="HI124">
            <v>2.6</v>
          </cell>
          <cell r="HJ124">
            <v>-1.1000000000000001</v>
          </cell>
          <cell r="HK124">
            <v>2</v>
          </cell>
          <cell r="HL124">
            <v>7411</v>
          </cell>
          <cell r="HM124">
            <v>786</v>
          </cell>
          <cell r="HN124">
            <v>7841</v>
          </cell>
          <cell r="HO124">
            <v>1182</v>
          </cell>
          <cell r="HP124">
            <v>2828</v>
          </cell>
          <cell r="HQ124">
            <v>837</v>
          </cell>
          <cell r="HR124">
            <v>2120</v>
          </cell>
          <cell r="HS124">
            <v>6080</v>
          </cell>
          <cell r="HT124">
            <v>1688</v>
          </cell>
          <cell r="HU124">
            <v>7167</v>
          </cell>
          <cell r="HV124">
            <v>4792</v>
          </cell>
          <cell r="HW124">
            <v>4451</v>
          </cell>
          <cell r="HX124">
            <v>3038</v>
          </cell>
          <cell r="HY124">
            <v>3244</v>
          </cell>
          <cell r="HZ124">
            <v>5098</v>
          </cell>
          <cell r="IA124">
            <v>21409</v>
          </cell>
          <cell r="IB124">
            <v>3461</v>
          </cell>
          <cell r="IC124">
            <v>184</v>
          </cell>
          <cell r="ID124">
            <v>2824</v>
          </cell>
          <cell r="IE124">
            <v>6398</v>
          </cell>
          <cell r="II124">
            <v>11538</v>
          </cell>
          <cell r="IJ124">
            <v>6930</v>
          </cell>
          <cell r="IK124">
            <v>7418</v>
          </cell>
          <cell r="IL124">
            <v>4910</v>
          </cell>
          <cell r="IM124">
            <v>2278</v>
          </cell>
          <cell r="IN124">
            <v>572</v>
          </cell>
          <cell r="IO124">
            <v>1544</v>
          </cell>
          <cell r="IP124">
            <v>3850</v>
          </cell>
          <cell r="IQ124">
            <v>8173</v>
          </cell>
        </row>
        <row r="125">
          <cell r="B125">
            <v>4474</v>
          </cell>
          <cell r="C125">
            <v>775</v>
          </cell>
          <cell r="D125">
            <v>5139</v>
          </cell>
          <cell r="E125">
            <v>1027</v>
          </cell>
          <cell r="F125">
            <v>2865</v>
          </cell>
          <cell r="G125">
            <v>814</v>
          </cell>
          <cell r="H125">
            <v>2070</v>
          </cell>
          <cell r="I125">
            <v>5906</v>
          </cell>
          <cell r="J125">
            <v>1483</v>
          </cell>
          <cell r="K125">
            <v>6878</v>
          </cell>
          <cell r="L125">
            <v>4466</v>
          </cell>
          <cell r="M125">
            <v>4339</v>
          </cell>
          <cell r="N125">
            <v>2890</v>
          </cell>
          <cell r="O125">
            <v>3270</v>
          </cell>
          <cell r="P125">
            <v>4885</v>
          </cell>
          <cell r="Q125">
            <v>20638</v>
          </cell>
          <cell r="R125">
            <v>3571</v>
          </cell>
          <cell r="S125">
            <v>202</v>
          </cell>
          <cell r="T125">
            <v>2742</v>
          </cell>
          <cell r="U125">
            <v>6514</v>
          </cell>
          <cell r="Y125">
            <v>11283</v>
          </cell>
          <cell r="Z125">
            <v>6821</v>
          </cell>
          <cell r="AA125">
            <v>6736</v>
          </cell>
          <cell r="AB125">
            <v>4626</v>
          </cell>
          <cell r="AC125">
            <v>2272</v>
          </cell>
          <cell r="AD125">
            <v>562</v>
          </cell>
          <cell r="AE125">
            <v>1458</v>
          </cell>
          <cell r="AF125">
            <v>3763</v>
          </cell>
          <cell r="AG125">
            <v>8003</v>
          </cell>
          <cell r="AJ125">
            <v>2370</v>
          </cell>
          <cell r="AM125">
            <v>11412</v>
          </cell>
          <cell r="AP125">
            <v>4782</v>
          </cell>
          <cell r="AS125">
            <v>7192</v>
          </cell>
          <cell r="AT125">
            <v>4527</v>
          </cell>
          <cell r="AU125">
            <v>11744</v>
          </cell>
          <cell r="AV125">
            <v>10526</v>
          </cell>
          <cell r="AW125">
            <v>8706</v>
          </cell>
          <cell r="AX125">
            <v>1389</v>
          </cell>
          <cell r="AY125">
            <v>3750</v>
          </cell>
          <cell r="AZ125">
            <v>17624</v>
          </cell>
          <cell r="BA125">
            <v>159446</v>
          </cell>
          <cell r="BB125">
            <v>14532</v>
          </cell>
          <cell r="BC125">
            <v>2487</v>
          </cell>
          <cell r="BD125">
            <v>176169</v>
          </cell>
          <cell r="BE125">
            <v>-3.4</v>
          </cell>
          <cell r="BF125">
            <v>0.8</v>
          </cell>
          <cell r="BG125">
            <v>-2.8</v>
          </cell>
          <cell r="BH125">
            <v>-2.5</v>
          </cell>
          <cell r="BI125">
            <v>-0.6</v>
          </cell>
          <cell r="BJ125">
            <v>-1.1000000000000001</v>
          </cell>
          <cell r="BK125">
            <v>2.2000000000000002</v>
          </cell>
          <cell r="BL125">
            <v>2.1</v>
          </cell>
          <cell r="BM125">
            <v>3.8</v>
          </cell>
          <cell r="BN125">
            <v>2</v>
          </cell>
          <cell r="BO125">
            <v>0</v>
          </cell>
          <cell r="BP125">
            <v>-0.4</v>
          </cell>
          <cell r="BQ125">
            <v>-0.4</v>
          </cell>
          <cell r="BR125">
            <v>2.5</v>
          </cell>
          <cell r="BS125">
            <v>0.8</v>
          </cell>
          <cell r="BT125">
            <v>0.8</v>
          </cell>
          <cell r="BU125">
            <v>0.2</v>
          </cell>
          <cell r="BV125">
            <v>1.5</v>
          </cell>
          <cell r="BW125">
            <v>0.8</v>
          </cell>
          <cell r="BX125">
            <v>0.4</v>
          </cell>
          <cell r="CB125">
            <v>2</v>
          </cell>
          <cell r="CC125">
            <v>2.2999999999999998</v>
          </cell>
          <cell r="CD125">
            <v>0.5</v>
          </cell>
          <cell r="CE125">
            <v>1.9</v>
          </cell>
          <cell r="CF125">
            <v>1.9</v>
          </cell>
          <cell r="CG125">
            <v>3.7</v>
          </cell>
          <cell r="CH125">
            <v>-0.8</v>
          </cell>
          <cell r="CI125">
            <v>0.5</v>
          </cell>
          <cell r="CJ125">
            <v>1</v>
          </cell>
          <cell r="CM125">
            <v>2.2000000000000002</v>
          </cell>
          <cell r="CP125">
            <v>0.3</v>
          </cell>
          <cell r="CS125">
            <v>0.8</v>
          </cell>
          <cell r="CV125">
            <v>1.1000000000000001</v>
          </cell>
          <cell r="CW125">
            <v>1.3</v>
          </cell>
          <cell r="CX125">
            <v>1.1000000000000001</v>
          </cell>
          <cell r="CY125">
            <v>-0.1</v>
          </cell>
          <cell r="CZ125">
            <v>1.1000000000000001</v>
          </cell>
          <cell r="DA125">
            <v>1.9</v>
          </cell>
          <cell r="DB125">
            <v>1.1000000000000001</v>
          </cell>
          <cell r="DC125">
            <v>0.8</v>
          </cell>
          <cell r="DD125">
            <v>1.4</v>
          </cell>
          <cell r="DE125">
            <v>1.5</v>
          </cell>
          <cell r="DF125">
            <v>0.8</v>
          </cell>
          <cell r="DG125">
            <v>4771</v>
          </cell>
          <cell r="DH125">
            <v>774</v>
          </cell>
          <cell r="DI125">
            <v>5408</v>
          </cell>
          <cell r="DJ125">
            <v>1032</v>
          </cell>
          <cell r="DK125">
            <v>2830</v>
          </cell>
          <cell r="DL125">
            <v>774</v>
          </cell>
          <cell r="DM125">
            <v>2090</v>
          </cell>
          <cell r="DN125">
            <v>5886</v>
          </cell>
          <cell r="DO125">
            <v>1393</v>
          </cell>
          <cell r="DP125">
            <v>6816</v>
          </cell>
          <cell r="DQ125">
            <v>4477</v>
          </cell>
          <cell r="DR125">
            <v>4457</v>
          </cell>
          <cell r="DS125">
            <v>2944</v>
          </cell>
          <cell r="DT125">
            <v>3244</v>
          </cell>
          <cell r="DU125">
            <v>4933</v>
          </cell>
          <cell r="DV125">
            <v>20798</v>
          </cell>
          <cell r="DW125">
            <v>3582</v>
          </cell>
          <cell r="DX125">
            <v>206</v>
          </cell>
          <cell r="DY125">
            <v>2751</v>
          </cell>
          <cell r="DZ125">
            <v>6542</v>
          </cell>
          <cell r="ED125">
            <v>11292</v>
          </cell>
          <cell r="EE125">
            <v>6824</v>
          </cell>
          <cell r="EF125">
            <v>6735</v>
          </cell>
          <cell r="EG125">
            <v>4603</v>
          </cell>
          <cell r="EH125">
            <v>2279</v>
          </cell>
          <cell r="EI125">
            <v>563</v>
          </cell>
          <cell r="EJ125">
            <v>1439</v>
          </cell>
          <cell r="EK125">
            <v>3750</v>
          </cell>
          <cell r="EL125">
            <v>7992</v>
          </cell>
          <cell r="EO125">
            <v>2427</v>
          </cell>
          <cell r="ER125">
            <v>11368</v>
          </cell>
          <cell r="EU125">
            <v>4814</v>
          </cell>
          <cell r="EX125">
            <v>7231</v>
          </cell>
          <cell r="EY125">
            <v>4549</v>
          </cell>
          <cell r="EZ125">
            <v>11789</v>
          </cell>
          <cell r="FA125">
            <v>10528</v>
          </cell>
          <cell r="FB125">
            <v>8676</v>
          </cell>
          <cell r="FC125">
            <v>1379</v>
          </cell>
          <cell r="FD125">
            <v>3746</v>
          </cell>
          <cell r="FE125">
            <v>17625</v>
          </cell>
          <cell r="FF125">
            <v>159724</v>
          </cell>
          <cell r="FG125">
            <v>14635</v>
          </cell>
          <cell r="FH125">
            <v>2318</v>
          </cell>
          <cell r="FI125">
            <v>176373</v>
          </cell>
          <cell r="FJ125">
            <v>1</v>
          </cell>
          <cell r="FK125">
            <v>0.2</v>
          </cell>
          <cell r="FL125">
            <v>0.6</v>
          </cell>
          <cell r="FM125">
            <v>-12.7</v>
          </cell>
          <cell r="FN125">
            <v>-0.3</v>
          </cell>
          <cell r="FO125">
            <v>-8.6999999999999993</v>
          </cell>
          <cell r="FP125">
            <v>-0.4</v>
          </cell>
          <cell r="FQ125">
            <v>-3.1</v>
          </cell>
          <cell r="FR125">
            <v>-7</v>
          </cell>
          <cell r="FS125">
            <v>-3.7</v>
          </cell>
          <cell r="FT125">
            <v>-0.1</v>
          </cell>
          <cell r="FU125">
            <v>2.5</v>
          </cell>
          <cell r="FV125">
            <v>0.2</v>
          </cell>
          <cell r="FW125">
            <v>2.5</v>
          </cell>
          <cell r="FX125">
            <v>1.7</v>
          </cell>
          <cell r="FY125">
            <v>1.4</v>
          </cell>
          <cell r="FZ125">
            <v>-0.1</v>
          </cell>
          <cell r="GA125">
            <v>4.2</v>
          </cell>
          <cell r="GB125">
            <v>1.6</v>
          </cell>
          <cell r="GC125">
            <v>0.6</v>
          </cell>
          <cell r="GG125">
            <v>1.1000000000000001</v>
          </cell>
          <cell r="GH125">
            <v>2</v>
          </cell>
          <cell r="GI125">
            <v>0.6</v>
          </cell>
          <cell r="GJ125">
            <v>0.4</v>
          </cell>
          <cell r="GK125">
            <v>2.9</v>
          </cell>
          <cell r="GL125">
            <v>3</v>
          </cell>
          <cell r="GM125">
            <v>-4.5</v>
          </cell>
          <cell r="GN125">
            <v>-1</v>
          </cell>
          <cell r="GO125">
            <v>0.1</v>
          </cell>
          <cell r="GR125">
            <v>5.7</v>
          </cell>
          <cell r="GU125">
            <v>-0.6</v>
          </cell>
          <cell r="GX125">
            <v>3.5</v>
          </cell>
          <cell r="HA125">
            <v>3.8</v>
          </cell>
          <cell r="HB125">
            <v>4</v>
          </cell>
          <cell r="HC125">
            <v>1.6</v>
          </cell>
          <cell r="HD125">
            <v>0.4</v>
          </cell>
          <cell r="HE125">
            <v>0.7</v>
          </cell>
          <cell r="HF125">
            <v>0.7</v>
          </cell>
          <cell r="HG125">
            <v>0.3</v>
          </cell>
          <cell r="HH125">
            <v>0.8</v>
          </cell>
          <cell r="HI125">
            <v>1.2</v>
          </cell>
          <cell r="HJ125">
            <v>3.7</v>
          </cell>
          <cell r="HK125">
            <v>0.5</v>
          </cell>
          <cell r="HL125">
            <v>3591</v>
          </cell>
          <cell r="HM125">
            <v>760</v>
          </cell>
          <cell r="HN125">
            <v>4317</v>
          </cell>
          <cell r="HO125">
            <v>998</v>
          </cell>
          <cell r="HP125">
            <v>2840</v>
          </cell>
          <cell r="HQ125">
            <v>766</v>
          </cell>
          <cell r="HR125">
            <v>2009</v>
          </cell>
          <cell r="HS125">
            <v>5762</v>
          </cell>
          <cell r="HT125">
            <v>1190</v>
          </cell>
          <cell r="HU125">
            <v>6611</v>
          </cell>
          <cell r="HV125">
            <v>4329</v>
          </cell>
          <cell r="HW125">
            <v>4271</v>
          </cell>
          <cell r="HX125">
            <v>2709</v>
          </cell>
          <cell r="HY125">
            <v>2951</v>
          </cell>
          <cell r="HZ125">
            <v>4547</v>
          </cell>
          <cell r="IA125">
            <v>19388</v>
          </cell>
          <cell r="IB125">
            <v>3448</v>
          </cell>
          <cell r="IC125">
            <v>175</v>
          </cell>
          <cell r="ID125">
            <v>2909</v>
          </cell>
          <cell r="IE125">
            <v>6415</v>
          </cell>
          <cell r="II125">
            <v>10469</v>
          </cell>
          <cell r="IJ125">
            <v>6504</v>
          </cell>
          <cell r="IK125">
            <v>6411</v>
          </cell>
          <cell r="IL125">
            <v>4609</v>
          </cell>
          <cell r="IM125">
            <v>2212</v>
          </cell>
          <cell r="IN125">
            <v>553</v>
          </cell>
          <cell r="IO125">
            <v>1394</v>
          </cell>
          <cell r="IP125">
            <v>3708</v>
          </cell>
          <cell r="IQ125">
            <v>7832</v>
          </cell>
        </row>
        <row r="126">
          <cell r="B126">
            <v>4361</v>
          </cell>
          <cell r="C126">
            <v>794</v>
          </cell>
          <cell r="D126">
            <v>5056</v>
          </cell>
          <cell r="E126">
            <v>1007</v>
          </cell>
          <cell r="F126">
            <v>2864</v>
          </cell>
          <cell r="G126">
            <v>785</v>
          </cell>
          <cell r="H126">
            <v>2085</v>
          </cell>
          <cell r="I126">
            <v>5896</v>
          </cell>
          <cell r="J126">
            <v>1535</v>
          </cell>
          <cell r="K126">
            <v>6888</v>
          </cell>
          <cell r="L126">
            <v>4488</v>
          </cell>
          <cell r="M126">
            <v>4261</v>
          </cell>
          <cell r="N126">
            <v>2881</v>
          </cell>
          <cell r="O126">
            <v>3365</v>
          </cell>
          <cell r="P126">
            <v>4954</v>
          </cell>
          <cell r="Q126">
            <v>20864</v>
          </cell>
          <cell r="R126">
            <v>3567</v>
          </cell>
          <cell r="S126">
            <v>204</v>
          </cell>
          <cell r="T126">
            <v>2773</v>
          </cell>
          <cell r="U126">
            <v>6532</v>
          </cell>
          <cell r="Y126">
            <v>11450</v>
          </cell>
          <cell r="Z126">
            <v>6977</v>
          </cell>
          <cell r="AA126">
            <v>6780</v>
          </cell>
          <cell r="AB126">
            <v>4672</v>
          </cell>
          <cell r="AC126">
            <v>2342</v>
          </cell>
          <cell r="AD126">
            <v>580</v>
          </cell>
          <cell r="AE126">
            <v>1431</v>
          </cell>
          <cell r="AF126">
            <v>3792</v>
          </cell>
          <cell r="AG126">
            <v>8101</v>
          </cell>
          <cell r="AJ126">
            <v>2437</v>
          </cell>
          <cell r="AM126">
            <v>11181</v>
          </cell>
          <cell r="AP126">
            <v>4797</v>
          </cell>
          <cell r="AS126">
            <v>7327</v>
          </cell>
          <cell r="AT126">
            <v>4639</v>
          </cell>
          <cell r="AU126">
            <v>11821</v>
          </cell>
          <cell r="AV126">
            <v>10536</v>
          </cell>
          <cell r="AW126">
            <v>8832</v>
          </cell>
          <cell r="AX126">
            <v>1416</v>
          </cell>
          <cell r="AY126">
            <v>3783</v>
          </cell>
          <cell r="AZ126">
            <v>17782</v>
          </cell>
          <cell r="BA126">
            <v>161170</v>
          </cell>
          <cell r="BB126">
            <v>14780</v>
          </cell>
          <cell r="BC126">
            <v>1308</v>
          </cell>
          <cell r="BD126">
            <v>176953</v>
          </cell>
          <cell r="BE126">
            <v>-2.5</v>
          </cell>
          <cell r="BF126">
            <v>2.6</v>
          </cell>
          <cell r="BG126">
            <v>-1.6</v>
          </cell>
          <cell r="BH126">
            <v>-2</v>
          </cell>
          <cell r="BI126">
            <v>0</v>
          </cell>
          <cell r="BJ126">
            <v>-3.6</v>
          </cell>
          <cell r="BK126">
            <v>0.7</v>
          </cell>
          <cell r="BL126">
            <v>-0.2</v>
          </cell>
          <cell r="BM126">
            <v>3.5</v>
          </cell>
          <cell r="BN126">
            <v>0.1</v>
          </cell>
          <cell r="BO126">
            <v>0.5</v>
          </cell>
          <cell r="BP126">
            <v>-1.8</v>
          </cell>
          <cell r="BQ126">
            <v>-0.3</v>
          </cell>
          <cell r="BR126">
            <v>2.9</v>
          </cell>
          <cell r="BS126">
            <v>1.4</v>
          </cell>
          <cell r="BT126">
            <v>1.1000000000000001</v>
          </cell>
          <cell r="BU126">
            <v>-0.1</v>
          </cell>
          <cell r="BV126">
            <v>1</v>
          </cell>
          <cell r="BW126">
            <v>1.1000000000000001</v>
          </cell>
          <cell r="BX126">
            <v>0.3</v>
          </cell>
          <cell r="CB126">
            <v>1.5</v>
          </cell>
          <cell r="CC126">
            <v>2.2999999999999998</v>
          </cell>
          <cell r="CD126">
            <v>0.6</v>
          </cell>
          <cell r="CE126">
            <v>1</v>
          </cell>
          <cell r="CF126">
            <v>3.1</v>
          </cell>
          <cell r="CG126">
            <v>3.2</v>
          </cell>
          <cell r="CH126">
            <v>-1.8</v>
          </cell>
          <cell r="CI126">
            <v>0.8</v>
          </cell>
          <cell r="CJ126">
            <v>1.2</v>
          </cell>
          <cell r="CM126">
            <v>2.8</v>
          </cell>
          <cell r="CP126">
            <v>-2</v>
          </cell>
          <cell r="CS126">
            <v>0.3</v>
          </cell>
          <cell r="CV126">
            <v>1.9</v>
          </cell>
          <cell r="CW126">
            <v>2.5</v>
          </cell>
          <cell r="CX126">
            <v>0.7</v>
          </cell>
          <cell r="CY126">
            <v>0.1</v>
          </cell>
          <cell r="CZ126">
            <v>1.4</v>
          </cell>
          <cell r="DA126">
            <v>2</v>
          </cell>
          <cell r="DB126">
            <v>0.9</v>
          </cell>
          <cell r="DC126">
            <v>0.9</v>
          </cell>
          <cell r="DD126">
            <v>1.1000000000000001</v>
          </cell>
          <cell r="DE126">
            <v>1.7</v>
          </cell>
          <cell r="DF126">
            <v>0.4</v>
          </cell>
          <cell r="DG126">
            <v>3938</v>
          </cell>
          <cell r="DH126">
            <v>758</v>
          </cell>
          <cell r="DI126">
            <v>4623</v>
          </cell>
          <cell r="DJ126">
            <v>944</v>
          </cell>
          <cell r="DK126">
            <v>2900</v>
          </cell>
          <cell r="DL126">
            <v>815</v>
          </cell>
          <cell r="DM126">
            <v>2051</v>
          </cell>
          <cell r="DN126">
            <v>5817</v>
          </cell>
          <cell r="DO126">
            <v>1577</v>
          </cell>
          <cell r="DP126">
            <v>6820</v>
          </cell>
          <cell r="DQ126">
            <v>4466</v>
          </cell>
          <cell r="DR126">
            <v>4160</v>
          </cell>
          <cell r="DS126">
            <v>2816</v>
          </cell>
          <cell r="DT126">
            <v>3424</v>
          </cell>
          <cell r="DU126">
            <v>4894</v>
          </cell>
          <cell r="DV126">
            <v>20691</v>
          </cell>
          <cell r="DW126">
            <v>3555</v>
          </cell>
          <cell r="DX126">
            <v>202</v>
          </cell>
          <cell r="DY126">
            <v>2771</v>
          </cell>
          <cell r="DZ126">
            <v>6509</v>
          </cell>
          <cell r="ED126">
            <v>11387</v>
          </cell>
          <cell r="EE126">
            <v>6947</v>
          </cell>
          <cell r="EF126">
            <v>6794</v>
          </cell>
          <cell r="EG126">
            <v>4649</v>
          </cell>
          <cell r="EH126">
            <v>2354</v>
          </cell>
          <cell r="EI126">
            <v>572</v>
          </cell>
          <cell r="EJ126">
            <v>1418</v>
          </cell>
          <cell r="EK126">
            <v>3745</v>
          </cell>
          <cell r="EL126">
            <v>8034</v>
          </cell>
          <cell r="EO126">
            <v>2364</v>
          </cell>
          <cell r="ER126">
            <v>11307</v>
          </cell>
          <cell r="EU126">
            <v>4830</v>
          </cell>
          <cell r="EX126">
            <v>7360</v>
          </cell>
          <cell r="EY126">
            <v>4653</v>
          </cell>
          <cell r="EZ126">
            <v>11790</v>
          </cell>
          <cell r="FA126">
            <v>10562</v>
          </cell>
          <cell r="FB126">
            <v>8804</v>
          </cell>
          <cell r="FC126">
            <v>1415</v>
          </cell>
          <cell r="FD126">
            <v>3782</v>
          </cell>
          <cell r="FE126">
            <v>17780</v>
          </cell>
          <cell r="FF126">
            <v>160641</v>
          </cell>
          <cell r="FG126">
            <v>14800</v>
          </cell>
          <cell r="FH126">
            <v>1339</v>
          </cell>
          <cell r="FI126">
            <v>176471</v>
          </cell>
          <cell r="FJ126">
            <v>-17.5</v>
          </cell>
          <cell r="FK126">
            <v>-2.1</v>
          </cell>
          <cell r="FL126">
            <v>-14.5</v>
          </cell>
          <cell r="FM126">
            <v>-8.6</v>
          </cell>
          <cell r="FN126">
            <v>2.5</v>
          </cell>
          <cell r="FO126">
            <v>5.4</v>
          </cell>
          <cell r="FP126">
            <v>-1.9</v>
          </cell>
          <cell r="FQ126">
            <v>-1.2</v>
          </cell>
          <cell r="FR126">
            <v>13.2</v>
          </cell>
          <cell r="FS126">
            <v>0.1</v>
          </cell>
          <cell r="FT126">
            <v>-0.2</v>
          </cell>
          <cell r="FU126">
            <v>-6.7</v>
          </cell>
          <cell r="FV126">
            <v>-4.4000000000000004</v>
          </cell>
          <cell r="FW126">
            <v>5.6</v>
          </cell>
          <cell r="FX126">
            <v>-0.8</v>
          </cell>
          <cell r="FY126">
            <v>-0.5</v>
          </cell>
          <cell r="FZ126">
            <v>-0.8</v>
          </cell>
          <cell r="GA126">
            <v>-2</v>
          </cell>
          <cell r="GB126">
            <v>0.7</v>
          </cell>
          <cell r="GC126">
            <v>-0.5</v>
          </cell>
          <cell r="GG126">
            <v>0.8</v>
          </cell>
          <cell r="GH126">
            <v>1.8</v>
          </cell>
          <cell r="GI126">
            <v>0.9</v>
          </cell>
          <cell r="GJ126">
            <v>1</v>
          </cell>
          <cell r="GK126">
            <v>3.3</v>
          </cell>
          <cell r="GL126">
            <v>1.6</v>
          </cell>
          <cell r="GM126">
            <v>-1.4</v>
          </cell>
          <cell r="GN126">
            <v>-0.1</v>
          </cell>
          <cell r="GO126">
            <v>0.5</v>
          </cell>
          <cell r="GR126">
            <v>-2.6</v>
          </cell>
          <cell r="GU126">
            <v>-0.5</v>
          </cell>
          <cell r="GX126">
            <v>0.3</v>
          </cell>
          <cell r="HA126">
            <v>1.8</v>
          </cell>
          <cell r="HB126">
            <v>2.2999999999999998</v>
          </cell>
          <cell r="HC126">
            <v>0</v>
          </cell>
          <cell r="HD126">
            <v>0.3</v>
          </cell>
          <cell r="HE126">
            <v>1.5</v>
          </cell>
          <cell r="HF126">
            <v>2.6</v>
          </cell>
          <cell r="HG126">
            <v>1</v>
          </cell>
          <cell r="HH126">
            <v>0.9</v>
          </cell>
          <cell r="HI126">
            <v>0.6</v>
          </cell>
          <cell r="HJ126">
            <v>1.1000000000000001</v>
          </cell>
          <cell r="HK126">
            <v>0.1</v>
          </cell>
          <cell r="HL126">
            <v>3045</v>
          </cell>
          <cell r="HM126">
            <v>747</v>
          </cell>
          <cell r="HN126">
            <v>3786</v>
          </cell>
          <cell r="HO126">
            <v>918</v>
          </cell>
          <cell r="HP126">
            <v>2823</v>
          </cell>
          <cell r="HQ126">
            <v>809</v>
          </cell>
          <cell r="HR126">
            <v>2032</v>
          </cell>
          <cell r="HS126">
            <v>5703</v>
          </cell>
          <cell r="HT126">
            <v>1624</v>
          </cell>
          <cell r="HU126">
            <v>6738</v>
          </cell>
          <cell r="HV126">
            <v>4314</v>
          </cell>
          <cell r="HW126">
            <v>4189</v>
          </cell>
          <cell r="HX126">
            <v>2800</v>
          </cell>
          <cell r="HY126">
            <v>3469</v>
          </cell>
          <cell r="HZ126">
            <v>4838</v>
          </cell>
          <cell r="IA126">
            <v>20521</v>
          </cell>
          <cell r="IB126">
            <v>3587</v>
          </cell>
          <cell r="IC126">
            <v>210</v>
          </cell>
          <cell r="ID126">
            <v>2627</v>
          </cell>
          <cell r="IE126">
            <v>6473</v>
          </cell>
          <cell r="II126">
            <v>11799</v>
          </cell>
          <cell r="IJ126">
            <v>6945</v>
          </cell>
          <cell r="IK126">
            <v>6544</v>
          </cell>
          <cell r="IL126">
            <v>4392</v>
          </cell>
          <cell r="IM126">
            <v>2356</v>
          </cell>
          <cell r="IN126">
            <v>535</v>
          </cell>
          <cell r="IO126">
            <v>1410</v>
          </cell>
          <cell r="IP126">
            <v>3715</v>
          </cell>
          <cell r="IQ126">
            <v>7960</v>
          </cell>
        </row>
        <row r="127">
          <cell r="B127">
            <v>4394</v>
          </cell>
          <cell r="C127">
            <v>832</v>
          </cell>
          <cell r="D127">
            <v>5136</v>
          </cell>
          <cell r="E127">
            <v>1046</v>
          </cell>
          <cell r="F127">
            <v>2794</v>
          </cell>
          <cell r="G127">
            <v>757</v>
          </cell>
          <cell r="H127">
            <v>2125</v>
          </cell>
          <cell r="I127">
            <v>5898</v>
          </cell>
          <cell r="J127">
            <v>1583</v>
          </cell>
          <cell r="K127">
            <v>6917</v>
          </cell>
          <cell r="L127">
            <v>4551</v>
          </cell>
          <cell r="M127">
            <v>4226</v>
          </cell>
          <cell r="N127">
            <v>2953</v>
          </cell>
          <cell r="O127">
            <v>3430</v>
          </cell>
          <cell r="P127">
            <v>5005</v>
          </cell>
          <cell r="Q127">
            <v>21201</v>
          </cell>
          <cell r="R127">
            <v>3622</v>
          </cell>
          <cell r="S127">
            <v>207</v>
          </cell>
          <cell r="T127">
            <v>2795</v>
          </cell>
          <cell r="U127">
            <v>6615</v>
          </cell>
          <cell r="Y127">
            <v>11657</v>
          </cell>
          <cell r="Z127">
            <v>7156</v>
          </cell>
          <cell r="AA127">
            <v>6875</v>
          </cell>
          <cell r="AB127">
            <v>4713</v>
          </cell>
          <cell r="AC127">
            <v>2412</v>
          </cell>
          <cell r="AD127">
            <v>590</v>
          </cell>
          <cell r="AE127">
            <v>1425</v>
          </cell>
          <cell r="AF127">
            <v>3828</v>
          </cell>
          <cell r="AG127">
            <v>8221</v>
          </cell>
          <cell r="AJ127">
            <v>2472</v>
          </cell>
          <cell r="AM127">
            <v>10888</v>
          </cell>
          <cell r="AP127">
            <v>4795</v>
          </cell>
          <cell r="AS127">
            <v>7473</v>
          </cell>
          <cell r="AT127">
            <v>4766</v>
          </cell>
          <cell r="AU127">
            <v>11867</v>
          </cell>
          <cell r="AV127">
            <v>10539</v>
          </cell>
          <cell r="AW127">
            <v>9030</v>
          </cell>
          <cell r="AX127">
            <v>1442</v>
          </cell>
          <cell r="AY127">
            <v>3823</v>
          </cell>
          <cell r="AZ127">
            <v>17951</v>
          </cell>
          <cell r="BA127">
            <v>162948</v>
          </cell>
          <cell r="BB127">
            <v>14999</v>
          </cell>
          <cell r="BC127">
            <v>485</v>
          </cell>
          <cell r="BD127">
            <v>178122</v>
          </cell>
          <cell r="BE127">
            <v>0.8</v>
          </cell>
          <cell r="BF127">
            <v>4.8</v>
          </cell>
          <cell r="BG127">
            <v>1.6</v>
          </cell>
          <cell r="BH127">
            <v>3.9</v>
          </cell>
          <cell r="BI127">
            <v>-2.4</v>
          </cell>
          <cell r="BJ127">
            <v>-3.6</v>
          </cell>
          <cell r="BK127">
            <v>1.9</v>
          </cell>
          <cell r="BL127">
            <v>0</v>
          </cell>
          <cell r="BM127">
            <v>3.1</v>
          </cell>
          <cell r="BN127">
            <v>0.4</v>
          </cell>
          <cell r="BO127">
            <v>1.4</v>
          </cell>
          <cell r="BP127">
            <v>-0.8</v>
          </cell>
          <cell r="BQ127">
            <v>2.5</v>
          </cell>
          <cell r="BR127">
            <v>1.9</v>
          </cell>
          <cell r="BS127">
            <v>1</v>
          </cell>
          <cell r="BT127">
            <v>1.6</v>
          </cell>
          <cell r="BU127">
            <v>1.5</v>
          </cell>
          <cell r="BV127">
            <v>1.4</v>
          </cell>
          <cell r="BW127">
            <v>0.8</v>
          </cell>
          <cell r="BX127">
            <v>1.3</v>
          </cell>
          <cell r="CB127">
            <v>1.8</v>
          </cell>
          <cell r="CC127">
            <v>2.6</v>
          </cell>
          <cell r="CD127">
            <v>1.4</v>
          </cell>
          <cell r="CE127">
            <v>0.9</v>
          </cell>
          <cell r="CF127">
            <v>3</v>
          </cell>
          <cell r="CG127">
            <v>1.7</v>
          </cell>
          <cell r="CH127">
            <v>-0.5</v>
          </cell>
          <cell r="CI127">
            <v>1</v>
          </cell>
          <cell r="CJ127">
            <v>1.5</v>
          </cell>
          <cell r="CM127">
            <v>1.4</v>
          </cell>
          <cell r="CP127">
            <v>-2.6</v>
          </cell>
          <cell r="CS127">
            <v>0</v>
          </cell>
          <cell r="CV127">
            <v>2</v>
          </cell>
          <cell r="CW127">
            <v>2.7</v>
          </cell>
          <cell r="CX127">
            <v>0.4</v>
          </cell>
          <cell r="CY127">
            <v>0</v>
          </cell>
          <cell r="CZ127">
            <v>2.2000000000000002</v>
          </cell>
          <cell r="DA127">
            <v>1.8</v>
          </cell>
          <cell r="DB127">
            <v>1.1000000000000001</v>
          </cell>
          <cell r="DC127">
            <v>0.9</v>
          </cell>
          <cell r="DD127">
            <v>1.1000000000000001</v>
          </cell>
          <cell r="DE127">
            <v>1.5</v>
          </cell>
          <cell r="DF127">
            <v>0.7</v>
          </cell>
          <cell r="DG127">
            <v>4461</v>
          </cell>
          <cell r="DH127">
            <v>867</v>
          </cell>
          <cell r="DI127">
            <v>5239</v>
          </cell>
          <cell r="DJ127">
            <v>1002</v>
          </cell>
          <cell r="DK127">
            <v>2862</v>
          </cell>
          <cell r="DL127">
            <v>765</v>
          </cell>
          <cell r="DM127">
            <v>2084</v>
          </cell>
          <cell r="DN127">
            <v>5833</v>
          </cell>
          <cell r="DO127">
            <v>1569</v>
          </cell>
          <cell r="DP127">
            <v>6847</v>
          </cell>
          <cell r="DQ127">
            <v>4505</v>
          </cell>
          <cell r="DR127">
            <v>4228</v>
          </cell>
          <cell r="DS127">
            <v>2881</v>
          </cell>
          <cell r="DT127">
            <v>3395</v>
          </cell>
          <cell r="DU127">
            <v>4998</v>
          </cell>
          <cell r="DV127">
            <v>21003</v>
          </cell>
          <cell r="DW127">
            <v>3585</v>
          </cell>
          <cell r="DX127">
            <v>207</v>
          </cell>
          <cell r="DY127">
            <v>2785</v>
          </cell>
          <cell r="DZ127">
            <v>6565</v>
          </cell>
          <cell r="ED127">
            <v>11711</v>
          </cell>
          <cell r="EE127">
            <v>7171</v>
          </cell>
          <cell r="EF127">
            <v>6816</v>
          </cell>
          <cell r="EG127">
            <v>4806</v>
          </cell>
          <cell r="EH127">
            <v>2358</v>
          </cell>
          <cell r="EI127">
            <v>604</v>
          </cell>
          <cell r="EJ127">
            <v>1450</v>
          </cell>
          <cell r="EK127">
            <v>3873</v>
          </cell>
          <cell r="EL127">
            <v>8251</v>
          </cell>
          <cell r="EO127">
            <v>2521</v>
          </cell>
          <cell r="ER127">
            <v>10766</v>
          </cell>
          <cell r="EU127">
            <v>4765</v>
          </cell>
          <cell r="EX127">
            <v>7445</v>
          </cell>
          <cell r="EY127">
            <v>4754</v>
          </cell>
          <cell r="EZ127">
            <v>11836</v>
          </cell>
          <cell r="FA127">
            <v>10522</v>
          </cell>
          <cell r="FB127">
            <v>9078</v>
          </cell>
          <cell r="FC127">
            <v>1455</v>
          </cell>
          <cell r="FD127">
            <v>3821</v>
          </cell>
          <cell r="FE127">
            <v>17952</v>
          </cell>
          <cell r="FF127">
            <v>162748</v>
          </cell>
          <cell r="FG127">
            <v>15035</v>
          </cell>
          <cell r="FH127">
            <v>438</v>
          </cell>
          <cell r="FI127">
            <v>177910</v>
          </cell>
          <cell r="FJ127">
            <v>13.3</v>
          </cell>
          <cell r="FK127">
            <v>14.4</v>
          </cell>
          <cell r="FL127">
            <v>13.3</v>
          </cell>
          <cell r="FM127">
            <v>6.2</v>
          </cell>
          <cell r="FN127">
            <v>-1.3</v>
          </cell>
          <cell r="FO127">
            <v>-6.1</v>
          </cell>
          <cell r="FP127">
            <v>1.6</v>
          </cell>
          <cell r="FQ127">
            <v>0.3</v>
          </cell>
          <cell r="FR127">
            <v>-0.5</v>
          </cell>
          <cell r="FS127">
            <v>0.4</v>
          </cell>
          <cell r="FT127">
            <v>0.9</v>
          </cell>
          <cell r="FU127">
            <v>1.6</v>
          </cell>
          <cell r="FV127">
            <v>2.2999999999999998</v>
          </cell>
          <cell r="FW127">
            <v>-0.8</v>
          </cell>
          <cell r="FX127">
            <v>2.1</v>
          </cell>
          <cell r="FY127">
            <v>1.5</v>
          </cell>
          <cell r="FZ127">
            <v>0.9</v>
          </cell>
          <cell r="GA127">
            <v>2.5</v>
          </cell>
          <cell r="GB127">
            <v>0.5</v>
          </cell>
          <cell r="GC127">
            <v>0.9</v>
          </cell>
          <cell r="GG127">
            <v>2.8</v>
          </cell>
          <cell r="GH127">
            <v>3.2</v>
          </cell>
          <cell r="GI127">
            <v>0.3</v>
          </cell>
          <cell r="GJ127">
            <v>3.4</v>
          </cell>
          <cell r="GK127">
            <v>0.2</v>
          </cell>
          <cell r="GL127">
            <v>5.6</v>
          </cell>
          <cell r="GM127">
            <v>2.2000000000000002</v>
          </cell>
          <cell r="GN127">
            <v>3.4</v>
          </cell>
          <cell r="GO127">
            <v>2.7</v>
          </cell>
          <cell r="GR127">
            <v>6.6</v>
          </cell>
          <cell r="GU127">
            <v>-4.8</v>
          </cell>
          <cell r="GX127">
            <v>-1.3</v>
          </cell>
          <cell r="HA127">
            <v>1.2</v>
          </cell>
          <cell r="HB127">
            <v>2.2000000000000002</v>
          </cell>
          <cell r="HC127">
            <v>0.4</v>
          </cell>
          <cell r="HD127">
            <v>-0.4</v>
          </cell>
          <cell r="HE127">
            <v>3.1</v>
          </cell>
          <cell r="HF127">
            <v>2.9</v>
          </cell>
          <cell r="HG127">
            <v>1</v>
          </cell>
          <cell r="HH127">
            <v>1</v>
          </cell>
          <cell r="HI127">
            <v>1.3</v>
          </cell>
          <cell r="HJ127">
            <v>1.6</v>
          </cell>
          <cell r="HK127">
            <v>0.8</v>
          </cell>
          <cell r="HL127">
            <v>3951</v>
          </cell>
          <cell r="HM127">
            <v>876</v>
          </cell>
          <cell r="HN127">
            <v>4786</v>
          </cell>
          <cell r="HO127">
            <v>1067</v>
          </cell>
          <cell r="HP127">
            <v>2945</v>
          </cell>
          <cell r="HQ127">
            <v>787</v>
          </cell>
          <cell r="HR127">
            <v>2159</v>
          </cell>
          <cell r="HS127">
            <v>6066</v>
          </cell>
          <cell r="HT127">
            <v>1530</v>
          </cell>
          <cell r="HU127">
            <v>7086</v>
          </cell>
          <cell r="HV127">
            <v>4499</v>
          </cell>
          <cell r="HW127">
            <v>4290</v>
          </cell>
          <cell r="HX127">
            <v>3027</v>
          </cell>
          <cell r="HY127">
            <v>3552</v>
          </cell>
          <cell r="HZ127">
            <v>5207</v>
          </cell>
          <cell r="IA127">
            <v>21697</v>
          </cell>
          <cell r="IB127">
            <v>3810</v>
          </cell>
          <cell r="IC127">
            <v>245</v>
          </cell>
          <cell r="ID127">
            <v>2655</v>
          </cell>
          <cell r="IE127">
            <v>6816</v>
          </cell>
          <cell r="II127">
            <v>11829</v>
          </cell>
          <cell r="IJ127">
            <v>7249</v>
          </cell>
          <cell r="IK127">
            <v>6693</v>
          </cell>
          <cell r="IL127">
            <v>4717</v>
          </cell>
          <cell r="IM127">
            <v>2361</v>
          </cell>
          <cell r="IN127">
            <v>626</v>
          </cell>
          <cell r="IO127">
            <v>1473</v>
          </cell>
          <cell r="IP127">
            <v>3884</v>
          </cell>
          <cell r="IQ127">
            <v>8315</v>
          </cell>
        </row>
        <row r="128">
          <cell r="B128">
            <v>4545</v>
          </cell>
          <cell r="C128">
            <v>853</v>
          </cell>
          <cell r="D128">
            <v>5302</v>
          </cell>
          <cell r="E128">
            <v>1128</v>
          </cell>
          <cell r="F128">
            <v>2664</v>
          </cell>
          <cell r="G128">
            <v>753</v>
          </cell>
          <cell r="H128">
            <v>2234</v>
          </cell>
          <cell r="I128">
            <v>5998</v>
          </cell>
          <cell r="J128">
            <v>1581</v>
          </cell>
          <cell r="K128">
            <v>7027</v>
          </cell>
          <cell r="L128">
            <v>4604</v>
          </cell>
          <cell r="M128">
            <v>4341</v>
          </cell>
          <cell r="N128">
            <v>3075</v>
          </cell>
          <cell r="O128">
            <v>3494</v>
          </cell>
          <cell r="P128">
            <v>5071</v>
          </cell>
          <cell r="Q128">
            <v>21638</v>
          </cell>
          <cell r="R128">
            <v>3723</v>
          </cell>
          <cell r="S128">
            <v>211</v>
          </cell>
          <cell r="T128">
            <v>2797</v>
          </cell>
          <cell r="U128">
            <v>6742</v>
          </cell>
          <cell r="Y128">
            <v>12018</v>
          </cell>
          <cell r="Z128">
            <v>7367</v>
          </cell>
          <cell r="AA128">
            <v>6992</v>
          </cell>
          <cell r="AB128">
            <v>4777</v>
          </cell>
          <cell r="AC128">
            <v>2440</v>
          </cell>
          <cell r="AD128">
            <v>596</v>
          </cell>
          <cell r="AE128">
            <v>1453</v>
          </cell>
          <cell r="AF128">
            <v>3854</v>
          </cell>
          <cell r="AG128">
            <v>8314</v>
          </cell>
          <cell r="AJ128">
            <v>2486</v>
          </cell>
          <cell r="AM128">
            <v>10716</v>
          </cell>
          <cell r="AP128">
            <v>4794</v>
          </cell>
          <cell r="AS128">
            <v>7598</v>
          </cell>
          <cell r="AT128">
            <v>4866</v>
          </cell>
          <cell r="AU128">
            <v>11864</v>
          </cell>
          <cell r="AV128">
            <v>10570</v>
          </cell>
          <cell r="AW128">
            <v>9235</v>
          </cell>
          <cell r="AX128">
            <v>1455</v>
          </cell>
          <cell r="AY128">
            <v>3887</v>
          </cell>
          <cell r="AZ128">
            <v>18126</v>
          </cell>
          <cell r="BA128">
            <v>165066</v>
          </cell>
          <cell r="BB128">
            <v>15280</v>
          </cell>
          <cell r="BC128">
            <v>307</v>
          </cell>
          <cell r="BD128">
            <v>180335</v>
          </cell>
          <cell r="BE128">
            <v>3.4</v>
          </cell>
          <cell r="BF128">
            <v>2.5</v>
          </cell>
          <cell r="BG128">
            <v>3.2</v>
          </cell>
          <cell r="BH128">
            <v>7.8</v>
          </cell>
          <cell r="BI128">
            <v>-4.7</v>
          </cell>
          <cell r="BJ128">
            <v>-0.5</v>
          </cell>
          <cell r="BK128">
            <v>5.2</v>
          </cell>
          <cell r="BL128">
            <v>1.7</v>
          </cell>
          <cell r="BM128">
            <v>-0.1</v>
          </cell>
          <cell r="BN128">
            <v>1.6</v>
          </cell>
          <cell r="BO128">
            <v>1.2</v>
          </cell>
          <cell r="BP128">
            <v>2.7</v>
          </cell>
          <cell r="BQ128">
            <v>4.0999999999999996</v>
          </cell>
          <cell r="BR128">
            <v>1.9</v>
          </cell>
          <cell r="BS128">
            <v>1.3</v>
          </cell>
          <cell r="BT128">
            <v>2.1</v>
          </cell>
          <cell r="BU128">
            <v>2.8</v>
          </cell>
          <cell r="BV128">
            <v>2</v>
          </cell>
          <cell r="BW128">
            <v>0.1</v>
          </cell>
          <cell r="BX128">
            <v>1.9</v>
          </cell>
          <cell r="CB128">
            <v>3.1</v>
          </cell>
          <cell r="CC128">
            <v>3</v>
          </cell>
          <cell r="CD128">
            <v>1.7</v>
          </cell>
          <cell r="CE128">
            <v>1.4</v>
          </cell>
          <cell r="CF128">
            <v>1.2</v>
          </cell>
          <cell r="CG128">
            <v>0.9</v>
          </cell>
          <cell r="CH128">
            <v>2</v>
          </cell>
          <cell r="CI128">
            <v>0.7</v>
          </cell>
          <cell r="CJ128">
            <v>1.1000000000000001</v>
          </cell>
          <cell r="CM128">
            <v>0.6</v>
          </cell>
          <cell r="CP128">
            <v>-1.6</v>
          </cell>
          <cell r="CS128">
            <v>0</v>
          </cell>
          <cell r="CV128">
            <v>1.7</v>
          </cell>
          <cell r="CW128">
            <v>2.1</v>
          </cell>
          <cell r="CX128">
            <v>0</v>
          </cell>
          <cell r="CY128">
            <v>0.3</v>
          </cell>
          <cell r="CZ128">
            <v>2.2999999999999998</v>
          </cell>
          <cell r="DA128">
            <v>0.9</v>
          </cell>
          <cell r="DB128">
            <v>1.7</v>
          </cell>
          <cell r="DC128">
            <v>1</v>
          </cell>
          <cell r="DD128">
            <v>1.3</v>
          </cell>
          <cell r="DE128">
            <v>1.9</v>
          </cell>
          <cell r="DF128">
            <v>1.2</v>
          </cell>
          <cell r="DG128">
            <v>4741</v>
          </cell>
          <cell r="DH128">
            <v>855</v>
          </cell>
          <cell r="DI128">
            <v>5489</v>
          </cell>
          <cell r="DJ128">
            <v>1226</v>
          </cell>
          <cell r="DK128">
            <v>2610</v>
          </cell>
          <cell r="DL128">
            <v>709</v>
          </cell>
          <cell r="DM128">
            <v>2295</v>
          </cell>
          <cell r="DN128">
            <v>6134</v>
          </cell>
          <cell r="DO128">
            <v>1599</v>
          </cell>
          <cell r="DP128">
            <v>7180</v>
          </cell>
          <cell r="DQ128">
            <v>4674</v>
          </cell>
          <cell r="DR128">
            <v>4309</v>
          </cell>
          <cell r="DS128">
            <v>3171</v>
          </cell>
          <cell r="DT128">
            <v>3525</v>
          </cell>
          <cell r="DU128">
            <v>5178</v>
          </cell>
          <cell r="DV128">
            <v>22014</v>
          </cell>
          <cell r="DW128">
            <v>3725</v>
          </cell>
          <cell r="DX128">
            <v>212</v>
          </cell>
          <cell r="DY128">
            <v>2833</v>
          </cell>
          <cell r="DZ128">
            <v>6769</v>
          </cell>
          <cell r="ED128">
            <v>11920</v>
          </cell>
          <cell r="EE128">
            <v>7361</v>
          </cell>
          <cell r="EF128">
            <v>7034</v>
          </cell>
          <cell r="EG128">
            <v>4637</v>
          </cell>
          <cell r="EH128">
            <v>2538</v>
          </cell>
          <cell r="EI128">
            <v>586</v>
          </cell>
          <cell r="EJ128">
            <v>1416</v>
          </cell>
          <cell r="EK128">
            <v>3864</v>
          </cell>
          <cell r="EL128">
            <v>8375</v>
          </cell>
          <cell r="EO128">
            <v>2526</v>
          </cell>
          <cell r="ER128">
            <v>10694</v>
          </cell>
          <cell r="EU128">
            <v>4791</v>
          </cell>
          <cell r="EX128">
            <v>7603</v>
          </cell>
          <cell r="EY128">
            <v>4871</v>
          </cell>
          <cell r="EZ128">
            <v>11934</v>
          </cell>
          <cell r="FA128">
            <v>10567</v>
          </cell>
          <cell r="FB128">
            <v>9153</v>
          </cell>
          <cell r="FC128">
            <v>1442</v>
          </cell>
          <cell r="FD128">
            <v>3881</v>
          </cell>
          <cell r="FE128">
            <v>18129</v>
          </cell>
          <cell r="FF128">
            <v>165729</v>
          </cell>
          <cell r="FG128">
            <v>15135</v>
          </cell>
          <cell r="FH128">
            <v>93</v>
          </cell>
          <cell r="FI128">
            <v>180650</v>
          </cell>
          <cell r="FJ128">
            <v>6.3</v>
          </cell>
          <cell r="FK128">
            <v>-1.4</v>
          </cell>
          <cell r="FL128">
            <v>4.8</v>
          </cell>
          <cell r="FM128">
            <v>22.4</v>
          </cell>
          <cell r="FN128">
            <v>-8.8000000000000007</v>
          </cell>
          <cell r="FO128">
            <v>-7.3</v>
          </cell>
          <cell r="FP128">
            <v>10.1</v>
          </cell>
          <cell r="FQ128">
            <v>5.2</v>
          </cell>
          <cell r="FR128">
            <v>1.9</v>
          </cell>
          <cell r="FS128">
            <v>4.9000000000000004</v>
          </cell>
          <cell r="FT128">
            <v>3.8</v>
          </cell>
          <cell r="FU128">
            <v>1.9</v>
          </cell>
          <cell r="FV128">
            <v>10</v>
          </cell>
          <cell r="FW128">
            <v>3.8</v>
          </cell>
          <cell r="FX128">
            <v>3.6</v>
          </cell>
          <cell r="FY128">
            <v>4.8</v>
          </cell>
          <cell r="FZ128">
            <v>3.9</v>
          </cell>
          <cell r="GA128">
            <v>2.2000000000000002</v>
          </cell>
          <cell r="GB128">
            <v>1.7</v>
          </cell>
          <cell r="GC128">
            <v>3.1</v>
          </cell>
          <cell r="GG128">
            <v>1.8</v>
          </cell>
          <cell r="GH128">
            <v>2.7</v>
          </cell>
          <cell r="GI128">
            <v>3.2</v>
          </cell>
          <cell r="GJ128">
            <v>-3.5</v>
          </cell>
          <cell r="GK128">
            <v>7.6</v>
          </cell>
          <cell r="GL128">
            <v>-2.9</v>
          </cell>
          <cell r="GM128">
            <v>-2.4</v>
          </cell>
          <cell r="GN128">
            <v>-0.2</v>
          </cell>
          <cell r="GO128">
            <v>1.5</v>
          </cell>
          <cell r="GR128">
            <v>0.2</v>
          </cell>
          <cell r="GU128">
            <v>-0.7</v>
          </cell>
          <cell r="GX128">
            <v>0.6</v>
          </cell>
          <cell r="HA128">
            <v>2.1</v>
          </cell>
          <cell r="HB128">
            <v>2.5</v>
          </cell>
          <cell r="HC128">
            <v>0.8</v>
          </cell>
          <cell r="HD128">
            <v>0.4</v>
          </cell>
          <cell r="HE128">
            <v>0.8</v>
          </cell>
          <cell r="HF128">
            <v>-0.9</v>
          </cell>
          <cell r="HG128">
            <v>1.6</v>
          </cell>
          <cell r="HH128">
            <v>1</v>
          </cell>
          <cell r="HI128">
            <v>1.8</v>
          </cell>
          <cell r="HJ128">
            <v>0.7</v>
          </cell>
          <cell r="HK128">
            <v>1.5</v>
          </cell>
          <cell r="HL128">
            <v>7857</v>
          </cell>
          <cell r="HM128">
            <v>868</v>
          </cell>
          <cell r="HN128">
            <v>8516</v>
          </cell>
          <cell r="HO128">
            <v>1229</v>
          </cell>
          <cell r="HP128">
            <v>2590</v>
          </cell>
          <cell r="HQ128">
            <v>705</v>
          </cell>
          <cell r="HR128">
            <v>2323</v>
          </cell>
          <cell r="HS128">
            <v>6146</v>
          </cell>
          <cell r="HT128">
            <v>1814</v>
          </cell>
          <cell r="HU128">
            <v>7273</v>
          </cell>
          <cell r="HV128">
            <v>4988</v>
          </cell>
          <cell r="HW128">
            <v>4395</v>
          </cell>
          <cell r="HX128">
            <v>3263</v>
          </cell>
          <cell r="HY128">
            <v>3626</v>
          </cell>
          <cell r="HZ128">
            <v>5437</v>
          </cell>
          <cell r="IA128">
            <v>22939</v>
          </cell>
          <cell r="IB128">
            <v>3603</v>
          </cell>
          <cell r="IC128">
            <v>196</v>
          </cell>
          <cell r="ID128">
            <v>2964</v>
          </cell>
          <cell r="IE128">
            <v>6678</v>
          </cell>
          <cell r="II128">
            <v>12270</v>
          </cell>
          <cell r="IJ128">
            <v>7626</v>
          </cell>
          <cell r="IK128">
            <v>7812</v>
          </cell>
          <cell r="IL128">
            <v>5015</v>
          </cell>
          <cell r="IM128">
            <v>2599</v>
          </cell>
          <cell r="IN128">
            <v>612</v>
          </cell>
          <cell r="IO128">
            <v>1450</v>
          </cell>
          <cell r="IP128">
            <v>3932</v>
          </cell>
          <cell r="IQ128">
            <v>8567</v>
          </cell>
        </row>
        <row r="129">
          <cell r="B129">
            <v>4688</v>
          </cell>
          <cell r="C129">
            <v>851</v>
          </cell>
          <cell r="D129">
            <v>5434</v>
          </cell>
          <cell r="E129">
            <v>1173</v>
          </cell>
          <cell r="F129">
            <v>2579</v>
          </cell>
          <cell r="G129">
            <v>778</v>
          </cell>
          <cell r="H129">
            <v>2367</v>
          </cell>
          <cell r="I129">
            <v>6110</v>
          </cell>
          <cell r="J129">
            <v>1493</v>
          </cell>
          <cell r="K129">
            <v>7117</v>
          </cell>
          <cell r="L129">
            <v>4607</v>
          </cell>
          <cell r="M129">
            <v>4519</v>
          </cell>
          <cell r="N129">
            <v>3139</v>
          </cell>
          <cell r="O129">
            <v>3569</v>
          </cell>
          <cell r="P129">
            <v>5150</v>
          </cell>
          <cell r="Q129">
            <v>21915</v>
          </cell>
          <cell r="R129">
            <v>3815</v>
          </cell>
          <cell r="S129">
            <v>216</v>
          </cell>
          <cell r="T129">
            <v>2802</v>
          </cell>
          <cell r="U129">
            <v>6863</v>
          </cell>
          <cell r="Y129">
            <v>12499</v>
          </cell>
          <cell r="Z129">
            <v>7583</v>
          </cell>
          <cell r="AA129">
            <v>7083</v>
          </cell>
          <cell r="AB129">
            <v>4860</v>
          </cell>
          <cell r="AC129">
            <v>2451</v>
          </cell>
          <cell r="AD129">
            <v>581</v>
          </cell>
          <cell r="AE129">
            <v>1493</v>
          </cell>
          <cell r="AF129">
            <v>3856</v>
          </cell>
          <cell r="AG129">
            <v>8349</v>
          </cell>
          <cell r="AJ129">
            <v>2524</v>
          </cell>
          <cell r="AM129">
            <v>10781</v>
          </cell>
          <cell r="AP129">
            <v>4855</v>
          </cell>
          <cell r="AS129">
            <v>7748</v>
          </cell>
          <cell r="AT129">
            <v>4951</v>
          </cell>
          <cell r="AU129">
            <v>11806</v>
          </cell>
          <cell r="AV129">
            <v>10685</v>
          </cell>
          <cell r="AW129">
            <v>9342</v>
          </cell>
          <cell r="AX129">
            <v>1455</v>
          </cell>
          <cell r="AY129">
            <v>3971</v>
          </cell>
          <cell r="AZ129">
            <v>18309</v>
          </cell>
          <cell r="BA129">
            <v>167332</v>
          </cell>
          <cell r="BB129">
            <v>15674</v>
          </cell>
          <cell r="BC129">
            <v>578</v>
          </cell>
          <cell r="BD129">
            <v>183248</v>
          </cell>
          <cell r="BE129">
            <v>3.1</v>
          </cell>
          <cell r="BF129">
            <v>-0.2</v>
          </cell>
          <cell r="BG129">
            <v>2.5</v>
          </cell>
          <cell r="BH129">
            <v>4</v>
          </cell>
          <cell r="BI129">
            <v>-3.2</v>
          </cell>
          <cell r="BJ129">
            <v>3.4</v>
          </cell>
          <cell r="BK129">
            <v>5.9</v>
          </cell>
          <cell r="BL129">
            <v>1.9</v>
          </cell>
          <cell r="BM129">
            <v>-5.5</v>
          </cell>
          <cell r="BN129">
            <v>1.3</v>
          </cell>
          <cell r="BO129">
            <v>0.1</v>
          </cell>
          <cell r="BP129">
            <v>4.0999999999999996</v>
          </cell>
          <cell r="BQ129">
            <v>2.1</v>
          </cell>
          <cell r="BR129">
            <v>2.1</v>
          </cell>
          <cell r="BS129">
            <v>1.5</v>
          </cell>
          <cell r="BT129">
            <v>1.3</v>
          </cell>
          <cell r="BU129">
            <v>2.5</v>
          </cell>
          <cell r="BV129">
            <v>2.5</v>
          </cell>
          <cell r="BW129">
            <v>0.2</v>
          </cell>
          <cell r="BX129">
            <v>1.8</v>
          </cell>
          <cell r="CB129">
            <v>4</v>
          </cell>
          <cell r="CC129">
            <v>2.9</v>
          </cell>
          <cell r="CD129">
            <v>1.3</v>
          </cell>
          <cell r="CE129">
            <v>1.7</v>
          </cell>
          <cell r="CF129">
            <v>0.4</v>
          </cell>
          <cell r="CG129">
            <v>-2.5</v>
          </cell>
          <cell r="CH129">
            <v>2.8</v>
          </cell>
          <cell r="CI129">
            <v>0</v>
          </cell>
          <cell r="CJ129">
            <v>0.4</v>
          </cell>
          <cell r="CM129">
            <v>1.5</v>
          </cell>
          <cell r="CP129">
            <v>0.6</v>
          </cell>
          <cell r="CS129">
            <v>1.3</v>
          </cell>
          <cell r="CV129">
            <v>2</v>
          </cell>
          <cell r="CW129">
            <v>1.7</v>
          </cell>
          <cell r="CX129">
            <v>-0.5</v>
          </cell>
          <cell r="CY129">
            <v>1.1000000000000001</v>
          </cell>
          <cell r="CZ129">
            <v>1.2</v>
          </cell>
          <cell r="DA129">
            <v>0</v>
          </cell>
          <cell r="DB129">
            <v>2.2000000000000002</v>
          </cell>
          <cell r="DC129">
            <v>1</v>
          </cell>
          <cell r="DD129">
            <v>1.4</v>
          </cell>
          <cell r="DE129">
            <v>2.6</v>
          </cell>
          <cell r="DF129">
            <v>1.6</v>
          </cell>
          <cell r="DG129">
            <v>4632</v>
          </cell>
          <cell r="DH129">
            <v>847</v>
          </cell>
          <cell r="DI129">
            <v>5375</v>
          </cell>
          <cell r="DJ129">
            <v>1160</v>
          </cell>
          <cell r="DK129">
            <v>2558</v>
          </cell>
          <cell r="DL129">
            <v>796</v>
          </cell>
          <cell r="DM129">
            <v>2312</v>
          </cell>
          <cell r="DN129">
            <v>6045</v>
          </cell>
          <cell r="DO129">
            <v>1511</v>
          </cell>
          <cell r="DP129">
            <v>7052</v>
          </cell>
          <cell r="DQ129">
            <v>4628</v>
          </cell>
          <cell r="DR129">
            <v>4497</v>
          </cell>
          <cell r="DS129">
            <v>3164</v>
          </cell>
          <cell r="DT129">
            <v>3471</v>
          </cell>
          <cell r="DU129">
            <v>4985</v>
          </cell>
          <cell r="DV129">
            <v>21658</v>
          </cell>
          <cell r="DW129">
            <v>3882</v>
          </cell>
          <cell r="DX129">
            <v>217</v>
          </cell>
          <cell r="DY129">
            <v>2774</v>
          </cell>
          <cell r="DZ129">
            <v>6925</v>
          </cell>
          <cell r="ED129">
            <v>12487</v>
          </cell>
          <cell r="EE129">
            <v>7551</v>
          </cell>
          <cell r="EF129">
            <v>7104</v>
          </cell>
          <cell r="EG129">
            <v>4945</v>
          </cell>
          <cell r="EH129">
            <v>2400</v>
          </cell>
          <cell r="EI129">
            <v>575</v>
          </cell>
          <cell r="EJ129">
            <v>1507</v>
          </cell>
          <cell r="EK129">
            <v>3822</v>
          </cell>
          <cell r="EL129">
            <v>8291</v>
          </cell>
          <cell r="EO129">
            <v>2430</v>
          </cell>
          <cell r="ER129">
            <v>10801</v>
          </cell>
          <cell r="EU129">
            <v>4859</v>
          </cell>
          <cell r="EX129">
            <v>7759</v>
          </cell>
          <cell r="EY129">
            <v>4961</v>
          </cell>
          <cell r="EZ129">
            <v>11773</v>
          </cell>
          <cell r="FA129">
            <v>10679</v>
          </cell>
          <cell r="FB129">
            <v>9459</v>
          </cell>
          <cell r="FC129">
            <v>1469</v>
          </cell>
          <cell r="FD129">
            <v>3973</v>
          </cell>
          <cell r="FE129">
            <v>18305</v>
          </cell>
          <cell r="FF129">
            <v>166696</v>
          </cell>
          <cell r="FG129">
            <v>15675</v>
          </cell>
          <cell r="FH129">
            <v>570</v>
          </cell>
          <cell r="FI129">
            <v>182606</v>
          </cell>
          <cell r="FJ129">
            <v>-2.2999999999999998</v>
          </cell>
          <cell r="FK129">
            <v>-0.9</v>
          </cell>
          <cell r="FL129">
            <v>-2.1</v>
          </cell>
          <cell r="FM129">
            <v>-5.4</v>
          </cell>
          <cell r="FN129">
            <v>-2</v>
          </cell>
          <cell r="FO129">
            <v>12.2</v>
          </cell>
          <cell r="FP129">
            <v>0.7</v>
          </cell>
          <cell r="FQ129">
            <v>-1.5</v>
          </cell>
          <cell r="FR129">
            <v>-5.5</v>
          </cell>
          <cell r="FS129">
            <v>-1.8</v>
          </cell>
          <cell r="FT129">
            <v>-1</v>
          </cell>
          <cell r="FU129">
            <v>4.4000000000000004</v>
          </cell>
          <cell r="FV129">
            <v>-0.2</v>
          </cell>
          <cell r="FW129">
            <v>-1.5</v>
          </cell>
          <cell r="FX129">
            <v>-3.7</v>
          </cell>
          <cell r="FY129">
            <v>-1.6</v>
          </cell>
          <cell r="FZ129">
            <v>4.2</v>
          </cell>
          <cell r="GA129">
            <v>2.7</v>
          </cell>
          <cell r="GB129">
            <v>-2.1</v>
          </cell>
          <cell r="GC129">
            <v>2.2999999999999998</v>
          </cell>
          <cell r="GG129">
            <v>4.8</v>
          </cell>
          <cell r="GH129">
            <v>2.6</v>
          </cell>
          <cell r="GI129">
            <v>1</v>
          </cell>
          <cell r="GJ129">
            <v>6.6</v>
          </cell>
          <cell r="GK129">
            <v>-5.4</v>
          </cell>
          <cell r="GL129">
            <v>-1.9</v>
          </cell>
          <cell r="GM129">
            <v>6.4</v>
          </cell>
          <cell r="GN129">
            <v>-1.1000000000000001</v>
          </cell>
          <cell r="GO129">
            <v>-1</v>
          </cell>
          <cell r="GR129">
            <v>-3.8</v>
          </cell>
          <cell r="GU129">
            <v>1</v>
          </cell>
          <cell r="GX129">
            <v>1.4</v>
          </cell>
          <cell r="HA129">
            <v>2.1</v>
          </cell>
          <cell r="HB129">
            <v>1.8</v>
          </cell>
          <cell r="HC129">
            <v>-1.4</v>
          </cell>
          <cell r="HD129">
            <v>1.1000000000000001</v>
          </cell>
          <cell r="HE129">
            <v>3.3</v>
          </cell>
          <cell r="HF129">
            <v>1.9</v>
          </cell>
          <cell r="HG129">
            <v>2.4</v>
          </cell>
          <cell r="HH129">
            <v>1</v>
          </cell>
          <cell r="HI129">
            <v>0.6</v>
          </cell>
          <cell r="HJ129">
            <v>3.6</v>
          </cell>
          <cell r="HK129">
            <v>1.1000000000000001</v>
          </cell>
          <cell r="HL129">
            <v>3461</v>
          </cell>
          <cell r="HM129">
            <v>834</v>
          </cell>
          <cell r="HN129">
            <v>4223</v>
          </cell>
          <cell r="HO129">
            <v>1122</v>
          </cell>
          <cell r="HP129">
            <v>2554</v>
          </cell>
          <cell r="HQ129">
            <v>783</v>
          </cell>
          <cell r="HR129">
            <v>2221</v>
          </cell>
          <cell r="HS129">
            <v>5894</v>
          </cell>
          <cell r="HT129">
            <v>1291</v>
          </cell>
          <cell r="HU129">
            <v>6807</v>
          </cell>
          <cell r="HV129">
            <v>4491</v>
          </cell>
          <cell r="HW129">
            <v>4312</v>
          </cell>
          <cell r="HX129">
            <v>2935</v>
          </cell>
          <cell r="HY129">
            <v>3151</v>
          </cell>
          <cell r="HZ129">
            <v>4617</v>
          </cell>
          <cell r="IA129">
            <v>20247</v>
          </cell>
          <cell r="IB129">
            <v>3763</v>
          </cell>
          <cell r="IC129">
            <v>184</v>
          </cell>
          <cell r="ID129">
            <v>2919</v>
          </cell>
          <cell r="IE129">
            <v>6828</v>
          </cell>
          <cell r="II129">
            <v>11551</v>
          </cell>
          <cell r="IJ129">
            <v>7196</v>
          </cell>
          <cell r="IK129">
            <v>6648</v>
          </cell>
          <cell r="IL129">
            <v>4910</v>
          </cell>
          <cell r="IM129">
            <v>2342</v>
          </cell>
          <cell r="IN129">
            <v>563</v>
          </cell>
          <cell r="IO129">
            <v>1462</v>
          </cell>
          <cell r="IP129">
            <v>3760</v>
          </cell>
          <cell r="IQ129">
            <v>8114</v>
          </cell>
        </row>
        <row r="130">
          <cell r="B130">
            <v>4800</v>
          </cell>
          <cell r="C130">
            <v>844</v>
          </cell>
          <cell r="D130">
            <v>5543</v>
          </cell>
          <cell r="E130">
            <v>1164</v>
          </cell>
          <cell r="F130">
            <v>2626</v>
          </cell>
          <cell r="G130">
            <v>826</v>
          </cell>
          <cell r="H130">
            <v>2453</v>
          </cell>
          <cell r="I130">
            <v>6209</v>
          </cell>
          <cell r="J130">
            <v>1357</v>
          </cell>
          <cell r="K130">
            <v>7176</v>
          </cell>
          <cell r="L130">
            <v>4572</v>
          </cell>
          <cell r="M130">
            <v>4546</v>
          </cell>
          <cell r="N130">
            <v>3114</v>
          </cell>
          <cell r="O130">
            <v>3611</v>
          </cell>
          <cell r="P130">
            <v>5214</v>
          </cell>
          <cell r="Q130">
            <v>21829</v>
          </cell>
          <cell r="R130">
            <v>3859</v>
          </cell>
          <cell r="S130">
            <v>222</v>
          </cell>
          <cell r="T130">
            <v>2832</v>
          </cell>
          <cell r="U130">
            <v>6942</v>
          </cell>
          <cell r="Y130">
            <v>12898</v>
          </cell>
          <cell r="Z130">
            <v>7720</v>
          </cell>
          <cell r="AA130">
            <v>7126</v>
          </cell>
          <cell r="AB130">
            <v>4930</v>
          </cell>
          <cell r="AC130">
            <v>2474</v>
          </cell>
          <cell r="AD130">
            <v>531</v>
          </cell>
          <cell r="AE130">
            <v>1520</v>
          </cell>
          <cell r="AF130">
            <v>3845</v>
          </cell>
          <cell r="AG130">
            <v>8332</v>
          </cell>
          <cell r="AJ130">
            <v>2608</v>
          </cell>
          <cell r="AM130">
            <v>11069</v>
          </cell>
          <cell r="AP130">
            <v>4985</v>
          </cell>
          <cell r="AS130">
            <v>7931</v>
          </cell>
          <cell r="AT130">
            <v>5023</v>
          </cell>
          <cell r="AU130">
            <v>11688</v>
          </cell>
          <cell r="AV130">
            <v>10893</v>
          </cell>
          <cell r="AW130">
            <v>9348</v>
          </cell>
          <cell r="AX130">
            <v>1453</v>
          </cell>
          <cell r="AY130">
            <v>4061</v>
          </cell>
          <cell r="AZ130">
            <v>18495</v>
          </cell>
          <cell r="BA130">
            <v>169352</v>
          </cell>
          <cell r="BB130">
            <v>15992</v>
          </cell>
          <cell r="BC130">
            <v>786</v>
          </cell>
          <cell r="BD130">
            <v>185782</v>
          </cell>
          <cell r="BE130">
            <v>2.4</v>
          </cell>
          <cell r="BF130">
            <v>-0.8</v>
          </cell>
          <cell r="BG130">
            <v>2</v>
          </cell>
          <cell r="BH130">
            <v>-0.8</v>
          </cell>
          <cell r="BI130">
            <v>1.8</v>
          </cell>
          <cell r="BJ130">
            <v>6.1</v>
          </cell>
          <cell r="BK130">
            <v>3.7</v>
          </cell>
          <cell r="BL130">
            <v>1.6</v>
          </cell>
          <cell r="BM130">
            <v>-9.1999999999999993</v>
          </cell>
          <cell r="BN130">
            <v>0.8</v>
          </cell>
          <cell r="BO130">
            <v>-0.8</v>
          </cell>
          <cell r="BP130">
            <v>0.6</v>
          </cell>
          <cell r="BQ130">
            <v>-0.8</v>
          </cell>
          <cell r="BR130">
            <v>1.2</v>
          </cell>
          <cell r="BS130">
            <v>1.2</v>
          </cell>
          <cell r="BT130">
            <v>-0.4</v>
          </cell>
          <cell r="BU130">
            <v>1.1000000000000001</v>
          </cell>
          <cell r="BV130">
            <v>2.4</v>
          </cell>
          <cell r="BW130">
            <v>1.1000000000000001</v>
          </cell>
          <cell r="BX130">
            <v>1.2</v>
          </cell>
          <cell r="CB130">
            <v>3.2</v>
          </cell>
          <cell r="CC130">
            <v>1.8</v>
          </cell>
          <cell r="CD130">
            <v>0.6</v>
          </cell>
          <cell r="CE130">
            <v>1.5</v>
          </cell>
          <cell r="CF130">
            <v>0.9</v>
          </cell>
          <cell r="CG130">
            <v>-8.6999999999999993</v>
          </cell>
          <cell r="CH130">
            <v>1.8</v>
          </cell>
          <cell r="CI130">
            <v>-0.3</v>
          </cell>
          <cell r="CJ130">
            <v>-0.2</v>
          </cell>
          <cell r="CM130">
            <v>3.3</v>
          </cell>
          <cell r="CP130">
            <v>2.7</v>
          </cell>
          <cell r="CS130">
            <v>2.7</v>
          </cell>
          <cell r="CV130">
            <v>2.4</v>
          </cell>
          <cell r="CW130">
            <v>1.5</v>
          </cell>
          <cell r="CX130">
            <v>-1</v>
          </cell>
          <cell r="CY130">
            <v>1.9</v>
          </cell>
          <cell r="CZ130">
            <v>0.1</v>
          </cell>
          <cell r="DA130">
            <v>-0.1</v>
          </cell>
          <cell r="DB130">
            <v>2.2999999999999998</v>
          </cell>
          <cell r="DC130">
            <v>1</v>
          </cell>
          <cell r="DD130">
            <v>1.2</v>
          </cell>
          <cell r="DE130">
            <v>2</v>
          </cell>
          <cell r="DF130">
            <v>1.4</v>
          </cell>
          <cell r="DG130">
            <v>4602</v>
          </cell>
          <cell r="DH130">
            <v>829</v>
          </cell>
          <cell r="DI130">
            <v>5329</v>
          </cell>
          <cell r="DJ130">
            <v>1094</v>
          </cell>
          <cell r="DK130">
            <v>2632</v>
          </cell>
          <cell r="DL130">
            <v>841</v>
          </cell>
          <cell r="DM130">
            <v>2502</v>
          </cell>
          <cell r="DN130">
            <v>6168</v>
          </cell>
          <cell r="DO130">
            <v>1359</v>
          </cell>
          <cell r="DP130">
            <v>7131</v>
          </cell>
          <cell r="DQ130">
            <v>4496</v>
          </cell>
          <cell r="DR130">
            <v>4700</v>
          </cell>
          <cell r="DS130">
            <v>3066</v>
          </cell>
          <cell r="DT130">
            <v>3751</v>
          </cell>
          <cell r="DU130">
            <v>5326</v>
          </cell>
          <cell r="DV130">
            <v>22068</v>
          </cell>
          <cell r="DW130">
            <v>3804</v>
          </cell>
          <cell r="DX130">
            <v>220</v>
          </cell>
          <cell r="DY130">
            <v>2816</v>
          </cell>
          <cell r="DZ130">
            <v>6864</v>
          </cell>
          <cell r="ED130">
            <v>12941</v>
          </cell>
          <cell r="EE130">
            <v>7770</v>
          </cell>
          <cell r="EF130">
            <v>7110</v>
          </cell>
          <cell r="EG130">
            <v>4929</v>
          </cell>
          <cell r="EH130">
            <v>2429</v>
          </cell>
          <cell r="EI130">
            <v>574</v>
          </cell>
          <cell r="EJ130">
            <v>1544</v>
          </cell>
          <cell r="EK130">
            <v>3869</v>
          </cell>
          <cell r="EL130">
            <v>8350</v>
          </cell>
          <cell r="EO130">
            <v>2637</v>
          </cell>
          <cell r="ER130">
            <v>11001</v>
          </cell>
          <cell r="EU130">
            <v>4964</v>
          </cell>
          <cell r="EX130">
            <v>7905</v>
          </cell>
          <cell r="EY130">
            <v>5016</v>
          </cell>
          <cell r="EZ130">
            <v>11697</v>
          </cell>
          <cell r="FA130">
            <v>10855</v>
          </cell>
          <cell r="FB130">
            <v>9349</v>
          </cell>
          <cell r="FC130">
            <v>1440</v>
          </cell>
          <cell r="FD130">
            <v>4057</v>
          </cell>
          <cell r="FE130">
            <v>18495</v>
          </cell>
          <cell r="FF130">
            <v>169494</v>
          </cell>
          <cell r="FG130">
            <v>16147</v>
          </cell>
          <cell r="FH130">
            <v>1082</v>
          </cell>
          <cell r="FI130">
            <v>186362</v>
          </cell>
          <cell r="FJ130">
            <v>-0.7</v>
          </cell>
          <cell r="FK130">
            <v>-2.1</v>
          </cell>
          <cell r="FL130">
            <v>-0.9</v>
          </cell>
          <cell r="FM130">
            <v>-5.7</v>
          </cell>
          <cell r="FN130">
            <v>2.9</v>
          </cell>
          <cell r="FO130">
            <v>5.6</v>
          </cell>
          <cell r="FP130">
            <v>8.1999999999999993</v>
          </cell>
          <cell r="FQ130">
            <v>2</v>
          </cell>
          <cell r="FR130">
            <v>-10</v>
          </cell>
          <cell r="FS130">
            <v>1.1000000000000001</v>
          </cell>
          <cell r="FT130">
            <v>-2.8</v>
          </cell>
          <cell r="FU130">
            <v>4.5</v>
          </cell>
          <cell r="FV130">
            <v>-3.1</v>
          </cell>
          <cell r="FW130">
            <v>8.1</v>
          </cell>
          <cell r="FX130">
            <v>6.9</v>
          </cell>
          <cell r="FY130">
            <v>1.9</v>
          </cell>
          <cell r="FZ130">
            <v>-2</v>
          </cell>
          <cell r="GA130">
            <v>1.3</v>
          </cell>
          <cell r="GB130">
            <v>1.5</v>
          </cell>
          <cell r="GC130">
            <v>-0.9</v>
          </cell>
          <cell r="GG130">
            <v>3.6</v>
          </cell>
          <cell r="GH130">
            <v>2.9</v>
          </cell>
          <cell r="GI130">
            <v>0.1</v>
          </cell>
          <cell r="GJ130">
            <v>-0.3</v>
          </cell>
          <cell r="GK130">
            <v>1.2</v>
          </cell>
          <cell r="GL130">
            <v>-0.3</v>
          </cell>
          <cell r="GM130">
            <v>2.5</v>
          </cell>
          <cell r="GN130">
            <v>1.2</v>
          </cell>
          <cell r="GO130">
            <v>0.7</v>
          </cell>
          <cell r="GR130">
            <v>8.5</v>
          </cell>
          <cell r="GU130">
            <v>1.8</v>
          </cell>
          <cell r="GX130">
            <v>2.2000000000000002</v>
          </cell>
          <cell r="HA130">
            <v>1.9</v>
          </cell>
          <cell r="HB130">
            <v>1.1000000000000001</v>
          </cell>
          <cell r="HC130">
            <v>-0.6</v>
          </cell>
          <cell r="HD130">
            <v>1.7</v>
          </cell>
          <cell r="HE130">
            <v>-1.2</v>
          </cell>
          <cell r="HF130">
            <v>-2</v>
          </cell>
          <cell r="HG130">
            <v>2.1</v>
          </cell>
          <cell r="HH130">
            <v>1</v>
          </cell>
          <cell r="HI130">
            <v>1.7</v>
          </cell>
          <cell r="HJ130">
            <v>3</v>
          </cell>
          <cell r="HK130">
            <v>2.1</v>
          </cell>
          <cell r="HL130">
            <v>3167</v>
          </cell>
          <cell r="HM130">
            <v>819</v>
          </cell>
          <cell r="HN130">
            <v>3908</v>
          </cell>
          <cell r="HO130">
            <v>1065</v>
          </cell>
          <cell r="HP130">
            <v>2575</v>
          </cell>
          <cell r="HQ130">
            <v>836</v>
          </cell>
          <cell r="HR130">
            <v>2490</v>
          </cell>
          <cell r="HS130">
            <v>6074</v>
          </cell>
          <cell r="HT130">
            <v>1403</v>
          </cell>
          <cell r="HU130">
            <v>7044</v>
          </cell>
          <cell r="HV130">
            <v>4325</v>
          </cell>
          <cell r="HW130">
            <v>4738</v>
          </cell>
          <cell r="HX130">
            <v>3057</v>
          </cell>
          <cell r="HY130">
            <v>3813</v>
          </cell>
          <cell r="HZ130">
            <v>5226</v>
          </cell>
          <cell r="IA130">
            <v>21860</v>
          </cell>
          <cell r="IB130">
            <v>3819</v>
          </cell>
          <cell r="IC130">
            <v>230</v>
          </cell>
          <cell r="ID130">
            <v>2669</v>
          </cell>
          <cell r="IE130">
            <v>6801</v>
          </cell>
          <cell r="II130">
            <v>13410</v>
          </cell>
          <cell r="IJ130">
            <v>7783</v>
          </cell>
          <cell r="IK130">
            <v>6911</v>
          </cell>
          <cell r="IL130">
            <v>4676</v>
          </cell>
          <cell r="IM130">
            <v>2423</v>
          </cell>
          <cell r="IN130">
            <v>538</v>
          </cell>
          <cell r="IO130">
            <v>1532</v>
          </cell>
          <cell r="IP130">
            <v>3852</v>
          </cell>
          <cell r="IQ130">
            <v>8272</v>
          </cell>
        </row>
        <row r="131">
          <cell r="B131">
            <v>4975</v>
          </cell>
          <cell r="C131">
            <v>849</v>
          </cell>
          <cell r="D131">
            <v>5729</v>
          </cell>
          <cell r="E131">
            <v>1135</v>
          </cell>
          <cell r="F131">
            <v>2810</v>
          </cell>
          <cell r="G131">
            <v>863</v>
          </cell>
          <cell r="H131">
            <v>2504</v>
          </cell>
          <cell r="I131">
            <v>6349</v>
          </cell>
          <cell r="J131">
            <v>1299</v>
          </cell>
          <cell r="K131">
            <v>7311</v>
          </cell>
          <cell r="L131">
            <v>4572</v>
          </cell>
          <cell r="M131">
            <v>4444</v>
          </cell>
          <cell r="N131">
            <v>3095</v>
          </cell>
          <cell r="O131">
            <v>3594</v>
          </cell>
          <cell r="P131">
            <v>5239</v>
          </cell>
          <cell r="Q131">
            <v>21604</v>
          </cell>
          <cell r="R131">
            <v>3875</v>
          </cell>
          <cell r="S131">
            <v>227</v>
          </cell>
          <cell r="T131">
            <v>2891</v>
          </cell>
          <cell r="U131">
            <v>7007</v>
          </cell>
          <cell r="Y131">
            <v>13031</v>
          </cell>
          <cell r="Z131">
            <v>7756</v>
          </cell>
          <cell r="AA131">
            <v>7162</v>
          </cell>
          <cell r="AB131">
            <v>4983</v>
          </cell>
          <cell r="AC131">
            <v>2520</v>
          </cell>
          <cell r="AD131">
            <v>481</v>
          </cell>
          <cell r="AE131">
            <v>1537</v>
          </cell>
          <cell r="AF131">
            <v>3860</v>
          </cell>
          <cell r="AG131">
            <v>8357</v>
          </cell>
          <cell r="AJ131">
            <v>2721</v>
          </cell>
          <cell r="AM131">
            <v>11421</v>
          </cell>
          <cell r="AP131">
            <v>5148</v>
          </cell>
          <cell r="AS131">
            <v>8122</v>
          </cell>
          <cell r="AT131">
            <v>5087</v>
          </cell>
          <cell r="AU131">
            <v>11583</v>
          </cell>
          <cell r="AV131">
            <v>11135</v>
          </cell>
          <cell r="AW131">
            <v>9341</v>
          </cell>
          <cell r="AX131">
            <v>1459</v>
          </cell>
          <cell r="AY131">
            <v>4138</v>
          </cell>
          <cell r="AZ131">
            <v>18679</v>
          </cell>
          <cell r="BA131">
            <v>171187</v>
          </cell>
          <cell r="BB131">
            <v>16085</v>
          </cell>
          <cell r="BC131">
            <v>478</v>
          </cell>
          <cell r="BD131">
            <v>187411</v>
          </cell>
          <cell r="BE131">
            <v>3.6</v>
          </cell>
          <cell r="BF131">
            <v>0.6</v>
          </cell>
          <cell r="BG131">
            <v>3.4</v>
          </cell>
          <cell r="BH131">
            <v>-2.5</v>
          </cell>
          <cell r="BI131">
            <v>7</v>
          </cell>
          <cell r="BJ131">
            <v>4.5</v>
          </cell>
          <cell r="BK131">
            <v>2.1</v>
          </cell>
          <cell r="BL131">
            <v>2.2999999999999998</v>
          </cell>
          <cell r="BM131">
            <v>-4.2</v>
          </cell>
          <cell r="BN131">
            <v>1.9</v>
          </cell>
          <cell r="BO131">
            <v>0</v>
          </cell>
          <cell r="BP131">
            <v>-2.2999999999999998</v>
          </cell>
          <cell r="BQ131">
            <v>-0.6</v>
          </cell>
          <cell r="BR131">
            <v>-0.5</v>
          </cell>
          <cell r="BS131">
            <v>0.5</v>
          </cell>
          <cell r="BT131">
            <v>-1</v>
          </cell>
          <cell r="BU131">
            <v>0.4</v>
          </cell>
          <cell r="BV131">
            <v>2.2999999999999998</v>
          </cell>
          <cell r="BW131">
            <v>2.1</v>
          </cell>
          <cell r="BX131">
            <v>0.9</v>
          </cell>
          <cell r="CB131">
            <v>1</v>
          </cell>
          <cell r="CC131">
            <v>0.5</v>
          </cell>
          <cell r="CD131">
            <v>0.5</v>
          </cell>
          <cell r="CE131">
            <v>1.1000000000000001</v>
          </cell>
          <cell r="CF131">
            <v>1.9</v>
          </cell>
          <cell r="CG131">
            <v>-9.4</v>
          </cell>
          <cell r="CH131">
            <v>1.1000000000000001</v>
          </cell>
          <cell r="CI131">
            <v>0.4</v>
          </cell>
          <cell r="CJ131">
            <v>0.3</v>
          </cell>
          <cell r="CM131">
            <v>4.3</v>
          </cell>
          <cell r="CP131">
            <v>3.2</v>
          </cell>
          <cell r="CS131">
            <v>3.3</v>
          </cell>
          <cell r="CV131">
            <v>2.4</v>
          </cell>
          <cell r="CW131">
            <v>1.3</v>
          </cell>
          <cell r="CX131">
            <v>-0.9</v>
          </cell>
          <cell r="CY131">
            <v>2.2000000000000002</v>
          </cell>
          <cell r="CZ131">
            <v>-0.1</v>
          </cell>
          <cell r="DA131">
            <v>0.4</v>
          </cell>
          <cell r="DB131">
            <v>1.9</v>
          </cell>
          <cell r="DC131">
            <v>1</v>
          </cell>
          <cell r="DD131">
            <v>1.1000000000000001</v>
          </cell>
          <cell r="DE131">
            <v>0.6</v>
          </cell>
          <cell r="DF131">
            <v>0.9</v>
          </cell>
          <cell r="DG131">
            <v>5154</v>
          </cell>
          <cell r="DH131">
            <v>863</v>
          </cell>
          <cell r="DI131">
            <v>5920</v>
          </cell>
          <cell r="DJ131">
            <v>1231</v>
          </cell>
          <cell r="DK131">
            <v>2791</v>
          </cell>
          <cell r="DL131">
            <v>849</v>
          </cell>
          <cell r="DM131">
            <v>2527</v>
          </cell>
          <cell r="DN131">
            <v>6468</v>
          </cell>
          <cell r="DO131">
            <v>1265</v>
          </cell>
          <cell r="DP131">
            <v>7428</v>
          </cell>
          <cell r="DQ131">
            <v>4608</v>
          </cell>
          <cell r="DR131">
            <v>4403</v>
          </cell>
          <cell r="DS131">
            <v>3091</v>
          </cell>
          <cell r="DT131">
            <v>3536</v>
          </cell>
          <cell r="DU131">
            <v>5237</v>
          </cell>
          <cell r="DV131">
            <v>21518</v>
          </cell>
          <cell r="DW131">
            <v>3900</v>
          </cell>
          <cell r="DX131">
            <v>227</v>
          </cell>
          <cell r="DY131">
            <v>2908</v>
          </cell>
          <cell r="DZ131">
            <v>7048</v>
          </cell>
          <cell r="ED131">
            <v>13158</v>
          </cell>
          <cell r="EE131">
            <v>7787</v>
          </cell>
          <cell r="EF131">
            <v>7150</v>
          </cell>
          <cell r="EG131">
            <v>4979</v>
          </cell>
          <cell r="EH131">
            <v>2577</v>
          </cell>
          <cell r="EI131">
            <v>454</v>
          </cell>
          <cell r="EJ131">
            <v>1524</v>
          </cell>
          <cell r="EK131">
            <v>3866</v>
          </cell>
          <cell r="EL131">
            <v>8390</v>
          </cell>
          <cell r="EO131">
            <v>2744</v>
          </cell>
          <cell r="ER131">
            <v>11467</v>
          </cell>
          <cell r="EU131">
            <v>5141</v>
          </cell>
          <cell r="EX131">
            <v>8102</v>
          </cell>
          <cell r="EY131">
            <v>5067</v>
          </cell>
          <cell r="EZ131">
            <v>11588</v>
          </cell>
          <cell r="FA131">
            <v>11171</v>
          </cell>
          <cell r="FB131">
            <v>9246</v>
          </cell>
          <cell r="FC131">
            <v>1464</v>
          </cell>
          <cell r="FD131">
            <v>4155</v>
          </cell>
          <cell r="FE131">
            <v>18684</v>
          </cell>
          <cell r="FF131">
            <v>171621</v>
          </cell>
          <cell r="FG131">
            <v>16048</v>
          </cell>
          <cell r="FH131">
            <v>567</v>
          </cell>
          <cell r="FI131">
            <v>187905</v>
          </cell>
          <cell r="FJ131">
            <v>12</v>
          </cell>
          <cell r="FK131">
            <v>4</v>
          </cell>
          <cell r="FL131">
            <v>11.1</v>
          </cell>
          <cell r="FM131">
            <v>12.6</v>
          </cell>
          <cell r="FN131">
            <v>6</v>
          </cell>
          <cell r="FO131">
            <v>1</v>
          </cell>
          <cell r="FP131">
            <v>1</v>
          </cell>
          <cell r="FQ131">
            <v>4.9000000000000004</v>
          </cell>
          <cell r="FR131">
            <v>-6.9</v>
          </cell>
          <cell r="FS131">
            <v>4.2</v>
          </cell>
          <cell r="FT131">
            <v>2.5</v>
          </cell>
          <cell r="FU131">
            <v>-6.3</v>
          </cell>
          <cell r="FV131">
            <v>0.8</v>
          </cell>
          <cell r="FW131">
            <v>-5.7</v>
          </cell>
          <cell r="FX131">
            <v>-1.7</v>
          </cell>
          <cell r="FY131">
            <v>-2.5</v>
          </cell>
          <cell r="FZ131">
            <v>2.5</v>
          </cell>
          <cell r="GA131">
            <v>3</v>
          </cell>
          <cell r="GB131">
            <v>3.2</v>
          </cell>
          <cell r="GC131">
            <v>2.7</v>
          </cell>
          <cell r="GG131">
            <v>1.7</v>
          </cell>
          <cell r="GH131">
            <v>0.2</v>
          </cell>
          <cell r="GI131">
            <v>0.6</v>
          </cell>
          <cell r="GJ131">
            <v>1</v>
          </cell>
          <cell r="GK131">
            <v>6.1</v>
          </cell>
          <cell r="GL131">
            <v>-20.9</v>
          </cell>
          <cell r="GM131">
            <v>-1.3</v>
          </cell>
          <cell r="GN131">
            <v>-0.1</v>
          </cell>
          <cell r="GO131">
            <v>0.5</v>
          </cell>
          <cell r="GR131">
            <v>4.0999999999999996</v>
          </cell>
          <cell r="GU131">
            <v>4.2</v>
          </cell>
          <cell r="GX131">
            <v>3.6</v>
          </cell>
          <cell r="HA131">
            <v>2.5</v>
          </cell>
          <cell r="HB131">
            <v>1</v>
          </cell>
          <cell r="HC131">
            <v>-0.9</v>
          </cell>
          <cell r="HD131">
            <v>2.9</v>
          </cell>
          <cell r="HE131">
            <v>-1.1000000000000001</v>
          </cell>
          <cell r="HF131">
            <v>1.7</v>
          </cell>
          <cell r="HG131">
            <v>2.4</v>
          </cell>
          <cell r="HH131">
            <v>1</v>
          </cell>
          <cell r="HI131">
            <v>1.3</v>
          </cell>
          <cell r="HJ131">
            <v>-0.6</v>
          </cell>
          <cell r="HK131">
            <v>0.8</v>
          </cell>
          <cell r="HL131">
            <v>4397</v>
          </cell>
          <cell r="HM131">
            <v>872</v>
          </cell>
          <cell r="HN131">
            <v>5185</v>
          </cell>
          <cell r="HO131">
            <v>1301</v>
          </cell>
          <cell r="HP131">
            <v>2885</v>
          </cell>
          <cell r="HQ131">
            <v>873</v>
          </cell>
          <cell r="HR131">
            <v>2611</v>
          </cell>
          <cell r="HS131">
            <v>6717</v>
          </cell>
          <cell r="HT131">
            <v>1255</v>
          </cell>
          <cell r="HU131">
            <v>7692</v>
          </cell>
          <cell r="HV131">
            <v>4605</v>
          </cell>
          <cell r="HW131">
            <v>4480</v>
          </cell>
          <cell r="HX131">
            <v>3191</v>
          </cell>
          <cell r="HY131">
            <v>3688</v>
          </cell>
          <cell r="HZ131">
            <v>5448</v>
          </cell>
          <cell r="IA131">
            <v>22123</v>
          </cell>
          <cell r="IB131">
            <v>4135</v>
          </cell>
          <cell r="IC131">
            <v>269</v>
          </cell>
          <cell r="ID131">
            <v>2776</v>
          </cell>
          <cell r="IE131">
            <v>7318</v>
          </cell>
          <cell r="II131">
            <v>13220</v>
          </cell>
          <cell r="IJ131">
            <v>7851</v>
          </cell>
          <cell r="IK131">
            <v>6988</v>
          </cell>
          <cell r="IL131">
            <v>4921</v>
          </cell>
          <cell r="IM131">
            <v>2577</v>
          </cell>
          <cell r="IN131">
            <v>474</v>
          </cell>
          <cell r="IO131">
            <v>1548</v>
          </cell>
          <cell r="IP131">
            <v>3878</v>
          </cell>
          <cell r="IQ131">
            <v>8448</v>
          </cell>
        </row>
        <row r="132">
          <cell r="B132">
            <v>5053</v>
          </cell>
          <cell r="C132">
            <v>848</v>
          </cell>
          <cell r="D132">
            <v>5811</v>
          </cell>
          <cell r="E132">
            <v>1128</v>
          </cell>
          <cell r="F132">
            <v>3047</v>
          </cell>
          <cell r="G132">
            <v>881</v>
          </cell>
          <cell r="H132">
            <v>2576</v>
          </cell>
          <cell r="I132">
            <v>6594</v>
          </cell>
          <cell r="J132">
            <v>1337</v>
          </cell>
          <cell r="K132">
            <v>7593</v>
          </cell>
          <cell r="L132">
            <v>4600</v>
          </cell>
          <cell r="M132">
            <v>4310</v>
          </cell>
          <cell r="N132">
            <v>3145</v>
          </cell>
          <cell r="O132">
            <v>3549</v>
          </cell>
          <cell r="P132">
            <v>5230</v>
          </cell>
          <cell r="Q132">
            <v>21467</v>
          </cell>
          <cell r="R132">
            <v>3908</v>
          </cell>
          <cell r="S132">
            <v>230</v>
          </cell>
          <cell r="T132">
            <v>2941</v>
          </cell>
          <cell r="U132">
            <v>7083</v>
          </cell>
          <cell r="Y132">
            <v>12770</v>
          </cell>
          <cell r="Z132">
            <v>7700</v>
          </cell>
          <cell r="AA132">
            <v>7227</v>
          </cell>
          <cell r="AB132">
            <v>5012</v>
          </cell>
          <cell r="AC132">
            <v>2562</v>
          </cell>
          <cell r="AD132">
            <v>475</v>
          </cell>
          <cell r="AE132">
            <v>1557</v>
          </cell>
          <cell r="AF132">
            <v>3915</v>
          </cell>
          <cell r="AG132">
            <v>8461</v>
          </cell>
          <cell r="AJ132">
            <v>2809</v>
          </cell>
          <cell r="AM132">
            <v>11695</v>
          </cell>
          <cell r="AP132">
            <v>5289</v>
          </cell>
          <cell r="AS132">
            <v>8267</v>
          </cell>
          <cell r="AT132">
            <v>5136</v>
          </cell>
          <cell r="AU132">
            <v>11549</v>
          </cell>
          <cell r="AV132">
            <v>11338</v>
          </cell>
          <cell r="AW132">
            <v>9411</v>
          </cell>
          <cell r="AX132">
            <v>1471</v>
          </cell>
          <cell r="AY132">
            <v>4196</v>
          </cell>
          <cell r="AZ132">
            <v>18853</v>
          </cell>
          <cell r="BA132">
            <v>172680</v>
          </cell>
          <cell r="BB132">
            <v>16019</v>
          </cell>
          <cell r="BC132">
            <v>-84</v>
          </cell>
          <cell r="BD132">
            <v>188297</v>
          </cell>
          <cell r="BE132">
            <v>1.6</v>
          </cell>
          <cell r="BF132">
            <v>-0.2</v>
          </cell>
          <cell r="BG132">
            <v>1.4</v>
          </cell>
          <cell r="BH132">
            <v>-0.6</v>
          </cell>
          <cell r="BI132">
            <v>8.4</v>
          </cell>
          <cell r="BJ132">
            <v>2</v>
          </cell>
          <cell r="BK132">
            <v>2.9</v>
          </cell>
          <cell r="BL132">
            <v>3.8</v>
          </cell>
          <cell r="BM132">
            <v>2.9</v>
          </cell>
          <cell r="BN132">
            <v>3.9</v>
          </cell>
          <cell r="BO132">
            <v>0.6</v>
          </cell>
          <cell r="BP132">
            <v>-3</v>
          </cell>
          <cell r="BQ132">
            <v>1.6</v>
          </cell>
          <cell r="BR132">
            <v>-1.3</v>
          </cell>
          <cell r="BS132">
            <v>-0.2</v>
          </cell>
          <cell r="BT132">
            <v>-0.6</v>
          </cell>
          <cell r="BU132">
            <v>0.9</v>
          </cell>
          <cell r="BV132">
            <v>1.6</v>
          </cell>
          <cell r="BW132">
            <v>1.7</v>
          </cell>
          <cell r="BX132">
            <v>1.1000000000000001</v>
          </cell>
          <cell r="CB132">
            <v>-2</v>
          </cell>
          <cell r="CC132">
            <v>-0.7</v>
          </cell>
          <cell r="CD132">
            <v>0.9</v>
          </cell>
          <cell r="CE132">
            <v>0.6</v>
          </cell>
          <cell r="CF132">
            <v>1.7</v>
          </cell>
          <cell r="CG132">
            <v>-1.3</v>
          </cell>
          <cell r="CH132">
            <v>1.3</v>
          </cell>
          <cell r="CI132">
            <v>1.4</v>
          </cell>
          <cell r="CJ132">
            <v>1.2</v>
          </cell>
          <cell r="CM132">
            <v>3.3</v>
          </cell>
          <cell r="CP132">
            <v>2.4</v>
          </cell>
          <cell r="CS132">
            <v>2.7</v>
          </cell>
          <cell r="CV132">
            <v>1.8</v>
          </cell>
          <cell r="CW132">
            <v>1</v>
          </cell>
          <cell r="CX132">
            <v>-0.3</v>
          </cell>
          <cell r="CY132">
            <v>1.8</v>
          </cell>
          <cell r="CZ132">
            <v>0.7</v>
          </cell>
          <cell r="DA132">
            <v>0.8</v>
          </cell>
          <cell r="DB132">
            <v>1.4</v>
          </cell>
          <cell r="DC132">
            <v>0.9</v>
          </cell>
          <cell r="DD132">
            <v>0.9</v>
          </cell>
          <cell r="DE132">
            <v>-0.4</v>
          </cell>
          <cell r="DF132">
            <v>0.5</v>
          </cell>
          <cell r="DG132">
            <v>5124</v>
          </cell>
          <cell r="DH132">
            <v>850</v>
          </cell>
          <cell r="DI132">
            <v>5886</v>
          </cell>
          <cell r="DJ132">
            <v>1070</v>
          </cell>
          <cell r="DK132">
            <v>3024</v>
          </cell>
          <cell r="DL132">
            <v>885</v>
          </cell>
          <cell r="DM132">
            <v>2490</v>
          </cell>
          <cell r="DN132">
            <v>6429</v>
          </cell>
          <cell r="DO132">
            <v>1237</v>
          </cell>
          <cell r="DP132">
            <v>7381</v>
          </cell>
          <cell r="DQ132">
            <v>4582</v>
          </cell>
          <cell r="DR132">
            <v>4183</v>
          </cell>
          <cell r="DS132">
            <v>3131</v>
          </cell>
          <cell r="DT132">
            <v>3514</v>
          </cell>
          <cell r="DU132">
            <v>5205</v>
          </cell>
          <cell r="DV132">
            <v>21288</v>
          </cell>
          <cell r="DW132">
            <v>3888</v>
          </cell>
          <cell r="DX132">
            <v>232</v>
          </cell>
          <cell r="DY132">
            <v>2943</v>
          </cell>
          <cell r="DZ132">
            <v>7065</v>
          </cell>
          <cell r="ED132">
            <v>12708</v>
          </cell>
          <cell r="EE132">
            <v>7614</v>
          </cell>
          <cell r="EF132">
            <v>7215</v>
          </cell>
          <cell r="EG132">
            <v>4971</v>
          </cell>
          <cell r="EH132">
            <v>2549</v>
          </cell>
          <cell r="EI132">
            <v>434</v>
          </cell>
          <cell r="EJ132">
            <v>1528</v>
          </cell>
          <cell r="EK132">
            <v>3866</v>
          </cell>
          <cell r="EL132">
            <v>8339</v>
          </cell>
          <cell r="EO132">
            <v>2817</v>
          </cell>
          <cell r="ER132">
            <v>11728</v>
          </cell>
          <cell r="EU132">
            <v>5327</v>
          </cell>
          <cell r="EX132">
            <v>8321</v>
          </cell>
          <cell r="EY132">
            <v>5167</v>
          </cell>
          <cell r="EZ132">
            <v>11502</v>
          </cell>
          <cell r="FA132">
            <v>11346</v>
          </cell>
          <cell r="FB132">
            <v>9438</v>
          </cell>
          <cell r="FC132">
            <v>1466</v>
          </cell>
          <cell r="FD132">
            <v>4181</v>
          </cell>
          <cell r="FE132">
            <v>18853</v>
          </cell>
          <cell r="FF132">
            <v>172055</v>
          </cell>
          <cell r="FG132">
            <v>15971</v>
          </cell>
          <cell r="FH132">
            <v>-284</v>
          </cell>
          <cell r="FI132">
            <v>187418</v>
          </cell>
          <cell r="FJ132">
            <v>-0.6</v>
          </cell>
          <cell r="FK132">
            <v>-1.4</v>
          </cell>
          <cell r="FL132">
            <v>-0.6</v>
          </cell>
          <cell r="FM132">
            <v>-13.1</v>
          </cell>
          <cell r="FN132">
            <v>8.4</v>
          </cell>
          <cell r="FO132">
            <v>4.2</v>
          </cell>
          <cell r="FP132">
            <v>-1.5</v>
          </cell>
          <cell r="FQ132">
            <v>-0.6</v>
          </cell>
          <cell r="FR132">
            <v>-2.2000000000000002</v>
          </cell>
          <cell r="FS132">
            <v>-0.6</v>
          </cell>
          <cell r="FT132">
            <v>-0.6</v>
          </cell>
          <cell r="FU132">
            <v>-5</v>
          </cell>
          <cell r="FV132">
            <v>1.3</v>
          </cell>
          <cell r="FW132">
            <v>-0.6</v>
          </cell>
          <cell r="FX132">
            <v>-0.6</v>
          </cell>
          <cell r="FY132">
            <v>-1.1000000000000001</v>
          </cell>
          <cell r="FZ132">
            <v>-0.3</v>
          </cell>
          <cell r="GA132">
            <v>2.1</v>
          </cell>
          <cell r="GB132">
            <v>1.2</v>
          </cell>
          <cell r="GC132">
            <v>0.2</v>
          </cell>
          <cell r="GG132">
            <v>-3.4</v>
          </cell>
          <cell r="GH132">
            <v>-2.2000000000000002</v>
          </cell>
          <cell r="GI132">
            <v>0.9</v>
          </cell>
          <cell r="GJ132">
            <v>-0.2</v>
          </cell>
          <cell r="GK132">
            <v>-1.1000000000000001</v>
          </cell>
          <cell r="GL132">
            <v>-4.3</v>
          </cell>
          <cell r="GM132">
            <v>0.3</v>
          </cell>
          <cell r="GN132">
            <v>0</v>
          </cell>
          <cell r="GO132">
            <v>-0.6</v>
          </cell>
          <cell r="GR132">
            <v>2.7</v>
          </cell>
          <cell r="GU132">
            <v>2.2999999999999998</v>
          </cell>
          <cell r="GX132">
            <v>3.6</v>
          </cell>
          <cell r="HA132">
            <v>2.7</v>
          </cell>
          <cell r="HB132">
            <v>2</v>
          </cell>
          <cell r="HC132">
            <v>-0.7</v>
          </cell>
          <cell r="HD132">
            <v>1.6</v>
          </cell>
          <cell r="HE132">
            <v>2.1</v>
          </cell>
          <cell r="HF132">
            <v>0.1</v>
          </cell>
          <cell r="HG132">
            <v>0.6</v>
          </cell>
          <cell r="HH132">
            <v>0.9</v>
          </cell>
          <cell r="HI132">
            <v>0.3</v>
          </cell>
          <cell r="HJ132">
            <v>-0.5</v>
          </cell>
          <cell r="HK132">
            <v>-0.3</v>
          </cell>
          <cell r="HL132">
            <v>8590</v>
          </cell>
          <cell r="HM132">
            <v>865</v>
          </cell>
          <cell r="HN132">
            <v>9392</v>
          </cell>
          <cell r="HO132">
            <v>1072</v>
          </cell>
          <cell r="HP132">
            <v>3004</v>
          </cell>
          <cell r="HQ132">
            <v>887</v>
          </cell>
          <cell r="HR132">
            <v>2521</v>
          </cell>
          <cell r="HS132">
            <v>6446</v>
          </cell>
          <cell r="HT132">
            <v>1432</v>
          </cell>
          <cell r="HU132">
            <v>7468</v>
          </cell>
          <cell r="HV132">
            <v>4890</v>
          </cell>
          <cell r="HW132">
            <v>4253</v>
          </cell>
          <cell r="HX132">
            <v>3192</v>
          </cell>
          <cell r="HY132">
            <v>3620</v>
          </cell>
          <cell r="HZ132">
            <v>5467</v>
          </cell>
          <cell r="IA132">
            <v>22111</v>
          </cell>
          <cell r="IB132">
            <v>3760</v>
          </cell>
          <cell r="IC132">
            <v>215</v>
          </cell>
          <cell r="ID132">
            <v>3088</v>
          </cell>
          <cell r="IE132">
            <v>6968</v>
          </cell>
          <cell r="II132">
            <v>13090</v>
          </cell>
          <cell r="IJ132">
            <v>7893</v>
          </cell>
          <cell r="IK132">
            <v>7975</v>
          </cell>
          <cell r="IL132">
            <v>5347</v>
          </cell>
          <cell r="IM132">
            <v>2606</v>
          </cell>
          <cell r="IN132">
            <v>457</v>
          </cell>
          <cell r="IO132">
            <v>1565</v>
          </cell>
          <cell r="IP132">
            <v>3929</v>
          </cell>
          <cell r="IQ132">
            <v>8518</v>
          </cell>
        </row>
        <row r="133">
          <cell r="B133">
            <v>5012</v>
          </cell>
          <cell r="C133">
            <v>843</v>
          </cell>
          <cell r="D133">
            <v>5771</v>
          </cell>
          <cell r="E133">
            <v>1138</v>
          </cell>
          <cell r="F133">
            <v>3227</v>
          </cell>
          <cell r="G133">
            <v>889</v>
          </cell>
          <cell r="H133">
            <v>2662</v>
          </cell>
          <cell r="I133">
            <v>6855</v>
          </cell>
          <cell r="J133">
            <v>1404</v>
          </cell>
          <cell r="K133">
            <v>7905</v>
          </cell>
          <cell r="L133">
            <v>4622</v>
          </cell>
          <cell r="M133">
            <v>4263</v>
          </cell>
          <cell r="N133">
            <v>3187</v>
          </cell>
          <cell r="O133">
            <v>3503</v>
          </cell>
          <cell r="P133">
            <v>5187</v>
          </cell>
          <cell r="Q133">
            <v>21392</v>
          </cell>
          <cell r="R133">
            <v>3958</v>
          </cell>
          <cell r="S133">
            <v>231</v>
          </cell>
          <cell r="T133">
            <v>2947</v>
          </cell>
          <cell r="U133">
            <v>7138</v>
          </cell>
          <cell r="Y133">
            <v>12381</v>
          </cell>
          <cell r="Z133">
            <v>7583</v>
          </cell>
          <cell r="AA133">
            <v>7302</v>
          </cell>
          <cell r="AB133">
            <v>5059</v>
          </cell>
          <cell r="AC133">
            <v>2547</v>
          </cell>
          <cell r="AD133">
            <v>521</v>
          </cell>
          <cell r="AE133">
            <v>1594</v>
          </cell>
          <cell r="AF133">
            <v>3990</v>
          </cell>
          <cell r="AG133">
            <v>8593</v>
          </cell>
          <cell r="AJ133">
            <v>2850</v>
          </cell>
          <cell r="AM133">
            <v>11799</v>
          </cell>
          <cell r="AP133">
            <v>5345</v>
          </cell>
          <cell r="AS133">
            <v>8277</v>
          </cell>
          <cell r="AT133">
            <v>5143</v>
          </cell>
          <cell r="AU133">
            <v>11568</v>
          </cell>
          <cell r="AV133">
            <v>11440</v>
          </cell>
          <cell r="AW133">
            <v>9565</v>
          </cell>
          <cell r="AX133">
            <v>1485</v>
          </cell>
          <cell r="AY133">
            <v>4232</v>
          </cell>
          <cell r="AZ133">
            <v>19016</v>
          </cell>
          <cell r="BA133">
            <v>173603</v>
          </cell>
          <cell r="BB133">
            <v>15867</v>
          </cell>
          <cell r="BC133">
            <v>-576</v>
          </cell>
          <cell r="BD133">
            <v>188598</v>
          </cell>
          <cell r="BE133">
            <v>-0.8</v>
          </cell>
          <cell r="BF133">
            <v>-0.6</v>
          </cell>
          <cell r="BG133">
            <v>-0.7</v>
          </cell>
          <cell r="BH133">
            <v>0.8</v>
          </cell>
          <cell r="BI133">
            <v>5.9</v>
          </cell>
          <cell r="BJ133">
            <v>0.9</v>
          </cell>
          <cell r="BK133">
            <v>3.3</v>
          </cell>
          <cell r="BL133">
            <v>4</v>
          </cell>
          <cell r="BM133">
            <v>5.0999999999999996</v>
          </cell>
          <cell r="BN133">
            <v>4.0999999999999996</v>
          </cell>
          <cell r="BO133">
            <v>0.5</v>
          </cell>
          <cell r="BP133">
            <v>-1.1000000000000001</v>
          </cell>
          <cell r="BQ133">
            <v>1.3</v>
          </cell>
          <cell r="BR133">
            <v>-1.3</v>
          </cell>
          <cell r="BS133">
            <v>-0.8</v>
          </cell>
          <cell r="BT133">
            <v>-0.3</v>
          </cell>
          <cell r="BU133">
            <v>1.3</v>
          </cell>
          <cell r="BV133">
            <v>0.1</v>
          </cell>
          <cell r="BW133">
            <v>0.2</v>
          </cell>
          <cell r="BX133">
            <v>0.8</v>
          </cell>
          <cell r="CB133">
            <v>-3.1</v>
          </cell>
          <cell r="CC133">
            <v>-1.5</v>
          </cell>
          <cell r="CD133">
            <v>1</v>
          </cell>
          <cell r="CE133">
            <v>0.9</v>
          </cell>
          <cell r="CF133">
            <v>-0.6</v>
          </cell>
          <cell r="CG133">
            <v>9.8000000000000007</v>
          </cell>
          <cell r="CH133">
            <v>2.4</v>
          </cell>
          <cell r="CI133">
            <v>1.9</v>
          </cell>
          <cell r="CJ133">
            <v>1.6</v>
          </cell>
          <cell r="CM133">
            <v>1.5</v>
          </cell>
          <cell r="CP133">
            <v>0.9</v>
          </cell>
          <cell r="CS133">
            <v>1</v>
          </cell>
          <cell r="CV133">
            <v>0.1</v>
          </cell>
          <cell r="CW133">
            <v>0.1</v>
          </cell>
          <cell r="CX133">
            <v>0.2</v>
          </cell>
          <cell r="CY133">
            <v>0.9</v>
          </cell>
          <cell r="CZ133">
            <v>1.6</v>
          </cell>
          <cell r="DA133">
            <v>0.9</v>
          </cell>
          <cell r="DB133">
            <v>0.8</v>
          </cell>
          <cell r="DC133">
            <v>0.9</v>
          </cell>
          <cell r="DD133">
            <v>0.5</v>
          </cell>
          <cell r="DE133">
            <v>-1</v>
          </cell>
          <cell r="DF133">
            <v>0.2</v>
          </cell>
          <cell r="DG133">
            <v>4931</v>
          </cell>
          <cell r="DH133">
            <v>838</v>
          </cell>
          <cell r="DI133">
            <v>5686</v>
          </cell>
          <cell r="DJ133">
            <v>1120</v>
          </cell>
          <cell r="DK133">
            <v>3297</v>
          </cell>
          <cell r="DL133">
            <v>896</v>
          </cell>
          <cell r="DM133">
            <v>2702</v>
          </cell>
          <cell r="DN133">
            <v>6922</v>
          </cell>
          <cell r="DO133">
            <v>1598</v>
          </cell>
          <cell r="DP133">
            <v>8047</v>
          </cell>
          <cell r="DQ133">
            <v>4683</v>
          </cell>
          <cell r="DR133">
            <v>4387</v>
          </cell>
          <cell r="DS133">
            <v>3212</v>
          </cell>
          <cell r="DT133">
            <v>3548</v>
          </cell>
          <cell r="DU133">
            <v>5153</v>
          </cell>
          <cell r="DV133">
            <v>21562</v>
          </cell>
          <cell r="DW133">
            <v>3960</v>
          </cell>
          <cell r="DX133">
            <v>230</v>
          </cell>
          <cell r="DY133">
            <v>2972</v>
          </cell>
          <cell r="DZ133">
            <v>7156</v>
          </cell>
          <cell r="ED133">
            <v>12458</v>
          </cell>
          <cell r="EE133">
            <v>7647</v>
          </cell>
          <cell r="EF133">
            <v>7327</v>
          </cell>
          <cell r="EG133">
            <v>5106</v>
          </cell>
          <cell r="EH133">
            <v>2555</v>
          </cell>
          <cell r="EI133">
            <v>556</v>
          </cell>
          <cell r="EJ133">
            <v>1621</v>
          </cell>
          <cell r="EK133">
            <v>4012</v>
          </cell>
          <cell r="EL133">
            <v>8678</v>
          </cell>
          <cell r="EO133">
            <v>2808</v>
          </cell>
          <cell r="ER133">
            <v>11824</v>
          </cell>
          <cell r="EU133">
            <v>5351</v>
          </cell>
          <cell r="EX133">
            <v>8291</v>
          </cell>
          <cell r="EY133">
            <v>5148</v>
          </cell>
          <cell r="EZ133">
            <v>11592</v>
          </cell>
          <cell r="FA133">
            <v>11445</v>
          </cell>
          <cell r="FB133">
            <v>9571</v>
          </cell>
          <cell r="FC133">
            <v>1493</v>
          </cell>
          <cell r="FD133">
            <v>4241</v>
          </cell>
          <cell r="FE133">
            <v>19016</v>
          </cell>
          <cell r="FF133">
            <v>174100</v>
          </cell>
          <cell r="FG133">
            <v>15865</v>
          </cell>
          <cell r="FH133">
            <v>-716</v>
          </cell>
          <cell r="FI133">
            <v>188964</v>
          </cell>
          <cell r="FJ133">
            <v>-3.8</v>
          </cell>
          <cell r="FK133">
            <v>-1.4</v>
          </cell>
          <cell r="FL133">
            <v>-3.4</v>
          </cell>
          <cell r="FM133">
            <v>4.7</v>
          </cell>
          <cell r="FN133">
            <v>9</v>
          </cell>
          <cell r="FO133">
            <v>1.3</v>
          </cell>
          <cell r="FP133">
            <v>8.5</v>
          </cell>
          <cell r="FQ133">
            <v>7.7</v>
          </cell>
          <cell r="FR133">
            <v>29.2</v>
          </cell>
          <cell r="FS133">
            <v>9</v>
          </cell>
          <cell r="FT133">
            <v>2.2000000000000002</v>
          </cell>
          <cell r="FU133">
            <v>4.9000000000000004</v>
          </cell>
          <cell r="FV133">
            <v>2.6</v>
          </cell>
          <cell r="FW133">
            <v>1</v>
          </cell>
          <cell r="FX133">
            <v>-1</v>
          </cell>
          <cell r="FY133">
            <v>1.3</v>
          </cell>
          <cell r="FZ133">
            <v>1.8</v>
          </cell>
          <cell r="GA133">
            <v>-0.7</v>
          </cell>
          <cell r="GB133">
            <v>1</v>
          </cell>
          <cell r="GC133">
            <v>1.3</v>
          </cell>
          <cell r="GG133">
            <v>-2</v>
          </cell>
          <cell r="GH133">
            <v>0.4</v>
          </cell>
          <cell r="GI133">
            <v>1.6</v>
          </cell>
          <cell r="GJ133">
            <v>2.7</v>
          </cell>
          <cell r="GK133">
            <v>0.2</v>
          </cell>
          <cell r="GL133">
            <v>28.2</v>
          </cell>
          <cell r="GM133">
            <v>6.1</v>
          </cell>
          <cell r="GN133">
            <v>3.8</v>
          </cell>
          <cell r="GO133">
            <v>4.0999999999999996</v>
          </cell>
          <cell r="GR133">
            <v>-0.3</v>
          </cell>
          <cell r="GU133">
            <v>0.8</v>
          </cell>
          <cell r="GX133">
            <v>0.5</v>
          </cell>
          <cell r="HA133">
            <v>-0.4</v>
          </cell>
          <cell r="HB133">
            <v>-0.4</v>
          </cell>
          <cell r="HC133">
            <v>0.8</v>
          </cell>
          <cell r="HD133">
            <v>0.9</v>
          </cell>
          <cell r="HE133">
            <v>1.4</v>
          </cell>
          <cell r="HF133">
            <v>1.9</v>
          </cell>
          <cell r="HG133">
            <v>1.4</v>
          </cell>
          <cell r="HH133">
            <v>0.9</v>
          </cell>
          <cell r="HI133">
            <v>1.2</v>
          </cell>
          <cell r="HJ133">
            <v>-0.7</v>
          </cell>
          <cell r="HK133">
            <v>0.8</v>
          </cell>
          <cell r="HL133">
            <v>3816</v>
          </cell>
          <cell r="HM133">
            <v>828</v>
          </cell>
          <cell r="HN133">
            <v>4544</v>
          </cell>
          <cell r="HO133">
            <v>1074</v>
          </cell>
          <cell r="HP133">
            <v>3268</v>
          </cell>
          <cell r="HQ133">
            <v>876</v>
          </cell>
          <cell r="HR133">
            <v>2591</v>
          </cell>
          <cell r="HS133">
            <v>6731</v>
          </cell>
          <cell r="HT133">
            <v>1369</v>
          </cell>
          <cell r="HU133">
            <v>7758</v>
          </cell>
          <cell r="HV133">
            <v>4557</v>
          </cell>
          <cell r="HW133">
            <v>4223</v>
          </cell>
          <cell r="HX133">
            <v>3051</v>
          </cell>
          <cell r="HY133">
            <v>3225</v>
          </cell>
          <cell r="HZ133">
            <v>4793</v>
          </cell>
          <cell r="IA133">
            <v>20346</v>
          </cell>
          <cell r="IB133">
            <v>3818</v>
          </cell>
          <cell r="IC133">
            <v>194</v>
          </cell>
          <cell r="ID133">
            <v>3109</v>
          </cell>
          <cell r="IE133">
            <v>7016</v>
          </cell>
          <cell r="II133">
            <v>11549</v>
          </cell>
          <cell r="IJ133">
            <v>7282</v>
          </cell>
          <cell r="IK133">
            <v>6943</v>
          </cell>
          <cell r="IL133">
            <v>5062</v>
          </cell>
          <cell r="IM133">
            <v>2507</v>
          </cell>
          <cell r="IN133">
            <v>548</v>
          </cell>
          <cell r="IO133">
            <v>1579</v>
          </cell>
          <cell r="IP133">
            <v>3950</v>
          </cell>
          <cell r="IQ133">
            <v>8519</v>
          </cell>
        </row>
        <row r="134">
          <cell r="B134">
            <v>5065</v>
          </cell>
          <cell r="C134">
            <v>843</v>
          </cell>
          <cell r="D134">
            <v>5828</v>
          </cell>
          <cell r="E134">
            <v>1173</v>
          </cell>
          <cell r="F134">
            <v>3273</v>
          </cell>
          <cell r="G134">
            <v>884</v>
          </cell>
          <cell r="H134">
            <v>2773</v>
          </cell>
          <cell r="I134">
            <v>7097</v>
          </cell>
          <cell r="J134">
            <v>1389</v>
          </cell>
          <cell r="K134">
            <v>8163</v>
          </cell>
          <cell r="L134">
            <v>4641</v>
          </cell>
          <cell r="M134">
            <v>4368</v>
          </cell>
          <cell r="N134">
            <v>3163</v>
          </cell>
          <cell r="O134">
            <v>3484</v>
          </cell>
          <cell r="P134">
            <v>5137</v>
          </cell>
          <cell r="Q134">
            <v>21390</v>
          </cell>
          <cell r="R134">
            <v>3995</v>
          </cell>
          <cell r="S134">
            <v>227</v>
          </cell>
          <cell r="T134">
            <v>2952</v>
          </cell>
          <cell r="U134">
            <v>7168</v>
          </cell>
          <cell r="Y134">
            <v>12161</v>
          </cell>
          <cell r="Z134">
            <v>7423</v>
          </cell>
          <cell r="AA134">
            <v>7338</v>
          </cell>
          <cell r="AB134">
            <v>5066</v>
          </cell>
          <cell r="AC134">
            <v>2502</v>
          </cell>
          <cell r="AD134">
            <v>578</v>
          </cell>
          <cell r="AE134">
            <v>1613</v>
          </cell>
          <cell r="AF134">
            <v>4047</v>
          </cell>
          <cell r="AG134">
            <v>8668</v>
          </cell>
          <cell r="AJ134">
            <v>2873</v>
          </cell>
          <cell r="AM134">
            <v>11722</v>
          </cell>
          <cell r="AP134">
            <v>5347</v>
          </cell>
          <cell r="AS134">
            <v>8203</v>
          </cell>
          <cell r="AT134">
            <v>5143</v>
          </cell>
          <cell r="AU134">
            <v>11609</v>
          </cell>
          <cell r="AV134">
            <v>11450</v>
          </cell>
          <cell r="AW134">
            <v>9703</v>
          </cell>
          <cell r="AX134">
            <v>1491</v>
          </cell>
          <cell r="AY134">
            <v>4250</v>
          </cell>
          <cell r="AZ134">
            <v>19171</v>
          </cell>
          <cell r="BA134">
            <v>174204</v>
          </cell>
          <cell r="BB134">
            <v>15744</v>
          </cell>
          <cell r="BC134">
            <v>-738</v>
          </cell>
          <cell r="BD134">
            <v>188924</v>
          </cell>
          <cell r="BE134">
            <v>1.1000000000000001</v>
          </cell>
          <cell r="BF134">
            <v>0</v>
          </cell>
          <cell r="BG134">
            <v>1</v>
          </cell>
          <cell r="BH134">
            <v>3.1</v>
          </cell>
          <cell r="BI134">
            <v>1.4</v>
          </cell>
          <cell r="BJ134">
            <v>-0.6</v>
          </cell>
          <cell r="BK134">
            <v>4.2</v>
          </cell>
          <cell r="BL134">
            <v>3.5</v>
          </cell>
          <cell r="BM134">
            <v>-1.1000000000000001</v>
          </cell>
          <cell r="BN134">
            <v>3.3</v>
          </cell>
          <cell r="BO134">
            <v>0.4</v>
          </cell>
          <cell r="BP134">
            <v>2.5</v>
          </cell>
          <cell r="BQ134">
            <v>-0.7</v>
          </cell>
          <cell r="BR134">
            <v>-0.6</v>
          </cell>
          <cell r="BS134">
            <v>-1</v>
          </cell>
          <cell r="BT134">
            <v>0</v>
          </cell>
          <cell r="BU134">
            <v>1</v>
          </cell>
          <cell r="BV134">
            <v>-1.6</v>
          </cell>
          <cell r="BW134">
            <v>0.2</v>
          </cell>
          <cell r="BX134">
            <v>0.4</v>
          </cell>
          <cell r="CB134">
            <v>-1.8</v>
          </cell>
          <cell r="CC134">
            <v>-2.1</v>
          </cell>
          <cell r="CD134">
            <v>0.5</v>
          </cell>
          <cell r="CE134">
            <v>0.1</v>
          </cell>
          <cell r="CF134">
            <v>-1.7</v>
          </cell>
          <cell r="CG134">
            <v>10.9</v>
          </cell>
          <cell r="CH134">
            <v>1.2</v>
          </cell>
          <cell r="CI134">
            <v>1.4</v>
          </cell>
          <cell r="CJ134">
            <v>0.9</v>
          </cell>
          <cell r="CM134">
            <v>0.8</v>
          </cell>
          <cell r="CP134">
            <v>-0.6</v>
          </cell>
          <cell r="CS134">
            <v>0</v>
          </cell>
          <cell r="CV134">
            <v>-0.9</v>
          </cell>
          <cell r="CW134">
            <v>0</v>
          </cell>
          <cell r="CX134">
            <v>0.4</v>
          </cell>
          <cell r="CY134">
            <v>0.1</v>
          </cell>
          <cell r="CZ134">
            <v>1.4</v>
          </cell>
          <cell r="DA134">
            <v>0.4</v>
          </cell>
          <cell r="DB134">
            <v>0.4</v>
          </cell>
          <cell r="DC134">
            <v>0.8</v>
          </cell>
          <cell r="DD134">
            <v>0.3</v>
          </cell>
          <cell r="DE134">
            <v>-0.8</v>
          </cell>
          <cell r="DF134">
            <v>0.2</v>
          </cell>
          <cell r="DG134">
            <v>4945</v>
          </cell>
          <cell r="DH134">
            <v>834</v>
          </cell>
          <cell r="DI134">
            <v>5698</v>
          </cell>
          <cell r="DJ134">
            <v>1203</v>
          </cell>
          <cell r="DK134">
            <v>3294</v>
          </cell>
          <cell r="DL134">
            <v>878</v>
          </cell>
          <cell r="DM134">
            <v>2799</v>
          </cell>
          <cell r="DN134">
            <v>7161</v>
          </cell>
          <cell r="DO134">
            <v>1261</v>
          </cell>
          <cell r="DP134">
            <v>8185</v>
          </cell>
          <cell r="DQ134">
            <v>4553</v>
          </cell>
          <cell r="DR134">
            <v>4267</v>
          </cell>
          <cell r="DS134">
            <v>3204</v>
          </cell>
          <cell r="DT134">
            <v>3463</v>
          </cell>
          <cell r="DU134">
            <v>5208</v>
          </cell>
          <cell r="DV134">
            <v>21352</v>
          </cell>
          <cell r="DW134">
            <v>4008</v>
          </cell>
          <cell r="DX134">
            <v>229</v>
          </cell>
          <cell r="DY134">
            <v>2921</v>
          </cell>
          <cell r="DZ134">
            <v>7168</v>
          </cell>
          <cell r="ED134">
            <v>11861</v>
          </cell>
          <cell r="EE134">
            <v>7419</v>
          </cell>
          <cell r="EF134">
            <v>7314</v>
          </cell>
          <cell r="EG134">
            <v>5050</v>
          </cell>
          <cell r="EH134">
            <v>2498</v>
          </cell>
          <cell r="EI134">
            <v>583</v>
          </cell>
          <cell r="EJ134">
            <v>1612</v>
          </cell>
          <cell r="EK134">
            <v>4079</v>
          </cell>
          <cell r="EL134">
            <v>8698</v>
          </cell>
          <cell r="EO134">
            <v>2936</v>
          </cell>
          <cell r="ER134">
            <v>11694</v>
          </cell>
          <cell r="EU134">
            <v>5346</v>
          </cell>
          <cell r="EX134">
            <v>8221</v>
          </cell>
          <cell r="EY134">
            <v>5142</v>
          </cell>
          <cell r="EZ134">
            <v>11637</v>
          </cell>
          <cell r="FA134">
            <v>11468</v>
          </cell>
          <cell r="FB134">
            <v>9732</v>
          </cell>
          <cell r="FC134">
            <v>1487</v>
          </cell>
          <cell r="FD134">
            <v>4255</v>
          </cell>
          <cell r="FE134">
            <v>19171</v>
          </cell>
          <cell r="FF134">
            <v>173996</v>
          </cell>
          <cell r="FG134">
            <v>15882</v>
          </cell>
          <cell r="FH134">
            <v>-407</v>
          </cell>
          <cell r="FI134">
            <v>189176</v>
          </cell>
          <cell r="FJ134">
            <v>0.3</v>
          </cell>
          <cell r="FK134">
            <v>-0.5</v>
          </cell>
          <cell r="FL134">
            <v>0.2</v>
          </cell>
          <cell r="FM134">
            <v>7.4</v>
          </cell>
          <cell r="FN134">
            <v>-0.1</v>
          </cell>
          <cell r="FO134">
            <v>-2</v>
          </cell>
          <cell r="FP134">
            <v>3.6</v>
          </cell>
          <cell r="FQ134">
            <v>3.4</v>
          </cell>
          <cell r="FR134">
            <v>-21.1</v>
          </cell>
          <cell r="FS134">
            <v>1.7</v>
          </cell>
          <cell r="FT134">
            <v>-2.8</v>
          </cell>
          <cell r="FU134">
            <v>-2.7</v>
          </cell>
          <cell r="FV134">
            <v>-0.3</v>
          </cell>
          <cell r="FW134">
            <v>-2.4</v>
          </cell>
          <cell r="FX134">
            <v>1.1000000000000001</v>
          </cell>
          <cell r="FY134">
            <v>-1</v>
          </cell>
          <cell r="FZ134">
            <v>1.2</v>
          </cell>
          <cell r="GA134">
            <v>-0.5</v>
          </cell>
          <cell r="GB134">
            <v>-1.7</v>
          </cell>
          <cell r="GC134">
            <v>0.2</v>
          </cell>
          <cell r="GG134">
            <v>-4.8</v>
          </cell>
          <cell r="GH134">
            <v>-3</v>
          </cell>
          <cell r="GI134">
            <v>-0.2</v>
          </cell>
          <cell r="GJ134">
            <v>-1.1000000000000001</v>
          </cell>
          <cell r="GK134">
            <v>-2.2000000000000002</v>
          </cell>
          <cell r="GL134">
            <v>4.8</v>
          </cell>
          <cell r="GM134">
            <v>-0.6</v>
          </cell>
          <cell r="GN134">
            <v>1.7</v>
          </cell>
          <cell r="GO134">
            <v>0.2</v>
          </cell>
          <cell r="GR134">
            <v>4.5</v>
          </cell>
          <cell r="GU134">
            <v>-1.1000000000000001</v>
          </cell>
          <cell r="GX134">
            <v>-0.1</v>
          </cell>
          <cell r="HA134">
            <v>-0.8</v>
          </cell>
          <cell r="HB134">
            <v>-0.1</v>
          </cell>
          <cell r="HC134">
            <v>0.4</v>
          </cell>
          <cell r="HD134">
            <v>0.2</v>
          </cell>
          <cell r="HE134">
            <v>1.7</v>
          </cell>
          <cell r="HF134">
            <v>-0.4</v>
          </cell>
          <cell r="HG134">
            <v>0.3</v>
          </cell>
          <cell r="HH134">
            <v>0.8</v>
          </cell>
          <cell r="HI134">
            <v>-0.1</v>
          </cell>
          <cell r="HJ134">
            <v>0.1</v>
          </cell>
          <cell r="HK134">
            <v>0.1</v>
          </cell>
          <cell r="HL134">
            <v>3351</v>
          </cell>
          <cell r="HM134">
            <v>820</v>
          </cell>
          <cell r="HN134">
            <v>4068</v>
          </cell>
          <cell r="HO134">
            <v>1177</v>
          </cell>
          <cell r="HP134">
            <v>3248</v>
          </cell>
          <cell r="HQ134">
            <v>873</v>
          </cell>
          <cell r="HR134">
            <v>2795</v>
          </cell>
          <cell r="HS134">
            <v>7087</v>
          </cell>
          <cell r="HT134">
            <v>1306</v>
          </cell>
          <cell r="HU134">
            <v>8122</v>
          </cell>
          <cell r="HV134">
            <v>4374</v>
          </cell>
          <cell r="HW134">
            <v>4284</v>
          </cell>
          <cell r="HX134">
            <v>3205</v>
          </cell>
          <cell r="HY134">
            <v>3529</v>
          </cell>
          <cell r="HZ134">
            <v>5094</v>
          </cell>
          <cell r="IA134">
            <v>21141</v>
          </cell>
          <cell r="IB134">
            <v>4043</v>
          </cell>
          <cell r="IC134">
            <v>240</v>
          </cell>
          <cell r="ID134">
            <v>2771</v>
          </cell>
          <cell r="IE134">
            <v>7134</v>
          </cell>
          <cell r="II134">
            <v>12326</v>
          </cell>
          <cell r="IJ134">
            <v>7441</v>
          </cell>
          <cell r="IK134">
            <v>7101</v>
          </cell>
          <cell r="IL134">
            <v>4776</v>
          </cell>
          <cell r="IM134">
            <v>2488</v>
          </cell>
          <cell r="IN134">
            <v>549</v>
          </cell>
          <cell r="IO134">
            <v>1594</v>
          </cell>
          <cell r="IP134">
            <v>4067</v>
          </cell>
          <cell r="IQ134">
            <v>8619</v>
          </cell>
        </row>
        <row r="135">
          <cell r="B135">
            <v>5239</v>
          </cell>
          <cell r="C135">
            <v>851</v>
          </cell>
          <cell r="D135">
            <v>6010</v>
          </cell>
          <cell r="E135">
            <v>1199</v>
          </cell>
          <cell r="F135">
            <v>3227</v>
          </cell>
          <cell r="G135">
            <v>873</v>
          </cell>
          <cell r="H135">
            <v>2825</v>
          </cell>
          <cell r="I135">
            <v>7219</v>
          </cell>
          <cell r="J135">
            <v>1273</v>
          </cell>
          <cell r="K135">
            <v>8250</v>
          </cell>
          <cell r="L135">
            <v>4697</v>
          </cell>
          <cell r="M135">
            <v>4420</v>
          </cell>
          <cell r="N135">
            <v>3124</v>
          </cell>
          <cell r="O135">
            <v>3422</v>
          </cell>
          <cell r="P135">
            <v>5035</v>
          </cell>
          <cell r="Q135">
            <v>21282</v>
          </cell>
          <cell r="R135">
            <v>4017</v>
          </cell>
          <cell r="S135">
            <v>222</v>
          </cell>
          <cell r="T135">
            <v>2993</v>
          </cell>
          <cell r="U135">
            <v>7199</v>
          </cell>
          <cell r="Y135">
            <v>12083</v>
          </cell>
          <cell r="Z135">
            <v>7204</v>
          </cell>
          <cell r="AA135">
            <v>7302</v>
          </cell>
          <cell r="AB135">
            <v>5026</v>
          </cell>
          <cell r="AC135">
            <v>2472</v>
          </cell>
          <cell r="AD135">
            <v>598</v>
          </cell>
          <cell r="AE135">
            <v>1595</v>
          </cell>
          <cell r="AF135">
            <v>4035</v>
          </cell>
          <cell r="AG135">
            <v>8632</v>
          </cell>
          <cell r="AJ135">
            <v>2901</v>
          </cell>
          <cell r="AM135">
            <v>11580</v>
          </cell>
          <cell r="AP135">
            <v>5350</v>
          </cell>
          <cell r="AS135">
            <v>8150</v>
          </cell>
          <cell r="AT135">
            <v>5176</v>
          </cell>
          <cell r="AU135">
            <v>11661</v>
          </cell>
          <cell r="AV135">
            <v>11432</v>
          </cell>
          <cell r="AW135">
            <v>9812</v>
          </cell>
          <cell r="AX135">
            <v>1493</v>
          </cell>
          <cell r="AY135">
            <v>4264</v>
          </cell>
          <cell r="AZ135">
            <v>19322</v>
          </cell>
          <cell r="BA135">
            <v>174225</v>
          </cell>
          <cell r="BB135">
            <v>15697</v>
          </cell>
          <cell r="BC135">
            <v>-767</v>
          </cell>
          <cell r="BD135">
            <v>188869</v>
          </cell>
          <cell r="BE135">
            <v>3.4</v>
          </cell>
          <cell r="BF135">
            <v>0.9</v>
          </cell>
          <cell r="BG135">
            <v>3.1</v>
          </cell>
          <cell r="BH135">
            <v>2.2000000000000002</v>
          </cell>
          <cell r="BI135">
            <v>-1.4</v>
          </cell>
          <cell r="BJ135">
            <v>-1.2</v>
          </cell>
          <cell r="BK135">
            <v>1.9</v>
          </cell>
          <cell r="BL135">
            <v>1.7</v>
          </cell>
          <cell r="BM135">
            <v>-8.4</v>
          </cell>
          <cell r="BN135">
            <v>1.1000000000000001</v>
          </cell>
          <cell r="BO135">
            <v>1.2</v>
          </cell>
          <cell r="BP135">
            <v>1.2</v>
          </cell>
          <cell r="BQ135">
            <v>-1.2</v>
          </cell>
          <cell r="BR135">
            <v>-1.8</v>
          </cell>
          <cell r="BS135">
            <v>-2</v>
          </cell>
          <cell r="BT135">
            <v>-0.5</v>
          </cell>
          <cell r="BU135">
            <v>0.5</v>
          </cell>
          <cell r="BV135">
            <v>-2.2999999999999998</v>
          </cell>
          <cell r="BW135">
            <v>1.4</v>
          </cell>
          <cell r="BX135">
            <v>0.4</v>
          </cell>
          <cell r="CB135">
            <v>-0.6</v>
          </cell>
          <cell r="CC135">
            <v>-3</v>
          </cell>
          <cell r="CD135">
            <v>-0.5</v>
          </cell>
          <cell r="CE135">
            <v>-0.8</v>
          </cell>
          <cell r="CF135">
            <v>-1.2</v>
          </cell>
          <cell r="CG135">
            <v>3.5</v>
          </cell>
          <cell r="CH135">
            <v>-1.1000000000000001</v>
          </cell>
          <cell r="CI135">
            <v>-0.3</v>
          </cell>
          <cell r="CJ135">
            <v>-0.4</v>
          </cell>
          <cell r="CM135">
            <v>1</v>
          </cell>
          <cell r="CP135">
            <v>-1.2</v>
          </cell>
          <cell r="CS135">
            <v>0.1</v>
          </cell>
          <cell r="CV135">
            <v>-0.6</v>
          </cell>
          <cell r="CW135">
            <v>0.6</v>
          </cell>
          <cell r="CX135">
            <v>0.4</v>
          </cell>
          <cell r="CY135">
            <v>-0.2</v>
          </cell>
          <cell r="CZ135">
            <v>1.1000000000000001</v>
          </cell>
          <cell r="DA135">
            <v>0.2</v>
          </cell>
          <cell r="DB135">
            <v>0.3</v>
          </cell>
          <cell r="DC135">
            <v>0.8</v>
          </cell>
          <cell r="DD135">
            <v>0</v>
          </cell>
          <cell r="DE135">
            <v>-0.3</v>
          </cell>
          <cell r="DF135">
            <v>0</v>
          </cell>
          <cell r="DG135">
            <v>5308</v>
          </cell>
          <cell r="DH135">
            <v>863</v>
          </cell>
          <cell r="DI135">
            <v>6089</v>
          </cell>
          <cell r="DJ135">
            <v>1204</v>
          </cell>
          <cell r="DK135">
            <v>3175</v>
          </cell>
          <cell r="DL135">
            <v>875</v>
          </cell>
          <cell r="DM135">
            <v>2762</v>
          </cell>
          <cell r="DN135">
            <v>7146</v>
          </cell>
          <cell r="DO135">
            <v>1365</v>
          </cell>
          <cell r="DP135">
            <v>8214</v>
          </cell>
          <cell r="DQ135">
            <v>4740</v>
          </cell>
          <cell r="DR135">
            <v>4427</v>
          </cell>
          <cell r="DS135">
            <v>3069</v>
          </cell>
          <cell r="DT135">
            <v>3432</v>
          </cell>
          <cell r="DU135">
            <v>5014</v>
          </cell>
          <cell r="DV135">
            <v>21246</v>
          </cell>
          <cell r="DW135">
            <v>4009</v>
          </cell>
          <cell r="DX135">
            <v>220</v>
          </cell>
          <cell r="DY135">
            <v>2969</v>
          </cell>
          <cell r="DZ135">
            <v>7170</v>
          </cell>
          <cell r="ED135">
            <v>12254</v>
          </cell>
          <cell r="EE135">
            <v>7199</v>
          </cell>
          <cell r="EF135">
            <v>7356</v>
          </cell>
          <cell r="EG135">
            <v>5046</v>
          </cell>
          <cell r="EH135">
            <v>2472</v>
          </cell>
          <cell r="EI135">
            <v>595</v>
          </cell>
          <cell r="EJ135">
            <v>1607</v>
          </cell>
          <cell r="EK135">
            <v>4022</v>
          </cell>
          <cell r="EL135">
            <v>8631</v>
          </cell>
          <cell r="EO135">
            <v>2860</v>
          </cell>
          <cell r="ER135">
            <v>11635</v>
          </cell>
          <cell r="EU135">
            <v>5289</v>
          </cell>
          <cell r="EX135">
            <v>8044</v>
          </cell>
          <cell r="EY135">
            <v>5121</v>
          </cell>
          <cell r="EZ135">
            <v>11632</v>
          </cell>
          <cell r="FA135">
            <v>11403</v>
          </cell>
          <cell r="FB135">
            <v>9785</v>
          </cell>
          <cell r="FC135">
            <v>1495</v>
          </cell>
          <cell r="FD135">
            <v>4246</v>
          </cell>
          <cell r="FE135">
            <v>19322</v>
          </cell>
          <cell r="FF135">
            <v>174218</v>
          </cell>
          <cell r="FG135">
            <v>15394</v>
          </cell>
          <cell r="FH135">
            <v>-1209</v>
          </cell>
          <cell r="FI135">
            <v>188131</v>
          </cell>
          <cell r="FJ135">
            <v>7.3</v>
          </cell>
          <cell r="FK135">
            <v>3.5</v>
          </cell>
          <cell r="FL135">
            <v>6.9</v>
          </cell>
          <cell r="FM135">
            <v>0.1</v>
          </cell>
          <cell r="FN135">
            <v>-3.6</v>
          </cell>
          <cell r="FO135">
            <v>-0.4</v>
          </cell>
          <cell r="FP135">
            <v>-1.3</v>
          </cell>
          <cell r="FQ135">
            <v>-0.2</v>
          </cell>
          <cell r="FR135">
            <v>8.3000000000000007</v>
          </cell>
          <cell r="FS135">
            <v>0.4</v>
          </cell>
          <cell r="FT135">
            <v>4.0999999999999996</v>
          </cell>
          <cell r="FU135">
            <v>3.7</v>
          </cell>
          <cell r="FV135">
            <v>-4.2</v>
          </cell>
          <cell r="FW135">
            <v>-0.9</v>
          </cell>
          <cell r="FX135">
            <v>-3.7</v>
          </cell>
          <cell r="FY135">
            <v>-0.5</v>
          </cell>
          <cell r="FZ135">
            <v>0</v>
          </cell>
          <cell r="GA135">
            <v>-3.7</v>
          </cell>
          <cell r="GB135">
            <v>1.6</v>
          </cell>
          <cell r="GC135">
            <v>0</v>
          </cell>
          <cell r="GG135">
            <v>3.3</v>
          </cell>
          <cell r="GH135">
            <v>-3</v>
          </cell>
          <cell r="GI135">
            <v>0.6</v>
          </cell>
          <cell r="GJ135">
            <v>-0.1</v>
          </cell>
          <cell r="GK135">
            <v>-1</v>
          </cell>
          <cell r="GL135">
            <v>2</v>
          </cell>
          <cell r="GM135">
            <v>-0.3</v>
          </cell>
          <cell r="GN135">
            <v>-1.4</v>
          </cell>
          <cell r="GO135">
            <v>-0.8</v>
          </cell>
          <cell r="GR135">
            <v>-2.6</v>
          </cell>
          <cell r="GU135">
            <v>-0.5</v>
          </cell>
          <cell r="GX135">
            <v>-1.1000000000000001</v>
          </cell>
          <cell r="HA135">
            <v>-2.2000000000000002</v>
          </cell>
          <cell r="HB135">
            <v>-0.4</v>
          </cell>
          <cell r="HC135">
            <v>0</v>
          </cell>
          <cell r="HD135">
            <v>-0.6</v>
          </cell>
          <cell r="HE135">
            <v>0.5</v>
          </cell>
          <cell r="HF135">
            <v>0.5</v>
          </cell>
          <cell r="HG135">
            <v>-0.2</v>
          </cell>
          <cell r="HH135">
            <v>0.8</v>
          </cell>
          <cell r="HI135">
            <v>0.1</v>
          </cell>
          <cell r="HJ135">
            <v>-3.1</v>
          </cell>
          <cell r="HK135">
            <v>-0.6</v>
          </cell>
          <cell r="HL135">
            <v>4390</v>
          </cell>
          <cell r="HM135">
            <v>870</v>
          </cell>
          <cell r="HN135">
            <v>5152</v>
          </cell>
          <cell r="HO135">
            <v>1272</v>
          </cell>
          <cell r="HP135">
            <v>3286</v>
          </cell>
          <cell r="HQ135">
            <v>906</v>
          </cell>
          <cell r="HR135">
            <v>2854</v>
          </cell>
          <cell r="HS135">
            <v>7435</v>
          </cell>
          <cell r="HT135">
            <v>1359</v>
          </cell>
          <cell r="HU135">
            <v>8519</v>
          </cell>
          <cell r="HV135">
            <v>4737</v>
          </cell>
          <cell r="HW135">
            <v>4534</v>
          </cell>
          <cell r="HX135">
            <v>3171</v>
          </cell>
          <cell r="HY135">
            <v>3563</v>
          </cell>
          <cell r="HZ135">
            <v>5216</v>
          </cell>
          <cell r="IA135">
            <v>21824</v>
          </cell>
          <cell r="IB135">
            <v>4247</v>
          </cell>
          <cell r="IC135">
            <v>260</v>
          </cell>
          <cell r="ID135">
            <v>2838</v>
          </cell>
          <cell r="IE135">
            <v>7449</v>
          </cell>
          <cell r="II135">
            <v>12229</v>
          </cell>
          <cell r="IJ135">
            <v>7235</v>
          </cell>
          <cell r="IK135">
            <v>7188</v>
          </cell>
          <cell r="IL135">
            <v>4983</v>
          </cell>
          <cell r="IM135">
            <v>2465</v>
          </cell>
          <cell r="IN135">
            <v>618</v>
          </cell>
          <cell r="IO135">
            <v>1633</v>
          </cell>
          <cell r="IP135">
            <v>4038</v>
          </cell>
          <cell r="IQ135">
            <v>8687</v>
          </cell>
        </row>
        <row r="136">
          <cell r="B136">
            <v>5381</v>
          </cell>
          <cell r="C136">
            <v>857</v>
          </cell>
          <cell r="D136">
            <v>6155</v>
          </cell>
          <cell r="E136">
            <v>1198</v>
          </cell>
          <cell r="F136">
            <v>3157</v>
          </cell>
          <cell r="G136">
            <v>877</v>
          </cell>
          <cell r="H136">
            <v>2777</v>
          </cell>
          <cell r="I136">
            <v>7212</v>
          </cell>
          <cell r="J136">
            <v>1149</v>
          </cell>
          <cell r="K136">
            <v>8191</v>
          </cell>
          <cell r="L136">
            <v>4752</v>
          </cell>
          <cell r="M136">
            <v>4399</v>
          </cell>
          <cell r="N136">
            <v>3102</v>
          </cell>
          <cell r="O136">
            <v>3364</v>
          </cell>
          <cell r="P136">
            <v>4887</v>
          </cell>
          <cell r="Q136">
            <v>21075</v>
          </cell>
          <cell r="R136">
            <v>4013</v>
          </cell>
          <cell r="S136">
            <v>218</v>
          </cell>
          <cell r="T136">
            <v>3058</v>
          </cell>
          <cell r="U136">
            <v>7218</v>
          </cell>
          <cell r="Y136">
            <v>11927</v>
          </cell>
          <cell r="Z136">
            <v>6988</v>
          </cell>
          <cell r="AA136">
            <v>7211</v>
          </cell>
          <cell r="AB136">
            <v>4956</v>
          </cell>
          <cell r="AC136">
            <v>2463</v>
          </cell>
          <cell r="AD136">
            <v>589</v>
          </cell>
          <cell r="AE136">
            <v>1566</v>
          </cell>
          <cell r="AF136">
            <v>3987</v>
          </cell>
          <cell r="AG136">
            <v>8553</v>
          </cell>
          <cell r="AJ136">
            <v>2951</v>
          </cell>
          <cell r="AM136">
            <v>11497</v>
          </cell>
          <cell r="AP136">
            <v>5372</v>
          </cell>
          <cell r="AS136">
            <v>8189</v>
          </cell>
          <cell r="AT136">
            <v>5253</v>
          </cell>
          <cell r="AU136">
            <v>11716</v>
          </cell>
          <cell r="AV136">
            <v>11431</v>
          </cell>
          <cell r="AW136">
            <v>9926</v>
          </cell>
          <cell r="AX136">
            <v>1496</v>
          </cell>
          <cell r="AY136">
            <v>4265</v>
          </cell>
          <cell r="AZ136">
            <v>19468</v>
          </cell>
          <cell r="BA136">
            <v>173692</v>
          </cell>
          <cell r="BB136">
            <v>15654</v>
          </cell>
          <cell r="BC136">
            <v>-917</v>
          </cell>
          <cell r="BD136">
            <v>188137</v>
          </cell>
          <cell r="BE136">
            <v>2.7</v>
          </cell>
          <cell r="BF136">
            <v>0.6</v>
          </cell>
          <cell r="BG136">
            <v>2.4</v>
          </cell>
          <cell r="BH136">
            <v>-0.1</v>
          </cell>
          <cell r="BI136">
            <v>-2.2000000000000002</v>
          </cell>
          <cell r="BJ136">
            <v>0.4</v>
          </cell>
          <cell r="BK136">
            <v>-1.7</v>
          </cell>
          <cell r="BL136">
            <v>-0.1</v>
          </cell>
          <cell r="BM136">
            <v>-9.6999999999999993</v>
          </cell>
          <cell r="BN136">
            <v>-0.7</v>
          </cell>
          <cell r="BO136">
            <v>1.2</v>
          </cell>
          <cell r="BP136">
            <v>-0.5</v>
          </cell>
          <cell r="BQ136">
            <v>-0.7</v>
          </cell>
          <cell r="BR136">
            <v>-1.7</v>
          </cell>
          <cell r="BS136">
            <v>-2.9</v>
          </cell>
          <cell r="BT136">
            <v>-1</v>
          </cell>
          <cell r="BU136">
            <v>-0.1</v>
          </cell>
          <cell r="BV136">
            <v>-1.9</v>
          </cell>
          <cell r="BW136">
            <v>2.2000000000000002</v>
          </cell>
          <cell r="BX136">
            <v>0.3</v>
          </cell>
          <cell r="CB136">
            <v>-1.3</v>
          </cell>
          <cell r="CC136">
            <v>-3</v>
          </cell>
          <cell r="CD136">
            <v>-1.2</v>
          </cell>
          <cell r="CE136">
            <v>-1.4</v>
          </cell>
          <cell r="CF136">
            <v>-0.3</v>
          </cell>
          <cell r="CG136">
            <v>-1.6</v>
          </cell>
          <cell r="CH136">
            <v>-1.8</v>
          </cell>
          <cell r="CI136">
            <v>-1.2</v>
          </cell>
          <cell r="CJ136">
            <v>-0.9</v>
          </cell>
          <cell r="CM136">
            <v>1.7</v>
          </cell>
          <cell r="CP136">
            <v>-0.7</v>
          </cell>
          <cell r="CS136">
            <v>0.4</v>
          </cell>
          <cell r="CV136">
            <v>0.5</v>
          </cell>
          <cell r="CW136">
            <v>1.5</v>
          </cell>
          <cell r="CX136">
            <v>0.5</v>
          </cell>
          <cell r="CY136">
            <v>0</v>
          </cell>
          <cell r="CZ136">
            <v>1.2</v>
          </cell>
          <cell r="DA136">
            <v>0.2</v>
          </cell>
          <cell r="DB136">
            <v>0</v>
          </cell>
          <cell r="DC136">
            <v>0.8</v>
          </cell>
          <cell r="DD136">
            <v>-0.3</v>
          </cell>
          <cell r="DE136">
            <v>-0.3</v>
          </cell>
          <cell r="DF136">
            <v>-0.4</v>
          </cell>
          <cell r="DG136">
            <v>5517</v>
          </cell>
          <cell r="DH136">
            <v>855</v>
          </cell>
          <cell r="DI136">
            <v>6291</v>
          </cell>
          <cell r="DJ136">
            <v>1207</v>
          </cell>
          <cell r="DK136">
            <v>3152</v>
          </cell>
          <cell r="DL136">
            <v>870</v>
          </cell>
          <cell r="DM136">
            <v>2895</v>
          </cell>
          <cell r="DN136">
            <v>7322</v>
          </cell>
          <cell r="DO136">
            <v>1080</v>
          </cell>
          <cell r="DP136">
            <v>8275</v>
          </cell>
          <cell r="DQ136">
            <v>4737</v>
          </cell>
          <cell r="DR136">
            <v>4619</v>
          </cell>
          <cell r="DS136">
            <v>3075</v>
          </cell>
          <cell r="DT136">
            <v>3382</v>
          </cell>
          <cell r="DU136">
            <v>4881</v>
          </cell>
          <cell r="DV136">
            <v>21166</v>
          </cell>
          <cell r="DW136">
            <v>4028</v>
          </cell>
          <cell r="DX136">
            <v>217</v>
          </cell>
          <cell r="DY136">
            <v>3095</v>
          </cell>
          <cell r="DZ136">
            <v>7259</v>
          </cell>
          <cell r="ED136">
            <v>12053</v>
          </cell>
          <cell r="EE136">
            <v>7000</v>
          </cell>
          <cell r="EF136">
            <v>7201</v>
          </cell>
          <cell r="EG136">
            <v>4936</v>
          </cell>
          <cell r="EH136">
            <v>2443</v>
          </cell>
          <cell r="EI136">
            <v>593</v>
          </cell>
          <cell r="EJ136">
            <v>1545</v>
          </cell>
          <cell r="EK136">
            <v>3995</v>
          </cell>
          <cell r="EL136">
            <v>8521</v>
          </cell>
          <cell r="EO136">
            <v>2931</v>
          </cell>
          <cell r="ER136">
            <v>11408</v>
          </cell>
          <cell r="EU136">
            <v>5433</v>
          </cell>
          <cell r="EX136">
            <v>8274</v>
          </cell>
          <cell r="EY136">
            <v>5312</v>
          </cell>
          <cell r="EZ136">
            <v>11710</v>
          </cell>
          <cell r="FA136">
            <v>11425</v>
          </cell>
          <cell r="FB136">
            <v>9923</v>
          </cell>
          <cell r="FC136">
            <v>1494</v>
          </cell>
          <cell r="FD136">
            <v>4274</v>
          </cell>
          <cell r="FE136">
            <v>19467</v>
          </cell>
          <cell r="FF136">
            <v>174057</v>
          </cell>
          <cell r="FG136">
            <v>15883</v>
          </cell>
          <cell r="FH136">
            <v>-410</v>
          </cell>
          <cell r="FI136">
            <v>189228</v>
          </cell>
          <cell r="FJ136">
            <v>3.9</v>
          </cell>
          <cell r="FK136">
            <v>-1</v>
          </cell>
          <cell r="FL136">
            <v>3.3</v>
          </cell>
          <cell r="FM136">
            <v>0.2</v>
          </cell>
          <cell r="FN136">
            <v>-0.7</v>
          </cell>
          <cell r="FO136">
            <v>-0.6</v>
          </cell>
          <cell r="FP136">
            <v>4.8</v>
          </cell>
          <cell r="FQ136">
            <v>2.5</v>
          </cell>
          <cell r="FR136">
            <v>-20.9</v>
          </cell>
          <cell r="FS136">
            <v>0.7</v>
          </cell>
          <cell r="FT136">
            <v>-0.1</v>
          </cell>
          <cell r="FU136">
            <v>4.3</v>
          </cell>
          <cell r="FV136">
            <v>0.2</v>
          </cell>
          <cell r="FW136">
            <v>-1.5</v>
          </cell>
          <cell r="FX136">
            <v>-2.7</v>
          </cell>
          <cell r="FY136">
            <v>-0.4</v>
          </cell>
          <cell r="FZ136">
            <v>0.5</v>
          </cell>
          <cell r="GA136">
            <v>-1.5</v>
          </cell>
          <cell r="GB136">
            <v>4.2</v>
          </cell>
          <cell r="GC136">
            <v>1.2</v>
          </cell>
          <cell r="GG136">
            <v>-1.6</v>
          </cell>
          <cell r="GH136">
            <v>-2.8</v>
          </cell>
          <cell r="GI136">
            <v>-2.1</v>
          </cell>
          <cell r="GJ136">
            <v>-2.2000000000000002</v>
          </cell>
          <cell r="GK136">
            <v>-1.1000000000000001</v>
          </cell>
          <cell r="GL136">
            <v>-0.3</v>
          </cell>
          <cell r="GM136">
            <v>-3.9</v>
          </cell>
          <cell r="GN136">
            <v>-0.7</v>
          </cell>
          <cell r="GO136">
            <v>-1.3</v>
          </cell>
          <cell r="GR136">
            <v>2.5</v>
          </cell>
          <cell r="GU136">
            <v>-2</v>
          </cell>
          <cell r="GX136">
            <v>2.7</v>
          </cell>
          <cell r="HA136">
            <v>2.9</v>
          </cell>
          <cell r="HB136">
            <v>3.7</v>
          </cell>
          <cell r="HC136">
            <v>0.7</v>
          </cell>
          <cell r="HD136">
            <v>0.2</v>
          </cell>
          <cell r="HE136">
            <v>1.4</v>
          </cell>
          <cell r="HF136">
            <v>0</v>
          </cell>
          <cell r="HG136">
            <v>0.7</v>
          </cell>
          <cell r="HH136">
            <v>0.8</v>
          </cell>
          <cell r="HI136">
            <v>-0.1</v>
          </cell>
          <cell r="HJ136">
            <v>3.2</v>
          </cell>
          <cell r="HK136">
            <v>0.6</v>
          </cell>
          <cell r="HL136">
            <v>9150</v>
          </cell>
          <cell r="HM136">
            <v>866</v>
          </cell>
          <cell r="HN136">
            <v>9929</v>
          </cell>
          <cell r="HO136">
            <v>1201</v>
          </cell>
          <cell r="HP136">
            <v>3131</v>
          </cell>
          <cell r="HQ136">
            <v>874</v>
          </cell>
          <cell r="HR136">
            <v>2912</v>
          </cell>
          <cell r="HS136">
            <v>7315</v>
          </cell>
          <cell r="HT136">
            <v>1241</v>
          </cell>
          <cell r="HU136">
            <v>8341</v>
          </cell>
          <cell r="HV136">
            <v>5047</v>
          </cell>
          <cell r="HW136">
            <v>4668</v>
          </cell>
          <cell r="HX136">
            <v>3141</v>
          </cell>
          <cell r="HY136">
            <v>3486</v>
          </cell>
          <cell r="HZ136">
            <v>5106</v>
          </cell>
          <cell r="IA136">
            <v>21965</v>
          </cell>
          <cell r="IB136">
            <v>3895</v>
          </cell>
          <cell r="IC136">
            <v>200</v>
          </cell>
          <cell r="ID136">
            <v>3252</v>
          </cell>
          <cell r="IE136">
            <v>7167</v>
          </cell>
          <cell r="II136">
            <v>12446</v>
          </cell>
          <cell r="IJ136">
            <v>7261</v>
          </cell>
          <cell r="IK136">
            <v>7949</v>
          </cell>
          <cell r="IL136">
            <v>5277</v>
          </cell>
          <cell r="IM136">
            <v>2500</v>
          </cell>
          <cell r="IN136">
            <v>620</v>
          </cell>
          <cell r="IO136">
            <v>1581</v>
          </cell>
          <cell r="IP136">
            <v>4053</v>
          </cell>
          <cell r="IQ136">
            <v>8693</v>
          </cell>
        </row>
        <row r="137">
          <cell r="B137">
            <v>5387</v>
          </cell>
          <cell r="C137">
            <v>852</v>
          </cell>
          <cell r="D137">
            <v>6153</v>
          </cell>
          <cell r="E137">
            <v>1206</v>
          </cell>
          <cell r="F137">
            <v>3112</v>
          </cell>
          <cell r="G137">
            <v>888</v>
          </cell>
          <cell r="H137">
            <v>2716</v>
          </cell>
          <cell r="I137">
            <v>7218</v>
          </cell>
          <cell r="J137">
            <v>1065</v>
          </cell>
          <cell r="K137">
            <v>8162</v>
          </cell>
          <cell r="L137">
            <v>4762</v>
          </cell>
          <cell r="M137">
            <v>4398</v>
          </cell>
          <cell r="N137">
            <v>3093</v>
          </cell>
          <cell r="O137">
            <v>3342</v>
          </cell>
          <cell r="P137">
            <v>4782</v>
          </cell>
          <cell r="Q137">
            <v>20863</v>
          </cell>
          <cell r="R137">
            <v>4010</v>
          </cell>
          <cell r="S137">
            <v>216</v>
          </cell>
          <cell r="T137">
            <v>3109</v>
          </cell>
          <cell r="U137">
            <v>7237</v>
          </cell>
          <cell r="Y137">
            <v>11568</v>
          </cell>
          <cell r="Z137">
            <v>6855</v>
          </cell>
          <cell r="AA137">
            <v>7166</v>
          </cell>
          <cell r="AB137">
            <v>4898</v>
          </cell>
          <cell r="AC137">
            <v>2475</v>
          </cell>
          <cell r="AD137">
            <v>585</v>
          </cell>
          <cell r="AE137">
            <v>1557</v>
          </cell>
          <cell r="AF137">
            <v>3974</v>
          </cell>
          <cell r="AG137">
            <v>8558</v>
          </cell>
          <cell r="AJ137">
            <v>3019</v>
          </cell>
          <cell r="AM137">
            <v>11549</v>
          </cell>
          <cell r="AP137">
            <v>5374</v>
          </cell>
          <cell r="AS137">
            <v>8315</v>
          </cell>
          <cell r="AT137">
            <v>5338</v>
          </cell>
          <cell r="AU137">
            <v>11810</v>
          </cell>
          <cell r="AV137">
            <v>11456</v>
          </cell>
          <cell r="AW137">
            <v>10062</v>
          </cell>
          <cell r="AX137">
            <v>1504</v>
          </cell>
          <cell r="AY137">
            <v>4257</v>
          </cell>
          <cell r="AZ137">
            <v>19608</v>
          </cell>
          <cell r="BA137">
            <v>173063</v>
          </cell>
          <cell r="BB137">
            <v>15570</v>
          </cell>
          <cell r="BC137">
            <v>-1029</v>
          </cell>
          <cell r="BD137">
            <v>187314</v>
          </cell>
          <cell r="BE137">
            <v>0.1</v>
          </cell>
          <cell r="BF137">
            <v>-0.5</v>
          </cell>
          <cell r="BG137">
            <v>0</v>
          </cell>
          <cell r="BH137">
            <v>0.7</v>
          </cell>
          <cell r="BI137">
            <v>-1.4</v>
          </cell>
          <cell r="BJ137">
            <v>1.3</v>
          </cell>
          <cell r="BK137">
            <v>-2.2000000000000002</v>
          </cell>
          <cell r="BL137">
            <v>0.1</v>
          </cell>
          <cell r="BM137">
            <v>-7.3</v>
          </cell>
          <cell r="BN137">
            <v>-0.4</v>
          </cell>
          <cell r="BO137">
            <v>0.2</v>
          </cell>
          <cell r="BP137">
            <v>0</v>
          </cell>
          <cell r="BQ137">
            <v>-0.3</v>
          </cell>
          <cell r="BR137">
            <v>-0.7</v>
          </cell>
          <cell r="BS137">
            <v>-2.1</v>
          </cell>
          <cell r="BT137">
            <v>-1</v>
          </cell>
          <cell r="BU137">
            <v>-0.1</v>
          </cell>
          <cell r="BV137">
            <v>-0.9</v>
          </cell>
          <cell r="BW137">
            <v>1.7</v>
          </cell>
          <cell r="BX137">
            <v>0.3</v>
          </cell>
          <cell r="CB137">
            <v>-3</v>
          </cell>
          <cell r="CC137">
            <v>-1.9</v>
          </cell>
          <cell r="CD137">
            <v>-0.6</v>
          </cell>
          <cell r="CE137">
            <v>-1.2</v>
          </cell>
          <cell r="CF137">
            <v>0.5</v>
          </cell>
          <cell r="CG137">
            <v>-0.6</v>
          </cell>
          <cell r="CH137">
            <v>-0.6</v>
          </cell>
          <cell r="CI137">
            <v>-0.3</v>
          </cell>
          <cell r="CJ137">
            <v>0</v>
          </cell>
          <cell r="CM137">
            <v>2.2999999999999998</v>
          </cell>
          <cell r="CP137">
            <v>0.5</v>
          </cell>
          <cell r="CS137">
            <v>0</v>
          </cell>
          <cell r="CV137">
            <v>1.5</v>
          </cell>
          <cell r="CW137">
            <v>1.6</v>
          </cell>
          <cell r="CX137">
            <v>0.8</v>
          </cell>
          <cell r="CY137">
            <v>0.2</v>
          </cell>
          <cell r="CZ137">
            <v>1.4</v>
          </cell>
          <cell r="DA137">
            <v>0.5</v>
          </cell>
          <cell r="DB137">
            <v>-0.2</v>
          </cell>
          <cell r="DC137">
            <v>0.7</v>
          </cell>
          <cell r="DD137">
            <v>-0.4</v>
          </cell>
          <cell r="DE137">
            <v>-0.5</v>
          </cell>
          <cell r="DF137">
            <v>-0.4</v>
          </cell>
          <cell r="DG137">
            <v>5181</v>
          </cell>
          <cell r="DH137">
            <v>848</v>
          </cell>
          <cell r="DI137">
            <v>5944</v>
          </cell>
          <cell r="DJ137">
            <v>1148</v>
          </cell>
          <cell r="DK137">
            <v>3164</v>
          </cell>
          <cell r="DL137">
            <v>891</v>
          </cell>
          <cell r="DM137">
            <v>2642</v>
          </cell>
          <cell r="DN137">
            <v>7108</v>
          </cell>
          <cell r="DO137">
            <v>1076</v>
          </cell>
          <cell r="DP137">
            <v>8049</v>
          </cell>
          <cell r="DQ137">
            <v>4804</v>
          </cell>
          <cell r="DR137">
            <v>4078</v>
          </cell>
          <cell r="DS137">
            <v>3174</v>
          </cell>
          <cell r="DT137">
            <v>3279</v>
          </cell>
          <cell r="DU137">
            <v>4807</v>
          </cell>
          <cell r="DV137">
            <v>20812</v>
          </cell>
          <cell r="DW137">
            <v>3997</v>
          </cell>
          <cell r="DX137">
            <v>215</v>
          </cell>
          <cell r="DY137">
            <v>3103</v>
          </cell>
          <cell r="DZ137">
            <v>7216</v>
          </cell>
          <cell r="ED137">
            <v>11458</v>
          </cell>
          <cell r="EE137">
            <v>6791</v>
          </cell>
          <cell r="EF137">
            <v>7129</v>
          </cell>
          <cell r="EG137">
            <v>4915</v>
          </cell>
          <cell r="EH137">
            <v>2495</v>
          </cell>
          <cell r="EI137">
            <v>585</v>
          </cell>
          <cell r="EJ137">
            <v>1559</v>
          </cell>
          <cell r="EK137">
            <v>3934</v>
          </cell>
          <cell r="EL137">
            <v>8539</v>
          </cell>
          <cell r="EO137">
            <v>3056</v>
          </cell>
          <cell r="ER137">
            <v>11550</v>
          </cell>
          <cell r="EU137">
            <v>5351</v>
          </cell>
          <cell r="EX137">
            <v>8261</v>
          </cell>
          <cell r="EY137">
            <v>5309</v>
          </cell>
          <cell r="EZ137">
            <v>11858</v>
          </cell>
          <cell r="FA137">
            <v>11459</v>
          </cell>
          <cell r="FB137">
            <v>10065</v>
          </cell>
          <cell r="FC137">
            <v>1501</v>
          </cell>
          <cell r="FD137">
            <v>4273</v>
          </cell>
          <cell r="FE137">
            <v>19609</v>
          </cell>
          <cell r="FF137">
            <v>172585</v>
          </cell>
          <cell r="FG137">
            <v>15636</v>
          </cell>
          <cell r="FH137">
            <v>-1186</v>
          </cell>
          <cell r="FI137">
            <v>186740</v>
          </cell>
          <cell r="FJ137">
            <v>-6.1</v>
          </cell>
          <cell r="FK137">
            <v>-0.8</v>
          </cell>
          <cell r="FL137">
            <v>-5.5</v>
          </cell>
          <cell r="FM137">
            <v>-4.9000000000000004</v>
          </cell>
          <cell r="FN137">
            <v>0.4</v>
          </cell>
          <cell r="FO137">
            <v>2.5</v>
          </cell>
          <cell r="FP137">
            <v>-8.6999999999999993</v>
          </cell>
          <cell r="FQ137">
            <v>-2.9</v>
          </cell>
          <cell r="FR137">
            <v>-0.4</v>
          </cell>
          <cell r="FS137">
            <v>-2.7</v>
          </cell>
          <cell r="FT137">
            <v>1.4</v>
          </cell>
          <cell r="FU137">
            <v>-11.7</v>
          </cell>
          <cell r="FV137">
            <v>3.2</v>
          </cell>
          <cell r="FW137">
            <v>-3</v>
          </cell>
          <cell r="FX137">
            <v>-1.5</v>
          </cell>
          <cell r="FY137">
            <v>-1.7</v>
          </cell>
          <cell r="FZ137">
            <v>-0.8</v>
          </cell>
          <cell r="GA137">
            <v>-0.9</v>
          </cell>
          <cell r="GB137">
            <v>0.2</v>
          </cell>
          <cell r="GC137">
            <v>-0.6</v>
          </cell>
          <cell r="GG137">
            <v>-4.9000000000000004</v>
          </cell>
          <cell r="GH137">
            <v>-3</v>
          </cell>
          <cell r="GI137">
            <v>-1</v>
          </cell>
          <cell r="GJ137">
            <v>-0.4</v>
          </cell>
          <cell r="GK137">
            <v>2.1</v>
          </cell>
          <cell r="GL137">
            <v>-1.4</v>
          </cell>
          <cell r="GM137">
            <v>0.9</v>
          </cell>
          <cell r="GN137">
            <v>-1.5</v>
          </cell>
          <cell r="GO137">
            <v>0.2</v>
          </cell>
          <cell r="GR137">
            <v>4.3</v>
          </cell>
          <cell r="GU137">
            <v>1.2</v>
          </cell>
          <cell r="GX137">
            <v>-1.5</v>
          </cell>
          <cell r="HA137">
            <v>-0.2</v>
          </cell>
          <cell r="HB137">
            <v>-0.1</v>
          </cell>
          <cell r="HC137">
            <v>1.3</v>
          </cell>
          <cell r="HD137">
            <v>0.3</v>
          </cell>
          <cell r="HE137">
            <v>1.4</v>
          </cell>
          <cell r="HF137">
            <v>0.5</v>
          </cell>
          <cell r="HG137">
            <v>0</v>
          </cell>
          <cell r="HH137">
            <v>0.7</v>
          </cell>
          <cell r="HI137">
            <v>-0.8</v>
          </cell>
          <cell r="HJ137">
            <v>-1.6</v>
          </cell>
          <cell r="HK137">
            <v>-1.3</v>
          </cell>
          <cell r="HL137">
            <v>3908</v>
          </cell>
          <cell r="HM137">
            <v>838</v>
          </cell>
          <cell r="HN137">
            <v>4665</v>
          </cell>
          <cell r="HO137">
            <v>1101</v>
          </cell>
          <cell r="HP137">
            <v>3100</v>
          </cell>
          <cell r="HQ137">
            <v>864</v>
          </cell>
          <cell r="HR137">
            <v>2534</v>
          </cell>
          <cell r="HS137">
            <v>6874</v>
          </cell>
          <cell r="HT137">
            <v>902</v>
          </cell>
          <cell r="HU137">
            <v>7721</v>
          </cell>
          <cell r="HV137">
            <v>4675</v>
          </cell>
          <cell r="HW137">
            <v>3925</v>
          </cell>
          <cell r="HX137">
            <v>3003</v>
          </cell>
          <cell r="HY137">
            <v>2991</v>
          </cell>
          <cell r="HZ137">
            <v>4491</v>
          </cell>
          <cell r="IA137">
            <v>19672</v>
          </cell>
          <cell r="IB137">
            <v>3889</v>
          </cell>
          <cell r="IC137">
            <v>181</v>
          </cell>
          <cell r="ID137">
            <v>3236</v>
          </cell>
          <cell r="IE137">
            <v>7111</v>
          </cell>
          <cell r="II137">
            <v>10642</v>
          </cell>
          <cell r="IJ137">
            <v>6468</v>
          </cell>
          <cell r="IK137">
            <v>6733</v>
          </cell>
          <cell r="IL137">
            <v>4879</v>
          </cell>
          <cell r="IM137">
            <v>2455</v>
          </cell>
          <cell r="IN137">
            <v>572</v>
          </cell>
          <cell r="IO137">
            <v>1517</v>
          </cell>
          <cell r="IP137">
            <v>3876</v>
          </cell>
          <cell r="IQ137">
            <v>8390</v>
          </cell>
        </row>
        <row r="138">
          <cell r="B138">
            <v>5181</v>
          </cell>
          <cell r="C138">
            <v>840</v>
          </cell>
          <cell r="D138">
            <v>5939</v>
          </cell>
          <cell r="E138">
            <v>1229</v>
          </cell>
          <cell r="F138">
            <v>3099</v>
          </cell>
          <cell r="G138">
            <v>921</v>
          </cell>
          <cell r="H138">
            <v>2702</v>
          </cell>
          <cell r="I138">
            <v>7313</v>
          </cell>
          <cell r="J138">
            <v>1027</v>
          </cell>
          <cell r="K138">
            <v>8251</v>
          </cell>
          <cell r="L138">
            <v>4703</v>
          </cell>
          <cell r="M138">
            <v>4439</v>
          </cell>
          <cell r="N138">
            <v>3066</v>
          </cell>
          <cell r="O138">
            <v>3341</v>
          </cell>
          <cell r="P138">
            <v>4800</v>
          </cell>
          <cell r="Q138">
            <v>20666</v>
          </cell>
          <cell r="R138">
            <v>4026</v>
          </cell>
          <cell r="S138">
            <v>215</v>
          </cell>
          <cell r="T138">
            <v>3120</v>
          </cell>
          <cell r="U138">
            <v>7254</v>
          </cell>
          <cell r="Y138">
            <v>11094</v>
          </cell>
          <cell r="Z138">
            <v>6780</v>
          </cell>
          <cell r="AA138">
            <v>7219</v>
          </cell>
          <cell r="AB138">
            <v>4884</v>
          </cell>
          <cell r="AC138">
            <v>2485</v>
          </cell>
          <cell r="AD138">
            <v>602</v>
          </cell>
          <cell r="AE138">
            <v>1566</v>
          </cell>
          <cell r="AF138">
            <v>4006</v>
          </cell>
          <cell r="AG138">
            <v>8640</v>
          </cell>
          <cell r="AJ138">
            <v>3089</v>
          </cell>
          <cell r="AM138">
            <v>11729</v>
          </cell>
          <cell r="AP138">
            <v>5320</v>
          </cell>
          <cell r="AS138">
            <v>8463</v>
          </cell>
          <cell r="AT138">
            <v>5391</v>
          </cell>
          <cell r="AU138">
            <v>11965</v>
          </cell>
          <cell r="AV138">
            <v>11477</v>
          </cell>
          <cell r="AW138">
            <v>10172</v>
          </cell>
          <cell r="AX138">
            <v>1513</v>
          </cell>
          <cell r="AY138">
            <v>4234</v>
          </cell>
          <cell r="AZ138">
            <v>19742</v>
          </cell>
          <cell r="BA138">
            <v>172330</v>
          </cell>
          <cell r="BB138">
            <v>15464</v>
          </cell>
          <cell r="BC138">
            <v>-747</v>
          </cell>
          <cell r="BD138">
            <v>186759</v>
          </cell>
          <cell r="BE138">
            <v>-3.8</v>
          </cell>
          <cell r="BF138">
            <v>-1.5</v>
          </cell>
          <cell r="BG138">
            <v>-3.5</v>
          </cell>
          <cell r="BH138">
            <v>1.9</v>
          </cell>
          <cell r="BI138">
            <v>-0.4</v>
          </cell>
          <cell r="BJ138">
            <v>3.7</v>
          </cell>
          <cell r="BK138">
            <v>-0.5</v>
          </cell>
          <cell r="BL138">
            <v>1.3</v>
          </cell>
          <cell r="BM138">
            <v>-3.6</v>
          </cell>
          <cell r="BN138">
            <v>1.1000000000000001</v>
          </cell>
          <cell r="BO138">
            <v>-1.2</v>
          </cell>
          <cell r="BP138">
            <v>0.9</v>
          </cell>
          <cell r="BQ138">
            <v>-0.9</v>
          </cell>
          <cell r="BR138">
            <v>0</v>
          </cell>
          <cell r="BS138">
            <v>0.4</v>
          </cell>
          <cell r="BT138">
            <v>-0.9</v>
          </cell>
          <cell r="BU138">
            <v>0.4</v>
          </cell>
          <cell r="BV138">
            <v>-0.5</v>
          </cell>
          <cell r="BW138">
            <v>0.4</v>
          </cell>
          <cell r="BX138">
            <v>0.2</v>
          </cell>
          <cell r="CB138">
            <v>-4.0999999999999996</v>
          </cell>
          <cell r="CC138">
            <v>-1.1000000000000001</v>
          </cell>
          <cell r="CD138">
            <v>0.7</v>
          </cell>
          <cell r="CE138">
            <v>-0.3</v>
          </cell>
          <cell r="CF138">
            <v>0.4</v>
          </cell>
          <cell r="CG138">
            <v>2.8</v>
          </cell>
          <cell r="CH138">
            <v>0.6</v>
          </cell>
          <cell r="CI138">
            <v>0.8</v>
          </cell>
          <cell r="CJ138">
            <v>1</v>
          </cell>
          <cell r="CM138">
            <v>2.2999999999999998</v>
          </cell>
          <cell r="CP138">
            <v>1.6</v>
          </cell>
          <cell r="CS138">
            <v>-1</v>
          </cell>
          <cell r="CV138">
            <v>1.8</v>
          </cell>
          <cell r="CW138">
            <v>1</v>
          </cell>
          <cell r="CX138">
            <v>1.3</v>
          </cell>
          <cell r="CY138">
            <v>0.2</v>
          </cell>
          <cell r="CZ138">
            <v>1.1000000000000001</v>
          </cell>
          <cell r="DA138">
            <v>0.7</v>
          </cell>
          <cell r="DB138">
            <v>-0.5</v>
          </cell>
          <cell r="DC138">
            <v>0.7</v>
          </cell>
          <cell r="DD138">
            <v>-0.4</v>
          </cell>
          <cell r="DE138">
            <v>-0.7</v>
          </cell>
          <cell r="DF138">
            <v>-0.3</v>
          </cell>
          <cell r="DG138">
            <v>5391</v>
          </cell>
          <cell r="DH138">
            <v>849</v>
          </cell>
          <cell r="DI138">
            <v>6151</v>
          </cell>
          <cell r="DJ138">
            <v>1295</v>
          </cell>
          <cell r="DK138">
            <v>3033</v>
          </cell>
          <cell r="DL138">
            <v>921</v>
          </cell>
          <cell r="DM138">
            <v>2646</v>
          </cell>
          <cell r="DN138">
            <v>7314</v>
          </cell>
          <cell r="DO138">
            <v>1061</v>
          </cell>
          <cell r="DP138">
            <v>8266</v>
          </cell>
          <cell r="DQ138">
            <v>4688</v>
          </cell>
          <cell r="DR138">
            <v>4563</v>
          </cell>
          <cell r="DS138">
            <v>3026</v>
          </cell>
          <cell r="DT138">
            <v>3379</v>
          </cell>
          <cell r="DU138">
            <v>4707</v>
          </cell>
          <cell r="DV138">
            <v>20609</v>
          </cell>
          <cell r="DW138">
            <v>4016</v>
          </cell>
          <cell r="DX138">
            <v>216</v>
          </cell>
          <cell r="DY138">
            <v>3118</v>
          </cell>
          <cell r="DZ138">
            <v>7245</v>
          </cell>
          <cell r="ED138">
            <v>11150</v>
          </cell>
          <cell r="EE138">
            <v>6843</v>
          </cell>
          <cell r="EF138">
            <v>7179</v>
          </cell>
          <cell r="EG138">
            <v>4856</v>
          </cell>
          <cell r="EH138">
            <v>2490</v>
          </cell>
          <cell r="EI138">
            <v>583</v>
          </cell>
          <cell r="EJ138">
            <v>1570</v>
          </cell>
          <cell r="EK138">
            <v>4017</v>
          </cell>
          <cell r="EL138">
            <v>8647</v>
          </cell>
          <cell r="EO138">
            <v>3080</v>
          </cell>
          <cell r="ER138">
            <v>11740</v>
          </cell>
          <cell r="EU138">
            <v>5343</v>
          </cell>
          <cell r="EX138">
            <v>8462</v>
          </cell>
          <cell r="EY138">
            <v>5404</v>
          </cell>
          <cell r="EZ138">
            <v>11878</v>
          </cell>
          <cell r="FA138">
            <v>11504</v>
          </cell>
          <cell r="FB138">
            <v>10154</v>
          </cell>
          <cell r="FC138">
            <v>1517</v>
          </cell>
          <cell r="FD138">
            <v>4211</v>
          </cell>
          <cell r="FE138">
            <v>19744</v>
          </cell>
          <cell r="FF138">
            <v>172602</v>
          </cell>
          <cell r="FG138">
            <v>15256</v>
          </cell>
          <cell r="FH138">
            <v>-1139</v>
          </cell>
          <cell r="FI138">
            <v>186442</v>
          </cell>
          <cell r="FJ138">
            <v>4.0999999999999996</v>
          </cell>
          <cell r="FK138">
            <v>0.1</v>
          </cell>
          <cell r="FL138">
            <v>3.5</v>
          </cell>
          <cell r="FM138">
            <v>12.9</v>
          </cell>
          <cell r="FN138">
            <v>-4.0999999999999996</v>
          </cell>
          <cell r="FO138">
            <v>3.4</v>
          </cell>
          <cell r="FP138">
            <v>0.1</v>
          </cell>
          <cell r="FQ138">
            <v>2.9</v>
          </cell>
          <cell r="FR138">
            <v>-1.4</v>
          </cell>
          <cell r="FS138">
            <v>2.7</v>
          </cell>
          <cell r="FT138">
            <v>-2.4</v>
          </cell>
          <cell r="FU138">
            <v>11.9</v>
          </cell>
          <cell r="FV138">
            <v>-4.7</v>
          </cell>
          <cell r="FW138">
            <v>3</v>
          </cell>
          <cell r="FX138">
            <v>-2.1</v>
          </cell>
          <cell r="FY138">
            <v>-1</v>
          </cell>
          <cell r="FZ138">
            <v>0.5</v>
          </cell>
          <cell r="GA138">
            <v>0.5</v>
          </cell>
          <cell r="GB138">
            <v>0.5</v>
          </cell>
          <cell r="GC138">
            <v>0.4</v>
          </cell>
          <cell r="GG138">
            <v>-2.7</v>
          </cell>
          <cell r="GH138">
            <v>0.8</v>
          </cell>
          <cell r="GI138">
            <v>0.7</v>
          </cell>
          <cell r="GJ138">
            <v>-1.2</v>
          </cell>
          <cell r="GK138">
            <v>-0.2</v>
          </cell>
          <cell r="GL138">
            <v>-0.2</v>
          </cell>
          <cell r="GM138">
            <v>0.7</v>
          </cell>
          <cell r="GN138">
            <v>2.1</v>
          </cell>
          <cell r="GO138">
            <v>1.3</v>
          </cell>
          <cell r="GR138">
            <v>0.8</v>
          </cell>
          <cell r="GU138">
            <v>1.6</v>
          </cell>
          <cell r="GX138">
            <v>-0.1</v>
          </cell>
          <cell r="HA138">
            <v>2.4</v>
          </cell>
          <cell r="HB138">
            <v>1.8</v>
          </cell>
          <cell r="HC138">
            <v>0.2</v>
          </cell>
          <cell r="HD138">
            <v>0.4</v>
          </cell>
          <cell r="HE138">
            <v>0.9</v>
          </cell>
          <cell r="HF138">
            <v>1</v>
          </cell>
          <cell r="HG138">
            <v>-1.4</v>
          </cell>
          <cell r="HH138">
            <v>0.7</v>
          </cell>
          <cell r="HI138">
            <v>0</v>
          </cell>
          <cell r="HJ138">
            <v>-2.4</v>
          </cell>
          <cell r="HK138">
            <v>-0.2</v>
          </cell>
          <cell r="HL138">
            <v>3949</v>
          </cell>
          <cell r="HM138">
            <v>840</v>
          </cell>
          <cell r="HN138">
            <v>4728</v>
          </cell>
          <cell r="HO138">
            <v>1281</v>
          </cell>
          <cell r="HP138">
            <v>3007</v>
          </cell>
          <cell r="HQ138">
            <v>914</v>
          </cell>
          <cell r="HR138">
            <v>2647</v>
          </cell>
          <cell r="HS138">
            <v>7265</v>
          </cell>
          <cell r="HT138">
            <v>1081</v>
          </cell>
          <cell r="HU138">
            <v>8223</v>
          </cell>
          <cell r="HV138">
            <v>4510</v>
          </cell>
          <cell r="HW138">
            <v>4561</v>
          </cell>
          <cell r="HX138">
            <v>3029</v>
          </cell>
          <cell r="HY138">
            <v>3430</v>
          </cell>
          <cell r="HZ138">
            <v>4596</v>
          </cell>
          <cell r="IA138">
            <v>20373</v>
          </cell>
          <cell r="IB138">
            <v>4019</v>
          </cell>
          <cell r="IC138">
            <v>227</v>
          </cell>
          <cell r="ID138">
            <v>2959</v>
          </cell>
          <cell r="IE138">
            <v>7163</v>
          </cell>
          <cell r="II138">
            <v>11599</v>
          </cell>
          <cell r="IJ138">
            <v>6869</v>
          </cell>
          <cell r="IK138">
            <v>6995</v>
          </cell>
          <cell r="IL138">
            <v>4615</v>
          </cell>
          <cell r="IM138">
            <v>2480</v>
          </cell>
          <cell r="IN138">
            <v>547</v>
          </cell>
          <cell r="IO138">
            <v>1550</v>
          </cell>
          <cell r="IP138">
            <v>4001</v>
          </cell>
          <cell r="IQ138">
            <v>8567</v>
          </cell>
        </row>
        <row r="139">
          <cell r="B139">
            <v>4968</v>
          </cell>
          <cell r="C139">
            <v>827</v>
          </cell>
          <cell r="D139">
            <v>5718</v>
          </cell>
          <cell r="E139">
            <v>1262</v>
          </cell>
          <cell r="F139">
            <v>3107</v>
          </cell>
          <cell r="G139">
            <v>950</v>
          </cell>
          <cell r="H139">
            <v>2755</v>
          </cell>
          <cell r="I139">
            <v>7475</v>
          </cell>
          <cell r="J139">
            <v>1062</v>
          </cell>
          <cell r="K139">
            <v>8444</v>
          </cell>
          <cell r="L139">
            <v>4669</v>
          </cell>
          <cell r="M139">
            <v>4455</v>
          </cell>
          <cell r="N139">
            <v>3027</v>
          </cell>
          <cell r="O139">
            <v>3317</v>
          </cell>
          <cell r="P139">
            <v>4903</v>
          </cell>
          <cell r="Q139">
            <v>20503</v>
          </cell>
          <cell r="R139">
            <v>4061</v>
          </cell>
          <cell r="S139">
            <v>213</v>
          </cell>
          <cell r="T139">
            <v>3100</v>
          </cell>
          <cell r="U139">
            <v>7274</v>
          </cell>
          <cell r="Y139">
            <v>10808</v>
          </cell>
          <cell r="Z139">
            <v>6790</v>
          </cell>
          <cell r="AA139">
            <v>7343</v>
          </cell>
          <cell r="AB139">
            <v>4915</v>
          </cell>
          <cell r="AC139">
            <v>2512</v>
          </cell>
          <cell r="AD139">
            <v>640</v>
          </cell>
          <cell r="AE139">
            <v>1580</v>
          </cell>
          <cell r="AF139">
            <v>4027</v>
          </cell>
          <cell r="AG139">
            <v>8747</v>
          </cell>
          <cell r="AJ139">
            <v>3138</v>
          </cell>
          <cell r="AM139">
            <v>11923</v>
          </cell>
          <cell r="AP139">
            <v>5233</v>
          </cell>
          <cell r="AS139">
            <v>8576</v>
          </cell>
          <cell r="AT139">
            <v>5411</v>
          </cell>
          <cell r="AU139">
            <v>12140</v>
          </cell>
          <cell r="AV139">
            <v>11488</v>
          </cell>
          <cell r="AW139">
            <v>10208</v>
          </cell>
          <cell r="AX139">
            <v>1522</v>
          </cell>
          <cell r="AY139">
            <v>4203</v>
          </cell>
          <cell r="AZ139">
            <v>19875</v>
          </cell>
          <cell r="BA139">
            <v>172026</v>
          </cell>
          <cell r="BB139">
            <v>15397</v>
          </cell>
          <cell r="BC139">
            <v>-276</v>
          </cell>
          <cell r="BD139">
            <v>186864</v>
          </cell>
          <cell r="BE139">
            <v>-4.0999999999999996</v>
          </cell>
          <cell r="BF139">
            <v>-1.5</v>
          </cell>
          <cell r="BG139">
            <v>-3.7</v>
          </cell>
          <cell r="BH139">
            <v>2.7</v>
          </cell>
          <cell r="BI139">
            <v>0.2</v>
          </cell>
          <cell r="BJ139">
            <v>3.1</v>
          </cell>
          <cell r="BK139">
            <v>2</v>
          </cell>
          <cell r="BL139">
            <v>2.2000000000000002</v>
          </cell>
          <cell r="BM139">
            <v>3.4</v>
          </cell>
          <cell r="BN139">
            <v>2.2999999999999998</v>
          </cell>
          <cell r="BO139">
            <v>-0.7</v>
          </cell>
          <cell r="BP139">
            <v>0.4</v>
          </cell>
          <cell r="BQ139">
            <v>-1.3</v>
          </cell>
          <cell r="BR139">
            <v>-0.7</v>
          </cell>
          <cell r="BS139">
            <v>2.2000000000000002</v>
          </cell>
          <cell r="BT139">
            <v>-0.8</v>
          </cell>
          <cell r="BU139">
            <v>0.9</v>
          </cell>
          <cell r="BV139">
            <v>-0.9</v>
          </cell>
          <cell r="BW139">
            <v>-0.6</v>
          </cell>
          <cell r="BX139">
            <v>0.3</v>
          </cell>
          <cell r="CB139">
            <v>-2.6</v>
          </cell>
          <cell r="CC139">
            <v>0.1</v>
          </cell>
          <cell r="CD139">
            <v>1.7</v>
          </cell>
          <cell r="CE139">
            <v>0.6</v>
          </cell>
          <cell r="CF139">
            <v>1.1000000000000001</v>
          </cell>
          <cell r="CG139">
            <v>6.4</v>
          </cell>
          <cell r="CH139">
            <v>0.9</v>
          </cell>
          <cell r="CI139">
            <v>0.5</v>
          </cell>
          <cell r="CJ139">
            <v>1.2</v>
          </cell>
          <cell r="CM139">
            <v>1.6</v>
          </cell>
          <cell r="CP139">
            <v>1.7</v>
          </cell>
          <cell r="CS139">
            <v>-1.6</v>
          </cell>
          <cell r="CV139">
            <v>1.3</v>
          </cell>
          <cell r="CW139">
            <v>0.4</v>
          </cell>
          <cell r="CX139">
            <v>1.5</v>
          </cell>
          <cell r="CY139">
            <v>0.1</v>
          </cell>
          <cell r="CZ139">
            <v>0.4</v>
          </cell>
          <cell r="DA139">
            <v>0.6</v>
          </cell>
          <cell r="DB139">
            <v>-0.7</v>
          </cell>
          <cell r="DC139">
            <v>0.7</v>
          </cell>
          <cell r="DD139">
            <v>-0.2</v>
          </cell>
          <cell r="DE139">
            <v>-0.4</v>
          </cell>
          <cell r="DF139">
            <v>0.1</v>
          </cell>
          <cell r="DG139">
            <v>4993</v>
          </cell>
          <cell r="DH139">
            <v>821</v>
          </cell>
          <cell r="DI139">
            <v>5734</v>
          </cell>
          <cell r="DJ139">
            <v>1232</v>
          </cell>
          <cell r="DK139">
            <v>3115</v>
          </cell>
          <cell r="DL139">
            <v>921</v>
          </cell>
          <cell r="DM139">
            <v>2824</v>
          </cell>
          <cell r="DN139">
            <v>7469</v>
          </cell>
          <cell r="DO139">
            <v>958</v>
          </cell>
          <cell r="DP139">
            <v>8398</v>
          </cell>
          <cell r="DQ139">
            <v>4659</v>
          </cell>
          <cell r="DR139">
            <v>4527</v>
          </cell>
          <cell r="DS139">
            <v>3021</v>
          </cell>
          <cell r="DT139">
            <v>3333</v>
          </cell>
          <cell r="DU139">
            <v>4955</v>
          </cell>
          <cell r="DV139">
            <v>20580</v>
          </cell>
          <cell r="DW139">
            <v>4070</v>
          </cell>
          <cell r="DX139">
            <v>213</v>
          </cell>
          <cell r="DY139">
            <v>3101</v>
          </cell>
          <cell r="DZ139">
            <v>7286</v>
          </cell>
          <cell r="ED139">
            <v>10724</v>
          </cell>
          <cell r="EE139">
            <v>6775</v>
          </cell>
          <cell r="EF139">
            <v>7416</v>
          </cell>
          <cell r="EG139">
            <v>4907</v>
          </cell>
          <cell r="EH139">
            <v>2498</v>
          </cell>
          <cell r="EI139">
            <v>649</v>
          </cell>
          <cell r="EJ139">
            <v>1578</v>
          </cell>
          <cell r="EK139">
            <v>4044</v>
          </cell>
          <cell r="EL139">
            <v>8752</v>
          </cell>
          <cell r="EO139">
            <v>3131</v>
          </cell>
          <cell r="ER139">
            <v>11935</v>
          </cell>
          <cell r="EU139">
            <v>5243</v>
          </cell>
          <cell r="EX139">
            <v>8632</v>
          </cell>
          <cell r="EY139">
            <v>5432</v>
          </cell>
          <cell r="EZ139">
            <v>12169</v>
          </cell>
          <cell r="FA139">
            <v>11477</v>
          </cell>
          <cell r="FB139">
            <v>10285</v>
          </cell>
          <cell r="FC139">
            <v>1520</v>
          </cell>
          <cell r="FD139">
            <v>4221</v>
          </cell>
          <cell r="FE139">
            <v>19874</v>
          </cell>
          <cell r="FF139">
            <v>172153</v>
          </cell>
          <cell r="FG139">
            <v>15497</v>
          </cell>
          <cell r="FH139">
            <v>-65</v>
          </cell>
          <cell r="FI139">
            <v>187298</v>
          </cell>
          <cell r="FJ139">
            <v>-7.4</v>
          </cell>
          <cell r="FK139">
            <v>-3.2</v>
          </cell>
          <cell r="FL139">
            <v>-6.8</v>
          </cell>
          <cell r="FM139">
            <v>-4.9000000000000004</v>
          </cell>
          <cell r="FN139">
            <v>2.7</v>
          </cell>
          <cell r="FO139">
            <v>0</v>
          </cell>
          <cell r="FP139">
            <v>6.7</v>
          </cell>
          <cell r="FQ139">
            <v>2.1</v>
          </cell>
          <cell r="FR139">
            <v>-9.6999999999999993</v>
          </cell>
          <cell r="FS139">
            <v>1.6</v>
          </cell>
          <cell r="FT139">
            <v>-0.6</v>
          </cell>
          <cell r="FU139">
            <v>-0.8</v>
          </cell>
          <cell r="FV139">
            <v>-0.2</v>
          </cell>
          <cell r="FW139">
            <v>-1.3</v>
          </cell>
          <cell r="FX139">
            <v>5.3</v>
          </cell>
          <cell r="FY139">
            <v>-0.1</v>
          </cell>
          <cell r="FZ139">
            <v>1.3</v>
          </cell>
          <cell r="GA139">
            <v>-1.4</v>
          </cell>
          <cell r="GB139">
            <v>-0.5</v>
          </cell>
          <cell r="GC139">
            <v>0.6</v>
          </cell>
          <cell r="GG139">
            <v>-3.8</v>
          </cell>
          <cell r="GH139">
            <v>-1</v>
          </cell>
          <cell r="GI139">
            <v>3.3</v>
          </cell>
          <cell r="GJ139">
            <v>1</v>
          </cell>
          <cell r="GK139">
            <v>0.3</v>
          </cell>
          <cell r="GL139">
            <v>11.3</v>
          </cell>
          <cell r="GM139">
            <v>0.5</v>
          </cell>
          <cell r="GN139">
            <v>0.7</v>
          </cell>
          <cell r="GO139">
            <v>1.2</v>
          </cell>
          <cell r="GR139">
            <v>1.7</v>
          </cell>
          <cell r="GU139">
            <v>1.7</v>
          </cell>
          <cell r="GX139">
            <v>-1.9</v>
          </cell>
          <cell r="HA139">
            <v>2</v>
          </cell>
          <cell r="HB139">
            <v>0.5</v>
          </cell>
          <cell r="HC139">
            <v>2.4</v>
          </cell>
          <cell r="HD139">
            <v>-0.2</v>
          </cell>
          <cell r="HE139">
            <v>1.3</v>
          </cell>
          <cell r="HF139">
            <v>0.2</v>
          </cell>
          <cell r="HG139">
            <v>0.2</v>
          </cell>
          <cell r="HH139">
            <v>0.7</v>
          </cell>
          <cell r="HI139">
            <v>-0.3</v>
          </cell>
          <cell r="HJ139">
            <v>1.6</v>
          </cell>
          <cell r="HK139">
            <v>0.5</v>
          </cell>
          <cell r="HL139">
            <v>4008</v>
          </cell>
          <cell r="HM139">
            <v>828</v>
          </cell>
          <cell r="HN139">
            <v>4794</v>
          </cell>
          <cell r="HO139">
            <v>1301</v>
          </cell>
          <cell r="HP139">
            <v>3229</v>
          </cell>
          <cell r="HQ139">
            <v>957</v>
          </cell>
          <cell r="HR139">
            <v>2919</v>
          </cell>
          <cell r="HS139">
            <v>7774</v>
          </cell>
          <cell r="HT139">
            <v>959</v>
          </cell>
          <cell r="HU139">
            <v>8724</v>
          </cell>
          <cell r="HV139">
            <v>4654</v>
          </cell>
          <cell r="HW139">
            <v>4635</v>
          </cell>
          <cell r="HX139">
            <v>3110</v>
          </cell>
          <cell r="HY139">
            <v>3452</v>
          </cell>
          <cell r="HZ139">
            <v>5146</v>
          </cell>
          <cell r="IA139">
            <v>21107</v>
          </cell>
          <cell r="IB139">
            <v>4309</v>
          </cell>
          <cell r="IC139">
            <v>251</v>
          </cell>
          <cell r="ID139">
            <v>2969</v>
          </cell>
          <cell r="IE139">
            <v>7560</v>
          </cell>
          <cell r="II139">
            <v>10747</v>
          </cell>
          <cell r="IJ139">
            <v>6796</v>
          </cell>
          <cell r="IK139">
            <v>7245</v>
          </cell>
          <cell r="IL139">
            <v>4855</v>
          </cell>
          <cell r="IM139">
            <v>2481</v>
          </cell>
          <cell r="IN139">
            <v>672</v>
          </cell>
          <cell r="IO139">
            <v>1605</v>
          </cell>
          <cell r="IP139">
            <v>4059</v>
          </cell>
          <cell r="IQ139">
            <v>8799</v>
          </cell>
        </row>
        <row r="140">
          <cell r="B140">
            <v>4937</v>
          </cell>
          <cell r="C140">
            <v>822</v>
          </cell>
          <cell r="D140">
            <v>5678</v>
          </cell>
          <cell r="E140">
            <v>1298</v>
          </cell>
          <cell r="F140">
            <v>3123</v>
          </cell>
          <cell r="G140">
            <v>944</v>
          </cell>
          <cell r="H140">
            <v>2834</v>
          </cell>
          <cell r="I140">
            <v>7620</v>
          </cell>
          <cell r="J140">
            <v>1077</v>
          </cell>
          <cell r="K140">
            <v>8607</v>
          </cell>
          <cell r="L140">
            <v>4704</v>
          </cell>
          <cell r="M140">
            <v>4344</v>
          </cell>
          <cell r="N140">
            <v>3033</v>
          </cell>
          <cell r="O140">
            <v>3231</v>
          </cell>
          <cell r="P140">
            <v>5021</v>
          </cell>
          <cell r="Q140">
            <v>20364</v>
          </cell>
          <cell r="R140">
            <v>4097</v>
          </cell>
          <cell r="S140">
            <v>211</v>
          </cell>
          <cell r="T140">
            <v>3058</v>
          </cell>
          <cell r="U140">
            <v>7285</v>
          </cell>
          <cell r="Y140">
            <v>10721</v>
          </cell>
          <cell r="Z140">
            <v>6853</v>
          </cell>
          <cell r="AA140">
            <v>7457</v>
          </cell>
          <cell r="AB140">
            <v>4963</v>
          </cell>
          <cell r="AC140">
            <v>2557</v>
          </cell>
          <cell r="AD140">
            <v>681</v>
          </cell>
          <cell r="AE140">
            <v>1580</v>
          </cell>
          <cell r="AF140">
            <v>4005</v>
          </cell>
          <cell r="AG140">
            <v>8812</v>
          </cell>
          <cell r="AJ140">
            <v>3176</v>
          </cell>
          <cell r="AM140">
            <v>12084</v>
          </cell>
          <cell r="AP140">
            <v>5191</v>
          </cell>
          <cell r="AS140">
            <v>8652</v>
          </cell>
          <cell r="AT140">
            <v>5439</v>
          </cell>
          <cell r="AU140">
            <v>12274</v>
          </cell>
          <cell r="AV140">
            <v>11526</v>
          </cell>
          <cell r="AW140">
            <v>10186</v>
          </cell>
          <cell r="AX140">
            <v>1531</v>
          </cell>
          <cell r="AY140">
            <v>4185</v>
          </cell>
          <cell r="AZ140">
            <v>20013</v>
          </cell>
          <cell r="BA140">
            <v>172411</v>
          </cell>
          <cell r="BB140">
            <v>15461</v>
          </cell>
          <cell r="BC140">
            <v>110</v>
          </cell>
          <cell r="BD140">
            <v>187697</v>
          </cell>
          <cell r="BE140">
            <v>-0.6</v>
          </cell>
          <cell r="BF140">
            <v>-0.7</v>
          </cell>
          <cell r="BG140">
            <v>-0.7</v>
          </cell>
          <cell r="BH140">
            <v>2.9</v>
          </cell>
          <cell r="BI140">
            <v>0.5</v>
          </cell>
          <cell r="BJ140">
            <v>-0.6</v>
          </cell>
          <cell r="BK140">
            <v>2.9</v>
          </cell>
          <cell r="BL140">
            <v>1.9</v>
          </cell>
          <cell r="BM140">
            <v>1.4</v>
          </cell>
          <cell r="BN140">
            <v>1.9</v>
          </cell>
          <cell r="BO140">
            <v>0.8</v>
          </cell>
          <cell r="BP140">
            <v>-2.5</v>
          </cell>
          <cell r="BQ140">
            <v>0.2</v>
          </cell>
          <cell r="BR140">
            <v>-2.6</v>
          </cell>
          <cell r="BS140">
            <v>2.4</v>
          </cell>
          <cell r="BT140">
            <v>-0.7</v>
          </cell>
          <cell r="BU140">
            <v>0.9</v>
          </cell>
          <cell r="BV140">
            <v>-0.6</v>
          </cell>
          <cell r="BW140">
            <v>-1.4</v>
          </cell>
          <cell r="BX140">
            <v>0.1</v>
          </cell>
          <cell r="CB140">
            <v>-0.8</v>
          </cell>
          <cell r="CC140">
            <v>0.9</v>
          </cell>
          <cell r="CD140">
            <v>1.6</v>
          </cell>
          <cell r="CE140">
            <v>1</v>
          </cell>
          <cell r="CF140">
            <v>1.8</v>
          </cell>
          <cell r="CG140">
            <v>6.4</v>
          </cell>
          <cell r="CH140">
            <v>0</v>
          </cell>
          <cell r="CI140">
            <v>-0.5</v>
          </cell>
          <cell r="CJ140">
            <v>0.7</v>
          </cell>
          <cell r="CM140">
            <v>1.2</v>
          </cell>
          <cell r="CP140">
            <v>1.3</v>
          </cell>
          <cell r="CS140">
            <v>-0.8</v>
          </cell>
          <cell r="CV140">
            <v>0.9</v>
          </cell>
          <cell r="CW140">
            <v>0.5</v>
          </cell>
          <cell r="CX140">
            <v>1.1000000000000001</v>
          </cell>
          <cell r="CY140">
            <v>0.3</v>
          </cell>
          <cell r="CZ140">
            <v>-0.2</v>
          </cell>
          <cell r="DA140">
            <v>0.6</v>
          </cell>
          <cell r="DB140">
            <v>-0.4</v>
          </cell>
          <cell r="DC140">
            <v>0.7</v>
          </cell>
          <cell r="DD140">
            <v>0.2</v>
          </cell>
          <cell r="DE140">
            <v>0.4</v>
          </cell>
          <cell r="DF140">
            <v>0.4</v>
          </cell>
          <cell r="DG140">
            <v>4585</v>
          </cell>
          <cell r="DH140">
            <v>815</v>
          </cell>
          <cell r="DI140">
            <v>5338</v>
          </cell>
          <cell r="DJ140">
            <v>1277</v>
          </cell>
          <cell r="DK140">
            <v>3172</v>
          </cell>
          <cell r="DL140">
            <v>1017</v>
          </cell>
          <cell r="DM140">
            <v>2814</v>
          </cell>
          <cell r="DN140">
            <v>7685</v>
          </cell>
          <cell r="DO140">
            <v>1197</v>
          </cell>
          <cell r="DP140">
            <v>8727</v>
          </cell>
          <cell r="DQ140">
            <v>4649</v>
          </cell>
          <cell r="DR140">
            <v>4364</v>
          </cell>
          <cell r="DS140">
            <v>3023</v>
          </cell>
          <cell r="DT140">
            <v>3246</v>
          </cell>
          <cell r="DU140">
            <v>5047</v>
          </cell>
          <cell r="DV140">
            <v>20364</v>
          </cell>
          <cell r="DW140">
            <v>4099</v>
          </cell>
          <cell r="DX140">
            <v>210</v>
          </cell>
          <cell r="DY140">
            <v>3075</v>
          </cell>
          <cell r="DZ140">
            <v>7294</v>
          </cell>
          <cell r="ED140">
            <v>10687</v>
          </cell>
          <cell r="EE140">
            <v>6769</v>
          </cell>
          <cell r="EF140">
            <v>7434</v>
          </cell>
          <cell r="EG140">
            <v>4997</v>
          </cell>
          <cell r="EH140">
            <v>2523</v>
          </cell>
          <cell r="EI140">
            <v>684</v>
          </cell>
          <cell r="EJ140">
            <v>1586</v>
          </cell>
          <cell r="EK140">
            <v>4025</v>
          </cell>
          <cell r="EL140">
            <v>8816</v>
          </cell>
          <cell r="EO140">
            <v>3183</v>
          </cell>
          <cell r="ER140">
            <v>12129</v>
          </cell>
          <cell r="EU140">
            <v>5154</v>
          </cell>
          <cell r="EX140">
            <v>8606</v>
          </cell>
          <cell r="EY140">
            <v>5406</v>
          </cell>
          <cell r="EZ140">
            <v>12340</v>
          </cell>
          <cell r="FA140">
            <v>11522</v>
          </cell>
          <cell r="FB140">
            <v>10123</v>
          </cell>
          <cell r="FC140">
            <v>1534</v>
          </cell>
          <cell r="FD140">
            <v>4180</v>
          </cell>
          <cell r="FE140">
            <v>20012</v>
          </cell>
          <cell r="FF140">
            <v>171682</v>
          </cell>
          <cell r="FG140">
            <v>15471</v>
          </cell>
          <cell r="FH140">
            <v>571</v>
          </cell>
          <cell r="FI140">
            <v>187437</v>
          </cell>
          <cell r="FJ140">
            <v>-8.1999999999999993</v>
          </cell>
          <cell r="FK140">
            <v>-0.8</v>
          </cell>
          <cell r="FL140">
            <v>-6.9</v>
          </cell>
          <cell r="FM140">
            <v>3.7</v>
          </cell>
          <cell r="FN140">
            <v>1.8</v>
          </cell>
          <cell r="FO140">
            <v>10.3</v>
          </cell>
          <cell r="FP140">
            <v>-0.3</v>
          </cell>
          <cell r="FQ140">
            <v>2.9</v>
          </cell>
          <cell r="FR140">
            <v>24.9</v>
          </cell>
          <cell r="FS140">
            <v>3.9</v>
          </cell>
          <cell r="FT140">
            <v>-0.2</v>
          </cell>
          <cell r="FU140">
            <v>-3.6</v>
          </cell>
          <cell r="FV140">
            <v>0.1</v>
          </cell>
          <cell r="FW140">
            <v>-2.6</v>
          </cell>
          <cell r="FX140">
            <v>1.9</v>
          </cell>
          <cell r="FY140">
            <v>-1.1000000000000001</v>
          </cell>
          <cell r="FZ140">
            <v>0.7</v>
          </cell>
          <cell r="GA140">
            <v>-1.7</v>
          </cell>
          <cell r="GB140">
            <v>-0.8</v>
          </cell>
          <cell r="GC140">
            <v>0.1</v>
          </cell>
          <cell r="GG140">
            <v>-0.3</v>
          </cell>
          <cell r="GH140">
            <v>-0.1</v>
          </cell>
          <cell r="GI140">
            <v>0.2</v>
          </cell>
          <cell r="GJ140">
            <v>1.8</v>
          </cell>
          <cell r="GK140">
            <v>1</v>
          </cell>
          <cell r="GL140">
            <v>5.4</v>
          </cell>
          <cell r="GM140">
            <v>0.5</v>
          </cell>
          <cell r="GN140">
            <v>-0.5</v>
          </cell>
          <cell r="GO140">
            <v>0.7</v>
          </cell>
          <cell r="GR140">
            <v>1.7</v>
          </cell>
          <cell r="GU140">
            <v>1.6</v>
          </cell>
          <cell r="GX140">
            <v>-1.7</v>
          </cell>
          <cell r="HA140">
            <v>-0.3</v>
          </cell>
          <cell r="HB140">
            <v>-0.5</v>
          </cell>
          <cell r="HC140">
            <v>1.4</v>
          </cell>
          <cell r="HD140">
            <v>0.4</v>
          </cell>
          <cell r="HE140">
            <v>-1.6</v>
          </cell>
          <cell r="HF140">
            <v>0.9</v>
          </cell>
          <cell r="HG140">
            <v>-1</v>
          </cell>
          <cell r="HH140">
            <v>0.7</v>
          </cell>
          <cell r="HI140">
            <v>-0.3</v>
          </cell>
          <cell r="HJ140">
            <v>-0.2</v>
          </cell>
          <cell r="HK140">
            <v>0.1</v>
          </cell>
          <cell r="HL140">
            <v>7634</v>
          </cell>
          <cell r="HM140">
            <v>825</v>
          </cell>
          <cell r="HN140">
            <v>8215</v>
          </cell>
          <cell r="HO140">
            <v>1264</v>
          </cell>
          <cell r="HP140">
            <v>3156</v>
          </cell>
          <cell r="HQ140">
            <v>1022</v>
          </cell>
          <cell r="HR140">
            <v>2819</v>
          </cell>
          <cell r="HS140">
            <v>7661</v>
          </cell>
          <cell r="HT140">
            <v>1362</v>
          </cell>
          <cell r="HU140">
            <v>8767</v>
          </cell>
          <cell r="HV140">
            <v>4974</v>
          </cell>
          <cell r="HW140">
            <v>4406</v>
          </cell>
          <cell r="HX140">
            <v>3089</v>
          </cell>
          <cell r="HY140">
            <v>3353</v>
          </cell>
          <cell r="HZ140">
            <v>5269</v>
          </cell>
          <cell r="IA140">
            <v>21115</v>
          </cell>
          <cell r="IB140">
            <v>3967</v>
          </cell>
          <cell r="IC140">
            <v>194</v>
          </cell>
          <cell r="ID140">
            <v>3227</v>
          </cell>
          <cell r="IE140">
            <v>7202</v>
          </cell>
          <cell r="II140">
            <v>11244</v>
          </cell>
          <cell r="IJ140">
            <v>7044</v>
          </cell>
          <cell r="IK140">
            <v>8265</v>
          </cell>
          <cell r="IL140">
            <v>5311</v>
          </cell>
          <cell r="IM140">
            <v>2590</v>
          </cell>
          <cell r="IN140">
            <v>715</v>
          </cell>
          <cell r="IO140">
            <v>1623</v>
          </cell>
          <cell r="IP140">
            <v>4075</v>
          </cell>
          <cell r="IQ140">
            <v>8991</v>
          </cell>
        </row>
        <row r="141">
          <cell r="B141">
            <v>5098</v>
          </cell>
          <cell r="C141">
            <v>818</v>
          </cell>
          <cell r="D141">
            <v>5821</v>
          </cell>
          <cell r="E141">
            <v>1320</v>
          </cell>
          <cell r="F141">
            <v>3128</v>
          </cell>
          <cell r="G141">
            <v>912</v>
          </cell>
          <cell r="H141">
            <v>2858</v>
          </cell>
          <cell r="I141">
            <v>7647</v>
          </cell>
          <cell r="J141">
            <v>1069</v>
          </cell>
          <cell r="K141">
            <v>8633</v>
          </cell>
          <cell r="L141">
            <v>4758</v>
          </cell>
          <cell r="M141">
            <v>4169</v>
          </cell>
          <cell r="N141">
            <v>3051</v>
          </cell>
          <cell r="O141">
            <v>3144</v>
          </cell>
          <cell r="P141">
            <v>5076</v>
          </cell>
          <cell r="Q141">
            <v>20216</v>
          </cell>
          <cell r="R141">
            <v>4122</v>
          </cell>
          <cell r="S141">
            <v>214</v>
          </cell>
          <cell r="T141">
            <v>3021</v>
          </cell>
          <cell r="U141">
            <v>7295</v>
          </cell>
          <cell r="Y141">
            <v>10735</v>
          </cell>
          <cell r="Z141">
            <v>6904</v>
          </cell>
          <cell r="AA141">
            <v>7534</v>
          </cell>
          <cell r="AB141">
            <v>4993</v>
          </cell>
          <cell r="AC141">
            <v>2579</v>
          </cell>
          <cell r="AD141">
            <v>701</v>
          </cell>
          <cell r="AE141">
            <v>1573</v>
          </cell>
          <cell r="AF141">
            <v>3934</v>
          </cell>
          <cell r="AG141">
            <v>8773</v>
          </cell>
          <cell r="AJ141">
            <v>3214</v>
          </cell>
          <cell r="AM141">
            <v>12223</v>
          </cell>
          <cell r="AP141">
            <v>5235</v>
          </cell>
          <cell r="AS141">
            <v>8647</v>
          </cell>
          <cell r="AT141">
            <v>5484</v>
          </cell>
          <cell r="AU141">
            <v>12315</v>
          </cell>
          <cell r="AV141">
            <v>11661</v>
          </cell>
          <cell r="AW141">
            <v>10153</v>
          </cell>
          <cell r="AX141">
            <v>1541</v>
          </cell>
          <cell r="AY141">
            <v>4191</v>
          </cell>
          <cell r="AZ141">
            <v>20157</v>
          </cell>
          <cell r="BA141">
            <v>173157</v>
          </cell>
          <cell r="BB141">
            <v>15554</v>
          </cell>
          <cell r="BC141">
            <v>254</v>
          </cell>
          <cell r="BD141">
            <v>188678</v>
          </cell>
          <cell r="BE141">
            <v>3.3</v>
          </cell>
          <cell r="BF141">
            <v>-0.4</v>
          </cell>
          <cell r="BG141">
            <v>2.5</v>
          </cell>
          <cell r="BH141">
            <v>1.7</v>
          </cell>
          <cell r="BI141">
            <v>0.1</v>
          </cell>
          <cell r="BJ141">
            <v>-3.4</v>
          </cell>
          <cell r="BK141">
            <v>0.8</v>
          </cell>
          <cell r="BL141">
            <v>0.4</v>
          </cell>
          <cell r="BM141">
            <v>-0.8</v>
          </cell>
          <cell r="BN141">
            <v>0.3</v>
          </cell>
          <cell r="BO141">
            <v>1.1000000000000001</v>
          </cell>
          <cell r="BP141">
            <v>-4</v>
          </cell>
          <cell r="BQ141">
            <v>0.6</v>
          </cell>
          <cell r="BR141">
            <v>-2.7</v>
          </cell>
          <cell r="BS141">
            <v>1.1000000000000001</v>
          </cell>
          <cell r="BT141">
            <v>-0.7</v>
          </cell>
          <cell r="BU141">
            <v>0.6</v>
          </cell>
          <cell r="BV141">
            <v>1.2</v>
          </cell>
          <cell r="BW141">
            <v>-1.2</v>
          </cell>
          <cell r="BX141">
            <v>0.1</v>
          </cell>
          <cell r="CB141">
            <v>0.1</v>
          </cell>
          <cell r="CC141">
            <v>0.8</v>
          </cell>
          <cell r="CD141">
            <v>1</v>
          </cell>
          <cell r="CE141">
            <v>0.6</v>
          </cell>
          <cell r="CF141">
            <v>0.9</v>
          </cell>
          <cell r="CG141">
            <v>3</v>
          </cell>
          <cell r="CH141">
            <v>-0.4</v>
          </cell>
          <cell r="CI141">
            <v>-1.8</v>
          </cell>
          <cell r="CJ141">
            <v>-0.4</v>
          </cell>
          <cell r="CM141">
            <v>1.2</v>
          </cell>
          <cell r="CP141">
            <v>1.2</v>
          </cell>
          <cell r="CS141">
            <v>0.9</v>
          </cell>
          <cell r="CV141">
            <v>-0.1</v>
          </cell>
          <cell r="CW141">
            <v>0.8</v>
          </cell>
          <cell r="CX141">
            <v>0.3</v>
          </cell>
          <cell r="CY141">
            <v>1.2</v>
          </cell>
          <cell r="CZ141">
            <v>-0.3</v>
          </cell>
          <cell r="DA141">
            <v>0.7</v>
          </cell>
          <cell r="DB141">
            <v>0.2</v>
          </cell>
          <cell r="DC141">
            <v>0.7</v>
          </cell>
          <cell r="DD141">
            <v>0.4</v>
          </cell>
          <cell r="DE141">
            <v>0.6</v>
          </cell>
          <cell r="DF141">
            <v>0.5</v>
          </cell>
          <cell r="DG141">
            <v>5321</v>
          </cell>
          <cell r="DH141">
            <v>824</v>
          </cell>
          <cell r="DI141">
            <v>6036</v>
          </cell>
          <cell r="DJ141">
            <v>1354</v>
          </cell>
          <cell r="DK141">
            <v>3093</v>
          </cell>
          <cell r="DL141">
            <v>864</v>
          </cell>
          <cell r="DM141">
            <v>2868</v>
          </cell>
          <cell r="DN141">
            <v>7627</v>
          </cell>
          <cell r="DO141">
            <v>1059</v>
          </cell>
          <cell r="DP141">
            <v>8608</v>
          </cell>
          <cell r="DQ141">
            <v>4823</v>
          </cell>
          <cell r="DR141">
            <v>4067</v>
          </cell>
          <cell r="DS141">
            <v>3062</v>
          </cell>
          <cell r="DT141">
            <v>3118</v>
          </cell>
          <cell r="DU141">
            <v>5074</v>
          </cell>
          <cell r="DV141">
            <v>20187</v>
          </cell>
          <cell r="DW141">
            <v>4127</v>
          </cell>
          <cell r="DX141">
            <v>214</v>
          </cell>
          <cell r="DY141">
            <v>2997</v>
          </cell>
          <cell r="DZ141">
            <v>7285</v>
          </cell>
          <cell r="ED141">
            <v>10851</v>
          </cell>
          <cell r="EE141">
            <v>7039</v>
          </cell>
          <cell r="EF141">
            <v>7527</v>
          </cell>
          <cell r="EG141">
            <v>4966</v>
          </cell>
          <cell r="EH141">
            <v>2649</v>
          </cell>
          <cell r="EI141">
            <v>708</v>
          </cell>
          <cell r="EJ141">
            <v>1575</v>
          </cell>
          <cell r="EK141">
            <v>3907</v>
          </cell>
          <cell r="EL141">
            <v>8814</v>
          </cell>
          <cell r="EO141">
            <v>3231</v>
          </cell>
          <cell r="ER141">
            <v>12115</v>
          </cell>
          <cell r="EU141">
            <v>5232</v>
          </cell>
          <cell r="EX141">
            <v>8662</v>
          </cell>
          <cell r="EY141">
            <v>5487</v>
          </cell>
          <cell r="EZ141">
            <v>12282</v>
          </cell>
          <cell r="FA141">
            <v>11651</v>
          </cell>
          <cell r="FB141">
            <v>10171</v>
          </cell>
          <cell r="FC141">
            <v>1532</v>
          </cell>
          <cell r="FD141">
            <v>4174</v>
          </cell>
          <cell r="FE141">
            <v>20158</v>
          </cell>
          <cell r="FF141">
            <v>173829</v>
          </cell>
          <cell r="FG141">
            <v>15528</v>
          </cell>
          <cell r="FH141">
            <v>-166</v>
          </cell>
          <cell r="FI141">
            <v>188907</v>
          </cell>
          <cell r="FJ141">
            <v>16</v>
          </cell>
          <cell r="FK141">
            <v>1.1000000000000001</v>
          </cell>
          <cell r="FL141">
            <v>13.1</v>
          </cell>
          <cell r="FM141">
            <v>6</v>
          </cell>
          <cell r="FN141">
            <v>-2.5</v>
          </cell>
          <cell r="FO141">
            <v>-15</v>
          </cell>
          <cell r="FP141">
            <v>1.9</v>
          </cell>
          <cell r="FQ141">
            <v>-0.8</v>
          </cell>
          <cell r="FR141">
            <v>-11.6</v>
          </cell>
          <cell r="FS141">
            <v>-1.4</v>
          </cell>
          <cell r="FT141">
            <v>3.7</v>
          </cell>
          <cell r="FU141">
            <v>-6.8</v>
          </cell>
          <cell r="FV141">
            <v>1.3</v>
          </cell>
          <cell r="FW141">
            <v>-3.9</v>
          </cell>
          <cell r="FX141">
            <v>0.5</v>
          </cell>
          <cell r="FY141">
            <v>-0.9</v>
          </cell>
          <cell r="FZ141">
            <v>0.7</v>
          </cell>
          <cell r="GA141">
            <v>1.9</v>
          </cell>
          <cell r="GB141">
            <v>-2.5</v>
          </cell>
          <cell r="GC141">
            <v>-0.1</v>
          </cell>
          <cell r="GG141">
            <v>1.5</v>
          </cell>
          <cell r="GH141">
            <v>4</v>
          </cell>
          <cell r="GI141">
            <v>1.2</v>
          </cell>
          <cell r="GJ141">
            <v>-0.6</v>
          </cell>
          <cell r="GK141">
            <v>5</v>
          </cell>
          <cell r="GL141">
            <v>3.5</v>
          </cell>
          <cell r="GM141">
            <v>-0.7</v>
          </cell>
          <cell r="GN141">
            <v>-2.9</v>
          </cell>
          <cell r="GO141">
            <v>0</v>
          </cell>
          <cell r="GR141">
            <v>1.5</v>
          </cell>
          <cell r="GU141">
            <v>-0.1</v>
          </cell>
          <cell r="GX141">
            <v>1.5</v>
          </cell>
          <cell r="HA141">
            <v>0.7</v>
          </cell>
          <cell r="HB141">
            <v>1.5</v>
          </cell>
          <cell r="HC141">
            <v>-0.5</v>
          </cell>
          <cell r="HD141">
            <v>1.1000000000000001</v>
          </cell>
          <cell r="HE141">
            <v>0.5</v>
          </cell>
          <cell r="HF141">
            <v>-0.1</v>
          </cell>
          <cell r="HG141">
            <v>-0.1</v>
          </cell>
          <cell r="HH141">
            <v>0.7</v>
          </cell>
          <cell r="HI141">
            <v>1.3</v>
          </cell>
          <cell r="HJ141">
            <v>0.4</v>
          </cell>
          <cell r="HK141">
            <v>0.8</v>
          </cell>
          <cell r="HL141">
            <v>4126</v>
          </cell>
          <cell r="HM141">
            <v>815</v>
          </cell>
          <cell r="HN141">
            <v>4914</v>
          </cell>
          <cell r="HO141">
            <v>1304</v>
          </cell>
          <cell r="HP141">
            <v>3001</v>
          </cell>
          <cell r="HQ141">
            <v>830</v>
          </cell>
          <cell r="HR141">
            <v>2761</v>
          </cell>
          <cell r="HS141">
            <v>7364</v>
          </cell>
          <cell r="HT141">
            <v>873</v>
          </cell>
          <cell r="HU141">
            <v>8251</v>
          </cell>
          <cell r="HV141">
            <v>4673</v>
          </cell>
          <cell r="HW141">
            <v>3924</v>
          </cell>
          <cell r="HX141">
            <v>2901</v>
          </cell>
          <cell r="HY141">
            <v>2855</v>
          </cell>
          <cell r="HZ141">
            <v>4764</v>
          </cell>
          <cell r="IA141">
            <v>19110</v>
          </cell>
          <cell r="IB141">
            <v>3995</v>
          </cell>
          <cell r="IC141">
            <v>179</v>
          </cell>
          <cell r="ID141">
            <v>3115</v>
          </cell>
          <cell r="IE141">
            <v>7145</v>
          </cell>
          <cell r="II141">
            <v>10004</v>
          </cell>
          <cell r="IJ141">
            <v>6709</v>
          </cell>
          <cell r="IK141">
            <v>7128</v>
          </cell>
          <cell r="IL141">
            <v>4954</v>
          </cell>
          <cell r="IM141">
            <v>2610</v>
          </cell>
          <cell r="IN141">
            <v>697</v>
          </cell>
          <cell r="IO141">
            <v>1534</v>
          </cell>
          <cell r="IP141">
            <v>3856</v>
          </cell>
          <cell r="IQ141">
            <v>8674</v>
          </cell>
        </row>
        <row r="142">
          <cell r="B142">
            <v>5251</v>
          </cell>
          <cell r="C142">
            <v>809</v>
          </cell>
          <cell r="D142">
            <v>5952</v>
          </cell>
          <cell r="E142">
            <v>1325</v>
          </cell>
          <cell r="F142">
            <v>3130</v>
          </cell>
          <cell r="G142">
            <v>887</v>
          </cell>
          <cell r="H142">
            <v>2845</v>
          </cell>
          <cell r="I142">
            <v>7624</v>
          </cell>
          <cell r="J142">
            <v>1078</v>
          </cell>
          <cell r="K142">
            <v>8614</v>
          </cell>
          <cell r="L142">
            <v>4792</v>
          </cell>
          <cell r="M142">
            <v>4135</v>
          </cell>
          <cell r="N142">
            <v>3034</v>
          </cell>
          <cell r="O142">
            <v>3124</v>
          </cell>
          <cell r="P142">
            <v>5102</v>
          </cell>
          <cell r="Q142">
            <v>20178</v>
          </cell>
          <cell r="R142">
            <v>4136</v>
          </cell>
          <cell r="S142">
            <v>218</v>
          </cell>
          <cell r="T142">
            <v>2984</v>
          </cell>
          <cell r="U142">
            <v>7296</v>
          </cell>
          <cell r="Y142">
            <v>10797</v>
          </cell>
          <cell r="Z142">
            <v>6932</v>
          </cell>
          <cell r="AA142">
            <v>7592</v>
          </cell>
          <cell r="AB142">
            <v>4974</v>
          </cell>
          <cell r="AC142">
            <v>2563</v>
          </cell>
          <cell r="AD142">
            <v>704</v>
          </cell>
          <cell r="AE142">
            <v>1569</v>
          </cell>
          <cell r="AF142">
            <v>3883</v>
          </cell>
          <cell r="AG142">
            <v>8698</v>
          </cell>
          <cell r="AJ142">
            <v>3272</v>
          </cell>
          <cell r="AM142">
            <v>12326</v>
          </cell>
          <cell r="AP142">
            <v>5385</v>
          </cell>
          <cell r="AS142">
            <v>8588</v>
          </cell>
          <cell r="AT142">
            <v>5563</v>
          </cell>
          <cell r="AU142">
            <v>12313</v>
          </cell>
          <cell r="AV142">
            <v>11910</v>
          </cell>
          <cell r="AW142">
            <v>10173</v>
          </cell>
          <cell r="AX142">
            <v>1549</v>
          </cell>
          <cell r="AY142">
            <v>4221</v>
          </cell>
          <cell r="AZ142">
            <v>20310</v>
          </cell>
          <cell r="BA142">
            <v>174246</v>
          </cell>
          <cell r="BB142">
            <v>15660</v>
          </cell>
          <cell r="BC142">
            <v>710</v>
          </cell>
          <cell r="BD142">
            <v>190326</v>
          </cell>
          <cell r="BE142">
            <v>3</v>
          </cell>
          <cell r="BF142">
            <v>-1.1000000000000001</v>
          </cell>
          <cell r="BG142">
            <v>2.2999999999999998</v>
          </cell>
          <cell r="BH142">
            <v>0.4</v>
          </cell>
          <cell r="BI142">
            <v>0.1</v>
          </cell>
          <cell r="BJ142">
            <v>-2.7</v>
          </cell>
          <cell r="BK142">
            <v>-0.4</v>
          </cell>
          <cell r="BL142">
            <v>-0.3</v>
          </cell>
          <cell r="BM142">
            <v>0.9</v>
          </cell>
          <cell r="BN142">
            <v>-0.2</v>
          </cell>
          <cell r="BO142">
            <v>0.7</v>
          </cell>
          <cell r="BP142">
            <v>-0.8</v>
          </cell>
          <cell r="BQ142">
            <v>-0.6</v>
          </cell>
          <cell r="BR142">
            <v>-0.6</v>
          </cell>
          <cell r="BS142">
            <v>0.5</v>
          </cell>
          <cell r="BT142">
            <v>-0.2</v>
          </cell>
          <cell r="BU142">
            <v>0.3</v>
          </cell>
          <cell r="BV142">
            <v>2</v>
          </cell>
          <cell r="BW142">
            <v>-1.2</v>
          </cell>
          <cell r="BX142">
            <v>0</v>
          </cell>
          <cell r="CB142">
            <v>0.6</v>
          </cell>
          <cell r="CC142">
            <v>0.4</v>
          </cell>
          <cell r="CD142">
            <v>0.8</v>
          </cell>
          <cell r="CE142">
            <v>-0.4</v>
          </cell>
          <cell r="CF142">
            <v>-0.6</v>
          </cell>
          <cell r="CG142">
            <v>0.4</v>
          </cell>
          <cell r="CH142">
            <v>-0.3</v>
          </cell>
          <cell r="CI142">
            <v>-1.3</v>
          </cell>
          <cell r="CJ142">
            <v>-0.9</v>
          </cell>
          <cell r="CM142">
            <v>1.8</v>
          </cell>
          <cell r="CP142">
            <v>0.8</v>
          </cell>
          <cell r="CS142">
            <v>2.9</v>
          </cell>
          <cell r="CV142">
            <v>-0.7</v>
          </cell>
          <cell r="CW142">
            <v>1.4</v>
          </cell>
          <cell r="CX142">
            <v>0</v>
          </cell>
          <cell r="CY142">
            <v>2.1</v>
          </cell>
          <cell r="CZ142">
            <v>0.2</v>
          </cell>
          <cell r="DA142">
            <v>0.5</v>
          </cell>
          <cell r="DB142">
            <v>0.7</v>
          </cell>
          <cell r="DC142">
            <v>0.8</v>
          </cell>
          <cell r="DD142">
            <v>0.6</v>
          </cell>
          <cell r="DE142">
            <v>0.7</v>
          </cell>
          <cell r="DF142">
            <v>0.9</v>
          </cell>
          <cell r="DG142">
            <v>5363</v>
          </cell>
          <cell r="DH142">
            <v>819</v>
          </cell>
          <cell r="DI142">
            <v>6069</v>
          </cell>
          <cell r="DJ142">
            <v>1329</v>
          </cell>
          <cell r="DK142">
            <v>3124</v>
          </cell>
          <cell r="DL142">
            <v>880</v>
          </cell>
          <cell r="DM142">
            <v>2848</v>
          </cell>
          <cell r="DN142">
            <v>7619</v>
          </cell>
          <cell r="DO142">
            <v>1000</v>
          </cell>
          <cell r="DP142">
            <v>8572</v>
          </cell>
          <cell r="DQ142">
            <v>4819</v>
          </cell>
          <cell r="DR142">
            <v>4123</v>
          </cell>
          <cell r="DS142">
            <v>3088</v>
          </cell>
          <cell r="DT142">
            <v>3079</v>
          </cell>
          <cell r="DU142">
            <v>5104</v>
          </cell>
          <cell r="DV142">
            <v>20215</v>
          </cell>
          <cell r="DW142">
            <v>4126</v>
          </cell>
          <cell r="DX142">
            <v>217</v>
          </cell>
          <cell r="DY142">
            <v>2973</v>
          </cell>
          <cell r="DZ142">
            <v>7274</v>
          </cell>
          <cell r="ED142">
            <v>10768</v>
          </cell>
          <cell r="EE142">
            <v>6881</v>
          </cell>
          <cell r="EF142">
            <v>7602</v>
          </cell>
          <cell r="EG142">
            <v>5007</v>
          </cell>
          <cell r="EH142">
            <v>2550</v>
          </cell>
          <cell r="EI142">
            <v>703</v>
          </cell>
          <cell r="EJ142">
            <v>1557</v>
          </cell>
          <cell r="EK142">
            <v>3908</v>
          </cell>
          <cell r="EL142">
            <v>8710</v>
          </cell>
          <cell r="EO142">
            <v>3243</v>
          </cell>
          <cell r="ER142">
            <v>12451</v>
          </cell>
          <cell r="EU142">
            <v>5375</v>
          </cell>
          <cell r="EX142">
            <v>8618</v>
          </cell>
          <cell r="EY142">
            <v>5566</v>
          </cell>
          <cell r="EZ142">
            <v>12326</v>
          </cell>
          <cell r="FA142">
            <v>11863</v>
          </cell>
          <cell r="FB142">
            <v>10161</v>
          </cell>
          <cell r="FC142">
            <v>1562</v>
          </cell>
          <cell r="FD142">
            <v>4228</v>
          </cell>
          <cell r="FE142">
            <v>20311</v>
          </cell>
          <cell r="FF142">
            <v>174409</v>
          </cell>
          <cell r="FG142">
            <v>15642</v>
          </cell>
          <cell r="FH142">
            <v>454</v>
          </cell>
          <cell r="FI142">
            <v>190218</v>
          </cell>
          <cell r="FJ142">
            <v>0.8</v>
          </cell>
          <cell r="FK142">
            <v>-0.6</v>
          </cell>
          <cell r="FL142">
            <v>0.5</v>
          </cell>
          <cell r="FM142">
            <v>-1.9</v>
          </cell>
          <cell r="FN142">
            <v>1</v>
          </cell>
          <cell r="FO142">
            <v>1.8</v>
          </cell>
          <cell r="FP142">
            <v>-0.7</v>
          </cell>
          <cell r="FQ142">
            <v>-0.1</v>
          </cell>
          <cell r="FR142">
            <v>-5.6</v>
          </cell>
          <cell r="FS142">
            <v>-0.4</v>
          </cell>
          <cell r="FT142">
            <v>-0.1</v>
          </cell>
          <cell r="FU142">
            <v>1.4</v>
          </cell>
          <cell r="FV142">
            <v>0.9</v>
          </cell>
          <cell r="FW142">
            <v>-1.2</v>
          </cell>
          <cell r="FX142">
            <v>0.6</v>
          </cell>
          <cell r="FY142">
            <v>0.1</v>
          </cell>
          <cell r="FZ142">
            <v>0</v>
          </cell>
          <cell r="GA142">
            <v>1.4</v>
          </cell>
          <cell r="GB142">
            <v>-0.8</v>
          </cell>
          <cell r="GC142">
            <v>-0.2</v>
          </cell>
          <cell r="GG142">
            <v>-0.8</v>
          </cell>
          <cell r="GH142">
            <v>-2.2999999999999998</v>
          </cell>
          <cell r="GI142">
            <v>1</v>
          </cell>
          <cell r="GJ142">
            <v>0.8</v>
          </cell>
          <cell r="GK142">
            <v>-3.8</v>
          </cell>
          <cell r="GL142">
            <v>-0.7</v>
          </cell>
          <cell r="GM142">
            <v>-1.1000000000000001</v>
          </cell>
          <cell r="GN142">
            <v>0</v>
          </cell>
          <cell r="GO142">
            <v>-1.2</v>
          </cell>
          <cell r="GR142">
            <v>0.4</v>
          </cell>
          <cell r="GU142">
            <v>2.8</v>
          </cell>
          <cell r="GX142">
            <v>2.7</v>
          </cell>
          <cell r="HA142">
            <v>-0.5</v>
          </cell>
          <cell r="HB142">
            <v>1.4</v>
          </cell>
          <cell r="HC142">
            <v>0.4</v>
          </cell>
          <cell r="HD142">
            <v>1.8</v>
          </cell>
          <cell r="HE142">
            <v>-0.1</v>
          </cell>
          <cell r="HF142">
            <v>2</v>
          </cell>
          <cell r="HG142">
            <v>1.3</v>
          </cell>
          <cell r="HH142">
            <v>0.8</v>
          </cell>
          <cell r="HI142">
            <v>0.3</v>
          </cell>
          <cell r="HJ142">
            <v>0.7</v>
          </cell>
          <cell r="HK142">
            <v>0.7</v>
          </cell>
          <cell r="HL142">
            <v>4493</v>
          </cell>
          <cell r="HM142">
            <v>811</v>
          </cell>
          <cell r="HN142">
            <v>5254</v>
          </cell>
          <cell r="HO142">
            <v>1323</v>
          </cell>
          <cell r="HP142">
            <v>3117</v>
          </cell>
          <cell r="HQ142">
            <v>872</v>
          </cell>
          <cell r="HR142">
            <v>2855</v>
          </cell>
          <cell r="HS142">
            <v>7601</v>
          </cell>
          <cell r="HT142">
            <v>1020</v>
          </cell>
          <cell r="HU142">
            <v>8562</v>
          </cell>
          <cell r="HV142">
            <v>4649</v>
          </cell>
          <cell r="HW142">
            <v>4117</v>
          </cell>
          <cell r="HX142">
            <v>3094</v>
          </cell>
          <cell r="HY142">
            <v>3116</v>
          </cell>
          <cell r="HZ142">
            <v>5000</v>
          </cell>
          <cell r="IA142">
            <v>20015</v>
          </cell>
          <cell r="IB142">
            <v>4150</v>
          </cell>
          <cell r="IC142">
            <v>228</v>
          </cell>
          <cell r="ID142">
            <v>2837</v>
          </cell>
          <cell r="IE142">
            <v>7231</v>
          </cell>
          <cell r="II142">
            <v>11035</v>
          </cell>
          <cell r="IJ142">
            <v>6915</v>
          </cell>
          <cell r="IK142">
            <v>7341</v>
          </cell>
          <cell r="IL142">
            <v>4758</v>
          </cell>
          <cell r="IM142">
            <v>2539</v>
          </cell>
          <cell r="IN142">
            <v>661</v>
          </cell>
          <cell r="IO142">
            <v>1536</v>
          </cell>
          <cell r="IP142">
            <v>3895</v>
          </cell>
          <cell r="IQ142">
            <v>8629</v>
          </cell>
        </row>
        <row r="143">
          <cell r="B143">
            <v>5408</v>
          </cell>
          <cell r="C143">
            <v>792</v>
          </cell>
          <cell r="D143">
            <v>6077</v>
          </cell>
          <cell r="E143">
            <v>1305</v>
          </cell>
          <cell r="F143">
            <v>3132</v>
          </cell>
          <cell r="G143">
            <v>893</v>
          </cell>
          <cell r="H143">
            <v>2832</v>
          </cell>
          <cell r="I143">
            <v>7586</v>
          </cell>
          <cell r="J143">
            <v>1121</v>
          </cell>
          <cell r="K143">
            <v>8595</v>
          </cell>
          <cell r="L143">
            <v>4769</v>
          </cell>
          <cell r="M143">
            <v>4224</v>
          </cell>
          <cell r="N143">
            <v>3029</v>
          </cell>
          <cell r="O143">
            <v>3166</v>
          </cell>
          <cell r="P143">
            <v>5176</v>
          </cell>
          <cell r="Q143">
            <v>20334</v>
          </cell>
          <cell r="R143">
            <v>4152</v>
          </cell>
          <cell r="S143">
            <v>219</v>
          </cell>
          <cell r="T143">
            <v>2951</v>
          </cell>
          <cell r="U143">
            <v>7292</v>
          </cell>
          <cell r="Y143">
            <v>10931</v>
          </cell>
          <cell r="Z143">
            <v>6921</v>
          </cell>
          <cell r="AA143">
            <v>7632</v>
          </cell>
          <cell r="AB143">
            <v>4927</v>
          </cell>
          <cell r="AC143">
            <v>2523</v>
          </cell>
          <cell r="AD143">
            <v>714</v>
          </cell>
          <cell r="AE143">
            <v>1577</v>
          </cell>
          <cell r="AF143">
            <v>3889</v>
          </cell>
          <cell r="AG143">
            <v>8681</v>
          </cell>
          <cell r="AJ143">
            <v>3373</v>
          </cell>
          <cell r="AM143">
            <v>12405</v>
          </cell>
          <cell r="AP143">
            <v>5570</v>
          </cell>
          <cell r="AS143">
            <v>8480</v>
          </cell>
          <cell r="AT143">
            <v>5640</v>
          </cell>
          <cell r="AU143">
            <v>12381</v>
          </cell>
          <cell r="AV143">
            <v>12206</v>
          </cell>
          <cell r="AW143">
            <v>10243</v>
          </cell>
          <cell r="AX143">
            <v>1551</v>
          </cell>
          <cell r="AY143">
            <v>4261</v>
          </cell>
          <cell r="AZ143">
            <v>20472</v>
          </cell>
          <cell r="BA143">
            <v>175913</v>
          </cell>
          <cell r="BB143">
            <v>15813</v>
          </cell>
          <cell r="BC143">
            <v>1333</v>
          </cell>
          <cell r="BD143">
            <v>192768</v>
          </cell>
          <cell r="BE143">
            <v>3</v>
          </cell>
          <cell r="BF143">
            <v>-2.2000000000000002</v>
          </cell>
          <cell r="BG143">
            <v>2.1</v>
          </cell>
          <cell r="BH143">
            <v>-1.5</v>
          </cell>
          <cell r="BI143">
            <v>0.1</v>
          </cell>
          <cell r="BJ143">
            <v>0.7</v>
          </cell>
          <cell r="BK143">
            <v>-0.5</v>
          </cell>
          <cell r="BL143">
            <v>-0.5</v>
          </cell>
          <cell r="BM143">
            <v>4</v>
          </cell>
          <cell r="BN143">
            <v>-0.2</v>
          </cell>
          <cell r="BO143">
            <v>-0.5</v>
          </cell>
          <cell r="BP143">
            <v>2.2000000000000002</v>
          </cell>
          <cell r="BQ143">
            <v>-0.2</v>
          </cell>
          <cell r="BR143">
            <v>1.3</v>
          </cell>
          <cell r="BS143">
            <v>1.4</v>
          </cell>
          <cell r="BT143">
            <v>0.8</v>
          </cell>
          <cell r="BU143">
            <v>0.4</v>
          </cell>
          <cell r="BV143">
            <v>0.2</v>
          </cell>
          <cell r="BW143">
            <v>-1.1000000000000001</v>
          </cell>
          <cell r="BX143">
            <v>0</v>
          </cell>
          <cell r="CB143">
            <v>1.2</v>
          </cell>
          <cell r="CC143">
            <v>-0.2</v>
          </cell>
          <cell r="CD143">
            <v>0.5</v>
          </cell>
          <cell r="CE143">
            <v>-1</v>
          </cell>
          <cell r="CF143">
            <v>-1.6</v>
          </cell>
          <cell r="CG143">
            <v>1.3</v>
          </cell>
          <cell r="CH143">
            <v>0.6</v>
          </cell>
          <cell r="CI143">
            <v>0.2</v>
          </cell>
          <cell r="CJ143">
            <v>-0.2</v>
          </cell>
          <cell r="CM143">
            <v>3.1</v>
          </cell>
          <cell r="CP143">
            <v>0.6</v>
          </cell>
          <cell r="CS143">
            <v>3.4</v>
          </cell>
          <cell r="CV143">
            <v>-1.3</v>
          </cell>
          <cell r="CW143">
            <v>1.4</v>
          </cell>
          <cell r="CX143">
            <v>0.6</v>
          </cell>
          <cell r="CY143">
            <v>2.5</v>
          </cell>
          <cell r="CZ143">
            <v>0.7</v>
          </cell>
          <cell r="DA143">
            <v>0.1</v>
          </cell>
          <cell r="DB143">
            <v>0.9</v>
          </cell>
          <cell r="DC143">
            <v>0.8</v>
          </cell>
          <cell r="DD143">
            <v>1</v>
          </cell>
          <cell r="DE143">
            <v>1</v>
          </cell>
          <cell r="DF143">
            <v>1.3</v>
          </cell>
          <cell r="DG143">
            <v>5302</v>
          </cell>
          <cell r="DH143">
            <v>781</v>
          </cell>
          <cell r="DI143">
            <v>5964</v>
          </cell>
          <cell r="DJ143">
            <v>1283</v>
          </cell>
          <cell r="DK143">
            <v>3137</v>
          </cell>
          <cell r="DL143">
            <v>904</v>
          </cell>
          <cell r="DM143">
            <v>2830</v>
          </cell>
          <cell r="DN143">
            <v>7568</v>
          </cell>
          <cell r="DO143">
            <v>1141</v>
          </cell>
          <cell r="DP143">
            <v>8584</v>
          </cell>
          <cell r="DQ143">
            <v>4682</v>
          </cell>
          <cell r="DR143">
            <v>4287</v>
          </cell>
          <cell r="DS143">
            <v>2955</v>
          </cell>
          <cell r="DT143">
            <v>3226</v>
          </cell>
          <cell r="DU143">
            <v>5122</v>
          </cell>
          <cell r="DV143">
            <v>20210</v>
          </cell>
          <cell r="DW143">
            <v>4172</v>
          </cell>
          <cell r="DX143">
            <v>225</v>
          </cell>
          <cell r="DY143">
            <v>3018</v>
          </cell>
          <cell r="DZ143">
            <v>7376</v>
          </cell>
          <cell r="ED143">
            <v>10877</v>
          </cell>
          <cell r="EE143">
            <v>6885</v>
          </cell>
          <cell r="EF143">
            <v>7632</v>
          </cell>
          <cell r="EG143">
            <v>4922</v>
          </cell>
          <cell r="EH143">
            <v>2474</v>
          </cell>
          <cell r="EI143">
            <v>703</v>
          </cell>
          <cell r="EJ143">
            <v>1585</v>
          </cell>
          <cell r="EK143">
            <v>3831</v>
          </cell>
          <cell r="EL143">
            <v>8560</v>
          </cell>
          <cell r="EO143">
            <v>3368</v>
          </cell>
          <cell r="ER143">
            <v>12373</v>
          </cell>
          <cell r="EU143">
            <v>5573</v>
          </cell>
          <cell r="EX143">
            <v>8450</v>
          </cell>
          <cell r="EY143">
            <v>5634</v>
          </cell>
          <cell r="EZ143">
            <v>12316</v>
          </cell>
          <cell r="FA143">
            <v>12252</v>
          </cell>
          <cell r="FB143">
            <v>10223</v>
          </cell>
          <cell r="FC143">
            <v>1548</v>
          </cell>
          <cell r="FD143">
            <v>4265</v>
          </cell>
          <cell r="FE143">
            <v>20469</v>
          </cell>
          <cell r="FF143">
            <v>175103</v>
          </cell>
          <cell r="FG143">
            <v>15849</v>
          </cell>
          <cell r="FH143">
            <v>1492</v>
          </cell>
          <cell r="FI143">
            <v>192147</v>
          </cell>
          <cell r="FJ143">
            <v>-1.1000000000000001</v>
          </cell>
          <cell r="FK143">
            <v>-4.7</v>
          </cell>
          <cell r="FL143">
            <v>-1.7</v>
          </cell>
          <cell r="FM143">
            <v>-3.4</v>
          </cell>
          <cell r="FN143">
            <v>0.4</v>
          </cell>
          <cell r="FO143">
            <v>2.7</v>
          </cell>
          <cell r="FP143">
            <v>-0.6</v>
          </cell>
          <cell r="FQ143">
            <v>-0.7</v>
          </cell>
          <cell r="FR143">
            <v>14.1</v>
          </cell>
          <cell r="FS143">
            <v>0.1</v>
          </cell>
          <cell r="FT143">
            <v>-2.8</v>
          </cell>
          <cell r="FU143">
            <v>4</v>
          </cell>
          <cell r="FV143">
            <v>-4.3</v>
          </cell>
          <cell r="FW143">
            <v>4.8</v>
          </cell>
          <cell r="FX143">
            <v>0.4</v>
          </cell>
          <cell r="FY143">
            <v>0</v>
          </cell>
          <cell r="FZ143">
            <v>1.1000000000000001</v>
          </cell>
          <cell r="GA143">
            <v>4</v>
          </cell>
          <cell r="GB143">
            <v>1.5</v>
          </cell>
          <cell r="GC143">
            <v>1.4</v>
          </cell>
          <cell r="GG143">
            <v>1</v>
          </cell>
          <cell r="GH143">
            <v>0.1</v>
          </cell>
          <cell r="GI143">
            <v>0.4</v>
          </cell>
          <cell r="GJ143">
            <v>-1.7</v>
          </cell>
          <cell r="GK143">
            <v>-3</v>
          </cell>
          <cell r="GL143">
            <v>0</v>
          </cell>
          <cell r="GM143">
            <v>1.8</v>
          </cell>
          <cell r="GN143">
            <v>-2</v>
          </cell>
          <cell r="GO143">
            <v>-1.7</v>
          </cell>
          <cell r="GR143">
            <v>3.8</v>
          </cell>
          <cell r="GU143">
            <v>-0.6</v>
          </cell>
          <cell r="GX143">
            <v>3.7</v>
          </cell>
          <cell r="HA143">
            <v>-1.9</v>
          </cell>
          <cell r="HB143">
            <v>1.2</v>
          </cell>
          <cell r="HC143">
            <v>-0.1</v>
          </cell>
          <cell r="HD143">
            <v>3.3</v>
          </cell>
          <cell r="HE143">
            <v>0.6</v>
          </cell>
          <cell r="HF143">
            <v>-0.9</v>
          </cell>
          <cell r="HG143">
            <v>0.9</v>
          </cell>
          <cell r="HH143">
            <v>0.8</v>
          </cell>
          <cell r="HI143">
            <v>0.4</v>
          </cell>
          <cell r="HJ143">
            <v>1.3</v>
          </cell>
          <cell r="HK143">
            <v>1</v>
          </cell>
          <cell r="HL143">
            <v>3965</v>
          </cell>
          <cell r="HM143">
            <v>789</v>
          </cell>
          <cell r="HN143">
            <v>4720</v>
          </cell>
          <cell r="HO143">
            <v>1353</v>
          </cell>
          <cell r="HP143">
            <v>3264</v>
          </cell>
          <cell r="HQ143">
            <v>944</v>
          </cell>
          <cell r="HR143">
            <v>2925</v>
          </cell>
          <cell r="HS143">
            <v>7891</v>
          </cell>
          <cell r="HT143">
            <v>1148</v>
          </cell>
          <cell r="HU143">
            <v>8928</v>
          </cell>
          <cell r="HV143">
            <v>4672</v>
          </cell>
          <cell r="HW143">
            <v>4403</v>
          </cell>
          <cell r="HX143">
            <v>3052</v>
          </cell>
          <cell r="HY143">
            <v>3328</v>
          </cell>
          <cell r="HZ143">
            <v>5314</v>
          </cell>
          <cell r="IA143">
            <v>20730</v>
          </cell>
          <cell r="IB143">
            <v>4413</v>
          </cell>
          <cell r="IC143">
            <v>264</v>
          </cell>
          <cell r="ID143">
            <v>2904</v>
          </cell>
          <cell r="IE143">
            <v>7638</v>
          </cell>
          <cell r="II143">
            <v>10861</v>
          </cell>
          <cell r="IJ143">
            <v>6890</v>
          </cell>
          <cell r="IK143">
            <v>7480</v>
          </cell>
          <cell r="IL143">
            <v>4874</v>
          </cell>
          <cell r="IM143">
            <v>2449</v>
          </cell>
          <cell r="IN143">
            <v>729</v>
          </cell>
          <cell r="IO143">
            <v>1615</v>
          </cell>
          <cell r="IP143">
            <v>3849</v>
          </cell>
          <cell r="IQ143">
            <v>8608</v>
          </cell>
        </row>
        <row r="144">
          <cell r="B144">
            <v>5527</v>
          </cell>
          <cell r="C144">
            <v>775</v>
          </cell>
          <cell r="D144">
            <v>6170</v>
          </cell>
          <cell r="E144">
            <v>1293</v>
          </cell>
          <cell r="F144">
            <v>3134</v>
          </cell>
          <cell r="G144">
            <v>918</v>
          </cell>
          <cell r="H144">
            <v>2830</v>
          </cell>
          <cell r="I144">
            <v>7586</v>
          </cell>
          <cell r="J144">
            <v>1199</v>
          </cell>
          <cell r="K144">
            <v>8628</v>
          </cell>
          <cell r="L144">
            <v>4752</v>
          </cell>
          <cell r="M144">
            <v>4329</v>
          </cell>
          <cell r="N144">
            <v>3073</v>
          </cell>
          <cell r="O144">
            <v>3217</v>
          </cell>
          <cell r="P144">
            <v>5309</v>
          </cell>
          <cell r="Q144">
            <v>20649</v>
          </cell>
          <cell r="R144">
            <v>4194</v>
          </cell>
          <cell r="S144">
            <v>215</v>
          </cell>
          <cell r="T144">
            <v>2961</v>
          </cell>
          <cell r="U144">
            <v>7338</v>
          </cell>
          <cell r="Y144">
            <v>11220</v>
          </cell>
          <cell r="Z144">
            <v>6902</v>
          </cell>
          <cell r="AA144">
            <v>7652</v>
          </cell>
          <cell r="AB144">
            <v>4894</v>
          </cell>
          <cell r="AC144">
            <v>2494</v>
          </cell>
          <cell r="AD144">
            <v>742</v>
          </cell>
          <cell r="AE144">
            <v>1602</v>
          </cell>
          <cell r="AF144">
            <v>3942</v>
          </cell>
          <cell r="AG144">
            <v>8763</v>
          </cell>
          <cell r="AJ144">
            <v>3510</v>
          </cell>
          <cell r="AM144">
            <v>12497</v>
          </cell>
          <cell r="AP144">
            <v>5714</v>
          </cell>
          <cell r="AS144">
            <v>8350</v>
          </cell>
          <cell r="AT144">
            <v>5684</v>
          </cell>
          <cell r="AU144">
            <v>12520</v>
          </cell>
          <cell r="AV144">
            <v>12453</v>
          </cell>
          <cell r="AW144">
            <v>10319</v>
          </cell>
          <cell r="AX144">
            <v>1552</v>
          </cell>
          <cell r="AY144">
            <v>4284</v>
          </cell>
          <cell r="AZ144">
            <v>20643</v>
          </cell>
          <cell r="BA144">
            <v>178132</v>
          </cell>
          <cell r="BB144">
            <v>15946</v>
          </cell>
          <cell r="BC144">
            <v>1627</v>
          </cell>
          <cell r="BD144">
            <v>195415</v>
          </cell>
          <cell r="BE144">
            <v>2.2000000000000002</v>
          </cell>
          <cell r="BF144">
            <v>-2.1</v>
          </cell>
          <cell r="BG144">
            <v>1.5</v>
          </cell>
          <cell r="BH144">
            <v>-1</v>
          </cell>
          <cell r="BI144">
            <v>0.1</v>
          </cell>
          <cell r="BJ144">
            <v>2.7</v>
          </cell>
          <cell r="BK144">
            <v>0</v>
          </cell>
          <cell r="BL144">
            <v>0</v>
          </cell>
          <cell r="BM144">
            <v>6.9</v>
          </cell>
          <cell r="BN144">
            <v>0.4</v>
          </cell>
          <cell r="BO144">
            <v>-0.4</v>
          </cell>
          <cell r="BP144">
            <v>2.5</v>
          </cell>
          <cell r="BQ144">
            <v>1.5</v>
          </cell>
          <cell r="BR144">
            <v>1.6</v>
          </cell>
          <cell r="BS144">
            <v>2.6</v>
          </cell>
          <cell r="BT144">
            <v>1.5</v>
          </cell>
          <cell r="BU144">
            <v>1</v>
          </cell>
          <cell r="BV144">
            <v>-1.5</v>
          </cell>
          <cell r="BW144">
            <v>0.3</v>
          </cell>
          <cell r="BX144">
            <v>0.6</v>
          </cell>
          <cell r="CB144">
            <v>2.6</v>
          </cell>
          <cell r="CC144">
            <v>-0.3</v>
          </cell>
          <cell r="CD144">
            <v>0.3</v>
          </cell>
          <cell r="CE144">
            <v>-0.7</v>
          </cell>
          <cell r="CF144">
            <v>-1.1000000000000001</v>
          </cell>
          <cell r="CG144">
            <v>3.9</v>
          </cell>
          <cell r="CH144">
            <v>1.6</v>
          </cell>
          <cell r="CI144">
            <v>1.4</v>
          </cell>
          <cell r="CJ144">
            <v>0.9</v>
          </cell>
          <cell r="CM144">
            <v>4.0999999999999996</v>
          </cell>
          <cell r="CP144">
            <v>0.7</v>
          </cell>
          <cell r="CS144">
            <v>2.6</v>
          </cell>
          <cell r="CV144">
            <v>-1.5</v>
          </cell>
          <cell r="CW144">
            <v>0.8</v>
          </cell>
          <cell r="CX144">
            <v>1.1000000000000001</v>
          </cell>
          <cell r="CY144">
            <v>2</v>
          </cell>
          <cell r="CZ144">
            <v>0.7</v>
          </cell>
          <cell r="DA144">
            <v>0.1</v>
          </cell>
          <cell r="DB144">
            <v>0.5</v>
          </cell>
          <cell r="DC144">
            <v>0.8</v>
          </cell>
          <cell r="DD144">
            <v>1.3</v>
          </cell>
          <cell r="DE144">
            <v>0.8</v>
          </cell>
          <cell r="DF144">
            <v>1.4</v>
          </cell>
          <cell r="DG144">
            <v>5226</v>
          </cell>
          <cell r="DH144">
            <v>778</v>
          </cell>
          <cell r="DI144">
            <v>5890</v>
          </cell>
          <cell r="DJ144">
            <v>1296</v>
          </cell>
          <cell r="DK144">
            <v>3173</v>
          </cell>
          <cell r="DL144">
            <v>926</v>
          </cell>
          <cell r="DM144">
            <v>2815</v>
          </cell>
          <cell r="DN144">
            <v>7626</v>
          </cell>
          <cell r="DO144">
            <v>1265</v>
          </cell>
          <cell r="DP144">
            <v>8704</v>
          </cell>
          <cell r="DQ144">
            <v>4865</v>
          </cell>
          <cell r="DR144">
            <v>4274</v>
          </cell>
          <cell r="DS144">
            <v>3066</v>
          </cell>
          <cell r="DT144">
            <v>3185</v>
          </cell>
          <cell r="DU144">
            <v>5345</v>
          </cell>
          <cell r="DV144">
            <v>20713</v>
          </cell>
          <cell r="DW144">
            <v>4160</v>
          </cell>
          <cell r="DX144">
            <v>211</v>
          </cell>
          <cell r="DY144">
            <v>2875</v>
          </cell>
          <cell r="DZ144">
            <v>7231</v>
          </cell>
          <cell r="ED144">
            <v>11187</v>
          </cell>
          <cell r="EE144">
            <v>6965</v>
          </cell>
          <cell r="EF144">
            <v>7667</v>
          </cell>
          <cell r="EG144">
            <v>4877</v>
          </cell>
          <cell r="EH144">
            <v>2547</v>
          </cell>
          <cell r="EI144">
            <v>741</v>
          </cell>
          <cell r="EJ144">
            <v>1594</v>
          </cell>
          <cell r="EK144">
            <v>3989</v>
          </cell>
          <cell r="EL144">
            <v>8853</v>
          </cell>
          <cell r="EO144">
            <v>3521</v>
          </cell>
          <cell r="ER144">
            <v>12474</v>
          </cell>
          <cell r="EU144">
            <v>5745</v>
          </cell>
          <cell r="EX144">
            <v>8374</v>
          </cell>
          <cell r="EY144">
            <v>5708</v>
          </cell>
          <cell r="EZ144">
            <v>12555</v>
          </cell>
          <cell r="FA144">
            <v>12464</v>
          </cell>
          <cell r="FB144">
            <v>10382</v>
          </cell>
          <cell r="FC144">
            <v>1548</v>
          </cell>
          <cell r="FD144">
            <v>4287</v>
          </cell>
          <cell r="FE144">
            <v>20644</v>
          </cell>
          <cell r="FF144">
            <v>178254</v>
          </cell>
          <cell r="FG144">
            <v>15929</v>
          </cell>
          <cell r="FH144">
            <v>2215</v>
          </cell>
          <cell r="FI144">
            <v>196108</v>
          </cell>
          <cell r="FJ144">
            <v>-1.4</v>
          </cell>
          <cell r="FK144">
            <v>-0.4</v>
          </cell>
          <cell r="FL144">
            <v>-1.2</v>
          </cell>
          <cell r="FM144">
            <v>1</v>
          </cell>
          <cell r="FN144">
            <v>1.1000000000000001</v>
          </cell>
          <cell r="FO144">
            <v>2.5</v>
          </cell>
          <cell r="FP144">
            <v>-0.5</v>
          </cell>
          <cell r="FQ144">
            <v>0.8</v>
          </cell>
          <cell r="FR144">
            <v>10.9</v>
          </cell>
          <cell r="FS144">
            <v>1.4</v>
          </cell>
          <cell r="FT144">
            <v>3.9</v>
          </cell>
          <cell r="FU144">
            <v>-0.3</v>
          </cell>
          <cell r="FV144">
            <v>3.8</v>
          </cell>
          <cell r="FW144">
            <v>-1.3</v>
          </cell>
          <cell r="FX144">
            <v>4.3</v>
          </cell>
          <cell r="FY144">
            <v>2.5</v>
          </cell>
          <cell r="FZ144">
            <v>-0.3</v>
          </cell>
          <cell r="GA144">
            <v>-6.3</v>
          </cell>
          <cell r="GB144">
            <v>-4.8</v>
          </cell>
          <cell r="GC144">
            <v>-2</v>
          </cell>
          <cell r="GG144">
            <v>2.9</v>
          </cell>
          <cell r="GH144">
            <v>1.2</v>
          </cell>
          <cell r="GI144">
            <v>0.5</v>
          </cell>
          <cell r="GJ144">
            <v>-0.9</v>
          </cell>
          <cell r="GK144">
            <v>2.9</v>
          </cell>
          <cell r="GL144">
            <v>5.4</v>
          </cell>
          <cell r="GM144">
            <v>0.6</v>
          </cell>
          <cell r="GN144">
            <v>4.0999999999999996</v>
          </cell>
          <cell r="GO144">
            <v>3.4</v>
          </cell>
          <cell r="GR144">
            <v>4.5</v>
          </cell>
          <cell r="GU144">
            <v>0.8</v>
          </cell>
          <cell r="GX144">
            <v>3.1</v>
          </cell>
          <cell r="HA144">
            <v>-0.9</v>
          </cell>
          <cell r="HB144">
            <v>1.3</v>
          </cell>
          <cell r="HC144">
            <v>1.9</v>
          </cell>
          <cell r="HD144">
            <v>1.7</v>
          </cell>
          <cell r="HE144">
            <v>1.6</v>
          </cell>
          <cell r="HF144">
            <v>0</v>
          </cell>
          <cell r="HG144">
            <v>0.5</v>
          </cell>
          <cell r="HH144">
            <v>0.9</v>
          </cell>
          <cell r="HI144">
            <v>1.8</v>
          </cell>
          <cell r="HJ144">
            <v>0.5</v>
          </cell>
          <cell r="HK144">
            <v>2.1</v>
          </cell>
          <cell r="HL144">
            <v>9043</v>
          </cell>
          <cell r="HM144">
            <v>786</v>
          </cell>
          <cell r="HN144">
            <v>9474</v>
          </cell>
          <cell r="HO144">
            <v>1272</v>
          </cell>
          <cell r="HP144">
            <v>3153</v>
          </cell>
          <cell r="HQ144">
            <v>933</v>
          </cell>
          <cell r="HR144">
            <v>2808</v>
          </cell>
          <cell r="HS144">
            <v>7575</v>
          </cell>
          <cell r="HT144">
            <v>1429</v>
          </cell>
          <cell r="HU144">
            <v>8735</v>
          </cell>
          <cell r="HV144">
            <v>5195</v>
          </cell>
          <cell r="HW144">
            <v>4303</v>
          </cell>
          <cell r="HX144">
            <v>3145</v>
          </cell>
          <cell r="HY144">
            <v>3293</v>
          </cell>
          <cell r="HZ144">
            <v>5575</v>
          </cell>
          <cell r="IA144">
            <v>21516</v>
          </cell>
          <cell r="IB144">
            <v>4029</v>
          </cell>
          <cell r="IC144">
            <v>195</v>
          </cell>
          <cell r="ID144">
            <v>3008</v>
          </cell>
          <cell r="IE144">
            <v>7138</v>
          </cell>
          <cell r="II144">
            <v>11788</v>
          </cell>
          <cell r="IJ144">
            <v>7255</v>
          </cell>
          <cell r="IK144">
            <v>8486</v>
          </cell>
          <cell r="IL144">
            <v>5196</v>
          </cell>
          <cell r="IM144">
            <v>2623</v>
          </cell>
          <cell r="IN144">
            <v>773</v>
          </cell>
          <cell r="IO144">
            <v>1634</v>
          </cell>
          <cell r="IP144">
            <v>4039</v>
          </cell>
          <cell r="IQ144">
            <v>9039</v>
          </cell>
        </row>
        <row r="145">
          <cell r="B145">
            <v>5542</v>
          </cell>
          <cell r="C145">
            <v>770</v>
          </cell>
          <cell r="D145">
            <v>6179</v>
          </cell>
          <cell r="E145">
            <v>1298</v>
          </cell>
          <cell r="F145">
            <v>3121</v>
          </cell>
          <cell r="G145">
            <v>938</v>
          </cell>
          <cell r="H145">
            <v>2868</v>
          </cell>
          <cell r="I145">
            <v>7629</v>
          </cell>
          <cell r="J145">
            <v>1238</v>
          </cell>
          <cell r="K145">
            <v>8690</v>
          </cell>
          <cell r="L145">
            <v>4790</v>
          </cell>
          <cell r="M145">
            <v>4360</v>
          </cell>
          <cell r="N145">
            <v>3142</v>
          </cell>
          <cell r="O145">
            <v>3223</v>
          </cell>
          <cell r="P145">
            <v>5435</v>
          </cell>
          <cell r="Q145">
            <v>20919</v>
          </cell>
          <cell r="R145">
            <v>4242</v>
          </cell>
          <cell r="S145">
            <v>212</v>
          </cell>
          <cell r="T145">
            <v>3013</v>
          </cell>
          <cell r="U145">
            <v>7416</v>
          </cell>
          <cell r="Y145">
            <v>11572</v>
          </cell>
          <cell r="Z145">
            <v>6918</v>
          </cell>
          <cell r="AA145">
            <v>7667</v>
          </cell>
          <cell r="AB145">
            <v>4899</v>
          </cell>
          <cell r="AC145">
            <v>2494</v>
          </cell>
          <cell r="AD145">
            <v>774</v>
          </cell>
          <cell r="AE145">
            <v>1636</v>
          </cell>
          <cell r="AF145">
            <v>4007</v>
          </cell>
          <cell r="AG145">
            <v>8898</v>
          </cell>
          <cell r="AJ145">
            <v>3641</v>
          </cell>
          <cell r="AM145">
            <v>12720</v>
          </cell>
          <cell r="AP145">
            <v>5770</v>
          </cell>
          <cell r="AS145">
            <v>8253</v>
          </cell>
          <cell r="AT145">
            <v>5684</v>
          </cell>
          <cell r="AU145">
            <v>12664</v>
          </cell>
          <cell r="AV145">
            <v>12579</v>
          </cell>
          <cell r="AW145">
            <v>10452</v>
          </cell>
          <cell r="AX145">
            <v>1557</v>
          </cell>
          <cell r="AY145">
            <v>4285</v>
          </cell>
          <cell r="AZ145">
            <v>20820</v>
          </cell>
          <cell r="BA145">
            <v>180396</v>
          </cell>
          <cell r="BB145">
            <v>16031</v>
          </cell>
          <cell r="BC145">
            <v>1157</v>
          </cell>
          <cell r="BD145">
            <v>197296</v>
          </cell>
          <cell r="BE145">
            <v>0.3</v>
          </cell>
          <cell r="BF145">
            <v>-0.7</v>
          </cell>
          <cell r="BG145">
            <v>0.2</v>
          </cell>
          <cell r="BH145">
            <v>0.4</v>
          </cell>
          <cell r="BI145">
            <v>-0.4</v>
          </cell>
          <cell r="BJ145">
            <v>2.2000000000000002</v>
          </cell>
          <cell r="BK145">
            <v>1.3</v>
          </cell>
          <cell r="BL145">
            <v>0.6</v>
          </cell>
          <cell r="BM145">
            <v>3.3</v>
          </cell>
          <cell r="BN145">
            <v>0.7</v>
          </cell>
          <cell r="BO145">
            <v>0.8</v>
          </cell>
          <cell r="BP145">
            <v>0.7</v>
          </cell>
          <cell r="BQ145">
            <v>2.2000000000000002</v>
          </cell>
          <cell r="BR145">
            <v>0.2</v>
          </cell>
          <cell r="BS145">
            <v>2.4</v>
          </cell>
          <cell r="BT145">
            <v>1.3</v>
          </cell>
          <cell r="BU145">
            <v>1.2</v>
          </cell>
          <cell r="BV145">
            <v>-1.7</v>
          </cell>
          <cell r="BW145">
            <v>1.8</v>
          </cell>
          <cell r="BX145">
            <v>1.1000000000000001</v>
          </cell>
          <cell r="CB145">
            <v>3.1</v>
          </cell>
          <cell r="CC145">
            <v>0.2</v>
          </cell>
          <cell r="CD145">
            <v>0.2</v>
          </cell>
          <cell r="CE145">
            <v>0.1</v>
          </cell>
          <cell r="CF145">
            <v>0</v>
          </cell>
          <cell r="CG145">
            <v>4.4000000000000004</v>
          </cell>
          <cell r="CH145">
            <v>2.1</v>
          </cell>
          <cell r="CI145">
            <v>1.7</v>
          </cell>
          <cell r="CJ145">
            <v>1.5</v>
          </cell>
          <cell r="CM145">
            <v>3.7</v>
          </cell>
          <cell r="CP145">
            <v>1.8</v>
          </cell>
          <cell r="CS145">
            <v>1</v>
          </cell>
          <cell r="CV145">
            <v>-1.2</v>
          </cell>
          <cell r="CW145">
            <v>0</v>
          </cell>
          <cell r="CX145">
            <v>1.2</v>
          </cell>
          <cell r="CY145">
            <v>1</v>
          </cell>
          <cell r="CZ145">
            <v>1.3</v>
          </cell>
          <cell r="DA145">
            <v>0.3</v>
          </cell>
          <cell r="DB145">
            <v>0</v>
          </cell>
          <cell r="DC145">
            <v>0.9</v>
          </cell>
          <cell r="DD145">
            <v>1.3</v>
          </cell>
          <cell r="DE145">
            <v>0.5</v>
          </cell>
          <cell r="DF145">
            <v>1</v>
          </cell>
          <cell r="DG145">
            <v>6208</v>
          </cell>
          <cell r="DH145">
            <v>770</v>
          </cell>
          <cell r="DI145">
            <v>6804</v>
          </cell>
          <cell r="DJ145">
            <v>1304</v>
          </cell>
          <cell r="DK145">
            <v>3033</v>
          </cell>
          <cell r="DL145">
            <v>931</v>
          </cell>
          <cell r="DM145">
            <v>2869</v>
          </cell>
          <cell r="DN145">
            <v>7542</v>
          </cell>
          <cell r="DO145">
            <v>1164</v>
          </cell>
          <cell r="DP145">
            <v>8559</v>
          </cell>
          <cell r="DQ145">
            <v>4649</v>
          </cell>
          <cell r="DR145">
            <v>4448</v>
          </cell>
          <cell r="DS145">
            <v>3195</v>
          </cell>
          <cell r="DT145">
            <v>3263</v>
          </cell>
          <cell r="DU145">
            <v>5421</v>
          </cell>
          <cell r="DV145">
            <v>20954</v>
          </cell>
          <cell r="DW145">
            <v>4257</v>
          </cell>
          <cell r="DX145">
            <v>210</v>
          </cell>
          <cell r="DY145">
            <v>3013</v>
          </cell>
          <cell r="DZ145">
            <v>7430</v>
          </cell>
          <cell r="ED145">
            <v>11614</v>
          </cell>
          <cell r="EE145">
            <v>6901</v>
          </cell>
          <cell r="EF145">
            <v>7631</v>
          </cell>
          <cell r="EG145">
            <v>4893</v>
          </cell>
          <cell r="EH145">
            <v>2464</v>
          </cell>
          <cell r="EI145">
            <v>778</v>
          </cell>
          <cell r="EJ145">
            <v>1640</v>
          </cell>
          <cell r="EK145">
            <v>4002</v>
          </cell>
          <cell r="EL145">
            <v>8885</v>
          </cell>
          <cell r="EO145">
            <v>3641</v>
          </cell>
          <cell r="ER145">
            <v>12722</v>
          </cell>
          <cell r="EU145">
            <v>5767</v>
          </cell>
          <cell r="EX145">
            <v>8237</v>
          </cell>
          <cell r="EY145">
            <v>5678</v>
          </cell>
          <cell r="EZ145">
            <v>12682</v>
          </cell>
          <cell r="FA145">
            <v>12585</v>
          </cell>
          <cell r="FB145">
            <v>10388</v>
          </cell>
          <cell r="FC145">
            <v>1554</v>
          </cell>
          <cell r="FD145">
            <v>4287</v>
          </cell>
          <cell r="FE145">
            <v>20820</v>
          </cell>
          <cell r="FF145">
            <v>181122</v>
          </cell>
          <cell r="FG145">
            <v>16067</v>
          </cell>
          <cell r="FH145">
            <v>589</v>
          </cell>
          <cell r="FI145">
            <v>197491</v>
          </cell>
          <cell r="FJ145">
            <v>18.8</v>
          </cell>
          <cell r="FK145">
            <v>-0.9</v>
          </cell>
          <cell r="FL145">
            <v>15.5</v>
          </cell>
          <cell r="FM145">
            <v>0.7</v>
          </cell>
          <cell r="FN145">
            <v>-4.4000000000000004</v>
          </cell>
          <cell r="FO145">
            <v>0.5</v>
          </cell>
          <cell r="FP145">
            <v>1.9</v>
          </cell>
          <cell r="FQ145">
            <v>-1.1000000000000001</v>
          </cell>
          <cell r="FR145">
            <v>-8</v>
          </cell>
          <cell r="FS145">
            <v>-1.7</v>
          </cell>
          <cell r="FT145">
            <v>-4.4000000000000004</v>
          </cell>
          <cell r="FU145">
            <v>4.0999999999999996</v>
          </cell>
          <cell r="FV145">
            <v>4.2</v>
          </cell>
          <cell r="FW145">
            <v>2.5</v>
          </cell>
          <cell r="FX145">
            <v>1.4</v>
          </cell>
          <cell r="FY145">
            <v>1.2</v>
          </cell>
          <cell r="FZ145">
            <v>2.2999999999999998</v>
          </cell>
          <cell r="GA145">
            <v>-0.5</v>
          </cell>
          <cell r="GB145">
            <v>4.8</v>
          </cell>
          <cell r="GC145">
            <v>2.7</v>
          </cell>
          <cell r="GG145">
            <v>3.8</v>
          </cell>
          <cell r="GH145">
            <v>-0.9</v>
          </cell>
          <cell r="GI145">
            <v>-0.5</v>
          </cell>
          <cell r="GJ145">
            <v>0.3</v>
          </cell>
          <cell r="GK145">
            <v>-3.3</v>
          </cell>
          <cell r="GL145">
            <v>5.0999999999999996</v>
          </cell>
          <cell r="GM145">
            <v>2.9</v>
          </cell>
          <cell r="GN145">
            <v>0.3</v>
          </cell>
          <cell r="GO145">
            <v>0.4</v>
          </cell>
          <cell r="GR145">
            <v>3.4</v>
          </cell>
          <cell r="GU145">
            <v>2</v>
          </cell>
          <cell r="GX145">
            <v>0.4</v>
          </cell>
          <cell r="HA145">
            <v>-1.6</v>
          </cell>
          <cell r="HB145">
            <v>-0.5</v>
          </cell>
          <cell r="HC145">
            <v>1</v>
          </cell>
          <cell r="HD145">
            <v>1</v>
          </cell>
          <cell r="HE145">
            <v>0.1</v>
          </cell>
          <cell r="HF145">
            <v>0.4</v>
          </cell>
          <cell r="HG145">
            <v>0</v>
          </cell>
          <cell r="HH145">
            <v>0.9</v>
          </cell>
          <cell r="HI145">
            <v>1.6</v>
          </cell>
          <cell r="HJ145">
            <v>0.9</v>
          </cell>
          <cell r="HK145">
            <v>0.7</v>
          </cell>
          <cell r="HL145">
            <v>5089</v>
          </cell>
          <cell r="HM145">
            <v>762</v>
          </cell>
          <cell r="HN145">
            <v>5744</v>
          </cell>
          <cell r="HO145">
            <v>1264</v>
          </cell>
          <cell r="HP145">
            <v>2915</v>
          </cell>
          <cell r="HQ145">
            <v>891</v>
          </cell>
          <cell r="HR145">
            <v>2771</v>
          </cell>
          <cell r="HS145">
            <v>7267</v>
          </cell>
          <cell r="HT145">
            <v>953</v>
          </cell>
          <cell r="HU145">
            <v>8161</v>
          </cell>
          <cell r="HV145">
            <v>4482</v>
          </cell>
          <cell r="HW145">
            <v>4323</v>
          </cell>
          <cell r="HX145">
            <v>3017</v>
          </cell>
          <cell r="HY145">
            <v>3027</v>
          </cell>
          <cell r="HZ145">
            <v>5104</v>
          </cell>
          <cell r="IA145">
            <v>19858</v>
          </cell>
          <cell r="IB145">
            <v>4125</v>
          </cell>
          <cell r="IC145">
            <v>176</v>
          </cell>
          <cell r="ID145">
            <v>3130</v>
          </cell>
          <cell r="IE145">
            <v>7304</v>
          </cell>
          <cell r="II145">
            <v>10666</v>
          </cell>
          <cell r="IJ145">
            <v>6577</v>
          </cell>
          <cell r="IK145">
            <v>7208</v>
          </cell>
          <cell r="IL145">
            <v>4839</v>
          </cell>
          <cell r="IM145">
            <v>2426</v>
          </cell>
          <cell r="IN145">
            <v>767</v>
          </cell>
          <cell r="IO145">
            <v>1592</v>
          </cell>
          <cell r="IP145">
            <v>3949</v>
          </cell>
          <cell r="IQ145">
            <v>8741</v>
          </cell>
        </row>
        <row r="146">
          <cell r="B146">
            <v>5454</v>
          </cell>
          <cell r="C146">
            <v>773</v>
          </cell>
          <cell r="D146">
            <v>6103</v>
          </cell>
          <cell r="E146">
            <v>1300</v>
          </cell>
          <cell r="F146">
            <v>3042</v>
          </cell>
          <cell r="G146">
            <v>962</v>
          </cell>
          <cell r="H146">
            <v>2919</v>
          </cell>
          <cell r="I146">
            <v>7627</v>
          </cell>
          <cell r="J146">
            <v>1222</v>
          </cell>
          <cell r="K146">
            <v>8681</v>
          </cell>
          <cell r="L146">
            <v>4842</v>
          </cell>
          <cell r="M146">
            <v>4384</v>
          </cell>
          <cell r="N146">
            <v>3205</v>
          </cell>
          <cell r="O146">
            <v>3228</v>
          </cell>
          <cell r="P146">
            <v>5496</v>
          </cell>
          <cell r="Q146">
            <v>21092</v>
          </cell>
          <cell r="R146">
            <v>4307</v>
          </cell>
          <cell r="S146">
            <v>213</v>
          </cell>
          <cell r="T146">
            <v>3070</v>
          </cell>
          <cell r="U146">
            <v>7524</v>
          </cell>
          <cell r="Y146">
            <v>11760</v>
          </cell>
          <cell r="Z146">
            <v>6969</v>
          </cell>
          <cell r="AA146">
            <v>7706</v>
          </cell>
          <cell r="AB146">
            <v>4960</v>
          </cell>
          <cell r="AC146">
            <v>2504</v>
          </cell>
          <cell r="AD146">
            <v>795</v>
          </cell>
          <cell r="AE146">
            <v>1676</v>
          </cell>
          <cell r="AF146">
            <v>4085</v>
          </cell>
          <cell r="AG146">
            <v>9044</v>
          </cell>
          <cell r="AJ146">
            <v>3738</v>
          </cell>
          <cell r="AM146">
            <v>13161</v>
          </cell>
          <cell r="AP146">
            <v>5742</v>
          </cell>
          <cell r="AS146">
            <v>8216</v>
          </cell>
          <cell r="AT146">
            <v>5651</v>
          </cell>
          <cell r="AU146">
            <v>12760</v>
          </cell>
          <cell r="AV146">
            <v>12598</v>
          </cell>
          <cell r="AW146">
            <v>10631</v>
          </cell>
          <cell r="AX146">
            <v>1567</v>
          </cell>
          <cell r="AY146">
            <v>4284</v>
          </cell>
          <cell r="AZ146">
            <v>20999</v>
          </cell>
          <cell r="BA146">
            <v>181926</v>
          </cell>
          <cell r="BB146">
            <v>16112</v>
          </cell>
          <cell r="BC146">
            <v>596</v>
          </cell>
          <cell r="BD146">
            <v>198344</v>
          </cell>
          <cell r="BE146">
            <v>-1.6</v>
          </cell>
          <cell r="BF146">
            <v>0.5</v>
          </cell>
          <cell r="BG146">
            <v>-1.2</v>
          </cell>
          <cell r="BH146">
            <v>0.2</v>
          </cell>
          <cell r="BI146">
            <v>-2.5</v>
          </cell>
          <cell r="BJ146">
            <v>2.6</v>
          </cell>
          <cell r="BK146">
            <v>1.8</v>
          </cell>
          <cell r="BL146">
            <v>0</v>
          </cell>
          <cell r="BM146">
            <v>-1.3</v>
          </cell>
          <cell r="BN146">
            <v>-0.1</v>
          </cell>
          <cell r="BO146">
            <v>1.1000000000000001</v>
          </cell>
          <cell r="BP146">
            <v>0.6</v>
          </cell>
          <cell r="BQ146">
            <v>2</v>
          </cell>
          <cell r="BR146">
            <v>0.1</v>
          </cell>
          <cell r="BS146">
            <v>1.1000000000000001</v>
          </cell>
          <cell r="BT146">
            <v>0.8</v>
          </cell>
          <cell r="BU146">
            <v>1.5</v>
          </cell>
          <cell r="BV146">
            <v>0.4</v>
          </cell>
          <cell r="BW146">
            <v>1.9</v>
          </cell>
          <cell r="BX146">
            <v>1.5</v>
          </cell>
          <cell r="CB146">
            <v>1.6</v>
          </cell>
          <cell r="CC146">
            <v>0.7</v>
          </cell>
          <cell r="CD146">
            <v>0.5</v>
          </cell>
          <cell r="CE146">
            <v>1.3</v>
          </cell>
          <cell r="CF146">
            <v>0.4</v>
          </cell>
          <cell r="CG146">
            <v>2.7</v>
          </cell>
          <cell r="CH146">
            <v>2.5</v>
          </cell>
          <cell r="CI146">
            <v>1.9</v>
          </cell>
          <cell r="CJ146">
            <v>1.6</v>
          </cell>
          <cell r="CM146">
            <v>2.7</v>
          </cell>
          <cell r="CP146">
            <v>3.5</v>
          </cell>
          <cell r="CS146">
            <v>-0.5</v>
          </cell>
          <cell r="CV146">
            <v>-0.4</v>
          </cell>
          <cell r="CW146">
            <v>-0.6</v>
          </cell>
          <cell r="CX146">
            <v>0.8</v>
          </cell>
          <cell r="CY146">
            <v>0.2</v>
          </cell>
          <cell r="CZ146">
            <v>1.7</v>
          </cell>
          <cell r="DA146">
            <v>0.7</v>
          </cell>
          <cell r="DB146">
            <v>0</v>
          </cell>
          <cell r="DC146">
            <v>0.9</v>
          </cell>
          <cell r="DD146">
            <v>0.8</v>
          </cell>
          <cell r="DE146">
            <v>0.5</v>
          </cell>
          <cell r="DF146">
            <v>0.5</v>
          </cell>
          <cell r="DG146">
            <v>5068</v>
          </cell>
          <cell r="DH146">
            <v>770</v>
          </cell>
          <cell r="DI146">
            <v>5737</v>
          </cell>
          <cell r="DJ146">
            <v>1297</v>
          </cell>
          <cell r="DK146">
            <v>3157</v>
          </cell>
          <cell r="DL146">
            <v>944</v>
          </cell>
          <cell r="DM146">
            <v>2915</v>
          </cell>
          <cell r="DN146">
            <v>7717</v>
          </cell>
          <cell r="DO146">
            <v>1272</v>
          </cell>
          <cell r="DP146">
            <v>8799</v>
          </cell>
          <cell r="DQ146">
            <v>4941</v>
          </cell>
          <cell r="DR146">
            <v>4331</v>
          </cell>
          <cell r="DS146">
            <v>3195</v>
          </cell>
          <cell r="DT146">
            <v>3221</v>
          </cell>
          <cell r="DU146">
            <v>5566</v>
          </cell>
          <cell r="DV146">
            <v>21207</v>
          </cell>
          <cell r="DW146">
            <v>4332</v>
          </cell>
          <cell r="DX146">
            <v>216</v>
          </cell>
          <cell r="DY146">
            <v>3142</v>
          </cell>
          <cell r="DZ146">
            <v>7611</v>
          </cell>
          <cell r="ED146">
            <v>11855</v>
          </cell>
          <cell r="EE146">
            <v>6934</v>
          </cell>
          <cell r="EF146">
            <v>7753</v>
          </cell>
          <cell r="EG146">
            <v>4980</v>
          </cell>
          <cell r="EH146">
            <v>2508</v>
          </cell>
          <cell r="EI146">
            <v>809</v>
          </cell>
          <cell r="EJ146">
            <v>1671</v>
          </cell>
          <cell r="EK146">
            <v>4067</v>
          </cell>
          <cell r="EL146">
            <v>9031</v>
          </cell>
          <cell r="EO146">
            <v>3752</v>
          </cell>
          <cell r="ER146">
            <v>13062</v>
          </cell>
          <cell r="EU146">
            <v>5768</v>
          </cell>
          <cell r="EX146">
            <v>8239</v>
          </cell>
          <cell r="EY146">
            <v>5675</v>
          </cell>
          <cell r="EZ146">
            <v>12765</v>
          </cell>
          <cell r="FA146">
            <v>12613</v>
          </cell>
          <cell r="FB146">
            <v>10584</v>
          </cell>
          <cell r="FC146">
            <v>1579</v>
          </cell>
          <cell r="FD146">
            <v>4280</v>
          </cell>
          <cell r="FE146">
            <v>21001</v>
          </cell>
          <cell r="FF146">
            <v>181757</v>
          </cell>
          <cell r="FG146">
            <v>16108</v>
          </cell>
          <cell r="FH146">
            <v>981</v>
          </cell>
          <cell r="FI146">
            <v>198556</v>
          </cell>
          <cell r="FJ146">
            <v>-18.399999999999999</v>
          </cell>
          <cell r="FK146">
            <v>-0.1</v>
          </cell>
          <cell r="FL146">
            <v>-15.7</v>
          </cell>
          <cell r="FM146">
            <v>-0.5</v>
          </cell>
          <cell r="FN146">
            <v>4.0999999999999996</v>
          </cell>
          <cell r="FO146">
            <v>1.4</v>
          </cell>
          <cell r="FP146">
            <v>1.6</v>
          </cell>
          <cell r="FQ146">
            <v>2.2999999999999998</v>
          </cell>
          <cell r="FR146">
            <v>9.1999999999999993</v>
          </cell>
          <cell r="FS146">
            <v>2.8</v>
          </cell>
          <cell r="FT146">
            <v>6.3</v>
          </cell>
          <cell r="FU146">
            <v>-2.6</v>
          </cell>
          <cell r="FV146">
            <v>0</v>
          </cell>
          <cell r="FW146">
            <v>-1.3</v>
          </cell>
          <cell r="FX146">
            <v>2.7</v>
          </cell>
          <cell r="FY146">
            <v>1.2</v>
          </cell>
          <cell r="FZ146">
            <v>1.8</v>
          </cell>
          <cell r="GA146">
            <v>2.9</v>
          </cell>
          <cell r="GB146">
            <v>4.3</v>
          </cell>
          <cell r="GC146">
            <v>2.4</v>
          </cell>
          <cell r="GG146">
            <v>2.1</v>
          </cell>
          <cell r="GH146">
            <v>0.5</v>
          </cell>
          <cell r="GI146">
            <v>1.6</v>
          </cell>
          <cell r="GJ146">
            <v>1.8</v>
          </cell>
          <cell r="GK146">
            <v>1.8</v>
          </cell>
          <cell r="GL146">
            <v>4</v>
          </cell>
          <cell r="GM146">
            <v>1.9</v>
          </cell>
          <cell r="GN146">
            <v>1.6</v>
          </cell>
          <cell r="GO146">
            <v>1.6</v>
          </cell>
          <cell r="GR146">
            <v>3.1</v>
          </cell>
          <cell r="GU146">
            <v>2.7</v>
          </cell>
          <cell r="GX146">
            <v>0</v>
          </cell>
          <cell r="HA146">
            <v>0</v>
          </cell>
          <cell r="HB146">
            <v>0</v>
          </cell>
          <cell r="HC146">
            <v>0.7</v>
          </cell>
          <cell r="HD146">
            <v>0.2</v>
          </cell>
          <cell r="HE146">
            <v>1.9</v>
          </cell>
          <cell r="HF146">
            <v>1.6</v>
          </cell>
          <cell r="HG146">
            <v>-0.1</v>
          </cell>
          <cell r="HH146">
            <v>0.9</v>
          </cell>
          <cell r="HI146">
            <v>0.4</v>
          </cell>
          <cell r="HJ146">
            <v>0.3</v>
          </cell>
          <cell r="HK146">
            <v>0.5</v>
          </cell>
          <cell r="HL146">
            <v>3707</v>
          </cell>
          <cell r="HM146">
            <v>762</v>
          </cell>
          <cell r="HN146">
            <v>4457</v>
          </cell>
          <cell r="HO146">
            <v>1291</v>
          </cell>
          <cell r="HP146">
            <v>3168</v>
          </cell>
          <cell r="HQ146">
            <v>937</v>
          </cell>
          <cell r="HR146">
            <v>2925</v>
          </cell>
          <cell r="HS146">
            <v>7720</v>
          </cell>
          <cell r="HT146">
            <v>1313</v>
          </cell>
          <cell r="HU146">
            <v>8822</v>
          </cell>
          <cell r="HV146">
            <v>4788</v>
          </cell>
          <cell r="HW146">
            <v>4311</v>
          </cell>
          <cell r="HX146">
            <v>3197</v>
          </cell>
          <cell r="HY146">
            <v>3247</v>
          </cell>
          <cell r="HZ146">
            <v>5461</v>
          </cell>
          <cell r="IA146">
            <v>20979</v>
          </cell>
          <cell r="IB146">
            <v>4354</v>
          </cell>
          <cell r="IC146">
            <v>228</v>
          </cell>
          <cell r="ID146">
            <v>3006</v>
          </cell>
          <cell r="IE146">
            <v>7568</v>
          </cell>
          <cell r="II146">
            <v>12219</v>
          </cell>
          <cell r="IJ146">
            <v>6963</v>
          </cell>
          <cell r="IK146">
            <v>7510</v>
          </cell>
          <cell r="IL146">
            <v>4762</v>
          </cell>
          <cell r="IM146">
            <v>2496</v>
          </cell>
          <cell r="IN146">
            <v>762</v>
          </cell>
          <cell r="IO146">
            <v>1650</v>
          </cell>
          <cell r="IP146">
            <v>4051</v>
          </cell>
          <cell r="IQ146">
            <v>8940</v>
          </cell>
        </row>
        <row r="147">
          <cell r="B147">
            <v>5504</v>
          </cell>
          <cell r="C147">
            <v>779</v>
          </cell>
          <cell r="D147">
            <v>6153</v>
          </cell>
          <cell r="E147">
            <v>1296</v>
          </cell>
          <cell r="F147">
            <v>2974</v>
          </cell>
          <cell r="G147">
            <v>972</v>
          </cell>
          <cell r="H147">
            <v>2953</v>
          </cell>
          <cell r="I147">
            <v>7609</v>
          </cell>
          <cell r="J147">
            <v>1219</v>
          </cell>
          <cell r="K147">
            <v>8662</v>
          </cell>
          <cell r="L147">
            <v>4867</v>
          </cell>
          <cell r="M147">
            <v>4441</v>
          </cell>
          <cell r="N147">
            <v>3233</v>
          </cell>
          <cell r="O147">
            <v>3299</v>
          </cell>
          <cell r="P147">
            <v>5548</v>
          </cell>
          <cell r="Q147">
            <v>21260</v>
          </cell>
          <cell r="R147">
            <v>4370</v>
          </cell>
          <cell r="S147">
            <v>219</v>
          </cell>
          <cell r="T147">
            <v>3094</v>
          </cell>
          <cell r="U147">
            <v>7621</v>
          </cell>
          <cell r="Y147">
            <v>11777</v>
          </cell>
          <cell r="Z147">
            <v>7102</v>
          </cell>
          <cell r="AA147">
            <v>7791</v>
          </cell>
          <cell r="AB147">
            <v>5062</v>
          </cell>
          <cell r="AC147">
            <v>2529</v>
          </cell>
          <cell r="AD147">
            <v>807</v>
          </cell>
          <cell r="AE147">
            <v>1696</v>
          </cell>
          <cell r="AF147">
            <v>4143</v>
          </cell>
          <cell r="AG147">
            <v>9163</v>
          </cell>
          <cell r="AJ147">
            <v>3812</v>
          </cell>
          <cell r="AM147">
            <v>13676</v>
          </cell>
          <cell r="AP147">
            <v>5722</v>
          </cell>
          <cell r="AS147">
            <v>8319</v>
          </cell>
          <cell r="AT147">
            <v>5664</v>
          </cell>
          <cell r="AU147">
            <v>12834</v>
          </cell>
          <cell r="AV147">
            <v>12584</v>
          </cell>
          <cell r="AW147">
            <v>10759</v>
          </cell>
          <cell r="AX147">
            <v>1579</v>
          </cell>
          <cell r="AY147">
            <v>4287</v>
          </cell>
          <cell r="AZ147">
            <v>21180</v>
          </cell>
          <cell r="BA147">
            <v>183232</v>
          </cell>
          <cell r="BB147">
            <v>16284</v>
          </cell>
          <cell r="BC147">
            <v>510</v>
          </cell>
          <cell r="BD147">
            <v>199728</v>
          </cell>
          <cell r="BE147">
            <v>0.9</v>
          </cell>
          <cell r="BF147">
            <v>0.8</v>
          </cell>
          <cell r="BG147">
            <v>0.8</v>
          </cell>
          <cell r="BH147">
            <v>-0.3</v>
          </cell>
          <cell r="BI147">
            <v>-2.2999999999999998</v>
          </cell>
          <cell r="BJ147">
            <v>1</v>
          </cell>
          <cell r="BK147">
            <v>1.1000000000000001</v>
          </cell>
          <cell r="BL147">
            <v>-0.2</v>
          </cell>
          <cell r="BM147">
            <v>-0.2</v>
          </cell>
          <cell r="BN147">
            <v>-0.2</v>
          </cell>
          <cell r="BO147">
            <v>0.5</v>
          </cell>
          <cell r="BP147">
            <v>1.3</v>
          </cell>
          <cell r="BQ147">
            <v>0.9</v>
          </cell>
          <cell r="BR147">
            <v>2.2000000000000002</v>
          </cell>
          <cell r="BS147">
            <v>0.9</v>
          </cell>
          <cell r="BT147">
            <v>0.8</v>
          </cell>
          <cell r="BU147">
            <v>1.5</v>
          </cell>
          <cell r="BV147">
            <v>3.2</v>
          </cell>
          <cell r="BW147">
            <v>0.8</v>
          </cell>
          <cell r="BX147">
            <v>1.3</v>
          </cell>
          <cell r="CB147">
            <v>0.2</v>
          </cell>
          <cell r="CC147">
            <v>1.9</v>
          </cell>
          <cell r="CD147">
            <v>1.1000000000000001</v>
          </cell>
          <cell r="CE147">
            <v>2</v>
          </cell>
          <cell r="CF147">
            <v>1</v>
          </cell>
          <cell r="CG147">
            <v>1.5</v>
          </cell>
          <cell r="CH147">
            <v>1.2</v>
          </cell>
          <cell r="CI147">
            <v>1.4</v>
          </cell>
          <cell r="CJ147">
            <v>1.3</v>
          </cell>
          <cell r="CM147">
            <v>2</v>
          </cell>
          <cell r="CP147">
            <v>3.9</v>
          </cell>
          <cell r="CS147">
            <v>-0.4</v>
          </cell>
          <cell r="CV147">
            <v>1.2</v>
          </cell>
          <cell r="CW147">
            <v>0.2</v>
          </cell>
          <cell r="CX147">
            <v>0.6</v>
          </cell>
          <cell r="CY147">
            <v>-0.1</v>
          </cell>
          <cell r="CZ147">
            <v>1.2</v>
          </cell>
          <cell r="DA147">
            <v>0.7</v>
          </cell>
          <cell r="DB147">
            <v>0.1</v>
          </cell>
          <cell r="DC147">
            <v>0.9</v>
          </cell>
          <cell r="DD147">
            <v>0.7</v>
          </cell>
          <cell r="DE147">
            <v>1.1000000000000001</v>
          </cell>
          <cell r="DF147">
            <v>0.7</v>
          </cell>
          <cell r="DG147">
            <v>5279</v>
          </cell>
          <cell r="DH147">
            <v>782</v>
          </cell>
          <cell r="DI147">
            <v>5951</v>
          </cell>
          <cell r="DJ147">
            <v>1301</v>
          </cell>
          <cell r="DK147">
            <v>2971</v>
          </cell>
          <cell r="DL147">
            <v>1012</v>
          </cell>
          <cell r="DM147">
            <v>2980</v>
          </cell>
          <cell r="DN147">
            <v>7672</v>
          </cell>
          <cell r="DO147">
            <v>1220</v>
          </cell>
          <cell r="DP147">
            <v>8732</v>
          </cell>
          <cell r="DQ147">
            <v>4872</v>
          </cell>
          <cell r="DR147">
            <v>4391</v>
          </cell>
          <cell r="DS147">
            <v>3186</v>
          </cell>
          <cell r="DT147">
            <v>3236</v>
          </cell>
          <cell r="DU147">
            <v>5482</v>
          </cell>
          <cell r="DV147">
            <v>21019</v>
          </cell>
          <cell r="DW147">
            <v>4299</v>
          </cell>
          <cell r="DX147">
            <v>214</v>
          </cell>
          <cell r="DY147">
            <v>3064</v>
          </cell>
          <cell r="DZ147">
            <v>7506</v>
          </cell>
          <cell r="ED147">
            <v>11800</v>
          </cell>
          <cell r="EE147">
            <v>7120</v>
          </cell>
          <cell r="EF147">
            <v>7728</v>
          </cell>
          <cell r="EG147">
            <v>5035</v>
          </cell>
          <cell r="EH147">
            <v>2535</v>
          </cell>
          <cell r="EI147">
            <v>789</v>
          </cell>
          <cell r="EJ147">
            <v>1698</v>
          </cell>
          <cell r="EK147">
            <v>4144</v>
          </cell>
          <cell r="EL147">
            <v>9149</v>
          </cell>
          <cell r="EO147">
            <v>3795</v>
          </cell>
          <cell r="ER147">
            <v>13738</v>
          </cell>
          <cell r="EU147">
            <v>5692</v>
          </cell>
          <cell r="EX147">
            <v>8298</v>
          </cell>
          <cell r="EY147">
            <v>5640</v>
          </cell>
          <cell r="EZ147">
            <v>12844</v>
          </cell>
          <cell r="FA147">
            <v>12552</v>
          </cell>
          <cell r="FB147">
            <v>10881</v>
          </cell>
          <cell r="FC147">
            <v>1568</v>
          </cell>
          <cell r="FD147">
            <v>4279</v>
          </cell>
          <cell r="FE147">
            <v>21180</v>
          </cell>
          <cell r="FF147">
            <v>182988</v>
          </cell>
          <cell r="FG147">
            <v>16227</v>
          </cell>
          <cell r="FH147">
            <v>-131</v>
          </cell>
          <cell r="FI147">
            <v>198789</v>
          </cell>
          <cell r="FJ147">
            <v>4.2</v>
          </cell>
          <cell r="FK147">
            <v>1.6</v>
          </cell>
          <cell r="FL147">
            <v>3.7</v>
          </cell>
          <cell r="FM147">
            <v>0.3</v>
          </cell>
          <cell r="FN147">
            <v>-5.9</v>
          </cell>
          <cell r="FO147">
            <v>7.2</v>
          </cell>
          <cell r="FP147">
            <v>2.2000000000000002</v>
          </cell>
          <cell r="FQ147">
            <v>-0.6</v>
          </cell>
          <cell r="FR147">
            <v>-4.0999999999999996</v>
          </cell>
          <cell r="FS147">
            <v>-0.8</v>
          </cell>
          <cell r="FT147">
            <v>-1.4</v>
          </cell>
          <cell r="FU147">
            <v>1.4</v>
          </cell>
          <cell r="FV147">
            <v>-0.3</v>
          </cell>
          <cell r="FW147">
            <v>0.5</v>
          </cell>
          <cell r="FX147">
            <v>-1.5</v>
          </cell>
          <cell r="FY147">
            <v>-0.9</v>
          </cell>
          <cell r="FZ147">
            <v>-0.8</v>
          </cell>
          <cell r="GA147">
            <v>-1</v>
          </cell>
          <cell r="GB147">
            <v>-2.5</v>
          </cell>
          <cell r="GC147">
            <v>-1.4</v>
          </cell>
          <cell r="GG147">
            <v>-0.5</v>
          </cell>
          <cell r="GH147">
            <v>2.7</v>
          </cell>
          <cell r="GI147">
            <v>-0.3</v>
          </cell>
          <cell r="GJ147">
            <v>1.1000000000000001</v>
          </cell>
          <cell r="GK147">
            <v>1.1000000000000001</v>
          </cell>
          <cell r="GL147">
            <v>-2.5</v>
          </cell>
          <cell r="GM147">
            <v>1.6</v>
          </cell>
          <cell r="GN147">
            <v>1.9</v>
          </cell>
          <cell r="GO147">
            <v>1.3</v>
          </cell>
          <cell r="GR147">
            <v>1.1000000000000001</v>
          </cell>
          <cell r="GU147">
            <v>5.2</v>
          </cell>
          <cell r="GX147">
            <v>-1.3</v>
          </cell>
          <cell r="HA147">
            <v>0.7</v>
          </cell>
          <cell r="HB147">
            <v>-0.6</v>
          </cell>
          <cell r="HC147">
            <v>0.6</v>
          </cell>
          <cell r="HD147">
            <v>-0.5</v>
          </cell>
          <cell r="HE147">
            <v>2.8</v>
          </cell>
          <cell r="HF147">
            <v>-0.7</v>
          </cell>
          <cell r="HG147">
            <v>0</v>
          </cell>
          <cell r="HH147">
            <v>0.9</v>
          </cell>
          <cell r="HI147">
            <v>0.7</v>
          </cell>
          <cell r="HJ147">
            <v>0.7</v>
          </cell>
          <cell r="HK147">
            <v>0.1</v>
          </cell>
          <cell r="HL147">
            <v>3452</v>
          </cell>
          <cell r="HM147">
            <v>789</v>
          </cell>
          <cell r="HN147">
            <v>4279</v>
          </cell>
          <cell r="HO147">
            <v>1369</v>
          </cell>
          <cell r="HP147">
            <v>3107</v>
          </cell>
          <cell r="HQ147">
            <v>1059</v>
          </cell>
          <cell r="HR147">
            <v>3062</v>
          </cell>
          <cell r="HS147">
            <v>8007</v>
          </cell>
          <cell r="HT147">
            <v>1250</v>
          </cell>
          <cell r="HU147">
            <v>9109</v>
          </cell>
          <cell r="HV147">
            <v>4866</v>
          </cell>
          <cell r="HW147">
            <v>4507</v>
          </cell>
          <cell r="HX147">
            <v>3288</v>
          </cell>
          <cell r="HY147">
            <v>3347</v>
          </cell>
          <cell r="HZ147">
            <v>5670</v>
          </cell>
          <cell r="IA147">
            <v>21545</v>
          </cell>
          <cell r="IB147">
            <v>4540</v>
          </cell>
          <cell r="IC147">
            <v>252</v>
          </cell>
          <cell r="ID147">
            <v>2954</v>
          </cell>
          <cell r="IE147">
            <v>7792</v>
          </cell>
          <cell r="II147">
            <v>11795</v>
          </cell>
          <cell r="IJ147">
            <v>7116</v>
          </cell>
          <cell r="IK147">
            <v>7557</v>
          </cell>
          <cell r="IL147">
            <v>4995</v>
          </cell>
          <cell r="IM147">
            <v>2506</v>
          </cell>
          <cell r="IN147">
            <v>818</v>
          </cell>
          <cell r="IO147">
            <v>1729</v>
          </cell>
          <cell r="IP147">
            <v>4167</v>
          </cell>
          <cell r="IQ147">
            <v>9209</v>
          </cell>
        </row>
        <row r="148">
          <cell r="B148">
            <v>5764</v>
          </cell>
          <cell r="C148">
            <v>781</v>
          </cell>
          <cell r="D148">
            <v>6389</v>
          </cell>
          <cell r="E148">
            <v>1293</v>
          </cell>
          <cell r="F148">
            <v>2980</v>
          </cell>
          <cell r="G148">
            <v>973</v>
          </cell>
          <cell r="H148">
            <v>2965</v>
          </cell>
          <cell r="I148">
            <v>7648</v>
          </cell>
          <cell r="J148">
            <v>1213</v>
          </cell>
          <cell r="K148">
            <v>8705</v>
          </cell>
          <cell r="L148">
            <v>4907</v>
          </cell>
          <cell r="M148">
            <v>4517</v>
          </cell>
          <cell r="N148">
            <v>3246</v>
          </cell>
          <cell r="O148">
            <v>3434</v>
          </cell>
          <cell r="P148">
            <v>5642</v>
          </cell>
          <cell r="Q148">
            <v>21548</v>
          </cell>
          <cell r="R148">
            <v>4398</v>
          </cell>
          <cell r="S148">
            <v>226</v>
          </cell>
          <cell r="T148">
            <v>3086</v>
          </cell>
          <cell r="U148">
            <v>7656</v>
          </cell>
          <cell r="Y148">
            <v>11866</v>
          </cell>
          <cell r="Z148">
            <v>7318</v>
          </cell>
          <cell r="AA148">
            <v>7902</v>
          </cell>
          <cell r="AB148">
            <v>5180</v>
          </cell>
          <cell r="AC148">
            <v>2582</v>
          </cell>
          <cell r="AD148">
            <v>822</v>
          </cell>
          <cell r="AE148">
            <v>1691</v>
          </cell>
          <cell r="AF148">
            <v>4176</v>
          </cell>
          <cell r="AG148">
            <v>9263</v>
          </cell>
          <cell r="AJ148">
            <v>3866</v>
          </cell>
          <cell r="AM148">
            <v>14087</v>
          </cell>
          <cell r="AP148">
            <v>5780</v>
          </cell>
          <cell r="AS148">
            <v>8613</v>
          </cell>
          <cell r="AT148">
            <v>5784</v>
          </cell>
          <cell r="AU148">
            <v>12952</v>
          </cell>
          <cell r="AV148">
            <v>12582</v>
          </cell>
          <cell r="AW148">
            <v>10775</v>
          </cell>
          <cell r="AX148">
            <v>1588</v>
          </cell>
          <cell r="AY148">
            <v>4297</v>
          </cell>
          <cell r="AZ148">
            <v>21367</v>
          </cell>
          <cell r="BA148">
            <v>185144</v>
          </cell>
          <cell r="BB148">
            <v>16525</v>
          </cell>
          <cell r="BC148">
            <v>985</v>
          </cell>
          <cell r="BD148">
            <v>202347</v>
          </cell>
          <cell r="BE148">
            <v>4.7</v>
          </cell>
          <cell r="BF148">
            <v>0.2</v>
          </cell>
          <cell r="BG148">
            <v>3.8</v>
          </cell>
          <cell r="BH148">
            <v>-0.2</v>
          </cell>
          <cell r="BI148">
            <v>0.2</v>
          </cell>
          <cell r="BJ148">
            <v>0.1</v>
          </cell>
          <cell r="BK148">
            <v>0.4</v>
          </cell>
          <cell r="BL148">
            <v>0.5</v>
          </cell>
          <cell r="BM148">
            <v>-0.4</v>
          </cell>
          <cell r="BN148">
            <v>0.5</v>
          </cell>
          <cell r="BO148">
            <v>0.8</v>
          </cell>
          <cell r="BP148">
            <v>1.7</v>
          </cell>
          <cell r="BQ148">
            <v>0.4</v>
          </cell>
          <cell r="BR148">
            <v>4.0999999999999996</v>
          </cell>
          <cell r="BS148">
            <v>1.7</v>
          </cell>
          <cell r="BT148">
            <v>1.4</v>
          </cell>
          <cell r="BU148">
            <v>0.6</v>
          </cell>
          <cell r="BV148">
            <v>3.2</v>
          </cell>
          <cell r="BW148">
            <v>-0.3</v>
          </cell>
          <cell r="BX148">
            <v>0.5</v>
          </cell>
          <cell r="CB148">
            <v>0.8</v>
          </cell>
          <cell r="CC148">
            <v>3</v>
          </cell>
          <cell r="CD148">
            <v>1.4</v>
          </cell>
          <cell r="CE148">
            <v>2.2999999999999998</v>
          </cell>
          <cell r="CF148">
            <v>2.1</v>
          </cell>
          <cell r="CG148">
            <v>1.8</v>
          </cell>
          <cell r="CH148">
            <v>-0.3</v>
          </cell>
          <cell r="CI148">
            <v>0.8</v>
          </cell>
          <cell r="CJ148">
            <v>1.1000000000000001</v>
          </cell>
          <cell r="CM148">
            <v>1.4</v>
          </cell>
          <cell r="CP148">
            <v>3</v>
          </cell>
          <cell r="CS148">
            <v>1</v>
          </cell>
          <cell r="CV148">
            <v>3.5</v>
          </cell>
          <cell r="CW148">
            <v>2.1</v>
          </cell>
          <cell r="CX148">
            <v>0.9</v>
          </cell>
          <cell r="CY148">
            <v>0</v>
          </cell>
          <cell r="CZ148">
            <v>0.1</v>
          </cell>
          <cell r="DA148">
            <v>0.6</v>
          </cell>
          <cell r="DB148">
            <v>0.2</v>
          </cell>
          <cell r="DC148">
            <v>0.9</v>
          </cell>
          <cell r="DD148">
            <v>1</v>
          </cell>
          <cell r="DE148">
            <v>1.5</v>
          </cell>
          <cell r="DF148">
            <v>1.3</v>
          </cell>
          <cell r="DG148">
            <v>5958</v>
          </cell>
          <cell r="DH148">
            <v>786</v>
          </cell>
          <cell r="DI148">
            <v>6577</v>
          </cell>
          <cell r="DJ148">
            <v>1289</v>
          </cell>
          <cell r="DK148">
            <v>2806</v>
          </cell>
          <cell r="DL148">
            <v>961</v>
          </cell>
          <cell r="DM148">
            <v>2942</v>
          </cell>
          <cell r="DN148">
            <v>7435</v>
          </cell>
          <cell r="DO148">
            <v>1152</v>
          </cell>
          <cell r="DP148">
            <v>8450</v>
          </cell>
          <cell r="DQ148">
            <v>4872</v>
          </cell>
          <cell r="DR148">
            <v>4602</v>
          </cell>
          <cell r="DS148">
            <v>3314</v>
          </cell>
          <cell r="DT148">
            <v>3465</v>
          </cell>
          <cell r="DU148">
            <v>5601</v>
          </cell>
          <cell r="DV148">
            <v>21661</v>
          </cell>
          <cell r="DW148">
            <v>4487</v>
          </cell>
          <cell r="DX148">
            <v>230</v>
          </cell>
          <cell r="DY148">
            <v>3069</v>
          </cell>
          <cell r="DZ148">
            <v>7757</v>
          </cell>
          <cell r="ED148">
            <v>11689</v>
          </cell>
          <cell r="EE148">
            <v>7312</v>
          </cell>
          <cell r="EF148">
            <v>7932</v>
          </cell>
          <cell r="EG148">
            <v>5201</v>
          </cell>
          <cell r="EH148">
            <v>2581</v>
          </cell>
          <cell r="EI148">
            <v>824</v>
          </cell>
          <cell r="EJ148">
            <v>1727</v>
          </cell>
          <cell r="EK148">
            <v>4234</v>
          </cell>
          <cell r="EL148">
            <v>9349</v>
          </cell>
          <cell r="EO148">
            <v>3882</v>
          </cell>
          <cell r="ER148">
            <v>14147</v>
          </cell>
          <cell r="EU148">
            <v>5734</v>
          </cell>
          <cell r="EX148">
            <v>8548</v>
          </cell>
          <cell r="EY148">
            <v>5738</v>
          </cell>
          <cell r="EZ148">
            <v>12911</v>
          </cell>
          <cell r="FA148">
            <v>12581</v>
          </cell>
          <cell r="FB148">
            <v>10800</v>
          </cell>
          <cell r="FC148">
            <v>1594</v>
          </cell>
          <cell r="FD148">
            <v>4318</v>
          </cell>
          <cell r="FE148">
            <v>21368</v>
          </cell>
          <cell r="FF148">
            <v>184879</v>
          </cell>
          <cell r="FG148">
            <v>16556</v>
          </cell>
          <cell r="FH148">
            <v>1326</v>
          </cell>
          <cell r="FI148">
            <v>202452</v>
          </cell>
          <cell r="FJ148">
            <v>12.9</v>
          </cell>
          <cell r="FK148">
            <v>0.5</v>
          </cell>
          <cell r="FL148">
            <v>10.5</v>
          </cell>
          <cell r="FM148">
            <v>-1</v>
          </cell>
          <cell r="FN148">
            <v>-5.6</v>
          </cell>
          <cell r="FO148">
            <v>-5</v>
          </cell>
          <cell r="FP148">
            <v>-1.3</v>
          </cell>
          <cell r="FQ148">
            <v>-3.1</v>
          </cell>
          <cell r="FR148">
            <v>-5.5</v>
          </cell>
          <cell r="FS148">
            <v>-3.2</v>
          </cell>
          <cell r="FT148">
            <v>0</v>
          </cell>
          <cell r="FU148">
            <v>4.8</v>
          </cell>
          <cell r="FV148">
            <v>4</v>
          </cell>
          <cell r="FW148">
            <v>7.1</v>
          </cell>
          <cell r="FX148">
            <v>2.2000000000000002</v>
          </cell>
          <cell r="FY148">
            <v>3.1</v>
          </cell>
          <cell r="FZ148">
            <v>4.4000000000000004</v>
          </cell>
          <cell r="GA148">
            <v>7.5</v>
          </cell>
          <cell r="GB148">
            <v>0.2</v>
          </cell>
          <cell r="GC148">
            <v>3.3</v>
          </cell>
          <cell r="GG148">
            <v>-0.9</v>
          </cell>
          <cell r="GH148">
            <v>2.7</v>
          </cell>
          <cell r="GI148">
            <v>2.6</v>
          </cell>
          <cell r="GJ148">
            <v>3.3</v>
          </cell>
          <cell r="GK148">
            <v>1.8</v>
          </cell>
          <cell r="GL148">
            <v>4.3</v>
          </cell>
          <cell r="GM148">
            <v>1.7</v>
          </cell>
          <cell r="GN148">
            <v>2.2000000000000002</v>
          </cell>
          <cell r="GO148">
            <v>2.2000000000000002</v>
          </cell>
          <cell r="GR148">
            <v>2.2999999999999998</v>
          </cell>
          <cell r="GU148">
            <v>3</v>
          </cell>
          <cell r="GX148">
            <v>0.7</v>
          </cell>
          <cell r="HA148">
            <v>3</v>
          </cell>
          <cell r="HB148">
            <v>1.7</v>
          </cell>
          <cell r="HC148">
            <v>0.5</v>
          </cell>
          <cell r="HD148">
            <v>0.2</v>
          </cell>
          <cell r="HE148">
            <v>-0.7</v>
          </cell>
          <cell r="HF148">
            <v>1.7</v>
          </cell>
          <cell r="HG148">
            <v>0.9</v>
          </cell>
          <cell r="HH148">
            <v>0.9</v>
          </cell>
          <cell r="HI148">
            <v>1</v>
          </cell>
          <cell r="HJ148">
            <v>2</v>
          </cell>
          <cell r="HK148">
            <v>1.8</v>
          </cell>
          <cell r="HL148">
            <v>10798</v>
          </cell>
          <cell r="HM148">
            <v>793</v>
          </cell>
          <cell r="HN148">
            <v>10997</v>
          </cell>
          <cell r="HO148">
            <v>1263</v>
          </cell>
          <cell r="HP148">
            <v>2785</v>
          </cell>
          <cell r="HQ148">
            <v>965</v>
          </cell>
          <cell r="HR148">
            <v>2940</v>
          </cell>
          <cell r="HS148">
            <v>7378</v>
          </cell>
          <cell r="HT148">
            <v>1300</v>
          </cell>
          <cell r="HU148">
            <v>8447</v>
          </cell>
          <cell r="HV148">
            <v>5238</v>
          </cell>
          <cell r="HW148">
            <v>4619</v>
          </cell>
          <cell r="HX148">
            <v>3397</v>
          </cell>
          <cell r="HY148">
            <v>3579</v>
          </cell>
          <cell r="HZ148">
            <v>5847</v>
          </cell>
          <cell r="IA148">
            <v>22513</v>
          </cell>
          <cell r="IB148">
            <v>4353</v>
          </cell>
          <cell r="IC148">
            <v>214</v>
          </cell>
          <cell r="ID148">
            <v>3194</v>
          </cell>
          <cell r="IE148">
            <v>7653</v>
          </cell>
          <cell r="II148">
            <v>12345</v>
          </cell>
          <cell r="IJ148">
            <v>7633</v>
          </cell>
          <cell r="IK148">
            <v>8778</v>
          </cell>
          <cell r="IL148">
            <v>5538</v>
          </cell>
          <cell r="IM148">
            <v>2672</v>
          </cell>
          <cell r="IN148">
            <v>857</v>
          </cell>
          <cell r="IO148">
            <v>1770</v>
          </cell>
          <cell r="IP148">
            <v>4295</v>
          </cell>
          <cell r="IQ148">
            <v>9571</v>
          </cell>
        </row>
        <row r="149">
          <cell r="B149">
            <v>5925</v>
          </cell>
          <cell r="C149">
            <v>785</v>
          </cell>
          <cell r="D149">
            <v>6540</v>
          </cell>
          <cell r="E149">
            <v>1304</v>
          </cell>
          <cell r="F149">
            <v>3086</v>
          </cell>
          <cell r="G149">
            <v>979</v>
          </cell>
          <cell r="H149">
            <v>2951</v>
          </cell>
          <cell r="I149">
            <v>7788</v>
          </cell>
          <cell r="J149">
            <v>1231</v>
          </cell>
          <cell r="K149">
            <v>8858</v>
          </cell>
          <cell r="L149">
            <v>4979</v>
          </cell>
          <cell r="M149">
            <v>4608</v>
          </cell>
          <cell r="N149">
            <v>3255</v>
          </cell>
          <cell r="O149">
            <v>3580</v>
          </cell>
          <cell r="P149">
            <v>5771</v>
          </cell>
          <cell r="Q149">
            <v>21921</v>
          </cell>
          <cell r="R149">
            <v>4395</v>
          </cell>
          <cell r="S149">
            <v>233</v>
          </cell>
          <cell r="T149">
            <v>3113</v>
          </cell>
          <cell r="U149">
            <v>7678</v>
          </cell>
          <cell r="Y149">
            <v>12154</v>
          </cell>
          <cell r="Z149">
            <v>7566</v>
          </cell>
          <cell r="AA149">
            <v>8001</v>
          </cell>
          <cell r="AB149">
            <v>5325</v>
          </cell>
          <cell r="AC149">
            <v>2643</v>
          </cell>
          <cell r="AD149">
            <v>841</v>
          </cell>
          <cell r="AE149">
            <v>1679</v>
          </cell>
          <cell r="AF149">
            <v>4200</v>
          </cell>
          <cell r="AG149">
            <v>9356</v>
          </cell>
          <cell r="AJ149">
            <v>3933</v>
          </cell>
          <cell r="AM149">
            <v>14255</v>
          </cell>
          <cell r="AP149">
            <v>5931</v>
          </cell>
          <cell r="AS149">
            <v>9100</v>
          </cell>
          <cell r="AT149">
            <v>6029</v>
          </cell>
          <cell r="AU149">
            <v>13222</v>
          </cell>
          <cell r="AV149">
            <v>12600</v>
          </cell>
          <cell r="AW149">
            <v>10781</v>
          </cell>
          <cell r="AX149">
            <v>1601</v>
          </cell>
          <cell r="AY149">
            <v>4322</v>
          </cell>
          <cell r="AZ149">
            <v>21573</v>
          </cell>
          <cell r="BA149">
            <v>187844</v>
          </cell>
          <cell r="BB149">
            <v>16929</v>
          </cell>
          <cell r="BC149">
            <v>1047</v>
          </cell>
          <cell r="BD149">
            <v>205505</v>
          </cell>
          <cell r="BE149">
            <v>2.8</v>
          </cell>
          <cell r="BF149">
            <v>0.5</v>
          </cell>
          <cell r="BG149">
            <v>2.4</v>
          </cell>
          <cell r="BH149">
            <v>0.9</v>
          </cell>
          <cell r="BI149">
            <v>3.6</v>
          </cell>
          <cell r="BJ149">
            <v>0.6</v>
          </cell>
          <cell r="BK149">
            <v>-0.5</v>
          </cell>
          <cell r="BL149">
            <v>1.8</v>
          </cell>
          <cell r="BM149">
            <v>1.5</v>
          </cell>
          <cell r="BN149">
            <v>1.8</v>
          </cell>
          <cell r="BO149">
            <v>1.5</v>
          </cell>
          <cell r="BP149">
            <v>2</v>
          </cell>
          <cell r="BQ149">
            <v>0.3</v>
          </cell>
          <cell r="BR149">
            <v>4.2</v>
          </cell>
          <cell r="BS149">
            <v>2.2999999999999998</v>
          </cell>
          <cell r="BT149">
            <v>1.7</v>
          </cell>
          <cell r="BU149">
            <v>-0.1</v>
          </cell>
          <cell r="BV149">
            <v>2.7</v>
          </cell>
          <cell r="BW149">
            <v>0.9</v>
          </cell>
          <cell r="BX149">
            <v>0.3</v>
          </cell>
          <cell r="CB149">
            <v>2.4</v>
          </cell>
          <cell r="CC149">
            <v>3.4</v>
          </cell>
          <cell r="CD149">
            <v>1.3</v>
          </cell>
          <cell r="CE149">
            <v>2.8</v>
          </cell>
          <cell r="CF149">
            <v>2.4</v>
          </cell>
          <cell r="CG149">
            <v>2.2999999999999998</v>
          </cell>
          <cell r="CH149">
            <v>-0.7</v>
          </cell>
          <cell r="CI149">
            <v>0.6</v>
          </cell>
          <cell r="CJ149">
            <v>1</v>
          </cell>
          <cell r="CM149">
            <v>1.7</v>
          </cell>
          <cell r="CP149">
            <v>1.2</v>
          </cell>
          <cell r="CS149">
            <v>2.6</v>
          </cell>
          <cell r="CV149">
            <v>5.7</v>
          </cell>
          <cell r="CW149">
            <v>4.2</v>
          </cell>
          <cell r="CX149">
            <v>2.1</v>
          </cell>
          <cell r="CY149">
            <v>0.1</v>
          </cell>
          <cell r="CZ149">
            <v>0.1</v>
          </cell>
          <cell r="DA149">
            <v>0.8</v>
          </cell>
          <cell r="DB149">
            <v>0.6</v>
          </cell>
          <cell r="DC149">
            <v>1</v>
          </cell>
          <cell r="DD149">
            <v>1.5</v>
          </cell>
          <cell r="DE149">
            <v>2.4</v>
          </cell>
          <cell r="DF149">
            <v>1.6</v>
          </cell>
          <cell r="DG149">
            <v>6070</v>
          </cell>
          <cell r="DH149">
            <v>785</v>
          </cell>
          <cell r="DI149">
            <v>6673</v>
          </cell>
          <cell r="DJ149">
            <v>1304</v>
          </cell>
          <cell r="DK149">
            <v>3249</v>
          </cell>
          <cell r="DL149">
            <v>948</v>
          </cell>
          <cell r="DM149">
            <v>2949</v>
          </cell>
          <cell r="DN149">
            <v>7930</v>
          </cell>
          <cell r="DO149">
            <v>1333</v>
          </cell>
          <cell r="DP149">
            <v>9051</v>
          </cell>
          <cell r="DQ149">
            <v>4932</v>
          </cell>
          <cell r="DR149">
            <v>4565</v>
          </cell>
          <cell r="DS149">
            <v>3219</v>
          </cell>
          <cell r="DT149">
            <v>3596</v>
          </cell>
          <cell r="DU149">
            <v>5864</v>
          </cell>
          <cell r="DV149">
            <v>21908</v>
          </cell>
          <cell r="DW149">
            <v>4367</v>
          </cell>
          <cell r="DX149">
            <v>234</v>
          </cell>
          <cell r="DY149">
            <v>3124</v>
          </cell>
          <cell r="DZ149">
            <v>7658</v>
          </cell>
          <cell r="ED149">
            <v>12145</v>
          </cell>
          <cell r="EE149">
            <v>7564</v>
          </cell>
          <cell r="EF149">
            <v>8026</v>
          </cell>
          <cell r="EG149">
            <v>5326</v>
          </cell>
          <cell r="EH149">
            <v>2629</v>
          </cell>
          <cell r="EI149">
            <v>849</v>
          </cell>
          <cell r="EJ149">
            <v>1624</v>
          </cell>
          <cell r="EK149">
            <v>4145</v>
          </cell>
          <cell r="EL149">
            <v>9273</v>
          </cell>
          <cell r="EO149">
            <v>3936</v>
          </cell>
          <cell r="ER149">
            <v>14240</v>
          </cell>
          <cell r="EU149">
            <v>5970</v>
          </cell>
          <cell r="EX149">
            <v>9145</v>
          </cell>
          <cell r="EY149">
            <v>6061</v>
          </cell>
          <cell r="EZ149">
            <v>13213</v>
          </cell>
          <cell r="FA149">
            <v>12606</v>
          </cell>
          <cell r="FB149">
            <v>10670</v>
          </cell>
          <cell r="FC149">
            <v>1606</v>
          </cell>
          <cell r="FD149">
            <v>4305</v>
          </cell>
          <cell r="FE149">
            <v>21567</v>
          </cell>
          <cell r="FF149">
            <v>188129</v>
          </cell>
          <cell r="FG149">
            <v>16969</v>
          </cell>
          <cell r="FH149">
            <v>1079</v>
          </cell>
          <cell r="FI149">
            <v>205859</v>
          </cell>
          <cell r="FJ149">
            <v>1.9</v>
          </cell>
          <cell r="FK149">
            <v>-0.2</v>
          </cell>
          <cell r="FL149">
            <v>1.5</v>
          </cell>
          <cell r="FM149">
            <v>1.2</v>
          </cell>
          <cell r="FN149">
            <v>15.8</v>
          </cell>
          <cell r="FO149">
            <v>-1.4</v>
          </cell>
          <cell r="FP149">
            <v>0.2</v>
          </cell>
          <cell r="FQ149">
            <v>6.7</v>
          </cell>
          <cell r="FR149">
            <v>15.7</v>
          </cell>
          <cell r="FS149">
            <v>7.1</v>
          </cell>
          <cell r="FT149">
            <v>1.2</v>
          </cell>
          <cell r="FU149">
            <v>-0.8</v>
          </cell>
          <cell r="FV149">
            <v>-2.9</v>
          </cell>
          <cell r="FW149">
            <v>3.8</v>
          </cell>
          <cell r="FX149">
            <v>4.7</v>
          </cell>
          <cell r="FY149">
            <v>1.1000000000000001</v>
          </cell>
          <cell r="FZ149">
            <v>-2.7</v>
          </cell>
          <cell r="GA149">
            <v>1.9</v>
          </cell>
          <cell r="GB149">
            <v>1.8</v>
          </cell>
          <cell r="GC149">
            <v>-1.3</v>
          </cell>
          <cell r="GG149">
            <v>3.9</v>
          </cell>
          <cell r="GH149">
            <v>3.4</v>
          </cell>
          <cell r="GI149">
            <v>1.2</v>
          </cell>
          <cell r="GJ149">
            <v>2.4</v>
          </cell>
          <cell r="GK149">
            <v>1.9</v>
          </cell>
          <cell r="GL149">
            <v>3.1</v>
          </cell>
          <cell r="GM149">
            <v>-6</v>
          </cell>
          <cell r="GN149">
            <v>-2.1</v>
          </cell>
          <cell r="GO149">
            <v>-0.8</v>
          </cell>
          <cell r="GR149">
            <v>1.4</v>
          </cell>
          <cell r="GU149">
            <v>0.7</v>
          </cell>
          <cell r="GX149">
            <v>4.0999999999999996</v>
          </cell>
          <cell r="HA149">
            <v>7</v>
          </cell>
          <cell r="HB149">
            <v>5.6</v>
          </cell>
          <cell r="HC149">
            <v>2.2999999999999998</v>
          </cell>
          <cell r="HD149">
            <v>0.2</v>
          </cell>
          <cell r="HE149">
            <v>-1.2</v>
          </cell>
          <cell r="HF149">
            <v>0.8</v>
          </cell>
          <cell r="HG149">
            <v>-0.3</v>
          </cell>
          <cell r="HH149">
            <v>0.9</v>
          </cell>
          <cell r="HI149">
            <v>1.8</v>
          </cell>
          <cell r="HJ149">
            <v>2.5</v>
          </cell>
          <cell r="HK149">
            <v>1.7</v>
          </cell>
          <cell r="HL149">
            <v>4463</v>
          </cell>
          <cell r="HM149">
            <v>777</v>
          </cell>
          <cell r="HN149">
            <v>5201</v>
          </cell>
          <cell r="HO149">
            <v>1273</v>
          </cell>
          <cell r="HP149">
            <v>3105</v>
          </cell>
          <cell r="HQ149">
            <v>903</v>
          </cell>
          <cell r="HR149">
            <v>2852</v>
          </cell>
          <cell r="HS149">
            <v>7635</v>
          </cell>
          <cell r="HT149">
            <v>1096</v>
          </cell>
          <cell r="HU149">
            <v>8640</v>
          </cell>
          <cell r="HV149">
            <v>4734</v>
          </cell>
          <cell r="HW149">
            <v>4449</v>
          </cell>
          <cell r="HX149">
            <v>3035</v>
          </cell>
          <cell r="HY149">
            <v>3357</v>
          </cell>
          <cell r="HZ149">
            <v>5532</v>
          </cell>
          <cell r="IA149">
            <v>20777</v>
          </cell>
          <cell r="IB149">
            <v>4254</v>
          </cell>
          <cell r="IC149">
            <v>198</v>
          </cell>
          <cell r="ID149">
            <v>3239</v>
          </cell>
          <cell r="IE149">
            <v>7532</v>
          </cell>
          <cell r="II149">
            <v>11119</v>
          </cell>
          <cell r="IJ149">
            <v>7208</v>
          </cell>
          <cell r="IK149">
            <v>7614</v>
          </cell>
          <cell r="IL149">
            <v>5260</v>
          </cell>
          <cell r="IM149">
            <v>2584</v>
          </cell>
          <cell r="IN149">
            <v>836</v>
          </cell>
          <cell r="IO149">
            <v>1569</v>
          </cell>
          <cell r="IP149">
            <v>4089</v>
          </cell>
          <cell r="IQ149">
            <v>9107</v>
          </cell>
        </row>
        <row r="150">
          <cell r="B150">
            <v>5582</v>
          </cell>
          <cell r="C150">
            <v>799</v>
          </cell>
          <cell r="D150">
            <v>6243</v>
          </cell>
          <cell r="E150">
            <v>1332</v>
          </cell>
          <cell r="F150">
            <v>3246</v>
          </cell>
          <cell r="G150">
            <v>1001</v>
          </cell>
          <cell r="H150">
            <v>2911</v>
          </cell>
          <cell r="I150">
            <v>7996</v>
          </cell>
          <cell r="J150">
            <v>1303</v>
          </cell>
          <cell r="K150">
            <v>9101</v>
          </cell>
          <cell r="L150">
            <v>5096</v>
          </cell>
          <cell r="M150">
            <v>4657</v>
          </cell>
          <cell r="N150">
            <v>3256</v>
          </cell>
          <cell r="O150">
            <v>3659</v>
          </cell>
          <cell r="P150">
            <v>5903</v>
          </cell>
          <cell r="Q150">
            <v>22230</v>
          </cell>
          <cell r="R150">
            <v>4394</v>
          </cell>
          <cell r="S150">
            <v>238</v>
          </cell>
          <cell r="T150">
            <v>3179</v>
          </cell>
          <cell r="U150">
            <v>7726</v>
          </cell>
          <cell r="Y150">
            <v>12553</v>
          </cell>
          <cell r="Z150">
            <v>7819</v>
          </cell>
          <cell r="AA150">
            <v>8078</v>
          </cell>
          <cell r="AB150">
            <v>5486</v>
          </cell>
          <cell r="AC150">
            <v>2715</v>
          </cell>
          <cell r="AD150">
            <v>860</v>
          </cell>
          <cell r="AE150">
            <v>1683</v>
          </cell>
          <cell r="AF150">
            <v>4256</v>
          </cell>
          <cell r="AG150">
            <v>9500</v>
          </cell>
          <cell r="AJ150">
            <v>4032</v>
          </cell>
          <cell r="AM150">
            <v>14184</v>
          </cell>
          <cell r="AP150">
            <v>6094</v>
          </cell>
          <cell r="AS150">
            <v>9653</v>
          </cell>
          <cell r="AT150">
            <v>6315</v>
          </cell>
          <cell r="AU150">
            <v>13550</v>
          </cell>
          <cell r="AV150">
            <v>12619</v>
          </cell>
          <cell r="AW150">
            <v>10894</v>
          </cell>
          <cell r="AX150">
            <v>1624</v>
          </cell>
          <cell r="AY150">
            <v>4373</v>
          </cell>
          <cell r="AZ150">
            <v>21805</v>
          </cell>
          <cell r="BA150">
            <v>190501</v>
          </cell>
          <cell r="BB150">
            <v>17417</v>
          </cell>
          <cell r="BC150">
            <v>737</v>
          </cell>
          <cell r="BD150">
            <v>208336</v>
          </cell>
          <cell r="BE150">
            <v>-5.8</v>
          </cell>
          <cell r="BF150">
            <v>1.8</v>
          </cell>
          <cell r="BG150">
            <v>-4.5</v>
          </cell>
          <cell r="BH150">
            <v>2.1</v>
          </cell>
          <cell r="BI150">
            <v>5.2</v>
          </cell>
          <cell r="BJ150">
            <v>2.2999999999999998</v>
          </cell>
          <cell r="BK150">
            <v>-1.4</v>
          </cell>
          <cell r="BL150">
            <v>2.7</v>
          </cell>
          <cell r="BM150">
            <v>5.8</v>
          </cell>
          <cell r="BN150">
            <v>2.7</v>
          </cell>
          <cell r="BO150">
            <v>2.4</v>
          </cell>
          <cell r="BP150">
            <v>1.1000000000000001</v>
          </cell>
          <cell r="BQ150">
            <v>0</v>
          </cell>
          <cell r="BR150">
            <v>2.2000000000000002</v>
          </cell>
          <cell r="BS150">
            <v>2.2999999999999998</v>
          </cell>
          <cell r="BT150">
            <v>1.4</v>
          </cell>
          <cell r="BU150">
            <v>0</v>
          </cell>
          <cell r="BV150">
            <v>2.2000000000000002</v>
          </cell>
          <cell r="BW150">
            <v>2.1</v>
          </cell>
          <cell r="BX150">
            <v>0.6</v>
          </cell>
          <cell r="CB150">
            <v>3.3</v>
          </cell>
          <cell r="CC150">
            <v>3.4</v>
          </cell>
          <cell r="CD150">
            <v>1</v>
          </cell>
          <cell r="CE150">
            <v>3</v>
          </cell>
          <cell r="CF150">
            <v>2.7</v>
          </cell>
          <cell r="CG150">
            <v>2.2000000000000002</v>
          </cell>
          <cell r="CH150">
            <v>0.2</v>
          </cell>
          <cell r="CI150">
            <v>1.3</v>
          </cell>
          <cell r="CJ150">
            <v>1.5</v>
          </cell>
          <cell r="CM150">
            <v>2.5</v>
          </cell>
          <cell r="CP150">
            <v>-0.5</v>
          </cell>
          <cell r="CS150">
            <v>2.8</v>
          </cell>
          <cell r="CV150">
            <v>6.1</v>
          </cell>
          <cell r="CW150">
            <v>4.7</v>
          </cell>
          <cell r="CX150">
            <v>2.5</v>
          </cell>
          <cell r="CY150">
            <v>0.1</v>
          </cell>
          <cell r="CZ150">
            <v>1</v>
          </cell>
          <cell r="DA150">
            <v>1.4</v>
          </cell>
          <cell r="DB150">
            <v>1.2</v>
          </cell>
          <cell r="DC150">
            <v>1.1000000000000001</v>
          </cell>
          <cell r="DD150">
            <v>1.4</v>
          </cell>
          <cell r="DE150">
            <v>2.9</v>
          </cell>
          <cell r="DF150">
            <v>1.4</v>
          </cell>
          <cell r="DG150">
            <v>5572</v>
          </cell>
          <cell r="DH150">
            <v>781</v>
          </cell>
          <cell r="DI150">
            <v>6205</v>
          </cell>
          <cell r="DJ150">
            <v>1321</v>
          </cell>
          <cell r="DK150">
            <v>3170</v>
          </cell>
          <cell r="DL150">
            <v>1035</v>
          </cell>
          <cell r="DM150">
            <v>2955</v>
          </cell>
          <cell r="DN150">
            <v>7963</v>
          </cell>
          <cell r="DO150">
            <v>1168</v>
          </cell>
          <cell r="DP150">
            <v>9018</v>
          </cell>
          <cell r="DQ150">
            <v>5153</v>
          </cell>
          <cell r="DR150">
            <v>4637</v>
          </cell>
          <cell r="DS150">
            <v>3235</v>
          </cell>
          <cell r="DT150">
            <v>3677</v>
          </cell>
          <cell r="DU150">
            <v>5837</v>
          </cell>
          <cell r="DV150">
            <v>22202</v>
          </cell>
          <cell r="DW150">
            <v>4364</v>
          </cell>
          <cell r="DX150">
            <v>233</v>
          </cell>
          <cell r="DY150">
            <v>3156</v>
          </cell>
          <cell r="DZ150">
            <v>7666</v>
          </cell>
          <cell r="ED150">
            <v>12681</v>
          </cell>
          <cell r="EE150">
            <v>7826</v>
          </cell>
          <cell r="EF150">
            <v>8059</v>
          </cell>
          <cell r="EG150">
            <v>5439</v>
          </cell>
          <cell r="EH150">
            <v>2737</v>
          </cell>
          <cell r="EI150">
            <v>855</v>
          </cell>
          <cell r="EJ150">
            <v>1709</v>
          </cell>
          <cell r="EK150">
            <v>4232</v>
          </cell>
          <cell r="EL150">
            <v>9483</v>
          </cell>
          <cell r="EO150">
            <v>3989</v>
          </cell>
          <cell r="ER150">
            <v>14212</v>
          </cell>
          <cell r="EU150">
            <v>6080</v>
          </cell>
          <cell r="EX150">
            <v>9612</v>
          </cell>
          <cell r="EY150">
            <v>6291</v>
          </cell>
          <cell r="EZ150">
            <v>13446</v>
          </cell>
          <cell r="FA150">
            <v>12628</v>
          </cell>
          <cell r="FB150">
            <v>10857</v>
          </cell>
          <cell r="FC150">
            <v>1608</v>
          </cell>
          <cell r="FD150">
            <v>4370</v>
          </cell>
          <cell r="FE150">
            <v>21793</v>
          </cell>
          <cell r="FF150">
            <v>190150</v>
          </cell>
          <cell r="FG150">
            <v>17189</v>
          </cell>
          <cell r="FH150">
            <v>1382</v>
          </cell>
          <cell r="FI150">
            <v>208408</v>
          </cell>
          <cell r="FJ150">
            <v>-8.1999999999999993</v>
          </cell>
          <cell r="FK150">
            <v>-0.4</v>
          </cell>
          <cell r="FL150">
            <v>-7</v>
          </cell>
          <cell r="FM150">
            <v>1.3</v>
          </cell>
          <cell r="FN150">
            <v>-2.5</v>
          </cell>
          <cell r="FO150">
            <v>9.1999999999999993</v>
          </cell>
          <cell r="FP150">
            <v>0.2</v>
          </cell>
          <cell r="FQ150">
            <v>0.4</v>
          </cell>
          <cell r="FR150">
            <v>-12.3</v>
          </cell>
          <cell r="FS150">
            <v>-0.4</v>
          </cell>
          <cell r="FT150">
            <v>4.5</v>
          </cell>
          <cell r="FU150">
            <v>1.6</v>
          </cell>
          <cell r="FV150">
            <v>0.5</v>
          </cell>
          <cell r="FW150">
            <v>2.2999999999999998</v>
          </cell>
          <cell r="FX150">
            <v>-0.5</v>
          </cell>
          <cell r="FY150">
            <v>1.3</v>
          </cell>
          <cell r="FZ150">
            <v>-0.1</v>
          </cell>
          <cell r="GA150">
            <v>-0.5</v>
          </cell>
          <cell r="GB150">
            <v>1</v>
          </cell>
          <cell r="GC150">
            <v>0.1</v>
          </cell>
          <cell r="GG150">
            <v>4.4000000000000004</v>
          </cell>
          <cell r="GH150">
            <v>3.5</v>
          </cell>
          <cell r="GI150">
            <v>0.4</v>
          </cell>
          <cell r="GJ150">
            <v>2.1</v>
          </cell>
          <cell r="GK150">
            <v>4.0999999999999996</v>
          </cell>
          <cell r="GL150">
            <v>0.8</v>
          </cell>
          <cell r="GM150">
            <v>5.3</v>
          </cell>
          <cell r="GN150">
            <v>2.1</v>
          </cell>
          <cell r="GO150">
            <v>2.2999999999999998</v>
          </cell>
          <cell r="GR150">
            <v>1.4</v>
          </cell>
          <cell r="GU150">
            <v>-0.2</v>
          </cell>
          <cell r="GX150">
            <v>1.8</v>
          </cell>
          <cell r="HA150">
            <v>5.0999999999999996</v>
          </cell>
          <cell r="HB150">
            <v>3.8</v>
          </cell>
          <cell r="HC150">
            <v>1.8</v>
          </cell>
          <cell r="HD150">
            <v>0.2</v>
          </cell>
          <cell r="HE150">
            <v>1.8</v>
          </cell>
          <cell r="HF150">
            <v>0.1</v>
          </cell>
          <cell r="HG150">
            <v>1.5</v>
          </cell>
          <cell r="HH150">
            <v>1</v>
          </cell>
          <cell r="HI150">
            <v>1.1000000000000001</v>
          </cell>
          <cell r="HJ150">
            <v>1.3</v>
          </cell>
          <cell r="HK150">
            <v>1.2</v>
          </cell>
          <cell r="HL150">
            <v>4166</v>
          </cell>
          <cell r="HM150">
            <v>775</v>
          </cell>
          <cell r="HN150">
            <v>4928</v>
          </cell>
          <cell r="HO150">
            <v>1310</v>
          </cell>
          <cell r="HP150">
            <v>3198</v>
          </cell>
          <cell r="HQ150">
            <v>1029</v>
          </cell>
          <cell r="HR150">
            <v>2972</v>
          </cell>
          <cell r="HS150">
            <v>7980</v>
          </cell>
          <cell r="HT150">
            <v>1227</v>
          </cell>
          <cell r="HU150">
            <v>9055</v>
          </cell>
          <cell r="HV150">
            <v>4991</v>
          </cell>
          <cell r="HW150">
            <v>4619</v>
          </cell>
          <cell r="HX150">
            <v>3234</v>
          </cell>
          <cell r="HY150">
            <v>3691</v>
          </cell>
          <cell r="HZ150">
            <v>5736</v>
          </cell>
          <cell r="IA150">
            <v>21955</v>
          </cell>
          <cell r="IB150">
            <v>4371</v>
          </cell>
          <cell r="IC150">
            <v>248</v>
          </cell>
          <cell r="ID150">
            <v>3025</v>
          </cell>
          <cell r="IE150">
            <v>7609</v>
          </cell>
          <cell r="II150">
            <v>13056</v>
          </cell>
          <cell r="IJ150">
            <v>7863</v>
          </cell>
          <cell r="IK150">
            <v>7797</v>
          </cell>
          <cell r="IL150">
            <v>5208</v>
          </cell>
          <cell r="IM150">
            <v>2720</v>
          </cell>
          <cell r="IN150">
            <v>806</v>
          </cell>
          <cell r="IO150">
            <v>1690</v>
          </cell>
          <cell r="IP150">
            <v>4203</v>
          </cell>
          <cell r="IQ150">
            <v>9366</v>
          </cell>
        </row>
        <row r="151">
          <cell r="B151">
            <v>4948</v>
          </cell>
          <cell r="C151">
            <v>820</v>
          </cell>
          <cell r="D151">
            <v>5695</v>
          </cell>
          <cell r="E151">
            <v>1369</v>
          </cell>
          <cell r="F151">
            <v>3334</v>
          </cell>
          <cell r="G151">
            <v>1037</v>
          </cell>
          <cell r="H151">
            <v>2872</v>
          </cell>
          <cell r="I151">
            <v>8153</v>
          </cell>
          <cell r="J151">
            <v>1369</v>
          </cell>
          <cell r="K151">
            <v>9287</v>
          </cell>
          <cell r="L151">
            <v>5130</v>
          </cell>
          <cell r="M151">
            <v>4649</v>
          </cell>
          <cell r="N151">
            <v>3239</v>
          </cell>
          <cell r="O151">
            <v>3694</v>
          </cell>
          <cell r="P151">
            <v>5978</v>
          </cell>
          <cell r="Q151">
            <v>22298</v>
          </cell>
          <cell r="R151">
            <v>4419</v>
          </cell>
          <cell r="S151">
            <v>241</v>
          </cell>
          <cell r="T151">
            <v>3219</v>
          </cell>
          <cell r="U151">
            <v>7782</v>
          </cell>
          <cell r="V151">
            <v>3489</v>
          </cell>
          <cell r="W151">
            <v>2349</v>
          </cell>
          <cell r="X151">
            <v>6995</v>
          </cell>
          <cell r="Y151">
            <v>12793</v>
          </cell>
          <cell r="Z151">
            <v>8052</v>
          </cell>
          <cell r="AA151">
            <v>8142</v>
          </cell>
          <cell r="AB151">
            <v>5620</v>
          </cell>
          <cell r="AC151">
            <v>2788</v>
          </cell>
          <cell r="AD151">
            <v>877</v>
          </cell>
          <cell r="AE151">
            <v>1700</v>
          </cell>
          <cell r="AF151">
            <v>4330</v>
          </cell>
          <cell r="AG151">
            <v>9670</v>
          </cell>
          <cell r="AH151">
            <v>1912</v>
          </cell>
          <cell r="AI151">
            <v>2335</v>
          </cell>
          <cell r="AJ151">
            <v>4162</v>
          </cell>
          <cell r="AK151">
            <v>7322</v>
          </cell>
          <cell r="AL151">
            <v>7957</v>
          </cell>
          <cell r="AM151">
            <v>13997</v>
          </cell>
          <cell r="AN151">
            <v>1066</v>
          </cell>
          <cell r="AO151">
            <v>5097</v>
          </cell>
          <cell r="AP151">
            <v>6214</v>
          </cell>
          <cell r="AQ151">
            <v>1078</v>
          </cell>
          <cell r="AR151">
            <v>10577</v>
          </cell>
          <cell r="AS151">
            <v>10150</v>
          </cell>
          <cell r="AT151">
            <v>6562</v>
          </cell>
          <cell r="AU151">
            <v>13736</v>
          </cell>
          <cell r="AV151">
            <v>12627</v>
          </cell>
          <cell r="AW151">
            <v>11111</v>
          </cell>
          <cell r="AX151">
            <v>1653</v>
          </cell>
          <cell r="AY151">
            <v>4458</v>
          </cell>
          <cell r="AZ151">
            <v>22044</v>
          </cell>
          <cell r="BA151">
            <v>192256</v>
          </cell>
          <cell r="BB151">
            <v>17854</v>
          </cell>
          <cell r="BC151">
            <v>471</v>
          </cell>
          <cell r="BD151">
            <v>210263</v>
          </cell>
          <cell r="BE151">
            <v>-11.4</v>
          </cell>
          <cell r="BF151">
            <v>2.6</v>
          </cell>
          <cell r="BG151">
            <v>-8.8000000000000007</v>
          </cell>
          <cell r="BH151">
            <v>2.8</v>
          </cell>
          <cell r="BI151">
            <v>2.7</v>
          </cell>
          <cell r="BJ151">
            <v>3.6</v>
          </cell>
          <cell r="BK151">
            <v>-1.3</v>
          </cell>
          <cell r="BL151">
            <v>2</v>
          </cell>
          <cell r="BM151">
            <v>5.0999999999999996</v>
          </cell>
          <cell r="BN151">
            <v>2</v>
          </cell>
          <cell r="BO151">
            <v>0.7</v>
          </cell>
          <cell r="BP151">
            <v>-0.2</v>
          </cell>
          <cell r="BQ151">
            <v>-0.5</v>
          </cell>
          <cell r="BR151">
            <v>1</v>
          </cell>
          <cell r="BS151">
            <v>1.3</v>
          </cell>
          <cell r="BT151">
            <v>0.3</v>
          </cell>
          <cell r="BU151">
            <v>0.6</v>
          </cell>
          <cell r="BV151">
            <v>1.3</v>
          </cell>
          <cell r="BW151">
            <v>1.3</v>
          </cell>
          <cell r="BX151">
            <v>0.7</v>
          </cell>
          <cell r="CB151">
            <v>1.9</v>
          </cell>
          <cell r="CC151">
            <v>3</v>
          </cell>
          <cell r="CD151">
            <v>0.8</v>
          </cell>
          <cell r="CE151">
            <v>2.4</v>
          </cell>
          <cell r="CF151">
            <v>2.7</v>
          </cell>
          <cell r="CG151">
            <v>2</v>
          </cell>
          <cell r="CH151">
            <v>1</v>
          </cell>
          <cell r="CI151">
            <v>1.8</v>
          </cell>
          <cell r="CJ151">
            <v>1.8</v>
          </cell>
          <cell r="CM151">
            <v>3.2</v>
          </cell>
          <cell r="CP151">
            <v>-1.3</v>
          </cell>
          <cell r="CS151">
            <v>2</v>
          </cell>
          <cell r="CV151">
            <v>5.2</v>
          </cell>
          <cell r="CW151">
            <v>3.9</v>
          </cell>
          <cell r="CX151">
            <v>1.4</v>
          </cell>
          <cell r="CY151">
            <v>0.1</v>
          </cell>
          <cell r="CZ151">
            <v>2</v>
          </cell>
          <cell r="DA151">
            <v>1.8</v>
          </cell>
          <cell r="DB151">
            <v>1.9</v>
          </cell>
          <cell r="DC151">
            <v>1.1000000000000001</v>
          </cell>
          <cell r="DD151">
            <v>0.9</v>
          </cell>
          <cell r="DE151">
            <v>2.5</v>
          </cell>
          <cell r="DF151">
            <v>0.9</v>
          </cell>
          <cell r="DG151">
            <v>4902</v>
          </cell>
          <cell r="DH151">
            <v>836</v>
          </cell>
          <cell r="DI151">
            <v>5676</v>
          </cell>
          <cell r="DJ151">
            <v>1379</v>
          </cell>
          <cell r="DK151">
            <v>3372</v>
          </cell>
          <cell r="DL151">
            <v>1025</v>
          </cell>
          <cell r="DM151">
            <v>2832</v>
          </cell>
          <cell r="DN151">
            <v>8168</v>
          </cell>
          <cell r="DO151">
            <v>1473</v>
          </cell>
          <cell r="DP151">
            <v>9339</v>
          </cell>
          <cell r="DQ151">
            <v>5146</v>
          </cell>
          <cell r="DR151">
            <v>4729</v>
          </cell>
          <cell r="DS151">
            <v>3276</v>
          </cell>
          <cell r="DT151">
            <v>3666</v>
          </cell>
          <cell r="DU151">
            <v>6001</v>
          </cell>
          <cell r="DV151">
            <v>22401</v>
          </cell>
          <cell r="DW151">
            <v>4420</v>
          </cell>
          <cell r="DX151">
            <v>243</v>
          </cell>
          <cell r="DY151">
            <v>3246</v>
          </cell>
          <cell r="DZ151">
            <v>7807</v>
          </cell>
          <cell r="EA151">
            <v>3476</v>
          </cell>
          <cell r="EB151">
            <v>2196</v>
          </cell>
          <cell r="EC151">
            <v>6961</v>
          </cell>
          <cell r="ED151">
            <v>12738</v>
          </cell>
          <cell r="EE151">
            <v>8051</v>
          </cell>
          <cell r="EF151">
            <v>8143</v>
          </cell>
          <cell r="EG151">
            <v>5683</v>
          </cell>
          <cell r="EH151">
            <v>2771</v>
          </cell>
          <cell r="EI151">
            <v>873</v>
          </cell>
          <cell r="EJ151">
            <v>1690</v>
          </cell>
          <cell r="EK151">
            <v>4379</v>
          </cell>
          <cell r="EL151">
            <v>9711</v>
          </cell>
          <cell r="EM151">
            <v>1949</v>
          </cell>
          <cell r="EN151">
            <v>2360</v>
          </cell>
          <cell r="EO151">
            <v>4200</v>
          </cell>
          <cell r="EP151">
            <v>7324</v>
          </cell>
          <cell r="EQ151">
            <v>7969</v>
          </cell>
          <cell r="ER151">
            <v>13985</v>
          </cell>
          <cell r="ES151">
            <v>1075</v>
          </cell>
          <cell r="ET151">
            <v>5139</v>
          </cell>
          <cell r="EU151">
            <v>6268</v>
          </cell>
          <cell r="EV151">
            <v>1087</v>
          </cell>
          <cell r="EW151">
            <v>10671</v>
          </cell>
          <cell r="EX151">
            <v>10251</v>
          </cell>
          <cell r="EY151">
            <v>6627</v>
          </cell>
          <cell r="EZ151">
            <v>14005</v>
          </cell>
          <cell r="FA151">
            <v>12622</v>
          </cell>
          <cell r="FB151">
            <v>11225</v>
          </cell>
          <cell r="FC151">
            <v>1662</v>
          </cell>
          <cell r="FD151">
            <v>4456</v>
          </cell>
          <cell r="FE151">
            <v>22052</v>
          </cell>
          <cell r="FF151">
            <v>193067</v>
          </cell>
          <cell r="FG151">
            <v>18180</v>
          </cell>
          <cell r="FH151">
            <v>-931</v>
          </cell>
          <cell r="FI151">
            <v>209990</v>
          </cell>
          <cell r="FJ151">
            <v>-12</v>
          </cell>
          <cell r="FK151">
            <v>7</v>
          </cell>
          <cell r="FL151">
            <v>-8.5</v>
          </cell>
          <cell r="FM151">
            <v>4.4000000000000004</v>
          </cell>
          <cell r="FN151">
            <v>6.4</v>
          </cell>
          <cell r="FO151">
            <v>-1</v>
          </cell>
          <cell r="FP151">
            <v>-4.0999999999999996</v>
          </cell>
          <cell r="FQ151">
            <v>2.6</v>
          </cell>
          <cell r="FR151">
            <v>26</v>
          </cell>
          <cell r="FS151">
            <v>3.6</v>
          </cell>
          <cell r="FT151">
            <v>-0.1</v>
          </cell>
          <cell r="FU151">
            <v>2</v>
          </cell>
          <cell r="FV151">
            <v>1.3</v>
          </cell>
          <cell r="FW151">
            <v>-0.3</v>
          </cell>
          <cell r="FX151">
            <v>2.8</v>
          </cell>
          <cell r="FY151">
            <v>0.9</v>
          </cell>
          <cell r="FZ151">
            <v>1.3</v>
          </cell>
          <cell r="GA151">
            <v>4.2</v>
          </cell>
          <cell r="GB151">
            <v>2.9</v>
          </cell>
          <cell r="GC151">
            <v>1.8</v>
          </cell>
          <cell r="GG151">
            <v>0.5</v>
          </cell>
          <cell r="GH151">
            <v>2.9</v>
          </cell>
          <cell r="GI151">
            <v>1</v>
          </cell>
          <cell r="GJ151">
            <v>4.5</v>
          </cell>
          <cell r="GK151">
            <v>1.3</v>
          </cell>
          <cell r="GL151">
            <v>2.1</v>
          </cell>
          <cell r="GM151">
            <v>-1.1000000000000001</v>
          </cell>
          <cell r="GN151">
            <v>3.5</v>
          </cell>
          <cell r="GO151">
            <v>2.4</v>
          </cell>
          <cell r="GR151">
            <v>5.3</v>
          </cell>
          <cell r="GU151">
            <v>-1.6</v>
          </cell>
          <cell r="GX151">
            <v>3.1</v>
          </cell>
          <cell r="HA151">
            <v>6.6</v>
          </cell>
          <cell r="HB151">
            <v>5.3</v>
          </cell>
          <cell r="HC151">
            <v>4.2</v>
          </cell>
          <cell r="HD151">
            <v>0</v>
          </cell>
          <cell r="HE151">
            <v>3.4</v>
          </cell>
          <cell r="HF151">
            <v>3.3</v>
          </cell>
          <cell r="HG151">
            <v>2</v>
          </cell>
          <cell r="HH151">
            <v>1.2</v>
          </cell>
          <cell r="HI151">
            <v>1.5</v>
          </cell>
          <cell r="HJ151">
            <v>5.8</v>
          </cell>
          <cell r="HK151">
            <v>0.8</v>
          </cell>
          <cell r="HL151">
            <v>4205</v>
          </cell>
          <cell r="HM151">
            <v>843</v>
          </cell>
          <cell r="HN151">
            <v>5068</v>
          </cell>
          <cell r="HO151">
            <v>1454</v>
          </cell>
          <cell r="HP151">
            <v>3537</v>
          </cell>
          <cell r="HQ151">
            <v>1071</v>
          </cell>
          <cell r="HR151">
            <v>2893</v>
          </cell>
          <cell r="HS151">
            <v>8529</v>
          </cell>
          <cell r="HT151">
            <v>1504</v>
          </cell>
          <cell r="HU151">
            <v>9735</v>
          </cell>
          <cell r="HV151">
            <v>5147</v>
          </cell>
          <cell r="HW151">
            <v>4839</v>
          </cell>
          <cell r="HX151">
            <v>3390</v>
          </cell>
          <cell r="HY151">
            <v>3782</v>
          </cell>
          <cell r="HZ151">
            <v>6183</v>
          </cell>
          <cell r="IA151">
            <v>22937</v>
          </cell>
          <cell r="IB151">
            <v>4654</v>
          </cell>
          <cell r="IC151">
            <v>284</v>
          </cell>
          <cell r="ID151">
            <v>3131</v>
          </cell>
          <cell r="IE151">
            <v>8060</v>
          </cell>
          <cell r="IF151">
            <v>3576</v>
          </cell>
          <cell r="IG151">
            <v>2243</v>
          </cell>
          <cell r="IH151">
            <v>6938</v>
          </cell>
          <cell r="II151">
            <v>12650</v>
          </cell>
          <cell r="IJ151">
            <v>8046</v>
          </cell>
          <cell r="IK151">
            <v>8016</v>
          </cell>
          <cell r="IL151">
            <v>5614</v>
          </cell>
          <cell r="IM151">
            <v>2743</v>
          </cell>
          <cell r="IN151">
            <v>907</v>
          </cell>
          <cell r="IO151">
            <v>1721</v>
          </cell>
          <cell r="IP151">
            <v>4403</v>
          </cell>
          <cell r="IQ151">
            <v>9782</v>
          </cell>
        </row>
        <row r="152">
          <cell r="B152">
            <v>4457</v>
          </cell>
          <cell r="C152">
            <v>827</v>
          </cell>
          <cell r="D152">
            <v>5259</v>
          </cell>
          <cell r="E152">
            <v>1391</v>
          </cell>
          <cell r="F152">
            <v>3336</v>
          </cell>
          <cell r="G152">
            <v>1071</v>
          </cell>
          <cell r="H152">
            <v>2855</v>
          </cell>
          <cell r="I152">
            <v>8214</v>
          </cell>
          <cell r="J152">
            <v>1416</v>
          </cell>
          <cell r="K152">
            <v>9367</v>
          </cell>
          <cell r="L152">
            <v>5043</v>
          </cell>
          <cell r="M152">
            <v>4651</v>
          </cell>
          <cell r="N152">
            <v>3206</v>
          </cell>
          <cell r="O152">
            <v>3720</v>
          </cell>
          <cell r="P152">
            <v>6016</v>
          </cell>
          <cell r="Q152">
            <v>22197</v>
          </cell>
          <cell r="R152">
            <v>4468</v>
          </cell>
          <cell r="S152">
            <v>243</v>
          </cell>
          <cell r="T152">
            <v>3209</v>
          </cell>
          <cell r="U152">
            <v>7834</v>
          </cell>
          <cell r="V152">
            <v>3501</v>
          </cell>
          <cell r="W152">
            <v>2364</v>
          </cell>
          <cell r="X152">
            <v>7000</v>
          </cell>
          <cell r="Y152">
            <v>12793</v>
          </cell>
          <cell r="Z152">
            <v>8238</v>
          </cell>
          <cell r="AA152">
            <v>8254</v>
          </cell>
          <cell r="AB152">
            <v>5702</v>
          </cell>
          <cell r="AC152">
            <v>2848</v>
          </cell>
          <cell r="AD152">
            <v>896</v>
          </cell>
          <cell r="AE152">
            <v>1698</v>
          </cell>
          <cell r="AF152">
            <v>4392</v>
          </cell>
          <cell r="AG152">
            <v>9811</v>
          </cell>
          <cell r="AH152">
            <v>1999</v>
          </cell>
          <cell r="AI152">
            <v>2347</v>
          </cell>
          <cell r="AJ152">
            <v>4308</v>
          </cell>
          <cell r="AK152">
            <v>7355</v>
          </cell>
          <cell r="AL152">
            <v>7827</v>
          </cell>
          <cell r="AM152">
            <v>13816</v>
          </cell>
          <cell r="AN152">
            <v>1077</v>
          </cell>
          <cell r="AO152">
            <v>5145</v>
          </cell>
          <cell r="AP152">
            <v>6299</v>
          </cell>
          <cell r="AQ152">
            <v>1089</v>
          </cell>
          <cell r="AR152">
            <v>10669</v>
          </cell>
          <cell r="AS152">
            <v>10532</v>
          </cell>
          <cell r="AT152">
            <v>6741</v>
          </cell>
          <cell r="AU152">
            <v>13704</v>
          </cell>
          <cell r="AV152">
            <v>12645</v>
          </cell>
          <cell r="AW152">
            <v>11263</v>
          </cell>
          <cell r="AX152">
            <v>1682</v>
          </cell>
          <cell r="AY152">
            <v>4560</v>
          </cell>
          <cell r="AZ152">
            <v>22256</v>
          </cell>
          <cell r="BA152">
            <v>193081</v>
          </cell>
          <cell r="BB152">
            <v>18168</v>
          </cell>
          <cell r="BC152">
            <v>334</v>
          </cell>
          <cell r="BD152">
            <v>211271</v>
          </cell>
          <cell r="BE152">
            <v>-9.9</v>
          </cell>
          <cell r="BF152">
            <v>0.9</v>
          </cell>
          <cell r="BG152">
            <v>-7.6</v>
          </cell>
          <cell r="BH152">
            <v>1.6</v>
          </cell>
          <cell r="BI152">
            <v>0.1</v>
          </cell>
          <cell r="BJ152">
            <v>3.3</v>
          </cell>
          <cell r="BK152">
            <v>-0.6</v>
          </cell>
          <cell r="BL152">
            <v>0.8</v>
          </cell>
          <cell r="BM152">
            <v>3.5</v>
          </cell>
          <cell r="BN152">
            <v>0.9</v>
          </cell>
          <cell r="BO152">
            <v>-1.7</v>
          </cell>
          <cell r="BP152">
            <v>0.1</v>
          </cell>
          <cell r="BQ152">
            <v>-1</v>
          </cell>
          <cell r="BR152">
            <v>0.7</v>
          </cell>
          <cell r="BS152">
            <v>0.6</v>
          </cell>
          <cell r="BT152">
            <v>-0.5</v>
          </cell>
          <cell r="BU152">
            <v>1.1000000000000001</v>
          </cell>
          <cell r="BV152">
            <v>1</v>
          </cell>
          <cell r="BW152">
            <v>-0.3</v>
          </cell>
          <cell r="BX152">
            <v>0.7</v>
          </cell>
          <cell r="BY152">
            <v>0.4</v>
          </cell>
          <cell r="BZ152">
            <v>0.7</v>
          </cell>
          <cell r="CA152">
            <v>0.1</v>
          </cell>
          <cell r="CB152">
            <v>0</v>
          </cell>
          <cell r="CC152">
            <v>2.2999999999999998</v>
          </cell>
          <cell r="CD152">
            <v>1.4</v>
          </cell>
          <cell r="CE152">
            <v>1.4</v>
          </cell>
          <cell r="CF152">
            <v>2.2000000000000002</v>
          </cell>
          <cell r="CG152">
            <v>2.1</v>
          </cell>
          <cell r="CH152">
            <v>-0.1</v>
          </cell>
          <cell r="CI152">
            <v>1.4</v>
          </cell>
          <cell r="CJ152">
            <v>1.5</v>
          </cell>
          <cell r="CK152">
            <v>4.5</v>
          </cell>
          <cell r="CL152">
            <v>0.5</v>
          </cell>
          <cell r="CM152">
            <v>3.5</v>
          </cell>
          <cell r="CN152">
            <v>0.4</v>
          </cell>
          <cell r="CO152">
            <v>-1.6</v>
          </cell>
          <cell r="CP152">
            <v>-1.3</v>
          </cell>
          <cell r="CQ152">
            <v>0.9</v>
          </cell>
          <cell r="CR152">
            <v>0.9</v>
          </cell>
          <cell r="CS152">
            <v>1.4</v>
          </cell>
          <cell r="CT152">
            <v>1</v>
          </cell>
          <cell r="CU152">
            <v>0.9</v>
          </cell>
          <cell r="CV152">
            <v>3.8</v>
          </cell>
          <cell r="CW152">
            <v>2.7</v>
          </cell>
          <cell r="CX152">
            <v>-0.2</v>
          </cell>
          <cell r="CY152">
            <v>0.1</v>
          </cell>
          <cell r="CZ152">
            <v>1.4</v>
          </cell>
          <cell r="DA152">
            <v>1.8</v>
          </cell>
          <cell r="DB152">
            <v>2.2999999999999998</v>
          </cell>
          <cell r="DC152">
            <v>1</v>
          </cell>
          <cell r="DD152">
            <v>0.4</v>
          </cell>
          <cell r="DE152">
            <v>1.8</v>
          </cell>
          <cell r="DF152">
            <v>0.5</v>
          </cell>
          <cell r="DG152">
            <v>4526</v>
          </cell>
          <cell r="DH152">
            <v>833</v>
          </cell>
          <cell r="DI152">
            <v>5329</v>
          </cell>
          <cell r="DJ152">
            <v>1392</v>
          </cell>
          <cell r="DK152">
            <v>3353</v>
          </cell>
          <cell r="DL152">
            <v>1069</v>
          </cell>
          <cell r="DM152">
            <v>2858</v>
          </cell>
          <cell r="DN152">
            <v>8232</v>
          </cell>
          <cell r="DO152">
            <v>1421</v>
          </cell>
          <cell r="DP152">
            <v>9389</v>
          </cell>
          <cell r="DQ152">
            <v>5076</v>
          </cell>
          <cell r="DR152">
            <v>4607</v>
          </cell>
          <cell r="DS152">
            <v>3217</v>
          </cell>
          <cell r="DT152">
            <v>3706</v>
          </cell>
          <cell r="DU152">
            <v>6046</v>
          </cell>
          <cell r="DV152">
            <v>22230</v>
          </cell>
          <cell r="DW152">
            <v>4504</v>
          </cell>
          <cell r="DX152">
            <v>245</v>
          </cell>
          <cell r="DY152">
            <v>3239</v>
          </cell>
          <cell r="DZ152">
            <v>7900</v>
          </cell>
          <cell r="EA152">
            <v>3512</v>
          </cell>
          <cell r="EB152">
            <v>2537</v>
          </cell>
          <cell r="EC152">
            <v>7068</v>
          </cell>
          <cell r="ED152">
            <v>12923</v>
          </cell>
          <cell r="EE152">
            <v>8255</v>
          </cell>
          <cell r="EF152">
            <v>8240</v>
          </cell>
          <cell r="EG152">
            <v>5689</v>
          </cell>
          <cell r="EH152">
            <v>2860</v>
          </cell>
          <cell r="EI152">
            <v>898</v>
          </cell>
          <cell r="EJ152">
            <v>1719</v>
          </cell>
          <cell r="EK152">
            <v>4405</v>
          </cell>
          <cell r="EL152">
            <v>9855</v>
          </cell>
          <cell r="EM152">
            <v>2015</v>
          </cell>
          <cell r="EN152">
            <v>2364</v>
          </cell>
          <cell r="EO152">
            <v>4289</v>
          </cell>
          <cell r="EP152">
            <v>7365</v>
          </cell>
          <cell r="EQ152">
            <v>7802</v>
          </cell>
          <cell r="ER152">
            <v>13806</v>
          </cell>
          <cell r="ES152">
            <v>1064</v>
          </cell>
          <cell r="ET152">
            <v>5087</v>
          </cell>
          <cell r="EU152">
            <v>6229</v>
          </cell>
          <cell r="EV152">
            <v>1077</v>
          </cell>
          <cell r="EW152">
            <v>10553</v>
          </cell>
          <cell r="EX152">
            <v>10430</v>
          </cell>
          <cell r="EY152">
            <v>6674</v>
          </cell>
          <cell r="EZ152">
            <v>13585</v>
          </cell>
          <cell r="FA152">
            <v>12640</v>
          </cell>
          <cell r="FB152">
            <v>11205</v>
          </cell>
          <cell r="FC152">
            <v>1682</v>
          </cell>
          <cell r="FD152">
            <v>4558</v>
          </cell>
          <cell r="FE152">
            <v>22261</v>
          </cell>
          <cell r="FF152">
            <v>193002</v>
          </cell>
          <cell r="FG152">
            <v>18008</v>
          </cell>
          <cell r="FH152">
            <v>1263</v>
          </cell>
          <cell r="FI152">
            <v>211966</v>
          </cell>
          <cell r="FJ152">
            <v>-7.7</v>
          </cell>
          <cell r="FK152">
            <v>-0.4</v>
          </cell>
          <cell r="FL152">
            <v>-6.1</v>
          </cell>
          <cell r="FM152">
            <v>0.9</v>
          </cell>
          <cell r="FN152">
            <v>-0.6</v>
          </cell>
          <cell r="FO152">
            <v>4.3</v>
          </cell>
          <cell r="FP152">
            <v>0.9</v>
          </cell>
          <cell r="FQ152">
            <v>0.8</v>
          </cell>
          <cell r="FR152">
            <v>-3.5</v>
          </cell>
          <cell r="FS152">
            <v>0.5</v>
          </cell>
          <cell r="FT152">
            <v>-1.4</v>
          </cell>
          <cell r="FU152">
            <v>-2.6</v>
          </cell>
          <cell r="FV152">
            <v>-1.8</v>
          </cell>
          <cell r="FW152">
            <v>1.1000000000000001</v>
          </cell>
          <cell r="FX152">
            <v>0.7</v>
          </cell>
          <cell r="FY152">
            <v>-0.8</v>
          </cell>
          <cell r="FZ152">
            <v>1.9</v>
          </cell>
          <cell r="GA152">
            <v>0.8</v>
          </cell>
          <cell r="GB152">
            <v>-0.2</v>
          </cell>
          <cell r="GC152">
            <v>1.2</v>
          </cell>
          <cell r="GD152">
            <v>1</v>
          </cell>
          <cell r="GE152">
            <v>15.5</v>
          </cell>
          <cell r="GF152">
            <v>1.5</v>
          </cell>
          <cell r="GG152">
            <v>1.5</v>
          </cell>
          <cell r="GH152">
            <v>2.5</v>
          </cell>
          <cell r="GI152">
            <v>1.2</v>
          </cell>
          <cell r="GJ152">
            <v>0.1</v>
          </cell>
          <cell r="GK152">
            <v>3.2</v>
          </cell>
          <cell r="GL152">
            <v>2.8</v>
          </cell>
          <cell r="GM152">
            <v>1.7</v>
          </cell>
          <cell r="GN152">
            <v>0.6</v>
          </cell>
          <cell r="GO152">
            <v>1.5</v>
          </cell>
          <cell r="GP152">
            <v>3.4</v>
          </cell>
          <cell r="GQ152">
            <v>0.2</v>
          </cell>
          <cell r="GR152">
            <v>2.1</v>
          </cell>
          <cell r="GS152">
            <v>0.6</v>
          </cell>
          <cell r="GT152">
            <v>-2.1</v>
          </cell>
          <cell r="GU152">
            <v>-1.3</v>
          </cell>
          <cell r="GV152">
            <v>-1</v>
          </cell>
          <cell r="GW152">
            <v>-1</v>
          </cell>
          <cell r="GX152">
            <v>-0.6</v>
          </cell>
          <cell r="GY152">
            <v>-1</v>
          </cell>
          <cell r="GZ152">
            <v>-1.1000000000000001</v>
          </cell>
          <cell r="HA152">
            <v>1.7</v>
          </cell>
          <cell r="HB152">
            <v>0.7</v>
          </cell>
          <cell r="HC152">
            <v>-3</v>
          </cell>
          <cell r="HD152">
            <v>0.2</v>
          </cell>
          <cell r="HE152">
            <v>-0.2</v>
          </cell>
          <cell r="HF152">
            <v>1.2</v>
          </cell>
          <cell r="HG152">
            <v>2.2999999999999998</v>
          </cell>
          <cell r="HH152">
            <v>0.9</v>
          </cell>
          <cell r="HI152">
            <v>0</v>
          </cell>
          <cell r="HJ152">
            <v>-0.9</v>
          </cell>
          <cell r="HK152">
            <v>0.9</v>
          </cell>
          <cell r="HL152">
            <v>7397</v>
          </cell>
          <cell r="HM152">
            <v>836</v>
          </cell>
          <cell r="HN152">
            <v>7909</v>
          </cell>
          <cell r="HO152">
            <v>1358</v>
          </cell>
          <cell r="HP152">
            <v>3311</v>
          </cell>
          <cell r="HQ152">
            <v>1074</v>
          </cell>
          <cell r="HR152">
            <v>2865</v>
          </cell>
          <cell r="HS152">
            <v>8146</v>
          </cell>
          <cell r="HT152">
            <v>1558</v>
          </cell>
          <cell r="HU152">
            <v>9341</v>
          </cell>
          <cell r="HV152">
            <v>5454</v>
          </cell>
          <cell r="HW152">
            <v>4614</v>
          </cell>
          <cell r="HX152">
            <v>3304</v>
          </cell>
          <cell r="HY152">
            <v>3814</v>
          </cell>
          <cell r="HZ152">
            <v>6297</v>
          </cell>
          <cell r="IA152">
            <v>23088</v>
          </cell>
          <cell r="IB152">
            <v>4373</v>
          </cell>
          <cell r="IC152">
            <v>227</v>
          </cell>
          <cell r="ID152">
            <v>3356</v>
          </cell>
          <cell r="IE152">
            <v>7799</v>
          </cell>
          <cell r="IF152">
            <v>3751</v>
          </cell>
          <cell r="IG152">
            <v>2678</v>
          </cell>
          <cell r="IH152">
            <v>7432</v>
          </cell>
          <cell r="II152">
            <v>13547</v>
          </cell>
          <cell r="IJ152">
            <v>8613</v>
          </cell>
          <cell r="IK152">
            <v>9043</v>
          </cell>
          <cell r="IL152">
            <v>6070</v>
          </cell>
          <cell r="IM152">
            <v>2970</v>
          </cell>
          <cell r="IN152">
            <v>932</v>
          </cell>
          <cell r="IO152">
            <v>1761</v>
          </cell>
          <cell r="IP152">
            <v>4473</v>
          </cell>
          <cell r="IQ152">
            <v>10104</v>
          </cell>
        </row>
        <row r="153">
          <cell r="B153">
            <v>4456</v>
          </cell>
          <cell r="C153">
            <v>826</v>
          </cell>
          <cell r="D153">
            <v>5255</v>
          </cell>
          <cell r="E153">
            <v>1385</v>
          </cell>
          <cell r="F153">
            <v>3322</v>
          </cell>
          <cell r="G153">
            <v>1116</v>
          </cell>
          <cell r="H153">
            <v>2921</v>
          </cell>
          <cell r="I153">
            <v>8302</v>
          </cell>
          <cell r="J153">
            <v>1487</v>
          </cell>
          <cell r="K153">
            <v>9498</v>
          </cell>
          <cell r="L153">
            <v>4956</v>
          </cell>
          <cell r="M153">
            <v>4654</v>
          </cell>
          <cell r="N153">
            <v>3154</v>
          </cell>
          <cell r="O153">
            <v>3720</v>
          </cell>
          <cell r="P153">
            <v>6047</v>
          </cell>
          <cell r="Q153">
            <v>22048</v>
          </cell>
          <cell r="R153">
            <v>4499</v>
          </cell>
          <cell r="S153">
            <v>244</v>
          </cell>
          <cell r="T153">
            <v>3193</v>
          </cell>
          <cell r="U153">
            <v>7858</v>
          </cell>
          <cell r="V153">
            <v>3506</v>
          </cell>
          <cell r="W153">
            <v>2360</v>
          </cell>
          <cell r="X153">
            <v>7004</v>
          </cell>
          <cell r="Y153">
            <v>12727</v>
          </cell>
          <cell r="Z153">
            <v>8373</v>
          </cell>
          <cell r="AA153">
            <v>8387</v>
          </cell>
          <cell r="AB153">
            <v>5719</v>
          </cell>
          <cell r="AC153">
            <v>2908</v>
          </cell>
          <cell r="AD153">
            <v>913</v>
          </cell>
          <cell r="AE153">
            <v>1676</v>
          </cell>
          <cell r="AF153">
            <v>4441</v>
          </cell>
          <cell r="AG153">
            <v>9927</v>
          </cell>
          <cell r="AH153">
            <v>2066</v>
          </cell>
          <cell r="AI153">
            <v>2374</v>
          </cell>
          <cell r="AJ153">
            <v>4428</v>
          </cell>
          <cell r="AK153">
            <v>7361</v>
          </cell>
          <cell r="AL153">
            <v>7821</v>
          </cell>
          <cell r="AM153">
            <v>13735</v>
          </cell>
          <cell r="AN153">
            <v>1085</v>
          </cell>
          <cell r="AO153">
            <v>5195</v>
          </cell>
          <cell r="AP153">
            <v>6371</v>
          </cell>
          <cell r="AQ153">
            <v>1103</v>
          </cell>
          <cell r="AR153">
            <v>10708</v>
          </cell>
          <cell r="AS153">
            <v>10757</v>
          </cell>
          <cell r="AT153">
            <v>6844</v>
          </cell>
          <cell r="AU153">
            <v>13544</v>
          </cell>
          <cell r="AV153">
            <v>12683</v>
          </cell>
          <cell r="AW153">
            <v>11315</v>
          </cell>
          <cell r="AX153">
            <v>1694</v>
          </cell>
          <cell r="AY153">
            <v>4637</v>
          </cell>
          <cell r="AZ153">
            <v>22403</v>
          </cell>
          <cell r="BA153">
            <v>193945</v>
          </cell>
          <cell r="BB153">
            <v>18303</v>
          </cell>
          <cell r="BC153">
            <v>354</v>
          </cell>
          <cell r="BD153">
            <v>212305</v>
          </cell>
          <cell r="BE153">
            <v>0</v>
          </cell>
          <cell r="BF153">
            <v>-0.1</v>
          </cell>
          <cell r="BG153">
            <v>-0.1</v>
          </cell>
          <cell r="BH153">
            <v>-0.4</v>
          </cell>
          <cell r="BI153">
            <v>-0.4</v>
          </cell>
          <cell r="BJ153">
            <v>4.2</v>
          </cell>
          <cell r="BK153">
            <v>2.2999999999999998</v>
          </cell>
          <cell r="BL153">
            <v>1.1000000000000001</v>
          </cell>
          <cell r="BM153">
            <v>5</v>
          </cell>
          <cell r="BN153">
            <v>1.4</v>
          </cell>
          <cell r="BO153">
            <v>-1.7</v>
          </cell>
          <cell r="BP153">
            <v>0.1</v>
          </cell>
          <cell r="BQ153">
            <v>-1.6</v>
          </cell>
          <cell r="BR153">
            <v>0</v>
          </cell>
          <cell r="BS153">
            <v>0.5</v>
          </cell>
          <cell r="BT153">
            <v>-0.7</v>
          </cell>
          <cell r="BU153">
            <v>0.7</v>
          </cell>
          <cell r="BV153">
            <v>0.3</v>
          </cell>
          <cell r="BW153">
            <v>-0.5</v>
          </cell>
          <cell r="BX153">
            <v>0.3</v>
          </cell>
          <cell r="BY153">
            <v>0.1</v>
          </cell>
          <cell r="BZ153">
            <v>-0.2</v>
          </cell>
          <cell r="CA153">
            <v>0.1</v>
          </cell>
          <cell r="CB153">
            <v>-0.5</v>
          </cell>
          <cell r="CC153">
            <v>1.6</v>
          </cell>
          <cell r="CD153">
            <v>1.6</v>
          </cell>
          <cell r="CE153">
            <v>0.3</v>
          </cell>
          <cell r="CF153">
            <v>2.1</v>
          </cell>
          <cell r="CG153">
            <v>1.9</v>
          </cell>
          <cell r="CH153">
            <v>-1.3</v>
          </cell>
          <cell r="CI153">
            <v>1.1000000000000001</v>
          </cell>
          <cell r="CJ153">
            <v>1.2</v>
          </cell>
          <cell r="CK153">
            <v>3.3</v>
          </cell>
          <cell r="CL153">
            <v>1.1000000000000001</v>
          </cell>
          <cell r="CM153">
            <v>2.8</v>
          </cell>
          <cell r="CN153">
            <v>0.1</v>
          </cell>
          <cell r="CO153">
            <v>-0.1</v>
          </cell>
          <cell r="CP153">
            <v>-0.6</v>
          </cell>
          <cell r="CQ153">
            <v>0.8</v>
          </cell>
          <cell r="CR153">
            <v>1</v>
          </cell>
          <cell r="CS153">
            <v>1.2</v>
          </cell>
          <cell r="CT153">
            <v>1.3</v>
          </cell>
          <cell r="CU153">
            <v>0.4</v>
          </cell>
          <cell r="CV153">
            <v>2.1</v>
          </cell>
          <cell r="CW153">
            <v>1.5</v>
          </cell>
          <cell r="CX153">
            <v>-1.2</v>
          </cell>
          <cell r="CY153">
            <v>0.3</v>
          </cell>
          <cell r="CZ153">
            <v>0.5</v>
          </cell>
          <cell r="DA153">
            <v>0.7</v>
          </cell>
          <cell r="DB153">
            <v>1.7</v>
          </cell>
          <cell r="DC153">
            <v>0.7</v>
          </cell>
          <cell r="DD153">
            <v>0.4</v>
          </cell>
          <cell r="DE153">
            <v>0.7</v>
          </cell>
          <cell r="DF153">
            <v>0.5</v>
          </cell>
          <cell r="DG153">
            <v>4165</v>
          </cell>
          <cell r="DH153">
            <v>825</v>
          </cell>
          <cell r="DI153">
            <v>4995</v>
          </cell>
          <cell r="DJ153">
            <v>1396</v>
          </cell>
          <cell r="DK153">
            <v>3298</v>
          </cell>
          <cell r="DL153">
            <v>1112</v>
          </cell>
          <cell r="DM153">
            <v>2932</v>
          </cell>
          <cell r="DN153">
            <v>8295</v>
          </cell>
          <cell r="DO153">
            <v>1412</v>
          </cell>
          <cell r="DP153">
            <v>9460</v>
          </cell>
          <cell r="DQ153">
            <v>4900</v>
          </cell>
          <cell r="DR153">
            <v>4578</v>
          </cell>
          <cell r="DS153">
            <v>3117</v>
          </cell>
          <cell r="DT153">
            <v>3786</v>
          </cell>
          <cell r="DU153">
            <v>6000</v>
          </cell>
          <cell r="DV153">
            <v>21928</v>
          </cell>
          <cell r="DW153">
            <v>4472</v>
          </cell>
          <cell r="DX153">
            <v>241</v>
          </cell>
          <cell r="DY153">
            <v>3145</v>
          </cell>
          <cell r="DZ153">
            <v>7788</v>
          </cell>
          <cell r="EA153">
            <v>3462</v>
          </cell>
          <cell r="EB153">
            <v>2331</v>
          </cell>
          <cell r="EC153">
            <v>6919</v>
          </cell>
          <cell r="ED153">
            <v>12587</v>
          </cell>
          <cell r="EE153">
            <v>8371</v>
          </cell>
          <cell r="EF153">
            <v>8374</v>
          </cell>
          <cell r="EG153">
            <v>5708</v>
          </cell>
          <cell r="EH153">
            <v>2914</v>
          </cell>
          <cell r="EI153">
            <v>918</v>
          </cell>
          <cell r="EJ153">
            <v>1672</v>
          </cell>
          <cell r="EK153">
            <v>4392</v>
          </cell>
          <cell r="EL153">
            <v>9866</v>
          </cell>
          <cell r="EM153">
            <v>2010</v>
          </cell>
          <cell r="EN153">
            <v>2317</v>
          </cell>
          <cell r="EO153">
            <v>4431</v>
          </cell>
          <cell r="EP153">
            <v>7353</v>
          </cell>
          <cell r="EQ153">
            <v>7776</v>
          </cell>
          <cell r="ER153">
            <v>13695</v>
          </cell>
          <cell r="ES153">
            <v>1092</v>
          </cell>
          <cell r="ET153">
            <v>5227</v>
          </cell>
          <cell r="EU153">
            <v>6413</v>
          </cell>
          <cell r="EV153">
            <v>1109</v>
          </cell>
          <cell r="EW153">
            <v>10781</v>
          </cell>
          <cell r="EX153">
            <v>10842</v>
          </cell>
          <cell r="EY153">
            <v>6894</v>
          </cell>
          <cell r="EZ153">
            <v>13512</v>
          </cell>
          <cell r="FA153">
            <v>12681</v>
          </cell>
          <cell r="FB153">
            <v>11400</v>
          </cell>
          <cell r="FC153">
            <v>1697</v>
          </cell>
          <cell r="FD153">
            <v>4653</v>
          </cell>
          <cell r="FE153">
            <v>22413</v>
          </cell>
          <cell r="FF153">
            <v>193400</v>
          </cell>
          <cell r="FG153">
            <v>18304</v>
          </cell>
          <cell r="FH153">
            <v>620</v>
          </cell>
          <cell r="FI153">
            <v>212024</v>
          </cell>
          <cell r="FJ153">
            <v>-8</v>
          </cell>
          <cell r="FK153">
            <v>-0.9</v>
          </cell>
          <cell r="FL153">
            <v>-6.3</v>
          </cell>
          <cell r="FM153">
            <v>0.3</v>
          </cell>
          <cell r="FN153">
            <v>-1.6</v>
          </cell>
          <cell r="FO153">
            <v>4.0999999999999996</v>
          </cell>
          <cell r="FP153">
            <v>2.6</v>
          </cell>
          <cell r="FQ153">
            <v>0.8</v>
          </cell>
          <cell r="FR153">
            <v>-0.7</v>
          </cell>
          <cell r="FS153">
            <v>0.8</v>
          </cell>
          <cell r="FT153">
            <v>-3.5</v>
          </cell>
          <cell r="FU153">
            <v>-0.6</v>
          </cell>
          <cell r="FV153">
            <v>-3.1</v>
          </cell>
          <cell r="FW153">
            <v>2.2000000000000002</v>
          </cell>
          <cell r="FX153">
            <v>-0.8</v>
          </cell>
          <cell r="FY153">
            <v>-1.4</v>
          </cell>
          <cell r="FZ153">
            <v>-0.7</v>
          </cell>
          <cell r="GA153">
            <v>-1.8</v>
          </cell>
          <cell r="GB153">
            <v>-2.9</v>
          </cell>
          <cell r="GC153">
            <v>-1.4</v>
          </cell>
          <cell r="GD153">
            <v>-1.4</v>
          </cell>
          <cell r="GE153">
            <v>-8.1</v>
          </cell>
          <cell r="GF153">
            <v>-2.1</v>
          </cell>
          <cell r="GG153">
            <v>-2.6</v>
          </cell>
          <cell r="GH153">
            <v>1.4</v>
          </cell>
          <cell r="GI153">
            <v>1.6</v>
          </cell>
          <cell r="GJ153">
            <v>0.3</v>
          </cell>
          <cell r="GK153">
            <v>1.9</v>
          </cell>
          <cell r="GL153">
            <v>2.2000000000000002</v>
          </cell>
          <cell r="GM153">
            <v>-2.8</v>
          </cell>
          <cell r="GN153">
            <v>-0.3</v>
          </cell>
          <cell r="GO153">
            <v>0.1</v>
          </cell>
          <cell r="GP153">
            <v>-0.2</v>
          </cell>
          <cell r="GQ153">
            <v>-2</v>
          </cell>
          <cell r="GR153">
            <v>3.3</v>
          </cell>
          <cell r="GS153">
            <v>-0.2</v>
          </cell>
          <cell r="GT153">
            <v>-0.3</v>
          </cell>
          <cell r="GU153">
            <v>-0.8</v>
          </cell>
          <cell r="GV153">
            <v>2.6</v>
          </cell>
          <cell r="GW153">
            <v>2.8</v>
          </cell>
          <cell r="GX153">
            <v>2.9</v>
          </cell>
          <cell r="GY153">
            <v>3</v>
          </cell>
          <cell r="GZ153">
            <v>2.2000000000000002</v>
          </cell>
          <cell r="HA153">
            <v>4</v>
          </cell>
          <cell r="HB153">
            <v>3.3</v>
          </cell>
          <cell r="HC153">
            <v>-0.5</v>
          </cell>
          <cell r="HD153">
            <v>0.3</v>
          </cell>
          <cell r="HE153">
            <v>1.7</v>
          </cell>
          <cell r="HF153">
            <v>0.9</v>
          </cell>
          <cell r="HG153">
            <v>2.1</v>
          </cell>
          <cell r="HH153">
            <v>0.7</v>
          </cell>
          <cell r="HI153">
            <v>0.2</v>
          </cell>
          <cell r="HJ153">
            <v>1.6</v>
          </cell>
          <cell r="HK153">
            <v>0</v>
          </cell>
          <cell r="HL153">
            <v>3081</v>
          </cell>
          <cell r="HM153">
            <v>818</v>
          </cell>
          <cell r="HN153">
            <v>4016</v>
          </cell>
          <cell r="HO153">
            <v>1370</v>
          </cell>
          <cell r="HP153">
            <v>3140</v>
          </cell>
          <cell r="HQ153">
            <v>1063</v>
          </cell>
          <cell r="HR153">
            <v>2840</v>
          </cell>
          <cell r="HS153">
            <v>7995</v>
          </cell>
          <cell r="HT153">
            <v>1164</v>
          </cell>
          <cell r="HU153">
            <v>9047</v>
          </cell>
          <cell r="HV153">
            <v>4693</v>
          </cell>
          <cell r="HW153">
            <v>4480</v>
          </cell>
          <cell r="HX153">
            <v>2918</v>
          </cell>
          <cell r="HY153">
            <v>3566</v>
          </cell>
          <cell r="HZ153">
            <v>5666</v>
          </cell>
          <cell r="IA153">
            <v>20808</v>
          </cell>
          <cell r="IB153">
            <v>4347</v>
          </cell>
          <cell r="IC153">
            <v>203</v>
          </cell>
          <cell r="ID153">
            <v>3267</v>
          </cell>
          <cell r="IE153">
            <v>7677</v>
          </cell>
          <cell r="IF153">
            <v>3132</v>
          </cell>
          <cell r="IG153">
            <v>2189</v>
          </cell>
          <cell r="IH153">
            <v>6316</v>
          </cell>
          <cell r="II153">
            <v>11493</v>
          </cell>
          <cell r="IJ153">
            <v>7973</v>
          </cell>
          <cell r="IK153">
            <v>7942</v>
          </cell>
          <cell r="IL153">
            <v>5633</v>
          </cell>
          <cell r="IM153">
            <v>2857</v>
          </cell>
          <cell r="IN153">
            <v>902</v>
          </cell>
          <cell r="IO153">
            <v>1616</v>
          </cell>
          <cell r="IP153">
            <v>4320</v>
          </cell>
          <cell r="IQ153">
            <v>9671</v>
          </cell>
        </row>
        <row r="154">
          <cell r="B154">
            <v>4922</v>
          </cell>
          <cell r="C154">
            <v>832</v>
          </cell>
          <cell r="D154">
            <v>5690</v>
          </cell>
          <cell r="E154">
            <v>1360</v>
          </cell>
          <cell r="F154">
            <v>3280</v>
          </cell>
          <cell r="G154">
            <v>1165</v>
          </cell>
          <cell r="H154">
            <v>3055</v>
          </cell>
          <cell r="I154">
            <v>8405</v>
          </cell>
          <cell r="J154">
            <v>1566</v>
          </cell>
          <cell r="K154">
            <v>9656</v>
          </cell>
          <cell r="L154">
            <v>4971</v>
          </cell>
          <cell r="M154">
            <v>4667</v>
          </cell>
          <cell r="N154">
            <v>3130</v>
          </cell>
          <cell r="O154">
            <v>3738</v>
          </cell>
          <cell r="P154">
            <v>6055</v>
          </cell>
          <cell r="Q154">
            <v>22054</v>
          </cell>
          <cell r="R154">
            <v>4516</v>
          </cell>
          <cell r="S154">
            <v>244</v>
          </cell>
          <cell r="T154">
            <v>3195</v>
          </cell>
          <cell r="U154">
            <v>7880</v>
          </cell>
          <cell r="V154">
            <v>3516</v>
          </cell>
          <cell r="W154">
            <v>2341</v>
          </cell>
          <cell r="X154">
            <v>7085</v>
          </cell>
          <cell r="Y154">
            <v>12767</v>
          </cell>
          <cell r="Z154">
            <v>8502</v>
          </cell>
          <cell r="AA154">
            <v>8496</v>
          </cell>
          <cell r="AB154">
            <v>5699</v>
          </cell>
          <cell r="AC154">
            <v>2983</v>
          </cell>
          <cell r="AD154">
            <v>924</v>
          </cell>
          <cell r="AE154">
            <v>1673</v>
          </cell>
          <cell r="AF154">
            <v>4519</v>
          </cell>
          <cell r="AG154">
            <v>10091</v>
          </cell>
          <cell r="AH154">
            <v>2126</v>
          </cell>
          <cell r="AI154">
            <v>2402</v>
          </cell>
          <cell r="AJ154">
            <v>4502</v>
          </cell>
          <cell r="AK154">
            <v>7387</v>
          </cell>
          <cell r="AL154">
            <v>7918</v>
          </cell>
          <cell r="AM154">
            <v>13812</v>
          </cell>
          <cell r="AN154">
            <v>1095</v>
          </cell>
          <cell r="AO154">
            <v>5260</v>
          </cell>
          <cell r="AP154">
            <v>6446</v>
          </cell>
          <cell r="AQ154">
            <v>1123</v>
          </cell>
          <cell r="AR154">
            <v>10719</v>
          </cell>
          <cell r="AS154">
            <v>10838</v>
          </cell>
          <cell r="AT154">
            <v>6883</v>
          </cell>
          <cell r="AU154">
            <v>13431</v>
          </cell>
          <cell r="AV154">
            <v>12737</v>
          </cell>
          <cell r="AW154">
            <v>11384</v>
          </cell>
          <cell r="AX154">
            <v>1684</v>
          </cell>
          <cell r="AY154">
            <v>4680</v>
          </cell>
          <cell r="AZ154">
            <v>22487</v>
          </cell>
          <cell r="BA154">
            <v>195652</v>
          </cell>
          <cell r="BB154">
            <v>18344</v>
          </cell>
          <cell r="BC154">
            <v>146</v>
          </cell>
          <cell r="BD154">
            <v>213857</v>
          </cell>
          <cell r="BE154">
            <v>10.5</v>
          </cell>
          <cell r="BF154">
            <v>0.7</v>
          </cell>
          <cell r="BG154">
            <v>8.3000000000000007</v>
          </cell>
          <cell r="BH154">
            <v>-1.8</v>
          </cell>
          <cell r="BI154">
            <v>-1.3</v>
          </cell>
          <cell r="BJ154">
            <v>4.4000000000000004</v>
          </cell>
          <cell r="BK154">
            <v>4.5999999999999996</v>
          </cell>
          <cell r="BL154">
            <v>1.2</v>
          </cell>
          <cell r="BM154">
            <v>5.3</v>
          </cell>
          <cell r="BN154">
            <v>1.7</v>
          </cell>
          <cell r="BO154">
            <v>0.3</v>
          </cell>
          <cell r="BP154">
            <v>0.3</v>
          </cell>
          <cell r="BQ154">
            <v>-0.8</v>
          </cell>
          <cell r="BR154">
            <v>0.5</v>
          </cell>
          <cell r="BS154">
            <v>0.1</v>
          </cell>
          <cell r="BT154">
            <v>0</v>
          </cell>
          <cell r="BU154">
            <v>0.4</v>
          </cell>
          <cell r="BV154">
            <v>0.1</v>
          </cell>
          <cell r="BW154">
            <v>0.1</v>
          </cell>
          <cell r="BX154">
            <v>0.3</v>
          </cell>
          <cell r="BY154">
            <v>0.3</v>
          </cell>
          <cell r="BZ154">
            <v>-0.8</v>
          </cell>
          <cell r="CA154">
            <v>1.2</v>
          </cell>
          <cell r="CB154">
            <v>0.3</v>
          </cell>
          <cell r="CC154">
            <v>1.5</v>
          </cell>
          <cell r="CD154">
            <v>1.3</v>
          </cell>
          <cell r="CE154">
            <v>-0.4</v>
          </cell>
          <cell r="CF154">
            <v>2.6</v>
          </cell>
          <cell r="CG154">
            <v>1.3</v>
          </cell>
          <cell r="CH154">
            <v>-0.2</v>
          </cell>
          <cell r="CI154">
            <v>1.7</v>
          </cell>
          <cell r="CJ154">
            <v>1.7</v>
          </cell>
          <cell r="CK154">
            <v>2.9</v>
          </cell>
          <cell r="CL154">
            <v>1.2</v>
          </cell>
          <cell r="CM154">
            <v>1.7</v>
          </cell>
          <cell r="CN154">
            <v>0.3</v>
          </cell>
          <cell r="CO154">
            <v>1.2</v>
          </cell>
          <cell r="CP154">
            <v>0.6</v>
          </cell>
          <cell r="CQ154">
            <v>0.9</v>
          </cell>
          <cell r="CR154">
            <v>1.3</v>
          </cell>
          <cell r="CS154">
            <v>1.2</v>
          </cell>
          <cell r="CT154">
            <v>1.8</v>
          </cell>
          <cell r="CU154">
            <v>0.1</v>
          </cell>
          <cell r="CV154">
            <v>0.8</v>
          </cell>
          <cell r="CW154">
            <v>0.6</v>
          </cell>
          <cell r="CX154">
            <v>-0.8</v>
          </cell>
          <cell r="CY154">
            <v>0.4</v>
          </cell>
          <cell r="CZ154">
            <v>0.6</v>
          </cell>
          <cell r="DA154">
            <v>-0.6</v>
          </cell>
          <cell r="DB154">
            <v>0.9</v>
          </cell>
          <cell r="DC154">
            <v>0.4</v>
          </cell>
          <cell r="DD154">
            <v>0.9</v>
          </cell>
          <cell r="DE154">
            <v>0.2</v>
          </cell>
          <cell r="DF154">
            <v>0.7</v>
          </cell>
          <cell r="DG154">
            <v>4965</v>
          </cell>
          <cell r="DH154">
            <v>806</v>
          </cell>
          <cell r="DI154">
            <v>5683</v>
          </cell>
          <cell r="DJ154">
            <v>1351</v>
          </cell>
          <cell r="DK154">
            <v>3280</v>
          </cell>
          <cell r="DL154">
            <v>1168</v>
          </cell>
          <cell r="DM154">
            <v>2999</v>
          </cell>
          <cell r="DN154">
            <v>8346</v>
          </cell>
          <cell r="DO154">
            <v>1581</v>
          </cell>
          <cell r="DP154">
            <v>9589</v>
          </cell>
          <cell r="DQ154">
            <v>4915</v>
          </cell>
          <cell r="DR154">
            <v>4832</v>
          </cell>
          <cell r="DS154">
            <v>3149</v>
          </cell>
          <cell r="DT154">
            <v>3692</v>
          </cell>
          <cell r="DU154">
            <v>6059</v>
          </cell>
          <cell r="DV154">
            <v>22074</v>
          </cell>
          <cell r="DW154">
            <v>4514</v>
          </cell>
          <cell r="DX154">
            <v>245</v>
          </cell>
          <cell r="DY154">
            <v>3175</v>
          </cell>
          <cell r="DZ154">
            <v>7869</v>
          </cell>
          <cell r="EA154">
            <v>3536</v>
          </cell>
          <cell r="EB154">
            <v>2254</v>
          </cell>
          <cell r="EC154">
            <v>7066</v>
          </cell>
          <cell r="ED154">
            <v>12740</v>
          </cell>
          <cell r="EE154">
            <v>8505</v>
          </cell>
          <cell r="EF154">
            <v>8557</v>
          </cell>
          <cell r="EG154">
            <v>5715</v>
          </cell>
          <cell r="EH154">
            <v>2956</v>
          </cell>
          <cell r="EI154">
            <v>917</v>
          </cell>
          <cell r="EJ154">
            <v>1650</v>
          </cell>
          <cell r="EK154">
            <v>4531</v>
          </cell>
          <cell r="EL154">
            <v>10072</v>
          </cell>
          <cell r="EM154">
            <v>2163</v>
          </cell>
          <cell r="EN154">
            <v>2453</v>
          </cell>
          <cell r="EO154">
            <v>4526</v>
          </cell>
          <cell r="EP154">
            <v>7395</v>
          </cell>
          <cell r="EQ154">
            <v>7970</v>
          </cell>
          <cell r="ER154">
            <v>13835</v>
          </cell>
          <cell r="ES154">
            <v>1095</v>
          </cell>
          <cell r="ET154">
            <v>5252</v>
          </cell>
          <cell r="EU154">
            <v>6441</v>
          </cell>
          <cell r="EV154">
            <v>1120</v>
          </cell>
          <cell r="EW154">
            <v>10717</v>
          </cell>
          <cell r="EX154">
            <v>10850</v>
          </cell>
          <cell r="EY154">
            <v>6881</v>
          </cell>
          <cell r="EZ154">
            <v>13497</v>
          </cell>
          <cell r="FA154">
            <v>12742</v>
          </cell>
          <cell r="FB154">
            <v>11277</v>
          </cell>
          <cell r="FC154">
            <v>1690</v>
          </cell>
          <cell r="FD154">
            <v>4689</v>
          </cell>
          <cell r="FE154">
            <v>22502</v>
          </cell>
          <cell r="FF154">
            <v>195541</v>
          </cell>
          <cell r="FG154">
            <v>18459</v>
          </cell>
          <cell r="FH154">
            <v>-951</v>
          </cell>
          <cell r="FI154">
            <v>212761</v>
          </cell>
          <cell r="FJ154">
            <v>19.2</v>
          </cell>
          <cell r="FK154">
            <v>-2.2999999999999998</v>
          </cell>
          <cell r="FL154">
            <v>13.8</v>
          </cell>
          <cell r="FM154">
            <v>-3.2</v>
          </cell>
          <cell r="FN154">
            <v>-0.5</v>
          </cell>
          <cell r="FO154">
            <v>5</v>
          </cell>
          <cell r="FP154">
            <v>2.2999999999999998</v>
          </cell>
          <cell r="FQ154">
            <v>0.6</v>
          </cell>
          <cell r="FR154">
            <v>12</v>
          </cell>
          <cell r="FS154">
            <v>1.4</v>
          </cell>
          <cell r="FT154">
            <v>0.3</v>
          </cell>
          <cell r="FU154">
            <v>5.5</v>
          </cell>
          <cell r="FV154">
            <v>1</v>
          </cell>
          <cell r="FW154">
            <v>-2.5</v>
          </cell>
          <cell r="FX154">
            <v>1</v>
          </cell>
          <cell r="FY154">
            <v>0.7</v>
          </cell>
          <cell r="FZ154">
            <v>0.9</v>
          </cell>
          <cell r="GA154">
            <v>2</v>
          </cell>
          <cell r="GB154">
            <v>1</v>
          </cell>
          <cell r="GC154">
            <v>1</v>
          </cell>
          <cell r="GD154">
            <v>2.1</v>
          </cell>
          <cell r="GE154">
            <v>-3.3</v>
          </cell>
          <cell r="GF154">
            <v>2.1</v>
          </cell>
          <cell r="GG154">
            <v>1.2</v>
          </cell>
          <cell r="GH154">
            <v>1.6</v>
          </cell>
          <cell r="GI154">
            <v>2.2000000000000002</v>
          </cell>
          <cell r="GJ154">
            <v>0.1</v>
          </cell>
          <cell r="GK154">
            <v>1.5</v>
          </cell>
          <cell r="GL154">
            <v>-0.1</v>
          </cell>
          <cell r="GM154">
            <v>-1.3</v>
          </cell>
          <cell r="GN154">
            <v>3.2</v>
          </cell>
          <cell r="GO154">
            <v>2.1</v>
          </cell>
          <cell r="GP154">
            <v>7.6</v>
          </cell>
          <cell r="GQ154">
            <v>5.9</v>
          </cell>
          <cell r="GR154">
            <v>2.1</v>
          </cell>
          <cell r="GS154">
            <v>0.6</v>
          </cell>
          <cell r="GT154">
            <v>2.5</v>
          </cell>
          <cell r="GU154">
            <v>1</v>
          </cell>
          <cell r="GV154">
            <v>0.2</v>
          </cell>
          <cell r="GW154">
            <v>0.5</v>
          </cell>
          <cell r="GX154">
            <v>0.4</v>
          </cell>
          <cell r="GY154">
            <v>1</v>
          </cell>
          <cell r="GZ154">
            <v>-0.6</v>
          </cell>
          <cell r="HA154">
            <v>0.1</v>
          </cell>
          <cell r="HB154">
            <v>-0.2</v>
          </cell>
          <cell r="HC154">
            <v>-0.1</v>
          </cell>
          <cell r="HD154">
            <v>0.5</v>
          </cell>
          <cell r="HE154">
            <v>-1.1000000000000001</v>
          </cell>
          <cell r="HF154">
            <v>-0.5</v>
          </cell>
          <cell r="HG154">
            <v>0.8</v>
          </cell>
          <cell r="HH154">
            <v>0.4</v>
          </cell>
          <cell r="HI154">
            <v>1.1000000000000001</v>
          </cell>
          <cell r="HJ154">
            <v>0.8</v>
          </cell>
          <cell r="HK154">
            <v>0.3</v>
          </cell>
          <cell r="HL154">
            <v>3873</v>
          </cell>
          <cell r="HM154">
            <v>802</v>
          </cell>
          <cell r="HN154">
            <v>4690</v>
          </cell>
          <cell r="HO154">
            <v>1335</v>
          </cell>
          <cell r="HP154">
            <v>3315</v>
          </cell>
          <cell r="HQ154">
            <v>1166</v>
          </cell>
          <cell r="HR154">
            <v>3024</v>
          </cell>
          <cell r="HS154">
            <v>8371</v>
          </cell>
          <cell r="HT154">
            <v>1661</v>
          </cell>
          <cell r="HU154">
            <v>9654</v>
          </cell>
          <cell r="HV154">
            <v>4744</v>
          </cell>
          <cell r="HW154">
            <v>4814</v>
          </cell>
          <cell r="HX154">
            <v>3148</v>
          </cell>
          <cell r="HY154">
            <v>3687</v>
          </cell>
          <cell r="HZ154">
            <v>5960</v>
          </cell>
          <cell r="IA154">
            <v>21800</v>
          </cell>
          <cell r="IB154">
            <v>4536</v>
          </cell>
          <cell r="IC154">
            <v>260</v>
          </cell>
          <cell r="ID154">
            <v>3051</v>
          </cell>
          <cell r="IE154">
            <v>7829</v>
          </cell>
          <cell r="IF154">
            <v>3528</v>
          </cell>
          <cell r="IG154">
            <v>2209</v>
          </cell>
          <cell r="IH154">
            <v>7328</v>
          </cell>
          <cell r="II154">
            <v>13298</v>
          </cell>
          <cell r="IJ154">
            <v>8550</v>
          </cell>
          <cell r="IK154">
            <v>8312</v>
          </cell>
          <cell r="IL154">
            <v>5477</v>
          </cell>
          <cell r="IM154">
            <v>2932</v>
          </cell>
          <cell r="IN154">
            <v>866</v>
          </cell>
          <cell r="IO154">
            <v>1634</v>
          </cell>
          <cell r="IP154">
            <v>4510</v>
          </cell>
          <cell r="IQ154">
            <v>9947</v>
          </cell>
        </row>
        <row r="155">
          <cell r="B155">
            <v>5525</v>
          </cell>
          <cell r="C155">
            <v>849</v>
          </cell>
          <cell r="D155">
            <v>6270</v>
          </cell>
          <cell r="E155">
            <v>1338</v>
          </cell>
          <cell r="F155">
            <v>3281</v>
          </cell>
          <cell r="G155">
            <v>1212</v>
          </cell>
          <cell r="H155">
            <v>3222</v>
          </cell>
          <cell r="I155">
            <v>8582</v>
          </cell>
          <cell r="J155">
            <v>1648</v>
          </cell>
          <cell r="K155">
            <v>9891</v>
          </cell>
          <cell r="L155">
            <v>5097</v>
          </cell>
          <cell r="M155">
            <v>4746</v>
          </cell>
          <cell r="N155">
            <v>3175</v>
          </cell>
          <cell r="O155">
            <v>3788</v>
          </cell>
          <cell r="P155">
            <v>6050</v>
          </cell>
          <cell r="Q155">
            <v>22349</v>
          </cell>
          <cell r="R155">
            <v>4536</v>
          </cell>
          <cell r="S155">
            <v>246</v>
          </cell>
          <cell r="T155">
            <v>3207</v>
          </cell>
          <cell r="U155">
            <v>7918</v>
          </cell>
          <cell r="V155">
            <v>3468</v>
          </cell>
          <cell r="W155">
            <v>2334</v>
          </cell>
          <cell r="X155">
            <v>7180</v>
          </cell>
          <cell r="Y155">
            <v>12835</v>
          </cell>
          <cell r="Z155">
            <v>8690</v>
          </cell>
          <cell r="AA155">
            <v>8570</v>
          </cell>
          <cell r="AB155">
            <v>5686</v>
          </cell>
          <cell r="AC155">
            <v>3076</v>
          </cell>
          <cell r="AD155">
            <v>934</v>
          </cell>
          <cell r="AE155">
            <v>1706</v>
          </cell>
          <cell r="AF155">
            <v>4628</v>
          </cell>
          <cell r="AG155">
            <v>10330</v>
          </cell>
          <cell r="AH155">
            <v>2156</v>
          </cell>
          <cell r="AI155">
            <v>2430</v>
          </cell>
          <cell r="AJ155">
            <v>4531</v>
          </cell>
          <cell r="AK155">
            <v>7469</v>
          </cell>
          <cell r="AL155">
            <v>8067</v>
          </cell>
          <cell r="AM155">
            <v>14032</v>
          </cell>
          <cell r="AN155">
            <v>1102</v>
          </cell>
          <cell r="AO155">
            <v>5321</v>
          </cell>
          <cell r="AP155">
            <v>6506</v>
          </cell>
          <cell r="AQ155">
            <v>1144</v>
          </cell>
          <cell r="AR155">
            <v>10693</v>
          </cell>
          <cell r="AS155">
            <v>10806</v>
          </cell>
          <cell r="AT155">
            <v>6862</v>
          </cell>
          <cell r="AU155">
            <v>13584</v>
          </cell>
          <cell r="AV155">
            <v>12797</v>
          </cell>
          <cell r="AW155">
            <v>11542</v>
          </cell>
          <cell r="AX155">
            <v>1670</v>
          </cell>
          <cell r="AY155">
            <v>4718</v>
          </cell>
          <cell r="AZ155">
            <v>22549</v>
          </cell>
          <cell r="BA155">
            <v>198356</v>
          </cell>
          <cell r="BB155">
            <v>18462</v>
          </cell>
          <cell r="BC155">
            <v>-413</v>
          </cell>
          <cell r="BD155">
            <v>216119</v>
          </cell>
          <cell r="BE155">
            <v>12.2</v>
          </cell>
          <cell r="BF155">
            <v>2</v>
          </cell>
          <cell r="BG155">
            <v>10.199999999999999</v>
          </cell>
          <cell r="BH155">
            <v>-1.6</v>
          </cell>
          <cell r="BI155">
            <v>0</v>
          </cell>
          <cell r="BJ155">
            <v>4</v>
          </cell>
          <cell r="BK155">
            <v>5.5</v>
          </cell>
          <cell r="BL155">
            <v>2.1</v>
          </cell>
          <cell r="BM155">
            <v>5.3</v>
          </cell>
          <cell r="BN155">
            <v>2.4</v>
          </cell>
          <cell r="BO155">
            <v>2.5</v>
          </cell>
          <cell r="BP155">
            <v>1.7</v>
          </cell>
          <cell r="BQ155">
            <v>1.5</v>
          </cell>
          <cell r="BR155">
            <v>1.3</v>
          </cell>
          <cell r="BS155">
            <v>-0.1</v>
          </cell>
          <cell r="BT155">
            <v>1.3</v>
          </cell>
          <cell r="BU155">
            <v>0.4</v>
          </cell>
          <cell r="BV155">
            <v>1</v>
          </cell>
          <cell r="BW155">
            <v>0.4</v>
          </cell>
          <cell r="BX155">
            <v>0.5</v>
          </cell>
          <cell r="BY155">
            <v>-1.4</v>
          </cell>
          <cell r="BZ155">
            <v>-0.3</v>
          </cell>
          <cell r="CA155">
            <v>1.3</v>
          </cell>
          <cell r="CB155">
            <v>0.5</v>
          </cell>
          <cell r="CC155">
            <v>2.2000000000000002</v>
          </cell>
          <cell r="CD155">
            <v>0.9</v>
          </cell>
          <cell r="CE155">
            <v>-0.2</v>
          </cell>
          <cell r="CF155">
            <v>3.1</v>
          </cell>
          <cell r="CG155">
            <v>1.1000000000000001</v>
          </cell>
          <cell r="CH155">
            <v>1.9</v>
          </cell>
          <cell r="CI155">
            <v>2.4</v>
          </cell>
          <cell r="CJ155">
            <v>2.4</v>
          </cell>
          <cell r="CK155">
            <v>1.4</v>
          </cell>
          <cell r="CL155">
            <v>1.2</v>
          </cell>
          <cell r="CM155">
            <v>0.6</v>
          </cell>
          <cell r="CN155">
            <v>1.1000000000000001</v>
          </cell>
          <cell r="CO155">
            <v>1.9</v>
          </cell>
          <cell r="CP155">
            <v>1.6</v>
          </cell>
          <cell r="CQ155">
            <v>0.7</v>
          </cell>
          <cell r="CR155">
            <v>1.2</v>
          </cell>
          <cell r="CS155">
            <v>0.9</v>
          </cell>
          <cell r="CT155">
            <v>1.9</v>
          </cell>
          <cell r="CU155">
            <v>-0.2</v>
          </cell>
          <cell r="CV155">
            <v>-0.3</v>
          </cell>
          <cell r="CW155">
            <v>-0.3</v>
          </cell>
          <cell r="CX155">
            <v>1.1000000000000001</v>
          </cell>
          <cell r="CY155">
            <v>0.5</v>
          </cell>
          <cell r="CZ155">
            <v>1.4</v>
          </cell>
          <cell r="DA155">
            <v>-0.8</v>
          </cell>
          <cell r="DB155">
            <v>0.8</v>
          </cell>
          <cell r="DC155">
            <v>0.3</v>
          </cell>
          <cell r="DD155">
            <v>1.4</v>
          </cell>
          <cell r="DE155">
            <v>0.6</v>
          </cell>
          <cell r="DF155">
            <v>1.1000000000000001</v>
          </cell>
          <cell r="DG155">
            <v>5703</v>
          </cell>
          <cell r="DH155">
            <v>873</v>
          </cell>
          <cell r="DI155">
            <v>6467</v>
          </cell>
          <cell r="DJ155">
            <v>1337</v>
          </cell>
          <cell r="DK155">
            <v>3308</v>
          </cell>
          <cell r="DL155">
            <v>1220</v>
          </cell>
          <cell r="DM155">
            <v>3301</v>
          </cell>
          <cell r="DN155">
            <v>8678</v>
          </cell>
          <cell r="DO155">
            <v>1713</v>
          </cell>
          <cell r="DP155">
            <v>10037</v>
          </cell>
          <cell r="DQ155">
            <v>5177</v>
          </cell>
          <cell r="DR155">
            <v>4617</v>
          </cell>
          <cell r="DS155">
            <v>3151</v>
          </cell>
          <cell r="DT155">
            <v>3728</v>
          </cell>
          <cell r="DU155">
            <v>6090</v>
          </cell>
          <cell r="DV155">
            <v>22278</v>
          </cell>
          <cell r="DW155">
            <v>4553</v>
          </cell>
          <cell r="DX155">
            <v>245</v>
          </cell>
          <cell r="DY155">
            <v>3273</v>
          </cell>
          <cell r="DZ155">
            <v>7982</v>
          </cell>
          <cell r="EA155">
            <v>3501</v>
          </cell>
          <cell r="EB155">
            <v>2390</v>
          </cell>
          <cell r="EC155">
            <v>7227</v>
          </cell>
          <cell r="ED155">
            <v>12889</v>
          </cell>
          <cell r="EE155">
            <v>8621</v>
          </cell>
          <cell r="EF155">
            <v>8531</v>
          </cell>
          <cell r="EG155">
            <v>5678</v>
          </cell>
          <cell r="EH155">
            <v>3089</v>
          </cell>
          <cell r="EI155">
            <v>940</v>
          </cell>
          <cell r="EJ155">
            <v>1718</v>
          </cell>
          <cell r="EK155">
            <v>4640</v>
          </cell>
          <cell r="EL155">
            <v>10372</v>
          </cell>
          <cell r="EM155">
            <v>2167</v>
          </cell>
          <cell r="EN155">
            <v>2423</v>
          </cell>
          <cell r="EO155">
            <v>4521</v>
          </cell>
          <cell r="EP155">
            <v>7430</v>
          </cell>
          <cell r="EQ155">
            <v>8050</v>
          </cell>
          <cell r="ER155">
            <v>13988</v>
          </cell>
          <cell r="ES155">
            <v>1097</v>
          </cell>
          <cell r="ET155">
            <v>5303</v>
          </cell>
          <cell r="EU155">
            <v>6481</v>
          </cell>
          <cell r="EV155">
            <v>1140</v>
          </cell>
          <cell r="EW155">
            <v>10645</v>
          </cell>
          <cell r="EX155">
            <v>10743</v>
          </cell>
          <cell r="EY155">
            <v>6830</v>
          </cell>
          <cell r="EZ155">
            <v>13436</v>
          </cell>
          <cell r="FA155">
            <v>12801</v>
          </cell>
          <cell r="FB155">
            <v>11560</v>
          </cell>
          <cell r="FC155">
            <v>1662</v>
          </cell>
          <cell r="FD155">
            <v>4694</v>
          </cell>
          <cell r="FE155">
            <v>22534</v>
          </cell>
          <cell r="FF155">
            <v>198539</v>
          </cell>
          <cell r="FG155">
            <v>18303</v>
          </cell>
          <cell r="FH155">
            <v>984</v>
          </cell>
          <cell r="FI155">
            <v>217556</v>
          </cell>
          <cell r="FJ155">
            <v>14.9</v>
          </cell>
          <cell r="FK155">
            <v>8.3000000000000007</v>
          </cell>
          <cell r="FL155">
            <v>13.8</v>
          </cell>
          <cell r="FM155">
            <v>-1.1000000000000001</v>
          </cell>
          <cell r="FN155">
            <v>0.8</v>
          </cell>
          <cell r="FO155">
            <v>4.5</v>
          </cell>
          <cell r="FP155">
            <v>10</v>
          </cell>
          <cell r="FQ155">
            <v>4</v>
          </cell>
          <cell r="FR155">
            <v>8.3000000000000007</v>
          </cell>
          <cell r="FS155">
            <v>4.7</v>
          </cell>
          <cell r="FT155">
            <v>5.3</v>
          </cell>
          <cell r="FU155">
            <v>-4.5</v>
          </cell>
          <cell r="FV155">
            <v>0</v>
          </cell>
          <cell r="FW155">
            <v>1</v>
          </cell>
          <cell r="FX155">
            <v>0.5</v>
          </cell>
          <cell r="FY155">
            <v>0.9</v>
          </cell>
          <cell r="FZ155">
            <v>0.9</v>
          </cell>
          <cell r="GA155">
            <v>0</v>
          </cell>
          <cell r="GB155">
            <v>3.1</v>
          </cell>
          <cell r="GC155">
            <v>1.4</v>
          </cell>
          <cell r="GD155">
            <v>-1</v>
          </cell>
          <cell r="GE155">
            <v>6</v>
          </cell>
          <cell r="GF155">
            <v>2.2999999999999998</v>
          </cell>
          <cell r="GG155">
            <v>1.2</v>
          </cell>
          <cell r="GH155">
            <v>1.4</v>
          </cell>
          <cell r="GI155">
            <v>-0.3</v>
          </cell>
          <cell r="GJ155">
            <v>-0.6</v>
          </cell>
          <cell r="GK155">
            <v>4.5</v>
          </cell>
          <cell r="GL155">
            <v>2.6</v>
          </cell>
          <cell r="GM155">
            <v>4.0999999999999996</v>
          </cell>
          <cell r="GN155">
            <v>2.4</v>
          </cell>
          <cell r="GO155">
            <v>3</v>
          </cell>
          <cell r="GP155">
            <v>0.2</v>
          </cell>
          <cell r="GQ155">
            <v>-1.2</v>
          </cell>
          <cell r="GR155">
            <v>-0.1</v>
          </cell>
          <cell r="GS155">
            <v>0.5</v>
          </cell>
          <cell r="GT155">
            <v>1</v>
          </cell>
          <cell r="GU155">
            <v>1.1000000000000001</v>
          </cell>
          <cell r="GV155">
            <v>0.2</v>
          </cell>
          <cell r="GW155">
            <v>1</v>
          </cell>
          <cell r="GX155">
            <v>0.6</v>
          </cell>
          <cell r="GY155">
            <v>1.8</v>
          </cell>
          <cell r="GZ155">
            <v>-0.7</v>
          </cell>
          <cell r="HA155">
            <v>-1</v>
          </cell>
          <cell r="HB155">
            <v>-0.7</v>
          </cell>
          <cell r="HC155">
            <v>-0.5</v>
          </cell>
          <cell r="HD155">
            <v>0.5</v>
          </cell>
          <cell r="HE155">
            <v>2.5</v>
          </cell>
          <cell r="HF155">
            <v>-1.6</v>
          </cell>
          <cell r="HG155">
            <v>0.1</v>
          </cell>
          <cell r="HH155">
            <v>0.1</v>
          </cell>
          <cell r="HI155">
            <v>1.5</v>
          </cell>
          <cell r="HJ155">
            <v>-0.8</v>
          </cell>
          <cell r="HK155">
            <v>2.2999999999999998</v>
          </cell>
          <cell r="HL155">
            <v>3746</v>
          </cell>
          <cell r="HM155">
            <v>881</v>
          </cell>
          <cell r="HN155">
            <v>4669</v>
          </cell>
          <cell r="HO155">
            <v>1406</v>
          </cell>
          <cell r="HP155">
            <v>3479</v>
          </cell>
          <cell r="HQ155">
            <v>1269</v>
          </cell>
          <cell r="HR155">
            <v>3353</v>
          </cell>
          <cell r="HS155">
            <v>9034</v>
          </cell>
          <cell r="HT155">
            <v>1747</v>
          </cell>
          <cell r="HU155">
            <v>10411</v>
          </cell>
          <cell r="HV155">
            <v>5189</v>
          </cell>
          <cell r="HW155">
            <v>4719</v>
          </cell>
          <cell r="HX155">
            <v>3267</v>
          </cell>
          <cell r="HY155">
            <v>3853</v>
          </cell>
          <cell r="HZ155">
            <v>6254</v>
          </cell>
          <cell r="IA155">
            <v>22825</v>
          </cell>
          <cell r="IB155">
            <v>4777</v>
          </cell>
          <cell r="IC155">
            <v>286</v>
          </cell>
          <cell r="ID155">
            <v>3158</v>
          </cell>
          <cell r="IE155">
            <v>8227</v>
          </cell>
          <cell r="IF155">
            <v>3602</v>
          </cell>
          <cell r="IG155">
            <v>2517</v>
          </cell>
          <cell r="IH155">
            <v>7181</v>
          </cell>
          <cell r="II155">
            <v>12987</v>
          </cell>
          <cell r="IJ155">
            <v>8622</v>
          </cell>
          <cell r="IK155">
            <v>8389</v>
          </cell>
          <cell r="IL155">
            <v>5657</v>
          </cell>
          <cell r="IM155">
            <v>3065</v>
          </cell>
          <cell r="IN155">
            <v>980</v>
          </cell>
          <cell r="IO155">
            <v>1753</v>
          </cell>
          <cell r="IP155">
            <v>4667</v>
          </cell>
          <cell r="IQ155">
            <v>10479</v>
          </cell>
        </row>
        <row r="156">
          <cell r="B156">
            <v>5868</v>
          </cell>
          <cell r="C156">
            <v>849</v>
          </cell>
          <cell r="D156">
            <v>6593</v>
          </cell>
          <cell r="E156">
            <v>1335</v>
          </cell>
          <cell r="F156">
            <v>3356</v>
          </cell>
          <cell r="G156">
            <v>1244</v>
          </cell>
          <cell r="H156">
            <v>3407</v>
          </cell>
          <cell r="I156">
            <v>8845</v>
          </cell>
          <cell r="J156">
            <v>1665</v>
          </cell>
          <cell r="K156">
            <v>10174</v>
          </cell>
          <cell r="L156">
            <v>5234</v>
          </cell>
          <cell r="M156">
            <v>4904</v>
          </cell>
          <cell r="N156">
            <v>3221</v>
          </cell>
          <cell r="O156">
            <v>3853</v>
          </cell>
          <cell r="P156">
            <v>6005</v>
          </cell>
          <cell r="Q156">
            <v>22682</v>
          </cell>
          <cell r="R156">
            <v>4557</v>
          </cell>
          <cell r="S156">
            <v>248</v>
          </cell>
          <cell r="T156">
            <v>3201</v>
          </cell>
          <cell r="U156">
            <v>7940</v>
          </cell>
          <cell r="V156">
            <v>3353</v>
          </cell>
          <cell r="W156">
            <v>2392</v>
          </cell>
          <cell r="X156">
            <v>7215</v>
          </cell>
          <cell r="Y156">
            <v>12884</v>
          </cell>
          <cell r="Z156">
            <v>8863</v>
          </cell>
          <cell r="AA156">
            <v>8638</v>
          </cell>
          <cell r="AB156">
            <v>5691</v>
          </cell>
          <cell r="AC156">
            <v>3168</v>
          </cell>
          <cell r="AD156">
            <v>950</v>
          </cell>
          <cell r="AE156">
            <v>1773</v>
          </cell>
          <cell r="AF156">
            <v>4715</v>
          </cell>
          <cell r="AG156">
            <v>10582</v>
          </cell>
          <cell r="AH156">
            <v>2153</v>
          </cell>
          <cell r="AI156">
            <v>2457</v>
          </cell>
          <cell r="AJ156">
            <v>4552</v>
          </cell>
          <cell r="AK156">
            <v>7595</v>
          </cell>
          <cell r="AL156">
            <v>8201</v>
          </cell>
          <cell r="AM156">
            <v>14307</v>
          </cell>
          <cell r="AN156">
            <v>1107</v>
          </cell>
          <cell r="AO156">
            <v>5362</v>
          </cell>
          <cell r="AP156">
            <v>6544</v>
          </cell>
          <cell r="AQ156">
            <v>1161</v>
          </cell>
          <cell r="AR156">
            <v>10641</v>
          </cell>
          <cell r="AS156">
            <v>10725</v>
          </cell>
          <cell r="AT156">
            <v>6799</v>
          </cell>
          <cell r="AU156">
            <v>13754</v>
          </cell>
          <cell r="AV156">
            <v>12866</v>
          </cell>
          <cell r="AW156">
            <v>11779</v>
          </cell>
          <cell r="AX156">
            <v>1666</v>
          </cell>
          <cell r="AY156">
            <v>4771</v>
          </cell>
          <cell r="AZ156">
            <v>22652</v>
          </cell>
          <cell r="BA156">
            <v>200836</v>
          </cell>
          <cell r="BB156">
            <v>18605</v>
          </cell>
          <cell r="BC156">
            <v>-454</v>
          </cell>
          <cell r="BD156">
            <v>218688</v>
          </cell>
          <cell r="BE156">
            <v>6.2</v>
          </cell>
          <cell r="BF156">
            <v>0</v>
          </cell>
          <cell r="BG156">
            <v>5.2</v>
          </cell>
          <cell r="BH156">
            <v>-0.2</v>
          </cell>
          <cell r="BI156">
            <v>2.2999999999999998</v>
          </cell>
          <cell r="BJ156">
            <v>2.7</v>
          </cell>
          <cell r="BK156">
            <v>5.7</v>
          </cell>
          <cell r="BL156">
            <v>3.1</v>
          </cell>
          <cell r="BM156">
            <v>1</v>
          </cell>
          <cell r="BN156">
            <v>2.9</v>
          </cell>
          <cell r="BO156">
            <v>2.7</v>
          </cell>
          <cell r="BP156">
            <v>3.3</v>
          </cell>
          <cell r="BQ156">
            <v>1.4</v>
          </cell>
          <cell r="BR156">
            <v>1.7</v>
          </cell>
          <cell r="BS156">
            <v>-0.7</v>
          </cell>
          <cell r="BT156">
            <v>1.5</v>
          </cell>
          <cell r="BU156">
            <v>0.5</v>
          </cell>
          <cell r="BV156">
            <v>0.5</v>
          </cell>
          <cell r="BW156">
            <v>-0.2</v>
          </cell>
          <cell r="BX156">
            <v>0.3</v>
          </cell>
          <cell r="BY156">
            <v>-3.3</v>
          </cell>
          <cell r="BZ156">
            <v>2.5</v>
          </cell>
          <cell r="CA156">
            <v>0.5</v>
          </cell>
          <cell r="CB156">
            <v>0.4</v>
          </cell>
          <cell r="CC156">
            <v>2</v>
          </cell>
          <cell r="CD156">
            <v>0.8</v>
          </cell>
          <cell r="CE156">
            <v>0.1</v>
          </cell>
          <cell r="CF156">
            <v>3</v>
          </cell>
          <cell r="CG156">
            <v>1.7</v>
          </cell>
          <cell r="CH156">
            <v>3.9</v>
          </cell>
          <cell r="CI156">
            <v>1.9</v>
          </cell>
          <cell r="CJ156">
            <v>2.4</v>
          </cell>
          <cell r="CK156">
            <v>-0.1</v>
          </cell>
          <cell r="CL156">
            <v>1.1000000000000001</v>
          </cell>
          <cell r="CM156">
            <v>0.5</v>
          </cell>
          <cell r="CN156">
            <v>1.7</v>
          </cell>
          <cell r="CO156">
            <v>1.7</v>
          </cell>
          <cell r="CP156">
            <v>2</v>
          </cell>
          <cell r="CQ156">
            <v>0.5</v>
          </cell>
          <cell r="CR156">
            <v>0.8</v>
          </cell>
          <cell r="CS156">
            <v>0.6</v>
          </cell>
          <cell r="CT156">
            <v>1.5</v>
          </cell>
          <cell r="CU156">
            <v>-0.5</v>
          </cell>
          <cell r="CV156">
            <v>-0.7</v>
          </cell>
          <cell r="CW156">
            <v>-0.9</v>
          </cell>
          <cell r="CX156">
            <v>1.3</v>
          </cell>
          <cell r="CY156">
            <v>0.5</v>
          </cell>
          <cell r="CZ156">
            <v>2.1</v>
          </cell>
          <cell r="DA156">
            <v>-0.2</v>
          </cell>
          <cell r="DB156">
            <v>1.1000000000000001</v>
          </cell>
          <cell r="DC156">
            <v>0.5</v>
          </cell>
          <cell r="DD156">
            <v>1.3</v>
          </cell>
          <cell r="DE156">
            <v>0.8</v>
          </cell>
          <cell r="DF156">
            <v>1.2</v>
          </cell>
          <cell r="DG156">
            <v>5887</v>
          </cell>
          <cell r="DH156">
            <v>857</v>
          </cell>
          <cell r="DI156">
            <v>6624</v>
          </cell>
          <cell r="DJ156">
            <v>1338</v>
          </cell>
          <cell r="DK156">
            <v>3285</v>
          </cell>
          <cell r="DL156">
            <v>1216</v>
          </cell>
          <cell r="DM156">
            <v>3324</v>
          </cell>
          <cell r="DN156">
            <v>8702</v>
          </cell>
          <cell r="DO156">
            <v>1624</v>
          </cell>
          <cell r="DP156">
            <v>10003</v>
          </cell>
          <cell r="DQ156">
            <v>5168</v>
          </cell>
          <cell r="DR156">
            <v>4834</v>
          </cell>
          <cell r="DS156">
            <v>3219</v>
          </cell>
          <cell r="DT156">
            <v>3961</v>
          </cell>
          <cell r="DU156">
            <v>5976</v>
          </cell>
          <cell r="DV156">
            <v>22678</v>
          </cell>
          <cell r="DW156">
            <v>4532</v>
          </cell>
          <cell r="DX156">
            <v>248</v>
          </cell>
          <cell r="DY156">
            <v>3167</v>
          </cell>
          <cell r="DZ156">
            <v>7889</v>
          </cell>
          <cell r="EA156">
            <v>3362</v>
          </cell>
          <cell r="EB156">
            <v>2432</v>
          </cell>
          <cell r="EC156">
            <v>7280</v>
          </cell>
          <cell r="ED156">
            <v>13016</v>
          </cell>
          <cell r="EE156">
            <v>8900</v>
          </cell>
          <cell r="EF156">
            <v>8639</v>
          </cell>
          <cell r="EG156">
            <v>5677</v>
          </cell>
          <cell r="EH156">
            <v>3163</v>
          </cell>
          <cell r="EI156">
            <v>946</v>
          </cell>
          <cell r="EJ156">
            <v>1758</v>
          </cell>
          <cell r="EK156">
            <v>4705</v>
          </cell>
          <cell r="EL156">
            <v>10535</v>
          </cell>
          <cell r="EM156">
            <v>2159</v>
          </cell>
          <cell r="EN156">
            <v>2439</v>
          </cell>
          <cell r="EO156">
            <v>4560</v>
          </cell>
          <cell r="EP156">
            <v>7610</v>
          </cell>
          <cell r="EQ156">
            <v>8202</v>
          </cell>
          <cell r="ER156">
            <v>14332</v>
          </cell>
          <cell r="ES156">
            <v>1117</v>
          </cell>
          <cell r="ET156">
            <v>5409</v>
          </cell>
          <cell r="EU156">
            <v>6600</v>
          </cell>
          <cell r="EV156">
            <v>1172</v>
          </cell>
          <cell r="EW156">
            <v>10729</v>
          </cell>
          <cell r="EX156">
            <v>10807</v>
          </cell>
          <cell r="EY156">
            <v>6854</v>
          </cell>
          <cell r="EZ156">
            <v>13735</v>
          </cell>
          <cell r="FA156">
            <v>12864</v>
          </cell>
          <cell r="FB156">
            <v>11794</v>
          </cell>
          <cell r="FC156">
            <v>1660</v>
          </cell>
          <cell r="FD156">
            <v>4766</v>
          </cell>
          <cell r="FE156">
            <v>22644</v>
          </cell>
          <cell r="FF156">
            <v>200895</v>
          </cell>
          <cell r="FG156">
            <v>18618</v>
          </cell>
          <cell r="FH156">
            <v>-1453</v>
          </cell>
          <cell r="FI156">
            <v>217755</v>
          </cell>
          <cell r="FJ156">
            <v>3.2</v>
          </cell>
          <cell r="FK156">
            <v>-1.9</v>
          </cell>
          <cell r="FL156">
            <v>2.4</v>
          </cell>
          <cell r="FM156">
            <v>0.1</v>
          </cell>
          <cell r="FN156">
            <v>-0.7</v>
          </cell>
          <cell r="FO156">
            <v>-0.4</v>
          </cell>
          <cell r="FP156">
            <v>0.7</v>
          </cell>
          <cell r="FQ156">
            <v>0.3</v>
          </cell>
          <cell r="FR156">
            <v>-5.2</v>
          </cell>
          <cell r="FS156">
            <v>-0.3</v>
          </cell>
          <cell r="FT156">
            <v>-0.2</v>
          </cell>
          <cell r="FU156">
            <v>4.7</v>
          </cell>
          <cell r="FV156">
            <v>2.2000000000000002</v>
          </cell>
          <cell r="FW156">
            <v>6.3</v>
          </cell>
          <cell r="FX156">
            <v>-1.9</v>
          </cell>
          <cell r="FY156">
            <v>1.8</v>
          </cell>
          <cell r="FZ156">
            <v>-0.5</v>
          </cell>
          <cell r="GA156">
            <v>1</v>
          </cell>
          <cell r="GB156">
            <v>-3.2</v>
          </cell>
          <cell r="GC156">
            <v>-1.2</v>
          </cell>
          <cell r="GD156">
            <v>-4</v>
          </cell>
          <cell r="GE156">
            <v>1.8</v>
          </cell>
          <cell r="GF156">
            <v>0.7</v>
          </cell>
          <cell r="GG156">
            <v>1</v>
          </cell>
          <cell r="GH156">
            <v>3.2</v>
          </cell>
          <cell r="GI156">
            <v>1.3</v>
          </cell>
          <cell r="GJ156">
            <v>0</v>
          </cell>
          <cell r="GK156">
            <v>2.4</v>
          </cell>
          <cell r="GL156">
            <v>0.6</v>
          </cell>
          <cell r="GM156">
            <v>2.2999999999999998</v>
          </cell>
          <cell r="GN156">
            <v>1.4</v>
          </cell>
          <cell r="GO156">
            <v>1.6</v>
          </cell>
          <cell r="GP156">
            <v>-0.4</v>
          </cell>
          <cell r="GQ156">
            <v>0.7</v>
          </cell>
          <cell r="GR156">
            <v>0.8</v>
          </cell>
          <cell r="GS156">
            <v>2.4</v>
          </cell>
          <cell r="GT156">
            <v>1.9</v>
          </cell>
          <cell r="GU156">
            <v>2.5</v>
          </cell>
          <cell r="GV156">
            <v>1.8</v>
          </cell>
          <cell r="GW156">
            <v>2</v>
          </cell>
          <cell r="GX156">
            <v>1.8</v>
          </cell>
          <cell r="GY156">
            <v>2.7</v>
          </cell>
          <cell r="GZ156">
            <v>0.8</v>
          </cell>
          <cell r="HA156">
            <v>0.6</v>
          </cell>
          <cell r="HB156">
            <v>0.3</v>
          </cell>
          <cell r="HC156">
            <v>2.2000000000000002</v>
          </cell>
          <cell r="HD156">
            <v>0.5</v>
          </cell>
          <cell r="HE156">
            <v>2</v>
          </cell>
          <cell r="HF156">
            <v>-0.1</v>
          </cell>
          <cell r="HG156">
            <v>1.5</v>
          </cell>
          <cell r="HH156">
            <v>0.5</v>
          </cell>
          <cell r="HI156">
            <v>1.2</v>
          </cell>
          <cell r="HJ156">
            <v>1.7</v>
          </cell>
          <cell r="HK156">
            <v>0.1</v>
          </cell>
          <cell r="HL156">
            <v>11082</v>
          </cell>
          <cell r="HM156">
            <v>860</v>
          </cell>
          <cell r="HN156">
            <v>11454</v>
          </cell>
          <cell r="HO156">
            <v>1303</v>
          </cell>
          <cell r="HP156">
            <v>3234</v>
          </cell>
          <cell r="HQ156">
            <v>1227</v>
          </cell>
          <cell r="HR156">
            <v>3357</v>
          </cell>
          <cell r="HS156">
            <v>8629</v>
          </cell>
          <cell r="HT156">
            <v>1750</v>
          </cell>
          <cell r="HU156">
            <v>10021</v>
          </cell>
          <cell r="HV156">
            <v>5568</v>
          </cell>
          <cell r="HW156">
            <v>4838</v>
          </cell>
          <cell r="HX156">
            <v>3297</v>
          </cell>
          <cell r="HY156">
            <v>4071</v>
          </cell>
          <cell r="HZ156">
            <v>6223</v>
          </cell>
          <cell r="IA156">
            <v>23525</v>
          </cell>
          <cell r="IB156">
            <v>4404</v>
          </cell>
          <cell r="IC156">
            <v>231</v>
          </cell>
          <cell r="ID156">
            <v>3271</v>
          </cell>
          <cell r="IE156">
            <v>7784</v>
          </cell>
          <cell r="IF156">
            <v>3580</v>
          </cell>
          <cell r="IG156">
            <v>2605</v>
          </cell>
          <cell r="IH156">
            <v>7638</v>
          </cell>
          <cell r="II156">
            <v>13774</v>
          </cell>
          <cell r="IJ156">
            <v>9280</v>
          </cell>
          <cell r="IK156">
            <v>9495</v>
          </cell>
          <cell r="IL156">
            <v>6034</v>
          </cell>
          <cell r="IM156">
            <v>3295</v>
          </cell>
          <cell r="IN156">
            <v>980</v>
          </cell>
          <cell r="IO156">
            <v>1799</v>
          </cell>
          <cell r="IP156">
            <v>4803</v>
          </cell>
          <cell r="IQ156">
            <v>10855</v>
          </cell>
        </row>
        <row r="157">
          <cell r="B157">
            <v>5884</v>
          </cell>
          <cell r="C157">
            <v>849</v>
          </cell>
          <cell r="D157">
            <v>6615</v>
          </cell>
          <cell r="E157">
            <v>1368</v>
          </cell>
          <cell r="F157">
            <v>3473</v>
          </cell>
          <cell r="G157">
            <v>1249</v>
          </cell>
          <cell r="H157">
            <v>3525</v>
          </cell>
          <cell r="I157">
            <v>9100</v>
          </cell>
          <cell r="J157">
            <v>1639</v>
          </cell>
          <cell r="K157">
            <v>10417</v>
          </cell>
          <cell r="L157">
            <v>5274</v>
          </cell>
          <cell r="M157">
            <v>5029</v>
          </cell>
          <cell r="N157">
            <v>3257</v>
          </cell>
          <cell r="O157">
            <v>3916</v>
          </cell>
          <cell r="P157">
            <v>5919</v>
          </cell>
          <cell r="Q157">
            <v>22848</v>
          </cell>
          <cell r="R157">
            <v>4559</v>
          </cell>
          <cell r="S157">
            <v>247</v>
          </cell>
          <cell r="T157">
            <v>3178</v>
          </cell>
          <cell r="U157">
            <v>7923</v>
          </cell>
          <cell r="V157">
            <v>3235</v>
          </cell>
          <cell r="W157">
            <v>2480</v>
          </cell>
          <cell r="X157">
            <v>7233</v>
          </cell>
          <cell r="Y157">
            <v>12982</v>
          </cell>
          <cell r="Z157">
            <v>8938</v>
          </cell>
          <cell r="AA157">
            <v>8742</v>
          </cell>
          <cell r="AB157">
            <v>5725</v>
          </cell>
          <cell r="AC157">
            <v>3226</v>
          </cell>
          <cell r="AD157">
            <v>972</v>
          </cell>
          <cell r="AE157">
            <v>1828</v>
          </cell>
          <cell r="AF157">
            <v>4755</v>
          </cell>
          <cell r="AG157">
            <v>10758</v>
          </cell>
          <cell r="AH157">
            <v>2158</v>
          </cell>
          <cell r="AI157">
            <v>2488</v>
          </cell>
          <cell r="AJ157">
            <v>4614</v>
          </cell>
          <cell r="AK157">
            <v>7724</v>
          </cell>
          <cell r="AL157">
            <v>8326</v>
          </cell>
          <cell r="AM157">
            <v>14557</v>
          </cell>
          <cell r="AN157">
            <v>1117</v>
          </cell>
          <cell r="AO157">
            <v>5402</v>
          </cell>
          <cell r="AP157">
            <v>6591</v>
          </cell>
          <cell r="AQ157">
            <v>1177</v>
          </cell>
          <cell r="AR157">
            <v>10637</v>
          </cell>
          <cell r="AS157">
            <v>10715</v>
          </cell>
          <cell r="AT157">
            <v>6741</v>
          </cell>
          <cell r="AU157">
            <v>13822</v>
          </cell>
          <cell r="AV157">
            <v>12960</v>
          </cell>
          <cell r="AW157">
            <v>12018</v>
          </cell>
          <cell r="AX157">
            <v>1677</v>
          </cell>
          <cell r="AY157">
            <v>4842</v>
          </cell>
          <cell r="AZ157">
            <v>22848</v>
          </cell>
          <cell r="BA157">
            <v>202669</v>
          </cell>
          <cell r="BB157">
            <v>18747</v>
          </cell>
          <cell r="BC157">
            <v>-181</v>
          </cell>
          <cell r="BD157">
            <v>220926</v>
          </cell>
          <cell r="BE157">
            <v>0.3</v>
          </cell>
          <cell r="BF157">
            <v>0</v>
          </cell>
          <cell r="BG157">
            <v>0.3</v>
          </cell>
          <cell r="BH157">
            <v>2.5</v>
          </cell>
          <cell r="BI157">
            <v>3.5</v>
          </cell>
          <cell r="BJ157">
            <v>0.4</v>
          </cell>
          <cell r="BK157">
            <v>3.5</v>
          </cell>
          <cell r="BL157">
            <v>2.9</v>
          </cell>
          <cell r="BM157">
            <v>-1.6</v>
          </cell>
          <cell r="BN157">
            <v>2.4</v>
          </cell>
          <cell r="BO157">
            <v>0.8</v>
          </cell>
          <cell r="BP157">
            <v>2.5</v>
          </cell>
          <cell r="BQ157">
            <v>1.1000000000000001</v>
          </cell>
          <cell r="BR157">
            <v>1.6</v>
          </cell>
          <cell r="BS157">
            <v>-1.4</v>
          </cell>
          <cell r="BT157">
            <v>0.7</v>
          </cell>
          <cell r="BU157">
            <v>0.1</v>
          </cell>
          <cell r="BV157">
            <v>-0.3</v>
          </cell>
          <cell r="BW157">
            <v>-0.7</v>
          </cell>
          <cell r="BX157">
            <v>-0.2</v>
          </cell>
          <cell r="BY157">
            <v>-3.5</v>
          </cell>
          <cell r="BZ157">
            <v>3.7</v>
          </cell>
          <cell r="CA157">
            <v>0.2</v>
          </cell>
          <cell r="CB157">
            <v>0.8</v>
          </cell>
          <cell r="CC157">
            <v>0.8</v>
          </cell>
          <cell r="CD157">
            <v>1.2</v>
          </cell>
          <cell r="CE157">
            <v>0.6</v>
          </cell>
          <cell r="CF157">
            <v>1.8</v>
          </cell>
          <cell r="CG157">
            <v>2.2999999999999998</v>
          </cell>
          <cell r="CH157">
            <v>3.1</v>
          </cell>
          <cell r="CI157">
            <v>0.8</v>
          </cell>
          <cell r="CJ157">
            <v>1.7</v>
          </cell>
          <cell r="CK157">
            <v>0.2</v>
          </cell>
          <cell r="CL157">
            <v>1.2</v>
          </cell>
          <cell r="CM157">
            <v>1.4</v>
          </cell>
          <cell r="CN157">
            <v>1.7</v>
          </cell>
          <cell r="CO157">
            <v>1.5</v>
          </cell>
          <cell r="CP157">
            <v>1.7</v>
          </cell>
          <cell r="CQ157">
            <v>0.9</v>
          </cell>
          <cell r="CR157">
            <v>0.7</v>
          </cell>
          <cell r="CS157">
            <v>0.7</v>
          </cell>
          <cell r="CT157">
            <v>1.4</v>
          </cell>
          <cell r="CU157">
            <v>0</v>
          </cell>
          <cell r="CV157">
            <v>-0.1</v>
          </cell>
          <cell r="CW157">
            <v>-0.8</v>
          </cell>
          <cell r="CX157">
            <v>0.5</v>
          </cell>
          <cell r="CY157">
            <v>0.7</v>
          </cell>
          <cell r="CZ157">
            <v>2</v>
          </cell>
          <cell r="DA157">
            <v>0.7</v>
          </cell>
          <cell r="DB157">
            <v>1.5</v>
          </cell>
          <cell r="DC157">
            <v>0.9</v>
          </cell>
          <cell r="DD157">
            <v>0.9</v>
          </cell>
          <cell r="DE157">
            <v>0.8</v>
          </cell>
          <cell r="DF157">
            <v>1</v>
          </cell>
          <cell r="DG157">
            <v>5924</v>
          </cell>
          <cell r="DH157">
            <v>845</v>
          </cell>
          <cell r="DI157">
            <v>6646</v>
          </cell>
          <cell r="DJ157">
            <v>1358</v>
          </cell>
          <cell r="DK157">
            <v>3494</v>
          </cell>
          <cell r="DL157">
            <v>1293</v>
          </cell>
          <cell r="DM157">
            <v>3568</v>
          </cell>
          <cell r="DN157">
            <v>9171</v>
          </cell>
          <cell r="DO157">
            <v>1647</v>
          </cell>
          <cell r="DP157">
            <v>10497</v>
          </cell>
          <cell r="DQ157">
            <v>5384</v>
          </cell>
          <cell r="DR157">
            <v>5186</v>
          </cell>
          <cell r="DS157">
            <v>3343</v>
          </cell>
          <cell r="DT157">
            <v>3863</v>
          </cell>
          <cell r="DU157">
            <v>5942</v>
          </cell>
          <cell r="DV157">
            <v>23133</v>
          </cell>
          <cell r="DW157">
            <v>4581</v>
          </cell>
          <cell r="DX157">
            <v>250</v>
          </cell>
          <cell r="DY157">
            <v>3165</v>
          </cell>
          <cell r="DZ157">
            <v>7946</v>
          </cell>
          <cell r="EA157">
            <v>3195</v>
          </cell>
          <cell r="EB157">
            <v>2359</v>
          </cell>
          <cell r="EC157">
            <v>7136</v>
          </cell>
          <cell r="ED157">
            <v>12721</v>
          </cell>
          <cell r="EE157">
            <v>9063</v>
          </cell>
          <cell r="EF157">
            <v>8733</v>
          </cell>
          <cell r="EG157">
            <v>5734</v>
          </cell>
          <cell r="EH157">
            <v>3257</v>
          </cell>
          <cell r="EI157">
            <v>969</v>
          </cell>
          <cell r="EJ157">
            <v>1842</v>
          </cell>
          <cell r="EK157">
            <v>4786</v>
          </cell>
          <cell r="EL157">
            <v>10825</v>
          </cell>
          <cell r="EM157">
            <v>2110</v>
          </cell>
          <cell r="EN157">
            <v>2491</v>
          </cell>
          <cell r="EO157">
            <v>4563</v>
          </cell>
          <cell r="EP157">
            <v>7760</v>
          </cell>
          <cell r="EQ157">
            <v>8343</v>
          </cell>
          <cell r="ER157">
            <v>14614</v>
          </cell>
          <cell r="ES157">
            <v>1106</v>
          </cell>
          <cell r="ET157">
            <v>5354</v>
          </cell>
          <cell r="EU157">
            <v>6531</v>
          </cell>
          <cell r="EV157">
            <v>1167</v>
          </cell>
          <cell r="EW157">
            <v>10538</v>
          </cell>
          <cell r="EX157">
            <v>10613</v>
          </cell>
          <cell r="EY157">
            <v>6682</v>
          </cell>
          <cell r="EZ157">
            <v>14203</v>
          </cell>
          <cell r="FA157">
            <v>12955</v>
          </cell>
          <cell r="FB157">
            <v>11981</v>
          </cell>
          <cell r="FC157">
            <v>1683</v>
          </cell>
          <cell r="FD157">
            <v>4867</v>
          </cell>
          <cell r="FE157">
            <v>22834</v>
          </cell>
          <cell r="FF157">
            <v>203229</v>
          </cell>
          <cell r="FG157">
            <v>18857</v>
          </cell>
          <cell r="FH157">
            <v>-404</v>
          </cell>
          <cell r="FI157">
            <v>221364</v>
          </cell>
          <cell r="FJ157">
            <v>0.6</v>
          </cell>
          <cell r="FK157">
            <v>-1.4</v>
          </cell>
          <cell r="FL157">
            <v>0.3</v>
          </cell>
          <cell r="FM157">
            <v>1.5</v>
          </cell>
          <cell r="FN157">
            <v>6.4</v>
          </cell>
          <cell r="FO157">
            <v>6.3</v>
          </cell>
          <cell r="FP157">
            <v>7.3</v>
          </cell>
          <cell r="FQ157">
            <v>5.4</v>
          </cell>
          <cell r="FR157">
            <v>1.4</v>
          </cell>
          <cell r="FS157">
            <v>4.9000000000000004</v>
          </cell>
          <cell r="FT157">
            <v>4.2</v>
          </cell>
          <cell r="FU157">
            <v>7.3</v>
          </cell>
          <cell r="FV157">
            <v>3.9</v>
          </cell>
          <cell r="FW157">
            <v>-2.5</v>
          </cell>
          <cell r="FX157">
            <v>-0.6</v>
          </cell>
          <cell r="FY157">
            <v>2</v>
          </cell>
          <cell r="FZ157">
            <v>1.1000000000000001</v>
          </cell>
          <cell r="GA157">
            <v>0.9</v>
          </cell>
          <cell r="GB157">
            <v>-0.1</v>
          </cell>
          <cell r="GC157">
            <v>0.7</v>
          </cell>
          <cell r="GD157">
            <v>-5</v>
          </cell>
          <cell r="GE157">
            <v>-3</v>
          </cell>
          <cell r="GF157">
            <v>-2</v>
          </cell>
          <cell r="GG157">
            <v>-2.2999999999999998</v>
          </cell>
          <cell r="GH157">
            <v>1.8</v>
          </cell>
          <cell r="GI157">
            <v>1.1000000000000001</v>
          </cell>
          <cell r="GJ157">
            <v>1</v>
          </cell>
          <cell r="GK157">
            <v>3</v>
          </cell>
          <cell r="GL157">
            <v>2.4</v>
          </cell>
          <cell r="GM157">
            <v>4.8</v>
          </cell>
          <cell r="GN157">
            <v>1.7</v>
          </cell>
          <cell r="GO157">
            <v>2.8</v>
          </cell>
          <cell r="GP157">
            <v>-2.2999999999999998</v>
          </cell>
          <cell r="GQ157">
            <v>2.1</v>
          </cell>
          <cell r="GR157">
            <v>0.1</v>
          </cell>
          <cell r="GS157">
            <v>2</v>
          </cell>
          <cell r="GT157">
            <v>1.7</v>
          </cell>
          <cell r="GU157">
            <v>2</v>
          </cell>
          <cell r="GV157">
            <v>-0.9</v>
          </cell>
          <cell r="GW157">
            <v>-1</v>
          </cell>
          <cell r="GX157">
            <v>-1</v>
          </cell>
          <cell r="GY157">
            <v>-0.4</v>
          </cell>
          <cell r="GZ157">
            <v>-1.8</v>
          </cell>
          <cell r="HA157">
            <v>-1.8</v>
          </cell>
          <cell r="HB157">
            <v>-2.5</v>
          </cell>
          <cell r="HC157">
            <v>3.4</v>
          </cell>
          <cell r="HD157">
            <v>0.7</v>
          </cell>
          <cell r="HE157">
            <v>1.6</v>
          </cell>
          <cell r="HF157">
            <v>1.4</v>
          </cell>
          <cell r="HG157">
            <v>2.1</v>
          </cell>
          <cell r="HH157">
            <v>0.8</v>
          </cell>
          <cell r="HI157">
            <v>1.2</v>
          </cell>
          <cell r="HJ157">
            <v>1.3</v>
          </cell>
          <cell r="HK157">
            <v>1.7</v>
          </cell>
          <cell r="HL157">
            <v>4484</v>
          </cell>
          <cell r="HM157">
            <v>840</v>
          </cell>
          <cell r="HN157">
            <v>5295</v>
          </cell>
          <cell r="HO157">
            <v>1337</v>
          </cell>
          <cell r="HP157">
            <v>3337</v>
          </cell>
          <cell r="HQ157">
            <v>1237</v>
          </cell>
          <cell r="HR157">
            <v>3456</v>
          </cell>
          <cell r="HS157">
            <v>8862</v>
          </cell>
          <cell r="HT157">
            <v>1389</v>
          </cell>
          <cell r="HU157">
            <v>9994</v>
          </cell>
          <cell r="HV157">
            <v>5168</v>
          </cell>
          <cell r="HW157">
            <v>5095</v>
          </cell>
          <cell r="HX157">
            <v>3148</v>
          </cell>
          <cell r="HY157">
            <v>3646</v>
          </cell>
          <cell r="HZ157">
            <v>5625</v>
          </cell>
          <cell r="IA157">
            <v>22029</v>
          </cell>
          <cell r="IB157">
            <v>4466</v>
          </cell>
          <cell r="IC157">
            <v>212</v>
          </cell>
          <cell r="ID157">
            <v>3296</v>
          </cell>
          <cell r="IE157">
            <v>7839</v>
          </cell>
          <cell r="IF157">
            <v>2886</v>
          </cell>
          <cell r="IG157">
            <v>2190</v>
          </cell>
          <cell r="IH157">
            <v>6533</v>
          </cell>
          <cell r="II157">
            <v>11700</v>
          </cell>
          <cell r="IJ157">
            <v>8625</v>
          </cell>
          <cell r="IK157">
            <v>8334</v>
          </cell>
          <cell r="IL157">
            <v>5655</v>
          </cell>
          <cell r="IM157">
            <v>3182</v>
          </cell>
          <cell r="IN157">
            <v>948</v>
          </cell>
          <cell r="IO157">
            <v>1782</v>
          </cell>
          <cell r="IP157">
            <v>4687</v>
          </cell>
          <cell r="IQ157">
            <v>10568</v>
          </cell>
        </row>
        <row r="158">
          <cell r="B158">
            <v>6045</v>
          </cell>
          <cell r="C158">
            <v>873</v>
          </cell>
          <cell r="D158">
            <v>6797</v>
          </cell>
          <cell r="E158">
            <v>1435</v>
          </cell>
          <cell r="F158">
            <v>3582</v>
          </cell>
          <cell r="G158">
            <v>1222</v>
          </cell>
          <cell r="H158">
            <v>3522</v>
          </cell>
          <cell r="I158">
            <v>9255</v>
          </cell>
          <cell r="J158">
            <v>1642</v>
          </cell>
          <cell r="K158">
            <v>10574</v>
          </cell>
          <cell r="L158">
            <v>5282</v>
          </cell>
          <cell r="M158">
            <v>5083</v>
          </cell>
          <cell r="N158">
            <v>3310</v>
          </cell>
          <cell r="O158">
            <v>3917</v>
          </cell>
          <cell r="P158">
            <v>5852</v>
          </cell>
          <cell r="Q158">
            <v>22903</v>
          </cell>
          <cell r="R158">
            <v>4549</v>
          </cell>
          <cell r="S158">
            <v>246</v>
          </cell>
          <cell r="T158">
            <v>3157</v>
          </cell>
          <cell r="U158">
            <v>7892</v>
          </cell>
          <cell r="V158">
            <v>3187</v>
          </cell>
          <cell r="W158">
            <v>2568</v>
          </cell>
          <cell r="X158">
            <v>7297</v>
          </cell>
          <cell r="Y158">
            <v>13145</v>
          </cell>
          <cell r="Z158">
            <v>8953</v>
          </cell>
          <cell r="AA158">
            <v>8869</v>
          </cell>
          <cell r="AB158">
            <v>5780</v>
          </cell>
          <cell r="AC158">
            <v>3275</v>
          </cell>
          <cell r="AD158">
            <v>996</v>
          </cell>
          <cell r="AE158">
            <v>1847</v>
          </cell>
          <cell r="AF158">
            <v>4783</v>
          </cell>
          <cell r="AG158">
            <v>10883</v>
          </cell>
          <cell r="AH158">
            <v>2216</v>
          </cell>
          <cell r="AI158">
            <v>2532</v>
          </cell>
          <cell r="AJ158">
            <v>4724</v>
          </cell>
          <cell r="AK158">
            <v>7841</v>
          </cell>
          <cell r="AL158">
            <v>8444</v>
          </cell>
          <cell r="AM158">
            <v>14764</v>
          </cell>
          <cell r="AN158">
            <v>1128</v>
          </cell>
          <cell r="AO158">
            <v>5427</v>
          </cell>
          <cell r="AP158">
            <v>6632</v>
          </cell>
          <cell r="AQ158">
            <v>1191</v>
          </cell>
          <cell r="AR158">
            <v>10661</v>
          </cell>
          <cell r="AS158">
            <v>10765</v>
          </cell>
          <cell r="AT158">
            <v>6683</v>
          </cell>
          <cell r="AU158">
            <v>13753</v>
          </cell>
          <cell r="AV158">
            <v>13087</v>
          </cell>
          <cell r="AW158">
            <v>12146</v>
          </cell>
          <cell r="AX158">
            <v>1694</v>
          </cell>
          <cell r="AY158">
            <v>4911</v>
          </cell>
          <cell r="AZ158">
            <v>23134</v>
          </cell>
          <cell r="BA158">
            <v>204430</v>
          </cell>
          <cell r="BB158">
            <v>18853</v>
          </cell>
          <cell r="BC158">
            <v>-32</v>
          </cell>
          <cell r="BD158">
            <v>222943</v>
          </cell>
          <cell r="BE158">
            <v>2.7</v>
          </cell>
          <cell r="BF158">
            <v>2.8</v>
          </cell>
          <cell r="BG158">
            <v>2.7</v>
          </cell>
          <cell r="BH158">
            <v>4.9000000000000004</v>
          </cell>
          <cell r="BI158">
            <v>3.1</v>
          </cell>
          <cell r="BJ158">
            <v>-2.2000000000000002</v>
          </cell>
          <cell r="BK158">
            <v>-0.1</v>
          </cell>
          <cell r="BL158">
            <v>1.7</v>
          </cell>
          <cell r="BM158">
            <v>0.2</v>
          </cell>
          <cell r="BN158">
            <v>1.5</v>
          </cell>
          <cell r="BO158">
            <v>0.1</v>
          </cell>
          <cell r="BP158">
            <v>1.1000000000000001</v>
          </cell>
          <cell r="BQ158">
            <v>1.6</v>
          </cell>
          <cell r="BR158">
            <v>0</v>
          </cell>
          <cell r="BS158">
            <v>-1.1000000000000001</v>
          </cell>
          <cell r="BT158">
            <v>0.2</v>
          </cell>
          <cell r="BU158">
            <v>-0.2</v>
          </cell>
          <cell r="BV158">
            <v>-0.5</v>
          </cell>
          <cell r="BW158">
            <v>-0.7</v>
          </cell>
          <cell r="BX158">
            <v>-0.4</v>
          </cell>
          <cell r="BY158">
            <v>-1.5</v>
          </cell>
          <cell r="BZ158">
            <v>3.6</v>
          </cell>
          <cell r="CA158">
            <v>0.9</v>
          </cell>
          <cell r="CB158">
            <v>1.3</v>
          </cell>
          <cell r="CC158">
            <v>0.2</v>
          </cell>
          <cell r="CD158">
            <v>1.5</v>
          </cell>
          <cell r="CE158">
            <v>1</v>
          </cell>
          <cell r="CF158">
            <v>1.5</v>
          </cell>
          <cell r="CG158">
            <v>2.5</v>
          </cell>
          <cell r="CH158">
            <v>1</v>
          </cell>
          <cell r="CI158">
            <v>0.6</v>
          </cell>
          <cell r="CJ158">
            <v>1.2</v>
          </cell>
          <cell r="CK158">
            <v>2.7</v>
          </cell>
          <cell r="CL158">
            <v>1.8</v>
          </cell>
          <cell r="CM158">
            <v>2.4</v>
          </cell>
          <cell r="CN158">
            <v>1.5</v>
          </cell>
          <cell r="CO158">
            <v>1.4</v>
          </cell>
          <cell r="CP158">
            <v>1.4</v>
          </cell>
          <cell r="CQ158">
            <v>1</v>
          </cell>
          <cell r="CR158">
            <v>0.5</v>
          </cell>
          <cell r="CS158">
            <v>0.6</v>
          </cell>
          <cell r="CT158">
            <v>1.2</v>
          </cell>
          <cell r="CU158">
            <v>0.2</v>
          </cell>
          <cell r="CV158">
            <v>0.5</v>
          </cell>
          <cell r="CW158">
            <v>-0.9</v>
          </cell>
          <cell r="CX158">
            <v>-0.5</v>
          </cell>
          <cell r="CY158">
            <v>1</v>
          </cell>
          <cell r="CZ158">
            <v>1.1000000000000001</v>
          </cell>
          <cell r="DA158">
            <v>1</v>
          </cell>
          <cell r="DB158">
            <v>1.4</v>
          </cell>
          <cell r="DC158">
            <v>1.3</v>
          </cell>
          <cell r="DD158">
            <v>0.9</v>
          </cell>
          <cell r="DE158">
            <v>0.6</v>
          </cell>
          <cell r="DF158">
            <v>0.9</v>
          </cell>
          <cell r="DG158">
            <v>5818</v>
          </cell>
          <cell r="DH158">
            <v>833</v>
          </cell>
          <cell r="DI158">
            <v>6531</v>
          </cell>
          <cell r="DJ158">
            <v>1419</v>
          </cell>
          <cell r="DK158">
            <v>3641</v>
          </cell>
          <cell r="DL158">
            <v>1201</v>
          </cell>
          <cell r="DM158">
            <v>3592</v>
          </cell>
          <cell r="DN158">
            <v>9330</v>
          </cell>
          <cell r="DO158">
            <v>1631</v>
          </cell>
          <cell r="DP158">
            <v>10642</v>
          </cell>
          <cell r="DQ158">
            <v>5214</v>
          </cell>
          <cell r="DR158">
            <v>5114</v>
          </cell>
          <cell r="DS158">
            <v>3161</v>
          </cell>
          <cell r="DT158">
            <v>3898</v>
          </cell>
          <cell r="DU158">
            <v>5847</v>
          </cell>
          <cell r="DV158">
            <v>22607</v>
          </cell>
          <cell r="DW158">
            <v>4547</v>
          </cell>
          <cell r="DX158">
            <v>241</v>
          </cell>
          <cell r="DY158">
            <v>3181</v>
          </cell>
          <cell r="DZ158">
            <v>7896</v>
          </cell>
          <cell r="EA158">
            <v>3181</v>
          </cell>
          <cell r="EB158">
            <v>2634</v>
          </cell>
          <cell r="EC158">
            <v>7253</v>
          </cell>
          <cell r="ED158">
            <v>13202</v>
          </cell>
          <cell r="EE158">
            <v>8818</v>
          </cell>
          <cell r="EF158">
            <v>8875</v>
          </cell>
          <cell r="EG158">
            <v>5795</v>
          </cell>
          <cell r="EH158">
            <v>3241</v>
          </cell>
          <cell r="EI158">
            <v>1002</v>
          </cell>
          <cell r="EJ158">
            <v>1869</v>
          </cell>
          <cell r="EK158">
            <v>4757</v>
          </cell>
          <cell r="EL158">
            <v>10872</v>
          </cell>
          <cell r="EM158">
            <v>2233</v>
          </cell>
          <cell r="EN158">
            <v>2551</v>
          </cell>
          <cell r="EO158">
            <v>4763</v>
          </cell>
          <cell r="EP158">
            <v>7822</v>
          </cell>
          <cell r="EQ158">
            <v>8390</v>
          </cell>
          <cell r="ER158">
            <v>14717</v>
          </cell>
          <cell r="ES158">
            <v>1134</v>
          </cell>
          <cell r="ET158">
            <v>5467</v>
          </cell>
          <cell r="EU158">
            <v>6675</v>
          </cell>
          <cell r="EV158">
            <v>1199</v>
          </cell>
          <cell r="EW158">
            <v>10719</v>
          </cell>
          <cell r="EX158">
            <v>10815</v>
          </cell>
          <cell r="EY158">
            <v>6727</v>
          </cell>
          <cell r="EZ158">
            <v>13407</v>
          </cell>
          <cell r="FA158">
            <v>13076</v>
          </cell>
          <cell r="FB158">
            <v>12230</v>
          </cell>
          <cell r="FC158">
            <v>1693</v>
          </cell>
          <cell r="FD158">
            <v>4893</v>
          </cell>
          <cell r="FE158">
            <v>23122</v>
          </cell>
          <cell r="FF158">
            <v>203539</v>
          </cell>
          <cell r="FG158">
            <v>18801</v>
          </cell>
          <cell r="FH158">
            <v>873</v>
          </cell>
          <cell r="FI158">
            <v>222909</v>
          </cell>
          <cell r="FJ158">
            <v>-1.8</v>
          </cell>
          <cell r="FK158">
            <v>-1.4</v>
          </cell>
          <cell r="FL158">
            <v>-1.7</v>
          </cell>
          <cell r="FM158">
            <v>4.5</v>
          </cell>
          <cell r="FN158">
            <v>4.2</v>
          </cell>
          <cell r="FO158">
            <v>-7.1</v>
          </cell>
          <cell r="FP158">
            <v>0.7</v>
          </cell>
          <cell r="FQ158">
            <v>1.7</v>
          </cell>
          <cell r="FR158">
            <v>-0.9</v>
          </cell>
          <cell r="FS158">
            <v>1.4</v>
          </cell>
          <cell r="FT158">
            <v>-3.2</v>
          </cell>
          <cell r="FU158">
            <v>-1.4</v>
          </cell>
          <cell r="FV158">
            <v>-5.5</v>
          </cell>
          <cell r="FW158">
            <v>0.9</v>
          </cell>
          <cell r="FX158">
            <v>-1.6</v>
          </cell>
          <cell r="FY158">
            <v>-2.2999999999999998</v>
          </cell>
          <cell r="FZ158">
            <v>-0.8</v>
          </cell>
          <cell r="GA158">
            <v>-3.5</v>
          </cell>
          <cell r="GB158">
            <v>0.5</v>
          </cell>
          <cell r="GC158">
            <v>-0.6</v>
          </cell>
          <cell r="GD158">
            <v>-0.5</v>
          </cell>
          <cell r="GE158">
            <v>11.7</v>
          </cell>
          <cell r="GF158">
            <v>1.6</v>
          </cell>
          <cell r="GG158">
            <v>3.8</v>
          </cell>
          <cell r="GH158">
            <v>-2.7</v>
          </cell>
          <cell r="GI158">
            <v>1.6</v>
          </cell>
          <cell r="GJ158">
            <v>1.1000000000000001</v>
          </cell>
          <cell r="GK158">
            <v>-0.5</v>
          </cell>
          <cell r="GL158">
            <v>3.4</v>
          </cell>
          <cell r="GM158">
            <v>1.4</v>
          </cell>
          <cell r="GN158">
            <v>-0.6</v>
          </cell>
          <cell r="GO158">
            <v>0.4</v>
          </cell>
          <cell r="GP158">
            <v>5.8</v>
          </cell>
          <cell r="GQ158">
            <v>2.4</v>
          </cell>
          <cell r="GR158">
            <v>4.4000000000000004</v>
          </cell>
          <cell r="GS158">
            <v>0.8</v>
          </cell>
          <cell r="GT158">
            <v>0.6</v>
          </cell>
          <cell r="GU158">
            <v>0.7</v>
          </cell>
          <cell r="GV158">
            <v>2.5</v>
          </cell>
          <cell r="GW158">
            <v>2.1</v>
          </cell>
          <cell r="GX158">
            <v>2.2000000000000002</v>
          </cell>
          <cell r="GY158">
            <v>2.7</v>
          </cell>
          <cell r="GZ158">
            <v>1.7</v>
          </cell>
          <cell r="HA158">
            <v>1.9</v>
          </cell>
          <cell r="HB158">
            <v>0.7</v>
          </cell>
          <cell r="HC158">
            <v>-5.6</v>
          </cell>
          <cell r="HD158">
            <v>0.9</v>
          </cell>
          <cell r="HE158">
            <v>2.1</v>
          </cell>
          <cell r="HF158">
            <v>0.6</v>
          </cell>
          <cell r="HG158">
            <v>0.5</v>
          </cell>
          <cell r="HH158">
            <v>1.3</v>
          </cell>
          <cell r="HI158">
            <v>0.2</v>
          </cell>
          <cell r="HJ158">
            <v>-0.3</v>
          </cell>
          <cell r="HK158">
            <v>0.7</v>
          </cell>
          <cell r="HL158">
            <v>4021</v>
          </cell>
          <cell r="HM158">
            <v>826</v>
          </cell>
          <cell r="HN158">
            <v>4851</v>
          </cell>
          <cell r="HO158">
            <v>1404</v>
          </cell>
          <cell r="HP158">
            <v>3678</v>
          </cell>
          <cell r="HQ158">
            <v>1197</v>
          </cell>
          <cell r="HR158">
            <v>3618</v>
          </cell>
          <cell r="HS158">
            <v>9357</v>
          </cell>
          <cell r="HT158">
            <v>1729</v>
          </cell>
          <cell r="HU158">
            <v>10751</v>
          </cell>
          <cell r="HV158">
            <v>5018</v>
          </cell>
          <cell r="HW158">
            <v>5098</v>
          </cell>
          <cell r="HX158">
            <v>3161</v>
          </cell>
          <cell r="HY158">
            <v>3880</v>
          </cell>
          <cell r="HZ158">
            <v>5755</v>
          </cell>
          <cell r="IA158">
            <v>22317</v>
          </cell>
          <cell r="IB158">
            <v>4566</v>
          </cell>
          <cell r="IC158">
            <v>256</v>
          </cell>
          <cell r="ID158">
            <v>3061</v>
          </cell>
          <cell r="IE158">
            <v>7863</v>
          </cell>
          <cell r="IF158">
            <v>3172</v>
          </cell>
          <cell r="IG158">
            <v>2503</v>
          </cell>
          <cell r="IH158">
            <v>7545</v>
          </cell>
          <cell r="II158">
            <v>13368</v>
          </cell>
          <cell r="IJ158">
            <v>8876</v>
          </cell>
          <cell r="IK158">
            <v>8560</v>
          </cell>
          <cell r="IL158">
            <v>5538</v>
          </cell>
          <cell r="IM158">
            <v>3206</v>
          </cell>
          <cell r="IN158">
            <v>950</v>
          </cell>
          <cell r="IO158">
            <v>1854</v>
          </cell>
          <cell r="IP158">
            <v>4731</v>
          </cell>
          <cell r="IQ158">
            <v>10702</v>
          </cell>
        </row>
        <row r="159">
          <cell r="B159">
            <v>6267</v>
          </cell>
          <cell r="C159">
            <v>919</v>
          </cell>
          <cell r="D159">
            <v>7064</v>
          </cell>
          <cell r="E159">
            <v>1492</v>
          </cell>
          <cell r="F159">
            <v>3618</v>
          </cell>
          <cell r="G159">
            <v>1170</v>
          </cell>
          <cell r="H159">
            <v>3412</v>
          </cell>
          <cell r="I159">
            <v>9221</v>
          </cell>
          <cell r="J159">
            <v>1671</v>
          </cell>
          <cell r="K159">
            <v>10561</v>
          </cell>
          <cell r="L159">
            <v>5291</v>
          </cell>
          <cell r="M159">
            <v>5049</v>
          </cell>
          <cell r="N159">
            <v>3344</v>
          </cell>
          <cell r="O159">
            <v>3900</v>
          </cell>
          <cell r="P159">
            <v>5843</v>
          </cell>
          <cell r="Q159">
            <v>22911</v>
          </cell>
          <cell r="R159">
            <v>4518</v>
          </cell>
          <cell r="S159">
            <v>244</v>
          </cell>
          <cell r="T159">
            <v>3155</v>
          </cell>
          <cell r="U159">
            <v>7852</v>
          </cell>
          <cell r="V159">
            <v>3256</v>
          </cell>
          <cell r="W159">
            <v>2578</v>
          </cell>
          <cell r="X159">
            <v>7378</v>
          </cell>
          <cell r="Y159">
            <v>13266</v>
          </cell>
          <cell r="Z159">
            <v>8981</v>
          </cell>
          <cell r="AA159">
            <v>8994</v>
          </cell>
          <cell r="AB159">
            <v>5876</v>
          </cell>
          <cell r="AC159">
            <v>3313</v>
          </cell>
          <cell r="AD159">
            <v>1018</v>
          </cell>
          <cell r="AE159">
            <v>1846</v>
          </cell>
          <cell r="AF159">
            <v>4820</v>
          </cell>
          <cell r="AG159">
            <v>10975</v>
          </cell>
          <cell r="AH159">
            <v>2273</v>
          </cell>
          <cell r="AI159">
            <v>2571</v>
          </cell>
          <cell r="AJ159">
            <v>4815</v>
          </cell>
          <cell r="AK159">
            <v>7974</v>
          </cell>
          <cell r="AL159">
            <v>8492</v>
          </cell>
          <cell r="AM159">
            <v>14956</v>
          </cell>
          <cell r="AN159">
            <v>1146</v>
          </cell>
          <cell r="AO159">
            <v>5486</v>
          </cell>
          <cell r="AP159">
            <v>6715</v>
          </cell>
          <cell r="AQ159">
            <v>1213</v>
          </cell>
          <cell r="AR159">
            <v>10775</v>
          </cell>
          <cell r="AS159">
            <v>10920</v>
          </cell>
          <cell r="AT159">
            <v>6684</v>
          </cell>
          <cell r="AU159">
            <v>13848</v>
          </cell>
          <cell r="AV159">
            <v>13233</v>
          </cell>
          <cell r="AW159">
            <v>12095</v>
          </cell>
          <cell r="AX159">
            <v>1706</v>
          </cell>
          <cell r="AY159">
            <v>4977</v>
          </cell>
          <cell r="AZ159">
            <v>23455</v>
          </cell>
          <cell r="BA159">
            <v>206284</v>
          </cell>
          <cell r="BB159">
            <v>18819</v>
          </cell>
          <cell r="BC159">
            <v>-179</v>
          </cell>
          <cell r="BD159">
            <v>224627</v>
          </cell>
          <cell r="BE159">
            <v>3.7</v>
          </cell>
          <cell r="BF159">
            <v>5.2</v>
          </cell>
          <cell r="BG159">
            <v>3.9</v>
          </cell>
          <cell r="BH159">
            <v>4</v>
          </cell>
          <cell r="BI159">
            <v>1</v>
          </cell>
          <cell r="BJ159">
            <v>-4.2</v>
          </cell>
          <cell r="BK159">
            <v>-3.1</v>
          </cell>
          <cell r="BL159">
            <v>-0.4</v>
          </cell>
          <cell r="BM159">
            <v>1.8</v>
          </cell>
          <cell r="BN159">
            <v>-0.1</v>
          </cell>
          <cell r="BO159">
            <v>0.2</v>
          </cell>
          <cell r="BP159">
            <v>-0.7</v>
          </cell>
          <cell r="BQ159">
            <v>1</v>
          </cell>
          <cell r="BR159">
            <v>-0.4</v>
          </cell>
          <cell r="BS159">
            <v>-0.1</v>
          </cell>
          <cell r="BT159">
            <v>0</v>
          </cell>
          <cell r="BU159">
            <v>-0.7</v>
          </cell>
          <cell r="BV159">
            <v>-0.5</v>
          </cell>
          <cell r="BW159">
            <v>-0.1</v>
          </cell>
          <cell r="BX159">
            <v>-0.5</v>
          </cell>
          <cell r="BY159">
            <v>2.2000000000000002</v>
          </cell>
          <cell r="BZ159">
            <v>0.4</v>
          </cell>
          <cell r="CA159">
            <v>1.1000000000000001</v>
          </cell>
          <cell r="CB159">
            <v>0.9</v>
          </cell>
          <cell r="CC159">
            <v>0.3</v>
          </cell>
          <cell r="CD159">
            <v>1.4</v>
          </cell>
          <cell r="CE159">
            <v>1.7</v>
          </cell>
          <cell r="CF159">
            <v>1.2</v>
          </cell>
          <cell r="CG159">
            <v>2.2000000000000002</v>
          </cell>
          <cell r="CH159">
            <v>0</v>
          </cell>
          <cell r="CI159">
            <v>0.8</v>
          </cell>
          <cell r="CJ159">
            <v>0.8</v>
          </cell>
          <cell r="CK159">
            <v>2.5</v>
          </cell>
          <cell r="CL159">
            <v>1.6</v>
          </cell>
          <cell r="CM159">
            <v>1.9</v>
          </cell>
          <cell r="CN159">
            <v>1.7</v>
          </cell>
          <cell r="CO159">
            <v>0.6</v>
          </cell>
          <cell r="CP159">
            <v>1.3</v>
          </cell>
          <cell r="CQ159">
            <v>1.6</v>
          </cell>
          <cell r="CR159">
            <v>1.1000000000000001</v>
          </cell>
          <cell r="CS159">
            <v>1.2</v>
          </cell>
          <cell r="CT159">
            <v>1.8</v>
          </cell>
          <cell r="CU159">
            <v>1.1000000000000001</v>
          </cell>
          <cell r="CV159">
            <v>1.4</v>
          </cell>
          <cell r="CW159">
            <v>0</v>
          </cell>
          <cell r="CX159">
            <v>0.7</v>
          </cell>
          <cell r="CY159">
            <v>1.1000000000000001</v>
          </cell>
          <cell r="CZ159">
            <v>-0.4</v>
          </cell>
          <cell r="DA159">
            <v>0.7</v>
          </cell>
          <cell r="DB159">
            <v>1.3</v>
          </cell>
          <cell r="DC159">
            <v>1.4</v>
          </cell>
          <cell r="DD159">
            <v>0.9</v>
          </cell>
          <cell r="DE159">
            <v>-0.2</v>
          </cell>
          <cell r="DF159">
            <v>0.8</v>
          </cell>
          <cell r="DG159">
            <v>6203</v>
          </cell>
          <cell r="DH159">
            <v>961</v>
          </cell>
          <cell r="DI159">
            <v>7066</v>
          </cell>
          <cell r="DJ159">
            <v>1521</v>
          </cell>
          <cell r="DK159">
            <v>3571</v>
          </cell>
          <cell r="DL159">
            <v>1175</v>
          </cell>
          <cell r="DM159">
            <v>3348</v>
          </cell>
          <cell r="DN159">
            <v>9170</v>
          </cell>
          <cell r="DO159">
            <v>1652</v>
          </cell>
          <cell r="DP159">
            <v>10492</v>
          </cell>
          <cell r="DQ159">
            <v>5230</v>
          </cell>
          <cell r="DR159">
            <v>4852</v>
          </cell>
          <cell r="DS159">
            <v>3439</v>
          </cell>
          <cell r="DT159">
            <v>3990</v>
          </cell>
          <cell r="DU159">
            <v>5811</v>
          </cell>
          <cell r="DV159">
            <v>22961</v>
          </cell>
          <cell r="DW159">
            <v>4516</v>
          </cell>
          <cell r="DX159">
            <v>247</v>
          </cell>
          <cell r="DY159">
            <v>3154</v>
          </cell>
          <cell r="DZ159">
            <v>7858</v>
          </cell>
          <cell r="EA159">
            <v>3271</v>
          </cell>
          <cell r="EB159">
            <v>2659</v>
          </cell>
          <cell r="EC159">
            <v>7520</v>
          </cell>
          <cell r="ED159">
            <v>13500</v>
          </cell>
          <cell r="EE159">
            <v>8994</v>
          </cell>
          <cell r="EF159">
            <v>9011</v>
          </cell>
          <cell r="EG159">
            <v>5850</v>
          </cell>
          <cell r="EH159">
            <v>3298</v>
          </cell>
          <cell r="EI159">
            <v>1016</v>
          </cell>
          <cell r="EJ159">
            <v>1817</v>
          </cell>
          <cell r="EK159">
            <v>4808</v>
          </cell>
          <cell r="EL159">
            <v>10913</v>
          </cell>
          <cell r="EM159">
            <v>2286</v>
          </cell>
          <cell r="EN159">
            <v>2552</v>
          </cell>
          <cell r="EO159">
            <v>4812</v>
          </cell>
          <cell r="EP159">
            <v>7975</v>
          </cell>
          <cell r="EQ159">
            <v>8541</v>
          </cell>
          <cell r="ER159">
            <v>14973</v>
          </cell>
          <cell r="ES159">
            <v>1146</v>
          </cell>
          <cell r="ET159">
            <v>5477</v>
          </cell>
          <cell r="EU159">
            <v>6708</v>
          </cell>
          <cell r="EV159">
            <v>1212</v>
          </cell>
          <cell r="EW159">
            <v>10773</v>
          </cell>
          <cell r="EX159">
            <v>10930</v>
          </cell>
          <cell r="EY159">
            <v>6678</v>
          </cell>
          <cell r="EZ159">
            <v>13904</v>
          </cell>
          <cell r="FA159">
            <v>13246</v>
          </cell>
          <cell r="FB159">
            <v>12117</v>
          </cell>
          <cell r="FC159">
            <v>1707</v>
          </cell>
          <cell r="FD159">
            <v>4981</v>
          </cell>
          <cell r="FE159">
            <v>23471</v>
          </cell>
          <cell r="FF159">
            <v>206573</v>
          </cell>
          <cell r="FG159">
            <v>18799</v>
          </cell>
          <cell r="FH159">
            <v>-274</v>
          </cell>
          <cell r="FI159">
            <v>224803</v>
          </cell>
          <cell r="FJ159">
            <v>6.6</v>
          </cell>
          <cell r="FK159">
            <v>15.4</v>
          </cell>
          <cell r="FL159">
            <v>8.1999999999999993</v>
          </cell>
          <cell r="FM159">
            <v>7.2</v>
          </cell>
          <cell r="FN159">
            <v>-1.9</v>
          </cell>
          <cell r="FO159">
            <v>-2.1</v>
          </cell>
          <cell r="FP159">
            <v>-6.8</v>
          </cell>
          <cell r="FQ159">
            <v>-1.7</v>
          </cell>
          <cell r="FR159">
            <v>1.2</v>
          </cell>
          <cell r="FS159">
            <v>-1.4</v>
          </cell>
          <cell r="FT159">
            <v>0.3</v>
          </cell>
          <cell r="FU159">
            <v>-5.0999999999999996</v>
          </cell>
          <cell r="FV159">
            <v>8.8000000000000007</v>
          </cell>
          <cell r="FW159">
            <v>2.4</v>
          </cell>
          <cell r="FX159">
            <v>-0.6</v>
          </cell>
          <cell r="FY159">
            <v>1.6</v>
          </cell>
          <cell r="FZ159">
            <v>-0.7</v>
          </cell>
          <cell r="GA159">
            <v>2.6</v>
          </cell>
          <cell r="GB159">
            <v>-0.9</v>
          </cell>
          <cell r="GC159">
            <v>-0.5</v>
          </cell>
          <cell r="GD159">
            <v>2.8</v>
          </cell>
          <cell r="GE159">
            <v>0.9</v>
          </cell>
          <cell r="GF159">
            <v>3.7</v>
          </cell>
          <cell r="GG159">
            <v>2.2999999999999998</v>
          </cell>
          <cell r="GH159">
            <v>2</v>
          </cell>
          <cell r="GI159">
            <v>1.5</v>
          </cell>
          <cell r="GJ159">
            <v>0.9</v>
          </cell>
          <cell r="GK159">
            <v>1.8</v>
          </cell>
          <cell r="GL159">
            <v>1.4</v>
          </cell>
          <cell r="GM159">
            <v>-2.8</v>
          </cell>
          <cell r="GN159">
            <v>1.1000000000000001</v>
          </cell>
          <cell r="GO159">
            <v>0.4</v>
          </cell>
          <cell r="GP159">
            <v>2.2999999999999998</v>
          </cell>
          <cell r="GQ159">
            <v>0</v>
          </cell>
          <cell r="GR159">
            <v>1</v>
          </cell>
          <cell r="GS159">
            <v>2</v>
          </cell>
          <cell r="GT159">
            <v>1.8</v>
          </cell>
          <cell r="GU159">
            <v>1.7</v>
          </cell>
          <cell r="GV159">
            <v>1</v>
          </cell>
          <cell r="GW159">
            <v>0.2</v>
          </cell>
          <cell r="GX159">
            <v>0.5</v>
          </cell>
          <cell r="GY159">
            <v>1.1000000000000001</v>
          </cell>
          <cell r="GZ159">
            <v>0.5</v>
          </cell>
          <cell r="HA159">
            <v>1.1000000000000001</v>
          </cell>
          <cell r="HB159">
            <v>-0.7</v>
          </cell>
          <cell r="HC159">
            <v>3.7</v>
          </cell>
          <cell r="HD159">
            <v>1.3</v>
          </cell>
          <cell r="HE159">
            <v>-0.9</v>
          </cell>
          <cell r="HF159">
            <v>0.9</v>
          </cell>
          <cell r="HG159">
            <v>1.8</v>
          </cell>
          <cell r="HH159">
            <v>1.5</v>
          </cell>
          <cell r="HI159">
            <v>1.5</v>
          </cell>
          <cell r="HJ159">
            <v>0</v>
          </cell>
          <cell r="HK159">
            <v>0.8</v>
          </cell>
          <cell r="HL159">
            <v>3249</v>
          </cell>
          <cell r="HM159">
            <v>968</v>
          </cell>
          <cell r="HN159">
            <v>4360</v>
          </cell>
          <cell r="HO159">
            <v>1598</v>
          </cell>
          <cell r="HP159">
            <v>3764</v>
          </cell>
          <cell r="HQ159">
            <v>1211</v>
          </cell>
          <cell r="HR159">
            <v>3386</v>
          </cell>
          <cell r="HS159">
            <v>9523</v>
          </cell>
          <cell r="HT159">
            <v>1675</v>
          </cell>
          <cell r="HU159">
            <v>10864</v>
          </cell>
          <cell r="HV159">
            <v>5234</v>
          </cell>
          <cell r="HW159">
            <v>4957</v>
          </cell>
          <cell r="HX159">
            <v>3556</v>
          </cell>
          <cell r="HY159">
            <v>4124</v>
          </cell>
          <cell r="HZ159">
            <v>5982</v>
          </cell>
          <cell r="IA159">
            <v>23528</v>
          </cell>
          <cell r="IB159">
            <v>4721</v>
          </cell>
          <cell r="IC159">
            <v>286</v>
          </cell>
          <cell r="ID159">
            <v>3041</v>
          </cell>
          <cell r="IE159">
            <v>8073</v>
          </cell>
          <cell r="IF159">
            <v>3381</v>
          </cell>
          <cell r="IG159">
            <v>2723</v>
          </cell>
          <cell r="IH159">
            <v>7469</v>
          </cell>
          <cell r="II159">
            <v>13592</v>
          </cell>
          <cell r="IJ159">
            <v>9003</v>
          </cell>
          <cell r="IK159">
            <v>8800</v>
          </cell>
          <cell r="IL159">
            <v>5807</v>
          </cell>
          <cell r="IM159">
            <v>3281</v>
          </cell>
          <cell r="IN159">
            <v>1063</v>
          </cell>
          <cell r="IO159">
            <v>1854</v>
          </cell>
          <cell r="IP159">
            <v>4829</v>
          </cell>
          <cell r="IQ159">
            <v>11028</v>
          </cell>
        </row>
        <row r="160">
          <cell r="B160">
            <v>6349</v>
          </cell>
          <cell r="C160">
            <v>947</v>
          </cell>
          <cell r="D160">
            <v>7177</v>
          </cell>
          <cell r="E160">
            <v>1526</v>
          </cell>
          <cell r="F160">
            <v>3596</v>
          </cell>
          <cell r="G160">
            <v>1125</v>
          </cell>
          <cell r="H160">
            <v>3265</v>
          </cell>
          <cell r="I160">
            <v>9076</v>
          </cell>
          <cell r="J160">
            <v>1698</v>
          </cell>
          <cell r="K160">
            <v>10437</v>
          </cell>
          <cell r="L160">
            <v>5266</v>
          </cell>
          <cell r="M160">
            <v>5022</v>
          </cell>
          <cell r="N160">
            <v>3336</v>
          </cell>
          <cell r="O160">
            <v>3917</v>
          </cell>
          <cell r="P160">
            <v>5923</v>
          </cell>
          <cell r="Q160">
            <v>22950</v>
          </cell>
          <cell r="R160">
            <v>4495</v>
          </cell>
          <cell r="S160">
            <v>245</v>
          </cell>
          <cell r="T160">
            <v>3164</v>
          </cell>
          <cell r="U160">
            <v>7836</v>
          </cell>
          <cell r="V160">
            <v>3370</v>
          </cell>
          <cell r="W160">
            <v>2517</v>
          </cell>
          <cell r="X160">
            <v>7413</v>
          </cell>
          <cell r="Y160">
            <v>13281</v>
          </cell>
          <cell r="Z160">
            <v>9143</v>
          </cell>
          <cell r="AA160">
            <v>9104</v>
          </cell>
          <cell r="AB160">
            <v>6009</v>
          </cell>
          <cell r="AC160">
            <v>3329</v>
          </cell>
          <cell r="AD160">
            <v>1029</v>
          </cell>
          <cell r="AE160">
            <v>1849</v>
          </cell>
          <cell r="AF160">
            <v>4876</v>
          </cell>
          <cell r="AG160">
            <v>11062</v>
          </cell>
          <cell r="AH160">
            <v>2308</v>
          </cell>
          <cell r="AI160">
            <v>2613</v>
          </cell>
          <cell r="AJ160">
            <v>4881</v>
          </cell>
          <cell r="AK160">
            <v>8187</v>
          </cell>
          <cell r="AL160">
            <v>8432</v>
          </cell>
          <cell r="AM160">
            <v>15213</v>
          </cell>
          <cell r="AN160">
            <v>1167</v>
          </cell>
          <cell r="AO160">
            <v>5599</v>
          </cell>
          <cell r="AP160">
            <v>6850</v>
          </cell>
          <cell r="AQ160">
            <v>1247</v>
          </cell>
          <cell r="AR160">
            <v>10979</v>
          </cell>
          <cell r="AS160">
            <v>11167</v>
          </cell>
          <cell r="AT160">
            <v>6778</v>
          </cell>
          <cell r="AU160">
            <v>14209</v>
          </cell>
          <cell r="AV160">
            <v>13371</v>
          </cell>
          <cell r="AW160">
            <v>12131</v>
          </cell>
          <cell r="AX160">
            <v>1712</v>
          </cell>
          <cell r="AY160">
            <v>5042</v>
          </cell>
          <cell r="AZ160">
            <v>23745</v>
          </cell>
          <cell r="BA160">
            <v>208488</v>
          </cell>
          <cell r="BB160">
            <v>18847</v>
          </cell>
          <cell r="BC160">
            <v>-406</v>
          </cell>
          <cell r="BD160">
            <v>226637</v>
          </cell>
          <cell r="BE160">
            <v>1.3</v>
          </cell>
          <cell r="BF160">
            <v>3.1</v>
          </cell>
          <cell r="BG160">
            <v>1.6</v>
          </cell>
          <cell r="BH160">
            <v>2.2999999999999998</v>
          </cell>
          <cell r="BI160">
            <v>-0.6</v>
          </cell>
          <cell r="BJ160">
            <v>-3.8</v>
          </cell>
          <cell r="BK160">
            <v>-4.3</v>
          </cell>
          <cell r="BL160">
            <v>-1.6</v>
          </cell>
          <cell r="BM160">
            <v>1.6</v>
          </cell>
          <cell r="BN160">
            <v>-1.2</v>
          </cell>
          <cell r="BO160">
            <v>-0.5</v>
          </cell>
          <cell r="BP160">
            <v>-0.5</v>
          </cell>
          <cell r="BQ160">
            <v>-0.2</v>
          </cell>
          <cell r="BR160">
            <v>0.4</v>
          </cell>
          <cell r="BS160">
            <v>1.4</v>
          </cell>
          <cell r="BT160">
            <v>0.2</v>
          </cell>
          <cell r="BU160">
            <v>-0.5</v>
          </cell>
          <cell r="BV160">
            <v>0.3</v>
          </cell>
          <cell r="BW160">
            <v>0.3</v>
          </cell>
          <cell r="BX160">
            <v>-0.2</v>
          </cell>
          <cell r="BY160">
            <v>3.5</v>
          </cell>
          <cell r="BZ160">
            <v>-2.4</v>
          </cell>
          <cell r="CA160">
            <v>0.5</v>
          </cell>
          <cell r="CB160">
            <v>0.1</v>
          </cell>
          <cell r="CC160">
            <v>1.8</v>
          </cell>
          <cell r="CD160">
            <v>1.2</v>
          </cell>
          <cell r="CE160">
            <v>2.2999999999999998</v>
          </cell>
          <cell r="CF160">
            <v>0.5</v>
          </cell>
          <cell r="CG160">
            <v>1.1000000000000001</v>
          </cell>
          <cell r="CH160">
            <v>0.1</v>
          </cell>
          <cell r="CI160">
            <v>1.1000000000000001</v>
          </cell>
          <cell r="CJ160">
            <v>0.8</v>
          </cell>
          <cell r="CK160">
            <v>1.6</v>
          </cell>
          <cell r="CL160">
            <v>1.6</v>
          </cell>
          <cell r="CM160">
            <v>1.4</v>
          </cell>
          <cell r="CN160">
            <v>2.7</v>
          </cell>
          <cell r="CO160">
            <v>-0.7</v>
          </cell>
          <cell r="CP160">
            <v>1.7</v>
          </cell>
          <cell r="CQ160">
            <v>1.8</v>
          </cell>
          <cell r="CR160">
            <v>2</v>
          </cell>
          <cell r="CS160">
            <v>2</v>
          </cell>
          <cell r="CT160">
            <v>2.8</v>
          </cell>
          <cell r="CU160">
            <v>1.9</v>
          </cell>
          <cell r="CV160">
            <v>2.2999999999999998</v>
          </cell>
          <cell r="CW160">
            <v>1.4</v>
          </cell>
          <cell r="CX160">
            <v>2.6</v>
          </cell>
          <cell r="CY160">
            <v>1</v>
          </cell>
          <cell r="CZ160">
            <v>0.3</v>
          </cell>
          <cell r="DA160">
            <v>0.4</v>
          </cell>
          <cell r="DB160">
            <v>1.3</v>
          </cell>
          <cell r="DC160">
            <v>1.2</v>
          </cell>
          <cell r="DD160">
            <v>1.1000000000000001</v>
          </cell>
          <cell r="DE160">
            <v>0.1</v>
          </cell>
          <cell r="DF160">
            <v>0.9</v>
          </cell>
          <cell r="DG160">
            <v>6907</v>
          </cell>
          <cell r="DH160">
            <v>948</v>
          </cell>
          <cell r="DI160">
            <v>7689</v>
          </cell>
          <cell r="DJ160">
            <v>1544</v>
          </cell>
          <cell r="DK160">
            <v>3645</v>
          </cell>
          <cell r="DL160">
            <v>1122</v>
          </cell>
          <cell r="DM160">
            <v>3284</v>
          </cell>
          <cell r="DN160">
            <v>9157</v>
          </cell>
          <cell r="DO160">
            <v>1731</v>
          </cell>
          <cell r="DP160">
            <v>10545</v>
          </cell>
          <cell r="DQ160">
            <v>5428</v>
          </cell>
          <cell r="DR160">
            <v>5193</v>
          </cell>
          <cell r="DS160">
            <v>3378</v>
          </cell>
          <cell r="DT160">
            <v>3800</v>
          </cell>
          <cell r="DU160">
            <v>5925</v>
          </cell>
          <cell r="DV160">
            <v>23118</v>
          </cell>
          <cell r="DW160">
            <v>4511</v>
          </cell>
          <cell r="DX160">
            <v>244</v>
          </cell>
          <cell r="DY160">
            <v>3128</v>
          </cell>
          <cell r="DZ160">
            <v>7822</v>
          </cell>
          <cell r="EA160">
            <v>3317</v>
          </cell>
          <cell r="EB160">
            <v>2471</v>
          </cell>
          <cell r="EC160">
            <v>7332</v>
          </cell>
          <cell r="ED160">
            <v>13093</v>
          </cell>
          <cell r="EE160">
            <v>9202</v>
          </cell>
          <cell r="EF160">
            <v>9072</v>
          </cell>
          <cell r="EG160">
            <v>5986</v>
          </cell>
          <cell r="EH160">
            <v>3411</v>
          </cell>
          <cell r="EI160">
            <v>1030</v>
          </cell>
          <cell r="EJ160">
            <v>1847</v>
          </cell>
          <cell r="EK160">
            <v>4901</v>
          </cell>
          <cell r="EL160">
            <v>11144</v>
          </cell>
          <cell r="EM160">
            <v>2343</v>
          </cell>
          <cell r="EN160">
            <v>2619</v>
          </cell>
          <cell r="EO160">
            <v>4928</v>
          </cell>
          <cell r="EP160">
            <v>8174</v>
          </cell>
          <cell r="EQ160">
            <v>8441</v>
          </cell>
          <cell r="ER160">
            <v>15199</v>
          </cell>
          <cell r="ES160">
            <v>1156</v>
          </cell>
          <cell r="ET160">
            <v>5546</v>
          </cell>
          <cell r="EU160">
            <v>6786</v>
          </cell>
          <cell r="EV160">
            <v>1236</v>
          </cell>
          <cell r="EW160">
            <v>10879</v>
          </cell>
          <cell r="EX160">
            <v>11066</v>
          </cell>
          <cell r="EY160">
            <v>6712</v>
          </cell>
          <cell r="EZ160">
            <v>14005</v>
          </cell>
          <cell r="FA160">
            <v>13372</v>
          </cell>
          <cell r="FB160">
            <v>12074</v>
          </cell>
          <cell r="FC160">
            <v>1716</v>
          </cell>
          <cell r="FD160">
            <v>5040</v>
          </cell>
          <cell r="FE160">
            <v>23756</v>
          </cell>
          <cell r="FF160">
            <v>208986</v>
          </cell>
          <cell r="FG160">
            <v>19034</v>
          </cell>
          <cell r="FH160">
            <v>-995</v>
          </cell>
          <cell r="FI160">
            <v>226728</v>
          </cell>
          <cell r="FJ160">
            <v>11.4</v>
          </cell>
          <cell r="FK160">
            <v>-1.4</v>
          </cell>
          <cell r="FL160">
            <v>8.8000000000000007</v>
          </cell>
          <cell r="FM160">
            <v>1.5</v>
          </cell>
          <cell r="FN160">
            <v>2.1</v>
          </cell>
          <cell r="FO160">
            <v>-4.5999999999999996</v>
          </cell>
          <cell r="FP160">
            <v>-1.9</v>
          </cell>
          <cell r="FQ160">
            <v>-0.1</v>
          </cell>
          <cell r="FR160">
            <v>4.8</v>
          </cell>
          <cell r="FS160">
            <v>0.5</v>
          </cell>
          <cell r="FT160">
            <v>3.8</v>
          </cell>
          <cell r="FU160">
            <v>7</v>
          </cell>
          <cell r="FV160">
            <v>-1.8</v>
          </cell>
          <cell r="FW160">
            <v>-4.8</v>
          </cell>
          <cell r="FX160">
            <v>2</v>
          </cell>
          <cell r="FY160">
            <v>0.7</v>
          </cell>
          <cell r="FZ160">
            <v>-0.1</v>
          </cell>
          <cell r="GA160">
            <v>-1.5</v>
          </cell>
          <cell r="GB160">
            <v>-0.8</v>
          </cell>
          <cell r="GC160">
            <v>-0.5</v>
          </cell>
          <cell r="GD160">
            <v>1.4</v>
          </cell>
          <cell r="GE160">
            <v>-7.1</v>
          </cell>
          <cell r="GF160">
            <v>-2.5</v>
          </cell>
          <cell r="GG160">
            <v>-3</v>
          </cell>
          <cell r="GH160">
            <v>2.2999999999999998</v>
          </cell>
          <cell r="GI160">
            <v>0.7</v>
          </cell>
          <cell r="GJ160">
            <v>2.2999999999999998</v>
          </cell>
          <cell r="GK160">
            <v>3.4</v>
          </cell>
          <cell r="GL160">
            <v>1.4</v>
          </cell>
          <cell r="GM160">
            <v>1.7</v>
          </cell>
          <cell r="GN160">
            <v>1.9</v>
          </cell>
          <cell r="GO160">
            <v>2.1</v>
          </cell>
          <cell r="GP160">
            <v>2.5</v>
          </cell>
          <cell r="GQ160">
            <v>2.6</v>
          </cell>
          <cell r="GR160">
            <v>2.4</v>
          </cell>
          <cell r="GS160">
            <v>2.5</v>
          </cell>
          <cell r="GT160">
            <v>-1.2</v>
          </cell>
          <cell r="GU160">
            <v>1.5</v>
          </cell>
          <cell r="GV160">
            <v>0.9</v>
          </cell>
          <cell r="GW160">
            <v>1.3</v>
          </cell>
          <cell r="GX160">
            <v>1.2</v>
          </cell>
          <cell r="GY160">
            <v>2</v>
          </cell>
          <cell r="GZ160">
            <v>1</v>
          </cell>
          <cell r="HA160">
            <v>1.2</v>
          </cell>
          <cell r="HB160">
            <v>0.5</v>
          </cell>
          <cell r="HC160">
            <v>0.7</v>
          </cell>
          <cell r="HD160">
            <v>1</v>
          </cell>
          <cell r="HE160">
            <v>-0.4</v>
          </cell>
          <cell r="HF160">
            <v>0.5</v>
          </cell>
          <cell r="HG160">
            <v>1.2</v>
          </cell>
          <cell r="HH160">
            <v>1.2</v>
          </cell>
          <cell r="HI160">
            <v>1.2</v>
          </cell>
          <cell r="HJ160">
            <v>1.2</v>
          </cell>
          <cell r="HK160">
            <v>0.9</v>
          </cell>
          <cell r="HL160">
            <v>13873</v>
          </cell>
          <cell r="HM160">
            <v>950</v>
          </cell>
          <cell r="HN160">
            <v>14052</v>
          </cell>
          <cell r="HO160">
            <v>1504</v>
          </cell>
          <cell r="HP160">
            <v>3570</v>
          </cell>
          <cell r="HQ160">
            <v>1135</v>
          </cell>
          <cell r="HR160">
            <v>3328</v>
          </cell>
          <cell r="HS160">
            <v>9076</v>
          </cell>
          <cell r="HT160">
            <v>1833</v>
          </cell>
          <cell r="HU160">
            <v>10556</v>
          </cell>
          <cell r="HV160">
            <v>5829</v>
          </cell>
          <cell r="HW160">
            <v>5190</v>
          </cell>
          <cell r="HX160">
            <v>3443</v>
          </cell>
          <cell r="HY160">
            <v>3910</v>
          </cell>
          <cell r="HZ160">
            <v>6161</v>
          </cell>
          <cell r="IA160">
            <v>23937</v>
          </cell>
          <cell r="IB160">
            <v>4386</v>
          </cell>
          <cell r="IC160">
            <v>226</v>
          </cell>
          <cell r="ID160">
            <v>3223</v>
          </cell>
          <cell r="IE160">
            <v>7725</v>
          </cell>
          <cell r="IF160">
            <v>3536</v>
          </cell>
          <cell r="IG160">
            <v>2600</v>
          </cell>
          <cell r="IH160">
            <v>7693</v>
          </cell>
          <cell r="II160">
            <v>13791</v>
          </cell>
          <cell r="IJ160">
            <v>9571</v>
          </cell>
          <cell r="IK160">
            <v>10012</v>
          </cell>
          <cell r="IL160">
            <v>6376</v>
          </cell>
          <cell r="IM160">
            <v>3552</v>
          </cell>
          <cell r="IN160">
            <v>1063</v>
          </cell>
          <cell r="IO160">
            <v>1887</v>
          </cell>
          <cell r="IP160">
            <v>4995</v>
          </cell>
          <cell r="IQ160">
            <v>11474</v>
          </cell>
        </row>
        <row r="161">
          <cell r="B161">
            <v>6215</v>
          </cell>
          <cell r="C161">
            <v>953</v>
          </cell>
          <cell r="D161">
            <v>7062</v>
          </cell>
          <cell r="E161">
            <v>1543</v>
          </cell>
          <cell r="F161">
            <v>3610</v>
          </cell>
          <cell r="G161">
            <v>1108</v>
          </cell>
          <cell r="H161">
            <v>3193</v>
          </cell>
          <cell r="I161">
            <v>9029</v>
          </cell>
          <cell r="J161">
            <v>1656</v>
          </cell>
          <cell r="K161">
            <v>10357</v>
          </cell>
          <cell r="L161">
            <v>5295</v>
          </cell>
          <cell r="M161">
            <v>5033</v>
          </cell>
          <cell r="N161">
            <v>3295</v>
          </cell>
          <cell r="O161">
            <v>3947</v>
          </cell>
          <cell r="P161">
            <v>6038</v>
          </cell>
          <cell r="Q161">
            <v>23063</v>
          </cell>
          <cell r="R161">
            <v>4521</v>
          </cell>
          <cell r="S161">
            <v>246</v>
          </cell>
          <cell r="T161">
            <v>3181</v>
          </cell>
          <cell r="U161">
            <v>7882</v>
          </cell>
          <cell r="V161">
            <v>3475</v>
          </cell>
          <cell r="W161">
            <v>2461</v>
          </cell>
          <cell r="X161">
            <v>7364</v>
          </cell>
          <cell r="Y161">
            <v>13232</v>
          </cell>
          <cell r="Z161">
            <v>9439</v>
          </cell>
          <cell r="AA161">
            <v>9200</v>
          </cell>
          <cell r="AB161">
            <v>6150</v>
          </cell>
          <cell r="AC161">
            <v>3340</v>
          </cell>
          <cell r="AD161">
            <v>1032</v>
          </cell>
          <cell r="AE161">
            <v>1860</v>
          </cell>
          <cell r="AF161">
            <v>4933</v>
          </cell>
          <cell r="AG161">
            <v>11157</v>
          </cell>
          <cell r="AH161">
            <v>2348</v>
          </cell>
          <cell r="AI161">
            <v>2667</v>
          </cell>
          <cell r="AJ161">
            <v>4968</v>
          </cell>
          <cell r="AK161">
            <v>8506</v>
          </cell>
          <cell r="AL161">
            <v>8222</v>
          </cell>
          <cell r="AM161">
            <v>15547</v>
          </cell>
          <cell r="AN161">
            <v>1183</v>
          </cell>
          <cell r="AO161">
            <v>5761</v>
          </cell>
          <cell r="AP161">
            <v>7018</v>
          </cell>
          <cell r="AQ161">
            <v>1291</v>
          </cell>
          <cell r="AR161">
            <v>11213</v>
          </cell>
          <cell r="AS161">
            <v>11449</v>
          </cell>
          <cell r="AT161">
            <v>6967</v>
          </cell>
          <cell r="AU161">
            <v>14468</v>
          </cell>
          <cell r="AV161">
            <v>13479</v>
          </cell>
          <cell r="AW161">
            <v>12129</v>
          </cell>
          <cell r="AX161">
            <v>1722</v>
          </cell>
          <cell r="AY161">
            <v>5098</v>
          </cell>
          <cell r="AZ161">
            <v>23964</v>
          </cell>
          <cell r="BA161">
            <v>210712</v>
          </cell>
          <cell r="BB161">
            <v>19133</v>
          </cell>
          <cell r="BC161">
            <v>52</v>
          </cell>
          <cell r="BD161">
            <v>229597</v>
          </cell>
          <cell r="BE161">
            <v>-2.1</v>
          </cell>
          <cell r="BF161">
            <v>0.6</v>
          </cell>
          <cell r="BG161">
            <v>-1.6</v>
          </cell>
          <cell r="BH161">
            <v>1.1000000000000001</v>
          </cell>
          <cell r="BI161">
            <v>0.4</v>
          </cell>
          <cell r="BJ161">
            <v>-1.6</v>
          </cell>
          <cell r="BK161">
            <v>-2.2000000000000002</v>
          </cell>
          <cell r="BL161">
            <v>-0.5</v>
          </cell>
          <cell r="BM161">
            <v>-2.4</v>
          </cell>
          <cell r="BN161">
            <v>-0.8</v>
          </cell>
          <cell r="BO161">
            <v>0.5</v>
          </cell>
          <cell r="BP161">
            <v>0.2</v>
          </cell>
          <cell r="BQ161">
            <v>-1.2</v>
          </cell>
          <cell r="BR161">
            <v>0.8</v>
          </cell>
          <cell r="BS161">
            <v>1.9</v>
          </cell>
          <cell r="BT161">
            <v>0.5</v>
          </cell>
          <cell r="BU161">
            <v>0.6</v>
          </cell>
          <cell r="BV161">
            <v>0.6</v>
          </cell>
          <cell r="BW161">
            <v>0.6</v>
          </cell>
          <cell r="BX161">
            <v>0.6</v>
          </cell>
          <cell r="BY161">
            <v>3.1</v>
          </cell>
          <cell r="BZ161">
            <v>-2.2000000000000002</v>
          </cell>
          <cell r="CA161">
            <v>-0.7</v>
          </cell>
          <cell r="CB161">
            <v>-0.4</v>
          </cell>
          <cell r="CC161">
            <v>3.2</v>
          </cell>
          <cell r="CD161">
            <v>1.1000000000000001</v>
          </cell>
          <cell r="CE161">
            <v>2.4</v>
          </cell>
          <cell r="CF161">
            <v>0.3</v>
          </cell>
          <cell r="CG161">
            <v>0.3</v>
          </cell>
          <cell r="CH161">
            <v>0.6</v>
          </cell>
          <cell r="CI161">
            <v>1.2</v>
          </cell>
          <cell r="CJ161">
            <v>0.9</v>
          </cell>
          <cell r="CK161">
            <v>1.7</v>
          </cell>
          <cell r="CL161">
            <v>2.1</v>
          </cell>
          <cell r="CM161">
            <v>1.8</v>
          </cell>
          <cell r="CN161">
            <v>3.9</v>
          </cell>
          <cell r="CO161">
            <v>-2.5</v>
          </cell>
          <cell r="CP161">
            <v>2.2000000000000002</v>
          </cell>
          <cell r="CQ161">
            <v>1.4</v>
          </cell>
          <cell r="CR161">
            <v>2.9</v>
          </cell>
          <cell r="CS161">
            <v>2.5</v>
          </cell>
          <cell r="CT161">
            <v>3.5</v>
          </cell>
          <cell r="CU161">
            <v>2.1</v>
          </cell>
          <cell r="CV161">
            <v>2.5</v>
          </cell>
          <cell r="CW161">
            <v>2.8</v>
          </cell>
          <cell r="CX161">
            <v>1.8</v>
          </cell>
          <cell r="CY161">
            <v>0.8</v>
          </cell>
          <cell r="CZ161">
            <v>0</v>
          </cell>
          <cell r="DA161">
            <v>0.6</v>
          </cell>
          <cell r="DB161">
            <v>1.1000000000000001</v>
          </cell>
          <cell r="DC161">
            <v>0.9</v>
          </cell>
          <cell r="DD161">
            <v>1.1000000000000001</v>
          </cell>
          <cell r="DE161">
            <v>1.5</v>
          </cell>
          <cell r="DF161">
            <v>1.3</v>
          </cell>
          <cell r="DG161">
            <v>5690</v>
          </cell>
          <cell r="DH161">
            <v>943</v>
          </cell>
          <cell r="DI161">
            <v>6567</v>
          </cell>
          <cell r="DJ161">
            <v>1486</v>
          </cell>
          <cell r="DK161">
            <v>3553</v>
          </cell>
          <cell r="DL161">
            <v>1097</v>
          </cell>
          <cell r="DM161">
            <v>3165</v>
          </cell>
          <cell r="DN161">
            <v>8866</v>
          </cell>
          <cell r="DO161">
            <v>1649</v>
          </cell>
          <cell r="DP161">
            <v>10188</v>
          </cell>
          <cell r="DQ161">
            <v>5194</v>
          </cell>
          <cell r="DR161">
            <v>4988</v>
          </cell>
          <cell r="DS161">
            <v>3215</v>
          </cell>
          <cell r="DT161">
            <v>4003</v>
          </cell>
          <cell r="DU161">
            <v>6024</v>
          </cell>
          <cell r="DV161">
            <v>22883</v>
          </cell>
          <cell r="DW161">
            <v>4472</v>
          </cell>
          <cell r="DX161">
            <v>246</v>
          </cell>
          <cell r="DY161">
            <v>3219</v>
          </cell>
          <cell r="DZ161">
            <v>7857</v>
          </cell>
          <cell r="EA161">
            <v>3601</v>
          </cell>
          <cell r="EB161">
            <v>2378</v>
          </cell>
          <cell r="EC161">
            <v>7382</v>
          </cell>
          <cell r="ED161">
            <v>13267</v>
          </cell>
          <cell r="EE161">
            <v>9285</v>
          </cell>
          <cell r="EF161">
            <v>9243</v>
          </cell>
          <cell r="EG161">
            <v>6205</v>
          </cell>
          <cell r="EH161">
            <v>3262</v>
          </cell>
          <cell r="EI161">
            <v>1035</v>
          </cell>
          <cell r="EJ161">
            <v>1873</v>
          </cell>
          <cell r="EK161">
            <v>4914</v>
          </cell>
          <cell r="EL161">
            <v>11087</v>
          </cell>
          <cell r="EM161">
            <v>2268</v>
          </cell>
          <cell r="EN161">
            <v>2670</v>
          </cell>
          <cell r="EO161">
            <v>4873</v>
          </cell>
          <cell r="EP161">
            <v>8491</v>
          </cell>
          <cell r="EQ161">
            <v>8191</v>
          </cell>
          <cell r="ER161">
            <v>15512</v>
          </cell>
          <cell r="ES161">
            <v>1195</v>
          </cell>
          <cell r="ET161">
            <v>5810</v>
          </cell>
          <cell r="EU161">
            <v>7082</v>
          </cell>
          <cell r="EV161">
            <v>1303</v>
          </cell>
          <cell r="EW161">
            <v>11320</v>
          </cell>
          <cell r="EX161">
            <v>11554</v>
          </cell>
          <cell r="EY161">
            <v>7024</v>
          </cell>
          <cell r="EZ161">
            <v>14884</v>
          </cell>
          <cell r="FA161">
            <v>13479</v>
          </cell>
          <cell r="FB161">
            <v>11923</v>
          </cell>
          <cell r="FC161">
            <v>1715</v>
          </cell>
          <cell r="FD161">
            <v>5105</v>
          </cell>
          <cell r="FE161">
            <v>23973</v>
          </cell>
          <cell r="FF161">
            <v>209791</v>
          </cell>
          <cell r="FG161">
            <v>18735</v>
          </cell>
          <cell r="FH161">
            <v>-148</v>
          </cell>
          <cell r="FI161">
            <v>228095</v>
          </cell>
          <cell r="FJ161">
            <v>-17.600000000000001</v>
          </cell>
          <cell r="FK161">
            <v>-0.5</v>
          </cell>
          <cell r="FL161">
            <v>-14.6</v>
          </cell>
          <cell r="FM161">
            <v>-3.7</v>
          </cell>
          <cell r="FN161">
            <v>-2.5</v>
          </cell>
          <cell r="FO161">
            <v>-2.2000000000000002</v>
          </cell>
          <cell r="FP161">
            <v>-3.6</v>
          </cell>
          <cell r="FQ161">
            <v>-3.2</v>
          </cell>
          <cell r="FR161">
            <v>-4.7</v>
          </cell>
          <cell r="FS161">
            <v>-3.4</v>
          </cell>
          <cell r="FT161">
            <v>-4.3</v>
          </cell>
          <cell r="FU161">
            <v>-4</v>
          </cell>
          <cell r="FV161">
            <v>-4.8</v>
          </cell>
          <cell r="FW161">
            <v>5.4</v>
          </cell>
          <cell r="FX161">
            <v>1.7</v>
          </cell>
          <cell r="FY161">
            <v>-1</v>
          </cell>
          <cell r="FZ161">
            <v>-0.9</v>
          </cell>
          <cell r="GA161">
            <v>0.9</v>
          </cell>
          <cell r="GB161">
            <v>2.9</v>
          </cell>
          <cell r="GC161">
            <v>0.4</v>
          </cell>
          <cell r="GD161">
            <v>8.5</v>
          </cell>
          <cell r="GE161">
            <v>-3.8</v>
          </cell>
          <cell r="GF161">
            <v>0.7</v>
          </cell>
          <cell r="GG161">
            <v>1.3</v>
          </cell>
          <cell r="GH161">
            <v>0.9</v>
          </cell>
          <cell r="GI161">
            <v>1.9</v>
          </cell>
          <cell r="GJ161">
            <v>3.7</v>
          </cell>
          <cell r="GK161">
            <v>-4.4000000000000004</v>
          </cell>
          <cell r="GL161">
            <v>0.4</v>
          </cell>
          <cell r="GM161">
            <v>1.4</v>
          </cell>
          <cell r="GN161">
            <v>0.3</v>
          </cell>
          <cell r="GO161">
            <v>-0.5</v>
          </cell>
          <cell r="GP161">
            <v>-3.2</v>
          </cell>
          <cell r="GQ161">
            <v>1.9</v>
          </cell>
          <cell r="GR161">
            <v>-1.1000000000000001</v>
          </cell>
          <cell r="GS161">
            <v>3.9</v>
          </cell>
          <cell r="GT161">
            <v>-3</v>
          </cell>
          <cell r="GU161">
            <v>2.1</v>
          </cell>
          <cell r="GV161">
            <v>3.3</v>
          </cell>
          <cell r="GW161">
            <v>4.8</v>
          </cell>
          <cell r="GX161">
            <v>4.4000000000000004</v>
          </cell>
          <cell r="GY161">
            <v>5.4</v>
          </cell>
          <cell r="GZ161">
            <v>4.0999999999999996</v>
          </cell>
          <cell r="HA161">
            <v>4.4000000000000004</v>
          </cell>
          <cell r="HB161">
            <v>4.5999999999999996</v>
          </cell>
          <cell r="HC161">
            <v>6.3</v>
          </cell>
          <cell r="HD161">
            <v>0.8</v>
          </cell>
          <cell r="HE161">
            <v>-1.2</v>
          </cell>
          <cell r="HF161">
            <v>-0.1</v>
          </cell>
          <cell r="HG161">
            <v>1.3</v>
          </cell>
          <cell r="HH161">
            <v>0.9</v>
          </cell>
          <cell r="HI161">
            <v>0.4</v>
          </cell>
          <cell r="HJ161">
            <v>-1.6</v>
          </cell>
          <cell r="HK161">
            <v>0.6</v>
          </cell>
          <cell r="HL161">
            <v>3786</v>
          </cell>
          <cell r="HM161">
            <v>938</v>
          </cell>
          <cell r="HN161">
            <v>4825</v>
          </cell>
          <cell r="HO161">
            <v>1464</v>
          </cell>
          <cell r="HP161">
            <v>3411</v>
          </cell>
          <cell r="HQ161">
            <v>1054</v>
          </cell>
          <cell r="HR161">
            <v>3062</v>
          </cell>
          <cell r="HS161">
            <v>8582</v>
          </cell>
          <cell r="HT161">
            <v>1427</v>
          </cell>
          <cell r="HU161">
            <v>9711</v>
          </cell>
          <cell r="HV161">
            <v>5011</v>
          </cell>
          <cell r="HW161">
            <v>4906</v>
          </cell>
          <cell r="HX161">
            <v>3023</v>
          </cell>
          <cell r="HY161">
            <v>3781</v>
          </cell>
          <cell r="HZ161">
            <v>5716</v>
          </cell>
          <cell r="IA161">
            <v>21823</v>
          </cell>
          <cell r="IB161">
            <v>4406</v>
          </cell>
          <cell r="IC161">
            <v>209</v>
          </cell>
          <cell r="ID161">
            <v>3360</v>
          </cell>
          <cell r="IE161">
            <v>7817</v>
          </cell>
          <cell r="IF161">
            <v>3274</v>
          </cell>
          <cell r="IG161">
            <v>2278</v>
          </cell>
          <cell r="IH161">
            <v>6780</v>
          </cell>
          <cell r="II161">
            <v>12270</v>
          </cell>
          <cell r="IJ161">
            <v>8835</v>
          </cell>
          <cell r="IK161">
            <v>8762</v>
          </cell>
          <cell r="IL161">
            <v>6112</v>
          </cell>
          <cell r="IM161">
            <v>3179</v>
          </cell>
          <cell r="IN161">
            <v>1005</v>
          </cell>
          <cell r="IO161">
            <v>1810</v>
          </cell>
          <cell r="IP161">
            <v>4817</v>
          </cell>
          <cell r="IQ161">
            <v>10809</v>
          </cell>
        </row>
        <row r="162">
          <cell r="B162">
            <v>6066</v>
          </cell>
          <cell r="C162">
            <v>957</v>
          </cell>
          <cell r="D162">
            <v>6933</v>
          </cell>
          <cell r="E162">
            <v>1557</v>
          </cell>
          <cell r="F162">
            <v>3705</v>
          </cell>
          <cell r="G162">
            <v>1114</v>
          </cell>
          <cell r="H162">
            <v>3218</v>
          </cell>
          <cell r="I162">
            <v>9158</v>
          </cell>
          <cell r="J162">
            <v>1566</v>
          </cell>
          <cell r="K162">
            <v>10413</v>
          </cell>
          <cell r="L162">
            <v>5386</v>
          </cell>
          <cell r="M162">
            <v>5051</v>
          </cell>
          <cell r="N162">
            <v>3244</v>
          </cell>
          <cell r="O162">
            <v>4000</v>
          </cell>
          <cell r="P162">
            <v>6122</v>
          </cell>
          <cell r="Q162">
            <v>23229</v>
          </cell>
          <cell r="R162">
            <v>4603</v>
          </cell>
          <cell r="S162">
            <v>248</v>
          </cell>
          <cell r="T162">
            <v>3201</v>
          </cell>
          <cell r="U162">
            <v>7989</v>
          </cell>
          <cell r="V162">
            <v>3592</v>
          </cell>
          <cell r="W162">
            <v>2501</v>
          </cell>
          <cell r="X162">
            <v>7319</v>
          </cell>
          <cell r="Y162">
            <v>13344</v>
          </cell>
          <cell r="Z162">
            <v>9712</v>
          </cell>
          <cell r="AA162">
            <v>9290</v>
          </cell>
          <cell r="AB162">
            <v>6266</v>
          </cell>
          <cell r="AC162">
            <v>3371</v>
          </cell>
          <cell r="AD162">
            <v>1030</v>
          </cell>
          <cell r="AE162">
            <v>1865</v>
          </cell>
          <cell r="AF162">
            <v>4976</v>
          </cell>
          <cell r="AG162">
            <v>11233</v>
          </cell>
          <cell r="AH162">
            <v>2431</v>
          </cell>
          <cell r="AI162">
            <v>2743</v>
          </cell>
          <cell r="AJ162">
            <v>5129</v>
          </cell>
          <cell r="AK162">
            <v>8900</v>
          </cell>
          <cell r="AL162">
            <v>7840</v>
          </cell>
          <cell r="AM162">
            <v>15890</v>
          </cell>
          <cell r="AN162">
            <v>1184</v>
          </cell>
          <cell r="AO162">
            <v>5931</v>
          </cell>
          <cell r="AP162">
            <v>7169</v>
          </cell>
          <cell r="AQ162">
            <v>1337</v>
          </cell>
          <cell r="AR162">
            <v>11392</v>
          </cell>
          <cell r="AS162">
            <v>11688</v>
          </cell>
          <cell r="AT162">
            <v>7210</v>
          </cell>
          <cell r="AU162">
            <v>14380</v>
          </cell>
          <cell r="AV162">
            <v>13557</v>
          </cell>
          <cell r="AW162">
            <v>12212</v>
          </cell>
          <cell r="AX162">
            <v>1743</v>
          </cell>
          <cell r="AY162">
            <v>5131</v>
          </cell>
          <cell r="AZ162">
            <v>24126</v>
          </cell>
          <cell r="BA162">
            <v>213015</v>
          </cell>
          <cell r="BB162">
            <v>19654</v>
          </cell>
          <cell r="BC162">
            <v>602</v>
          </cell>
          <cell r="BD162">
            <v>232955</v>
          </cell>
          <cell r="BE162">
            <v>-2.4</v>
          </cell>
          <cell r="BF162">
            <v>0.4</v>
          </cell>
          <cell r="BG162">
            <v>-1.8</v>
          </cell>
          <cell r="BH162">
            <v>0.9</v>
          </cell>
          <cell r="BI162">
            <v>2.6</v>
          </cell>
          <cell r="BJ162">
            <v>0.6</v>
          </cell>
          <cell r="BK162">
            <v>0.8</v>
          </cell>
          <cell r="BL162">
            <v>1.4</v>
          </cell>
          <cell r="BM162">
            <v>-5.5</v>
          </cell>
          <cell r="BN162">
            <v>0.5</v>
          </cell>
          <cell r="BO162">
            <v>1.7</v>
          </cell>
          <cell r="BP162">
            <v>0.3</v>
          </cell>
          <cell r="BQ162">
            <v>-1.5</v>
          </cell>
          <cell r="BR162">
            <v>1.3</v>
          </cell>
          <cell r="BS162">
            <v>1.4</v>
          </cell>
          <cell r="BT162">
            <v>0.7</v>
          </cell>
          <cell r="BU162">
            <v>1.8</v>
          </cell>
          <cell r="BV162">
            <v>0.5</v>
          </cell>
          <cell r="BW162">
            <v>0.6</v>
          </cell>
          <cell r="BX162">
            <v>1.4</v>
          </cell>
          <cell r="BY162">
            <v>3.3</v>
          </cell>
          <cell r="BZ162">
            <v>1.6</v>
          </cell>
          <cell r="CA162">
            <v>-0.6</v>
          </cell>
          <cell r="CB162">
            <v>0.8</v>
          </cell>
          <cell r="CC162">
            <v>2.9</v>
          </cell>
          <cell r="CD162">
            <v>1</v>
          </cell>
          <cell r="CE162">
            <v>1.9</v>
          </cell>
          <cell r="CF162">
            <v>1</v>
          </cell>
          <cell r="CG162">
            <v>-0.2</v>
          </cell>
          <cell r="CH162">
            <v>0.3</v>
          </cell>
          <cell r="CI162">
            <v>0.9</v>
          </cell>
          <cell r="CJ162">
            <v>0.7</v>
          </cell>
          <cell r="CK162">
            <v>3.5</v>
          </cell>
          <cell r="CL162">
            <v>2.8</v>
          </cell>
          <cell r="CM162">
            <v>3.2</v>
          </cell>
          <cell r="CN162">
            <v>4.5999999999999996</v>
          </cell>
          <cell r="CO162">
            <v>-4.7</v>
          </cell>
          <cell r="CP162">
            <v>2.2000000000000002</v>
          </cell>
          <cell r="CQ162">
            <v>0.1</v>
          </cell>
          <cell r="CR162">
            <v>3</v>
          </cell>
          <cell r="CS162">
            <v>2.1</v>
          </cell>
          <cell r="CT162">
            <v>3.5</v>
          </cell>
          <cell r="CU162">
            <v>1.6</v>
          </cell>
          <cell r="CV162">
            <v>2.1</v>
          </cell>
          <cell r="CW162">
            <v>3.5</v>
          </cell>
          <cell r="CX162">
            <v>-0.6</v>
          </cell>
          <cell r="CY162">
            <v>0.6</v>
          </cell>
          <cell r="CZ162">
            <v>0.7</v>
          </cell>
          <cell r="DA162">
            <v>1.2</v>
          </cell>
          <cell r="DB162">
            <v>0.7</v>
          </cell>
          <cell r="DC162">
            <v>0.7</v>
          </cell>
          <cell r="DD162">
            <v>1.1000000000000001</v>
          </cell>
          <cell r="DE162">
            <v>2.7</v>
          </cell>
          <cell r="DF162">
            <v>1.5</v>
          </cell>
          <cell r="DG162">
            <v>6234</v>
          </cell>
          <cell r="DH162">
            <v>946</v>
          </cell>
          <cell r="DI162">
            <v>7069</v>
          </cell>
          <cell r="DJ162">
            <v>1601</v>
          </cell>
          <cell r="DK162">
            <v>3679</v>
          </cell>
          <cell r="DL162">
            <v>1131</v>
          </cell>
          <cell r="DM162">
            <v>3218</v>
          </cell>
          <cell r="DN162">
            <v>9207</v>
          </cell>
          <cell r="DO162">
            <v>1645</v>
          </cell>
          <cell r="DP162">
            <v>10523</v>
          </cell>
          <cell r="DQ162">
            <v>5277</v>
          </cell>
          <cell r="DR162">
            <v>4999</v>
          </cell>
          <cell r="DS162">
            <v>3265</v>
          </cell>
          <cell r="DT162">
            <v>4019</v>
          </cell>
          <cell r="DU162">
            <v>6191</v>
          </cell>
          <cell r="DV162">
            <v>23208</v>
          </cell>
          <cell r="DW162">
            <v>4623</v>
          </cell>
          <cell r="DX162">
            <v>251</v>
          </cell>
          <cell r="DY162">
            <v>3206</v>
          </cell>
          <cell r="DZ162">
            <v>8021</v>
          </cell>
          <cell r="EA162">
            <v>3481</v>
          </cell>
          <cell r="EB162">
            <v>2610</v>
          </cell>
          <cell r="EC162">
            <v>7383</v>
          </cell>
          <cell r="ED162">
            <v>13422</v>
          </cell>
          <cell r="EE162">
            <v>9823</v>
          </cell>
          <cell r="EF162">
            <v>9250</v>
          </cell>
          <cell r="EG162">
            <v>6229</v>
          </cell>
          <cell r="EH162">
            <v>3373</v>
          </cell>
          <cell r="EI162">
            <v>1023</v>
          </cell>
          <cell r="EJ162">
            <v>1866</v>
          </cell>
          <cell r="EK162">
            <v>4991</v>
          </cell>
          <cell r="EL162">
            <v>11271</v>
          </cell>
          <cell r="EM162">
            <v>2463</v>
          </cell>
          <cell r="EN162">
            <v>2726</v>
          </cell>
          <cell r="EO162">
            <v>5154</v>
          </cell>
          <cell r="EP162">
            <v>8896</v>
          </cell>
          <cell r="EQ162">
            <v>7918</v>
          </cell>
          <cell r="ER162">
            <v>15928</v>
          </cell>
          <cell r="ES162">
            <v>1180</v>
          </cell>
          <cell r="ET162">
            <v>5892</v>
          </cell>
          <cell r="EU162">
            <v>7129</v>
          </cell>
          <cell r="EV162">
            <v>1328</v>
          </cell>
          <cell r="EW162">
            <v>11349</v>
          </cell>
          <cell r="EX162">
            <v>11636</v>
          </cell>
          <cell r="EY162">
            <v>7160</v>
          </cell>
          <cell r="EZ162">
            <v>14334</v>
          </cell>
          <cell r="FA162">
            <v>13567</v>
          </cell>
          <cell r="FB162">
            <v>12831</v>
          </cell>
          <cell r="FC162">
            <v>1741</v>
          </cell>
          <cell r="FD162">
            <v>5130</v>
          </cell>
          <cell r="FE162">
            <v>24120</v>
          </cell>
          <cell r="FF162">
            <v>213937</v>
          </cell>
          <cell r="FG162">
            <v>19818</v>
          </cell>
          <cell r="FH162">
            <v>1417</v>
          </cell>
          <cell r="FI162">
            <v>234847</v>
          </cell>
          <cell r="FJ162">
            <v>9.6</v>
          </cell>
          <cell r="FK162">
            <v>0.3</v>
          </cell>
          <cell r="FL162">
            <v>7.6</v>
          </cell>
          <cell r="FM162">
            <v>7.8</v>
          </cell>
          <cell r="FN162">
            <v>3.5</v>
          </cell>
          <cell r="FO162">
            <v>3</v>
          </cell>
          <cell r="FP162">
            <v>1.7</v>
          </cell>
          <cell r="FQ162">
            <v>3.8</v>
          </cell>
          <cell r="FR162">
            <v>-0.2</v>
          </cell>
          <cell r="FS162">
            <v>3.3</v>
          </cell>
          <cell r="FT162">
            <v>1.6</v>
          </cell>
          <cell r="FU162">
            <v>0.2</v>
          </cell>
          <cell r="FV162">
            <v>1.5</v>
          </cell>
          <cell r="FW162">
            <v>0.4</v>
          </cell>
          <cell r="FX162">
            <v>2.8</v>
          </cell>
          <cell r="FY162">
            <v>1.4</v>
          </cell>
          <cell r="FZ162">
            <v>3.4</v>
          </cell>
          <cell r="GA162">
            <v>2</v>
          </cell>
          <cell r="GB162">
            <v>-0.4</v>
          </cell>
          <cell r="GC162">
            <v>2.1</v>
          </cell>
          <cell r="GD162">
            <v>-3.3</v>
          </cell>
          <cell r="GE162">
            <v>9.6999999999999993</v>
          </cell>
          <cell r="GF162">
            <v>0</v>
          </cell>
          <cell r="GG162">
            <v>1.2</v>
          </cell>
          <cell r="GH162">
            <v>5.8</v>
          </cell>
          <cell r="GI162">
            <v>0.1</v>
          </cell>
          <cell r="GJ162">
            <v>0.4</v>
          </cell>
          <cell r="GK162">
            <v>3.4</v>
          </cell>
          <cell r="GL162">
            <v>-1.1000000000000001</v>
          </cell>
          <cell r="GM162">
            <v>-0.4</v>
          </cell>
          <cell r="GN162">
            <v>1.6</v>
          </cell>
          <cell r="GO162">
            <v>1.7</v>
          </cell>
          <cell r="GP162">
            <v>8.6</v>
          </cell>
          <cell r="GQ162">
            <v>2.1</v>
          </cell>
          <cell r="GR162">
            <v>5.8</v>
          </cell>
          <cell r="GS162">
            <v>4.8</v>
          </cell>
          <cell r="GT162">
            <v>-3.3</v>
          </cell>
          <cell r="GU162">
            <v>2.7</v>
          </cell>
          <cell r="GV162">
            <v>-1.2</v>
          </cell>
          <cell r="GW162">
            <v>1.4</v>
          </cell>
          <cell r="GX162">
            <v>0.7</v>
          </cell>
          <cell r="GY162">
            <v>2</v>
          </cell>
          <cell r="GZ162">
            <v>0.3</v>
          </cell>
          <cell r="HA162">
            <v>0.7</v>
          </cell>
          <cell r="HB162">
            <v>1.9</v>
          </cell>
          <cell r="HC162">
            <v>-3.7</v>
          </cell>
          <cell r="HD162">
            <v>0.7</v>
          </cell>
          <cell r="HE162">
            <v>7.6</v>
          </cell>
          <cell r="HF162">
            <v>1.5</v>
          </cell>
          <cell r="HG162">
            <v>0.5</v>
          </cell>
          <cell r="HH162">
            <v>0.6</v>
          </cell>
          <cell r="HI162">
            <v>2</v>
          </cell>
          <cell r="HJ162">
            <v>5.8</v>
          </cell>
          <cell r="HK162">
            <v>3</v>
          </cell>
          <cell r="HL162">
            <v>4126</v>
          </cell>
          <cell r="HM162">
            <v>942</v>
          </cell>
          <cell r="HN162">
            <v>5153</v>
          </cell>
          <cell r="HO162">
            <v>1585</v>
          </cell>
          <cell r="HP162">
            <v>3702</v>
          </cell>
          <cell r="HQ162">
            <v>1126</v>
          </cell>
          <cell r="HR162">
            <v>3238</v>
          </cell>
          <cell r="HS162">
            <v>9218</v>
          </cell>
          <cell r="HT162">
            <v>1742</v>
          </cell>
          <cell r="HU162">
            <v>10617</v>
          </cell>
          <cell r="HV162">
            <v>5055</v>
          </cell>
          <cell r="HW162">
            <v>4978</v>
          </cell>
          <cell r="HX162">
            <v>3274</v>
          </cell>
          <cell r="HY162">
            <v>3996</v>
          </cell>
          <cell r="HZ162">
            <v>6092</v>
          </cell>
          <cell r="IA162">
            <v>22881</v>
          </cell>
          <cell r="IB162">
            <v>4610</v>
          </cell>
          <cell r="IC162">
            <v>266</v>
          </cell>
          <cell r="ID162">
            <v>3082</v>
          </cell>
          <cell r="IE162">
            <v>7942</v>
          </cell>
          <cell r="IF162">
            <v>3479</v>
          </cell>
          <cell r="IG162">
            <v>2517</v>
          </cell>
          <cell r="IH162">
            <v>7676</v>
          </cell>
          <cell r="II162">
            <v>13628</v>
          </cell>
          <cell r="IJ162">
            <v>9894</v>
          </cell>
          <cell r="IK162">
            <v>9002</v>
          </cell>
          <cell r="IL162">
            <v>5976</v>
          </cell>
          <cell r="IM162">
            <v>3332</v>
          </cell>
          <cell r="IN162">
            <v>974</v>
          </cell>
          <cell r="IO162">
            <v>1852</v>
          </cell>
          <cell r="IP162">
            <v>4972</v>
          </cell>
          <cell r="IQ162">
            <v>11104</v>
          </cell>
        </row>
        <row r="163">
          <cell r="B163">
            <v>6067</v>
          </cell>
          <cell r="C163">
            <v>976</v>
          </cell>
          <cell r="D163">
            <v>6966</v>
          </cell>
          <cell r="E163">
            <v>1570</v>
          </cell>
          <cell r="F163">
            <v>3784</v>
          </cell>
          <cell r="G163">
            <v>1154</v>
          </cell>
          <cell r="H163">
            <v>3301</v>
          </cell>
          <cell r="I163">
            <v>9345</v>
          </cell>
          <cell r="J163">
            <v>1534</v>
          </cell>
          <cell r="K163">
            <v>10574</v>
          </cell>
          <cell r="L163">
            <v>5535</v>
          </cell>
          <cell r="M163">
            <v>5067</v>
          </cell>
          <cell r="N163">
            <v>3264</v>
          </cell>
          <cell r="O163">
            <v>4061</v>
          </cell>
          <cell r="P163">
            <v>6105</v>
          </cell>
          <cell r="Q163">
            <v>23470</v>
          </cell>
          <cell r="R163">
            <v>4700</v>
          </cell>
          <cell r="S163">
            <v>251</v>
          </cell>
          <cell r="T163">
            <v>3231</v>
          </cell>
          <cell r="U163">
            <v>8124</v>
          </cell>
          <cell r="V163">
            <v>3758</v>
          </cell>
          <cell r="W163">
            <v>2669</v>
          </cell>
          <cell r="X163">
            <v>7434</v>
          </cell>
          <cell r="Y163">
            <v>13816</v>
          </cell>
          <cell r="Z163">
            <v>9863</v>
          </cell>
          <cell r="AA163">
            <v>9364</v>
          </cell>
          <cell r="AB163">
            <v>6300</v>
          </cell>
          <cell r="AC163">
            <v>3429</v>
          </cell>
          <cell r="AD163">
            <v>1025</v>
          </cell>
          <cell r="AE163">
            <v>1854</v>
          </cell>
          <cell r="AF163">
            <v>5002</v>
          </cell>
          <cell r="AG163">
            <v>11278</v>
          </cell>
          <cell r="AH163">
            <v>2502</v>
          </cell>
          <cell r="AI163">
            <v>2808</v>
          </cell>
          <cell r="AJ163">
            <v>5270</v>
          </cell>
          <cell r="AK163">
            <v>9305</v>
          </cell>
          <cell r="AL163">
            <v>7374</v>
          </cell>
          <cell r="AM163">
            <v>16190</v>
          </cell>
          <cell r="AN163">
            <v>1162</v>
          </cell>
          <cell r="AO163">
            <v>6024</v>
          </cell>
          <cell r="AP163">
            <v>7214</v>
          </cell>
          <cell r="AQ163">
            <v>1368</v>
          </cell>
          <cell r="AR163">
            <v>11415</v>
          </cell>
          <cell r="AS163">
            <v>11778</v>
          </cell>
          <cell r="AT163">
            <v>7400</v>
          </cell>
          <cell r="AU163">
            <v>14280</v>
          </cell>
          <cell r="AV163">
            <v>13626</v>
          </cell>
          <cell r="AW163">
            <v>12421</v>
          </cell>
          <cell r="AX163">
            <v>1769</v>
          </cell>
          <cell r="AY163">
            <v>5146</v>
          </cell>
          <cell r="AZ163">
            <v>24266</v>
          </cell>
          <cell r="BA163">
            <v>215565</v>
          </cell>
          <cell r="BB163">
            <v>20123</v>
          </cell>
          <cell r="BC163">
            <v>598</v>
          </cell>
          <cell r="BD163">
            <v>235961</v>
          </cell>
          <cell r="BE163">
            <v>0</v>
          </cell>
          <cell r="BF163">
            <v>2</v>
          </cell>
          <cell r="BG163">
            <v>0.5</v>
          </cell>
          <cell r="BH163">
            <v>0.8</v>
          </cell>
          <cell r="BI163">
            <v>2.1</v>
          </cell>
          <cell r="BJ163">
            <v>3.6</v>
          </cell>
          <cell r="BK163">
            <v>2.6</v>
          </cell>
          <cell r="BL163">
            <v>2</v>
          </cell>
          <cell r="BM163">
            <v>-2</v>
          </cell>
          <cell r="BN163">
            <v>1.5</v>
          </cell>
          <cell r="BO163">
            <v>2.8</v>
          </cell>
          <cell r="BP163">
            <v>0.3</v>
          </cell>
          <cell r="BQ163">
            <v>0.6</v>
          </cell>
          <cell r="BR163">
            <v>1.5</v>
          </cell>
          <cell r="BS163">
            <v>-0.3</v>
          </cell>
          <cell r="BT163">
            <v>1</v>
          </cell>
          <cell r="BU163">
            <v>2.1</v>
          </cell>
          <cell r="BV163">
            <v>1.3</v>
          </cell>
          <cell r="BW163">
            <v>0.9</v>
          </cell>
          <cell r="BX163">
            <v>1.7</v>
          </cell>
          <cell r="BY163">
            <v>4.5999999999999996</v>
          </cell>
          <cell r="BZ163">
            <v>6.7</v>
          </cell>
          <cell r="CA163">
            <v>1.6</v>
          </cell>
          <cell r="CB163">
            <v>3.5</v>
          </cell>
          <cell r="CC163">
            <v>1.6</v>
          </cell>
          <cell r="CD163">
            <v>0.8</v>
          </cell>
          <cell r="CE163">
            <v>0.5</v>
          </cell>
          <cell r="CF163">
            <v>1.7</v>
          </cell>
          <cell r="CG163">
            <v>-0.5</v>
          </cell>
          <cell r="CH163">
            <v>-0.6</v>
          </cell>
          <cell r="CI163">
            <v>0.5</v>
          </cell>
          <cell r="CJ163">
            <v>0.4</v>
          </cell>
          <cell r="CK163">
            <v>3</v>
          </cell>
          <cell r="CL163">
            <v>2.4</v>
          </cell>
          <cell r="CM163">
            <v>2.8</v>
          </cell>
          <cell r="CN163">
            <v>4.5999999999999996</v>
          </cell>
          <cell r="CO163">
            <v>-5.9</v>
          </cell>
          <cell r="CP163">
            <v>1.9</v>
          </cell>
          <cell r="CQ163">
            <v>-1.8</v>
          </cell>
          <cell r="CR163">
            <v>1.6</v>
          </cell>
          <cell r="CS163">
            <v>0.6</v>
          </cell>
          <cell r="CT163">
            <v>2.2999999999999998</v>
          </cell>
          <cell r="CU163">
            <v>0.2</v>
          </cell>
          <cell r="CV163">
            <v>0.8</v>
          </cell>
          <cell r="CW163">
            <v>2.6</v>
          </cell>
          <cell r="CX163">
            <v>-0.7</v>
          </cell>
          <cell r="CY163">
            <v>0.5</v>
          </cell>
          <cell r="CZ163">
            <v>1.7</v>
          </cell>
          <cell r="DA163">
            <v>1.5</v>
          </cell>
          <cell r="DB163">
            <v>0.3</v>
          </cell>
          <cell r="DC163">
            <v>0.6</v>
          </cell>
          <cell r="DD163">
            <v>1.2</v>
          </cell>
          <cell r="DE163">
            <v>2.4</v>
          </cell>
          <cell r="DF163">
            <v>1.3</v>
          </cell>
          <cell r="DG163">
            <v>6030</v>
          </cell>
          <cell r="DH163">
            <v>987</v>
          </cell>
          <cell r="DI163">
            <v>6951</v>
          </cell>
          <cell r="DJ163">
            <v>1564</v>
          </cell>
          <cell r="DK163">
            <v>3832</v>
          </cell>
          <cell r="DL163">
            <v>1124</v>
          </cell>
          <cell r="DM163">
            <v>3283</v>
          </cell>
          <cell r="DN163">
            <v>9348</v>
          </cell>
          <cell r="DO163">
            <v>1387</v>
          </cell>
          <cell r="DP163">
            <v>10463</v>
          </cell>
          <cell r="DQ163">
            <v>5707</v>
          </cell>
          <cell r="DR163">
            <v>5109</v>
          </cell>
          <cell r="DS163">
            <v>3286</v>
          </cell>
          <cell r="DT163">
            <v>4020</v>
          </cell>
          <cell r="DU163">
            <v>6050</v>
          </cell>
          <cell r="DV163">
            <v>23587</v>
          </cell>
          <cell r="DW163">
            <v>4700</v>
          </cell>
          <cell r="DX163">
            <v>247</v>
          </cell>
          <cell r="DY163">
            <v>3194</v>
          </cell>
          <cell r="DZ163">
            <v>8087</v>
          </cell>
          <cell r="EA163">
            <v>3758</v>
          </cell>
          <cell r="EB163">
            <v>2584</v>
          </cell>
          <cell r="EC163">
            <v>7308</v>
          </cell>
          <cell r="ED163">
            <v>13608</v>
          </cell>
          <cell r="EE163">
            <v>9964</v>
          </cell>
          <cell r="EF163">
            <v>9390</v>
          </cell>
          <cell r="EG163">
            <v>6321</v>
          </cell>
          <cell r="EH163">
            <v>3451</v>
          </cell>
          <cell r="EI163">
            <v>1032</v>
          </cell>
          <cell r="EJ163">
            <v>1844</v>
          </cell>
          <cell r="EK163">
            <v>4992</v>
          </cell>
          <cell r="EL163">
            <v>11274</v>
          </cell>
          <cell r="EM163">
            <v>2520</v>
          </cell>
          <cell r="EN163">
            <v>2811</v>
          </cell>
          <cell r="EO163">
            <v>5295</v>
          </cell>
          <cell r="EP163">
            <v>9325</v>
          </cell>
          <cell r="EQ163">
            <v>7371</v>
          </cell>
          <cell r="ER163">
            <v>16221</v>
          </cell>
          <cell r="ES163">
            <v>1171</v>
          </cell>
          <cell r="ET163">
            <v>6087</v>
          </cell>
          <cell r="EU163">
            <v>7282</v>
          </cell>
          <cell r="EV163">
            <v>1382</v>
          </cell>
          <cell r="EW163">
            <v>11504</v>
          </cell>
          <cell r="EX163">
            <v>11877</v>
          </cell>
          <cell r="EY163">
            <v>7477</v>
          </cell>
          <cell r="EZ163">
            <v>13954</v>
          </cell>
          <cell r="FA163">
            <v>13616</v>
          </cell>
          <cell r="FB163">
            <v>11572</v>
          </cell>
          <cell r="FC163">
            <v>1774</v>
          </cell>
          <cell r="FD163">
            <v>5150</v>
          </cell>
          <cell r="FE163">
            <v>24258</v>
          </cell>
          <cell r="FF163">
            <v>214679</v>
          </cell>
          <cell r="FG163">
            <v>20286</v>
          </cell>
          <cell r="FH163">
            <v>513</v>
          </cell>
          <cell r="FI163">
            <v>235147</v>
          </cell>
          <cell r="FJ163">
            <v>-3.3</v>
          </cell>
          <cell r="FK163">
            <v>4.3</v>
          </cell>
          <cell r="FL163">
            <v>-1.7</v>
          </cell>
          <cell r="FM163">
            <v>-2.2999999999999998</v>
          </cell>
          <cell r="FN163">
            <v>4.2</v>
          </cell>
          <cell r="FO163">
            <v>-0.6</v>
          </cell>
          <cell r="FP163">
            <v>2</v>
          </cell>
          <cell r="FQ163">
            <v>1.5</v>
          </cell>
          <cell r="FR163">
            <v>-15.7</v>
          </cell>
          <cell r="FS163">
            <v>-0.6</v>
          </cell>
          <cell r="FT163">
            <v>8.1</v>
          </cell>
          <cell r="FU163">
            <v>2.2000000000000002</v>
          </cell>
          <cell r="FV163">
            <v>0.7</v>
          </cell>
          <cell r="FW163">
            <v>0</v>
          </cell>
          <cell r="FX163">
            <v>-2.2999999999999998</v>
          </cell>
          <cell r="FY163">
            <v>1.6</v>
          </cell>
          <cell r="FZ163">
            <v>1.7</v>
          </cell>
          <cell r="GA163">
            <v>-1.3</v>
          </cell>
          <cell r="GB163">
            <v>-0.4</v>
          </cell>
          <cell r="GC163">
            <v>0.8</v>
          </cell>
          <cell r="GD163">
            <v>7.9</v>
          </cell>
          <cell r="GE163">
            <v>-1</v>
          </cell>
          <cell r="GF163">
            <v>-1</v>
          </cell>
          <cell r="GG163">
            <v>1.4</v>
          </cell>
          <cell r="GH163">
            <v>1.4</v>
          </cell>
          <cell r="GI163">
            <v>1.5</v>
          </cell>
          <cell r="GJ163">
            <v>1.5</v>
          </cell>
          <cell r="GK163">
            <v>2.2999999999999998</v>
          </cell>
          <cell r="GL163">
            <v>0.8</v>
          </cell>
          <cell r="GM163">
            <v>-1.1000000000000001</v>
          </cell>
          <cell r="GN163">
            <v>0</v>
          </cell>
          <cell r="GO163">
            <v>0</v>
          </cell>
          <cell r="GP163">
            <v>2.2999999999999998</v>
          </cell>
          <cell r="GQ163">
            <v>3.1</v>
          </cell>
          <cell r="GR163">
            <v>2.7</v>
          </cell>
          <cell r="GS163">
            <v>4.8</v>
          </cell>
          <cell r="GT163">
            <v>-6.9</v>
          </cell>
          <cell r="GU163">
            <v>1.8</v>
          </cell>
          <cell r="GV163">
            <v>-0.8</v>
          </cell>
          <cell r="GW163">
            <v>3.3</v>
          </cell>
          <cell r="GX163">
            <v>2.2000000000000002</v>
          </cell>
          <cell r="GY163">
            <v>4</v>
          </cell>
          <cell r="GZ163">
            <v>1.4</v>
          </cell>
          <cell r="HA163">
            <v>2.1</v>
          </cell>
          <cell r="HB163">
            <v>4.4000000000000004</v>
          </cell>
          <cell r="HC163">
            <v>-2.7</v>
          </cell>
          <cell r="HD163">
            <v>0.4</v>
          </cell>
          <cell r="HE163">
            <v>-9.8000000000000007</v>
          </cell>
          <cell r="HF163">
            <v>1.9</v>
          </cell>
          <cell r="HG163">
            <v>0.4</v>
          </cell>
          <cell r="HH163">
            <v>0.6</v>
          </cell>
          <cell r="HI163">
            <v>0.3</v>
          </cell>
          <cell r="HJ163">
            <v>2.4</v>
          </cell>
          <cell r="HK163">
            <v>0.1</v>
          </cell>
          <cell r="HL163">
            <v>3760</v>
          </cell>
          <cell r="HM163">
            <v>994</v>
          </cell>
          <cell r="HN163">
            <v>4919</v>
          </cell>
          <cell r="HO163">
            <v>1632</v>
          </cell>
          <cell r="HP163">
            <v>4031</v>
          </cell>
          <cell r="HQ163">
            <v>1156</v>
          </cell>
          <cell r="HR163">
            <v>3315</v>
          </cell>
          <cell r="HS163">
            <v>9694</v>
          </cell>
          <cell r="HT163">
            <v>1401</v>
          </cell>
          <cell r="HU163">
            <v>10828</v>
          </cell>
          <cell r="HV163">
            <v>5698</v>
          </cell>
          <cell r="HW163">
            <v>5214</v>
          </cell>
          <cell r="HX163">
            <v>3410</v>
          </cell>
          <cell r="HY163">
            <v>4174</v>
          </cell>
          <cell r="HZ163">
            <v>6227</v>
          </cell>
          <cell r="IA163">
            <v>24159</v>
          </cell>
          <cell r="IB163">
            <v>4899</v>
          </cell>
          <cell r="IC163">
            <v>286</v>
          </cell>
          <cell r="ID163">
            <v>3076</v>
          </cell>
          <cell r="IE163">
            <v>8298</v>
          </cell>
          <cell r="IF163">
            <v>3889</v>
          </cell>
          <cell r="IG163">
            <v>2737</v>
          </cell>
          <cell r="IH163">
            <v>7285</v>
          </cell>
          <cell r="II163">
            <v>13910</v>
          </cell>
          <cell r="IJ163">
            <v>9990</v>
          </cell>
          <cell r="IK163">
            <v>9157</v>
          </cell>
          <cell r="IL163">
            <v>6236</v>
          </cell>
          <cell r="IM163">
            <v>3438</v>
          </cell>
          <cell r="IN163">
            <v>1080</v>
          </cell>
          <cell r="IO163">
            <v>1882</v>
          </cell>
          <cell r="IP163">
            <v>5009</v>
          </cell>
          <cell r="IQ163">
            <v>11407</v>
          </cell>
        </row>
        <row r="164">
          <cell r="B164">
            <v>6160</v>
          </cell>
          <cell r="C164">
            <v>986</v>
          </cell>
          <cell r="D164">
            <v>7068</v>
          </cell>
          <cell r="E164">
            <v>1566</v>
          </cell>
          <cell r="F164">
            <v>3798</v>
          </cell>
          <cell r="G164">
            <v>1200</v>
          </cell>
          <cell r="H164">
            <v>3376</v>
          </cell>
          <cell r="I164">
            <v>9453</v>
          </cell>
          <cell r="J164">
            <v>1669</v>
          </cell>
          <cell r="K164">
            <v>10788</v>
          </cell>
          <cell r="L164">
            <v>5650</v>
          </cell>
          <cell r="M164">
            <v>5130</v>
          </cell>
          <cell r="N164">
            <v>3323</v>
          </cell>
          <cell r="O164">
            <v>4113</v>
          </cell>
          <cell r="P164">
            <v>6026</v>
          </cell>
          <cell r="Q164">
            <v>23686</v>
          </cell>
          <cell r="R164">
            <v>4758</v>
          </cell>
          <cell r="S164">
            <v>255</v>
          </cell>
          <cell r="T164">
            <v>3275</v>
          </cell>
          <cell r="U164">
            <v>8232</v>
          </cell>
          <cell r="V164">
            <v>3940</v>
          </cell>
          <cell r="W164">
            <v>2883</v>
          </cell>
          <cell r="X164">
            <v>7674</v>
          </cell>
          <cell r="Y164">
            <v>14472</v>
          </cell>
          <cell r="Z164">
            <v>9910</v>
          </cell>
          <cell r="AA164">
            <v>9424</v>
          </cell>
          <cell r="AB164">
            <v>6282</v>
          </cell>
          <cell r="AC164">
            <v>3465</v>
          </cell>
          <cell r="AD164">
            <v>1020</v>
          </cell>
          <cell r="AE164">
            <v>1845</v>
          </cell>
          <cell r="AF164">
            <v>5011</v>
          </cell>
          <cell r="AG164">
            <v>11303</v>
          </cell>
          <cell r="AH164">
            <v>2536</v>
          </cell>
          <cell r="AI164">
            <v>2849</v>
          </cell>
          <cell r="AJ164">
            <v>5345</v>
          </cell>
          <cell r="AK164">
            <v>9639</v>
          </cell>
          <cell r="AL164">
            <v>6953</v>
          </cell>
          <cell r="AM164">
            <v>16408</v>
          </cell>
          <cell r="AN164">
            <v>1131</v>
          </cell>
          <cell r="AO164">
            <v>6038</v>
          </cell>
          <cell r="AP164">
            <v>7174</v>
          </cell>
          <cell r="AQ164">
            <v>1388</v>
          </cell>
          <cell r="AR164">
            <v>11364</v>
          </cell>
          <cell r="AS164">
            <v>11787</v>
          </cell>
          <cell r="AT164">
            <v>7528</v>
          </cell>
          <cell r="AU164">
            <v>14258</v>
          </cell>
          <cell r="AV164">
            <v>13701</v>
          </cell>
          <cell r="AW164">
            <v>12701</v>
          </cell>
          <cell r="AX164">
            <v>1794</v>
          </cell>
          <cell r="AY164">
            <v>5157</v>
          </cell>
          <cell r="AZ164">
            <v>24410</v>
          </cell>
          <cell r="BA164">
            <v>217904</v>
          </cell>
          <cell r="BB164">
            <v>20432</v>
          </cell>
          <cell r="BC164">
            <v>107</v>
          </cell>
          <cell r="BD164">
            <v>238115</v>
          </cell>
          <cell r="BE164">
            <v>1.5</v>
          </cell>
          <cell r="BF164">
            <v>1.1000000000000001</v>
          </cell>
          <cell r="BG164">
            <v>1.5</v>
          </cell>
          <cell r="BH164">
            <v>-0.3</v>
          </cell>
          <cell r="BI164">
            <v>0.4</v>
          </cell>
          <cell r="BJ164">
            <v>4</v>
          </cell>
          <cell r="BK164">
            <v>2.2999999999999998</v>
          </cell>
          <cell r="BL164">
            <v>1.2</v>
          </cell>
          <cell r="BM164">
            <v>8.8000000000000007</v>
          </cell>
          <cell r="BN164">
            <v>2</v>
          </cell>
          <cell r="BO164">
            <v>2.1</v>
          </cell>
          <cell r="BP164">
            <v>1.3</v>
          </cell>
          <cell r="BQ164">
            <v>1.8</v>
          </cell>
          <cell r="BR164">
            <v>1.3</v>
          </cell>
          <cell r="BS164">
            <v>-1.3</v>
          </cell>
          <cell r="BT164">
            <v>0.9</v>
          </cell>
          <cell r="BU164">
            <v>1.2</v>
          </cell>
          <cell r="BV164">
            <v>1.7</v>
          </cell>
          <cell r="BW164">
            <v>1.4</v>
          </cell>
          <cell r="BX164">
            <v>1.3</v>
          </cell>
          <cell r="BY164">
            <v>4.8</v>
          </cell>
          <cell r="BZ164">
            <v>8</v>
          </cell>
          <cell r="CA164">
            <v>3.2</v>
          </cell>
          <cell r="CB164">
            <v>4.7</v>
          </cell>
          <cell r="CC164">
            <v>0.5</v>
          </cell>
          <cell r="CD164">
            <v>0.6</v>
          </cell>
          <cell r="CE164">
            <v>-0.3</v>
          </cell>
          <cell r="CF164">
            <v>1</v>
          </cell>
          <cell r="CG164">
            <v>-0.4</v>
          </cell>
          <cell r="CH164">
            <v>-0.5</v>
          </cell>
          <cell r="CI164">
            <v>0.2</v>
          </cell>
          <cell r="CJ164">
            <v>0.2</v>
          </cell>
          <cell r="CK164">
            <v>1.4</v>
          </cell>
          <cell r="CL164">
            <v>1.4</v>
          </cell>
          <cell r="CM164">
            <v>1.4</v>
          </cell>
          <cell r="CN164">
            <v>3.6</v>
          </cell>
          <cell r="CO164">
            <v>-5.7</v>
          </cell>
          <cell r="CP164">
            <v>1.3</v>
          </cell>
          <cell r="CQ164">
            <v>-2.7</v>
          </cell>
          <cell r="CR164">
            <v>0.2</v>
          </cell>
          <cell r="CS164">
            <v>-0.6</v>
          </cell>
          <cell r="CT164">
            <v>1.5</v>
          </cell>
          <cell r="CU164">
            <v>-0.4</v>
          </cell>
          <cell r="CV164">
            <v>0.1</v>
          </cell>
          <cell r="CW164">
            <v>1.7</v>
          </cell>
          <cell r="CX164">
            <v>-0.2</v>
          </cell>
          <cell r="CY164">
            <v>0.5</v>
          </cell>
          <cell r="CZ164">
            <v>2.2999999999999998</v>
          </cell>
          <cell r="DA164">
            <v>1.4</v>
          </cell>
          <cell r="DB164">
            <v>0.2</v>
          </cell>
          <cell r="DC164">
            <v>0.6</v>
          </cell>
          <cell r="DD164">
            <v>1.1000000000000001</v>
          </cell>
          <cell r="DE164">
            <v>1.5</v>
          </cell>
          <cell r="DF164">
            <v>0.9</v>
          </cell>
          <cell r="DG164">
            <v>6283</v>
          </cell>
          <cell r="DH164">
            <v>990</v>
          </cell>
          <cell r="DI164">
            <v>7183</v>
          </cell>
          <cell r="DJ164">
            <v>1552</v>
          </cell>
          <cell r="DK164">
            <v>3882</v>
          </cell>
          <cell r="DL164">
            <v>1211</v>
          </cell>
          <cell r="DM164">
            <v>3425</v>
          </cell>
          <cell r="DN164">
            <v>9560</v>
          </cell>
          <cell r="DO164">
            <v>1674</v>
          </cell>
          <cell r="DP164">
            <v>10899</v>
          </cell>
          <cell r="DQ164">
            <v>5598</v>
          </cell>
          <cell r="DR164">
            <v>5151</v>
          </cell>
          <cell r="DS164">
            <v>3269</v>
          </cell>
          <cell r="DT164">
            <v>4125</v>
          </cell>
          <cell r="DU164">
            <v>6111</v>
          </cell>
          <cell r="DV164">
            <v>23682</v>
          </cell>
          <cell r="DW164">
            <v>4787</v>
          </cell>
          <cell r="DX164">
            <v>255</v>
          </cell>
          <cell r="DY164">
            <v>3288</v>
          </cell>
          <cell r="DZ164">
            <v>8273</v>
          </cell>
          <cell r="EA164">
            <v>3968</v>
          </cell>
          <cell r="EB164">
            <v>2828</v>
          </cell>
          <cell r="EC164">
            <v>7640</v>
          </cell>
          <cell r="ED164">
            <v>14406</v>
          </cell>
          <cell r="EE164">
            <v>9798</v>
          </cell>
          <cell r="EF164">
            <v>9435</v>
          </cell>
          <cell r="EG164">
            <v>6338</v>
          </cell>
          <cell r="EH164">
            <v>3486</v>
          </cell>
          <cell r="EI164">
            <v>1018</v>
          </cell>
          <cell r="EJ164">
            <v>1857</v>
          </cell>
          <cell r="EK164">
            <v>5041</v>
          </cell>
          <cell r="EL164">
            <v>11336</v>
          </cell>
          <cell r="EM164">
            <v>2562</v>
          </cell>
          <cell r="EN164">
            <v>2886</v>
          </cell>
          <cell r="EO164">
            <v>5405</v>
          </cell>
          <cell r="EP164">
            <v>9662</v>
          </cell>
          <cell r="EQ164">
            <v>6880</v>
          </cell>
          <cell r="ER164">
            <v>16395</v>
          </cell>
          <cell r="ES164">
            <v>1127</v>
          </cell>
          <cell r="ET164">
            <v>6024</v>
          </cell>
          <cell r="EU164">
            <v>7154</v>
          </cell>
          <cell r="EV164">
            <v>1385</v>
          </cell>
          <cell r="EW164">
            <v>11329</v>
          </cell>
          <cell r="EX164">
            <v>11753</v>
          </cell>
          <cell r="EY164">
            <v>7513</v>
          </cell>
          <cell r="EZ164">
            <v>14386</v>
          </cell>
          <cell r="FA164">
            <v>13701</v>
          </cell>
          <cell r="FB164">
            <v>13240</v>
          </cell>
          <cell r="FC164">
            <v>1797</v>
          </cell>
          <cell r="FD164">
            <v>5157</v>
          </cell>
          <cell r="FE164">
            <v>24409</v>
          </cell>
          <cell r="FF164">
            <v>218737</v>
          </cell>
          <cell r="FG164">
            <v>20420</v>
          </cell>
          <cell r="FH164">
            <v>-439</v>
          </cell>
          <cell r="FI164">
            <v>238394</v>
          </cell>
          <cell r="FJ164">
            <v>4.2</v>
          </cell>
          <cell r="FK164">
            <v>0.3</v>
          </cell>
          <cell r="FL164">
            <v>3.3</v>
          </cell>
          <cell r="FM164">
            <v>-0.8</v>
          </cell>
          <cell r="FN164">
            <v>1.3</v>
          </cell>
          <cell r="FO164">
            <v>7.7</v>
          </cell>
          <cell r="FP164">
            <v>4.3</v>
          </cell>
          <cell r="FQ164">
            <v>2.2999999999999998</v>
          </cell>
          <cell r="FR164">
            <v>20.8</v>
          </cell>
          <cell r="FS164">
            <v>4.2</v>
          </cell>
          <cell r="FT164">
            <v>-1.9</v>
          </cell>
          <cell r="FU164">
            <v>0.8</v>
          </cell>
          <cell r="FV164">
            <v>-0.5</v>
          </cell>
          <cell r="FW164">
            <v>2.6</v>
          </cell>
          <cell r="FX164">
            <v>1</v>
          </cell>
          <cell r="FY164">
            <v>0.4</v>
          </cell>
          <cell r="FZ164">
            <v>1.9</v>
          </cell>
          <cell r="GA164">
            <v>3.2</v>
          </cell>
          <cell r="GB164">
            <v>2.9</v>
          </cell>
          <cell r="GC164">
            <v>2.2999999999999998</v>
          </cell>
          <cell r="GD164">
            <v>5.6</v>
          </cell>
          <cell r="GE164">
            <v>9.5</v>
          </cell>
          <cell r="GF164">
            <v>4.5</v>
          </cell>
          <cell r="GG164">
            <v>5.9</v>
          </cell>
          <cell r="GH164">
            <v>-1.7</v>
          </cell>
          <cell r="GI164">
            <v>0.5</v>
          </cell>
          <cell r="GJ164">
            <v>0.3</v>
          </cell>
          <cell r="GK164">
            <v>1</v>
          </cell>
          <cell r="GL164">
            <v>-1.4</v>
          </cell>
          <cell r="GM164">
            <v>0.7</v>
          </cell>
          <cell r="GN164">
            <v>1</v>
          </cell>
          <cell r="GO164">
            <v>0.6</v>
          </cell>
          <cell r="GP164">
            <v>1.6</v>
          </cell>
          <cell r="GQ164">
            <v>2.7</v>
          </cell>
          <cell r="GR164">
            <v>2.1</v>
          </cell>
          <cell r="GS164">
            <v>3.6</v>
          </cell>
          <cell r="GT164">
            <v>-6.7</v>
          </cell>
          <cell r="GU164">
            <v>1.1000000000000001</v>
          </cell>
          <cell r="GV164">
            <v>-3.8</v>
          </cell>
          <cell r="GW164">
            <v>-1</v>
          </cell>
          <cell r="GX164">
            <v>-1.8</v>
          </cell>
          <cell r="GY164">
            <v>0.3</v>
          </cell>
          <cell r="GZ164">
            <v>-1.5</v>
          </cell>
          <cell r="HA164">
            <v>-1</v>
          </cell>
          <cell r="HB164">
            <v>0.5</v>
          </cell>
          <cell r="HC164">
            <v>3.1</v>
          </cell>
          <cell r="HD164">
            <v>0.6</v>
          </cell>
          <cell r="HE164">
            <v>14.4</v>
          </cell>
          <cell r="HF164">
            <v>1.3</v>
          </cell>
          <cell r="HG164">
            <v>0.1</v>
          </cell>
          <cell r="HH164">
            <v>0.6</v>
          </cell>
          <cell r="HI164">
            <v>1.9</v>
          </cell>
          <cell r="HJ164">
            <v>0.7</v>
          </cell>
          <cell r="HK164">
            <v>1.4</v>
          </cell>
          <cell r="HL164">
            <v>11643</v>
          </cell>
          <cell r="HM164">
            <v>993</v>
          </cell>
          <cell r="HN164">
            <v>11994</v>
          </cell>
          <cell r="HO164">
            <v>1515</v>
          </cell>
          <cell r="HP164">
            <v>3795</v>
          </cell>
          <cell r="HQ164">
            <v>1234</v>
          </cell>
          <cell r="HR164">
            <v>3483</v>
          </cell>
          <cell r="HS164">
            <v>9477</v>
          </cell>
          <cell r="HT164">
            <v>1755</v>
          </cell>
          <cell r="HU164">
            <v>10878</v>
          </cell>
          <cell r="HV164">
            <v>6013</v>
          </cell>
          <cell r="HW164">
            <v>5150</v>
          </cell>
          <cell r="HX164">
            <v>3343</v>
          </cell>
          <cell r="HY164">
            <v>4240</v>
          </cell>
          <cell r="HZ164">
            <v>6354</v>
          </cell>
          <cell r="IA164">
            <v>24532</v>
          </cell>
          <cell r="IB164">
            <v>4653</v>
          </cell>
          <cell r="IC164">
            <v>238</v>
          </cell>
          <cell r="ID164">
            <v>3384</v>
          </cell>
          <cell r="IE164">
            <v>8166</v>
          </cell>
          <cell r="IF164">
            <v>4211</v>
          </cell>
          <cell r="IG164">
            <v>2992</v>
          </cell>
          <cell r="IH164">
            <v>7993</v>
          </cell>
          <cell r="II164">
            <v>15196</v>
          </cell>
          <cell r="IJ164">
            <v>10166</v>
          </cell>
          <cell r="IK164">
            <v>10375</v>
          </cell>
          <cell r="IL164">
            <v>6675</v>
          </cell>
          <cell r="IM164">
            <v>3630</v>
          </cell>
          <cell r="IN164">
            <v>1047</v>
          </cell>
          <cell r="IO164">
            <v>1893</v>
          </cell>
          <cell r="IP164">
            <v>5134</v>
          </cell>
          <cell r="IQ164">
            <v>11672</v>
          </cell>
        </row>
        <row r="165">
          <cell r="B165">
            <v>6247</v>
          </cell>
          <cell r="C165">
            <v>987</v>
          </cell>
          <cell r="D165">
            <v>7146</v>
          </cell>
          <cell r="E165">
            <v>1540</v>
          </cell>
          <cell r="F165">
            <v>3831</v>
          </cell>
          <cell r="G165">
            <v>1210</v>
          </cell>
          <cell r="H165">
            <v>3419</v>
          </cell>
          <cell r="I165">
            <v>9506</v>
          </cell>
          <cell r="J165">
            <v>1798</v>
          </cell>
          <cell r="K165">
            <v>10948</v>
          </cell>
          <cell r="L165">
            <v>5669</v>
          </cell>
          <cell r="M165">
            <v>5175</v>
          </cell>
          <cell r="N165">
            <v>3381</v>
          </cell>
          <cell r="O165">
            <v>4165</v>
          </cell>
          <cell r="P165">
            <v>5987</v>
          </cell>
          <cell r="Q165">
            <v>23838</v>
          </cell>
          <cell r="R165">
            <v>4770</v>
          </cell>
          <cell r="S165">
            <v>260</v>
          </cell>
          <cell r="T165">
            <v>3323</v>
          </cell>
          <cell r="U165">
            <v>8293</v>
          </cell>
          <cell r="V165">
            <v>4056</v>
          </cell>
          <cell r="W165">
            <v>3036</v>
          </cell>
          <cell r="X165">
            <v>7972</v>
          </cell>
          <cell r="Y165">
            <v>15046</v>
          </cell>
          <cell r="Z165">
            <v>9954</v>
          </cell>
          <cell r="AA165">
            <v>9511</v>
          </cell>
          <cell r="AB165">
            <v>6295</v>
          </cell>
          <cell r="AC165">
            <v>3475</v>
          </cell>
          <cell r="AD165">
            <v>1020</v>
          </cell>
          <cell r="AE165">
            <v>1838</v>
          </cell>
          <cell r="AF165">
            <v>5046</v>
          </cell>
          <cell r="AG165">
            <v>11364</v>
          </cell>
          <cell r="AH165">
            <v>2546</v>
          </cell>
          <cell r="AI165">
            <v>2843</v>
          </cell>
          <cell r="AJ165">
            <v>5351</v>
          </cell>
          <cell r="AK165">
            <v>9912</v>
          </cell>
          <cell r="AL165">
            <v>6731</v>
          </cell>
          <cell r="AM165">
            <v>16642</v>
          </cell>
          <cell r="AN165">
            <v>1110</v>
          </cell>
          <cell r="AO165">
            <v>6014</v>
          </cell>
          <cell r="AP165">
            <v>7117</v>
          </cell>
          <cell r="AQ165">
            <v>1412</v>
          </cell>
          <cell r="AR165">
            <v>11408</v>
          </cell>
          <cell r="AS165">
            <v>11876</v>
          </cell>
          <cell r="AT165">
            <v>7644</v>
          </cell>
          <cell r="AU165">
            <v>14280</v>
          </cell>
          <cell r="AV165">
            <v>13803</v>
          </cell>
          <cell r="AW165">
            <v>12945</v>
          </cell>
          <cell r="AX165">
            <v>1818</v>
          </cell>
          <cell r="AY165">
            <v>5181</v>
          </cell>
          <cell r="AZ165">
            <v>24546</v>
          </cell>
          <cell r="BA165">
            <v>219996</v>
          </cell>
          <cell r="BB165">
            <v>20654</v>
          </cell>
          <cell r="BC165">
            <v>-145</v>
          </cell>
          <cell r="BD165">
            <v>240175</v>
          </cell>
          <cell r="BE165">
            <v>1.4</v>
          </cell>
          <cell r="BF165">
            <v>0.1</v>
          </cell>
          <cell r="BG165">
            <v>1.1000000000000001</v>
          </cell>
          <cell r="BH165">
            <v>-1.6</v>
          </cell>
          <cell r="BI165">
            <v>0.9</v>
          </cell>
          <cell r="BJ165">
            <v>0.9</v>
          </cell>
          <cell r="BK165">
            <v>1.3</v>
          </cell>
          <cell r="BL165">
            <v>0.6</v>
          </cell>
          <cell r="BM165">
            <v>7.8</v>
          </cell>
          <cell r="BN165">
            <v>1.5</v>
          </cell>
          <cell r="BO165">
            <v>0.3</v>
          </cell>
          <cell r="BP165">
            <v>0.9</v>
          </cell>
          <cell r="BQ165">
            <v>1.8</v>
          </cell>
          <cell r="BR165">
            <v>1.3</v>
          </cell>
          <cell r="BS165">
            <v>-0.6</v>
          </cell>
          <cell r="BT165">
            <v>0.6</v>
          </cell>
          <cell r="BU165">
            <v>0.2</v>
          </cell>
          <cell r="BV165">
            <v>2</v>
          </cell>
          <cell r="BW165">
            <v>1.5</v>
          </cell>
          <cell r="BX165">
            <v>0.7</v>
          </cell>
          <cell r="BY165">
            <v>3</v>
          </cell>
          <cell r="BZ165">
            <v>5.3</v>
          </cell>
          <cell r="CA165">
            <v>3.9</v>
          </cell>
          <cell r="CB165">
            <v>4</v>
          </cell>
          <cell r="CC165">
            <v>0.4</v>
          </cell>
          <cell r="CD165">
            <v>0.9</v>
          </cell>
          <cell r="CE165">
            <v>0.2</v>
          </cell>
          <cell r="CF165">
            <v>0.3</v>
          </cell>
          <cell r="CG165">
            <v>0</v>
          </cell>
          <cell r="CH165">
            <v>-0.4</v>
          </cell>
          <cell r="CI165">
            <v>0.7</v>
          </cell>
          <cell r="CJ165">
            <v>0.5</v>
          </cell>
          <cell r="CK165">
            <v>0.4</v>
          </cell>
          <cell r="CL165">
            <v>-0.2</v>
          </cell>
          <cell r="CM165">
            <v>0.1</v>
          </cell>
          <cell r="CN165">
            <v>2.8</v>
          </cell>
          <cell r="CO165">
            <v>-3.2</v>
          </cell>
          <cell r="CP165">
            <v>1.4</v>
          </cell>
          <cell r="CQ165">
            <v>-1.9</v>
          </cell>
          <cell r="CR165">
            <v>-0.4</v>
          </cell>
          <cell r="CS165">
            <v>-0.8</v>
          </cell>
          <cell r="CT165">
            <v>1.7</v>
          </cell>
          <cell r="CU165">
            <v>0.4</v>
          </cell>
          <cell r="CV165">
            <v>0.8</v>
          </cell>
          <cell r="CW165">
            <v>1.5</v>
          </cell>
          <cell r="CX165">
            <v>0.2</v>
          </cell>
          <cell r="CY165">
            <v>0.7</v>
          </cell>
          <cell r="CZ165">
            <v>1.9</v>
          </cell>
          <cell r="DA165">
            <v>1.4</v>
          </cell>
          <cell r="DB165">
            <v>0.5</v>
          </cell>
          <cell r="DC165">
            <v>0.6</v>
          </cell>
          <cell r="DD165">
            <v>1</v>
          </cell>
          <cell r="DE165">
            <v>1.1000000000000001</v>
          </cell>
          <cell r="DF165">
            <v>0.9</v>
          </cell>
          <cell r="DG165">
            <v>6105</v>
          </cell>
          <cell r="DH165">
            <v>986</v>
          </cell>
          <cell r="DI165">
            <v>7017</v>
          </cell>
          <cell r="DJ165">
            <v>1563</v>
          </cell>
          <cell r="DK165">
            <v>3641</v>
          </cell>
          <cell r="DL165">
            <v>1242</v>
          </cell>
          <cell r="DM165">
            <v>3432</v>
          </cell>
          <cell r="DN165">
            <v>9385</v>
          </cell>
          <cell r="DO165">
            <v>1834</v>
          </cell>
          <cell r="DP165">
            <v>10852</v>
          </cell>
          <cell r="DQ165">
            <v>5675</v>
          </cell>
          <cell r="DR165">
            <v>5105</v>
          </cell>
          <cell r="DS165">
            <v>3421</v>
          </cell>
          <cell r="DT165">
            <v>4186</v>
          </cell>
          <cell r="DU165">
            <v>5866</v>
          </cell>
          <cell r="DV165">
            <v>23754</v>
          </cell>
          <cell r="DW165">
            <v>4751</v>
          </cell>
          <cell r="DX165">
            <v>263</v>
          </cell>
          <cell r="DY165">
            <v>3345</v>
          </cell>
          <cell r="DZ165">
            <v>8297</v>
          </cell>
          <cell r="EA165">
            <v>4112</v>
          </cell>
          <cell r="EB165">
            <v>3206</v>
          </cell>
          <cell r="EC165">
            <v>8170</v>
          </cell>
          <cell r="ED165">
            <v>15478</v>
          </cell>
          <cell r="EE165">
            <v>9912</v>
          </cell>
          <cell r="EF165">
            <v>9483</v>
          </cell>
          <cell r="EG165">
            <v>6195</v>
          </cell>
          <cell r="EH165">
            <v>3464</v>
          </cell>
          <cell r="EI165">
            <v>1015</v>
          </cell>
          <cell r="EJ165">
            <v>1822</v>
          </cell>
          <cell r="EK165">
            <v>5015</v>
          </cell>
          <cell r="EL165">
            <v>11311</v>
          </cell>
          <cell r="EM165">
            <v>2485</v>
          </cell>
          <cell r="EN165">
            <v>2813</v>
          </cell>
          <cell r="EO165">
            <v>5254</v>
          </cell>
          <cell r="EP165">
            <v>9915</v>
          </cell>
          <cell r="EQ165">
            <v>6744</v>
          </cell>
          <cell r="ER165">
            <v>16654</v>
          </cell>
          <cell r="ES165">
            <v>1103</v>
          </cell>
          <cell r="ET165">
            <v>5985</v>
          </cell>
          <cell r="EU165">
            <v>7080</v>
          </cell>
          <cell r="EV165">
            <v>1404</v>
          </cell>
          <cell r="EW165">
            <v>11338</v>
          </cell>
          <cell r="EX165">
            <v>11804</v>
          </cell>
          <cell r="EY165">
            <v>7603</v>
          </cell>
          <cell r="EZ165">
            <v>14561</v>
          </cell>
          <cell r="FA165">
            <v>13803</v>
          </cell>
          <cell r="FB165">
            <v>12898</v>
          </cell>
          <cell r="FC165">
            <v>1812</v>
          </cell>
          <cell r="FD165">
            <v>5166</v>
          </cell>
          <cell r="FE165">
            <v>24551</v>
          </cell>
          <cell r="FF165">
            <v>219831</v>
          </cell>
          <cell r="FG165">
            <v>20375</v>
          </cell>
          <cell r="FH165">
            <v>378</v>
          </cell>
          <cell r="FI165">
            <v>240266</v>
          </cell>
          <cell r="FJ165">
            <v>-2.8</v>
          </cell>
          <cell r="FK165">
            <v>-0.4</v>
          </cell>
          <cell r="FL165">
            <v>-2.2999999999999998</v>
          </cell>
          <cell r="FM165">
            <v>0.7</v>
          </cell>
          <cell r="FN165">
            <v>-6.2</v>
          </cell>
          <cell r="FO165">
            <v>2.6</v>
          </cell>
          <cell r="FP165">
            <v>0.2</v>
          </cell>
          <cell r="FQ165">
            <v>-1.8</v>
          </cell>
          <cell r="FR165">
            <v>9.5</v>
          </cell>
          <cell r="FS165">
            <v>-0.4</v>
          </cell>
          <cell r="FT165">
            <v>1.4</v>
          </cell>
          <cell r="FU165">
            <v>-0.9</v>
          </cell>
          <cell r="FV165">
            <v>4.5999999999999996</v>
          </cell>
          <cell r="FW165">
            <v>1.5</v>
          </cell>
          <cell r="FX165">
            <v>-4</v>
          </cell>
          <cell r="FY165">
            <v>0.3</v>
          </cell>
          <cell r="FZ165">
            <v>-0.8</v>
          </cell>
          <cell r="GA165">
            <v>3</v>
          </cell>
          <cell r="GB165">
            <v>1.7</v>
          </cell>
          <cell r="GC165">
            <v>0.3</v>
          </cell>
          <cell r="GD165">
            <v>3.6</v>
          </cell>
          <cell r="GE165">
            <v>13.4</v>
          </cell>
          <cell r="GF165">
            <v>6.9</v>
          </cell>
          <cell r="GG165">
            <v>7.4</v>
          </cell>
          <cell r="GH165">
            <v>1.2</v>
          </cell>
          <cell r="GI165">
            <v>0.5</v>
          </cell>
          <cell r="GJ165">
            <v>-2.2999999999999998</v>
          </cell>
          <cell r="GK165">
            <v>-0.6</v>
          </cell>
          <cell r="GL165">
            <v>-0.2</v>
          </cell>
          <cell r="GM165">
            <v>-1.9</v>
          </cell>
          <cell r="GN165">
            <v>-0.5</v>
          </cell>
          <cell r="GO165">
            <v>-0.2</v>
          </cell>
          <cell r="GP165">
            <v>-3</v>
          </cell>
          <cell r="GQ165">
            <v>-2.5</v>
          </cell>
          <cell r="GR165">
            <v>-2.8</v>
          </cell>
          <cell r="GS165">
            <v>2.6</v>
          </cell>
          <cell r="GT165">
            <v>-2</v>
          </cell>
          <cell r="GU165">
            <v>1.6</v>
          </cell>
          <cell r="GV165">
            <v>-2.1</v>
          </cell>
          <cell r="GW165">
            <v>-0.6</v>
          </cell>
          <cell r="GX165">
            <v>-1</v>
          </cell>
          <cell r="GY165">
            <v>1.4</v>
          </cell>
          <cell r="GZ165">
            <v>0.1</v>
          </cell>
          <cell r="HA165">
            <v>0.4</v>
          </cell>
          <cell r="HB165">
            <v>1.2</v>
          </cell>
          <cell r="HC165">
            <v>1.2</v>
          </cell>
          <cell r="HD165">
            <v>0.7</v>
          </cell>
          <cell r="HE165">
            <v>-2.6</v>
          </cell>
          <cell r="HF165">
            <v>0.9</v>
          </cell>
          <cell r="HG165">
            <v>0.2</v>
          </cell>
          <cell r="HH165">
            <v>0.6</v>
          </cell>
          <cell r="HI165">
            <v>0.5</v>
          </cell>
          <cell r="HJ165">
            <v>-0.2</v>
          </cell>
          <cell r="HK165">
            <v>0.8</v>
          </cell>
          <cell r="HL165">
            <v>4758</v>
          </cell>
          <cell r="HM165">
            <v>981</v>
          </cell>
          <cell r="HN165">
            <v>5806</v>
          </cell>
          <cell r="HO165">
            <v>1541</v>
          </cell>
          <cell r="HP165">
            <v>3523</v>
          </cell>
          <cell r="HQ165">
            <v>1194</v>
          </cell>
          <cell r="HR165">
            <v>3320</v>
          </cell>
          <cell r="HS165">
            <v>9115</v>
          </cell>
          <cell r="HT165">
            <v>1633</v>
          </cell>
          <cell r="HU165">
            <v>10423</v>
          </cell>
          <cell r="HV165">
            <v>5508</v>
          </cell>
          <cell r="HW165">
            <v>5021</v>
          </cell>
          <cell r="HX165">
            <v>3210</v>
          </cell>
          <cell r="HY165">
            <v>3941</v>
          </cell>
          <cell r="HZ165">
            <v>5555</v>
          </cell>
          <cell r="IA165">
            <v>22679</v>
          </cell>
          <cell r="IB165">
            <v>4667</v>
          </cell>
          <cell r="IC165">
            <v>225</v>
          </cell>
          <cell r="ID165">
            <v>3498</v>
          </cell>
          <cell r="IE165">
            <v>8243</v>
          </cell>
          <cell r="IF165">
            <v>3747</v>
          </cell>
          <cell r="IG165">
            <v>3043</v>
          </cell>
          <cell r="IH165">
            <v>7546</v>
          </cell>
          <cell r="II165">
            <v>14298</v>
          </cell>
          <cell r="IJ165">
            <v>9436</v>
          </cell>
          <cell r="IK165">
            <v>9019</v>
          </cell>
          <cell r="IL165">
            <v>6141</v>
          </cell>
          <cell r="IM165">
            <v>3369</v>
          </cell>
          <cell r="IN165">
            <v>980</v>
          </cell>
          <cell r="IO165">
            <v>1761</v>
          </cell>
          <cell r="IP165">
            <v>4916</v>
          </cell>
          <cell r="IQ165">
            <v>11003</v>
          </cell>
        </row>
        <row r="166">
          <cell r="B166">
            <v>6615</v>
          </cell>
          <cell r="C166">
            <v>988</v>
          </cell>
          <cell r="D166">
            <v>7476</v>
          </cell>
          <cell r="E166">
            <v>1529</v>
          </cell>
          <cell r="F166">
            <v>3812</v>
          </cell>
          <cell r="G166">
            <v>1185</v>
          </cell>
          <cell r="H166">
            <v>3481</v>
          </cell>
          <cell r="I166">
            <v>9520</v>
          </cell>
          <cell r="J166">
            <v>1787</v>
          </cell>
          <cell r="K166">
            <v>10964</v>
          </cell>
          <cell r="L166">
            <v>5699</v>
          </cell>
          <cell r="M166">
            <v>5201</v>
          </cell>
          <cell r="N166">
            <v>3427</v>
          </cell>
          <cell r="O166">
            <v>4230</v>
          </cell>
          <cell r="P166">
            <v>6003</v>
          </cell>
          <cell r="Q166">
            <v>24034</v>
          </cell>
          <cell r="R166">
            <v>4768</v>
          </cell>
          <cell r="S166">
            <v>266</v>
          </cell>
          <cell r="T166">
            <v>3355</v>
          </cell>
          <cell r="U166">
            <v>8326</v>
          </cell>
          <cell r="V166">
            <v>4099</v>
          </cell>
          <cell r="W166">
            <v>3077</v>
          </cell>
          <cell r="X166">
            <v>8278</v>
          </cell>
          <cell r="Y166">
            <v>15432</v>
          </cell>
          <cell r="Z166">
            <v>10092</v>
          </cell>
          <cell r="AA166">
            <v>9622</v>
          </cell>
          <cell r="AB166">
            <v>6387</v>
          </cell>
          <cell r="AC166">
            <v>3539</v>
          </cell>
          <cell r="AD166">
            <v>1026</v>
          </cell>
          <cell r="AE166">
            <v>1831</v>
          </cell>
          <cell r="AF166">
            <v>5151</v>
          </cell>
          <cell r="AG166">
            <v>11544</v>
          </cell>
          <cell r="AH166">
            <v>2603</v>
          </cell>
          <cell r="AI166">
            <v>2835</v>
          </cell>
          <cell r="AJ166">
            <v>5411</v>
          </cell>
          <cell r="AK166">
            <v>10165</v>
          </cell>
          <cell r="AL166">
            <v>6762</v>
          </cell>
          <cell r="AM166">
            <v>16980</v>
          </cell>
          <cell r="AN166">
            <v>1108</v>
          </cell>
          <cell r="AO166">
            <v>5993</v>
          </cell>
          <cell r="AP166">
            <v>7094</v>
          </cell>
          <cell r="AQ166">
            <v>1451</v>
          </cell>
          <cell r="AR166">
            <v>11637</v>
          </cell>
          <cell r="AS166">
            <v>12138</v>
          </cell>
          <cell r="AT166">
            <v>7799</v>
          </cell>
          <cell r="AU166">
            <v>14222</v>
          </cell>
          <cell r="AV166">
            <v>13937</v>
          </cell>
          <cell r="AW166">
            <v>13013</v>
          </cell>
          <cell r="AX166">
            <v>1854</v>
          </cell>
          <cell r="AY166">
            <v>5216</v>
          </cell>
          <cell r="AZ166">
            <v>24674</v>
          </cell>
          <cell r="BA166">
            <v>222601</v>
          </cell>
          <cell r="BB166">
            <v>20915</v>
          </cell>
          <cell r="BC166">
            <v>120</v>
          </cell>
          <cell r="BD166">
            <v>243302</v>
          </cell>
          <cell r="BE166">
            <v>5.9</v>
          </cell>
          <cell r="BF166">
            <v>0</v>
          </cell>
          <cell r="BG166">
            <v>4.5999999999999996</v>
          </cell>
          <cell r="BH166">
            <v>-0.7</v>
          </cell>
          <cell r="BI166">
            <v>-0.5</v>
          </cell>
          <cell r="BJ166">
            <v>-2.1</v>
          </cell>
          <cell r="BK166">
            <v>1.8</v>
          </cell>
          <cell r="BL166">
            <v>0.1</v>
          </cell>
          <cell r="BM166">
            <v>-0.6</v>
          </cell>
          <cell r="BN166">
            <v>0.1</v>
          </cell>
          <cell r="BO166">
            <v>0.5</v>
          </cell>
          <cell r="BP166">
            <v>0.5</v>
          </cell>
          <cell r="BQ166">
            <v>1.3</v>
          </cell>
          <cell r="BR166">
            <v>1.6</v>
          </cell>
          <cell r="BS166">
            <v>0.3</v>
          </cell>
          <cell r="BT166">
            <v>0.8</v>
          </cell>
          <cell r="BU166">
            <v>0</v>
          </cell>
          <cell r="BV166">
            <v>2.1</v>
          </cell>
          <cell r="BW166">
            <v>1</v>
          </cell>
          <cell r="BX166">
            <v>0.4</v>
          </cell>
          <cell r="BY166">
            <v>1.1000000000000001</v>
          </cell>
          <cell r="BZ166">
            <v>1.4</v>
          </cell>
          <cell r="CA166">
            <v>3.8</v>
          </cell>
          <cell r="CB166">
            <v>2.6</v>
          </cell>
          <cell r="CC166">
            <v>1.4</v>
          </cell>
          <cell r="CD166">
            <v>1.2</v>
          </cell>
          <cell r="CE166">
            <v>1.5</v>
          </cell>
          <cell r="CF166">
            <v>1.8</v>
          </cell>
          <cell r="CG166">
            <v>0.6</v>
          </cell>
          <cell r="CH166">
            <v>-0.3</v>
          </cell>
          <cell r="CI166">
            <v>2.1</v>
          </cell>
          <cell r="CJ166">
            <v>1.6</v>
          </cell>
          <cell r="CK166">
            <v>2.2000000000000002</v>
          </cell>
          <cell r="CL166">
            <v>-0.3</v>
          </cell>
          <cell r="CM166">
            <v>1.1000000000000001</v>
          </cell>
          <cell r="CN166">
            <v>2.6</v>
          </cell>
          <cell r="CO166">
            <v>0.5</v>
          </cell>
          <cell r="CP166">
            <v>2</v>
          </cell>
          <cell r="CQ166">
            <v>-0.2</v>
          </cell>
          <cell r="CR166">
            <v>-0.4</v>
          </cell>
          <cell r="CS166">
            <v>-0.3</v>
          </cell>
          <cell r="CT166">
            <v>2.8</v>
          </cell>
          <cell r="CU166">
            <v>2</v>
          </cell>
          <cell r="CV166">
            <v>2.2000000000000002</v>
          </cell>
          <cell r="CW166">
            <v>2</v>
          </cell>
          <cell r="CX166">
            <v>-0.4</v>
          </cell>
          <cell r="CY166">
            <v>1</v>
          </cell>
          <cell r="CZ166">
            <v>0.5</v>
          </cell>
          <cell r="DA166">
            <v>1.9</v>
          </cell>
          <cell r="DB166">
            <v>0.7</v>
          </cell>
          <cell r="DC166">
            <v>0.5</v>
          </cell>
          <cell r="DD166">
            <v>1.2</v>
          </cell>
          <cell r="DE166">
            <v>1.3</v>
          </cell>
          <cell r="DF166">
            <v>1.3</v>
          </cell>
          <cell r="DG166">
            <v>6539</v>
          </cell>
          <cell r="DH166">
            <v>980</v>
          </cell>
          <cell r="DI166">
            <v>7396</v>
          </cell>
          <cell r="DJ166">
            <v>1532</v>
          </cell>
          <cell r="DK166">
            <v>3849</v>
          </cell>
          <cell r="DL166">
            <v>1177</v>
          </cell>
          <cell r="DM166">
            <v>3398</v>
          </cell>
          <cell r="DN166">
            <v>9501</v>
          </cell>
          <cell r="DO166">
            <v>1971</v>
          </cell>
          <cell r="DP166">
            <v>11084</v>
          </cell>
          <cell r="DQ166">
            <v>5670</v>
          </cell>
          <cell r="DR166">
            <v>5281</v>
          </cell>
          <cell r="DS166">
            <v>3439</v>
          </cell>
          <cell r="DT166">
            <v>4215</v>
          </cell>
          <cell r="DU166">
            <v>6045</v>
          </cell>
          <cell r="DV166">
            <v>24099</v>
          </cell>
          <cell r="DW166">
            <v>4766</v>
          </cell>
          <cell r="DX166">
            <v>263</v>
          </cell>
          <cell r="DY166">
            <v>3341</v>
          </cell>
          <cell r="DZ166">
            <v>8307</v>
          </cell>
          <cell r="EA166">
            <v>4060</v>
          </cell>
          <cell r="EB166">
            <v>3022</v>
          </cell>
          <cell r="EC166">
            <v>8110</v>
          </cell>
          <cell r="ED166">
            <v>15170</v>
          </cell>
          <cell r="EE166">
            <v>10176</v>
          </cell>
          <cell r="EF166">
            <v>9612</v>
          </cell>
          <cell r="EG166">
            <v>6407</v>
          </cell>
          <cell r="EH166">
            <v>3475</v>
          </cell>
          <cell r="EI166">
            <v>1030</v>
          </cell>
          <cell r="EJ166">
            <v>1854</v>
          </cell>
          <cell r="EK166">
            <v>5090</v>
          </cell>
          <cell r="EL166">
            <v>11477</v>
          </cell>
          <cell r="EM166">
            <v>2635</v>
          </cell>
          <cell r="EN166">
            <v>2862</v>
          </cell>
          <cell r="EO166">
            <v>5470</v>
          </cell>
          <cell r="EP166">
            <v>10107</v>
          </cell>
          <cell r="EQ166">
            <v>6726</v>
          </cell>
          <cell r="ER166">
            <v>16889</v>
          </cell>
          <cell r="ES166">
            <v>1111</v>
          </cell>
          <cell r="ET166">
            <v>6026</v>
          </cell>
          <cell r="EU166">
            <v>7128</v>
          </cell>
          <cell r="EV166">
            <v>1454</v>
          </cell>
          <cell r="EW166">
            <v>11646</v>
          </cell>
          <cell r="EX166">
            <v>12151</v>
          </cell>
          <cell r="EY166">
            <v>7824</v>
          </cell>
          <cell r="EZ166">
            <v>13950</v>
          </cell>
          <cell r="FA166">
            <v>13920</v>
          </cell>
          <cell r="FB166">
            <v>12932</v>
          </cell>
          <cell r="FC166">
            <v>1851</v>
          </cell>
          <cell r="FD166">
            <v>5230</v>
          </cell>
          <cell r="FE166">
            <v>24689</v>
          </cell>
          <cell r="FF166">
            <v>222134</v>
          </cell>
          <cell r="FG166">
            <v>21185</v>
          </cell>
          <cell r="FH166">
            <v>-453</v>
          </cell>
          <cell r="FI166">
            <v>242518</v>
          </cell>
          <cell r="FJ166">
            <v>7.1</v>
          </cell>
          <cell r="FK166">
            <v>-0.6</v>
          </cell>
          <cell r="FL166">
            <v>5.4</v>
          </cell>
          <cell r="FM166">
            <v>-2</v>
          </cell>
          <cell r="FN166">
            <v>5.7</v>
          </cell>
          <cell r="FO166">
            <v>-5.2</v>
          </cell>
          <cell r="FP166">
            <v>-1</v>
          </cell>
          <cell r="FQ166">
            <v>1.2</v>
          </cell>
          <cell r="FR166">
            <v>7.5</v>
          </cell>
          <cell r="FS166">
            <v>2.1</v>
          </cell>
          <cell r="FT166">
            <v>-0.1</v>
          </cell>
          <cell r="FU166">
            <v>3.5</v>
          </cell>
          <cell r="FV166">
            <v>0.5</v>
          </cell>
          <cell r="FW166">
            <v>0.7</v>
          </cell>
          <cell r="FX166">
            <v>3.1</v>
          </cell>
          <cell r="FY166">
            <v>1.5</v>
          </cell>
          <cell r="FZ166">
            <v>0.3</v>
          </cell>
          <cell r="GA166">
            <v>0.1</v>
          </cell>
          <cell r="GB166">
            <v>-0.1</v>
          </cell>
          <cell r="GC166">
            <v>0.1</v>
          </cell>
          <cell r="GD166">
            <v>-1.3</v>
          </cell>
          <cell r="GE166">
            <v>-5.7</v>
          </cell>
          <cell r="GF166">
            <v>-0.7</v>
          </cell>
          <cell r="GG166">
            <v>-2</v>
          </cell>
          <cell r="GH166">
            <v>2.7</v>
          </cell>
          <cell r="GI166">
            <v>1.4</v>
          </cell>
          <cell r="GJ166">
            <v>3.4</v>
          </cell>
          <cell r="GK166">
            <v>0.3</v>
          </cell>
          <cell r="GL166">
            <v>1.4</v>
          </cell>
          <cell r="GM166">
            <v>1.7</v>
          </cell>
          <cell r="GN166">
            <v>1.5</v>
          </cell>
          <cell r="GO166">
            <v>1.5</v>
          </cell>
          <cell r="GP166">
            <v>6.1</v>
          </cell>
          <cell r="GQ166">
            <v>1.7</v>
          </cell>
          <cell r="GR166">
            <v>4.0999999999999996</v>
          </cell>
          <cell r="GS166">
            <v>1.9</v>
          </cell>
          <cell r="GT166">
            <v>-0.3</v>
          </cell>
          <cell r="GU166">
            <v>1.4</v>
          </cell>
          <cell r="GV166">
            <v>0.7</v>
          </cell>
          <cell r="GW166">
            <v>0.7</v>
          </cell>
          <cell r="GX166">
            <v>0.7</v>
          </cell>
          <cell r="GY166">
            <v>3.5</v>
          </cell>
          <cell r="GZ166">
            <v>2.7</v>
          </cell>
          <cell r="HA166">
            <v>2.9</v>
          </cell>
          <cell r="HB166">
            <v>2.9</v>
          </cell>
          <cell r="HC166">
            <v>-4.2</v>
          </cell>
          <cell r="HD166">
            <v>0.9</v>
          </cell>
          <cell r="HE166">
            <v>0.3</v>
          </cell>
          <cell r="HF166">
            <v>2.1</v>
          </cell>
          <cell r="HG166">
            <v>1.2</v>
          </cell>
          <cell r="HH166">
            <v>0.6</v>
          </cell>
          <cell r="HI166">
            <v>1</v>
          </cell>
          <cell r="HJ166">
            <v>4</v>
          </cell>
          <cell r="HK166">
            <v>0.9</v>
          </cell>
          <cell r="HL166">
            <v>4797</v>
          </cell>
          <cell r="HM166">
            <v>975</v>
          </cell>
          <cell r="HN166">
            <v>5828</v>
          </cell>
          <cell r="HO166">
            <v>1524</v>
          </cell>
          <cell r="HP166">
            <v>3857</v>
          </cell>
          <cell r="HQ166">
            <v>1170</v>
          </cell>
          <cell r="HR166">
            <v>3421</v>
          </cell>
          <cell r="HS166">
            <v>9507</v>
          </cell>
          <cell r="HT166">
            <v>2076</v>
          </cell>
          <cell r="HU166">
            <v>11170</v>
          </cell>
          <cell r="HV166">
            <v>5431</v>
          </cell>
          <cell r="HW166">
            <v>5261</v>
          </cell>
          <cell r="HX166">
            <v>3452</v>
          </cell>
          <cell r="HY166">
            <v>4191</v>
          </cell>
          <cell r="HZ166">
            <v>5935</v>
          </cell>
          <cell r="IA166">
            <v>23752</v>
          </cell>
          <cell r="IB166">
            <v>4785</v>
          </cell>
          <cell r="IC166">
            <v>281</v>
          </cell>
          <cell r="ID166">
            <v>3211</v>
          </cell>
          <cell r="IE166">
            <v>8258</v>
          </cell>
          <cell r="IF166">
            <v>4050</v>
          </cell>
          <cell r="IG166">
            <v>2867</v>
          </cell>
          <cell r="IH166">
            <v>8404</v>
          </cell>
          <cell r="II166">
            <v>15258</v>
          </cell>
          <cell r="IJ166">
            <v>10258</v>
          </cell>
          <cell r="IK166">
            <v>9368</v>
          </cell>
          <cell r="IL166">
            <v>6210</v>
          </cell>
          <cell r="IM166">
            <v>3439</v>
          </cell>
          <cell r="IN166">
            <v>988</v>
          </cell>
          <cell r="IO166">
            <v>1842</v>
          </cell>
          <cell r="IP166">
            <v>5079</v>
          </cell>
          <cell r="IQ166">
            <v>11317</v>
          </cell>
        </row>
        <row r="167">
          <cell r="B167">
            <v>6994</v>
          </cell>
          <cell r="C167">
            <v>996</v>
          </cell>
          <cell r="D167">
            <v>7829</v>
          </cell>
          <cell r="E167">
            <v>1574</v>
          </cell>
          <cell r="F167">
            <v>3669</v>
          </cell>
          <cell r="G167">
            <v>1153</v>
          </cell>
          <cell r="H167">
            <v>3577</v>
          </cell>
          <cell r="I167">
            <v>9514</v>
          </cell>
          <cell r="J167">
            <v>1667</v>
          </cell>
          <cell r="K167">
            <v>10871</v>
          </cell>
          <cell r="L167">
            <v>5799</v>
          </cell>
          <cell r="M167">
            <v>5239</v>
          </cell>
          <cell r="N167">
            <v>3444</v>
          </cell>
          <cell r="O167">
            <v>4307</v>
          </cell>
          <cell r="P167">
            <v>6071</v>
          </cell>
          <cell r="Q167">
            <v>24333</v>
          </cell>
          <cell r="R167">
            <v>4791</v>
          </cell>
          <cell r="S167">
            <v>271</v>
          </cell>
          <cell r="T167">
            <v>3368</v>
          </cell>
          <cell r="U167">
            <v>8370</v>
          </cell>
          <cell r="V167">
            <v>4152</v>
          </cell>
          <cell r="W167">
            <v>3028</v>
          </cell>
          <cell r="X167">
            <v>8545</v>
          </cell>
          <cell r="Y167">
            <v>15694</v>
          </cell>
          <cell r="Z167">
            <v>10251</v>
          </cell>
          <cell r="AA167">
            <v>9775</v>
          </cell>
          <cell r="AB167">
            <v>6564</v>
          </cell>
          <cell r="AC167">
            <v>3620</v>
          </cell>
          <cell r="AD167">
            <v>1037</v>
          </cell>
          <cell r="AE167">
            <v>1844</v>
          </cell>
          <cell r="AF167">
            <v>5225</v>
          </cell>
          <cell r="AG167">
            <v>11705</v>
          </cell>
          <cell r="AH167">
            <v>2694</v>
          </cell>
          <cell r="AI167">
            <v>2886</v>
          </cell>
          <cell r="AJ167">
            <v>5561</v>
          </cell>
          <cell r="AK167">
            <v>10431</v>
          </cell>
          <cell r="AL167">
            <v>6966</v>
          </cell>
          <cell r="AM167">
            <v>17430</v>
          </cell>
          <cell r="AN167">
            <v>1123</v>
          </cell>
          <cell r="AO167">
            <v>6008</v>
          </cell>
          <cell r="AP167">
            <v>7132</v>
          </cell>
          <cell r="AQ167">
            <v>1507</v>
          </cell>
          <cell r="AR167">
            <v>12014</v>
          </cell>
          <cell r="AS167">
            <v>12548</v>
          </cell>
          <cell r="AT167">
            <v>8012</v>
          </cell>
          <cell r="AU167">
            <v>14330</v>
          </cell>
          <cell r="AV167">
            <v>14081</v>
          </cell>
          <cell r="AW167">
            <v>12877</v>
          </cell>
          <cell r="AX167">
            <v>1891</v>
          </cell>
          <cell r="AY167">
            <v>5252</v>
          </cell>
          <cell r="AZ167">
            <v>24808</v>
          </cell>
          <cell r="BA167">
            <v>225772</v>
          </cell>
          <cell r="BB167">
            <v>21175</v>
          </cell>
          <cell r="BC167">
            <v>329</v>
          </cell>
          <cell r="BD167">
            <v>246941</v>
          </cell>
          <cell r="BE167">
            <v>5.7</v>
          </cell>
          <cell r="BF167">
            <v>0.9</v>
          </cell>
          <cell r="BG167">
            <v>4.7</v>
          </cell>
          <cell r="BH167">
            <v>2.9</v>
          </cell>
          <cell r="BI167">
            <v>-3.7</v>
          </cell>
          <cell r="BJ167">
            <v>-2.7</v>
          </cell>
          <cell r="BK167">
            <v>2.8</v>
          </cell>
          <cell r="BL167">
            <v>-0.1</v>
          </cell>
          <cell r="BM167">
            <v>-6.8</v>
          </cell>
          <cell r="BN167">
            <v>-0.8</v>
          </cell>
          <cell r="BO167">
            <v>1.8</v>
          </cell>
          <cell r="BP167">
            <v>0.7</v>
          </cell>
          <cell r="BQ167">
            <v>0.5</v>
          </cell>
          <cell r="BR167">
            <v>1.8</v>
          </cell>
          <cell r="BS167">
            <v>1.1000000000000001</v>
          </cell>
          <cell r="BT167">
            <v>1.2</v>
          </cell>
          <cell r="BU167">
            <v>0.5</v>
          </cell>
          <cell r="BV167">
            <v>2</v>
          </cell>
          <cell r="BW167">
            <v>0.4</v>
          </cell>
          <cell r="BX167">
            <v>0.5</v>
          </cell>
          <cell r="BY167">
            <v>1.3</v>
          </cell>
          <cell r="BZ167">
            <v>-1.6</v>
          </cell>
          <cell r="CA167">
            <v>3.2</v>
          </cell>
          <cell r="CB167">
            <v>1.7</v>
          </cell>
          <cell r="CC167">
            <v>1.6</v>
          </cell>
          <cell r="CD167">
            <v>1.6</v>
          </cell>
          <cell r="CE167">
            <v>2.8</v>
          </cell>
          <cell r="CF167">
            <v>2.2999999999999998</v>
          </cell>
          <cell r="CG167">
            <v>1</v>
          </cell>
          <cell r="CH167">
            <v>0.7</v>
          </cell>
          <cell r="CI167">
            <v>1.4</v>
          </cell>
          <cell r="CJ167">
            <v>1.4</v>
          </cell>
          <cell r="CK167">
            <v>3.5</v>
          </cell>
          <cell r="CL167">
            <v>1.8</v>
          </cell>
          <cell r="CM167">
            <v>2.8</v>
          </cell>
          <cell r="CN167">
            <v>2.6</v>
          </cell>
          <cell r="CO167">
            <v>3</v>
          </cell>
          <cell r="CP167">
            <v>2.6</v>
          </cell>
          <cell r="CQ167">
            <v>1.4</v>
          </cell>
          <cell r="CR167">
            <v>0.2</v>
          </cell>
          <cell r="CS167">
            <v>0.5</v>
          </cell>
          <cell r="CT167">
            <v>3.8</v>
          </cell>
          <cell r="CU167">
            <v>3.2</v>
          </cell>
          <cell r="CV167">
            <v>3.4</v>
          </cell>
          <cell r="CW167">
            <v>2.7</v>
          </cell>
          <cell r="CX167">
            <v>0.8</v>
          </cell>
          <cell r="CY167">
            <v>1</v>
          </cell>
          <cell r="CZ167">
            <v>-1</v>
          </cell>
          <cell r="DA167">
            <v>2</v>
          </cell>
          <cell r="DB167">
            <v>0.7</v>
          </cell>
          <cell r="DC167">
            <v>0.5</v>
          </cell>
          <cell r="DD167">
            <v>1.4</v>
          </cell>
          <cell r="DE167">
            <v>1.2</v>
          </cell>
          <cell r="DF167">
            <v>1.5</v>
          </cell>
          <cell r="DG167">
            <v>7022</v>
          </cell>
          <cell r="DH167">
            <v>1005</v>
          </cell>
          <cell r="DI167">
            <v>7867</v>
          </cell>
          <cell r="DJ167">
            <v>1532</v>
          </cell>
          <cell r="DK167">
            <v>3956</v>
          </cell>
          <cell r="DL167">
            <v>1118</v>
          </cell>
          <cell r="DM167">
            <v>3608</v>
          </cell>
          <cell r="DN167">
            <v>9723</v>
          </cell>
          <cell r="DO167">
            <v>1420</v>
          </cell>
          <cell r="DP167">
            <v>10897</v>
          </cell>
          <cell r="DQ167">
            <v>5798</v>
          </cell>
          <cell r="DR167">
            <v>5206</v>
          </cell>
          <cell r="DS167">
            <v>3422</v>
          </cell>
          <cell r="DT167">
            <v>4227</v>
          </cell>
          <cell r="DU167">
            <v>6126</v>
          </cell>
          <cell r="DV167">
            <v>24241</v>
          </cell>
          <cell r="DW167">
            <v>4795</v>
          </cell>
          <cell r="DX167">
            <v>271</v>
          </cell>
          <cell r="DY167">
            <v>3358</v>
          </cell>
          <cell r="DZ167">
            <v>8366</v>
          </cell>
          <cell r="EA167">
            <v>4089</v>
          </cell>
          <cell r="EB167">
            <v>2992</v>
          </cell>
          <cell r="EC167">
            <v>8526</v>
          </cell>
          <cell r="ED167">
            <v>15572</v>
          </cell>
          <cell r="EE167">
            <v>10198</v>
          </cell>
          <cell r="EF167">
            <v>9819</v>
          </cell>
          <cell r="EG167">
            <v>6587</v>
          </cell>
          <cell r="EH167">
            <v>3660</v>
          </cell>
          <cell r="EI167">
            <v>1034</v>
          </cell>
          <cell r="EJ167">
            <v>1817</v>
          </cell>
          <cell r="EK167">
            <v>5308</v>
          </cell>
          <cell r="EL167">
            <v>11787</v>
          </cell>
          <cell r="EM167">
            <v>2668</v>
          </cell>
          <cell r="EN167">
            <v>2819</v>
          </cell>
          <cell r="EO167">
            <v>5475</v>
          </cell>
          <cell r="EP167">
            <v>10484</v>
          </cell>
          <cell r="EQ167">
            <v>6981</v>
          </cell>
          <cell r="ER167">
            <v>17499</v>
          </cell>
          <cell r="ES167">
            <v>1120</v>
          </cell>
          <cell r="ET167">
            <v>5978</v>
          </cell>
          <cell r="EU167">
            <v>7101</v>
          </cell>
          <cell r="EV167">
            <v>1503</v>
          </cell>
          <cell r="EW167">
            <v>11996</v>
          </cell>
          <cell r="EX167">
            <v>12526</v>
          </cell>
          <cell r="EY167">
            <v>7983</v>
          </cell>
          <cell r="EZ167">
            <v>14295</v>
          </cell>
          <cell r="FA167">
            <v>14094</v>
          </cell>
          <cell r="FB167">
            <v>12960</v>
          </cell>
          <cell r="FC167">
            <v>1890</v>
          </cell>
          <cell r="FD167">
            <v>5257</v>
          </cell>
          <cell r="FE167">
            <v>24779</v>
          </cell>
          <cell r="FF167">
            <v>225641</v>
          </cell>
          <cell r="FG167">
            <v>21172</v>
          </cell>
          <cell r="FH167">
            <v>670</v>
          </cell>
          <cell r="FI167">
            <v>247148</v>
          </cell>
          <cell r="FJ167">
            <v>7.4</v>
          </cell>
          <cell r="FK167">
            <v>2.5</v>
          </cell>
          <cell r="FL167">
            <v>6.4</v>
          </cell>
          <cell r="FM167">
            <v>0</v>
          </cell>
          <cell r="FN167">
            <v>2.8</v>
          </cell>
          <cell r="FO167">
            <v>-5</v>
          </cell>
          <cell r="FP167">
            <v>6.2</v>
          </cell>
          <cell r="FQ167">
            <v>2.2999999999999998</v>
          </cell>
          <cell r="FR167">
            <v>-27.9</v>
          </cell>
          <cell r="FS167">
            <v>-1.7</v>
          </cell>
          <cell r="FT167">
            <v>2.2999999999999998</v>
          </cell>
          <cell r="FU167">
            <v>-1.4</v>
          </cell>
          <cell r="FV167">
            <v>-0.5</v>
          </cell>
          <cell r="FW167">
            <v>0.3</v>
          </cell>
          <cell r="FX167">
            <v>1.3</v>
          </cell>
          <cell r="FY167">
            <v>0.6</v>
          </cell>
          <cell r="FZ167">
            <v>0.6</v>
          </cell>
          <cell r="GA167">
            <v>3.1</v>
          </cell>
          <cell r="GB167">
            <v>0.5</v>
          </cell>
          <cell r="GC167">
            <v>0.7</v>
          </cell>
          <cell r="GD167">
            <v>0.7</v>
          </cell>
          <cell r="GE167">
            <v>-1</v>
          </cell>
          <cell r="GF167">
            <v>5.0999999999999996</v>
          </cell>
          <cell r="GG167">
            <v>2.7</v>
          </cell>
          <cell r="GH167">
            <v>0.2</v>
          </cell>
          <cell r="GI167">
            <v>2.2000000000000002</v>
          </cell>
          <cell r="GJ167">
            <v>2.8</v>
          </cell>
          <cell r="GK167">
            <v>5.3</v>
          </cell>
          <cell r="GL167">
            <v>0.4</v>
          </cell>
          <cell r="GM167">
            <v>-2</v>
          </cell>
          <cell r="GN167">
            <v>4.3</v>
          </cell>
          <cell r="GO167">
            <v>2.7</v>
          </cell>
          <cell r="GP167">
            <v>1.2</v>
          </cell>
          <cell r="GQ167">
            <v>-1.5</v>
          </cell>
          <cell r="GR167">
            <v>0.1</v>
          </cell>
          <cell r="GS167">
            <v>3.7</v>
          </cell>
          <cell r="GT167">
            <v>3.8</v>
          </cell>
          <cell r="GU167">
            <v>3.6</v>
          </cell>
          <cell r="GV167">
            <v>0.8</v>
          </cell>
          <cell r="GW167">
            <v>-0.8</v>
          </cell>
          <cell r="GX167">
            <v>-0.4</v>
          </cell>
          <cell r="GY167">
            <v>3.4</v>
          </cell>
          <cell r="GZ167">
            <v>3</v>
          </cell>
          <cell r="HA167">
            <v>3.1</v>
          </cell>
          <cell r="HB167">
            <v>2</v>
          </cell>
          <cell r="HC167">
            <v>2.5</v>
          </cell>
          <cell r="HD167">
            <v>1.2</v>
          </cell>
          <cell r="HE167">
            <v>0.2</v>
          </cell>
          <cell r="HF167">
            <v>2.1</v>
          </cell>
          <cell r="HG167">
            <v>0.5</v>
          </cell>
          <cell r="HH167">
            <v>0.4</v>
          </cell>
          <cell r="HI167">
            <v>1.6</v>
          </cell>
          <cell r="HJ167">
            <v>-0.1</v>
          </cell>
          <cell r="HK167">
            <v>1.9</v>
          </cell>
          <cell r="HL167">
            <v>4181</v>
          </cell>
          <cell r="HM167">
            <v>1012</v>
          </cell>
          <cell r="HN167">
            <v>5327</v>
          </cell>
          <cell r="HO167">
            <v>1597</v>
          </cell>
          <cell r="HP167">
            <v>4145</v>
          </cell>
          <cell r="HQ167">
            <v>1148</v>
          </cell>
          <cell r="HR167">
            <v>3642</v>
          </cell>
          <cell r="HS167">
            <v>10068</v>
          </cell>
          <cell r="HT167">
            <v>1441</v>
          </cell>
          <cell r="HU167">
            <v>11260</v>
          </cell>
          <cell r="HV167">
            <v>5770</v>
          </cell>
          <cell r="HW167">
            <v>5312</v>
          </cell>
          <cell r="HX167">
            <v>3520</v>
          </cell>
          <cell r="HY167">
            <v>4390</v>
          </cell>
          <cell r="HZ167">
            <v>6323</v>
          </cell>
          <cell r="IA167">
            <v>24801</v>
          </cell>
          <cell r="IB167">
            <v>4982</v>
          </cell>
          <cell r="IC167">
            <v>312</v>
          </cell>
          <cell r="ID167">
            <v>3238</v>
          </cell>
          <cell r="IE167">
            <v>8552</v>
          </cell>
          <cell r="IF167">
            <v>4217</v>
          </cell>
          <cell r="IG167">
            <v>3234</v>
          </cell>
          <cell r="IH167">
            <v>8519</v>
          </cell>
          <cell r="II167">
            <v>15941</v>
          </cell>
          <cell r="IJ167">
            <v>10248</v>
          </cell>
          <cell r="IK167">
            <v>9633</v>
          </cell>
          <cell r="IL167">
            <v>6733</v>
          </cell>
          <cell r="IM167">
            <v>3676</v>
          </cell>
          <cell r="IN167">
            <v>1083</v>
          </cell>
          <cell r="IO167">
            <v>1859</v>
          </cell>
          <cell r="IP167">
            <v>5350</v>
          </cell>
          <cell r="IQ167">
            <v>11958</v>
          </cell>
        </row>
        <row r="168">
          <cell r="B168">
            <v>7081</v>
          </cell>
          <cell r="C168">
            <v>1012</v>
          </cell>
          <cell r="D168">
            <v>7932</v>
          </cell>
          <cell r="E168">
            <v>1693</v>
          </cell>
          <cell r="F168">
            <v>3426</v>
          </cell>
          <cell r="G168">
            <v>1138</v>
          </cell>
          <cell r="H168">
            <v>3655</v>
          </cell>
          <cell r="I168">
            <v>9512</v>
          </cell>
          <cell r="J168">
            <v>1576</v>
          </cell>
          <cell r="K168">
            <v>10797</v>
          </cell>
          <cell r="L168">
            <v>5909</v>
          </cell>
          <cell r="M168">
            <v>5273</v>
          </cell>
          <cell r="N168">
            <v>3446</v>
          </cell>
          <cell r="O168">
            <v>4286</v>
          </cell>
          <cell r="P168">
            <v>6166</v>
          </cell>
          <cell r="Q168">
            <v>24530</v>
          </cell>
          <cell r="R168">
            <v>4843</v>
          </cell>
          <cell r="S168">
            <v>276</v>
          </cell>
          <cell r="T168">
            <v>3383</v>
          </cell>
          <cell r="U168">
            <v>8445</v>
          </cell>
          <cell r="V168">
            <v>4227</v>
          </cell>
          <cell r="W168">
            <v>3027</v>
          </cell>
          <cell r="X168">
            <v>8728</v>
          </cell>
          <cell r="Y168">
            <v>15945</v>
          </cell>
          <cell r="Z168">
            <v>10334</v>
          </cell>
          <cell r="AA168">
            <v>9943</v>
          </cell>
          <cell r="AB168">
            <v>6780</v>
          </cell>
          <cell r="AC168">
            <v>3632</v>
          </cell>
          <cell r="AD168">
            <v>1044</v>
          </cell>
          <cell r="AE168">
            <v>1872</v>
          </cell>
          <cell r="AF168">
            <v>5215</v>
          </cell>
          <cell r="AG168">
            <v>11730</v>
          </cell>
          <cell r="AH168">
            <v>2782</v>
          </cell>
          <cell r="AI168">
            <v>2973</v>
          </cell>
          <cell r="AJ168">
            <v>5736</v>
          </cell>
          <cell r="AK168">
            <v>10688</v>
          </cell>
          <cell r="AL168">
            <v>7241</v>
          </cell>
          <cell r="AM168">
            <v>17911</v>
          </cell>
          <cell r="AN168">
            <v>1146</v>
          </cell>
          <cell r="AO168">
            <v>6058</v>
          </cell>
          <cell r="AP168">
            <v>7215</v>
          </cell>
          <cell r="AQ168">
            <v>1568</v>
          </cell>
          <cell r="AR168">
            <v>12395</v>
          </cell>
          <cell r="AS168">
            <v>12974</v>
          </cell>
          <cell r="AT168">
            <v>8238</v>
          </cell>
          <cell r="AU168">
            <v>14774</v>
          </cell>
          <cell r="AV168">
            <v>14211</v>
          </cell>
          <cell r="AW168">
            <v>12904</v>
          </cell>
          <cell r="AX168">
            <v>1917</v>
          </cell>
          <cell r="AY168">
            <v>5306</v>
          </cell>
          <cell r="AZ168">
            <v>24966</v>
          </cell>
          <cell r="BA168">
            <v>229063</v>
          </cell>
          <cell r="BB168">
            <v>21373</v>
          </cell>
          <cell r="BC168">
            <v>170</v>
          </cell>
          <cell r="BD168">
            <v>250272</v>
          </cell>
          <cell r="BE168">
            <v>1.2</v>
          </cell>
          <cell r="BF168">
            <v>1.5</v>
          </cell>
          <cell r="BG168">
            <v>1.3</v>
          </cell>
          <cell r="BH168">
            <v>7.6</v>
          </cell>
          <cell r="BI168">
            <v>-6.6</v>
          </cell>
          <cell r="BJ168">
            <v>-1.4</v>
          </cell>
          <cell r="BK168">
            <v>2.2000000000000002</v>
          </cell>
          <cell r="BL168">
            <v>0</v>
          </cell>
          <cell r="BM168">
            <v>-5.4</v>
          </cell>
          <cell r="BN168">
            <v>-0.7</v>
          </cell>
          <cell r="BO168">
            <v>1.9</v>
          </cell>
          <cell r="BP168">
            <v>0.7</v>
          </cell>
          <cell r="BQ168">
            <v>0.1</v>
          </cell>
          <cell r="BR168">
            <v>-0.5</v>
          </cell>
          <cell r="BS168">
            <v>1.6</v>
          </cell>
          <cell r="BT168">
            <v>0.8</v>
          </cell>
          <cell r="BU168">
            <v>1.1000000000000001</v>
          </cell>
          <cell r="BV168">
            <v>1.9</v>
          </cell>
          <cell r="BW168">
            <v>0.4</v>
          </cell>
          <cell r="BX168">
            <v>0.9</v>
          </cell>
          <cell r="BY168">
            <v>1.8</v>
          </cell>
          <cell r="BZ168">
            <v>0</v>
          </cell>
          <cell r="CA168">
            <v>2.1</v>
          </cell>
          <cell r="CB168">
            <v>1.6</v>
          </cell>
          <cell r="CC168">
            <v>0.8</v>
          </cell>
          <cell r="CD168">
            <v>1.7</v>
          </cell>
          <cell r="CE168">
            <v>3.3</v>
          </cell>
          <cell r="CF168">
            <v>0.3</v>
          </cell>
          <cell r="CG168">
            <v>0.7</v>
          </cell>
          <cell r="CH168">
            <v>1.5</v>
          </cell>
          <cell r="CI168">
            <v>-0.2</v>
          </cell>
          <cell r="CJ168">
            <v>0.2</v>
          </cell>
          <cell r="CK168">
            <v>3.3</v>
          </cell>
          <cell r="CL168">
            <v>3</v>
          </cell>
          <cell r="CM168">
            <v>3.2</v>
          </cell>
          <cell r="CN168">
            <v>2.5</v>
          </cell>
          <cell r="CO168">
            <v>4</v>
          </cell>
          <cell r="CP168">
            <v>2.8</v>
          </cell>
          <cell r="CQ168">
            <v>2.1</v>
          </cell>
          <cell r="CR168">
            <v>0.8</v>
          </cell>
          <cell r="CS168">
            <v>1.2</v>
          </cell>
          <cell r="CT168">
            <v>4</v>
          </cell>
          <cell r="CU168">
            <v>3.2</v>
          </cell>
          <cell r="CV168">
            <v>3.4</v>
          </cell>
          <cell r="CW168">
            <v>2.8</v>
          </cell>
          <cell r="CX168">
            <v>3.1</v>
          </cell>
          <cell r="CY168">
            <v>0.9</v>
          </cell>
          <cell r="CZ168">
            <v>0.2</v>
          </cell>
          <cell r="DA168">
            <v>1.3</v>
          </cell>
          <cell r="DB168">
            <v>1</v>
          </cell>
          <cell r="DC168">
            <v>0.6</v>
          </cell>
          <cell r="DD168">
            <v>1.5</v>
          </cell>
          <cell r="DE168">
            <v>0.9</v>
          </cell>
          <cell r="DF168">
            <v>1.3</v>
          </cell>
          <cell r="DG168">
            <v>7464</v>
          </cell>
          <cell r="DH168">
            <v>1011</v>
          </cell>
          <cell r="DI168">
            <v>8273</v>
          </cell>
          <cell r="DJ168">
            <v>1683</v>
          </cell>
          <cell r="DK168">
            <v>3121</v>
          </cell>
          <cell r="DL168">
            <v>1174</v>
          </cell>
          <cell r="DM168">
            <v>3696</v>
          </cell>
          <cell r="DN168">
            <v>9254</v>
          </cell>
          <cell r="DO168">
            <v>1651</v>
          </cell>
          <cell r="DP168">
            <v>10596</v>
          </cell>
          <cell r="DQ168">
            <v>5914</v>
          </cell>
          <cell r="DR168">
            <v>5241</v>
          </cell>
          <cell r="DS168">
            <v>3446</v>
          </cell>
          <cell r="DT168">
            <v>4430</v>
          </cell>
          <cell r="DU168">
            <v>6037</v>
          </cell>
          <cell r="DV168">
            <v>24554</v>
          </cell>
          <cell r="DW168">
            <v>4811</v>
          </cell>
          <cell r="DX168">
            <v>277</v>
          </cell>
          <cell r="DY168">
            <v>3407</v>
          </cell>
          <cell r="DZ168">
            <v>8433</v>
          </cell>
          <cell r="EA168">
            <v>4334</v>
          </cell>
          <cell r="EB168">
            <v>3046</v>
          </cell>
          <cell r="EC168">
            <v>8872</v>
          </cell>
          <cell r="ED168">
            <v>16213</v>
          </cell>
          <cell r="EE168">
            <v>10364</v>
          </cell>
          <cell r="EF168">
            <v>9878</v>
          </cell>
          <cell r="EG168">
            <v>6757</v>
          </cell>
          <cell r="EH168">
            <v>3710</v>
          </cell>
          <cell r="EI168">
            <v>1050</v>
          </cell>
          <cell r="EJ168">
            <v>1870</v>
          </cell>
          <cell r="EK168">
            <v>5281</v>
          </cell>
          <cell r="EL168">
            <v>11854</v>
          </cell>
          <cell r="EM168">
            <v>2812</v>
          </cell>
          <cell r="EN168">
            <v>3001</v>
          </cell>
          <cell r="EO168">
            <v>5796</v>
          </cell>
          <cell r="EP168">
            <v>10654</v>
          </cell>
          <cell r="EQ168">
            <v>7250</v>
          </cell>
          <cell r="ER168">
            <v>17873</v>
          </cell>
          <cell r="ES168">
            <v>1150</v>
          </cell>
          <cell r="ET168">
            <v>6073</v>
          </cell>
          <cell r="EU168">
            <v>7234</v>
          </cell>
          <cell r="EV168">
            <v>1573</v>
          </cell>
          <cell r="EW168">
            <v>12445</v>
          </cell>
          <cell r="EX168">
            <v>13025</v>
          </cell>
          <cell r="EY168">
            <v>8266</v>
          </cell>
          <cell r="EZ168">
            <v>14763</v>
          </cell>
          <cell r="FA168">
            <v>14214</v>
          </cell>
          <cell r="FB168">
            <v>12788</v>
          </cell>
          <cell r="FC168">
            <v>1934</v>
          </cell>
          <cell r="FD168">
            <v>5300</v>
          </cell>
          <cell r="FE168">
            <v>24977</v>
          </cell>
          <cell r="FF168">
            <v>229611</v>
          </cell>
          <cell r="FG168">
            <v>21156</v>
          </cell>
          <cell r="FH168">
            <v>440</v>
          </cell>
          <cell r="FI168">
            <v>250888</v>
          </cell>
          <cell r="FJ168">
            <v>6.3</v>
          </cell>
          <cell r="FK168">
            <v>0.6</v>
          </cell>
          <cell r="FL168">
            <v>5.2</v>
          </cell>
          <cell r="FM168">
            <v>9.8000000000000007</v>
          </cell>
          <cell r="FN168">
            <v>-21.1</v>
          </cell>
          <cell r="FO168">
            <v>5</v>
          </cell>
          <cell r="FP168">
            <v>2.4</v>
          </cell>
          <cell r="FQ168">
            <v>-4.8</v>
          </cell>
          <cell r="FR168">
            <v>16.2</v>
          </cell>
          <cell r="FS168">
            <v>-2.8</v>
          </cell>
          <cell r="FT168">
            <v>2</v>
          </cell>
          <cell r="FU168">
            <v>0.7</v>
          </cell>
          <cell r="FV168">
            <v>0.7</v>
          </cell>
          <cell r="FW168">
            <v>4.8</v>
          </cell>
          <cell r="FX168">
            <v>-1.5</v>
          </cell>
          <cell r="FY168">
            <v>1.3</v>
          </cell>
          <cell r="FZ168">
            <v>0.3</v>
          </cell>
          <cell r="GA168">
            <v>2.1</v>
          </cell>
          <cell r="GB168">
            <v>1.5</v>
          </cell>
          <cell r="GC168">
            <v>0.8</v>
          </cell>
          <cell r="GD168">
            <v>6</v>
          </cell>
          <cell r="GE168">
            <v>1.8</v>
          </cell>
          <cell r="GF168">
            <v>4.0999999999999996</v>
          </cell>
          <cell r="GG168">
            <v>4.0999999999999996</v>
          </cell>
          <cell r="GH168">
            <v>1.6</v>
          </cell>
          <cell r="GI168">
            <v>0.6</v>
          </cell>
          <cell r="GJ168">
            <v>2.6</v>
          </cell>
          <cell r="GK168">
            <v>1.4</v>
          </cell>
          <cell r="GL168">
            <v>1.5</v>
          </cell>
          <cell r="GM168">
            <v>2.9</v>
          </cell>
          <cell r="GN168">
            <v>-0.5</v>
          </cell>
          <cell r="GO168">
            <v>0.6</v>
          </cell>
          <cell r="GP168">
            <v>5.4</v>
          </cell>
          <cell r="GQ168">
            <v>6.5</v>
          </cell>
          <cell r="GR168">
            <v>5.9</v>
          </cell>
          <cell r="GS168">
            <v>1.6</v>
          </cell>
          <cell r="GT168">
            <v>3.9</v>
          </cell>
          <cell r="GU168">
            <v>2.1</v>
          </cell>
          <cell r="GV168">
            <v>2.7</v>
          </cell>
          <cell r="GW168">
            <v>1.6</v>
          </cell>
          <cell r="GX168">
            <v>1.9</v>
          </cell>
          <cell r="GY168">
            <v>4.7</v>
          </cell>
          <cell r="GZ168">
            <v>3.7</v>
          </cell>
          <cell r="HA168">
            <v>4</v>
          </cell>
          <cell r="HB168">
            <v>3.5</v>
          </cell>
          <cell r="HC168">
            <v>3.3</v>
          </cell>
          <cell r="HD168">
            <v>0.9</v>
          </cell>
          <cell r="HE168">
            <v>-1.3</v>
          </cell>
          <cell r="HF168">
            <v>2.2999999999999998</v>
          </cell>
          <cell r="HG168">
            <v>0.8</v>
          </cell>
          <cell r="HH168">
            <v>0.8</v>
          </cell>
          <cell r="HI168">
            <v>1.8</v>
          </cell>
          <cell r="HJ168">
            <v>-0.1</v>
          </cell>
          <cell r="HK168">
            <v>1.5</v>
          </cell>
          <cell r="HL168">
            <v>13176</v>
          </cell>
          <cell r="HM168">
            <v>1014</v>
          </cell>
          <cell r="HN168">
            <v>13393</v>
          </cell>
          <cell r="HO168">
            <v>1647</v>
          </cell>
          <cell r="HP168">
            <v>3040</v>
          </cell>
          <cell r="HQ168">
            <v>1197</v>
          </cell>
          <cell r="HR168">
            <v>3758</v>
          </cell>
          <cell r="HS168">
            <v>9177</v>
          </cell>
          <cell r="HT168">
            <v>1708</v>
          </cell>
          <cell r="HU168">
            <v>10560</v>
          </cell>
          <cell r="HV168">
            <v>6351</v>
          </cell>
          <cell r="HW168">
            <v>5237</v>
          </cell>
          <cell r="HX168">
            <v>3508</v>
          </cell>
          <cell r="HY168">
            <v>4549</v>
          </cell>
          <cell r="HZ168">
            <v>6266</v>
          </cell>
          <cell r="IA168">
            <v>25382</v>
          </cell>
          <cell r="IB168">
            <v>4676</v>
          </cell>
          <cell r="IC168">
            <v>259</v>
          </cell>
          <cell r="ID168">
            <v>3506</v>
          </cell>
          <cell r="IE168">
            <v>8322</v>
          </cell>
          <cell r="IF168">
            <v>4565</v>
          </cell>
          <cell r="IG168">
            <v>3402</v>
          </cell>
          <cell r="IH168">
            <v>9240</v>
          </cell>
          <cell r="II168">
            <v>17213</v>
          </cell>
          <cell r="IJ168">
            <v>10722</v>
          </cell>
          <cell r="IK168">
            <v>10905</v>
          </cell>
          <cell r="IL168">
            <v>7306</v>
          </cell>
          <cell r="IM168">
            <v>3882</v>
          </cell>
          <cell r="IN168">
            <v>1078</v>
          </cell>
          <cell r="IO168">
            <v>1905</v>
          </cell>
          <cell r="IP168">
            <v>5388</v>
          </cell>
          <cell r="IQ168">
            <v>12216</v>
          </cell>
        </row>
        <row r="169">
          <cell r="B169">
            <v>6974</v>
          </cell>
          <cell r="C169">
            <v>1039</v>
          </cell>
          <cell r="D169">
            <v>7880</v>
          </cell>
          <cell r="E169">
            <v>1839</v>
          </cell>
          <cell r="F169">
            <v>3222</v>
          </cell>
          <cell r="G169">
            <v>1155</v>
          </cell>
          <cell r="H169">
            <v>3660</v>
          </cell>
          <cell r="I169">
            <v>9540</v>
          </cell>
          <cell r="J169">
            <v>1572</v>
          </cell>
          <cell r="K169">
            <v>10808</v>
          </cell>
          <cell r="L169">
            <v>5955</v>
          </cell>
          <cell r="M169">
            <v>5317</v>
          </cell>
          <cell r="N169">
            <v>3452</v>
          </cell>
          <cell r="O169">
            <v>4171</v>
          </cell>
          <cell r="P169">
            <v>6186</v>
          </cell>
          <cell r="Q169">
            <v>24492</v>
          </cell>
          <cell r="R169">
            <v>4882</v>
          </cell>
          <cell r="S169">
            <v>280</v>
          </cell>
          <cell r="T169">
            <v>3388</v>
          </cell>
          <cell r="U169">
            <v>8497</v>
          </cell>
          <cell r="V169">
            <v>4332</v>
          </cell>
          <cell r="W169">
            <v>3139</v>
          </cell>
          <cell r="X169">
            <v>8759</v>
          </cell>
          <cell r="Y169">
            <v>16200</v>
          </cell>
          <cell r="Z169">
            <v>10368</v>
          </cell>
          <cell r="AA169">
            <v>10089</v>
          </cell>
          <cell r="AB169">
            <v>6957</v>
          </cell>
          <cell r="AC169">
            <v>3577</v>
          </cell>
          <cell r="AD169">
            <v>1054</v>
          </cell>
          <cell r="AE169">
            <v>1898</v>
          </cell>
          <cell r="AF169">
            <v>5147</v>
          </cell>
          <cell r="AG169">
            <v>11654</v>
          </cell>
          <cell r="AH169">
            <v>2813</v>
          </cell>
          <cell r="AI169">
            <v>3031</v>
          </cell>
          <cell r="AJ169">
            <v>5821</v>
          </cell>
          <cell r="AK169">
            <v>10876</v>
          </cell>
          <cell r="AL169">
            <v>7494</v>
          </cell>
          <cell r="AM169">
            <v>18302</v>
          </cell>
          <cell r="AN169">
            <v>1170</v>
          </cell>
          <cell r="AO169">
            <v>6152</v>
          </cell>
          <cell r="AP169">
            <v>7337</v>
          </cell>
          <cell r="AQ169">
            <v>1626</v>
          </cell>
          <cell r="AR169">
            <v>12642</v>
          </cell>
          <cell r="AS169">
            <v>13293</v>
          </cell>
          <cell r="AT169">
            <v>8435</v>
          </cell>
          <cell r="AU169">
            <v>15241</v>
          </cell>
          <cell r="AV169">
            <v>14301</v>
          </cell>
          <cell r="AW169">
            <v>12981</v>
          </cell>
          <cell r="AX169">
            <v>1931</v>
          </cell>
          <cell r="AY169">
            <v>5399</v>
          </cell>
          <cell r="AZ169">
            <v>25146</v>
          </cell>
          <cell r="BA169">
            <v>231487</v>
          </cell>
          <cell r="BB169">
            <v>21551</v>
          </cell>
          <cell r="BC169">
            <v>-263</v>
          </cell>
          <cell r="BD169">
            <v>252440</v>
          </cell>
          <cell r="BE169">
            <v>-1.5</v>
          </cell>
          <cell r="BF169">
            <v>2.8</v>
          </cell>
          <cell r="BG169">
            <v>-0.7</v>
          </cell>
          <cell r="BH169">
            <v>8.6</v>
          </cell>
          <cell r="BI169">
            <v>-6</v>
          </cell>
          <cell r="BJ169">
            <v>1.5</v>
          </cell>
          <cell r="BK169">
            <v>0.1</v>
          </cell>
          <cell r="BL169">
            <v>0.3</v>
          </cell>
          <cell r="BM169">
            <v>-0.3</v>
          </cell>
          <cell r="BN169">
            <v>0.1</v>
          </cell>
          <cell r="BO169">
            <v>0.8</v>
          </cell>
          <cell r="BP169">
            <v>0.8</v>
          </cell>
          <cell r="BQ169">
            <v>0.2</v>
          </cell>
          <cell r="BR169">
            <v>-2.7</v>
          </cell>
          <cell r="BS169">
            <v>0.3</v>
          </cell>
          <cell r="BT169">
            <v>-0.2</v>
          </cell>
          <cell r="BU169">
            <v>0.8</v>
          </cell>
          <cell r="BV169">
            <v>1.3</v>
          </cell>
          <cell r="BW169">
            <v>0.1</v>
          </cell>
          <cell r="BX169">
            <v>0.6</v>
          </cell>
          <cell r="BY169">
            <v>2.5</v>
          </cell>
          <cell r="BZ169">
            <v>3.7</v>
          </cell>
          <cell r="CA169">
            <v>0.3</v>
          </cell>
          <cell r="CB169">
            <v>1.6</v>
          </cell>
          <cell r="CC169">
            <v>0.3</v>
          </cell>
          <cell r="CD169">
            <v>1.5</v>
          </cell>
          <cell r="CE169">
            <v>2.6</v>
          </cell>
          <cell r="CF169">
            <v>-1.5</v>
          </cell>
          <cell r="CG169">
            <v>1</v>
          </cell>
          <cell r="CH169">
            <v>1.4</v>
          </cell>
          <cell r="CI169">
            <v>-1.3</v>
          </cell>
          <cell r="CJ169">
            <v>-0.6</v>
          </cell>
          <cell r="CK169">
            <v>1.1000000000000001</v>
          </cell>
          <cell r="CL169">
            <v>1.9</v>
          </cell>
          <cell r="CM169">
            <v>1.5</v>
          </cell>
          <cell r="CN169">
            <v>1.8</v>
          </cell>
          <cell r="CO169">
            <v>3.5</v>
          </cell>
          <cell r="CP169">
            <v>2.2000000000000002</v>
          </cell>
          <cell r="CQ169">
            <v>2.1</v>
          </cell>
          <cell r="CR169">
            <v>1.5</v>
          </cell>
          <cell r="CS169">
            <v>1.7</v>
          </cell>
          <cell r="CT169">
            <v>3.7</v>
          </cell>
          <cell r="CU169">
            <v>2</v>
          </cell>
          <cell r="CV169">
            <v>2.5</v>
          </cell>
          <cell r="CW169">
            <v>2.4</v>
          </cell>
          <cell r="CX169">
            <v>3.2</v>
          </cell>
          <cell r="CY169">
            <v>0.6</v>
          </cell>
          <cell r="CZ169">
            <v>0.6</v>
          </cell>
          <cell r="DA169">
            <v>0.8</v>
          </cell>
          <cell r="DB169">
            <v>1.7</v>
          </cell>
          <cell r="DC169">
            <v>0.7</v>
          </cell>
          <cell r="DD169">
            <v>1.1000000000000001</v>
          </cell>
          <cell r="DE169">
            <v>0.8</v>
          </cell>
          <cell r="DF169">
            <v>0.9</v>
          </cell>
          <cell r="DG169">
            <v>6667</v>
          </cell>
          <cell r="DH169">
            <v>1034</v>
          </cell>
          <cell r="DI169">
            <v>7597</v>
          </cell>
          <cell r="DJ169">
            <v>1882</v>
          </cell>
          <cell r="DK169">
            <v>3297</v>
          </cell>
          <cell r="DL169">
            <v>1151</v>
          </cell>
          <cell r="DM169">
            <v>3650</v>
          </cell>
          <cell r="DN169">
            <v>9677</v>
          </cell>
          <cell r="DO169">
            <v>1622</v>
          </cell>
          <cell r="DP169">
            <v>10983</v>
          </cell>
          <cell r="DQ169">
            <v>5972</v>
          </cell>
          <cell r="DR169">
            <v>5391</v>
          </cell>
          <cell r="DS169">
            <v>3454</v>
          </cell>
          <cell r="DT169">
            <v>4200</v>
          </cell>
          <cell r="DU169">
            <v>6326</v>
          </cell>
          <cell r="DV169">
            <v>24732</v>
          </cell>
          <cell r="DW169">
            <v>4932</v>
          </cell>
          <cell r="DX169">
            <v>280</v>
          </cell>
          <cell r="DY169">
            <v>3364</v>
          </cell>
          <cell r="DZ169">
            <v>8531</v>
          </cell>
          <cell r="EA169">
            <v>4280</v>
          </cell>
          <cell r="EB169">
            <v>3114</v>
          </cell>
          <cell r="EC169">
            <v>8730</v>
          </cell>
          <cell r="ED169">
            <v>16094</v>
          </cell>
          <cell r="EE169">
            <v>10424</v>
          </cell>
          <cell r="EF169">
            <v>10146</v>
          </cell>
          <cell r="EG169">
            <v>6959</v>
          </cell>
          <cell r="EH169">
            <v>3521</v>
          </cell>
          <cell r="EI169">
            <v>1049</v>
          </cell>
          <cell r="EJ169">
            <v>1928</v>
          </cell>
          <cell r="EK169">
            <v>5017</v>
          </cell>
          <cell r="EL169">
            <v>11502</v>
          </cell>
          <cell r="EM169">
            <v>2804</v>
          </cell>
          <cell r="EN169">
            <v>3084</v>
          </cell>
          <cell r="EO169">
            <v>5852</v>
          </cell>
          <cell r="EP169">
            <v>10918</v>
          </cell>
          <cell r="EQ169">
            <v>7508</v>
          </cell>
          <cell r="ER169">
            <v>18363</v>
          </cell>
          <cell r="ES169">
            <v>1166</v>
          </cell>
          <cell r="ET169">
            <v>6128</v>
          </cell>
          <cell r="EU169">
            <v>7310</v>
          </cell>
          <cell r="EV169">
            <v>1622</v>
          </cell>
          <cell r="EW169">
            <v>12621</v>
          </cell>
          <cell r="EX169">
            <v>13268</v>
          </cell>
          <cell r="EY169">
            <v>8415</v>
          </cell>
          <cell r="EZ169">
            <v>15345</v>
          </cell>
          <cell r="FA169">
            <v>14303</v>
          </cell>
          <cell r="FB169">
            <v>13053</v>
          </cell>
          <cell r="FC169">
            <v>1917</v>
          </cell>
          <cell r="FD169">
            <v>5360</v>
          </cell>
          <cell r="FE169">
            <v>25151</v>
          </cell>
          <cell r="FF169">
            <v>231731</v>
          </cell>
          <cell r="FG169">
            <v>21772</v>
          </cell>
          <cell r="FH169">
            <v>-488</v>
          </cell>
          <cell r="FI169">
            <v>252669</v>
          </cell>
          <cell r="FJ169">
            <v>-10.7</v>
          </cell>
          <cell r="FK169">
            <v>2.2999999999999998</v>
          </cell>
          <cell r="FL169">
            <v>-8.1999999999999993</v>
          </cell>
          <cell r="FM169">
            <v>11.8</v>
          </cell>
          <cell r="FN169">
            <v>5.6</v>
          </cell>
          <cell r="FO169">
            <v>-1.9</v>
          </cell>
          <cell r="FP169">
            <v>-1.2</v>
          </cell>
          <cell r="FQ169">
            <v>4.5999999999999996</v>
          </cell>
          <cell r="FR169">
            <v>-1.7</v>
          </cell>
          <cell r="FS169">
            <v>3.6</v>
          </cell>
          <cell r="FT169">
            <v>1</v>
          </cell>
          <cell r="FU169">
            <v>2.9</v>
          </cell>
          <cell r="FV169">
            <v>0.2</v>
          </cell>
          <cell r="FW169">
            <v>-5.2</v>
          </cell>
          <cell r="FX169">
            <v>4.8</v>
          </cell>
          <cell r="FY169">
            <v>0.7</v>
          </cell>
          <cell r="FZ169">
            <v>2.5</v>
          </cell>
          <cell r="GA169">
            <v>1.1000000000000001</v>
          </cell>
          <cell r="GB169">
            <v>-1.2</v>
          </cell>
          <cell r="GC169">
            <v>1.2</v>
          </cell>
          <cell r="GD169">
            <v>-1.3</v>
          </cell>
          <cell r="GE169">
            <v>2.2000000000000002</v>
          </cell>
          <cell r="GF169">
            <v>-1.6</v>
          </cell>
          <cell r="GG169">
            <v>-0.7</v>
          </cell>
          <cell r="GH169">
            <v>0.6</v>
          </cell>
          <cell r="GI169">
            <v>2.7</v>
          </cell>
          <cell r="GJ169">
            <v>3</v>
          </cell>
          <cell r="GK169">
            <v>-5.0999999999999996</v>
          </cell>
          <cell r="GL169">
            <v>0</v>
          </cell>
          <cell r="GM169">
            <v>3.1</v>
          </cell>
          <cell r="GN169">
            <v>-5</v>
          </cell>
          <cell r="GO169">
            <v>-3</v>
          </cell>
          <cell r="GP169">
            <v>-0.3</v>
          </cell>
          <cell r="GQ169">
            <v>2.8</v>
          </cell>
          <cell r="GR169">
            <v>1</v>
          </cell>
          <cell r="GS169">
            <v>2.5</v>
          </cell>
          <cell r="GT169">
            <v>3.6</v>
          </cell>
          <cell r="GU169">
            <v>2.7</v>
          </cell>
          <cell r="GV169">
            <v>1.4</v>
          </cell>
          <cell r="GW169">
            <v>0.9</v>
          </cell>
          <cell r="GX169">
            <v>1</v>
          </cell>
          <cell r="GY169">
            <v>3.1</v>
          </cell>
          <cell r="GZ169">
            <v>1.4</v>
          </cell>
          <cell r="HA169">
            <v>1.9</v>
          </cell>
          <cell r="HB169">
            <v>1.8</v>
          </cell>
          <cell r="HC169">
            <v>3.9</v>
          </cell>
          <cell r="HD169">
            <v>0.6</v>
          </cell>
          <cell r="HE169">
            <v>2.1</v>
          </cell>
          <cell r="HF169">
            <v>-0.9</v>
          </cell>
          <cell r="HG169">
            <v>1.1000000000000001</v>
          </cell>
          <cell r="HH169">
            <v>0.7</v>
          </cell>
          <cell r="HI169">
            <v>0.9</v>
          </cell>
          <cell r="HJ169">
            <v>2.9</v>
          </cell>
          <cell r="HK169">
            <v>0.7</v>
          </cell>
          <cell r="HL169">
            <v>5405</v>
          </cell>
          <cell r="HM169">
            <v>1031</v>
          </cell>
          <cell r="HN169">
            <v>6460</v>
          </cell>
          <cell r="HO169">
            <v>1854</v>
          </cell>
          <cell r="HP169">
            <v>3204</v>
          </cell>
          <cell r="HQ169">
            <v>1104</v>
          </cell>
          <cell r="HR169">
            <v>3532</v>
          </cell>
          <cell r="HS169">
            <v>9418</v>
          </cell>
          <cell r="HT169">
            <v>1486</v>
          </cell>
          <cell r="HU169">
            <v>10624</v>
          </cell>
          <cell r="HV169">
            <v>5794</v>
          </cell>
          <cell r="HW169">
            <v>5312</v>
          </cell>
          <cell r="HX169">
            <v>3279</v>
          </cell>
          <cell r="HY169">
            <v>3919</v>
          </cell>
          <cell r="HZ169">
            <v>6007</v>
          </cell>
          <cell r="IA169">
            <v>23641</v>
          </cell>
          <cell r="IB169">
            <v>4877</v>
          </cell>
          <cell r="IC169">
            <v>239</v>
          </cell>
          <cell r="ID169">
            <v>3520</v>
          </cell>
          <cell r="IE169">
            <v>8526</v>
          </cell>
          <cell r="IF169">
            <v>3913</v>
          </cell>
          <cell r="IG169">
            <v>2632</v>
          </cell>
          <cell r="IH169">
            <v>8087</v>
          </cell>
          <cell r="II169">
            <v>14580</v>
          </cell>
          <cell r="IJ169">
            <v>9931</v>
          </cell>
          <cell r="IK169">
            <v>9668</v>
          </cell>
          <cell r="IL169">
            <v>6850</v>
          </cell>
          <cell r="IM169">
            <v>3409</v>
          </cell>
          <cell r="IN169">
            <v>1008</v>
          </cell>
          <cell r="IO169">
            <v>1866</v>
          </cell>
          <cell r="IP169">
            <v>4916</v>
          </cell>
          <cell r="IQ169">
            <v>11168</v>
          </cell>
        </row>
        <row r="170">
          <cell r="B170">
            <v>6967</v>
          </cell>
          <cell r="C170">
            <v>1084</v>
          </cell>
          <cell r="D170">
            <v>7946</v>
          </cell>
          <cell r="E170">
            <v>1943</v>
          </cell>
          <cell r="F170">
            <v>3203</v>
          </cell>
          <cell r="G170">
            <v>1196</v>
          </cell>
          <cell r="H170">
            <v>3603</v>
          </cell>
          <cell r="I170">
            <v>9637</v>
          </cell>
          <cell r="J170">
            <v>1586</v>
          </cell>
          <cell r="K170">
            <v>10903</v>
          </cell>
          <cell r="L170">
            <v>5888</v>
          </cell>
          <cell r="M170">
            <v>5419</v>
          </cell>
          <cell r="N170">
            <v>3406</v>
          </cell>
          <cell r="O170">
            <v>4061</v>
          </cell>
          <cell r="P170">
            <v>6137</v>
          </cell>
          <cell r="Q170">
            <v>24257</v>
          </cell>
          <cell r="R170">
            <v>4898</v>
          </cell>
          <cell r="S170">
            <v>281</v>
          </cell>
          <cell r="T170">
            <v>3375</v>
          </cell>
          <cell r="U170">
            <v>8506</v>
          </cell>
          <cell r="V170">
            <v>4462</v>
          </cell>
          <cell r="W170">
            <v>3319</v>
          </cell>
          <cell r="X170">
            <v>8617</v>
          </cell>
          <cell r="Y170">
            <v>16382</v>
          </cell>
          <cell r="Z170">
            <v>10456</v>
          </cell>
          <cell r="AA170">
            <v>10219</v>
          </cell>
          <cell r="AB170">
            <v>7099</v>
          </cell>
          <cell r="AC170">
            <v>3553</v>
          </cell>
          <cell r="AD170">
            <v>1070</v>
          </cell>
          <cell r="AE170">
            <v>1915</v>
          </cell>
          <cell r="AF170">
            <v>5139</v>
          </cell>
          <cell r="AG170">
            <v>11661</v>
          </cell>
          <cell r="AH170">
            <v>2801</v>
          </cell>
          <cell r="AI170">
            <v>3039</v>
          </cell>
          <cell r="AJ170">
            <v>5816</v>
          </cell>
          <cell r="AK170">
            <v>11030</v>
          </cell>
          <cell r="AL170">
            <v>7680</v>
          </cell>
          <cell r="AM170">
            <v>18617</v>
          </cell>
          <cell r="AN170">
            <v>1193</v>
          </cell>
          <cell r="AO170">
            <v>6289</v>
          </cell>
          <cell r="AP170">
            <v>7496</v>
          </cell>
          <cell r="AQ170">
            <v>1683</v>
          </cell>
          <cell r="AR170">
            <v>12735</v>
          </cell>
          <cell r="AS170">
            <v>13491</v>
          </cell>
          <cell r="AT170">
            <v>8599</v>
          </cell>
          <cell r="AU170">
            <v>15434</v>
          </cell>
          <cell r="AV170">
            <v>14353</v>
          </cell>
          <cell r="AW170">
            <v>13150</v>
          </cell>
          <cell r="AX170">
            <v>1940</v>
          </cell>
          <cell r="AY170">
            <v>5506</v>
          </cell>
          <cell r="AZ170">
            <v>25342</v>
          </cell>
          <cell r="BA170">
            <v>233338</v>
          </cell>
          <cell r="BB170">
            <v>21772</v>
          </cell>
          <cell r="BC170">
            <v>-419</v>
          </cell>
          <cell r="BD170">
            <v>254353</v>
          </cell>
          <cell r="BE170">
            <v>-0.1</v>
          </cell>
          <cell r="BF170">
            <v>4.3</v>
          </cell>
          <cell r="BG170">
            <v>0.8</v>
          </cell>
          <cell r="BH170">
            <v>5.7</v>
          </cell>
          <cell r="BI170">
            <v>-0.6</v>
          </cell>
          <cell r="BJ170">
            <v>3.5</v>
          </cell>
          <cell r="BK170">
            <v>-1.5</v>
          </cell>
          <cell r="BL170">
            <v>1</v>
          </cell>
          <cell r="BM170">
            <v>0.9</v>
          </cell>
          <cell r="BN170">
            <v>0.9</v>
          </cell>
          <cell r="BO170">
            <v>-1.1000000000000001</v>
          </cell>
          <cell r="BP170">
            <v>1.9</v>
          </cell>
          <cell r="BQ170">
            <v>-1.3</v>
          </cell>
          <cell r="BR170">
            <v>-2.6</v>
          </cell>
          <cell r="BS170">
            <v>-0.8</v>
          </cell>
          <cell r="BT170">
            <v>-1</v>
          </cell>
          <cell r="BU170">
            <v>0.3</v>
          </cell>
          <cell r="BV170">
            <v>0.4</v>
          </cell>
          <cell r="BW170">
            <v>-0.4</v>
          </cell>
          <cell r="BX170">
            <v>0.1</v>
          </cell>
          <cell r="BY170">
            <v>3</v>
          </cell>
          <cell r="BZ170">
            <v>5.7</v>
          </cell>
          <cell r="CA170">
            <v>-1.6</v>
          </cell>
          <cell r="CB170">
            <v>1.1000000000000001</v>
          </cell>
          <cell r="CC170">
            <v>0.9</v>
          </cell>
          <cell r="CD170">
            <v>1.3</v>
          </cell>
          <cell r="CE170">
            <v>2</v>
          </cell>
          <cell r="CF170">
            <v>-0.7</v>
          </cell>
          <cell r="CG170">
            <v>1.5</v>
          </cell>
          <cell r="CH170">
            <v>0.8</v>
          </cell>
          <cell r="CI170">
            <v>-0.2</v>
          </cell>
          <cell r="CJ170">
            <v>0.1</v>
          </cell>
          <cell r="CK170">
            <v>-0.4</v>
          </cell>
          <cell r="CL170">
            <v>0.3</v>
          </cell>
          <cell r="CM170">
            <v>-0.1</v>
          </cell>
          <cell r="CN170">
            <v>1.4</v>
          </cell>
          <cell r="CO170">
            <v>2.5</v>
          </cell>
          <cell r="CP170">
            <v>1.7</v>
          </cell>
          <cell r="CQ170">
            <v>2</v>
          </cell>
          <cell r="CR170">
            <v>2.2000000000000002</v>
          </cell>
          <cell r="CS170">
            <v>2.2000000000000002</v>
          </cell>
          <cell r="CT170">
            <v>3.5</v>
          </cell>
          <cell r="CU170">
            <v>0.7</v>
          </cell>
          <cell r="CV170">
            <v>1.5</v>
          </cell>
          <cell r="CW170">
            <v>1.9</v>
          </cell>
          <cell r="CX170">
            <v>1.3</v>
          </cell>
          <cell r="CY170">
            <v>0.4</v>
          </cell>
          <cell r="CZ170">
            <v>1.3</v>
          </cell>
          <cell r="DA170">
            <v>0.5</v>
          </cell>
          <cell r="DB170">
            <v>2</v>
          </cell>
          <cell r="DC170">
            <v>0.8</v>
          </cell>
          <cell r="DD170">
            <v>0.8</v>
          </cell>
          <cell r="DE170">
            <v>1</v>
          </cell>
          <cell r="DF170">
            <v>0.8</v>
          </cell>
          <cell r="DG170">
            <v>6758</v>
          </cell>
          <cell r="DH170">
            <v>1077</v>
          </cell>
          <cell r="DI170">
            <v>7749</v>
          </cell>
          <cell r="DJ170">
            <v>1942</v>
          </cell>
          <cell r="DK170">
            <v>3225</v>
          </cell>
          <cell r="DL170">
            <v>1154</v>
          </cell>
          <cell r="DM170">
            <v>3582</v>
          </cell>
          <cell r="DN170">
            <v>9608</v>
          </cell>
          <cell r="DO170">
            <v>1497</v>
          </cell>
          <cell r="DP170">
            <v>10812</v>
          </cell>
          <cell r="DQ170">
            <v>5963</v>
          </cell>
          <cell r="DR170">
            <v>5338</v>
          </cell>
          <cell r="DS170">
            <v>3433</v>
          </cell>
          <cell r="DT170">
            <v>3854</v>
          </cell>
          <cell r="DU170">
            <v>6165</v>
          </cell>
          <cell r="DV170">
            <v>24093</v>
          </cell>
          <cell r="DW170">
            <v>4890</v>
          </cell>
          <cell r="DX170">
            <v>281</v>
          </cell>
          <cell r="DY170">
            <v>3401</v>
          </cell>
          <cell r="DZ170">
            <v>8519</v>
          </cell>
          <cell r="EA170">
            <v>4420</v>
          </cell>
          <cell r="EB170">
            <v>3304</v>
          </cell>
          <cell r="EC170">
            <v>8581</v>
          </cell>
          <cell r="ED170">
            <v>16290</v>
          </cell>
          <cell r="EE170">
            <v>10357</v>
          </cell>
          <cell r="EF170">
            <v>10205</v>
          </cell>
          <cell r="EG170">
            <v>7151</v>
          </cell>
          <cell r="EH170">
            <v>3509</v>
          </cell>
          <cell r="EI170">
            <v>1062</v>
          </cell>
          <cell r="EJ170">
            <v>1893</v>
          </cell>
          <cell r="EK170">
            <v>5183</v>
          </cell>
          <cell r="EL170">
            <v>11657</v>
          </cell>
          <cell r="EM170">
            <v>2839</v>
          </cell>
          <cell r="EN170">
            <v>2995</v>
          </cell>
          <cell r="EO170">
            <v>5822</v>
          </cell>
          <cell r="EP170">
            <v>11028</v>
          </cell>
          <cell r="EQ170">
            <v>7698</v>
          </cell>
          <cell r="ER170">
            <v>18623</v>
          </cell>
          <cell r="ES170">
            <v>1198</v>
          </cell>
          <cell r="ET170">
            <v>6299</v>
          </cell>
          <cell r="EU170">
            <v>7512</v>
          </cell>
          <cell r="EV170">
            <v>1687</v>
          </cell>
          <cell r="EW170">
            <v>12822</v>
          </cell>
          <cell r="EX170">
            <v>13566</v>
          </cell>
          <cell r="EY170">
            <v>8633</v>
          </cell>
          <cell r="EZ170">
            <v>15532</v>
          </cell>
          <cell r="FA170">
            <v>14362</v>
          </cell>
          <cell r="FB170">
            <v>13121</v>
          </cell>
          <cell r="FC170">
            <v>1936</v>
          </cell>
          <cell r="FD170">
            <v>5538</v>
          </cell>
          <cell r="FE170">
            <v>25341</v>
          </cell>
          <cell r="FF170">
            <v>232909</v>
          </cell>
          <cell r="FG170">
            <v>21662</v>
          </cell>
          <cell r="FH170">
            <v>-621</v>
          </cell>
          <cell r="FI170">
            <v>253609</v>
          </cell>
          <cell r="FJ170">
            <v>1.4</v>
          </cell>
          <cell r="FK170">
            <v>4.2</v>
          </cell>
          <cell r="FL170">
            <v>2</v>
          </cell>
          <cell r="FM170">
            <v>3.2</v>
          </cell>
          <cell r="FN170">
            <v>-2.2000000000000002</v>
          </cell>
          <cell r="FO170">
            <v>0.2</v>
          </cell>
          <cell r="FP170">
            <v>-1.9</v>
          </cell>
          <cell r="FQ170">
            <v>-0.7</v>
          </cell>
          <cell r="FR170">
            <v>-7.7</v>
          </cell>
          <cell r="FS170">
            <v>-1.6</v>
          </cell>
          <cell r="FT170">
            <v>-0.1</v>
          </cell>
          <cell r="FU170">
            <v>-1</v>
          </cell>
          <cell r="FV170">
            <v>-0.6</v>
          </cell>
          <cell r="FW170">
            <v>-8.1999999999999993</v>
          </cell>
          <cell r="FX170">
            <v>-2.5</v>
          </cell>
          <cell r="FY170">
            <v>-2.6</v>
          </cell>
          <cell r="FZ170">
            <v>-0.8</v>
          </cell>
          <cell r="GA170">
            <v>0.4</v>
          </cell>
          <cell r="GB170">
            <v>1.1000000000000001</v>
          </cell>
          <cell r="GC170">
            <v>-0.1</v>
          </cell>
          <cell r="GD170">
            <v>3.3</v>
          </cell>
          <cell r="GE170">
            <v>6.1</v>
          </cell>
          <cell r="GF170">
            <v>-1.7</v>
          </cell>
          <cell r="GG170">
            <v>1.2</v>
          </cell>
          <cell r="GH170">
            <v>-0.6</v>
          </cell>
          <cell r="GI170">
            <v>0.6</v>
          </cell>
          <cell r="GJ170">
            <v>2.8</v>
          </cell>
          <cell r="GK170">
            <v>-0.3</v>
          </cell>
          <cell r="GL170">
            <v>1.2</v>
          </cell>
          <cell r="GM170">
            <v>-1.8</v>
          </cell>
          <cell r="GN170">
            <v>3.3</v>
          </cell>
          <cell r="GO170">
            <v>1.3</v>
          </cell>
          <cell r="GP170">
            <v>1.2</v>
          </cell>
          <cell r="GQ170">
            <v>-2.9</v>
          </cell>
          <cell r="GR170">
            <v>-0.5</v>
          </cell>
          <cell r="GS170">
            <v>1</v>
          </cell>
          <cell r="GT170">
            <v>2.5</v>
          </cell>
          <cell r="GU170">
            <v>1.4</v>
          </cell>
          <cell r="GV170">
            <v>2.7</v>
          </cell>
          <cell r="GW170">
            <v>2.8</v>
          </cell>
          <cell r="GX170">
            <v>2.8</v>
          </cell>
          <cell r="GY170">
            <v>4</v>
          </cell>
          <cell r="GZ170">
            <v>1.6</v>
          </cell>
          <cell r="HA170">
            <v>2.2000000000000002</v>
          </cell>
          <cell r="HB170">
            <v>2.6</v>
          </cell>
          <cell r="HC170">
            <v>1.2</v>
          </cell>
          <cell r="HD170">
            <v>0.4</v>
          </cell>
          <cell r="HE170">
            <v>0.5</v>
          </cell>
          <cell r="HF170">
            <v>1</v>
          </cell>
          <cell r="HG170">
            <v>3.3</v>
          </cell>
          <cell r="HH170">
            <v>0.8</v>
          </cell>
          <cell r="HI170">
            <v>0.5</v>
          </cell>
          <cell r="HJ170">
            <v>-0.5</v>
          </cell>
          <cell r="HK170">
            <v>0.4</v>
          </cell>
          <cell r="HL170">
            <v>5148</v>
          </cell>
          <cell r="HM170">
            <v>1070</v>
          </cell>
          <cell r="HN170">
            <v>6306</v>
          </cell>
          <cell r="HO170">
            <v>1941</v>
          </cell>
          <cell r="HP170">
            <v>3212</v>
          </cell>
          <cell r="HQ170">
            <v>1148</v>
          </cell>
          <cell r="HR170">
            <v>3605</v>
          </cell>
          <cell r="HS170">
            <v>9600</v>
          </cell>
          <cell r="HT170">
            <v>1557</v>
          </cell>
          <cell r="HU170">
            <v>10845</v>
          </cell>
          <cell r="HV170">
            <v>5732</v>
          </cell>
          <cell r="HW170">
            <v>5314</v>
          </cell>
          <cell r="HX170">
            <v>3447</v>
          </cell>
          <cell r="HY170">
            <v>3854</v>
          </cell>
          <cell r="HZ170">
            <v>6059</v>
          </cell>
          <cell r="IA170">
            <v>23796</v>
          </cell>
          <cell r="IB170">
            <v>4892</v>
          </cell>
          <cell r="IC170">
            <v>300</v>
          </cell>
          <cell r="ID170">
            <v>3265</v>
          </cell>
          <cell r="IE170">
            <v>8449</v>
          </cell>
          <cell r="IF170">
            <v>4427</v>
          </cell>
          <cell r="IG170">
            <v>3189</v>
          </cell>
          <cell r="IH170">
            <v>8863</v>
          </cell>
          <cell r="II170">
            <v>16435</v>
          </cell>
          <cell r="IJ170">
            <v>10442</v>
          </cell>
          <cell r="IK170">
            <v>9843</v>
          </cell>
          <cell r="IL170">
            <v>6566</v>
          </cell>
          <cell r="IM170">
            <v>3433</v>
          </cell>
          <cell r="IN170">
            <v>1026</v>
          </cell>
          <cell r="IO170">
            <v>1878</v>
          </cell>
          <cell r="IP170">
            <v>5135</v>
          </cell>
          <cell r="IQ170">
            <v>11457</v>
          </cell>
        </row>
        <row r="171">
          <cell r="B171">
            <v>7173</v>
          </cell>
          <cell r="C171">
            <v>1137</v>
          </cell>
          <cell r="D171">
            <v>8218</v>
          </cell>
          <cell r="E171">
            <v>1977</v>
          </cell>
          <cell r="F171">
            <v>3332</v>
          </cell>
          <cell r="G171">
            <v>1259</v>
          </cell>
          <cell r="H171">
            <v>3544</v>
          </cell>
          <cell r="I171">
            <v>9778</v>
          </cell>
          <cell r="J171">
            <v>1514</v>
          </cell>
          <cell r="K171">
            <v>10994</v>
          </cell>
          <cell r="L171">
            <v>5837</v>
          </cell>
          <cell r="M171">
            <v>5572</v>
          </cell>
          <cell r="N171">
            <v>3363</v>
          </cell>
          <cell r="O171">
            <v>4031</v>
          </cell>
          <cell r="P171">
            <v>6155</v>
          </cell>
          <cell r="Q171">
            <v>24227</v>
          </cell>
          <cell r="R171">
            <v>4908</v>
          </cell>
          <cell r="S171">
            <v>283</v>
          </cell>
          <cell r="T171">
            <v>3371</v>
          </cell>
          <cell r="U171">
            <v>8517</v>
          </cell>
          <cell r="V171">
            <v>4627</v>
          </cell>
          <cell r="W171">
            <v>3524</v>
          </cell>
          <cell r="X171">
            <v>8485</v>
          </cell>
          <cell r="Y171">
            <v>16643</v>
          </cell>
          <cell r="Z171">
            <v>10635</v>
          </cell>
          <cell r="AA171">
            <v>10293</v>
          </cell>
          <cell r="AB171">
            <v>7206</v>
          </cell>
          <cell r="AC171">
            <v>3624</v>
          </cell>
          <cell r="AD171">
            <v>1087</v>
          </cell>
          <cell r="AE171">
            <v>1912</v>
          </cell>
          <cell r="AF171">
            <v>5220</v>
          </cell>
          <cell r="AG171">
            <v>11826</v>
          </cell>
          <cell r="AH171">
            <v>2795</v>
          </cell>
          <cell r="AI171">
            <v>3002</v>
          </cell>
          <cell r="AJ171">
            <v>5779</v>
          </cell>
          <cell r="AK171">
            <v>11182</v>
          </cell>
          <cell r="AL171">
            <v>7820</v>
          </cell>
          <cell r="AM171">
            <v>18901</v>
          </cell>
          <cell r="AN171">
            <v>1209</v>
          </cell>
          <cell r="AO171">
            <v>6408</v>
          </cell>
          <cell r="AP171">
            <v>7628</v>
          </cell>
          <cell r="AQ171">
            <v>1731</v>
          </cell>
          <cell r="AR171">
            <v>12700</v>
          </cell>
          <cell r="AS171">
            <v>13570</v>
          </cell>
          <cell r="AT171">
            <v>8699</v>
          </cell>
          <cell r="AU171">
            <v>15461</v>
          </cell>
          <cell r="AV171">
            <v>14393</v>
          </cell>
          <cell r="AW171">
            <v>13388</v>
          </cell>
          <cell r="AX171">
            <v>1949</v>
          </cell>
          <cell r="AY171">
            <v>5572</v>
          </cell>
          <cell r="AZ171">
            <v>25556</v>
          </cell>
          <cell r="BA171">
            <v>235493</v>
          </cell>
          <cell r="BB171">
            <v>21928</v>
          </cell>
          <cell r="BC171">
            <v>-166</v>
          </cell>
          <cell r="BD171">
            <v>256922</v>
          </cell>
          <cell r="BE171">
            <v>3</v>
          </cell>
          <cell r="BF171">
            <v>4.9000000000000004</v>
          </cell>
          <cell r="BG171">
            <v>3.4</v>
          </cell>
          <cell r="BH171">
            <v>1.8</v>
          </cell>
          <cell r="BI171">
            <v>4</v>
          </cell>
          <cell r="BJ171">
            <v>5.3</v>
          </cell>
          <cell r="BK171">
            <v>-1.6</v>
          </cell>
          <cell r="BL171">
            <v>1.5</v>
          </cell>
          <cell r="BM171">
            <v>-4.5999999999999996</v>
          </cell>
          <cell r="BN171">
            <v>0.8</v>
          </cell>
          <cell r="BO171">
            <v>-0.9</v>
          </cell>
          <cell r="BP171">
            <v>2.8</v>
          </cell>
          <cell r="BQ171">
            <v>-1.3</v>
          </cell>
          <cell r="BR171">
            <v>-0.7</v>
          </cell>
          <cell r="BS171">
            <v>0.3</v>
          </cell>
          <cell r="BT171">
            <v>-0.1</v>
          </cell>
          <cell r="BU171">
            <v>0.2</v>
          </cell>
          <cell r="BV171">
            <v>0.6</v>
          </cell>
          <cell r="BW171">
            <v>-0.1</v>
          </cell>
          <cell r="BX171">
            <v>0.1</v>
          </cell>
          <cell r="BY171">
            <v>3.7</v>
          </cell>
          <cell r="BZ171">
            <v>6.2</v>
          </cell>
          <cell r="CA171">
            <v>-1.5</v>
          </cell>
          <cell r="CB171">
            <v>1.6</v>
          </cell>
          <cell r="CC171">
            <v>1.7</v>
          </cell>
          <cell r="CD171">
            <v>0.7</v>
          </cell>
          <cell r="CE171">
            <v>1.5</v>
          </cell>
          <cell r="CF171">
            <v>2</v>
          </cell>
          <cell r="CG171">
            <v>1.6</v>
          </cell>
          <cell r="CH171">
            <v>-0.1</v>
          </cell>
          <cell r="CI171">
            <v>1.6</v>
          </cell>
          <cell r="CJ171">
            <v>1.4</v>
          </cell>
          <cell r="CK171">
            <v>-0.2</v>
          </cell>
          <cell r="CL171">
            <v>-1.2</v>
          </cell>
          <cell r="CM171">
            <v>-0.6</v>
          </cell>
          <cell r="CN171">
            <v>1.4</v>
          </cell>
          <cell r="CO171">
            <v>1.8</v>
          </cell>
          <cell r="CP171">
            <v>1.5</v>
          </cell>
          <cell r="CQ171">
            <v>1.3</v>
          </cell>
          <cell r="CR171">
            <v>1.9</v>
          </cell>
          <cell r="CS171">
            <v>1.7</v>
          </cell>
          <cell r="CT171">
            <v>2.8</v>
          </cell>
          <cell r="CU171">
            <v>-0.3</v>
          </cell>
          <cell r="CV171">
            <v>0.6</v>
          </cell>
          <cell r="CW171">
            <v>1.2</v>
          </cell>
          <cell r="CX171">
            <v>0.2</v>
          </cell>
          <cell r="CY171">
            <v>0.3</v>
          </cell>
          <cell r="CZ171">
            <v>1.8</v>
          </cell>
          <cell r="DA171">
            <v>0.5</v>
          </cell>
          <cell r="DB171">
            <v>1.2</v>
          </cell>
          <cell r="DC171">
            <v>0.8</v>
          </cell>
          <cell r="DD171">
            <v>0.9</v>
          </cell>
          <cell r="DE171">
            <v>0.7</v>
          </cell>
          <cell r="DF171">
            <v>1</v>
          </cell>
          <cell r="DG171">
            <v>7511</v>
          </cell>
          <cell r="DH171">
            <v>1145</v>
          </cell>
          <cell r="DI171">
            <v>8528</v>
          </cell>
          <cell r="DJ171">
            <v>1973</v>
          </cell>
          <cell r="DK171">
            <v>3297</v>
          </cell>
          <cell r="DL171">
            <v>1313</v>
          </cell>
          <cell r="DM171">
            <v>3574</v>
          </cell>
          <cell r="DN171">
            <v>9802</v>
          </cell>
          <cell r="DO171">
            <v>1613</v>
          </cell>
          <cell r="DP171">
            <v>11076</v>
          </cell>
          <cell r="DQ171">
            <v>5745</v>
          </cell>
          <cell r="DR171">
            <v>5542</v>
          </cell>
          <cell r="DS171">
            <v>3361</v>
          </cell>
          <cell r="DT171">
            <v>4173</v>
          </cell>
          <cell r="DU171">
            <v>6040</v>
          </cell>
          <cell r="DV171">
            <v>24174</v>
          </cell>
          <cell r="DW171">
            <v>4884</v>
          </cell>
          <cell r="DX171">
            <v>282</v>
          </cell>
          <cell r="DY171">
            <v>3351</v>
          </cell>
          <cell r="DZ171">
            <v>8474</v>
          </cell>
          <cell r="EA171">
            <v>4698</v>
          </cell>
          <cell r="EB171">
            <v>3514</v>
          </cell>
          <cell r="EC171">
            <v>8529</v>
          </cell>
          <cell r="ED171">
            <v>16746</v>
          </cell>
          <cell r="EE171">
            <v>10603</v>
          </cell>
          <cell r="EF171">
            <v>10274</v>
          </cell>
          <cell r="EG171">
            <v>7138</v>
          </cell>
          <cell r="EH171">
            <v>3646</v>
          </cell>
          <cell r="EI171">
            <v>1099</v>
          </cell>
          <cell r="EJ171">
            <v>1922</v>
          </cell>
          <cell r="EK171">
            <v>5201</v>
          </cell>
          <cell r="EL171">
            <v>11838</v>
          </cell>
          <cell r="EM171">
            <v>2740</v>
          </cell>
          <cell r="EN171">
            <v>3019</v>
          </cell>
          <cell r="EO171">
            <v>5731</v>
          </cell>
          <cell r="EP171">
            <v>11107</v>
          </cell>
          <cell r="EQ171">
            <v>7777</v>
          </cell>
          <cell r="ER171">
            <v>18784</v>
          </cell>
          <cell r="ES171">
            <v>1204</v>
          </cell>
          <cell r="ET171">
            <v>6394</v>
          </cell>
          <cell r="EU171">
            <v>7606</v>
          </cell>
          <cell r="EV171">
            <v>1725</v>
          </cell>
          <cell r="EW171">
            <v>12615</v>
          </cell>
          <cell r="EX171">
            <v>13492</v>
          </cell>
          <cell r="EY171">
            <v>8662</v>
          </cell>
          <cell r="EZ171">
            <v>15297</v>
          </cell>
          <cell r="FA171">
            <v>14379</v>
          </cell>
          <cell r="FB171">
            <v>13362</v>
          </cell>
          <cell r="FC171">
            <v>1969</v>
          </cell>
          <cell r="FD171">
            <v>5590</v>
          </cell>
          <cell r="FE171">
            <v>25551</v>
          </cell>
          <cell r="FF171">
            <v>235295</v>
          </cell>
          <cell r="FG171">
            <v>21941</v>
          </cell>
          <cell r="FH171">
            <v>-347</v>
          </cell>
          <cell r="FI171">
            <v>256556</v>
          </cell>
          <cell r="FJ171">
            <v>11.1</v>
          </cell>
          <cell r="FK171">
            <v>6.3</v>
          </cell>
          <cell r="FL171">
            <v>10.1</v>
          </cell>
          <cell r="FM171">
            <v>1.6</v>
          </cell>
          <cell r="FN171">
            <v>2.2000000000000002</v>
          </cell>
          <cell r="FO171">
            <v>13.8</v>
          </cell>
          <cell r="FP171">
            <v>-0.2</v>
          </cell>
          <cell r="FQ171">
            <v>2</v>
          </cell>
          <cell r="FR171">
            <v>7.7</v>
          </cell>
          <cell r="FS171">
            <v>2.4</v>
          </cell>
          <cell r="FT171">
            <v>-3.7</v>
          </cell>
          <cell r="FU171">
            <v>3.8</v>
          </cell>
          <cell r="FV171">
            <v>-2.1</v>
          </cell>
          <cell r="FW171">
            <v>8.3000000000000007</v>
          </cell>
          <cell r="FX171">
            <v>-2</v>
          </cell>
          <cell r="FY171">
            <v>0.3</v>
          </cell>
          <cell r="FZ171">
            <v>-0.1</v>
          </cell>
          <cell r="GA171">
            <v>0.1</v>
          </cell>
          <cell r="GB171">
            <v>-1.5</v>
          </cell>
          <cell r="GC171">
            <v>-0.5</v>
          </cell>
          <cell r="GD171">
            <v>6.3</v>
          </cell>
          <cell r="GE171">
            <v>6.3</v>
          </cell>
          <cell r="GF171">
            <v>-0.6</v>
          </cell>
          <cell r="GG171">
            <v>2.8</v>
          </cell>
          <cell r="GH171">
            <v>2.4</v>
          </cell>
          <cell r="GI171">
            <v>0.7</v>
          </cell>
          <cell r="GJ171">
            <v>-0.2</v>
          </cell>
          <cell r="GK171">
            <v>3.9</v>
          </cell>
          <cell r="GL171">
            <v>3.5</v>
          </cell>
          <cell r="GM171">
            <v>1.5</v>
          </cell>
          <cell r="GN171">
            <v>0.3</v>
          </cell>
          <cell r="GO171">
            <v>1.6</v>
          </cell>
          <cell r="GP171">
            <v>-3.5</v>
          </cell>
          <cell r="GQ171">
            <v>0.8</v>
          </cell>
          <cell r="GR171">
            <v>-1.6</v>
          </cell>
          <cell r="GS171">
            <v>0.7</v>
          </cell>
          <cell r="GT171">
            <v>1</v>
          </cell>
          <cell r="GU171">
            <v>0.9</v>
          </cell>
          <cell r="GV171">
            <v>0.5</v>
          </cell>
          <cell r="GW171">
            <v>1.5</v>
          </cell>
          <cell r="GX171">
            <v>1.3</v>
          </cell>
          <cell r="GY171">
            <v>2.2999999999999998</v>
          </cell>
          <cell r="GZ171">
            <v>-1.6</v>
          </cell>
          <cell r="HA171">
            <v>-0.5</v>
          </cell>
          <cell r="HB171">
            <v>0.3</v>
          </cell>
          <cell r="HC171">
            <v>-1.5</v>
          </cell>
          <cell r="HD171">
            <v>0.1</v>
          </cell>
          <cell r="HE171">
            <v>1.8</v>
          </cell>
          <cell r="HF171">
            <v>1.7</v>
          </cell>
          <cell r="HG171">
            <v>0.9</v>
          </cell>
          <cell r="HH171">
            <v>0.8</v>
          </cell>
          <cell r="HI171">
            <v>1</v>
          </cell>
          <cell r="HJ171">
            <v>1.3</v>
          </cell>
          <cell r="HK171">
            <v>1.2</v>
          </cell>
          <cell r="HL171">
            <v>4885</v>
          </cell>
          <cell r="HM171">
            <v>1153</v>
          </cell>
          <cell r="HN171">
            <v>6242</v>
          </cell>
          <cell r="HO171">
            <v>2046</v>
          </cell>
          <cell r="HP171">
            <v>3456</v>
          </cell>
          <cell r="HQ171">
            <v>1354</v>
          </cell>
          <cell r="HR171">
            <v>3602</v>
          </cell>
          <cell r="HS171">
            <v>10129</v>
          </cell>
          <cell r="HT171">
            <v>1635</v>
          </cell>
          <cell r="HU171">
            <v>11422</v>
          </cell>
          <cell r="HV171">
            <v>5688</v>
          </cell>
          <cell r="HW171">
            <v>5679</v>
          </cell>
          <cell r="HX171">
            <v>3453</v>
          </cell>
          <cell r="HY171">
            <v>4323</v>
          </cell>
          <cell r="HZ171">
            <v>6260</v>
          </cell>
          <cell r="IA171">
            <v>24725</v>
          </cell>
          <cell r="IB171">
            <v>5060</v>
          </cell>
          <cell r="IC171">
            <v>323</v>
          </cell>
          <cell r="ID171">
            <v>3234</v>
          </cell>
          <cell r="IE171">
            <v>8649</v>
          </cell>
          <cell r="IF171">
            <v>4848</v>
          </cell>
          <cell r="IG171">
            <v>3949</v>
          </cell>
          <cell r="IH171">
            <v>8512</v>
          </cell>
          <cell r="II171">
            <v>17224</v>
          </cell>
          <cell r="IJ171">
            <v>10678</v>
          </cell>
          <cell r="IK171">
            <v>10031</v>
          </cell>
          <cell r="IL171">
            <v>7505</v>
          </cell>
          <cell r="IM171">
            <v>3665</v>
          </cell>
          <cell r="IN171">
            <v>1151</v>
          </cell>
          <cell r="IO171">
            <v>1967</v>
          </cell>
          <cell r="IP171">
            <v>5206</v>
          </cell>
          <cell r="IQ171">
            <v>12002</v>
          </cell>
        </row>
        <row r="172">
          <cell r="B172">
            <v>7331</v>
          </cell>
          <cell r="C172">
            <v>1170</v>
          </cell>
          <cell r="D172">
            <v>8419</v>
          </cell>
          <cell r="E172">
            <v>1987</v>
          </cell>
          <cell r="F172">
            <v>3486</v>
          </cell>
          <cell r="G172">
            <v>1350</v>
          </cell>
          <cell r="H172">
            <v>3532</v>
          </cell>
          <cell r="I172">
            <v>9971</v>
          </cell>
          <cell r="J172">
            <v>1454</v>
          </cell>
          <cell r="K172">
            <v>11162</v>
          </cell>
          <cell r="L172">
            <v>5911</v>
          </cell>
          <cell r="M172">
            <v>5600</v>
          </cell>
          <cell r="N172">
            <v>3335</v>
          </cell>
          <cell r="O172">
            <v>4090</v>
          </cell>
          <cell r="P172">
            <v>6365</v>
          </cell>
          <cell r="Q172">
            <v>24539</v>
          </cell>
          <cell r="R172">
            <v>4946</v>
          </cell>
          <cell r="S172">
            <v>287</v>
          </cell>
          <cell r="T172">
            <v>3380</v>
          </cell>
          <cell r="U172">
            <v>8575</v>
          </cell>
          <cell r="V172">
            <v>4906</v>
          </cell>
          <cell r="W172">
            <v>3613</v>
          </cell>
          <cell r="X172">
            <v>8566</v>
          </cell>
          <cell r="Y172">
            <v>17112</v>
          </cell>
          <cell r="Z172">
            <v>10865</v>
          </cell>
          <cell r="AA172">
            <v>10343</v>
          </cell>
          <cell r="AB172">
            <v>7270</v>
          </cell>
          <cell r="AC172">
            <v>3742</v>
          </cell>
          <cell r="AD172">
            <v>1102</v>
          </cell>
          <cell r="AE172">
            <v>1913</v>
          </cell>
          <cell r="AF172">
            <v>5318</v>
          </cell>
          <cell r="AG172">
            <v>12059</v>
          </cell>
          <cell r="AH172">
            <v>2843</v>
          </cell>
          <cell r="AI172">
            <v>3011</v>
          </cell>
          <cell r="AJ172">
            <v>5840</v>
          </cell>
          <cell r="AK172">
            <v>11348</v>
          </cell>
          <cell r="AL172">
            <v>7921</v>
          </cell>
          <cell r="AM172">
            <v>19172</v>
          </cell>
          <cell r="AN172">
            <v>1214</v>
          </cell>
          <cell r="AO172">
            <v>6459</v>
          </cell>
          <cell r="AP172">
            <v>7681</v>
          </cell>
          <cell r="AQ172">
            <v>1766</v>
          </cell>
          <cell r="AR172">
            <v>12631</v>
          </cell>
          <cell r="AS172">
            <v>13595</v>
          </cell>
          <cell r="AT172">
            <v>8742</v>
          </cell>
          <cell r="AU172">
            <v>15399</v>
          </cell>
          <cell r="AV172">
            <v>14439</v>
          </cell>
          <cell r="AW172">
            <v>13617</v>
          </cell>
          <cell r="AX172">
            <v>1950</v>
          </cell>
          <cell r="AY172">
            <v>5552</v>
          </cell>
          <cell r="AZ172">
            <v>25811</v>
          </cell>
          <cell r="BA172">
            <v>238193</v>
          </cell>
          <cell r="BB172">
            <v>22047</v>
          </cell>
          <cell r="BC172">
            <v>59</v>
          </cell>
          <cell r="BD172">
            <v>259970</v>
          </cell>
          <cell r="BE172">
            <v>2.2000000000000002</v>
          </cell>
          <cell r="BF172">
            <v>2.9</v>
          </cell>
          <cell r="BG172">
            <v>2.4</v>
          </cell>
          <cell r="BH172">
            <v>0.5</v>
          </cell>
          <cell r="BI172">
            <v>4.5999999999999996</v>
          </cell>
          <cell r="BJ172">
            <v>7.3</v>
          </cell>
          <cell r="BK172">
            <v>-0.3</v>
          </cell>
          <cell r="BL172">
            <v>2</v>
          </cell>
          <cell r="BM172">
            <v>-4</v>
          </cell>
          <cell r="BN172">
            <v>1.5</v>
          </cell>
          <cell r="BO172">
            <v>1.3</v>
          </cell>
          <cell r="BP172">
            <v>0.5</v>
          </cell>
          <cell r="BQ172">
            <v>-0.8</v>
          </cell>
          <cell r="BR172">
            <v>1.5</v>
          </cell>
          <cell r="BS172">
            <v>3.4</v>
          </cell>
          <cell r="BT172">
            <v>1.3</v>
          </cell>
          <cell r="BU172">
            <v>0.8</v>
          </cell>
          <cell r="BV172">
            <v>1.5</v>
          </cell>
          <cell r="BW172">
            <v>0.3</v>
          </cell>
          <cell r="BX172">
            <v>0.7</v>
          </cell>
          <cell r="BY172">
            <v>6</v>
          </cell>
          <cell r="BZ172">
            <v>2.5</v>
          </cell>
          <cell r="CA172">
            <v>1</v>
          </cell>
          <cell r="CB172">
            <v>2.8</v>
          </cell>
          <cell r="CC172">
            <v>2.2000000000000002</v>
          </cell>
          <cell r="CD172">
            <v>0.5</v>
          </cell>
          <cell r="CE172">
            <v>0.9</v>
          </cell>
          <cell r="CF172">
            <v>3.2</v>
          </cell>
          <cell r="CG172">
            <v>1.4</v>
          </cell>
          <cell r="CH172">
            <v>0</v>
          </cell>
          <cell r="CI172">
            <v>1.9</v>
          </cell>
          <cell r="CJ172">
            <v>2</v>
          </cell>
          <cell r="CK172">
            <v>1.7</v>
          </cell>
          <cell r="CL172">
            <v>0.3</v>
          </cell>
          <cell r="CM172">
            <v>1.1000000000000001</v>
          </cell>
          <cell r="CN172">
            <v>1.5</v>
          </cell>
          <cell r="CO172">
            <v>1.3</v>
          </cell>
          <cell r="CP172">
            <v>1.4</v>
          </cell>
          <cell r="CQ172">
            <v>0.4</v>
          </cell>
          <cell r="CR172">
            <v>0.8</v>
          </cell>
          <cell r="CS172">
            <v>0.7</v>
          </cell>
          <cell r="CT172">
            <v>2</v>
          </cell>
          <cell r="CU172">
            <v>-0.5</v>
          </cell>
          <cell r="CV172">
            <v>0.2</v>
          </cell>
          <cell r="CW172">
            <v>0.5</v>
          </cell>
          <cell r="CX172">
            <v>-0.4</v>
          </cell>
          <cell r="CY172">
            <v>0.3</v>
          </cell>
          <cell r="CZ172">
            <v>1.7</v>
          </cell>
          <cell r="DA172">
            <v>0</v>
          </cell>
          <cell r="DB172">
            <v>-0.4</v>
          </cell>
          <cell r="DC172">
            <v>1</v>
          </cell>
          <cell r="DD172">
            <v>1.1000000000000001</v>
          </cell>
          <cell r="DE172">
            <v>0.5</v>
          </cell>
          <cell r="DF172">
            <v>1.2</v>
          </cell>
          <cell r="DG172">
            <v>7210</v>
          </cell>
          <cell r="DH172">
            <v>1178</v>
          </cell>
          <cell r="DI172">
            <v>8327</v>
          </cell>
          <cell r="DJ172">
            <v>2009</v>
          </cell>
          <cell r="DK172">
            <v>3450</v>
          </cell>
          <cell r="DL172">
            <v>1316</v>
          </cell>
          <cell r="DM172">
            <v>3511</v>
          </cell>
          <cell r="DN172">
            <v>9905</v>
          </cell>
          <cell r="DO172">
            <v>1436</v>
          </cell>
          <cell r="DP172">
            <v>11082</v>
          </cell>
          <cell r="DQ172">
            <v>5836</v>
          </cell>
          <cell r="DR172">
            <v>5706</v>
          </cell>
          <cell r="DS172">
            <v>3235</v>
          </cell>
          <cell r="DT172">
            <v>4094</v>
          </cell>
          <cell r="DU172">
            <v>6261</v>
          </cell>
          <cell r="DV172">
            <v>24311</v>
          </cell>
          <cell r="DW172">
            <v>4951</v>
          </cell>
          <cell r="DX172">
            <v>286</v>
          </cell>
          <cell r="DY172">
            <v>3369</v>
          </cell>
          <cell r="DZ172">
            <v>8569</v>
          </cell>
          <cell r="EA172">
            <v>4807</v>
          </cell>
          <cell r="EB172">
            <v>3663</v>
          </cell>
          <cell r="EC172">
            <v>8427</v>
          </cell>
          <cell r="ED172">
            <v>16926</v>
          </cell>
          <cell r="EE172">
            <v>10949</v>
          </cell>
          <cell r="EF172">
            <v>10415</v>
          </cell>
          <cell r="EG172">
            <v>7304</v>
          </cell>
          <cell r="EH172">
            <v>3767</v>
          </cell>
          <cell r="EI172">
            <v>1098</v>
          </cell>
          <cell r="EJ172">
            <v>1922</v>
          </cell>
          <cell r="EK172">
            <v>5359</v>
          </cell>
          <cell r="EL172">
            <v>12097</v>
          </cell>
          <cell r="EM172">
            <v>2834</v>
          </cell>
          <cell r="EN172">
            <v>3013</v>
          </cell>
          <cell r="EO172">
            <v>5832</v>
          </cell>
          <cell r="EP172">
            <v>11437</v>
          </cell>
          <cell r="EQ172">
            <v>7928</v>
          </cell>
          <cell r="ER172">
            <v>19288</v>
          </cell>
          <cell r="ES172">
            <v>1225</v>
          </cell>
          <cell r="ET172">
            <v>6522</v>
          </cell>
          <cell r="EU172">
            <v>7755</v>
          </cell>
          <cell r="EV172">
            <v>1782</v>
          </cell>
          <cell r="EW172">
            <v>12732</v>
          </cell>
          <cell r="EX172">
            <v>13709</v>
          </cell>
          <cell r="EY172">
            <v>8818</v>
          </cell>
          <cell r="EZ172">
            <v>15427</v>
          </cell>
          <cell r="FA172">
            <v>14439</v>
          </cell>
          <cell r="FB172">
            <v>13634</v>
          </cell>
          <cell r="FC172">
            <v>1951</v>
          </cell>
          <cell r="FD172">
            <v>5551</v>
          </cell>
          <cell r="FE172">
            <v>25811</v>
          </cell>
          <cell r="FF172">
            <v>238244</v>
          </cell>
          <cell r="FG172">
            <v>22058</v>
          </cell>
          <cell r="FH172">
            <v>910</v>
          </cell>
          <cell r="FI172">
            <v>260887</v>
          </cell>
          <cell r="FJ172">
            <v>-4</v>
          </cell>
          <cell r="FK172">
            <v>2.9</v>
          </cell>
          <cell r="FL172">
            <v>-2.4</v>
          </cell>
          <cell r="FM172">
            <v>1.8</v>
          </cell>
          <cell r="FN172">
            <v>4.5999999999999996</v>
          </cell>
          <cell r="FO172">
            <v>0.2</v>
          </cell>
          <cell r="FP172">
            <v>-1.8</v>
          </cell>
          <cell r="FQ172">
            <v>1</v>
          </cell>
          <cell r="FR172">
            <v>-10.9</v>
          </cell>
          <cell r="FS172">
            <v>0.1</v>
          </cell>
          <cell r="FT172">
            <v>1.6</v>
          </cell>
          <cell r="FU172">
            <v>3</v>
          </cell>
          <cell r="FV172">
            <v>-3.8</v>
          </cell>
          <cell r="FW172">
            <v>-1.9</v>
          </cell>
          <cell r="FX172">
            <v>3.7</v>
          </cell>
          <cell r="FY172">
            <v>0.6</v>
          </cell>
          <cell r="FZ172">
            <v>1.4</v>
          </cell>
          <cell r="GA172">
            <v>1.4</v>
          </cell>
          <cell r="GB172">
            <v>0.5</v>
          </cell>
          <cell r="GC172">
            <v>1.1000000000000001</v>
          </cell>
          <cell r="GD172">
            <v>2.2999999999999998</v>
          </cell>
          <cell r="GE172">
            <v>4.3</v>
          </cell>
          <cell r="GF172">
            <v>-1.2</v>
          </cell>
          <cell r="GG172">
            <v>1.1000000000000001</v>
          </cell>
          <cell r="GH172">
            <v>3.3</v>
          </cell>
          <cell r="GI172">
            <v>1.4</v>
          </cell>
          <cell r="GJ172">
            <v>2.2999999999999998</v>
          </cell>
          <cell r="GK172">
            <v>3.3</v>
          </cell>
          <cell r="GL172">
            <v>-0.2</v>
          </cell>
          <cell r="GM172">
            <v>0</v>
          </cell>
          <cell r="GN172">
            <v>3</v>
          </cell>
          <cell r="GO172">
            <v>2.2000000000000002</v>
          </cell>
          <cell r="GP172">
            <v>3.4</v>
          </cell>
          <cell r="GQ172">
            <v>-0.2</v>
          </cell>
          <cell r="GR172">
            <v>1.8</v>
          </cell>
          <cell r="GS172">
            <v>3</v>
          </cell>
          <cell r="GT172">
            <v>1.9</v>
          </cell>
          <cell r="GU172">
            <v>2.7</v>
          </cell>
          <cell r="GV172">
            <v>1.8</v>
          </cell>
          <cell r="GW172">
            <v>2</v>
          </cell>
          <cell r="GX172">
            <v>2</v>
          </cell>
          <cell r="GY172">
            <v>3.3</v>
          </cell>
          <cell r="GZ172">
            <v>0.9</v>
          </cell>
          <cell r="HA172">
            <v>1.6</v>
          </cell>
          <cell r="HB172">
            <v>1.8</v>
          </cell>
          <cell r="HC172">
            <v>0.8</v>
          </cell>
          <cell r="HD172">
            <v>0.4</v>
          </cell>
          <cell r="HE172">
            <v>2</v>
          </cell>
          <cell r="HF172">
            <v>-0.9</v>
          </cell>
          <cell r="HG172">
            <v>-0.7</v>
          </cell>
          <cell r="HH172">
            <v>1</v>
          </cell>
          <cell r="HI172">
            <v>1.3</v>
          </cell>
          <cell r="HJ172">
            <v>0.5</v>
          </cell>
          <cell r="HK172">
            <v>1.7</v>
          </cell>
          <cell r="HL172">
            <v>11916</v>
          </cell>
          <cell r="HM172">
            <v>1181</v>
          </cell>
          <cell r="HN172">
            <v>12441</v>
          </cell>
          <cell r="HO172">
            <v>1967</v>
          </cell>
          <cell r="HP172">
            <v>3378</v>
          </cell>
          <cell r="HQ172">
            <v>1347</v>
          </cell>
          <cell r="HR172">
            <v>3565</v>
          </cell>
          <cell r="HS172">
            <v>9835</v>
          </cell>
          <cell r="HT172">
            <v>1464</v>
          </cell>
          <cell r="HU172">
            <v>11025</v>
          </cell>
          <cell r="HV172">
            <v>6290</v>
          </cell>
          <cell r="HW172">
            <v>5693</v>
          </cell>
          <cell r="HX172">
            <v>3311</v>
          </cell>
          <cell r="HY172">
            <v>4193</v>
          </cell>
          <cell r="HZ172">
            <v>6520</v>
          </cell>
          <cell r="IA172">
            <v>25206</v>
          </cell>
          <cell r="IB172">
            <v>4818</v>
          </cell>
          <cell r="IC172">
            <v>267</v>
          </cell>
          <cell r="ID172">
            <v>3469</v>
          </cell>
          <cell r="IE172">
            <v>8470</v>
          </cell>
          <cell r="IF172">
            <v>5049</v>
          </cell>
          <cell r="IG172">
            <v>3737</v>
          </cell>
          <cell r="IH172">
            <v>8757</v>
          </cell>
          <cell r="II172">
            <v>17505</v>
          </cell>
          <cell r="IJ172">
            <v>11293</v>
          </cell>
          <cell r="IK172">
            <v>11454</v>
          </cell>
          <cell r="IL172">
            <v>7752</v>
          </cell>
          <cell r="IM172">
            <v>3955</v>
          </cell>
          <cell r="IN172">
            <v>1125</v>
          </cell>
          <cell r="IO172">
            <v>1954</v>
          </cell>
          <cell r="IP172">
            <v>5427</v>
          </cell>
          <cell r="IQ172">
            <v>12424</v>
          </cell>
        </row>
        <row r="173">
          <cell r="B173">
            <v>7307</v>
          </cell>
          <cell r="C173">
            <v>1189</v>
          </cell>
          <cell r="D173">
            <v>8432</v>
          </cell>
          <cell r="E173">
            <v>2041</v>
          </cell>
          <cell r="F173">
            <v>3636</v>
          </cell>
          <cell r="G173">
            <v>1453</v>
          </cell>
          <cell r="H173">
            <v>3593</v>
          </cell>
          <cell r="I173">
            <v>10277</v>
          </cell>
          <cell r="J173">
            <v>1435</v>
          </cell>
          <cell r="K173">
            <v>11472</v>
          </cell>
          <cell r="L173">
            <v>6081</v>
          </cell>
          <cell r="M173">
            <v>5527</v>
          </cell>
          <cell r="N173">
            <v>3285</v>
          </cell>
          <cell r="O173">
            <v>4172</v>
          </cell>
          <cell r="P173">
            <v>6691</v>
          </cell>
          <cell r="Q173">
            <v>24975</v>
          </cell>
          <cell r="R173">
            <v>5023</v>
          </cell>
          <cell r="S173">
            <v>293</v>
          </cell>
          <cell r="T173">
            <v>3393</v>
          </cell>
          <cell r="U173">
            <v>8679</v>
          </cell>
          <cell r="V173">
            <v>5099</v>
          </cell>
          <cell r="W173">
            <v>3513</v>
          </cell>
          <cell r="X173">
            <v>8730</v>
          </cell>
          <cell r="Y173">
            <v>17378</v>
          </cell>
          <cell r="Z173">
            <v>11012</v>
          </cell>
          <cell r="AA173">
            <v>10405</v>
          </cell>
          <cell r="AB173">
            <v>7302</v>
          </cell>
          <cell r="AC173">
            <v>3844</v>
          </cell>
          <cell r="AD173">
            <v>1111</v>
          </cell>
          <cell r="AE173">
            <v>1957</v>
          </cell>
          <cell r="AF173">
            <v>5369</v>
          </cell>
          <cell r="AG173">
            <v>12259</v>
          </cell>
          <cell r="AH173">
            <v>2916</v>
          </cell>
          <cell r="AI173">
            <v>3070</v>
          </cell>
          <cell r="AJ173">
            <v>5973</v>
          </cell>
          <cell r="AK173">
            <v>11496</v>
          </cell>
          <cell r="AL173">
            <v>7922</v>
          </cell>
          <cell r="AM173">
            <v>19348</v>
          </cell>
          <cell r="AN173">
            <v>1212</v>
          </cell>
          <cell r="AO173">
            <v>6445</v>
          </cell>
          <cell r="AP173">
            <v>7665</v>
          </cell>
          <cell r="AQ173">
            <v>1800</v>
          </cell>
          <cell r="AR173">
            <v>12720</v>
          </cell>
          <cell r="AS173">
            <v>13739</v>
          </cell>
          <cell r="AT173">
            <v>8805</v>
          </cell>
          <cell r="AU173">
            <v>15303</v>
          </cell>
          <cell r="AV173">
            <v>14501</v>
          </cell>
          <cell r="AW173">
            <v>13774</v>
          </cell>
          <cell r="AX173">
            <v>2028</v>
          </cell>
          <cell r="AY173">
            <v>5492</v>
          </cell>
          <cell r="AZ173">
            <v>26106</v>
          </cell>
          <cell r="BA173">
            <v>240779</v>
          </cell>
          <cell r="BB173">
            <v>22177</v>
          </cell>
          <cell r="BC173">
            <v>14</v>
          </cell>
          <cell r="BD173">
            <v>262632</v>
          </cell>
          <cell r="BE173">
            <v>-0.3</v>
          </cell>
          <cell r="BF173">
            <v>1.6</v>
          </cell>
          <cell r="BG173">
            <v>0.2</v>
          </cell>
          <cell r="BH173">
            <v>2.8</v>
          </cell>
          <cell r="BI173">
            <v>4.3</v>
          </cell>
          <cell r="BJ173">
            <v>7.6</v>
          </cell>
          <cell r="BK173">
            <v>1.7</v>
          </cell>
          <cell r="BL173">
            <v>3.1</v>
          </cell>
          <cell r="BM173">
            <v>-1.3</v>
          </cell>
          <cell r="BN173">
            <v>2.8</v>
          </cell>
          <cell r="BO173">
            <v>2.9</v>
          </cell>
          <cell r="BP173">
            <v>-1.3</v>
          </cell>
          <cell r="BQ173">
            <v>-1.5</v>
          </cell>
          <cell r="BR173">
            <v>2</v>
          </cell>
          <cell r="BS173">
            <v>5.0999999999999996</v>
          </cell>
          <cell r="BT173">
            <v>1.8</v>
          </cell>
          <cell r="BU173">
            <v>1.6</v>
          </cell>
          <cell r="BV173">
            <v>2.1</v>
          </cell>
          <cell r="BW173">
            <v>0.4</v>
          </cell>
          <cell r="BX173">
            <v>1.2</v>
          </cell>
          <cell r="BY173">
            <v>3.9</v>
          </cell>
          <cell r="BZ173">
            <v>-2.8</v>
          </cell>
          <cell r="CA173">
            <v>1.9</v>
          </cell>
          <cell r="CB173">
            <v>1.6</v>
          </cell>
          <cell r="CC173">
            <v>1.4</v>
          </cell>
          <cell r="CD173">
            <v>0.6</v>
          </cell>
          <cell r="CE173">
            <v>0.4</v>
          </cell>
          <cell r="CF173">
            <v>2.7</v>
          </cell>
          <cell r="CG173">
            <v>0.8</v>
          </cell>
          <cell r="CH173">
            <v>2.2999999999999998</v>
          </cell>
          <cell r="CI173">
            <v>1</v>
          </cell>
          <cell r="CJ173">
            <v>1.7</v>
          </cell>
          <cell r="CK173">
            <v>2.6</v>
          </cell>
          <cell r="CL173">
            <v>2</v>
          </cell>
          <cell r="CM173">
            <v>2.2999999999999998</v>
          </cell>
          <cell r="CN173">
            <v>1.3</v>
          </cell>
          <cell r="CO173">
            <v>0</v>
          </cell>
          <cell r="CP173">
            <v>0.9</v>
          </cell>
          <cell r="CQ173">
            <v>-0.2</v>
          </cell>
          <cell r="CR173">
            <v>-0.2</v>
          </cell>
          <cell r="CS173">
            <v>-0.2</v>
          </cell>
          <cell r="CT173">
            <v>1.9</v>
          </cell>
          <cell r="CU173">
            <v>0.7</v>
          </cell>
          <cell r="CV173">
            <v>1.1000000000000001</v>
          </cell>
          <cell r="CW173">
            <v>0.7</v>
          </cell>
          <cell r="CX173">
            <v>-0.6</v>
          </cell>
          <cell r="CY173">
            <v>0.4</v>
          </cell>
          <cell r="CZ173">
            <v>1.2</v>
          </cell>
          <cell r="DA173">
            <v>4</v>
          </cell>
          <cell r="DB173">
            <v>-1.1000000000000001</v>
          </cell>
          <cell r="DC173">
            <v>1.1000000000000001</v>
          </cell>
          <cell r="DD173">
            <v>1.1000000000000001</v>
          </cell>
          <cell r="DE173">
            <v>0.6</v>
          </cell>
          <cell r="DF173">
            <v>1</v>
          </cell>
          <cell r="DG173">
            <v>7403</v>
          </cell>
          <cell r="DH173">
            <v>1191</v>
          </cell>
          <cell r="DI173">
            <v>8520</v>
          </cell>
          <cell r="DJ173">
            <v>2000</v>
          </cell>
          <cell r="DK173">
            <v>3715</v>
          </cell>
          <cell r="DL173">
            <v>1443</v>
          </cell>
          <cell r="DM173">
            <v>3542</v>
          </cell>
          <cell r="DN173">
            <v>10264</v>
          </cell>
          <cell r="DO173">
            <v>1353</v>
          </cell>
          <cell r="DP173">
            <v>11416</v>
          </cell>
          <cell r="DQ173">
            <v>6190</v>
          </cell>
          <cell r="DR173">
            <v>5648</v>
          </cell>
          <cell r="DS173">
            <v>3456</v>
          </cell>
          <cell r="DT173">
            <v>4095</v>
          </cell>
          <cell r="DU173">
            <v>6832</v>
          </cell>
          <cell r="DV173">
            <v>25432</v>
          </cell>
          <cell r="DW173">
            <v>5017</v>
          </cell>
          <cell r="DX173">
            <v>293</v>
          </cell>
          <cell r="DY173">
            <v>3424</v>
          </cell>
          <cell r="DZ173">
            <v>8698</v>
          </cell>
          <cell r="EA173">
            <v>5027</v>
          </cell>
          <cell r="EB173">
            <v>3566</v>
          </cell>
          <cell r="EC173">
            <v>8653</v>
          </cell>
          <cell r="ED173">
            <v>17294</v>
          </cell>
          <cell r="EE173">
            <v>10996</v>
          </cell>
          <cell r="EF173">
            <v>10283</v>
          </cell>
          <cell r="EG173">
            <v>7340</v>
          </cell>
          <cell r="EH173">
            <v>3805</v>
          </cell>
          <cell r="EI173">
            <v>1111</v>
          </cell>
          <cell r="EJ173">
            <v>1927</v>
          </cell>
          <cell r="EK173">
            <v>5342</v>
          </cell>
          <cell r="EL173">
            <v>12217</v>
          </cell>
          <cell r="EM173">
            <v>2950</v>
          </cell>
          <cell r="EN173">
            <v>3010</v>
          </cell>
          <cell r="EO173">
            <v>5961</v>
          </cell>
          <cell r="EP173">
            <v>11417</v>
          </cell>
          <cell r="EQ173">
            <v>7957</v>
          </cell>
          <cell r="ER173">
            <v>19273</v>
          </cell>
          <cell r="ES173">
            <v>1204</v>
          </cell>
          <cell r="ET173">
            <v>6404</v>
          </cell>
          <cell r="EU173">
            <v>7616</v>
          </cell>
          <cell r="EV173">
            <v>1787</v>
          </cell>
          <cell r="EW173">
            <v>12614</v>
          </cell>
          <cell r="EX173">
            <v>13630</v>
          </cell>
          <cell r="EY173">
            <v>8739</v>
          </cell>
          <cell r="EZ173">
            <v>15460</v>
          </cell>
          <cell r="FA173">
            <v>14503</v>
          </cell>
          <cell r="FB173">
            <v>13834</v>
          </cell>
          <cell r="FC173">
            <v>2000</v>
          </cell>
          <cell r="FD173">
            <v>5515</v>
          </cell>
          <cell r="FE173">
            <v>26085</v>
          </cell>
          <cell r="FF173">
            <v>240952</v>
          </cell>
          <cell r="FG173">
            <v>22110</v>
          </cell>
          <cell r="FH173">
            <v>-737</v>
          </cell>
          <cell r="FI173">
            <v>261998</v>
          </cell>
          <cell r="FJ173">
            <v>2.7</v>
          </cell>
          <cell r="FK173">
            <v>1.2</v>
          </cell>
          <cell r="FL173">
            <v>2.2999999999999998</v>
          </cell>
          <cell r="FM173">
            <v>-0.5</v>
          </cell>
          <cell r="FN173">
            <v>7.7</v>
          </cell>
          <cell r="FO173">
            <v>9.6</v>
          </cell>
          <cell r="FP173">
            <v>0.9</v>
          </cell>
          <cell r="FQ173">
            <v>3.6</v>
          </cell>
          <cell r="FR173">
            <v>-5.8</v>
          </cell>
          <cell r="FS173">
            <v>3</v>
          </cell>
          <cell r="FT173">
            <v>6.1</v>
          </cell>
          <cell r="FU173">
            <v>-1</v>
          </cell>
          <cell r="FV173">
            <v>6.8</v>
          </cell>
          <cell r="FW173">
            <v>0</v>
          </cell>
          <cell r="FX173">
            <v>9.1</v>
          </cell>
          <cell r="FY173">
            <v>4.5999999999999996</v>
          </cell>
          <cell r="FZ173">
            <v>1.3</v>
          </cell>
          <cell r="GA173">
            <v>2.5</v>
          </cell>
          <cell r="GB173">
            <v>1.6</v>
          </cell>
          <cell r="GC173">
            <v>1.5</v>
          </cell>
          <cell r="GD173">
            <v>4.5999999999999996</v>
          </cell>
          <cell r="GE173">
            <v>-2.7</v>
          </cell>
          <cell r="GF173">
            <v>2.7</v>
          </cell>
          <cell r="GG173">
            <v>2.2000000000000002</v>
          </cell>
          <cell r="GH173">
            <v>0.4</v>
          </cell>
          <cell r="GI173">
            <v>-1.3</v>
          </cell>
          <cell r="GJ173">
            <v>0.5</v>
          </cell>
          <cell r="GK173">
            <v>1</v>
          </cell>
          <cell r="GL173">
            <v>1.2</v>
          </cell>
          <cell r="GM173">
            <v>0.2</v>
          </cell>
          <cell r="GN173">
            <v>-0.3</v>
          </cell>
          <cell r="GO173">
            <v>1</v>
          </cell>
          <cell r="GP173">
            <v>4.0999999999999996</v>
          </cell>
          <cell r="GQ173">
            <v>-0.1</v>
          </cell>
          <cell r="GR173">
            <v>2.2000000000000002</v>
          </cell>
          <cell r="GS173">
            <v>-0.2</v>
          </cell>
          <cell r="GT173">
            <v>0.4</v>
          </cell>
          <cell r="GU173">
            <v>-0.1</v>
          </cell>
          <cell r="GV173">
            <v>-1.7</v>
          </cell>
          <cell r="GW173">
            <v>-1.8</v>
          </cell>
          <cell r="GX173">
            <v>-1.8</v>
          </cell>
          <cell r="GY173">
            <v>0.3</v>
          </cell>
          <cell r="GZ173">
            <v>-0.9</v>
          </cell>
          <cell r="HA173">
            <v>-0.6</v>
          </cell>
          <cell r="HB173">
            <v>-0.9</v>
          </cell>
          <cell r="HC173">
            <v>0.2</v>
          </cell>
          <cell r="HD173">
            <v>0.4</v>
          </cell>
          <cell r="HE173">
            <v>1.5</v>
          </cell>
          <cell r="HF173">
            <v>2.5</v>
          </cell>
          <cell r="HG173">
            <v>-0.6</v>
          </cell>
          <cell r="HH173">
            <v>1.1000000000000001</v>
          </cell>
          <cell r="HI173">
            <v>1.1000000000000001</v>
          </cell>
          <cell r="HJ173">
            <v>0.2</v>
          </cell>
          <cell r="HK173">
            <v>0.4</v>
          </cell>
          <cell r="HL173">
            <v>6529</v>
          </cell>
          <cell r="HM173">
            <v>1186</v>
          </cell>
          <cell r="HN173">
            <v>7753</v>
          </cell>
          <cell r="HO173">
            <v>1967</v>
          </cell>
          <cell r="HP173">
            <v>3647</v>
          </cell>
          <cell r="HQ173">
            <v>1379</v>
          </cell>
          <cell r="HR173">
            <v>3436</v>
          </cell>
          <cell r="HS173">
            <v>10019</v>
          </cell>
          <cell r="HT173">
            <v>1262</v>
          </cell>
          <cell r="HU173">
            <v>11109</v>
          </cell>
          <cell r="HV173">
            <v>6029</v>
          </cell>
          <cell r="HW173">
            <v>5548</v>
          </cell>
          <cell r="HX173">
            <v>3261</v>
          </cell>
          <cell r="HY173">
            <v>3807</v>
          </cell>
          <cell r="HZ173">
            <v>6470</v>
          </cell>
          <cell r="IA173">
            <v>24261</v>
          </cell>
          <cell r="IB173">
            <v>4967</v>
          </cell>
          <cell r="IC173">
            <v>251</v>
          </cell>
          <cell r="ID173">
            <v>3583</v>
          </cell>
          <cell r="IE173">
            <v>8693</v>
          </cell>
          <cell r="IF173">
            <v>4622</v>
          </cell>
          <cell r="IG173">
            <v>3180</v>
          </cell>
          <cell r="IH173">
            <v>8063</v>
          </cell>
          <cell r="II173">
            <v>15917</v>
          </cell>
          <cell r="IJ173">
            <v>10494</v>
          </cell>
          <cell r="IK173">
            <v>9830</v>
          </cell>
          <cell r="IL173">
            <v>7036</v>
          </cell>
          <cell r="IM173">
            <v>3708</v>
          </cell>
          <cell r="IN173">
            <v>1062</v>
          </cell>
          <cell r="IO173">
            <v>1876</v>
          </cell>
          <cell r="IP173">
            <v>5277</v>
          </cell>
          <cell r="IQ173">
            <v>11894</v>
          </cell>
        </row>
        <row r="174">
          <cell r="B174">
            <v>7319</v>
          </cell>
          <cell r="C174">
            <v>1208</v>
          </cell>
          <cell r="D174">
            <v>8474</v>
          </cell>
          <cell r="E174">
            <v>2171</v>
          </cell>
          <cell r="F174">
            <v>3674</v>
          </cell>
          <cell r="G174">
            <v>1541</v>
          </cell>
          <cell r="H174">
            <v>3679</v>
          </cell>
          <cell r="I174">
            <v>10549</v>
          </cell>
          <cell r="J174">
            <v>1478</v>
          </cell>
          <cell r="K174">
            <v>11781</v>
          </cell>
          <cell r="L174">
            <v>6243</v>
          </cell>
          <cell r="M174">
            <v>5441</v>
          </cell>
          <cell r="N174">
            <v>3261</v>
          </cell>
          <cell r="O174">
            <v>4273</v>
          </cell>
          <cell r="P174">
            <v>6843</v>
          </cell>
          <cell r="Q174">
            <v>25287</v>
          </cell>
          <cell r="R174">
            <v>5084</v>
          </cell>
          <cell r="S174">
            <v>297</v>
          </cell>
          <cell r="T174">
            <v>3399</v>
          </cell>
          <cell r="U174">
            <v>8756</v>
          </cell>
          <cell r="V174">
            <v>4956</v>
          </cell>
          <cell r="W174">
            <v>3233</v>
          </cell>
          <cell r="X174">
            <v>8631</v>
          </cell>
          <cell r="Y174">
            <v>16860</v>
          </cell>
          <cell r="Z174">
            <v>10989</v>
          </cell>
          <cell r="AA174">
            <v>10474</v>
          </cell>
          <cell r="AB174">
            <v>7346</v>
          </cell>
          <cell r="AC174">
            <v>3878</v>
          </cell>
          <cell r="AD174">
            <v>1122</v>
          </cell>
          <cell r="AE174">
            <v>2040</v>
          </cell>
          <cell r="AF174">
            <v>5445</v>
          </cell>
          <cell r="AG174">
            <v>12450</v>
          </cell>
          <cell r="AH174">
            <v>2970</v>
          </cell>
          <cell r="AI174">
            <v>3169</v>
          </cell>
          <cell r="AJ174">
            <v>6117</v>
          </cell>
          <cell r="AK174">
            <v>11553</v>
          </cell>
          <cell r="AL174">
            <v>7792</v>
          </cell>
          <cell r="AM174">
            <v>19322</v>
          </cell>
          <cell r="AN174">
            <v>1210</v>
          </cell>
          <cell r="AO174">
            <v>6407</v>
          </cell>
          <cell r="AP174">
            <v>7628</v>
          </cell>
          <cell r="AQ174">
            <v>1848</v>
          </cell>
          <cell r="AR174">
            <v>13067</v>
          </cell>
          <cell r="AS174">
            <v>14112</v>
          </cell>
          <cell r="AT174">
            <v>8958</v>
          </cell>
          <cell r="AU174">
            <v>15224</v>
          </cell>
          <cell r="AV174">
            <v>14569</v>
          </cell>
          <cell r="AW174">
            <v>13783</v>
          </cell>
          <cell r="AX174">
            <v>2167</v>
          </cell>
          <cell r="AY174">
            <v>5498</v>
          </cell>
          <cell r="AZ174">
            <v>26410</v>
          </cell>
          <cell r="BA174">
            <v>242389</v>
          </cell>
          <cell r="BB174">
            <v>21995</v>
          </cell>
          <cell r="BC174">
            <v>-76</v>
          </cell>
          <cell r="BD174">
            <v>263982</v>
          </cell>
          <cell r="BE174">
            <v>0.2</v>
          </cell>
          <cell r="BF174">
            <v>1.6</v>
          </cell>
          <cell r="BG174">
            <v>0.5</v>
          </cell>
          <cell r="BH174">
            <v>6.3</v>
          </cell>
          <cell r="BI174">
            <v>1</v>
          </cell>
          <cell r="BJ174">
            <v>6</v>
          </cell>
          <cell r="BK174">
            <v>2.4</v>
          </cell>
          <cell r="BL174">
            <v>2.6</v>
          </cell>
          <cell r="BM174">
            <v>3</v>
          </cell>
          <cell r="BN174">
            <v>2.7</v>
          </cell>
          <cell r="BO174">
            <v>2.7</v>
          </cell>
          <cell r="BP174">
            <v>-1.6</v>
          </cell>
          <cell r="BQ174">
            <v>-0.7</v>
          </cell>
          <cell r="BR174">
            <v>2.4</v>
          </cell>
          <cell r="BS174">
            <v>2.2999999999999998</v>
          </cell>
          <cell r="BT174">
            <v>1.3</v>
          </cell>
          <cell r="BU174">
            <v>1.2</v>
          </cell>
          <cell r="BV174">
            <v>1.4</v>
          </cell>
          <cell r="BW174">
            <v>0.2</v>
          </cell>
          <cell r="BX174">
            <v>0.9</v>
          </cell>
          <cell r="BY174">
            <v>-2.8</v>
          </cell>
          <cell r="BZ174">
            <v>-8</v>
          </cell>
          <cell r="CA174">
            <v>-1.1000000000000001</v>
          </cell>
          <cell r="CB174">
            <v>-3</v>
          </cell>
          <cell r="CC174">
            <v>-0.2</v>
          </cell>
          <cell r="CD174">
            <v>0.7</v>
          </cell>
          <cell r="CE174">
            <v>0.6</v>
          </cell>
          <cell r="CF174">
            <v>0.9</v>
          </cell>
          <cell r="CG174">
            <v>1</v>
          </cell>
          <cell r="CH174">
            <v>4.2</v>
          </cell>
          <cell r="CI174">
            <v>1.4</v>
          </cell>
          <cell r="CJ174">
            <v>1.6</v>
          </cell>
          <cell r="CK174">
            <v>1.9</v>
          </cell>
          <cell r="CL174">
            <v>3.2</v>
          </cell>
          <cell r="CM174">
            <v>2.4</v>
          </cell>
          <cell r="CN174">
            <v>0.5</v>
          </cell>
          <cell r="CO174">
            <v>-1.6</v>
          </cell>
          <cell r="CP174">
            <v>-0.1</v>
          </cell>
          <cell r="CQ174">
            <v>-0.1</v>
          </cell>
          <cell r="CR174">
            <v>-0.6</v>
          </cell>
          <cell r="CS174">
            <v>-0.5</v>
          </cell>
          <cell r="CT174">
            <v>2.7</v>
          </cell>
          <cell r="CU174">
            <v>2.7</v>
          </cell>
          <cell r="CV174">
            <v>2.7</v>
          </cell>
          <cell r="CW174">
            <v>1.7</v>
          </cell>
          <cell r="CX174">
            <v>-0.5</v>
          </cell>
          <cell r="CY174">
            <v>0.5</v>
          </cell>
          <cell r="CZ174">
            <v>0.1</v>
          </cell>
          <cell r="DA174">
            <v>6.9</v>
          </cell>
          <cell r="DB174">
            <v>0.1</v>
          </cell>
          <cell r="DC174">
            <v>1.2</v>
          </cell>
          <cell r="DD174">
            <v>0.7</v>
          </cell>
          <cell r="DE174">
            <v>-0.8</v>
          </cell>
          <cell r="DF174">
            <v>0.5</v>
          </cell>
          <cell r="DG174">
            <v>7094</v>
          </cell>
          <cell r="DH174">
            <v>1177</v>
          </cell>
          <cell r="DI174">
            <v>8225</v>
          </cell>
          <cell r="DJ174">
            <v>2151</v>
          </cell>
          <cell r="DK174">
            <v>3703</v>
          </cell>
          <cell r="DL174">
            <v>1561</v>
          </cell>
          <cell r="DM174">
            <v>3738</v>
          </cell>
          <cell r="DN174">
            <v>10640</v>
          </cell>
          <cell r="DO174">
            <v>1543</v>
          </cell>
          <cell r="DP174">
            <v>11912</v>
          </cell>
          <cell r="DQ174">
            <v>6238</v>
          </cell>
          <cell r="DR174">
            <v>5080</v>
          </cell>
          <cell r="DS174">
            <v>3161</v>
          </cell>
          <cell r="DT174">
            <v>4293</v>
          </cell>
          <cell r="DU174">
            <v>6898</v>
          </cell>
          <cell r="DV174">
            <v>24996</v>
          </cell>
          <cell r="DW174">
            <v>5092</v>
          </cell>
          <cell r="DX174">
            <v>299</v>
          </cell>
          <cell r="DY174">
            <v>3381</v>
          </cell>
          <cell r="DZ174">
            <v>8756</v>
          </cell>
          <cell r="EA174">
            <v>5342</v>
          </cell>
          <cell r="EB174">
            <v>3158</v>
          </cell>
          <cell r="EC174">
            <v>9016</v>
          </cell>
          <cell r="ED174">
            <v>17540</v>
          </cell>
          <cell r="EE174">
            <v>11018</v>
          </cell>
          <cell r="EF174">
            <v>10589</v>
          </cell>
          <cell r="EG174">
            <v>7280</v>
          </cell>
          <cell r="EH174">
            <v>3905</v>
          </cell>
          <cell r="EI174">
            <v>1127</v>
          </cell>
          <cell r="EJ174">
            <v>2005</v>
          </cell>
          <cell r="EK174">
            <v>5456</v>
          </cell>
          <cell r="EL174">
            <v>12454</v>
          </cell>
          <cell r="EM174">
            <v>2973</v>
          </cell>
          <cell r="EN174">
            <v>3227</v>
          </cell>
          <cell r="EO174">
            <v>6169</v>
          </cell>
          <cell r="EP174">
            <v>11663</v>
          </cell>
          <cell r="EQ174">
            <v>7848</v>
          </cell>
          <cell r="ER174">
            <v>19494</v>
          </cell>
          <cell r="ES174">
            <v>1206</v>
          </cell>
          <cell r="ET174">
            <v>6387</v>
          </cell>
          <cell r="EU174">
            <v>7602</v>
          </cell>
          <cell r="EV174">
            <v>1836</v>
          </cell>
          <cell r="EW174">
            <v>12954</v>
          </cell>
          <cell r="EX174">
            <v>14001</v>
          </cell>
          <cell r="EY174">
            <v>8903</v>
          </cell>
          <cell r="EZ174">
            <v>15077</v>
          </cell>
          <cell r="FA174">
            <v>14570</v>
          </cell>
          <cell r="FB174">
            <v>13813</v>
          </cell>
          <cell r="FC174">
            <v>2063</v>
          </cell>
          <cell r="FD174">
            <v>5426</v>
          </cell>
          <cell r="FE174">
            <v>26428</v>
          </cell>
          <cell r="FF174">
            <v>242517</v>
          </cell>
          <cell r="FG174">
            <v>22128</v>
          </cell>
          <cell r="FH174">
            <v>174</v>
          </cell>
          <cell r="FI174">
            <v>264474</v>
          </cell>
          <cell r="FJ174">
            <v>-4.2</v>
          </cell>
          <cell r="FK174">
            <v>-1.2</v>
          </cell>
          <cell r="FL174">
            <v>-3.5</v>
          </cell>
          <cell r="FM174">
            <v>7.6</v>
          </cell>
          <cell r="FN174">
            <v>-0.3</v>
          </cell>
          <cell r="FO174">
            <v>8.1999999999999993</v>
          </cell>
          <cell r="FP174">
            <v>5.5</v>
          </cell>
          <cell r="FQ174">
            <v>3.7</v>
          </cell>
          <cell r="FR174">
            <v>14</v>
          </cell>
          <cell r="FS174">
            <v>4.3</v>
          </cell>
          <cell r="FT174">
            <v>0.8</v>
          </cell>
          <cell r="FU174">
            <v>-10.1</v>
          </cell>
          <cell r="FV174">
            <v>-8.5</v>
          </cell>
          <cell r="FW174">
            <v>4.8</v>
          </cell>
          <cell r="FX174">
            <v>1</v>
          </cell>
          <cell r="FY174">
            <v>-1.7</v>
          </cell>
          <cell r="FZ174">
            <v>1.5</v>
          </cell>
          <cell r="GA174">
            <v>2.2000000000000002</v>
          </cell>
          <cell r="GB174">
            <v>-1.2</v>
          </cell>
          <cell r="GC174">
            <v>0.7</v>
          </cell>
          <cell r="GD174">
            <v>6.3</v>
          </cell>
          <cell r="GE174">
            <v>-11.4</v>
          </cell>
          <cell r="GF174">
            <v>4.2</v>
          </cell>
          <cell r="GG174">
            <v>1.4</v>
          </cell>
          <cell r="GH174">
            <v>0.2</v>
          </cell>
          <cell r="GI174">
            <v>3</v>
          </cell>
          <cell r="GJ174">
            <v>-0.8</v>
          </cell>
          <cell r="GK174">
            <v>2.6</v>
          </cell>
          <cell r="GL174">
            <v>1.5</v>
          </cell>
          <cell r="GM174">
            <v>4.0999999999999996</v>
          </cell>
          <cell r="GN174">
            <v>2.1</v>
          </cell>
          <cell r="GO174">
            <v>1.9</v>
          </cell>
          <cell r="GP174">
            <v>0.8</v>
          </cell>
          <cell r="GQ174">
            <v>7.2</v>
          </cell>
          <cell r="GR174">
            <v>3.5</v>
          </cell>
          <cell r="GS174">
            <v>2.2000000000000002</v>
          </cell>
          <cell r="GT174">
            <v>-1.4</v>
          </cell>
          <cell r="GU174">
            <v>1.1000000000000001</v>
          </cell>
          <cell r="GV174">
            <v>0.1</v>
          </cell>
          <cell r="GW174">
            <v>-0.3</v>
          </cell>
          <cell r="GX174">
            <v>-0.2</v>
          </cell>
          <cell r="GY174">
            <v>2.8</v>
          </cell>
          <cell r="GZ174">
            <v>2.7</v>
          </cell>
          <cell r="HA174">
            <v>2.7</v>
          </cell>
          <cell r="HB174">
            <v>1.9</v>
          </cell>
          <cell r="HC174">
            <v>-2.5</v>
          </cell>
          <cell r="HD174">
            <v>0.5</v>
          </cell>
          <cell r="HE174">
            <v>-0.2</v>
          </cell>
          <cell r="HF174">
            <v>3.2</v>
          </cell>
          <cell r="HG174">
            <v>-1.6</v>
          </cell>
          <cell r="HH174">
            <v>1.3</v>
          </cell>
          <cell r="HI174">
            <v>0.6</v>
          </cell>
          <cell r="HJ174">
            <v>0.1</v>
          </cell>
          <cell r="HK174">
            <v>0.9</v>
          </cell>
          <cell r="HL174">
            <v>5888</v>
          </cell>
          <cell r="HM174">
            <v>1171</v>
          </cell>
          <cell r="HN174">
            <v>7164</v>
          </cell>
          <cell r="HO174">
            <v>2154</v>
          </cell>
          <cell r="HP174">
            <v>3684</v>
          </cell>
          <cell r="HQ174">
            <v>1553</v>
          </cell>
          <cell r="HR174">
            <v>3763</v>
          </cell>
          <cell r="HS174">
            <v>10628</v>
          </cell>
          <cell r="HT174">
            <v>1583</v>
          </cell>
          <cell r="HU174">
            <v>11929</v>
          </cell>
          <cell r="HV174">
            <v>6002</v>
          </cell>
          <cell r="HW174">
            <v>5055</v>
          </cell>
          <cell r="HX174">
            <v>3190</v>
          </cell>
          <cell r="HY174">
            <v>4333</v>
          </cell>
          <cell r="HZ174">
            <v>6781</v>
          </cell>
          <cell r="IA174">
            <v>24722</v>
          </cell>
          <cell r="IB174">
            <v>5100</v>
          </cell>
          <cell r="IC174">
            <v>319</v>
          </cell>
          <cell r="ID174">
            <v>3240</v>
          </cell>
          <cell r="IE174">
            <v>8685</v>
          </cell>
          <cell r="IF174">
            <v>5355</v>
          </cell>
          <cell r="IG174">
            <v>3035</v>
          </cell>
          <cell r="IH174">
            <v>9293</v>
          </cell>
          <cell r="II174">
            <v>17859</v>
          </cell>
          <cell r="IJ174">
            <v>11101</v>
          </cell>
          <cell r="IK174">
            <v>10246</v>
          </cell>
          <cell r="IL174">
            <v>6770</v>
          </cell>
          <cell r="IM174">
            <v>3796</v>
          </cell>
          <cell r="IN174">
            <v>1096</v>
          </cell>
          <cell r="IO174">
            <v>1979</v>
          </cell>
          <cell r="IP174">
            <v>5447</v>
          </cell>
          <cell r="IQ174">
            <v>12285</v>
          </cell>
        </row>
        <row r="175">
          <cell r="B175">
            <v>7383</v>
          </cell>
          <cell r="C175">
            <v>1226</v>
          </cell>
          <cell r="D175">
            <v>8558</v>
          </cell>
          <cell r="E175">
            <v>2337</v>
          </cell>
          <cell r="F175">
            <v>3638</v>
          </cell>
          <cell r="G175">
            <v>1575</v>
          </cell>
          <cell r="H175">
            <v>3755</v>
          </cell>
          <cell r="I175">
            <v>10731</v>
          </cell>
          <cell r="J175">
            <v>1596</v>
          </cell>
          <cell r="K175">
            <v>12049</v>
          </cell>
          <cell r="L175">
            <v>6317</v>
          </cell>
          <cell r="M175">
            <v>5413</v>
          </cell>
          <cell r="N175">
            <v>3261</v>
          </cell>
          <cell r="O175">
            <v>4386</v>
          </cell>
          <cell r="P175">
            <v>6728</v>
          </cell>
          <cell r="Q175">
            <v>25353</v>
          </cell>
          <cell r="R175">
            <v>5108</v>
          </cell>
          <cell r="S175">
            <v>297</v>
          </cell>
          <cell r="T175">
            <v>3407</v>
          </cell>
          <cell r="U175">
            <v>8785</v>
          </cell>
          <cell r="V175">
            <v>4516</v>
          </cell>
          <cell r="W175">
            <v>2879</v>
          </cell>
          <cell r="X175">
            <v>8183</v>
          </cell>
          <cell r="Y175">
            <v>15615</v>
          </cell>
          <cell r="Z175">
            <v>10886</v>
          </cell>
          <cell r="AA175">
            <v>10567</v>
          </cell>
          <cell r="AB175">
            <v>7416</v>
          </cell>
          <cell r="AC175">
            <v>3828</v>
          </cell>
          <cell r="AD175">
            <v>1148</v>
          </cell>
          <cell r="AE175">
            <v>2058</v>
          </cell>
          <cell r="AF175">
            <v>5490</v>
          </cell>
          <cell r="AG175">
            <v>12493</v>
          </cell>
          <cell r="AH175">
            <v>2985</v>
          </cell>
          <cell r="AI175">
            <v>3226</v>
          </cell>
          <cell r="AJ175">
            <v>6183</v>
          </cell>
          <cell r="AK175">
            <v>11591</v>
          </cell>
          <cell r="AL175">
            <v>7619</v>
          </cell>
          <cell r="AM175">
            <v>19245</v>
          </cell>
          <cell r="AN175">
            <v>1207</v>
          </cell>
          <cell r="AO175">
            <v>6356</v>
          </cell>
          <cell r="AP175">
            <v>7576</v>
          </cell>
          <cell r="AQ175">
            <v>1907</v>
          </cell>
          <cell r="AR175">
            <v>13534</v>
          </cell>
          <cell r="AS175">
            <v>14602</v>
          </cell>
          <cell r="AT175">
            <v>9161</v>
          </cell>
          <cell r="AU175">
            <v>15332</v>
          </cell>
          <cell r="AV175">
            <v>14637</v>
          </cell>
          <cell r="AW175">
            <v>13872</v>
          </cell>
          <cell r="AX175">
            <v>2216</v>
          </cell>
          <cell r="AY175">
            <v>5607</v>
          </cell>
          <cell r="AZ175">
            <v>26679</v>
          </cell>
          <cell r="BA175">
            <v>242953</v>
          </cell>
          <cell r="BB175">
            <v>21654</v>
          </cell>
          <cell r="BC175">
            <v>116</v>
          </cell>
          <cell r="BD175">
            <v>264427</v>
          </cell>
          <cell r="BE175">
            <v>0.9</v>
          </cell>
          <cell r="BF175">
            <v>1.5</v>
          </cell>
          <cell r="BG175">
            <v>1</v>
          </cell>
          <cell r="BH175">
            <v>7.6</v>
          </cell>
          <cell r="BI175">
            <v>-1</v>
          </cell>
          <cell r="BJ175">
            <v>2.2000000000000002</v>
          </cell>
          <cell r="BK175">
            <v>2.1</v>
          </cell>
          <cell r="BL175">
            <v>1.7</v>
          </cell>
          <cell r="BM175">
            <v>8</v>
          </cell>
          <cell r="BN175">
            <v>2.2999999999999998</v>
          </cell>
          <cell r="BO175">
            <v>1.2</v>
          </cell>
          <cell r="BP175">
            <v>-0.5</v>
          </cell>
          <cell r="BQ175">
            <v>0</v>
          </cell>
          <cell r="BR175">
            <v>2.6</v>
          </cell>
          <cell r="BS175">
            <v>-1.7</v>
          </cell>
          <cell r="BT175">
            <v>0.3</v>
          </cell>
          <cell r="BU175">
            <v>0.5</v>
          </cell>
          <cell r="BV175">
            <v>0</v>
          </cell>
          <cell r="BW175">
            <v>0.2</v>
          </cell>
          <cell r="BX175">
            <v>0.3</v>
          </cell>
          <cell r="BY175">
            <v>-8.9</v>
          </cell>
          <cell r="BZ175">
            <v>-11</v>
          </cell>
          <cell r="CA175">
            <v>-5.2</v>
          </cell>
          <cell r="CB175">
            <v>-7.4</v>
          </cell>
          <cell r="CC175">
            <v>-0.9</v>
          </cell>
          <cell r="CD175">
            <v>0.9</v>
          </cell>
          <cell r="CE175">
            <v>0.9</v>
          </cell>
          <cell r="CF175">
            <v>-1.3</v>
          </cell>
          <cell r="CG175">
            <v>2.2999999999999998</v>
          </cell>
          <cell r="CH175">
            <v>0.9</v>
          </cell>
          <cell r="CI175">
            <v>0.8</v>
          </cell>
          <cell r="CJ175">
            <v>0.3</v>
          </cell>
          <cell r="CK175">
            <v>0.5</v>
          </cell>
          <cell r="CL175">
            <v>1.8</v>
          </cell>
          <cell r="CM175">
            <v>1.1000000000000001</v>
          </cell>
          <cell r="CN175">
            <v>0.3</v>
          </cell>
          <cell r="CO175">
            <v>-2.2000000000000002</v>
          </cell>
          <cell r="CP175">
            <v>-0.4</v>
          </cell>
          <cell r="CQ175">
            <v>-0.3</v>
          </cell>
          <cell r="CR175">
            <v>-0.8</v>
          </cell>
          <cell r="CS175">
            <v>-0.7</v>
          </cell>
          <cell r="CT175">
            <v>3.2</v>
          </cell>
          <cell r="CU175">
            <v>3.6</v>
          </cell>
          <cell r="CV175">
            <v>3.5</v>
          </cell>
          <cell r="CW175">
            <v>2.2999999999999998</v>
          </cell>
          <cell r="CX175">
            <v>0.7</v>
          </cell>
          <cell r="CY175">
            <v>0.5</v>
          </cell>
          <cell r="CZ175">
            <v>0.6</v>
          </cell>
          <cell r="DA175">
            <v>2.2000000000000002</v>
          </cell>
          <cell r="DB175">
            <v>2</v>
          </cell>
          <cell r="DC175">
            <v>1</v>
          </cell>
          <cell r="DD175">
            <v>0.2</v>
          </cell>
          <cell r="DE175">
            <v>-1.6</v>
          </cell>
          <cell r="DF175">
            <v>0.2</v>
          </cell>
          <cell r="DG175">
            <v>7588</v>
          </cell>
          <cell r="DH175">
            <v>1256</v>
          </cell>
          <cell r="DI175">
            <v>8788</v>
          </cell>
          <cell r="DJ175">
            <v>2369</v>
          </cell>
          <cell r="DK175">
            <v>3569</v>
          </cell>
          <cell r="DL175">
            <v>1599</v>
          </cell>
          <cell r="DM175">
            <v>3787</v>
          </cell>
          <cell r="DN175">
            <v>10721</v>
          </cell>
          <cell r="DO175">
            <v>1583</v>
          </cell>
          <cell r="DP175">
            <v>12027</v>
          </cell>
          <cell r="DQ175">
            <v>6268</v>
          </cell>
          <cell r="DR175">
            <v>5717</v>
          </cell>
          <cell r="DS175">
            <v>3178</v>
          </cell>
          <cell r="DT175">
            <v>4425</v>
          </cell>
          <cell r="DU175">
            <v>6718</v>
          </cell>
          <cell r="DV175">
            <v>25404</v>
          </cell>
          <cell r="DW175">
            <v>5129</v>
          </cell>
          <cell r="DX175">
            <v>297</v>
          </cell>
          <cell r="DY175">
            <v>3415</v>
          </cell>
          <cell r="DZ175">
            <v>8814</v>
          </cell>
          <cell r="EA175">
            <v>4351</v>
          </cell>
          <cell r="EB175">
            <v>2968</v>
          </cell>
          <cell r="EC175">
            <v>8143</v>
          </cell>
          <cell r="ED175">
            <v>15508</v>
          </cell>
          <cell r="EE175">
            <v>10897</v>
          </cell>
          <cell r="EF175">
            <v>10507</v>
          </cell>
          <cell r="EG175">
            <v>7408</v>
          </cell>
          <cell r="EH175">
            <v>3915</v>
          </cell>
          <cell r="EI175">
            <v>1136</v>
          </cell>
          <cell r="EJ175">
            <v>2144</v>
          </cell>
          <cell r="EK175">
            <v>5442</v>
          </cell>
          <cell r="EL175">
            <v>12551</v>
          </cell>
          <cell r="EM175">
            <v>2970</v>
          </cell>
          <cell r="EN175">
            <v>3196</v>
          </cell>
          <cell r="EO175">
            <v>6139</v>
          </cell>
          <cell r="EP175">
            <v>11534</v>
          </cell>
          <cell r="EQ175">
            <v>7550</v>
          </cell>
          <cell r="ER175">
            <v>19130</v>
          </cell>
          <cell r="ES175">
            <v>1216</v>
          </cell>
          <cell r="ET175">
            <v>6400</v>
          </cell>
          <cell r="EU175">
            <v>7629</v>
          </cell>
          <cell r="EV175">
            <v>1924</v>
          </cell>
          <cell r="EW175">
            <v>13688</v>
          </cell>
          <cell r="EX175">
            <v>14758</v>
          </cell>
          <cell r="EY175">
            <v>9247</v>
          </cell>
          <cell r="EZ175">
            <v>15254</v>
          </cell>
          <cell r="FA175">
            <v>14639</v>
          </cell>
          <cell r="FB175">
            <v>13809</v>
          </cell>
          <cell r="FC175">
            <v>2439</v>
          </cell>
          <cell r="FD175">
            <v>5612</v>
          </cell>
          <cell r="FE175">
            <v>26687</v>
          </cell>
          <cell r="FF175">
            <v>243367</v>
          </cell>
          <cell r="FG175">
            <v>21874</v>
          </cell>
          <cell r="FH175">
            <v>15</v>
          </cell>
          <cell r="FI175">
            <v>264926</v>
          </cell>
          <cell r="FJ175">
            <v>7</v>
          </cell>
          <cell r="FK175">
            <v>6.7</v>
          </cell>
          <cell r="FL175">
            <v>6.8</v>
          </cell>
          <cell r="FM175">
            <v>10.1</v>
          </cell>
          <cell r="FN175">
            <v>-3.6</v>
          </cell>
          <cell r="FO175">
            <v>2.4</v>
          </cell>
          <cell r="FP175">
            <v>1.3</v>
          </cell>
          <cell r="FQ175">
            <v>0.8</v>
          </cell>
          <cell r="FR175">
            <v>2.6</v>
          </cell>
          <cell r="FS175">
            <v>1</v>
          </cell>
          <cell r="FT175">
            <v>0.5</v>
          </cell>
          <cell r="FU175">
            <v>12.5</v>
          </cell>
          <cell r="FV175">
            <v>0.5</v>
          </cell>
          <cell r="FW175">
            <v>3.1</v>
          </cell>
          <cell r="FX175">
            <v>-2.6</v>
          </cell>
          <cell r="FY175">
            <v>1.6</v>
          </cell>
          <cell r="FZ175">
            <v>0.7</v>
          </cell>
          <cell r="GA175">
            <v>-0.6</v>
          </cell>
          <cell r="GB175">
            <v>1</v>
          </cell>
          <cell r="GC175">
            <v>0.7</v>
          </cell>
          <cell r="GD175">
            <v>-18.5</v>
          </cell>
          <cell r="GE175">
            <v>-6</v>
          </cell>
          <cell r="GF175">
            <v>-9.6999999999999993</v>
          </cell>
          <cell r="GG175">
            <v>-11.6</v>
          </cell>
          <cell r="GH175">
            <v>-1.1000000000000001</v>
          </cell>
          <cell r="GI175">
            <v>-0.8</v>
          </cell>
          <cell r="GJ175">
            <v>1.7</v>
          </cell>
          <cell r="GK175">
            <v>0.3</v>
          </cell>
          <cell r="GL175">
            <v>0.8</v>
          </cell>
          <cell r="GM175">
            <v>6.9</v>
          </cell>
          <cell r="GN175">
            <v>-0.3</v>
          </cell>
          <cell r="GO175">
            <v>0.8</v>
          </cell>
          <cell r="GP175">
            <v>-0.1</v>
          </cell>
          <cell r="GQ175">
            <v>-0.9</v>
          </cell>
          <cell r="GR175">
            <v>-0.5</v>
          </cell>
          <cell r="GS175">
            <v>-1.1000000000000001</v>
          </cell>
          <cell r="GT175">
            <v>-3.8</v>
          </cell>
          <cell r="GU175">
            <v>-1.9</v>
          </cell>
          <cell r="GV175">
            <v>0.9</v>
          </cell>
          <cell r="GW175">
            <v>0.2</v>
          </cell>
          <cell r="GX175">
            <v>0.4</v>
          </cell>
          <cell r="GY175">
            <v>4.8</v>
          </cell>
          <cell r="GZ175">
            <v>5.7</v>
          </cell>
          <cell r="HA175">
            <v>5.4</v>
          </cell>
          <cell r="HB175">
            <v>3.9</v>
          </cell>
          <cell r="HC175">
            <v>1.2</v>
          </cell>
          <cell r="HD175">
            <v>0.5</v>
          </cell>
          <cell r="HE175">
            <v>0</v>
          </cell>
          <cell r="HF175">
            <v>18.2</v>
          </cell>
          <cell r="HG175">
            <v>3.4</v>
          </cell>
          <cell r="HH175">
            <v>1</v>
          </cell>
          <cell r="HI175">
            <v>0.4</v>
          </cell>
          <cell r="HJ175">
            <v>-1.1000000000000001</v>
          </cell>
          <cell r="HK175">
            <v>0.2</v>
          </cell>
          <cell r="HL175">
            <v>4683</v>
          </cell>
          <cell r="HM175">
            <v>1265</v>
          </cell>
          <cell r="HN175">
            <v>6237</v>
          </cell>
          <cell r="HO175">
            <v>2454</v>
          </cell>
          <cell r="HP175">
            <v>3758</v>
          </cell>
          <cell r="HQ175">
            <v>1648</v>
          </cell>
          <cell r="HR175">
            <v>3816</v>
          </cell>
          <cell r="HS175">
            <v>11106</v>
          </cell>
          <cell r="HT175">
            <v>1617</v>
          </cell>
          <cell r="HU175">
            <v>12435</v>
          </cell>
          <cell r="HV175">
            <v>6178</v>
          </cell>
          <cell r="HW175">
            <v>5852</v>
          </cell>
          <cell r="HX175">
            <v>3242</v>
          </cell>
          <cell r="HY175">
            <v>4605</v>
          </cell>
          <cell r="HZ175">
            <v>7004</v>
          </cell>
          <cell r="IA175">
            <v>25944</v>
          </cell>
          <cell r="IB175">
            <v>5301</v>
          </cell>
          <cell r="IC175">
            <v>340</v>
          </cell>
          <cell r="ID175">
            <v>3312</v>
          </cell>
          <cell r="IE175">
            <v>8990</v>
          </cell>
          <cell r="IF175">
            <v>4472</v>
          </cell>
          <cell r="IG175">
            <v>2764</v>
          </cell>
          <cell r="IH175">
            <v>7976</v>
          </cell>
          <cell r="II175">
            <v>15347</v>
          </cell>
          <cell r="IJ175">
            <v>11001</v>
          </cell>
          <cell r="IK175">
            <v>10229</v>
          </cell>
          <cell r="IL175">
            <v>7270</v>
          </cell>
          <cell r="IM175">
            <v>3961</v>
          </cell>
          <cell r="IN175">
            <v>1190</v>
          </cell>
          <cell r="IO175">
            <v>2196</v>
          </cell>
          <cell r="IP175">
            <v>5444</v>
          </cell>
          <cell r="IQ175">
            <v>12710</v>
          </cell>
        </row>
        <row r="176">
          <cell r="B176">
            <v>7426</v>
          </cell>
          <cell r="C176">
            <v>1230</v>
          </cell>
          <cell r="D176">
            <v>8599</v>
          </cell>
          <cell r="E176">
            <v>2480</v>
          </cell>
          <cell r="F176">
            <v>3606</v>
          </cell>
          <cell r="G176">
            <v>1546</v>
          </cell>
          <cell r="H176">
            <v>3829</v>
          </cell>
          <cell r="I176">
            <v>10840</v>
          </cell>
          <cell r="J176">
            <v>1696</v>
          </cell>
          <cell r="K176">
            <v>12235</v>
          </cell>
          <cell r="L176">
            <v>6309</v>
          </cell>
          <cell r="M176">
            <v>5500</v>
          </cell>
          <cell r="N176">
            <v>3266</v>
          </cell>
          <cell r="O176">
            <v>4410</v>
          </cell>
          <cell r="P176">
            <v>6531</v>
          </cell>
          <cell r="Q176">
            <v>25253</v>
          </cell>
          <cell r="R176">
            <v>5090</v>
          </cell>
          <cell r="S176">
            <v>297</v>
          </cell>
          <cell r="T176">
            <v>3442</v>
          </cell>
          <cell r="U176">
            <v>8795</v>
          </cell>
          <cell r="V176">
            <v>4068</v>
          </cell>
          <cell r="W176">
            <v>2621</v>
          </cell>
          <cell r="X176">
            <v>7762</v>
          </cell>
          <cell r="Y176">
            <v>14483</v>
          </cell>
          <cell r="Z176">
            <v>10835</v>
          </cell>
          <cell r="AA176">
            <v>10704</v>
          </cell>
          <cell r="AB176">
            <v>7510</v>
          </cell>
          <cell r="AC176">
            <v>3813</v>
          </cell>
          <cell r="AD176">
            <v>1188</v>
          </cell>
          <cell r="AE176">
            <v>1986</v>
          </cell>
          <cell r="AF176">
            <v>5519</v>
          </cell>
          <cell r="AG176">
            <v>12508</v>
          </cell>
          <cell r="AH176">
            <v>2980</v>
          </cell>
          <cell r="AI176">
            <v>3202</v>
          </cell>
          <cell r="AJ176">
            <v>6161</v>
          </cell>
          <cell r="AK176">
            <v>11675</v>
          </cell>
          <cell r="AL176">
            <v>7565</v>
          </cell>
          <cell r="AM176">
            <v>19308</v>
          </cell>
          <cell r="AN176">
            <v>1200</v>
          </cell>
          <cell r="AO176">
            <v>6307</v>
          </cell>
          <cell r="AP176">
            <v>7522</v>
          </cell>
          <cell r="AQ176">
            <v>1972</v>
          </cell>
          <cell r="AR176">
            <v>13950</v>
          </cell>
          <cell r="AS176">
            <v>15065</v>
          </cell>
          <cell r="AT176">
            <v>9365</v>
          </cell>
          <cell r="AU176">
            <v>15592</v>
          </cell>
          <cell r="AV176">
            <v>14705</v>
          </cell>
          <cell r="AW176">
            <v>14167</v>
          </cell>
          <cell r="AX176">
            <v>2111</v>
          </cell>
          <cell r="AY176">
            <v>5779</v>
          </cell>
          <cell r="AZ176">
            <v>26890</v>
          </cell>
          <cell r="BA176">
            <v>243539</v>
          </cell>
          <cell r="BB176">
            <v>21440</v>
          </cell>
          <cell r="BC176">
            <v>217</v>
          </cell>
          <cell r="BD176">
            <v>264927</v>
          </cell>
          <cell r="BE176">
            <v>0.6</v>
          </cell>
          <cell r="BF176">
            <v>0.3</v>
          </cell>
          <cell r="BG176">
            <v>0.5</v>
          </cell>
          <cell r="BH176">
            <v>6.1</v>
          </cell>
          <cell r="BI176">
            <v>-0.9</v>
          </cell>
          <cell r="BJ176">
            <v>-1.8</v>
          </cell>
          <cell r="BK176">
            <v>2</v>
          </cell>
          <cell r="BL176">
            <v>1</v>
          </cell>
          <cell r="BM176">
            <v>6.3</v>
          </cell>
          <cell r="BN176">
            <v>1.5</v>
          </cell>
          <cell r="BO176">
            <v>-0.1</v>
          </cell>
          <cell r="BP176">
            <v>1.6</v>
          </cell>
          <cell r="BQ176">
            <v>0.1</v>
          </cell>
          <cell r="BR176">
            <v>0.5</v>
          </cell>
          <cell r="BS176">
            <v>-2.9</v>
          </cell>
          <cell r="BT176">
            <v>-0.4</v>
          </cell>
          <cell r="BU176">
            <v>-0.3</v>
          </cell>
          <cell r="BV176">
            <v>-0.2</v>
          </cell>
          <cell r="BW176">
            <v>1</v>
          </cell>
          <cell r="BX176">
            <v>0.1</v>
          </cell>
          <cell r="BY176">
            <v>-9.9</v>
          </cell>
          <cell r="BZ176">
            <v>-9</v>
          </cell>
          <cell r="CA176">
            <v>-5.0999999999999996</v>
          </cell>
          <cell r="CB176">
            <v>-7.2</v>
          </cell>
          <cell r="CC176">
            <v>-0.5</v>
          </cell>
          <cell r="CD176">
            <v>1.3</v>
          </cell>
          <cell r="CE176">
            <v>1.3</v>
          </cell>
          <cell r="CF176">
            <v>-0.4</v>
          </cell>
          <cell r="CG176">
            <v>3.5</v>
          </cell>
          <cell r="CH176">
            <v>-3.5</v>
          </cell>
          <cell r="CI176">
            <v>0.5</v>
          </cell>
          <cell r="CJ176">
            <v>0.1</v>
          </cell>
          <cell r="CK176">
            <v>-0.1</v>
          </cell>
          <cell r="CL176">
            <v>-0.7</v>
          </cell>
          <cell r="CM176">
            <v>-0.4</v>
          </cell>
          <cell r="CN176">
            <v>0.7</v>
          </cell>
          <cell r="CO176">
            <v>-0.7</v>
          </cell>
          <cell r="CP176">
            <v>0.3</v>
          </cell>
          <cell r="CQ176">
            <v>-0.6</v>
          </cell>
          <cell r="CR176">
            <v>-0.8</v>
          </cell>
          <cell r="CS176">
            <v>-0.7</v>
          </cell>
          <cell r="CT176">
            <v>3.4</v>
          </cell>
          <cell r="CU176">
            <v>3.1</v>
          </cell>
          <cell r="CV176">
            <v>3.2</v>
          </cell>
          <cell r="CW176">
            <v>2.2000000000000002</v>
          </cell>
          <cell r="CX176">
            <v>1.7</v>
          </cell>
          <cell r="CY176">
            <v>0.5</v>
          </cell>
          <cell r="CZ176">
            <v>2.1</v>
          </cell>
          <cell r="DA176">
            <v>-4.7</v>
          </cell>
          <cell r="DB176">
            <v>3.1</v>
          </cell>
          <cell r="DC176">
            <v>0.8</v>
          </cell>
          <cell r="DD176">
            <v>0.2</v>
          </cell>
          <cell r="DE176">
            <v>-1</v>
          </cell>
          <cell r="DF176">
            <v>0.2</v>
          </cell>
          <cell r="DG176">
            <v>7460</v>
          </cell>
          <cell r="DH176">
            <v>1229</v>
          </cell>
          <cell r="DI176">
            <v>8629</v>
          </cell>
          <cell r="DJ176">
            <v>2497</v>
          </cell>
          <cell r="DK176">
            <v>3599</v>
          </cell>
          <cell r="DL176">
            <v>1540</v>
          </cell>
          <cell r="DM176">
            <v>3731</v>
          </cell>
          <cell r="DN176">
            <v>10773</v>
          </cell>
          <cell r="DO176">
            <v>1666</v>
          </cell>
          <cell r="DP176">
            <v>12142</v>
          </cell>
          <cell r="DQ176">
            <v>6370</v>
          </cell>
          <cell r="DR176">
            <v>5420</v>
          </cell>
          <cell r="DS176">
            <v>3450</v>
          </cell>
          <cell r="DT176">
            <v>4422</v>
          </cell>
          <cell r="DU176">
            <v>6472</v>
          </cell>
          <cell r="DV176">
            <v>25485</v>
          </cell>
          <cell r="DW176">
            <v>5064</v>
          </cell>
          <cell r="DX176">
            <v>294</v>
          </cell>
          <cell r="DY176">
            <v>3410</v>
          </cell>
          <cell r="DZ176">
            <v>8736</v>
          </cell>
          <cell r="EA176">
            <v>3885</v>
          </cell>
          <cell r="EB176">
            <v>2537</v>
          </cell>
          <cell r="EC176">
            <v>7458</v>
          </cell>
          <cell r="ED176">
            <v>13915</v>
          </cell>
          <cell r="EE176">
            <v>10744</v>
          </cell>
          <cell r="EF176">
            <v>10695</v>
          </cell>
          <cell r="EG176">
            <v>7565</v>
          </cell>
          <cell r="EH176">
            <v>3697</v>
          </cell>
          <cell r="EI176">
            <v>1183</v>
          </cell>
          <cell r="EJ176">
            <v>2026</v>
          </cell>
          <cell r="EK176">
            <v>5661</v>
          </cell>
          <cell r="EL176">
            <v>12596</v>
          </cell>
          <cell r="EM176">
            <v>2984</v>
          </cell>
          <cell r="EN176">
            <v>3303</v>
          </cell>
          <cell r="EO176">
            <v>6248</v>
          </cell>
          <cell r="EP176">
            <v>11589</v>
          </cell>
          <cell r="EQ176">
            <v>7543</v>
          </cell>
          <cell r="ER176">
            <v>19191</v>
          </cell>
          <cell r="ES176">
            <v>1199</v>
          </cell>
          <cell r="ET176">
            <v>6298</v>
          </cell>
          <cell r="EU176">
            <v>7511</v>
          </cell>
          <cell r="EV176">
            <v>1971</v>
          </cell>
          <cell r="EW176">
            <v>13961</v>
          </cell>
          <cell r="EX176">
            <v>15070</v>
          </cell>
          <cell r="EY176">
            <v>9362</v>
          </cell>
          <cell r="EZ176">
            <v>15621</v>
          </cell>
          <cell r="FA176">
            <v>14705</v>
          </cell>
          <cell r="FB176">
            <v>13966</v>
          </cell>
          <cell r="FC176">
            <v>2074</v>
          </cell>
          <cell r="FD176">
            <v>5799</v>
          </cell>
          <cell r="FE176">
            <v>26883</v>
          </cell>
          <cell r="FF176">
            <v>242981</v>
          </cell>
          <cell r="FG176">
            <v>20830</v>
          </cell>
          <cell r="FH176">
            <v>289</v>
          </cell>
          <cell r="FI176">
            <v>263906</v>
          </cell>
          <cell r="FJ176">
            <v>-1.7</v>
          </cell>
          <cell r="FK176">
            <v>-2.2000000000000002</v>
          </cell>
          <cell r="FL176">
            <v>-1.8</v>
          </cell>
          <cell r="FM176">
            <v>5.4</v>
          </cell>
          <cell r="FN176">
            <v>0.9</v>
          </cell>
          <cell r="FO176">
            <v>-3.7</v>
          </cell>
          <cell r="FP176">
            <v>-1.5</v>
          </cell>
          <cell r="FQ176">
            <v>0.5</v>
          </cell>
          <cell r="FR176">
            <v>5.3</v>
          </cell>
          <cell r="FS176">
            <v>1</v>
          </cell>
          <cell r="FT176">
            <v>1.6</v>
          </cell>
          <cell r="FU176">
            <v>-5.2</v>
          </cell>
          <cell r="FV176">
            <v>8.6</v>
          </cell>
          <cell r="FW176">
            <v>-0.1</v>
          </cell>
          <cell r="FX176">
            <v>-3.7</v>
          </cell>
          <cell r="FY176">
            <v>0.3</v>
          </cell>
          <cell r="FZ176">
            <v>-1.3</v>
          </cell>
          <cell r="GA176">
            <v>-1</v>
          </cell>
          <cell r="GB176">
            <v>-0.2</v>
          </cell>
          <cell r="GC176">
            <v>-0.9</v>
          </cell>
          <cell r="GD176">
            <v>-10.7</v>
          </cell>
          <cell r="GE176">
            <v>-14.5</v>
          </cell>
          <cell r="GF176">
            <v>-8.4</v>
          </cell>
          <cell r="GG176">
            <v>-10.3</v>
          </cell>
          <cell r="GH176">
            <v>-1.4</v>
          </cell>
          <cell r="GI176">
            <v>1.8</v>
          </cell>
          <cell r="GJ176">
            <v>2.1</v>
          </cell>
          <cell r="GK176">
            <v>-5.6</v>
          </cell>
          <cell r="GL176">
            <v>4.0999999999999996</v>
          </cell>
          <cell r="GM176">
            <v>-5.5</v>
          </cell>
          <cell r="GN176">
            <v>4</v>
          </cell>
          <cell r="GO176">
            <v>0.4</v>
          </cell>
          <cell r="GP176">
            <v>0.5</v>
          </cell>
          <cell r="GQ176">
            <v>3.3</v>
          </cell>
          <cell r="GR176">
            <v>1.8</v>
          </cell>
          <cell r="GS176">
            <v>0.5</v>
          </cell>
          <cell r="GT176">
            <v>-0.1</v>
          </cell>
          <cell r="GU176">
            <v>0.3</v>
          </cell>
          <cell r="GV176">
            <v>-1.4</v>
          </cell>
          <cell r="GW176">
            <v>-1.6</v>
          </cell>
          <cell r="GX176">
            <v>-1.5</v>
          </cell>
          <cell r="GY176">
            <v>2.4</v>
          </cell>
          <cell r="GZ176">
            <v>2</v>
          </cell>
          <cell r="HA176">
            <v>2.1</v>
          </cell>
          <cell r="HB176">
            <v>1.2</v>
          </cell>
          <cell r="HC176">
            <v>2.4</v>
          </cell>
          <cell r="HD176">
            <v>0.5</v>
          </cell>
          <cell r="HE176">
            <v>1.1000000000000001</v>
          </cell>
          <cell r="HF176">
            <v>-15</v>
          </cell>
          <cell r="HG176">
            <v>3.3</v>
          </cell>
          <cell r="HH176">
            <v>0.7</v>
          </cell>
          <cell r="HI176">
            <v>-0.2</v>
          </cell>
          <cell r="HJ176">
            <v>-4.8</v>
          </cell>
          <cell r="HK176">
            <v>-0.4</v>
          </cell>
          <cell r="HL176">
            <v>12636</v>
          </cell>
          <cell r="HM176">
            <v>1231</v>
          </cell>
          <cell r="HN176">
            <v>13224</v>
          </cell>
          <cell r="HO176">
            <v>2451</v>
          </cell>
          <cell r="HP176">
            <v>3524</v>
          </cell>
          <cell r="HQ176">
            <v>1570</v>
          </cell>
          <cell r="HR176">
            <v>3783</v>
          </cell>
          <cell r="HS176">
            <v>10696</v>
          </cell>
          <cell r="HT176">
            <v>1700</v>
          </cell>
          <cell r="HU176">
            <v>12098</v>
          </cell>
          <cell r="HV176">
            <v>6848</v>
          </cell>
          <cell r="HW176">
            <v>5403</v>
          </cell>
          <cell r="HX176">
            <v>3520</v>
          </cell>
          <cell r="HY176">
            <v>4499</v>
          </cell>
          <cell r="HZ176">
            <v>6683</v>
          </cell>
          <cell r="IA176">
            <v>26312</v>
          </cell>
          <cell r="IB176">
            <v>4931</v>
          </cell>
          <cell r="IC176">
            <v>275</v>
          </cell>
          <cell r="ID176">
            <v>3514</v>
          </cell>
          <cell r="IE176">
            <v>8650</v>
          </cell>
          <cell r="IF176">
            <v>4055</v>
          </cell>
          <cell r="IG176">
            <v>2676</v>
          </cell>
          <cell r="IH176">
            <v>7843</v>
          </cell>
          <cell r="II176">
            <v>14646</v>
          </cell>
          <cell r="IJ176">
            <v>11052</v>
          </cell>
          <cell r="IK176">
            <v>11798</v>
          </cell>
          <cell r="IL176">
            <v>7820</v>
          </cell>
          <cell r="IM176">
            <v>3924</v>
          </cell>
          <cell r="IN176">
            <v>1213</v>
          </cell>
          <cell r="IO176">
            <v>2051</v>
          </cell>
          <cell r="IP176">
            <v>6000</v>
          </cell>
          <cell r="IQ176">
            <v>13229</v>
          </cell>
        </row>
        <row r="177">
          <cell r="B177">
            <v>7596</v>
          </cell>
          <cell r="C177">
            <v>1213</v>
          </cell>
          <cell r="D177">
            <v>8725</v>
          </cell>
          <cell r="E177">
            <v>2571</v>
          </cell>
          <cell r="F177">
            <v>3585</v>
          </cell>
          <cell r="G177">
            <v>1517</v>
          </cell>
          <cell r="H177">
            <v>3903</v>
          </cell>
          <cell r="I177">
            <v>10907</v>
          </cell>
          <cell r="J177">
            <v>1782</v>
          </cell>
          <cell r="K177">
            <v>12372</v>
          </cell>
          <cell r="L177">
            <v>6279</v>
          </cell>
          <cell r="M177">
            <v>5619</v>
          </cell>
          <cell r="N177">
            <v>3274</v>
          </cell>
          <cell r="O177">
            <v>4375</v>
          </cell>
          <cell r="P177">
            <v>6395</v>
          </cell>
          <cell r="Q177">
            <v>25156</v>
          </cell>
          <cell r="R177">
            <v>5038</v>
          </cell>
          <cell r="S177">
            <v>298</v>
          </cell>
          <cell r="T177">
            <v>3468</v>
          </cell>
          <cell r="U177">
            <v>8765</v>
          </cell>
          <cell r="V177">
            <v>3922</v>
          </cell>
          <cell r="W177">
            <v>2557</v>
          </cell>
          <cell r="X177">
            <v>7734</v>
          </cell>
          <cell r="Y177">
            <v>14242</v>
          </cell>
          <cell r="Z177">
            <v>10811</v>
          </cell>
          <cell r="AA177">
            <v>10855</v>
          </cell>
          <cell r="AB177">
            <v>7592</v>
          </cell>
          <cell r="AC177">
            <v>3892</v>
          </cell>
          <cell r="AD177">
            <v>1224</v>
          </cell>
          <cell r="AE177">
            <v>1880</v>
          </cell>
          <cell r="AF177">
            <v>5554</v>
          </cell>
          <cell r="AG177">
            <v>12594</v>
          </cell>
          <cell r="AH177">
            <v>2984</v>
          </cell>
          <cell r="AI177">
            <v>3162</v>
          </cell>
          <cell r="AJ177">
            <v>6133</v>
          </cell>
          <cell r="AK177">
            <v>11803</v>
          </cell>
          <cell r="AL177">
            <v>7699</v>
          </cell>
          <cell r="AM177">
            <v>19558</v>
          </cell>
          <cell r="AN177">
            <v>1181</v>
          </cell>
          <cell r="AO177">
            <v>6244</v>
          </cell>
          <cell r="AP177">
            <v>7437</v>
          </cell>
          <cell r="AQ177">
            <v>2043</v>
          </cell>
          <cell r="AR177">
            <v>14185</v>
          </cell>
          <cell r="AS177">
            <v>15398</v>
          </cell>
          <cell r="AT177">
            <v>9535</v>
          </cell>
          <cell r="AU177">
            <v>15845</v>
          </cell>
          <cell r="AV177">
            <v>14782</v>
          </cell>
          <cell r="AW177">
            <v>14526</v>
          </cell>
          <cell r="AX177">
            <v>1974</v>
          </cell>
          <cell r="AY177">
            <v>5890</v>
          </cell>
          <cell r="AZ177">
            <v>27033</v>
          </cell>
          <cell r="BA177">
            <v>245019</v>
          </cell>
          <cell r="BB177">
            <v>21430</v>
          </cell>
          <cell r="BC177">
            <v>53</v>
          </cell>
          <cell r="BD177">
            <v>266236</v>
          </cell>
          <cell r="BE177">
            <v>2.2999999999999998</v>
          </cell>
          <cell r="BF177">
            <v>-1.4</v>
          </cell>
          <cell r="BG177">
            <v>1.5</v>
          </cell>
          <cell r="BH177">
            <v>3.7</v>
          </cell>
          <cell r="BI177">
            <v>-0.6</v>
          </cell>
          <cell r="BJ177">
            <v>-1.9</v>
          </cell>
          <cell r="BK177">
            <v>1.9</v>
          </cell>
          <cell r="BL177">
            <v>0.6</v>
          </cell>
          <cell r="BM177">
            <v>5.0999999999999996</v>
          </cell>
          <cell r="BN177">
            <v>1.1000000000000001</v>
          </cell>
          <cell r="BO177">
            <v>-0.5</v>
          </cell>
          <cell r="BP177">
            <v>2.2000000000000002</v>
          </cell>
          <cell r="BQ177">
            <v>0.2</v>
          </cell>
          <cell r="BR177">
            <v>-0.8</v>
          </cell>
          <cell r="BS177">
            <v>-2.1</v>
          </cell>
          <cell r="BT177">
            <v>-0.4</v>
          </cell>
          <cell r="BU177">
            <v>-1</v>
          </cell>
          <cell r="BV177">
            <v>0.4</v>
          </cell>
          <cell r="BW177">
            <v>0.8</v>
          </cell>
          <cell r="BX177">
            <v>-0.3</v>
          </cell>
          <cell r="BY177">
            <v>-3.6</v>
          </cell>
          <cell r="BZ177">
            <v>-2.4</v>
          </cell>
          <cell r="CA177">
            <v>-0.4</v>
          </cell>
          <cell r="CB177">
            <v>-1.7</v>
          </cell>
          <cell r="CC177">
            <v>-0.2</v>
          </cell>
          <cell r="CD177">
            <v>1.4</v>
          </cell>
          <cell r="CE177">
            <v>1.1000000000000001</v>
          </cell>
          <cell r="CF177">
            <v>2.1</v>
          </cell>
          <cell r="CG177">
            <v>3</v>
          </cell>
          <cell r="CH177">
            <v>-5.3</v>
          </cell>
          <cell r="CI177">
            <v>0.6</v>
          </cell>
          <cell r="CJ177">
            <v>0.7</v>
          </cell>
          <cell r="CK177">
            <v>0.1</v>
          </cell>
          <cell r="CL177">
            <v>-1.3</v>
          </cell>
          <cell r="CM177">
            <v>-0.5</v>
          </cell>
          <cell r="CN177">
            <v>1.1000000000000001</v>
          </cell>
          <cell r="CO177">
            <v>1.8</v>
          </cell>
          <cell r="CP177">
            <v>1.3</v>
          </cell>
          <cell r="CQ177">
            <v>-1.6</v>
          </cell>
          <cell r="CR177">
            <v>-1</v>
          </cell>
          <cell r="CS177">
            <v>-1.1000000000000001</v>
          </cell>
          <cell r="CT177">
            <v>3.6</v>
          </cell>
          <cell r="CU177">
            <v>1.7</v>
          </cell>
          <cell r="CV177">
            <v>2.2000000000000002</v>
          </cell>
          <cell r="CW177">
            <v>1.8</v>
          </cell>
          <cell r="CX177">
            <v>1.6</v>
          </cell>
          <cell r="CY177">
            <v>0.5</v>
          </cell>
          <cell r="CZ177">
            <v>2.5</v>
          </cell>
          <cell r="DA177">
            <v>-6.5</v>
          </cell>
          <cell r="DB177">
            <v>1.9</v>
          </cell>
          <cell r="DC177">
            <v>0.5</v>
          </cell>
          <cell r="DD177">
            <v>0.6</v>
          </cell>
          <cell r="DE177">
            <v>-0.1</v>
          </cell>
          <cell r="DF177">
            <v>0.5</v>
          </cell>
          <cell r="DG177">
            <v>7337</v>
          </cell>
          <cell r="DH177">
            <v>1205</v>
          </cell>
          <cell r="DI177">
            <v>8482</v>
          </cell>
          <cell r="DJ177">
            <v>2533</v>
          </cell>
          <cell r="DK177">
            <v>3641</v>
          </cell>
          <cell r="DL177">
            <v>1486</v>
          </cell>
          <cell r="DM177">
            <v>3944</v>
          </cell>
          <cell r="DN177">
            <v>10944</v>
          </cell>
          <cell r="DO177">
            <v>1843</v>
          </cell>
          <cell r="DP177">
            <v>12466</v>
          </cell>
          <cell r="DQ177">
            <v>6278</v>
          </cell>
          <cell r="DR177">
            <v>5455</v>
          </cell>
          <cell r="DS177">
            <v>3185</v>
          </cell>
          <cell r="DT177">
            <v>4349</v>
          </cell>
          <cell r="DU177">
            <v>6389</v>
          </cell>
          <cell r="DV177">
            <v>24883</v>
          </cell>
          <cell r="DW177">
            <v>5070</v>
          </cell>
          <cell r="DX177">
            <v>297</v>
          </cell>
          <cell r="DY177">
            <v>3511</v>
          </cell>
          <cell r="DZ177">
            <v>8831</v>
          </cell>
          <cell r="EA177">
            <v>4028</v>
          </cell>
          <cell r="EB177">
            <v>2498</v>
          </cell>
          <cell r="EC177">
            <v>7732</v>
          </cell>
          <cell r="ED177">
            <v>14276</v>
          </cell>
          <cell r="EE177">
            <v>10863</v>
          </cell>
          <cell r="EF177">
            <v>10862</v>
          </cell>
          <cell r="EG177">
            <v>7545</v>
          </cell>
          <cell r="EH177">
            <v>3825</v>
          </cell>
          <cell r="EI177">
            <v>1227</v>
          </cell>
          <cell r="EJ177">
            <v>1739</v>
          </cell>
          <cell r="EK177">
            <v>5366</v>
          </cell>
          <cell r="EL177">
            <v>12228</v>
          </cell>
          <cell r="EM177">
            <v>2999</v>
          </cell>
          <cell r="EN177">
            <v>3036</v>
          </cell>
          <cell r="EO177">
            <v>6050</v>
          </cell>
          <cell r="EP177">
            <v>11916</v>
          </cell>
          <cell r="EQ177">
            <v>7708</v>
          </cell>
          <cell r="ER177">
            <v>19696</v>
          </cell>
          <cell r="ES177">
            <v>1183</v>
          </cell>
          <cell r="ET177">
            <v>6234</v>
          </cell>
          <cell r="EU177">
            <v>7430</v>
          </cell>
          <cell r="EV177">
            <v>2030</v>
          </cell>
          <cell r="EW177">
            <v>14118</v>
          </cell>
          <cell r="EX177">
            <v>15320</v>
          </cell>
          <cell r="EY177">
            <v>9487</v>
          </cell>
          <cell r="EZ177">
            <v>16059</v>
          </cell>
          <cell r="FA177">
            <v>14780</v>
          </cell>
          <cell r="FB177">
            <v>14828</v>
          </cell>
          <cell r="FC177">
            <v>1845</v>
          </cell>
          <cell r="FD177">
            <v>5904</v>
          </cell>
          <cell r="FE177">
            <v>27037</v>
          </cell>
          <cell r="FF177">
            <v>244531</v>
          </cell>
          <cell r="FG177">
            <v>21838</v>
          </cell>
          <cell r="FH177">
            <v>450</v>
          </cell>
          <cell r="FI177">
            <v>266504</v>
          </cell>
          <cell r="FJ177">
            <v>-1.7</v>
          </cell>
          <cell r="FK177">
            <v>-1.9</v>
          </cell>
          <cell r="FL177">
            <v>-1.7</v>
          </cell>
          <cell r="FM177">
            <v>1.5</v>
          </cell>
          <cell r="FN177">
            <v>1.1000000000000001</v>
          </cell>
          <cell r="FO177">
            <v>-3.5</v>
          </cell>
          <cell r="FP177">
            <v>5.7</v>
          </cell>
          <cell r="FQ177">
            <v>1.6</v>
          </cell>
          <cell r="FR177">
            <v>10.6</v>
          </cell>
          <cell r="FS177">
            <v>2.7</v>
          </cell>
          <cell r="FT177">
            <v>-1.4</v>
          </cell>
          <cell r="FU177">
            <v>0.6</v>
          </cell>
          <cell r="FV177">
            <v>-7.7</v>
          </cell>
          <cell r="FW177">
            <v>-1.7</v>
          </cell>
          <cell r="FX177">
            <v>-1.3</v>
          </cell>
          <cell r="FY177">
            <v>-2.4</v>
          </cell>
          <cell r="FZ177">
            <v>0.1</v>
          </cell>
          <cell r="GA177">
            <v>0.8</v>
          </cell>
          <cell r="GB177">
            <v>3</v>
          </cell>
          <cell r="GC177">
            <v>1.1000000000000001</v>
          </cell>
          <cell r="GD177">
            <v>3.7</v>
          </cell>
          <cell r="GE177">
            <v>-1.5</v>
          </cell>
          <cell r="GF177">
            <v>3.7</v>
          </cell>
          <cell r="GG177">
            <v>2.6</v>
          </cell>
          <cell r="GH177">
            <v>1.1000000000000001</v>
          </cell>
          <cell r="GI177">
            <v>1.6</v>
          </cell>
          <cell r="GJ177">
            <v>-0.3</v>
          </cell>
          <cell r="GK177">
            <v>3.5</v>
          </cell>
          <cell r="GL177">
            <v>3.7</v>
          </cell>
          <cell r="GM177">
            <v>-14.2</v>
          </cell>
          <cell r="GN177">
            <v>-5.2</v>
          </cell>
          <cell r="GO177">
            <v>-2.9</v>
          </cell>
          <cell r="GP177">
            <v>0.5</v>
          </cell>
          <cell r="GQ177">
            <v>-8.1</v>
          </cell>
          <cell r="GR177">
            <v>-3.2</v>
          </cell>
          <cell r="GS177">
            <v>2.8</v>
          </cell>
          <cell r="GT177">
            <v>2.2000000000000002</v>
          </cell>
          <cell r="GU177">
            <v>2.6</v>
          </cell>
          <cell r="GV177">
            <v>-1.3</v>
          </cell>
          <cell r="GW177">
            <v>-1</v>
          </cell>
          <cell r="GX177">
            <v>-1.1000000000000001</v>
          </cell>
          <cell r="GY177">
            <v>3</v>
          </cell>
          <cell r="GZ177">
            <v>1.1000000000000001</v>
          </cell>
          <cell r="HA177">
            <v>1.7</v>
          </cell>
          <cell r="HB177">
            <v>1.3</v>
          </cell>
          <cell r="HC177">
            <v>2.8</v>
          </cell>
          <cell r="HD177">
            <v>0.5</v>
          </cell>
          <cell r="HE177">
            <v>6.2</v>
          </cell>
          <cell r="HF177">
            <v>-11.1</v>
          </cell>
          <cell r="HG177">
            <v>1.8</v>
          </cell>
          <cell r="HH177">
            <v>0.6</v>
          </cell>
          <cell r="HI177">
            <v>0.6</v>
          </cell>
          <cell r="HJ177">
            <v>4.8</v>
          </cell>
          <cell r="HK177">
            <v>1</v>
          </cell>
          <cell r="HL177">
            <v>6561</v>
          </cell>
          <cell r="HM177">
            <v>1201</v>
          </cell>
          <cell r="HN177">
            <v>7784</v>
          </cell>
          <cell r="HO177">
            <v>2488</v>
          </cell>
          <cell r="HP177">
            <v>3568</v>
          </cell>
          <cell r="HQ177">
            <v>1415</v>
          </cell>
          <cell r="HR177">
            <v>3841</v>
          </cell>
          <cell r="HS177">
            <v>10677</v>
          </cell>
          <cell r="HT177">
            <v>1757</v>
          </cell>
          <cell r="HU177">
            <v>12123</v>
          </cell>
          <cell r="HV177">
            <v>6120</v>
          </cell>
          <cell r="HW177">
            <v>5366</v>
          </cell>
          <cell r="HX177">
            <v>3027</v>
          </cell>
          <cell r="HY177">
            <v>4015</v>
          </cell>
          <cell r="HZ177">
            <v>6017</v>
          </cell>
          <cell r="IA177">
            <v>23761</v>
          </cell>
          <cell r="IB177">
            <v>5032</v>
          </cell>
          <cell r="IC177">
            <v>254</v>
          </cell>
          <cell r="ID177">
            <v>3629</v>
          </cell>
          <cell r="IE177">
            <v>8816</v>
          </cell>
          <cell r="IF177">
            <v>3710</v>
          </cell>
          <cell r="IG177">
            <v>2491</v>
          </cell>
          <cell r="IH177">
            <v>7782</v>
          </cell>
          <cell r="II177">
            <v>13957</v>
          </cell>
          <cell r="IJ177">
            <v>10388</v>
          </cell>
          <cell r="IK177">
            <v>10375</v>
          </cell>
          <cell r="IL177">
            <v>7505</v>
          </cell>
          <cell r="IM177">
            <v>3662</v>
          </cell>
          <cell r="IN177">
            <v>1172</v>
          </cell>
          <cell r="IO177">
            <v>1678</v>
          </cell>
          <cell r="IP177">
            <v>5170</v>
          </cell>
          <cell r="IQ177">
            <v>11747</v>
          </cell>
        </row>
        <row r="178">
          <cell r="B178">
            <v>7813</v>
          </cell>
          <cell r="C178">
            <v>1195</v>
          </cell>
          <cell r="D178">
            <v>8894</v>
          </cell>
          <cell r="E178">
            <v>2594</v>
          </cell>
          <cell r="F178">
            <v>3555</v>
          </cell>
          <cell r="G178">
            <v>1526</v>
          </cell>
          <cell r="H178">
            <v>3942</v>
          </cell>
          <cell r="I178">
            <v>10913</v>
          </cell>
          <cell r="J178">
            <v>1820</v>
          </cell>
          <cell r="K178">
            <v>12398</v>
          </cell>
          <cell r="L178">
            <v>6225</v>
          </cell>
          <cell r="M178">
            <v>5657</v>
          </cell>
          <cell r="N178">
            <v>3304</v>
          </cell>
          <cell r="O178">
            <v>4350</v>
          </cell>
          <cell r="P178">
            <v>6392</v>
          </cell>
          <cell r="Q178">
            <v>25151</v>
          </cell>
          <cell r="R178">
            <v>5013</v>
          </cell>
          <cell r="S178">
            <v>301</v>
          </cell>
          <cell r="T178">
            <v>3497</v>
          </cell>
          <cell r="U178">
            <v>8770</v>
          </cell>
          <cell r="V178">
            <v>4081</v>
          </cell>
          <cell r="W178">
            <v>2631</v>
          </cell>
          <cell r="X178">
            <v>8005</v>
          </cell>
          <cell r="Y178">
            <v>14738</v>
          </cell>
          <cell r="Z178">
            <v>10878</v>
          </cell>
          <cell r="AA178">
            <v>11017</v>
          </cell>
          <cell r="AB178">
            <v>7581</v>
          </cell>
          <cell r="AC178">
            <v>4035</v>
          </cell>
          <cell r="AD178">
            <v>1205</v>
          </cell>
          <cell r="AE178">
            <v>1832</v>
          </cell>
          <cell r="AF178">
            <v>5586</v>
          </cell>
          <cell r="AG178">
            <v>12698</v>
          </cell>
          <cell r="AH178">
            <v>2991</v>
          </cell>
          <cell r="AI178">
            <v>3173</v>
          </cell>
          <cell r="AJ178">
            <v>6149</v>
          </cell>
          <cell r="AK178">
            <v>11922</v>
          </cell>
          <cell r="AL178">
            <v>8008</v>
          </cell>
          <cell r="AM178">
            <v>19926</v>
          </cell>
          <cell r="AN178">
            <v>1178</v>
          </cell>
          <cell r="AO178">
            <v>6266</v>
          </cell>
          <cell r="AP178">
            <v>7453</v>
          </cell>
          <cell r="AQ178">
            <v>2122</v>
          </cell>
          <cell r="AR178">
            <v>14253</v>
          </cell>
          <cell r="AS178">
            <v>15623</v>
          </cell>
          <cell r="AT178">
            <v>9701</v>
          </cell>
          <cell r="AU178">
            <v>15934</v>
          </cell>
          <cell r="AV178">
            <v>14869</v>
          </cell>
          <cell r="AW178">
            <v>14816</v>
          </cell>
          <cell r="AX178">
            <v>1957</v>
          </cell>
          <cell r="AY178">
            <v>5896</v>
          </cell>
          <cell r="AZ178">
            <v>27119</v>
          </cell>
          <cell r="BA178">
            <v>247308</v>
          </cell>
          <cell r="BB178">
            <v>21610</v>
          </cell>
          <cell r="BC178">
            <v>214</v>
          </cell>
          <cell r="BD178">
            <v>268856</v>
          </cell>
          <cell r="BE178">
            <v>2.9</v>
          </cell>
          <cell r="BF178">
            <v>-1.5</v>
          </cell>
          <cell r="BG178">
            <v>1.9</v>
          </cell>
          <cell r="BH178">
            <v>0.9</v>
          </cell>
          <cell r="BI178">
            <v>-0.8</v>
          </cell>
          <cell r="BJ178">
            <v>0.6</v>
          </cell>
          <cell r="BK178">
            <v>1</v>
          </cell>
          <cell r="BL178">
            <v>0.1</v>
          </cell>
          <cell r="BM178">
            <v>2.1</v>
          </cell>
          <cell r="BN178">
            <v>0.2</v>
          </cell>
          <cell r="BO178">
            <v>-0.9</v>
          </cell>
          <cell r="BP178">
            <v>0.7</v>
          </cell>
          <cell r="BQ178">
            <v>0.9</v>
          </cell>
          <cell r="BR178">
            <v>-0.6</v>
          </cell>
          <cell r="BS178">
            <v>-0.1</v>
          </cell>
          <cell r="BT178">
            <v>0</v>
          </cell>
          <cell r="BU178">
            <v>-0.5</v>
          </cell>
          <cell r="BV178">
            <v>1.2</v>
          </cell>
          <cell r="BW178">
            <v>0.8</v>
          </cell>
          <cell r="BX178">
            <v>0.1</v>
          </cell>
          <cell r="BY178">
            <v>4</v>
          </cell>
          <cell r="BZ178">
            <v>2.9</v>
          </cell>
          <cell r="CA178">
            <v>3.5</v>
          </cell>
          <cell r="CB178">
            <v>3.5</v>
          </cell>
          <cell r="CC178">
            <v>0.6</v>
          </cell>
          <cell r="CD178">
            <v>1.5</v>
          </cell>
          <cell r="CE178">
            <v>-0.1</v>
          </cell>
          <cell r="CF178">
            <v>3.7</v>
          </cell>
          <cell r="CG178">
            <v>-1.5</v>
          </cell>
          <cell r="CH178">
            <v>-2.6</v>
          </cell>
          <cell r="CI178">
            <v>0.6</v>
          </cell>
          <cell r="CJ178">
            <v>0.8</v>
          </cell>
          <cell r="CK178">
            <v>0.3</v>
          </cell>
          <cell r="CL178">
            <v>0.3</v>
          </cell>
          <cell r="CM178">
            <v>0.3</v>
          </cell>
          <cell r="CN178">
            <v>1</v>
          </cell>
          <cell r="CO178">
            <v>4</v>
          </cell>
          <cell r="CP178">
            <v>1.9</v>
          </cell>
          <cell r="CQ178">
            <v>-0.3</v>
          </cell>
          <cell r="CR178">
            <v>0.4</v>
          </cell>
          <cell r="CS178">
            <v>0.2</v>
          </cell>
          <cell r="CT178">
            <v>3.9</v>
          </cell>
          <cell r="CU178">
            <v>0.5</v>
          </cell>
          <cell r="CV178">
            <v>1.5</v>
          </cell>
          <cell r="CW178">
            <v>1.7</v>
          </cell>
          <cell r="CX178">
            <v>0.6</v>
          </cell>
          <cell r="CY178">
            <v>0.6</v>
          </cell>
          <cell r="CZ178">
            <v>2</v>
          </cell>
          <cell r="DA178">
            <v>-0.9</v>
          </cell>
          <cell r="DB178">
            <v>0.1</v>
          </cell>
          <cell r="DC178">
            <v>0.3</v>
          </cell>
          <cell r="DD178">
            <v>0.9</v>
          </cell>
          <cell r="DE178">
            <v>0.8</v>
          </cell>
          <cell r="DF178">
            <v>1</v>
          </cell>
          <cell r="DG178">
            <v>7919</v>
          </cell>
          <cell r="DH178">
            <v>1198</v>
          </cell>
          <cell r="DI178">
            <v>8991</v>
          </cell>
          <cell r="DJ178">
            <v>2624</v>
          </cell>
          <cell r="DK178">
            <v>3546</v>
          </cell>
          <cell r="DL178">
            <v>1537</v>
          </cell>
          <cell r="DM178">
            <v>4000</v>
          </cell>
          <cell r="DN178">
            <v>10981</v>
          </cell>
          <cell r="DO178">
            <v>1756</v>
          </cell>
          <cell r="DP178">
            <v>12412</v>
          </cell>
          <cell r="DQ178">
            <v>6157</v>
          </cell>
          <cell r="DR178">
            <v>5897</v>
          </cell>
          <cell r="DS178">
            <v>3267</v>
          </cell>
          <cell r="DT178">
            <v>4332</v>
          </cell>
          <cell r="DU178">
            <v>6461</v>
          </cell>
          <cell r="DV178">
            <v>25239</v>
          </cell>
          <cell r="DW178">
            <v>4989</v>
          </cell>
          <cell r="DX178">
            <v>305</v>
          </cell>
          <cell r="DY178">
            <v>3513</v>
          </cell>
          <cell r="DZ178">
            <v>8769</v>
          </cell>
          <cell r="EA178">
            <v>4057</v>
          </cell>
          <cell r="EB178">
            <v>2712</v>
          </cell>
          <cell r="EC178">
            <v>8216</v>
          </cell>
          <cell r="ED178">
            <v>15011</v>
          </cell>
          <cell r="EE178">
            <v>10937</v>
          </cell>
          <cell r="EF178">
            <v>11064</v>
          </cell>
          <cell r="EG178">
            <v>7598</v>
          </cell>
          <cell r="EH178">
            <v>4198</v>
          </cell>
          <cell r="EI178">
            <v>1236</v>
          </cell>
          <cell r="EJ178">
            <v>1927</v>
          </cell>
          <cell r="EK178">
            <v>5696</v>
          </cell>
          <cell r="EL178">
            <v>13073</v>
          </cell>
          <cell r="EM178">
            <v>2955</v>
          </cell>
          <cell r="EN178">
            <v>3204</v>
          </cell>
          <cell r="EO178">
            <v>6129</v>
          </cell>
          <cell r="EP178">
            <v>11851</v>
          </cell>
          <cell r="EQ178">
            <v>8020</v>
          </cell>
          <cell r="ER178">
            <v>19846</v>
          </cell>
          <cell r="ES178">
            <v>1181</v>
          </cell>
          <cell r="ET178">
            <v>6280</v>
          </cell>
          <cell r="EU178">
            <v>7470</v>
          </cell>
          <cell r="EV178">
            <v>2126</v>
          </cell>
          <cell r="EW178">
            <v>14312</v>
          </cell>
          <cell r="EX178">
            <v>15677</v>
          </cell>
          <cell r="EY178">
            <v>9729</v>
          </cell>
          <cell r="EZ178">
            <v>15718</v>
          </cell>
          <cell r="FA178">
            <v>14865</v>
          </cell>
          <cell r="FB178">
            <v>14753</v>
          </cell>
          <cell r="FC178">
            <v>1986</v>
          </cell>
          <cell r="FD178">
            <v>5948</v>
          </cell>
          <cell r="FE178">
            <v>27135</v>
          </cell>
          <cell r="FF178">
            <v>248105</v>
          </cell>
          <cell r="FG178">
            <v>21678</v>
          </cell>
          <cell r="FH178">
            <v>-754</v>
          </cell>
          <cell r="FI178">
            <v>268759</v>
          </cell>
          <cell r="FJ178">
            <v>7.9</v>
          </cell>
          <cell r="FK178">
            <v>-0.6</v>
          </cell>
          <cell r="FL178">
            <v>6</v>
          </cell>
          <cell r="FM178">
            <v>3.6</v>
          </cell>
          <cell r="FN178">
            <v>-2.6</v>
          </cell>
          <cell r="FO178">
            <v>3.4</v>
          </cell>
          <cell r="FP178">
            <v>1.4</v>
          </cell>
          <cell r="FQ178">
            <v>0.3</v>
          </cell>
          <cell r="FR178">
            <v>-4.7</v>
          </cell>
          <cell r="FS178">
            <v>-0.4</v>
          </cell>
          <cell r="FT178">
            <v>-1.9</v>
          </cell>
          <cell r="FU178">
            <v>8.1</v>
          </cell>
          <cell r="FV178">
            <v>2.6</v>
          </cell>
          <cell r="FW178">
            <v>-0.4</v>
          </cell>
          <cell r="FX178">
            <v>1.1000000000000001</v>
          </cell>
          <cell r="FY178">
            <v>1.4</v>
          </cell>
          <cell r="FZ178">
            <v>-1.6</v>
          </cell>
          <cell r="GA178">
            <v>2.8</v>
          </cell>
          <cell r="GB178">
            <v>0.1</v>
          </cell>
          <cell r="GC178">
            <v>-0.7</v>
          </cell>
          <cell r="GD178">
            <v>0.7</v>
          </cell>
          <cell r="GE178">
            <v>8.6</v>
          </cell>
          <cell r="GF178">
            <v>6.3</v>
          </cell>
          <cell r="GG178">
            <v>5.2</v>
          </cell>
          <cell r="GH178">
            <v>0.7</v>
          </cell>
          <cell r="GI178">
            <v>1.9</v>
          </cell>
          <cell r="GJ178">
            <v>0.7</v>
          </cell>
          <cell r="GK178">
            <v>9.8000000000000007</v>
          </cell>
          <cell r="GL178">
            <v>0.8</v>
          </cell>
          <cell r="GM178">
            <v>10.8</v>
          </cell>
          <cell r="GN178">
            <v>6.2</v>
          </cell>
          <cell r="GO178">
            <v>6.9</v>
          </cell>
          <cell r="GP178">
            <v>-1.5</v>
          </cell>
          <cell r="GQ178">
            <v>5.5</v>
          </cell>
          <cell r="GR178">
            <v>1.3</v>
          </cell>
          <cell r="GS178">
            <v>-0.5</v>
          </cell>
          <cell r="GT178">
            <v>4</v>
          </cell>
          <cell r="GU178">
            <v>0.8</v>
          </cell>
          <cell r="GV178">
            <v>-0.1</v>
          </cell>
          <cell r="GW178">
            <v>0.7</v>
          </cell>
          <cell r="GX178">
            <v>0.5</v>
          </cell>
          <cell r="GY178">
            <v>4.7</v>
          </cell>
          <cell r="GZ178">
            <v>1.4</v>
          </cell>
          <cell r="HA178">
            <v>2.2999999999999998</v>
          </cell>
          <cell r="HB178">
            <v>2.6</v>
          </cell>
          <cell r="HC178">
            <v>-2.1</v>
          </cell>
          <cell r="HD178">
            <v>0.6</v>
          </cell>
          <cell r="HE178">
            <v>-0.5</v>
          </cell>
          <cell r="HF178">
            <v>7.6</v>
          </cell>
          <cell r="HG178">
            <v>0.7</v>
          </cell>
          <cell r="HH178">
            <v>0.4</v>
          </cell>
          <cell r="HI178">
            <v>1.5</v>
          </cell>
          <cell r="HJ178">
            <v>-0.7</v>
          </cell>
          <cell r="HK178">
            <v>0.8</v>
          </cell>
          <cell r="HL178">
            <v>6424</v>
          </cell>
          <cell r="HM178">
            <v>1192</v>
          </cell>
          <cell r="HN178">
            <v>7645</v>
          </cell>
          <cell r="HO178">
            <v>2630</v>
          </cell>
          <cell r="HP178">
            <v>3506</v>
          </cell>
          <cell r="HQ178">
            <v>1529</v>
          </cell>
          <cell r="HR178">
            <v>4022</v>
          </cell>
          <cell r="HS178">
            <v>10939</v>
          </cell>
          <cell r="HT178">
            <v>1774</v>
          </cell>
          <cell r="HU178">
            <v>12390</v>
          </cell>
          <cell r="HV178">
            <v>5926</v>
          </cell>
          <cell r="HW178">
            <v>5867</v>
          </cell>
          <cell r="HX178">
            <v>3290</v>
          </cell>
          <cell r="HY178">
            <v>4409</v>
          </cell>
          <cell r="HZ178">
            <v>6335</v>
          </cell>
          <cell r="IA178">
            <v>24995</v>
          </cell>
          <cell r="IB178">
            <v>4990</v>
          </cell>
          <cell r="IC178">
            <v>324</v>
          </cell>
          <cell r="ID178">
            <v>3394</v>
          </cell>
          <cell r="IE178">
            <v>8694</v>
          </cell>
          <cell r="IF178">
            <v>4084</v>
          </cell>
          <cell r="IG178">
            <v>2783</v>
          </cell>
          <cell r="IH178">
            <v>7948</v>
          </cell>
          <cell r="II178">
            <v>14761</v>
          </cell>
          <cell r="IJ178">
            <v>11000</v>
          </cell>
          <cell r="IK178">
            <v>10727</v>
          </cell>
          <cell r="IL178">
            <v>7522</v>
          </cell>
          <cell r="IM178">
            <v>4089</v>
          </cell>
          <cell r="IN178">
            <v>1208</v>
          </cell>
          <cell r="IO178">
            <v>1913</v>
          </cell>
          <cell r="IP178">
            <v>5551</v>
          </cell>
          <cell r="IQ178">
            <v>12763</v>
          </cell>
        </row>
        <row r="179">
          <cell r="B179">
            <v>8066</v>
          </cell>
          <cell r="C179">
            <v>1200</v>
          </cell>
          <cell r="D179">
            <v>9133</v>
          </cell>
          <cell r="E179">
            <v>2564</v>
          </cell>
          <cell r="F179">
            <v>3544</v>
          </cell>
          <cell r="G179">
            <v>1575</v>
          </cell>
          <cell r="H179">
            <v>3918</v>
          </cell>
          <cell r="I179">
            <v>10889</v>
          </cell>
          <cell r="J179">
            <v>1815</v>
          </cell>
          <cell r="K179">
            <v>12363</v>
          </cell>
          <cell r="L179">
            <v>6191</v>
          </cell>
          <cell r="M179">
            <v>5659</v>
          </cell>
          <cell r="N179">
            <v>3443</v>
          </cell>
          <cell r="O179">
            <v>4340</v>
          </cell>
          <cell r="P179">
            <v>6499</v>
          </cell>
          <cell r="Q179">
            <v>25420</v>
          </cell>
          <cell r="R179">
            <v>5016</v>
          </cell>
          <cell r="S179">
            <v>305</v>
          </cell>
          <cell r="T179">
            <v>3569</v>
          </cell>
          <cell r="U179">
            <v>8835</v>
          </cell>
          <cell r="V179">
            <v>4299</v>
          </cell>
          <cell r="W179">
            <v>2819</v>
          </cell>
          <cell r="X179">
            <v>8187</v>
          </cell>
          <cell r="Y179">
            <v>15317</v>
          </cell>
          <cell r="Z179">
            <v>10952</v>
          </cell>
          <cell r="AA179">
            <v>11163</v>
          </cell>
          <cell r="AB179">
            <v>7488</v>
          </cell>
          <cell r="AC179">
            <v>4137</v>
          </cell>
          <cell r="AD179">
            <v>1154</v>
          </cell>
          <cell r="AE179">
            <v>1879</v>
          </cell>
          <cell r="AF179">
            <v>5617</v>
          </cell>
          <cell r="AG179">
            <v>12791</v>
          </cell>
          <cell r="AH179">
            <v>3007</v>
          </cell>
          <cell r="AI179">
            <v>3230</v>
          </cell>
          <cell r="AJ179">
            <v>6215</v>
          </cell>
          <cell r="AK179">
            <v>11900</v>
          </cell>
          <cell r="AL179">
            <v>8464</v>
          </cell>
          <cell r="AM179">
            <v>20220</v>
          </cell>
          <cell r="AN179">
            <v>1203</v>
          </cell>
          <cell r="AO179">
            <v>6402</v>
          </cell>
          <cell r="AP179">
            <v>7615</v>
          </cell>
          <cell r="AQ179">
            <v>2205</v>
          </cell>
          <cell r="AR179">
            <v>14209</v>
          </cell>
          <cell r="AS179">
            <v>15768</v>
          </cell>
          <cell r="AT179">
            <v>9881</v>
          </cell>
          <cell r="AU179">
            <v>16094</v>
          </cell>
          <cell r="AV179">
            <v>14961</v>
          </cell>
          <cell r="AW179">
            <v>14981</v>
          </cell>
          <cell r="AX179">
            <v>2068</v>
          </cell>
          <cell r="AY179">
            <v>5862</v>
          </cell>
          <cell r="AZ179">
            <v>27166</v>
          </cell>
          <cell r="BA179">
            <v>250061</v>
          </cell>
          <cell r="BB179">
            <v>21886</v>
          </cell>
          <cell r="BC179">
            <v>186</v>
          </cell>
          <cell r="BD179">
            <v>271848</v>
          </cell>
          <cell r="BE179">
            <v>3.2</v>
          </cell>
          <cell r="BF179">
            <v>0.4</v>
          </cell>
          <cell r="BG179">
            <v>2.7</v>
          </cell>
          <cell r="BH179">
            <v>-1.2</v>
          </cell>
          <cell r="BI179">
            <v>-0.3</v>
          </cell>
          <cell r="BJ179">
            <v>3.2</v>
          </cell>
          <cell r="BK179">
            <v>-0.6</v>
          </cell>
          <cell r="BL179">
            <v>-0.2</v>
          </cell>
          <cell r="BM179">
            <v>-0.3</v>
          </cell>
          <cell r="BN179">
            <v>-0.3</v>
          </cell>
          <cell r="BO179">
            <v>-0.5</v>
          </cell>
          <cell r="BP179">
            <v>0</v>
          </cell>
          <cell r="BQ179">
            <v>4.2</v>
          </cell>
          <cell r="BR179">
            <v>-0.2</v>
          </cell>
          <cell r="BS179">
            <v>1.7</v>
          </cell>
          <cell r="BT179">
            <v>1.1000000000000001</v>
          </cell>
          <cell r="BU179">
            <v>0</v>
          </cell>
          <cell r="BV179">
            <v>1.2</v>
          </cell>
          <cell r="BW179">
            <v>2.1</v>
          </cell>
          <cell r="BX179">
            <v>0.7</v>
          </cell>
          <cell r="BY179">
            <v>5.3</v>
          </cell>
          <cell r="BZ179">
            <v>7.1</v>
          </cell>
          <cell r="CA179">
            <v>2.2999999999999998</v>
          </cell>
          <cell r="CB179">
            <v>3.9</v>
          </cell>
          <cell r="CC179">
            <v>0.7</v>
          </cell>
          <cell r="CD179">
            <v>1.3</v>
          </cell>
          <cell r="CE179">
            <v>-1.2</v>
          </cell>
          <cell r="CF179">
            <v>2.5</v>
          </cell>
          <cell r="CG179">
            <v>-4.2</v>
          </cell>
          <cell r="CH179">
            <v>2.6</v>
          </cell>
          <cell r="CI179">
            <v>0.6</v>
          </cell>
          <cell r="CJ179">
            <v>0.7</v>
          </cell>
          <cell r="CK179">
            <v>0.5</v>
          </cell>
          <cell r="CL179">
            <v>1.8</v>
          </cell>
          <cell r="CM179">
            <v>1.1000000000000001</v>
          </cell>
          <cell r="CN179">
            <v>-0.2</v>
          </cell>
          <cell r="CO179">
            <v>5.7</v>
          </cell>
          <cell r="CP179">
            <v>1.5</v>
          </cell>
          <cell r="CQ179">
            <v>2.1</v>
          </cell>
          <cell r="CR179">
            <v>2.2000000000000002</v>
          </cell>
          <cell r="CS179">
            <v>2.2000000000000002</v>
          </cell>
          <cell r="CT179">
            <v>3.9</v>
          </cell>
          <cell r="CU179">
            <v>-0.3</v>
          </cell>
          <cell r="CV179">
            <v>0.9</v>
          </cell>
          <cell r="CW179">
            <v>1.9</v>
          </cell>
          <cell r="CX179">
            <v>1</v>
          </cell>
          <cell r="CY179">
            <v>0.6</v>
          </cell>
          <cell r="CZ179">
            <v>1.1000000000000001</v>
          </cell>
          <cell r="DA179">
            <v>5.7</v>
          </cell>
          <cell r="DB179">
            <v>-0.6</v>
          </cell>
          <cell r="DC179">
            <v>0.2</v>
          </cell>
          <cell r="DD179">
            <v>1.1000000000000001</v>
          </cell>
          <cell r="DE179">
            <v>1.3</v>
          </cell>
          <cell r="DF179">
            <v>1.1000000000000001</v>
          </cell>
          <cell r="DG179">
            <v>8225</v>
          </cell>
          <cell r="DH179">
            <v>1191</v>
          </cell>
          <cell r="DI179">
            <v>9264</v>
          </cell>
          <cell r="DJ179">
            <v>2604</v>
          </cell>
          <cell r="DK179">
            <v>3483</v>
          </cell>
          <cell r="DL179">
            <v>1580</v>
          </cell>
          <cell r="DM179">
            <v>3878</v>
          </cell>
          <cell r="DN179">
            <v>10808</v>
          </cell>
          <cell r="DO179">
            <v>1909</v>
          </cell>
          <cell r="DP179">
            <v>12363</v>
          </cell>
          <cell r="DQ179">
            <v>6275</v>
          </cell>
          <cell r="DR179">
            <v>5623</v>
          </cell>
          <cell r="DS179">
            <v>3421</v>
          </cell>
          <cell r="DT179">
            <v>4385</v>
          </cell>
          <cell r="DU179">
            <v>6330</v>
          </cell>
          <cell r="DV179">
            <v>25332</v>
          </cell>
          <cell r="DW179">
            <v>4973</v>
          </cell>
          <cell r="DX179">
            <v>300</v>
          </cell>
          <cell r="DY179">
            <v>3459</v>
          </cell>
          <cell r="DZ179">
            <v>8690</v>
          </cell>
          <cell r="EA179">
            <v>4306</v>
          </cell>
          <cell r="EB179">
            <v>2829</v>
          </cell>
          <cell r="EC179">
            <v>8193</v>
          </cell>
          <cell r="ED179">
            <v>15348</v>
          </cell>
          <cell r="EE179">
            <v>10770</v>
          </cell>
          <cell r="EF179">
            <v>11117</v>
          </cell>
          <cell r="EG179">
            <v>7600</v>
          </cell>
          <cell r="EH179">
            <v>4062</v>
          </cell>
          <cell r="EI179">
            <v>1158</v>
          </cell>
          <cell r="EJ179">
            <v>1846</v>
          </cell>
          <cell r="EK179">
            <v>5657</v>
          </cell>
          <cell r="EL179">
            <v>12747</v>
          </cell>
          <cell r="EM179">
            <v>3047</v>
          </cell>
          <cell r="EN179">
            <v>3264</v>
          </cell>
          <cell r="EO179">
            <v>6288</v>
          </cell>
          <cell r="EP179">
            <v>11997</v>
          </cell>
          <cell r="EQ179">
            <v>8399</v>
          </cell>
          <cell r="ER179">
            <v>20300</v>
          </cell>
          <cell r="ES179">
            <v>1167</v>
          </cell>
          <cell r="ET179">
            <v>6298</v>
          </cell>
          <cell r="EU179">
            <v>7467</v>
          </cell>
          <cell r="EV179">
            <v>2216</v>
          </cell>
          <cell r="EW179">
            <v>14252</v>
          </cell>
          <cell r="EX179">
            <v>15827</v>
          </cell>
          <cell r="EY179">
            <v>9883</v>
          </cell>
          <cell r="EZ179">
            <v>16193</v>
          </cell>
          <cell r="FA179">
            <v>14965</v>
          </cell>
          <cell r="FB179">
            <v>14839</v>
          </cell>
          <cell r="FC179">
            <v>2100</v>
          </cell>
          <cell r="FD179">
            <v>5779</v>
          </cell>
          <cell r="FE179">
            <v>27151</v>
          </cell>
          <cell r="FF179">
            <v>249850</v>
          </cell>
          <cell r="FG179">
            <v>21562</v>
          </cell>
          <cell r="FH179">
            <v>822</v>
          </cell>
          <cell r="FI179">
            <v>271954</v>
          </cell>
          <cell r="FJ179">
            <v>3.9</v>
          </cell>
          <cell r="FK179">
            <v>-0.6</v>
          </cell>
          <cell r="FL179">
            <v>3</v>
          </cell>
          <cell r="FM179">
            <v>-0.8</v>
          </cell>
          <cell r="FN179">
            <v>-1.8</v>
          </cell>
          <cell r="FO179">
            <v>2.8</v>
          </cell>
          <cell r="FP179">
            <v>-3.1</v>
          </cell>
          <cell r="FQ179">
            <v>-1.6</v>
          </cell>
          <cell r="FR179">
            <v>8.6999999999999993</v>
          </cell>
          <cell r="FS179">
            <v>-0.4</v>
          </cell>
          <cell r="FT179">
            <v>1.9</v>
          </cell>
          <cell r="FU179">
            <v>-4.5999999999999996</v>
          </cell>
          <cell r="FV179">
            <v>4.7</v>
          </cell>
          <cell r="FW179">
            <v>1.2</v>
          </cell>
          <cell r="FX179">
            <v>-2</v>
          </cell>
          <cell r="FY179">
            <v>0.4</v>
          </cell>
          <cell r="FZ179">
            <v>-0.3</v>
          </cell>
          <cell r="GA179">
            <v>-1.6</v>
          </cell>
          <cell r="GB179">
            <v>-1.5</v>
          </cell>
          <cell r="GC179">
            <v>-0.9</v>
          </cell>
          <cell r="GD179">
            <v>6.1</v>
          </cell>
          <cell r="GE179">
            <v>4.3</v>
          </cell>
          <cell r="GF179">
            <v>-0.3</v>
          </cell>
          <cell r="GG179">
            <v>2.2000000000000002</v>
          </cell>
          <cell r="GH179">
            <v>-1.5</v>
          </cell>
          <cell r="GI179">
            <v>0.5</v>
          </cell>
          <cell r="GJ179">
            <v>0</v>
          </cell>
          <cell r="GK179">
            <v>-3.3</v>
          </cell>
          <cell r="GL179">
            <v>-6.4</v>
          </cell>
          <cell r="GM179">
            <v>-4.2</v>
          </cell>
          <cell r="GN179">
            <v>-0.7</v>
          </cell>
          <cell r="GO179">
            <v>-2.5</v>
          </cell>
          <cell r="GP179">
            <v>3.1</v>
          </cell>
          <cell r="GQ179">
            <v>1.9</v>
          </cell>
          <cell r="GR179">
            <v>2.6</v>
          </cell>
          <cell r="GS179">
            <v>1.2</v>
          </cell>
          <cell r="GT179">
            <v>4.7</v>
          </cell>
          <cell r="GU179">
            <v>2.2999999999999998</v>
          </cell>
          <cell r="GV179">
            <v>-1.2</v>
          </cell>
          <cell r="GW179">
            <v>0.3</v>
          </cell>
          <cell r="GX179">
            <v>-0.1</v>
          </cell>
          <cell r="GY179">
            <v>4.2</v>
          </cell>
          <cell r="GZ179">
            <v>-0.4</v>
          </cell>
          <cell r="HA179">
            <v>1</v>
          </cell>
          <cell r="HB179">
            <v>1.6</v>
          </cell>
          <cell r="HC179">
            <v>3</v>
          </cell>
          <cell r="HD179">
            <v>0.7</v>
          </cell>
          <cell r="HE179">
            <v>0.6</v>
          </cell>
          <cell r="HF179">
            <v>5.7</v>
          </cell>
          <cell r="HG179">
            <v>-2.8</v>
          </cell>
          <cell r="HH179">
            <v>0.1</v>
          </cell>
          <cell r="HI179">
            <v>0.7</v>
          </cell>
          <cell r="HJ179">
            <v>-0.5</v>
          </cell>
          <cell r="HK179">
            <v>1.2</v>
          </cell>
          <cell r="HL179">
            <v>4599</v>
          </cell>
          <cell r="HM179">
            <v>1194</v>
          </cell>
          <cell r="HN179">
            <v>5984</v>
          </cell>
          <cell r="HO179">
            <v>2688</v>
          </cell>
          <cell r="HP179">
            <v>3685</v>
          </cell>
          <cell r="HQ179">
            <v>1628</v>
          </cell>
          <cell r="HR179">
            <v>3905</v>
          </cell>
          <cell r="HS179">
            <v>11239</v>
          </cell>
          <cell r="HT179">
            <v>1880</v>
          </cell>
          <cell r="HU179">
            <v>12761</v>
          </cell>
          <cell r="HV179">
            <v>6170</v>
          </cell>
          <cell r="HW179">
            <v>5744</v>
          </cell>
          <cell r="HX179">
            <v>3469</v>
          </cell>
          <cell r="HY179">
            <v>4552</v>
          </cell>
          <cell r="HZ179">
            <v>6575</v>
          </cell>
          <cell r="IA179">
            <v>25781</v>
          </cell>
          <cell r="IB179">
            <v>5134</v>
          </cell>
          <cell r="IC179">
            <v>343</v>
          </cell>
          <cell r="ID179">
            <v>3424</v>
          </cell>
          <cell r="IE179">
            <v>8914</v>
          </cell>
          <cell r="IF179">
            <v>4436</v>
          </cell>
          <cell r="IG179">
            <v>3111</v>
          </cell>
          <cell r="IH179">
            <v>8282</v>
          </cell>
          <cell r="II179">
            <v>15722</v>
          </cell>
          <cell r="IJ179">
            <v>10890</v>
          </cell>
          <cell r="IK179">
            <v>10860</v>
          </cell>
          <cell r="IL179">
            <v>7458</v>
          </cell>
          <cell r="IM179">
            <v>4121</v>
          </cell>
          <cell r="IN179">
            <v>1212</v>
          </cell>
          <cell r="IO179">
            <v>1898</v>
          </cell>
          <cell r="IP179">
            <v>5685</v>
          </cell>
          <cell r="IQ179">
            <v>12935</v>
          </cell>
        </row>
        <row r="180">
          <cell r="B180">
            <v>8120</v>
          </cell>
          <cell r="C180">
            <v>1231</v>
          </cell>
          <cell r="D180">
            <v>9231</v>
          </cell>
          <cell r="E180">
            <v>2526</v>
          </cell>
          <cell r="F180">
            <v>3579</v>
          </cell>
          <cell r="G180">
            <v>1608</v>
          </cell>
          <cell r="H180">
            <v>3866</v>
          </cell>
          <cell r="I180">
            <v>10883</v>
          </cell>
          <cell r="J180">
            <v>1781</v>
          </cell>
          <cell r="K180">
            <v>12336</v>
          </cell>
          <cell r="L180">
            <v>6213</v>
          </cell>
          <cell r="M180">
            <v>5627</v>
          </cell>
          <cell r="N180">
            <v>3593</v>
          </cell>
          <cell r="O180">
            <v>4380</v>
          </cell>
          <cell r="P180">
            <v>6649</v>
          </cell>
          <cell r="Q180">
            <v>25826</v>
          </cell>
          <cell r="R180">
            <v>5032</v>
          </cell>
          <cell r="S180">
            <v>305</v>
          </cell>
          <cell r="T180">
            <v>3641</v>
          </cell>
          <cell r="U180">
            <v>8906</v>
          </cell>
          <cell r="V180">
            <v>4527</v>
          </cell>
          <cell r="W180">
            <v>3010</v>
          </cell>
          <cell r="X180">
            <v>8434</v>
          </cell>
          <cell r="Y180">
            <v>15987</v>
          </cell>
          <cell r="Z180">
            <v>11051</v>
          </cell>
          <cell r="AA180">
            <v>11349</v>
          </cell>
          <cell r="AB180">
            <v>7438</v>
          </cell>
          <cell r="AC180">
            <v>4145</v>
          </cell>
          <cell r="AD180">
            <v>1112</v>
          </cell>
          <cell r="AE180">
            <v>1983</v>
          </cell>
          <cell r="AF180">
            <v>5664</v>
          </cell>
          <cell r="AG180">
            <v>12875</v>
          </cell>
          <cell r="AH180">
            <v>3033</v>
          </cell>
          <cell r="AI180">
            <v>3291</v>
          </cell>
          <cell r="AJ180">
            <v>6300</v>
          </cell>
          <cell r="AK180">
            <v>11862</v>
          </cell>
          <cell r="AL180">
            <v>8987</v>
          </cell>
          <cell r="AM180">
            <v>20532</v>
          </cell>
          <cell r="AN180">
            <v>1229</v>
          </cell>
          <cell r="AO180">
            <v>6560</v>
          </cell>
          <cell r="AP180">
            <v>7796</v>
          </cell>
          <cell r="AQ180">
            <v>2285</v>
          </cell>
          <cell r="AR180">
            <v>14116</v>
          </cell>
          <cell r="AS180">
            <v>15864</v>
          </cell>
          <cell r="AT180">
            <v>10013</v>
          </cell>
          <cell r="AU180">
            <v>16391</v>
          </cell>
          <cell r="AV180">
            <v>15049</v>
          </cell>
          <cell r="AW180">
            <v>15107</v>
          </cell>
          <cell r="AX180">
            <v>2127</v>
          </cell>
          <cell r="AY180">
            <v>5859</v>
          </cell>
          <cell r="AZ180">
            <v>27209</v>
          </cell>
          <cell r="BA180">
            <v>253075</v>
          </cell>
          <cell r="BB180">
            <v>22222</v>
          </cell>
          <cell r="BC180">
            <v>-58</v>
          </cell>
          <cell r="BD180">
            <v>274955</v>
          </cell>
          <cell r="BE180">
            <v>0.7</v>
          </cell>
          <cell r="BF180">
            <v>2.6</v>
          </cell>
          <cell r="BG180">
            <v>1.1000000000000001</v>
          </cell>
          <cell r="BH180">
            <v>-1.5</v>
          </cell>
          <cell r="BI180">
            <v>1</v>
          </cell>
          <cell r="BJ180">
            <v>2.1</v>
          </cell>
          <cell r="BK180">
            <v>-1.3</v>
          </cell>
          <cell r="BL180">
            <v>-0.1</v>
          </cell>
          <cell r="BM180">
            <v>-1.9</v>
          </cell>
          <cell r="BN180">
            <v>-0.2</v>
          </cell>
          <cell r="BO180">
            <v>0.3</v>
          </cell>
          <cell r="BP180">
            <v>-0.6</v>
          </cell>
          <cell r="BQ180">
            <v>4.4000000000000004</v>
          </cell>
          <cell r="BR180">
            <v>0.9</v>
          </cell>
          <cell r="BS180">
            <v>2.2999999999999998</v>
          </cell>
          <cell r="BT180">
            <v>1.6</v>
          </cell>
          <cell r="BU180">
            <v>0.3</v>
          </cell>
          <cell r="BV180">
            <v>0.1</v>
          </cell>
          <cell r="BW180">
            <v>2</v>
          </cell>
          <cell r="BX180">
            <v>0.8</v>
          </cell>
          <cell r="BY180">
            <v>5.3</v>
          </cell>
          <cell r="BZ180">
            <v>6.8</v>
          </cell>
          <cell r="CA180">
            <v>3</v>
          </cell>
          <cell r="CB180">
            <v>4.4000000000000004</v>
          </cell>
          <cell r="CC180">
            <v>0.9</v>
          </cell>
          <cell r="CD180">
            <v>1.7</v>
          </cell>
          <cell r="CE180">
            <v>-0.7</v>
          </cell>
          <cell r="CF180">
            <v>0.2</v>
          </cell>
          <cell r="CG180">
            <v>-3.6</v>
          </cell>
          <cell r="CH180">
            <v>5.5</v>
          </cell>
          <cell r="CI180">
            <v>0.8</v>
          </cell>
          <cell r="CJ180">
            <v>0.7</v>
          </cell>
          <cell r="CK180">
            <v>0.9</v>
          </cell>
          <cell r="CL180">
            <v>1.9</v>
          </cell>
          <cell r="CM180">
            <v>1.4</v>
          </cell>
          <cell r="CN180">
            <v>-0.3</v>
          </cell>
          <cell r="CO180">
            <v>6.2</v>
          </cell>
          <cell r="CP180">
            <v>1.5</v>
          </cell>
          <cell r="CQ180">
            <v>2.1</v>
          </cell>
          <cell r="CR180">
            <v>2.5</v>
          </cell>
          <cell r="CS180">
            <v>2.4</v>
          </cell>
          <cell r="CT180">
            <v>3.6</v>
          </cell>
          <cell r="CU180">
            <v>-0.7</v>
          </cell>
          <cell r="CV180">
            <v>0.6</v>
          </cell>
          <cell r="CW180">
            <v>1.3</v>
          </cell>
          <cell r="CX180">
            <v>1.8</v>
          </cell>
          <cell r="CY180">
            <v>0.6</v>
          </cell>
          <cell r="CZ180">
            <v>0.8</v>
          </cell>
          <cell r="DA180">
            <v>2.9</v>
          </cell>
          <cell r="DB180">
            <v>-0.1</v>
          </cell>
          <cell r="DC180">
            <v>0.2</v>
          </cell>
          <cell r="DD180">
            <v>1.2</v>
          </cell>
          <cell r="DE180">
            <v>1.5</v>
          </cell>
          <cell r="DF180">
            <v>1.1000000000000001</v>
          </cell>
          <cell r="DG180">
            <v>7839</v>
          </cell>
          <cell r="DH180">
            <v>1223</v>
          </cell>
          <cell r="DI180">
            <v>8965</v>
          </cell>
          <cell r="DJ180">
            <v>2445</v>
          </cell>
          <cell r="DK180">
            <v>3613</v>
          </cell>
          <cell r="DL180">
            <v>1612</v>
          </cell>
          <cell r="DM180">
            <v>3839</v>
          </cell>
          <cell r="DN180">
            <v>10852</v>
          </cell>
          <cell r="DO180">
            <v>1668</v>
          </cell>
          <cell r="DP180">
            <v>12190</v>
          </cell>
          <cell r="DQ180">
            <v>6141</v>
          </cell>
          <cell r="DR180">
            <v>5509</v>
          </cell>
          <cell r="DS180">
            <v>3660</v>
          </cell>
          <cell r="DT180">
            <v>4346</v>
          </cell>
          <cell r="DU180">
            <v>6814</v>
          </cell>
          <cell r="DV180">
            <v>25892</v>
          </cell>
          <cell r="DW180">
            <v>5125</v>
          </cell>
          <cell r="DX180">
            <v>310</v>
          </cell>
          <cell r="DY180">
            <v>3734</v>
          </cell>
          <cell r="DZ180">
            <v>9092</v>
          </cell>
          <cell r="EA180">
            <v>4543</v>
          </cell>
          <cell r="EB180">
            <v>2893</v>
          </cell>
          <cell r="EC180">
            <v>8323</v>
          </cell>
          <cell r="ED180">
            <v>15762</v>
          </cell>
          <cell r="EE180">
            <v>11320</v>
          </cell>
          <cell r="EF180">
            <v>11337</v>
          </cell>
          <cell r="EG180">
            <v>7290</v>
          </cell>
          <cell r="EH180">
            <v>4158</v>
          </cell>
          <cell r="EI180">
            <v>1045</v>
          </cell>
          <cell r="EJ180">
            <v>1962</v>
          </cell>
          <cell r="EK180">
            <v>5563</v>
          </cell>
          <cell r="EL180">
            <v>12683</v>
          </cell>
          <cell r="EM180">
            <v>3008</v>
          </cell>
          <cell r="EN180">
            <v>3255</v>
          </cell>
          <cell r="EO180">
            <v>6241</v>
          </cell>
          <cell r="EP180">
            <v>11839</v>
          </cell>
          <cell r="EQ180">
            <v>8988</v>
          </cell>
          <cell r="ER180">
            <v>20509</v>
          </cell>
          <cell r="ES180">
            <v>1274</v>
          </cell>
          <cell r="ET180">
            <v>6691</v>
          </cell>
          <cell r="EU180">
            <v>7982</v>
          </cell>
          <cell r="EV180">
            <v>2272</v>
          </cell>
          <cell r="EW180">
            <v>14039</v>
          </cell>
          <cell r="EX180">
            <v>15779</v>
          </cell>
          <cell r="EY180">
            <v>9998</v>
          </cell>
          <cell r="EZ180">
            <v>16126</v>
          </cell>
          <cell r="FA180">
            <v>15051</v>
          </cell>
          <cell r="FB180">
            <v>15295</v>
          </cell>
          <cell r="FC180">
            <v>2132</v>
          </cell>
          <cell r="FD180">
            <v>5889</v>
          </cell>
          <cell r="FE180">
            <v>27204</v>
          </cell>
          <cell r="FF180">
            <v>252512</v>
          </cell>
          <cell r="FG180">
            <v>22420</v>
          </cell>
          <cell r="FH180">
            <v>599</v>
          </cell>
          <cell r="FI180">
            <v>275252</v>
          </cell>
          <cell r="FJ180">
            <v>-4.7</v>
          </cell>
          <cell r="FK180">
            <v>2.7</v>
          </cell>
          <cell r="FL180">
            <v>-3.2</v>
          </cell>
          <cell r="FM180">
            <v>-6.1</v>
          </cell>
          <cell r="FN180">
            <v>3.7</v>
          </cell>
          <cell r="FO180">
            <v>2</v>
          </cell>
          <cell r="FP180">
            <v>-1</v>
          </cell>
          <cell r="FQ180">
            <v>0.4</v>
          </cell>
          <cell r="FR180">
            <v>-12.6</v>
          </cell>
          <cell r="FS180">
            <v>-1.4</v>
          </cell>
          <cell r="FT180">
            <v>-2.1</v>
          </cell>
          <cell r="FU180">
            <v>-2</v>
          </cell>
          <cell r="FV180">
            <v>7</v>
          </cell>
          <cell r="FW180">
            <v>-0.9</v>
          </cell>
          <cell r="FX180">
            <v>7.6</v>
          </cell>
          <cell r="FY180">
            <v>2.2000000000000002</v>
          </cell>
          <cell r="FZ180">
            <v>3.1</v>
          </cell>
          <cell r="GA180">
            <v>3.3</v>
          </cell>
          <cell r="GB180">
            <v>7.9</v>
          </cell>
          <cell r="GC180">
            <v>4.5999999999999996</v>
          </cell>
          <cell r="GD180">
            <v>5.5</v>
          </cell>
          <cell r="GE180">
            <v>2.2999999999999998</v>
          </cell>
          <cell r="GF180">
            <v>1.6</v>
          </cell>
          <cell r="GG180">
            <v>2.7</v>
          </cell>
          <cell r="GH180">
            <v>5.0999999999999996</v>
          </cell>
          <cell r="GI180">
            <v>2</v>
          </cell>
          <cell r="GJ180">
            <v>-4.0999999999999996</v>
          </cell>
          <cell r="GK180">
            <v>2.4</v>
          </cell>
          <cell r="GL180">
            <v>-9.6999999999999993</v>
          </cell>
          <cell r="GM180">
            <v>6.3</v>
          </cell>
          <cell r="GN180">
            <v>-1.7</v>
          </cell>
          <cell r="GO180">
            <v>-0.5</v>
          </cell>
          <cell r="GP180">
            <v>-1.3</v>
          </cell>
          <cell r="GQ180">
            <v>-0.3</v>
          </cell>
          <cell r="GR180">
            <v>-0.7</v>
          </cell>
          <cell r="GS180">
            <v>-1.3</v>
          </cell>
          <cell r="GT180">
            <v>7</v>
          </cell>
          <cell r="GU180">
            <v>1</v>
          </cell>
          <cell r="GV180">
            <v>9.1999999999999993</v>
          </cell>
          <cell r="GW180">
            <v>6.2</v>
          </cell>
          <cell r="GX180">
            <v>6.9</v>
          </cell>
          <cell r="GY180">
            <v>2.5</v>
          </cell>
          <cell r="GZ180">
            <v>-1.5</v>
          </cell>
          <cell r="HA180">
            <v>-0.3</v>
          </cell>
          <cell r="HB180">
            <v>1.2</v>
          </cell>
          <cell r="HC180">
            <v>-0.4</v>
          </cell>
          <cell r="HD180">
            <v>0.6</v>
          </cell>
          <cell r="HE180">
            <v>3.1</v>
          </cell>
          <cell r="HF180">
            <v>1.5</v>
          </cell>
          <cell r="HG180">
            <v>1.9</v>
          </cell>
          <cell r="HH180">
            <v>0.2</v>
          </cell>
          <cell r="HI180">
            <v>1.1000000000000001</v>
          </cell>
          <cell r="HJ180">
            <v>4</v>
          </cell>
          <cell r="HK180">
            <v>1.2</v>
          </cell>
          <cell r="HL180">
            <v>13777</v>
          </cell>
          <cell r="HM180">
            <v>1228</v>
          </cell>
          <cell r="HN180">
            <v>14379</v>
          </cell>
          <cell r="HO180">
            <v>2405</v>
          </cell>
          <cell r="HP180">
            <v>3552</v>
          </cell>
          <cell r="HQ180">
            <v>1641</v>
          </cell>
          <cell r="HR180">
            <v>3892</v>
          </cell>
          <cell r="HS180">
            <v>10776</v>
          </cell>
          <cell r="HT180">
            <v>1718</v>
          </cell>
          <cell r="HU180">
            <v>12167</v>
          </cell>
          <cell r="HV180">
            <v>6625</v>
          </cell>
          <cell r="HW180">
            <v>5516</v>
          </cell>
          <cell r="HX180">
            <v>3726</v>
          </cell>
          <cell r="HY180">
            <v>4389</v>
          </cell>
          <cell r="HZ180">
            <v>7066</v>
          </cell>
          <cell r="IA180">
            <v>26714</v>
          </cell>
          <cell r="IB180">
            <v>4994</v>
          </cell>
          <cell r="IC180">
            <v>291</v>
          </cell>
          <cell r="ID180">
            <v>3791</v>
          </cell>
          <cell r="IE180">
            <v>8950</v>
          </cell>
          <cell r="IF180">
            <v>4765</v>
          </cell>
          <cell r="IG180">
            <v>3004</v>
          </cell>
          <cell r="IH180">
            <v>8798</v>
          </cell>
          <cell r="II180">
            <v>16509</v>
          </cell>
          <cell r="IJ180">
            <v>11619</v>
          </cell>
          <cell r="IK180">
            <v>12499</v>
          </cell>
          <cell r="IL180">
            <v>7664</v>
          </cell>
          <cell r="IM180">
            <v>4412</v>
          </cell>
          <cell r="IN180">
            <v>1070</v>
          </cell>
          <cell r="IO180">
            <v>1989</v>
          </cell>
          <cell r="IP180">
            <v>5871</v>
          </cell>
          <cell r="IQ180">
            <v>13295</v>
          </cell>
        </row>
        <row r="181">
          <cell r="B181">
            <v>7834</v>
          </cell>
          <cell r="C181">
            <v>1242</v>
          </cell>
          <cell r="D181">
            <v>8989</v>
          </cell>
          <cell r="E181">
            <v>2498</v>
          </cell>
          <cell r="F181">
            <v>3628</v>
          </cell>
          <cell r="G181">
            <v>1663</v>
          </cell>
          <cell r="H181">
            <v>3841</v>
          </cell>
          <cell r="I181">
            <v>10922</v>
          </cell>
          <cell r="J181">
            <v>1748</v>
          </cell>
          <cell r="K181">
            <v>12359</v>
          </cell>
          <cell r="L181">
            <v>6280</v>
          </cell>
          <cell r="M181">
            <v>5711</v>
          </cell>
          <cell r="N181">
            <v>3604</v>
          </cell>
          <cell r="O181">
            <v>4431</v>
          </cell>
          <cell r="P181">
            <v>6788</v>
          </cell>
          <cell r="Q181">
            <v>26133</v>
          </cell>
          <cell r="R181">
            <v>5053</v>
          </cell>
          <cell r="S181">
            <v>304</v>
          </cell>
          <cell r="T181">
            <v>3697</v>
          </cell>
          <cell r="U181">
            <v>8964</v>
          </cell>
          <cell r="V181">
            <v>4777</v>
          </cell>
          <cell r="W181">
            <v>3182</v>
          </cell>
          <cell r="X181">
            <v>8838</v>
          </cell>
          <cell r="Y181">
            <v>16812</v>
          </cell>
          <cell r="Z181">
            <v>11250</v>
          </cell>
          <cell r="AA181">
            <v>11575</v>
          </cell>
          <cell r="AB181">
            <v>7519</v>
          </cell>
          <cell r="AC181">
            <v>4163</v>
          </cell>
          <cell r="AD181">
            <v>1112</v>
          </cell>
          <cell r="AE181">
            <v>2122</v>
          </cell>
          <cell r="AF181">
            <v>5790</v>
          </cell>
          <cell r="AG181">
            <v>13134</v>
          </cell>
          <cell r="AH181">
            <v>3078</v>
          </cell>
          <cell r="AI181">
            <v>3319</v>
          </cell>
          <cell r="AJ181">
            <v>6374</v>
          </cell>
          <cell r="AK181">
            <v>11902</v>
          </cell>
          <cell r="AL181">
            <v>9441</v>
          </cell>
          <cell r="AM181">
            <v>20889</v>
          </cell>
          <cell r="AN181">
            <v>1240</v>
          </cell>
          <cell r="AO181">
            <v>6686</v>
          </cell>
          <cell r="AP181">
            <v>7929</v>
          </cell>
          <cell r="AQ181">
            <v>2369</v>
          </cell>
          <cell r="AR181">
            <v>14113</v>
          </cell>
          <cell r="AS181">
            <v>16035</v>
          </cell>
          <cell r="AT181">
            <v>10123</v>
          </cell>
          <cell r="AU181">
            <v>16500</v>
          </cell>
          <cell r="AV181">
            <v>15129</v>
          </cell>
          <cell r="AW181">
            <v>15317</v>
          </cell>
          <cell r="AX181">
            <v>2105</v>
          </cell>
          <cell r="AY181">
            <v>5898</v>
          </cell>
          <cell r="AZ181">
            <v>27273</v>
          </cell>
          <cell r="BA181">
            <v>256115</v>
          </cell>
          <cell r="BB181">
            <v>22752</v>
          </cell>
          <cell r="BC181">
            <v>-373</v>
          </cell>
          <cell r="BD181">
            <v>278205</v>
          </cell>
          <cell r="BE181">
            <v>-3.5</v>
          </cell>
          <cell r="BF181">
            <v>0.9</v>
          </cell>
          <cell r="BG181">
            <v>-2.6</v>
          </cell>
          <cell r="BH181">
            <v>-1.1000000000000001</v>
          </cell>
          <cell r="BI181">
            <v>1.4</v>
          </cell>
          <cell r="BJ181">
            <v>3.5</v>
          </cell>
          <cell r="BK181">
            <v>-0.6</v>
          </cell>
          <cell r="BL181">
            <v>0.4</v>
          </cell>
          <cell r="BM181">
            <v>-1.9</v>
          </cell>
          <cell r="BN181">
            <v>0.2</v>
          </cell>
          <cell r="BO181">
            <v>1.1000000000000001</v>
          </cell>
          <cell r="BP181">
            <v>1.5</v>
          </cell>
          <cell r="BQ181">
            <v>0.3</v>
          </cell>
          <cell r="BR181">
            <v>1.2</v>
          </cell>
          <cell r="BS181">
            <v>2.1</v>
          </cell>
          <cell r="BT181">
            <v>1.2</v>
          </cell>
          <cell r="BU181">
            <v>0.4</v>
          </cell>
          <cell r="BV181">
            <v>-0.2</v>
          </cell>
          <cell r="BW181">
            <v>1.5</v>
          </cell>
          <cell r="BX181">
            <v>0.7</v>
          </cell>
          <cell r="BY181">
            <v>5.5</v>
          </cell>
          <cell r="BZ181">
            <v>5.7</v>
          </cell>
          <cell r="CA181">
            <v>4.8</v>
          </cell>
          <cell r="CB181">
            <v>5.2</v>
          </cell>
          <cell r="CC181">
            <v>1.8</v>
          </cell>
          <cell r="CD181">
            <v>2</v>
          </cell>
          <cell r="CE181">
            <v>1.1000000000000001</v>
          </cell>
          <cell r="CF181">
            <v>0.4</v>
          </cell>
          <cell r="CG181">
            <v>0</v>
          </cell>
          <cell r="CH181">
            <v>7</v>
          </cell>
          <cell r="CI181">
            <v>2.2000000000000002</v>
          </cell>
          <cell r="CJ181">
            <v>2</v>
          </cell>
          <cell r="CK181">
            <v>1.5</v>
          </cell>
          <cell r="CL181">
            <v>0.8</v>
          </cell>
          <cell r="CM181">
            <v>1.2</v>
          </cell>
          <cell r="CN181">
            <v>0.3</v>
          </cell>
          <cell r="CO181">
            <v>5</v>
          </cell>
          <cell r="CP181">
            <v>1.7</v>
          </cell>
          <cell r="CQ181">
            <v>0.9</v>
          </cell>
          <cell r="CR181">
            <v>1.9</v>
          </cell>
          <cell r="CS181">
            <v>1.7</v>
          </cell>
          <cell r="CT181">
            <v>3.7</v>
          </cell>
          <cell r="CU181">
            <v>0</v>
          </cell>
          <cell r="CV181">
            <v>1.1000000000000001</v>
          </cell>
          <cell r="CW181">
            <v>1.1000000000000001</v>
          </cell>
          <cell r="CX181">
            <v>0.7</v>
          </cell>
          <cell r="CY181">
            <v>0.5</v>
          </cell>
          <cell r="CZ181">
            <v>1.4</v>
          </cell>
          <cell r="DA181">
            <v>-1</v>
          </cell>
          <cell r="DB181">
            <v>0.7</v>
          </cell>
          <cell r="DC181">
            <v>0.2</v>
          </cell>
          <cell r="DD181">
            <v>1.2</v>
          </cell>
          <cell r="DE181">
            <v>2.4</v>
          </cell>
          <cell r="DF181">
            <v>1.2</v>
          </cell>
          <cell r="DG181">
            <v>8135</v>
          </cell>
          <cell r="DH181">
            <v>1248</v>
          </cell>
          <cell r="DI181">
            <v>9270</v>
          </cell>
          <cell r="DJ181">
            <v>2519</v>
          </cell>
          <cell r="DK181">
            <v>3642</v>
          </cell>
          <cell r="DL181">
            <v>1696</v>
          </cell>
          <cell r="DM181">
            <v>3879</v>
          </cell>
          <cell r="DN181">
            <v>11006</v>
          </cell>
          <cell r="DO181">
            <v>1865</v>
          </cell>
          <cell r="DP181">
            <v>12568</v>
          </cell>
          <cell r="DQ181">
            <v>6291</v>
          </cell>
          <cell r="DR181">
            <v>5722</v>
          </cell>
          <cell r="DS181">
            <v>3670</v>
          </cell>
          <cell r="DT181">
            <v>4383</v>
          </cell>
          <cell r="DU181">
            <v>6732</v>
          </cell>
          <cell r="DV181">
            <v>26161</v>
          </cell>
          <cell r="DW181">
            <v>4976</v>
          </cell>
          <cell r="DX181">
            <v>303</v>
          </cell>
          <cell r="DY181">
            <v>3729</v>
          </cell>
          <cell r="DZ181">
            <v>8906</v>
          </cell>
          <cell r="EA181">
            <v>4773</v>
          </cell>
          <cell r="EB181">
            <v>3356</v>
          </cell>
          <cell r="EC181">
            <v>8682</v>
          </cell>
          <cell r="ED181">
            <v>16821</v>
          </cell>
          <cell r="EE181">
            <v>10974</v>
          </cell>
          <cell r="EF181">
            <v>11581</v>
          </cell>
          <cell r="EG181">
            <v>7482</v>
          </cell>
          <cell r="EH181">
            <v>4180</v>
          </cell>
          <cell r="EI181">
            <v>1180</v>
          </cell>
          <cell r="EJ181">
            <v>2124</v>
          </cell>
          <cell r="EK181">
            <v>5817</v>
          </cell>
          <cell r="EL181">
            <v>13254</v>
          </cell>
          <cell r="EM181">
            <v>3083</v>
          </cell>
          <cell r="EN181">
            <v>3353</v>
          </cell>
          <cell r="EO181">
            <v>6413</v>
          </cell>
          <cell r="EP181">
            <v>11736</v>
          </cell>
          <cell r="EQ181">
            <v>9527</v>
          </cell>
          <cell r="ER181">
            <v>20735</v>
          </cell>
          <cell r="ES181">
            <v>1242</v>
          </cell>
          <cell r="ET181">
            <v>6684</v>
          </cell>
          <cell r="EU181">
            <v>7930</v>
          </cell>
          <cell r="EV181">
            <v>2364</v>
          </cell>
          <cell r="EW181">
            <v>14048</v>
          </cell>
          <cell r="EX181">
            <v>15971</v>
          </cell>
          <cell r="EY181">
            <v>10149</v>
          </cell>
          <cell r="EZ181">
            <v>16904</v>
          </cell>
          <cell r="FA181">
            <v>15130</v>
          </cell>
          <cell r="FB181">
            <v>15188</v>
          </cell>
          <cell r="FC181">
            <v>2129</v>
          </cell>
          <cell r="FD181">
            <v>5893</v>
          </cell>
          <cell r="FE181">
            <v>27273</v>
          </cell>
          <cell r="FF181">
            <v>256544</v>
          </cell>
          <cell r="FG181">
            <v>22749</v>
          </cell>
          <cell r="FH181">
            <v>-1710</v>
          </cell>
          <cell r="FI181">
            <v>277283</v>
          </cell>
          <cell r="FJ181">
            <v>3.8</v>
          </cell>
          <cell r="FK181">
            <v>2</v>
          </cell>
          <cell r="FL181">
            <v>3.4</v>
          </cell>
          <cell r="FM181">
            <v>3</v>
          </cell>
          <cell r="FN181">
            <v>0.8</v>
          </cell>
          <cell r="FO181">
            <v>5.2</v>
          </cell>
          <cell r="FP181">
            <v>1</v>
          </cell>
          <cell r="FQ181">
            <v>1.4</v>
          </cell>
          <cell r="FR181">
            <v>11.8</v>
          </cell>
          <cell r="FS181">
            <v>3.1</v>
          </cell>
          <cell r="FT181">
            <v>2.4</v>
          </cell>
          <cell r="FU181">
            <v>3.9</v>
          </cell>
          <cell r="FV181">
            <v>0.3</v>
          </cell>
          <cell r="FW181">
            <v>0.9</v>
          </cell>
          <cell r="FX181">
            <v>-1.2</v>
          </cell>
          <cell r="FY181">
            <v>1</v>
          </cell>
          <cell r="FZ181">
            <v>-2.9</v>
          </cell>
          <cell r="GA181">
            <v>-2.1</v>
          </cell>
          <cell r="GB181">
            <v>-0.1</v>
          </cell>
          <cell r="GC181">
            <v>-2</v>
          </cell>
          <cell r="GD181">
            <v>5.0999999999999996</v>
          </cell>
          <cell r="GE181">
            <v>16</v>
          </cell>
          <cell r="GF181">
            <v>4.3</v>
          </cell>
          <cell r="GG181">
            <v>6.7</v>
          </cell>
          <cell r="GH181">
            <v>-3.1</v>
          </cell>
          <cell r="GI181">
            <v>2.2000000000000002</v>
          </cell>
          <cell r="GJ181">
            <v>2.6</v>
          </cell>
          <cell r="GK181">
            <v>0.5</v>
          </cell>
          <cell r="GL181">
            <v>12.9</v>
          </cell>
          <cell r="GM181">
            <v>8.1999999999999993</v>
          </cell>
          <cell r="GN181">
            <v>4.5999999999999996</v>
          </cell>
          <cell r="GO181">
            <v>4.5</v>
          </cell>
          <cell r="GP181">
            <v>2.5</v>
          </cell>
          <cell r="GQ181">
            <v>3</v>
          </cell>
          <cell r="GR181">
            <v>2.7</v>
          </cell>
          <cell r="GS181">
            <v>-0.9</v>
          </cell>
          <cell r="GT181">
            <v>6</v>
          </cell>
          <cell r="GU181">
            <v>1.1000000000000001</v>
          </cell>
          <cell r="GV181">
            <v>-2.5</v>
          </cell>
          <cell r="GW181">
            <v>-0.1</v>
          </cell>
          <cell r="GX181">
            <v>-0.6</v>
          </cell>
          <cell r="GY181">
            <v>4</v>
          </cell>
          <cell r="GZ181">
            <v>0.1</v>
          </cell>
          <cell r="HA181">
            <v>1.2</v>
          </cell>
          <cell r="HB181">
            <v>1.5</v>
          </cell>
          <cell r="HC181">
            <v>4.8</v>
          </cell>
          <cell r="HD181">
            <v>0.5</v>
          </cell>
          <cell r="HE181">
            <v>-0.7</v>
          </cell>
          <cell r="HF181">
            <v>-0.1</v>
          </cell>
          <cell r="HG181">
            <v>0.1</v>
          </cell>
          <cell r="HH181">
            <v>0.3</v>
          </cell>
          <cell r="HI181">
            <v>1.6</v>
          </cell>
          <cell r="HJ181">
            <v>1.5</v>
          </cell>
          <cell r="HK181">
            <v>0.7</v>
          </cell>
          <cell r="HL181">
            <v>7143</v>
          </cell>
          <cell r="HM181">
            <v>1246</v>
          </cell>
          <cell r="HN181">
            <v>8360</v>
          </cell>
          <cell r="HO181">
            <v>2469</v>
          </cell>
          <cell r="HP181">
            <v>3549</v>
          </cell>
          <cell r="HQ181">
            <v>1613</v>
          </cell>
          <cell r="HR181">
            <v>3793</v>
          </cell>
          <cell r="HS181">
            <v>10712</v>
          </cell>
          <cell r="HT181">
            <v>1802</v>
          </cell>
          <cell r="HU181">
            <v>12213</v>
          </cell>
          <cell r="HV181">
            <v>6131</v>
          </cell>
          <cell r="HW181">
            <v>5629</v>
          </cell>
          <cell r="HX181">
            <v>3534</v>
          </cell>
          <cell r="HY181">
            <v>4057</v>
          </cell>
          <cell r="HZ181">
            <v>6325</v>
          </cell>
          <cell r="IA181">
            <v>25027</v>
          </cell>
          <cell r="IB181">
            <v>4982</v>
          </cell>
          <cell r="IC181">
            <v>260</v>
          </cell>
          <cell r="ID181">
            <v>3834</v>
          </cell>
          <cell r="IE181">
            <v>8916</v>
          </cell>
          <cell r="IF181">
            <v>4402</v>
          </cell>
          <cell r="IG181">
            <v>2989</v>
          </cell>
          <cell r="IH181">
            <v>8786</v>
          </cell>
          <cell r="II181">
            <v>16276</v>
          </cell>
          <cell r="IJ181">
            <v>10508</v>
          </cell>
          <cell r="IK181">
            <v>11054</v>
          </cell>
          <cell r="IL181">
            <v>7345</v>
          </cell>
          <cell r="IM181">
            <v>3986</v>
          </cell>
          <cell r="IN181">
            <v>1126</v>
          </cell>
          <cell r="IO181">
            <v>2057</v>
          </cell>
          <cell r="IP181">
            <v>5630</v>
          </cell>
          <cell r="IQ181">
            <v>12758</v>
          </cell>
        </row>
        <row r="182">
          <cell r="B182">
            <v>7286</v>
          </cell>
          <cell r="C182">
            <v>1210</v>
          </cell>
          <cell r="D182">
            <v>8440</v>
          </cell>
          <cell r="E182">
            <v>2487</v>
          </cell>
          <cell r="F182">
            <v>3633</v>
          </cell>
          <cell r="G182">
            <v>1782</v>
          </cell>
          <cell r="H182">
            <v>3839</v>
          </cell>
          <cell r="I182">
            <v>10953</v>
          </cell>
          <cell r="J182">
            <v>1773</v>
          </cell>
          <cell r="K182">
            <v>12412</v>
          </cell>
          <cell r="L182">
            <v>6359</v>
          </cell>
          <cell r="M182">
            <v>5863</v>
          </cell>
          <cell r="N182">
            <v>3562</v>
          </cell>
          <cell r="O182">
            <v>4466</v>
          </cell>
          <cell r="P182">
            <v>6862</v>
          </cell>
          <cell r="Q182">
            <v>26338</v>
          </cell>
          <cell r="R182">
            <v>5082</v>
          </cell>
          <cell r="S182">
            <v>305</v>
          </cell>
          <cell r="T182">
            <v>3723</v>
          </cell>
          <cell r="U182">
            <v>9018</v>
          </cell>
          <cell r="V182">
            <v>5002</v>
          </cell>
          <cell r="W182">
            <v>3331</v>
          </cell>
          <cell r="X182">
            <v>9471</v>
          </cell>
          <cell r="Y182">
            <v>17822</v>
          </cell>
          <cell r="Z182">
            <v>11487</v>
          </cell>
          <cell r="AA182">
            <v>11787</v>
          </cell>
          <cell r="AB182">
            <v>7715</v>
          </cell>
          <cell r="AC182">
            <v>4273</v>
          </cell>
          <cell r="AD182">
            <v>1156</v>
          </cell>
          <cell r="AE182">
            <v>2254</v>
          </cell>
          <cell r="AF182">
            <v>6015</v>
          </cell>
          <cell r="AG182">
            <v>13633</v>
          </cell>
          <cell r="AH182">
            <v>3140</v>
          </cell>
          <cell r="AI182">
            <v>3351</v>
          </cell>
          <cell r="AJ182">
            <v>6454</v>
          </cell>
          <cell r="AK182">
            <v>11993</v>
          </cell>
          <cell r="AL182">
            <v>9633</v>
          </cell>
          <cell r="AM182">
            <v>21133</v>
          </cell>
          <cell r="AN182">
            <v>1248</v>
          </cell>
          <cell r="AO182">
            <v>6810</v>
          </cell>
          <cell r="AP182">
            <v>8056</v>
          </cell>
          <cell r="AQ182">
            <v>2435</v>
          </cell>
          <cell r="AR182">
            <v>14109</v>
          </cell>
          <cell r="AS182">
            <v>16160</v>
          </cell>
          <cell r="AT182">
            <v>10171</v>
          </cell>
          <cell r="AU182">
            <v>16280</v>
          </cell>
          <cell r="AV182">
            <v>15202</v>
          </cell>
          <cell r="AW182">
            <v>15503</v>
          </cell>
          <cell r="AX182">
            <v>2085</v>
          </cell>
          <cell r="AY182">
            <v>5959</v>
          </cell>
          <cell r="AZ182">
            <v>27359</v>
          </cell>
          <cell r="BA182">
            <v>258715</v>
          </cell>
          <cell r="BB182">
            <v>23230</v>
          </cell>
          <cell r="BC182">
            <v>-438</v>
          </cell>
          <cell r="BD182">
            <v>281232</v>
          </cell>
          <cell r="BE182">
            <v>-7</v>
          </cell>
          <cell r="BF182">
            <v>-2.6</v>
          </cell>
          <cell r="BG182">
            <v>-6.1</v>
          </cell>
          <cell r="BH182">
            <v>-0.5</v>
          </cell>
          <cell r="BI182">
            <v>0.2</v>
          </cell>
          <cell r="BJ182">
            <v>7.1</v>
          </cell>
          <cell r="BK182">
            <v>-0.1</v>
          </cell>
          <cell r="BL182">
            <v>0.3</v>
          </cell>
          <cell r="BM182">
            <v>1.5</v>
          </cell>
          <cell r="BN182">
            <v>0.4</v>
          </cell>
          <cell r="BO182">
            <v>1.3</v>
          </cell>
          <cell r="BP182">
            <v>2.7</v>
          </cell>
          <cell r="BQ182">
            <v>-1.2</v>
          </cell>
          <cell r="BR182">
            <v>0.8</v>
          </cell>
          <cell r="BS182">
            <v>1.1000000000000001</v>
          </cell>
          <cell r="BT182">
            <v>0.8</v>
          </cell>
          <cell r="BU182">
            <v>0.6</v>
          </cell>
          <cell r="BV182">
            <v>0.2</v>
          </cell>
          <cell r="BW182">
            <v>0.7</v>
          </cell>
          <cell r="BX182">
            <v>0.6</v>
          </cell>
          <cell r="BY182">
            <v>4.7</v>
          </cell>
          <cell r="BZ182">
            <v>4.7</v>
          </cell>
          <cell r="CA182">
            <v>7.2</v>
          </cell>
          <cell r="CB182">
            <v>6</v>
          </cell>
          <cell r="CC182">
            <v>2.1</v>
          </cell>
          <cell r="CD182">
            <v>1.8</v>
          </cell>
          <cell r="CE182">
            <v>2.6</v>
          </cell>
          <cell r="CF182">
            <v>2.6</v>
          </cell>
          <cell r="CG182">
            <v>3.9</v>
          </cell>
          <cell r="CH182">
            <v>6.2</v>
          </cell>
          <cell r="CI182">
            <v>3.9</v>
          </cell>
          <cell r="CJ182">
            <v>3.8</v>
          </cell>
          <cell r="CK182">
            <v>2</v>
          </cell>
          <cell r="CL182">
            <v>1</v>
          </cell>
          <cell r="CM182">
            <v>1.3</v>
          </cell>
          <cell r="CN182">
            <v>0.8</v>
          </cell>
          <cell r="CO182">
            <v>2</v>
          </cell>
          <cell r="CP182">
            <v>1.2</v>
          </cell>
          <cell r="CQ182">
            <v>0.6</v>
          </cell>
          <cell r="CR182">
            <v>1.9</v>
          </cell>
          <cell r="CS182">
            <v>1.6</v>
          </cell>
          <cell r="CT182">
            <v>2.7</v>
          </cell>
          <cell r="CU182">
            <v>0</v>
          </cell>
          <cell r="CV182">
            <v>0.8</v>
          </cell>
          <cell r="CW182">
            <v>0.5</v>
          </cell>
          <cell r="CX182">
            <v>-1.3</v>
          </cell>
          <cell r="CY182">
            <v>0.5</v>
          </cell>
          <cell r="CZ182">
            <v>1.2</v>
          </cell>
          <cell r="DA182">
            <v>-1</v>
          </cell>
          <cell r="DB182">
            <v>1</v>
          </cell>
          <cell r="DC182">
            <v>0.3</v>
          </cell>
          <cell r="DD182">
            <v>1</v>
          </cell>
          <cell r="DE182">
            <v>2.1</v>
          </cell>
          <cell r="DF182">
            <v>1.1000000000000001</v>
          </cell>
          <cell r="DG182">
            <v>7249</v>
          </cell>
          <cell r="DH182">
            <v>1269</v>
          </cell>
          <cell r="DI182">
            <v>8492</v>
          </cell>
          <cell r="DJ182">
            <v>2546</v>
          </cell>
          <cell r="DK182">
            <v>3606</v>
          </cell>
          <cell r="DL182">
            <v>1670</v>
          </cell>
          <cell r="DM182">
            <v>3826</v>
          </cell>
          <cell r="DN182">
            <v>10893</v>
          </cell>
          <cell r="DO182">
            <v>1668</v>
          </cell>
          <cell r="DP182">
            <v>12258</v>
          </cell>
          <cell r="DQ182">
            <v>6364</v>
          </cell>
          <cell r="DR182">
            <v>5946</v>
          </cell>
          <cell r="DS182">
            <v>3463</v>
          </cell>
          <cell r="DT182">
            <v>4620</v>
          </cell>
          <cell r="DU182">
            <v>6858</v>
          </cell>
          <cell r="DV182">
            <v>26401</v>
          </cell>
          <cell r="DW182">
            <v>5104</v>
          </cell>
          <cell r="DX182">
            <v>300</v>
          </cell>
          <cell r="DY182">
            <v>3607</v>
          </cell>
          <cell r="DZ182">
            <v>8933</v>
          </cell>
          <cell r="EA182">
            <v>4981</v>
          </cell>
          <cell r="EB182">
            <v>3231</v>
          </cell>
          <cell r="EC182">
            <v>9828</v>
          </cell>
          <cell r="ED182">
            <v>18091</v>
          </cell>
          <cell r="EE182">
            <v>11579</v>
          </cell>
          <cell r="EF182">
            <v>11807</v>
          </cell>
          <cell r="EG182">
            <v>7806</v>
          </cell>
          <cell r="EH182">
            <v>4197</v>
          </cell>
          <cell r="EI182">
            <v>1115</v>
          </cell>
          <cell r="EJ182">
            <v>2266</v>
          </cell>
          <cell r="EK182">
            <v>5942</v>
          </cell>
          <cell r="EL182">
            <v>13449</v>
          </cell>
          <cell r="EM182">
            <v>3130</v>
          </cell>
          <cell r="EN182">
            <v>3315</v>
          </cell>
          <cell r="EO182">
            <v>6425</v>
          </cell>
          <cell r="EP182">
            <v>12193</v>
          </cell>
          <cell r="EQ182">
            <v>9631</v>
          </cell>
          <cell r="ER182">
            <v>21376</v>
          </cell>
          <cell r="ES182">
            <v>1214</v>
          </cell>
          <cell r="ET182">
            <v>6719</v>
          </cell>
          <cell r="EU182">
            <v>7924</v>
          </cell>
          <cell r="EV182">
            <v>2440</v>
          </cell>
          <cell r="EW182">
            <v>14183</v>
          </cell>
          <cell r="EX182">
            <v>16232</v>
          </cell>
          <cell r="EY182">
            <v>10114</v>
          </cell>
          <cell r="EZ182">
            <v>16322</v>
          </cell>
          <cell r="FA182">
            <v>15200</v>
          </cell>
          <cell r="FB182">
            <v>15480</v>
          </cell>
          <cell r="FC182">
            <v>2039</v>
          </cell>
          <cell r="FD182">
            <v>5974</v>
          </cell>
          <cell r="FE182">
            <v>27359</v>
          </cell>
          <cell r="FF182">
            <v>259086</v>
          </cell>
          <cell r="FG182">
            <v>23108</v>
          </cell>
          <cell r="FH182">
            <v>288</v>
          </cell>
          <cell r="FI182">
            <v>282203</v>
          </cell>
          <cell r="FJ182">
            <v>-10.9</v>
          </cell>
          <cell r="FK182">
            <v>1.7</v>
          </cell>
          <cell r="FL182">
            <v>-8.4</v>
          </cell>
          <cell r="FM182">
            <v>1.1000000000000001</v>
          </cell>
          <cell r="FN182">
            <v>-1</v>
          </cell>
          <cell r="FO182">
            <v>-1.5</v>
          </cell>
          <cell r="FP182">
            <v>-1.4</v>
          </cell>
          <cell r="FQ182">
            <v>-1</v>
          </cell>
          <cell r="FR182">
            <v>-10.5</v>
          </cell>
          <cell r="FS182">
            <v>-2.5</v>
          </cell>
          <cell r="FT182">
            <v>1.2</v>
          </cell>
          <cell r="FU182">
            <v>3.9</v>
          </cell>
          <cell r="FV182">
            <v>-5.6</v>
          </cell>
          <cell r="FW182">
            <v>5.4</v>
          </cell>
          <cell r="FX182">
            <v>1.9</v>
          </cell>
          <cell r="FY182">
            <v>0.9</v>
          </cell>
          <cell r="FZ182">
            <v>2.6</v>
          </cell>
          <cell r="GA182">
            <v>-1.1000000000000001</v>
          </cell>
          <cell r="GB182">
            <v>-3.3</v>
          </cell>
          <cell r="GC182">
            <v>0.3</v>
          </cell>
          <cell r="GD182">
            <v>4.4000000000000004</v>
          </cell>
          <cell r="GE182">
            <v>-3.7</v>
          </cell>
          <cell r="GF182">
            <v>13.2</v>
          </cell>
          <cell r="GG182">
            <v>7.6</v>
          </cell>
          <cell r="GH182">
            <v>5.5</v>
          </cell>
          <cell r="GI182">
            <v>2</v>
          </cell>
          <cell r="GJ182">
            <v>4.3</v>
          </cell>
          <cell r="GK182">
            <v>0.4</v>
          </cell>
          <cell r="GL182">
            <v>-5.5</v>
          </cell>
          <cell r="GM182">
            <v>6.7</v>
          </cell>
          <cell r="GN182">
            <v>2.2000000000000002</v>
          </cell>
          <cell r="GO182">
            <v>1.5</v>
          </cell>
          <cell r="GP182">
            <v>1.5</v>
          </cell>
          <cell r="GQ182">
            <v>-1.1000000000000001</v>
          </cell>
          <cell r="GR182">
            <v>0.2</v>
          </cell>
          <cell r="GS182">
            <v>3.9</v>
          </cell>
          <cell r="GT182">
            <v>1.1000000000000001</v>
          </cell>
          <cell r="GU182">
            <v>3.1</v>
          </cell>
          <cell r="GV182">
            <v>-2.2999999999999998</v>
          </cell>
          <cell r="GW182">
            <v>0.5</v>
          </cell>
          <cell r="GX182">
            <v>-0.1</v>
          </cell>
          <cell r="GY182">
            <v>3.2</v>
          </cell>
          <cell r="GZ182">
            <v>1</v>
          </cell>
          <cell r="HA182">
            <v>1.6</v>
          </cell>
          <cell r="HB182">
            <v>-0.3</v>
          </cell>
          <cell r="HC182">
            <v>-3.4</v>
          </cell>
          <cell r="HD182">
            <v>0.5</v>
          </cell>
          <cell r="HE182">
            <v>1.9</v>
          </cell>
          <cell r="HF182">
            <v>-4.3</v>
          </cell>
          <cell r="HG182">
            <v>1.4</v>
          </cell>
          <cell r="HH182">
            <v>0.3</v>
          </cell>
          <cell r="HI182">
            <v>1</v>
          </cell>
          <cell r="HJ182">
            <v>1.6</v>
          </cell>
          <cell r="HK182">
            <v>1.8</v>
          </cell>
          <cell r="HL182">
            <v>5928</v>
          </cell>
          <cell r="HM182">
            <v>1263</v>
          </cell>
          <cell r="HN182">
            <v>7268</v>
          </cell>
          <cell r="HO182">
            <v>2553</v>
          </cell>
          <cell r="HP182">
            <v>3559</v>
          </cell>
          <cell r="HQ182">
            <v>1675</v>
          </cell>
          <cell r="HR182">
            <v>3833</v>
          </cell>
          <cell r="HS182">
            <v>10832</v>
          </cell>
          <cell r="HT182">
            <v>1709</v>
          </cell>
          <cell r="HU182">
            <v>12238</v>
          </cell>
          <cell r="HV182">
            <v>6145</v>
          </cell>
          <cell r="HW182">
            <v>5911</v>
          </cell>
          <cell r="HX182">
            <v>3484</v>
          </cell>
          <cell r="HY182">
            <v>4737</v>
          </cell>
          <cell r="HZ182">
            <v>6767</v>
          </cell>
          <cell r="IA182">
            <v>26263</v>
          </cell>
          <cell r="IB182">
            <v>5069</v>
          </cell>
          <cell r="IC182">
            <v>319</v>
          </cell>
          <cell r="ID182">
            <v>3481</v>
          </cell>
          <cell r="IE182">
            <v>8841</v>
          </cell>
          <cell r="IF182">
            <v>5000</v>
          </cell>
          <cell r="IG182">
            <v>3206</v>
          </cell>
          <cell r="IH182">
            <v>9159</v>
          </cell>
          <cell r="II182">
            <v>17514</v>
          </cell>
          <cell r="IJ182">
            <v>11627</v>
          </cell>
          <cell r="IK182">
            <v>11429</v>
          </cell>
          <cell r="IL182">
            <v>7712</v>
          </cell>
          <cell r="IM182">
            <v>4079</v>
          </cell>
          <cell r="IN182">
            <v>1089</v>
          </cell>
          <cell r="IO182">
            <v>2253</v>
          </cell>
          <cell r="IP182">
            <v>5793</v>
          </cell>
          <cell r="IQ182">
            <v>13144</v>
          </cell>
        </row>
        <row r="183">
          <cell r="B183">
            <v>6559</v>
          </cell>
          <cell r="C183">
            <v>1161</v>
          </cell>
          <cell r="D183">
            <v>7694</v>
          </cell>
          <cell r="E183">
            <v>2502</v>
          </cell>
          <cell r="F183">
            <v>3563</v>
          </cell>
          <cell r="G183">
            <v>1958</v>
          </cell>
          <cell r="H183">
            <v>3830</v>
          </cell>
          <cell r="I183">
            <v>10932</v>
          </cell>
          <cell r="J183">
            <v>1863</v>
          </cell>
          <cell r="K183">
            <v>12454</v>
          </cell>
          <cell r="L183">
            <v>6417</v>
          </cell>
          <cell r="M183">
            <v>6047</v>
          </cell>
          <cell r="N183">
            <v>3553</v>
          </cell>
          <cell r="O183">
            <v>4525</v>
          </cell>
          <cell r="P183">
            <v>6878</v>
          </cell>
          <cell r="Q183">
            <v>26581</v>
          </cell>
          <cell r="R183">
            <v>5108</v>
          </cell>
          <cell r="S183">
            <v>308</v>
          </cell>
          <cell r="T183">
            <v>3715</v>
          </cell>
          <cell r="U183">
            <v>9047</v>
          </cell>
          <cell r="V183">
            <v>5213</v>
          </cell>
          <cell r="W183">
            <v>3447</v>
          </cell>
          <cell r="X183">
            <v>9981</v>
          </cell>
          <cell r="Y183">
            <v>18661</v>
          </cell>
          <cell r="Z183">
            <v>11645</v>
          </cell>
          <cell r="AA183">
            <v>11911</v>
          </cell>
          <cell r="AB183">
            <v>7853</v>
          </cell>
          <cell r="AC183">
            <v>4387</v>
          </cell>
          <cell r="AD183">
            <v>1215</v>
          </cell>
          <cell r="AE183">
            <v>2281</v>
          </cell>
          <cell r="AF183">
            <v>6154</v>
          </cell>
          <cell r="AG183">
            <v>13989</v>
          </cell>
          <cell r="AH183">
            <v>3213</v>
          </cell>
          <cell r="AI183">
            <v>3360</v>
          </cell>
          <cell r="AJ183">
            <v>6573</v>
          </cell>
          <cell r="AK183">
            <v>12085</v>
          </cell>
          <cell r="AL183">
            <v>9603</v>
          </cell>
          <cell r="AM183">
            <v>21232</v>
          </cell>
          <cell r="AN183">
            <v>1282</v>
          </cell>
          <cell r="AO183">
            <v>7002</v>
          </cell>
          <cell r="AP183">
            <v>8281</v>
          </cell>
          <cell r="AQ183">
            <v>2458</v>
          </cell>
          <cell r="AR183">
            <v>13991</v>
          </cell>
          <cell r="AS183">
            <v>16107</v>
          </cell>
          <cell r="AT183">
            <v>10148</v>
          </cell>
          <cell r="AU183">
            <v>16111</v>
          </cell>
          <cell r="AV183">
            <v>15273</v>
          </cell>
          <cell r="AW183">
            <v>15641</v>
          </cell>
          <cell r="AX183">
            <v>2097</v>
          </cell>
          <cell r="AY183">
            <v>6021</v>
          </cell>
          <cell r="AZ183">
            <v>27455</v>
          </cell>
          <cell r="BA183">
            <v>260332</v>
          </cell>
          <cell r="BB183">
            <v>23507</v>
          </cell>
          <cell r="BC183">
            <v>-50</v>
          </cell>
          <cell r="BD183">
            <v>283528</v>
          </cell>
          <cell r="BE183">
            <v>-10</v>
          </cell>
          <cell r="BF183">
            <v>-4.0999999999999996</v>
          </cell>
          <cell r="BG183">
            <v>-8.8000000000000007</v>
          </cell>
          <cell r="BH183">
            <v>0.6</v>
          </cell>
          <cell r="BI183">
            <v>-1.9</v>
          </cell>
          <cell r="BJ183">
            <v>9.9</v>
          </cell>
          <cell r="BK183">
            <v>-0.2</v>
          </cell>
          <cell r="BL183">
            <v>-0.2</v>
          </cell>
          <cell r="BM183">
            <v>5.0999999999999996</v>
          </cell>
          <cell r="BN183">
            <v>0.3</v>
          </cell>
          <cell r="BO183">
            <v>0.9</v>
          </cell>
          <cell r="BP183">
            <v>3.1</v>
          </cell>
          <cell r="BQ183">
            <v>-0.3</v>
          </cell>
          <cell r="BR183">
            <v>1.3</v>
          </cell>
          <cell r="BS183">
            <v>0.2</v>
          </cell>
          <cell r="BT183">
            <v>0.9</v>
          </cell>
          <cell r="BU183">
            <v>0.5</v>
          </cell>
          <cell r="BV183">
            <v>1</v>
          </cell>
          <cell r="BW183">
            <v>-0.2</v>
          </cell>
          <cell r="BX183">
            <v>0.3</v>
          </cell>
          <cell r="BY183">
            <v>4.2</v>
          </cell>
          <cell r="BZ183">
            <v>3.5</v>
          </cell>
          <cell r="CA183">
            <v>5.4</v>
          </cell>
          <cell r="CB183">
            <v>4.7</v>
          </cell>
          <cell r="CC183">
            <v>1.4</v>
          </cell>
          <cell r="CD183">
            <v>1.1000000000000001</v>
          </cell>
          <cell r="CE183">
            <v>1.8</v>
          </cell>
          <cell r="CF183">
            <v>2.6</v>
          </cell>
          <cell r="CG183">
            <v>5.2</v>
          </cell>
          <cell r="CH183">
            <v>1.2</v>
          </cell>
          <cell r="CI183">
            <v>2.2999999999999998</v>
          </cell>
          <cell r="CJ183">
            <v>2.6</v>
          </cell>
          <cell r="CK183">
            <v>2.2999999999999998</v>
          </cell>
          <cell r="CL183">
            <v>0.3</v>
          </cell>
          <cell r="CM183">
            <v>1.8</v>
          </cell>
          <cell r="CN183">
            <v>0.8</v>
          </cell>
          <cell r="CO183">
            <v>-0.3</v>
          </cell>
          <cell r="CP183">
            <v>0.5</v>
          </cell>
          <cell r="CQ183">
            <v>2.8</v>
          </cell>
          <cell r="CR183">
            <v>2.8</v>
          </cell>
          <cell r="CS183">
            <v>2.8</v>
          </cell>
          <cell r="CT183">
            <v>1</v>
          </cell>
          <cell r="CU183">
            <v>-0.8</v>
          </cell>
          <cell r="CV183">
            <v>-0.3</v>
          </cell>
          <cell r="CW183">
            <v>-0.2</v>
          </cell>
          <cell r="CX183">
            <v>-1</v>
          </cell>
          <cell r="CY183">
            <v>0.5</v>
          </cell>
          <cell r="CZ183">
            <v>0.9</v>
          </cell>
          <cell r="DA183">
            <v>0.6</v>
          </cell>
          <cell r="DB183">
            <v>1</v>
          </cell>
          <cell r="DC183">
            <v>0.3</v>
          </cell>
          <cell r="DD183">
            <v>0.6</v>
          </cell>
          <cell r="DE183">
            <v>1.2</v>
          </cell>
          <cell r="DF183">
            <v>0.8</v>
          </cell>
          <cell r="DG183">
            <v>6452</v>
          </cell>
          <cell r="DH183">
            <v>1092</v>
          </cell>
          <cell r="DI183">
            <v>7503</v>
          </cell>
          <cell r="DJ183">
            <v>2424</v>
          </cell>
          <cell r="DK183">
            <v>3594</v>
          </cell>
          <cell r="DL183">
            <v>2048</v>
          </cell>
          <cell r="DM183">
            <v>3831</v>
          </cell>
          <cell r="DN183">
            <v>10958</v>
          </cell>
          <cell r="DO183">
            <v>1847</v>
          </cell>
          <cell r="DP183">
            <v>12463</v>
          </cell>
          <cell r="DQ183">
            <v>6446</v>
          </cell>
          <cell r="DR183">
            <v>6010</v>
          </cell>
          <cell r="DS183">
            <v>3533</v>
          </cell>
          <cell r="DT183">
            <v>4398</v>
          </cell>
          <cell r="DU183">
            <v>6905</v>
          </cell>
          <cell r="DV183">
            <v>26430</v>
          </cell>
          <cell r="DW183">
            <v>5097</v>
          </cell>
          <cell r="DX183">
            <v>312</v>
          </cell>
          <cell r="DY183">
            <v>3795</v>
          </cell>
          <cell r="DZ183">
            <v>9104</v>
          </cell>
          <cell r="EA183">
            <v>5239</v>
          </cell>
          <cell r="EB183">
            <v>3446</v>
          </cell>
          <cell r="EC183">
            <v>9558</v>
          </cell>
          <cell r="ED183">
            <v>18225</v>
          </cell>
          <cell r="EE183">
            <v>11752</v>
          </cell>
          <cell r="EF183">
            <v>11919</v>
          </cell>
          <cell r="EG183">
            <v>7845</v>
          </cell>
          <cell r="EH183">
            <v>4418</v>
          </cell>
          <cell r="EI183">
            <v>1216</v>
          </cell>
          <cell r="EJ183">
            <v>2329</v>
          </cell>
          <cell r="EK183">
            <v>6294</v>
          </cell>
          <cell r="EL183">
            <v>14206</v>
          </cell>
          <cell r="EM183">
            <v>3223</v>
          </cell>
          <cell r="EN183">
            <v>3399</v>
          </cell>
          <cell r="EO183">
            <v>6602</v>
          </cell>
          <cell r="EP183">
            <v>12013</v>
          </cell>
          <cell r="EQ183">
            <v>9703</v>
          </cell>
          <cell r="ER183">
            <v>21222</v>
          </cell>
          <cell r="ES183">
            <v>1288</v>
          </cell>
          <cell r="ET183">
            <v>7004</v>
          </cell>
          <cell r="EU183">
            <v>8291</v>
          </cell>
          <cell r="EV183">
            <v>2499</v>
          </cell>
          <cell r="EW183">
            <v>14177</v>
          </cell>
          <cell r="EX183">
            <v>16336</v>
          </cell>
          <cell r="EY183">
            <v>10278</v>
          </cell>
          <cell r="EZ183">
            <v>15703</v>
          </cell>
          <cell r="FA183">
            <v>15273</v>
          </cell>
          <cell r="FB183">
            <v>15791</v>
          </cell>
          <cell r="FC183">
            <v>2095</v>
          </cell>
          <cell r="FD183">
            <v>5997</v>
          </cell>
          <cell r="FE183">
            <v>27460</v>
          </cell>
          <cell r="FF183">
            <v>259926</v>
          </cell>
          <cell r="FG183">
            <v>23668</v>
          </cell>
          <cell r="FH183">
            <v>-164</v>
          </cell>
          <cell r="FI183">
            <v>283180</v>
          </cell>
          <cell r="FJ183">
            <v>-11</v>
          </cell>
          <cell r="FK183">
            <v>-13.9</v>
          </cell>
          <cell r="FL183">
            <v>-11.6</v>
          </cell>
          <cell r="FM183">
            <v>-4.8</v>
          </cell>
          <cell r="FN183">
            <v>-0.3</v>
          </cell>
          <cell r="FO183">
            <v>22.6</v>
          </cell>
          <cell r="FP183">
            <v>0.1</v>
          </cell>
          <cell r="FQ183">
            <v>0.6</v>
          </cell>
          <cell r="FR183">
            <v>10.7</v>
          </cell>
          <cell r="FS183">
            <v>1.7</v>
          </cell>
          <cell r="FT183">
            <v>1.3</v>
          </cell>
          <cell r="FU183">
            <v>1.1000000000000001</v>
          </cell>
          <cell r="FV183">
            <v>2</v>
          </cell>
          <cell r="FW183">
            <v>-4.8</v>
          </cell>
          <cell r="FX183">
            <v>0.7</v>
          </cell>
          <cell r="FY183">
            <v>0.1</v>
          </cell>
          <cell r="FZ183">
            <v>-0.1</v>
          </cell>
          <cell r="GA183">
            <v>3.8</v>
          </cell>
          <cell r="GB183">
            <v>5.2</v>
          </cell>
          <cell r="GC183">
            <v>1.9</v>
          </cell>
          <cell r="GD183">
            <v>5.2</v>
          </cell>
          <cell r="GE183">
            <v>6.7</v>
          </cell>
          <cell r="GF183">
            <v>-2.7</v>
          </cell>
          <cell r="GG183">
            <v>0.7</v>
          </cell>
          <cell r="GH183">
            <v>1.5</v>
          </cell>
          <cell r="GI183">
            <v>0.9</v>
          </cell>
          <cell r="GJ183">
            <v>0.5</v>
          </cell>
          <cell r="GK183">
            <v>5.3</v>
          </cell>
          <cell r="GL183">
            <v>9.1</v>
          </cell>
          <cell r="GM183">
            <v>2.8</v>
          </cell>
          <cell r="GN183">
            <v>5.9</v>
          </cell>
          <cell r="GO183">
            <v>5.6</v>
          </cell>
          <cell r="GP183">
            <v>3</v>
          </cell>
          <cell r="GQ183">
            <v>2.5</v>
          </cell>
          <cell r="GR183">
            <v>2.8</v>
          </cell>
          <cell r="GS183">
            <v>-1.5</v>
          </cell>
          <cell r="GT183">
            <v>0.7</v>
          </cell>
          <cell r="GU183">
            <v>-0.7</v>
          </cell>
          <cell r="GV183">
            <v>6.1</v>
          </cell>
          <cell r="GW183">
            <v>4.2</v>
          </cell>
          <cell r="GX183">
            <v>4.5999999999999996</v>
          </cell>
          <cell r="GY183">
            <v>2.4</v>
          </cell>
          <cell r="GZ183">
            <v>0</v>
          </cell>
          <cell r="HA183">
            <v>0.6</v>
          </cell>
          <cell r="HB183">
            <v>1.6</v>
          </cell>
          <cell r="HC183">
            <v>-3.8</v>
          </cell>
          <cell r="HD183">
            <v>0.5</v>
          </cell>
          <cell r="HE183">
            <v>2</v>
          </cell>
          <cell r="HF183">
            <v>2.8</v>
          </cell>
          <cell r="HG183">
            <v>0.4</v>
          </cell>
          <cell r="HH183">
            <v>0.4</v>
          </cell>
          <cell r="HI183">
            <v>0.3</v>
          </cell>
          <cell r="HJ183">
            <v>2.4</v>
          </cell>
          <cell r="HK183">
            <v>0.3</v>
          </cell>
          <cell r="HL183">
            <v>5145</v>
          </cell>
          <cell r="HM183">
            <v>1096</v>
          </cell>
          <cell r="HN183">
            <v>6293</v>
          </cell>
          <cell r="HO183">
            <v>2501</v>
          </cell>
          <cell r="HP183">
            <v>3809</v>
          </cell>
          <cell r="HQ183">
            <v>2112</v>
          </cell>
          <cell r="HR183">
            <v>3854</v>
          </cell>
          <cell r="HS183">
            <v>11408</v>
          </cell>
          <cell r="HT183">
            <v>1825</v>
          </cell>
          <cell r="HU183">
            <v>12900</v>
          </cell>
          <cell r="HV183">
            <v>6323</v>
          </cell>
          <cell r="HW183">
            <v>6152</v>
          </cell>
          <cell r="HX183">
            <v>3578</v>
          </cell>
          <cell r="HY183">
            <v>4574</v>
          </cell>
          <cell r="HZ183">
            <v>7177</v>
          </cell>
          <cell r="IA183">
            <v>26908</v>
          </cell>
          <cell r="IB183">
            <v>5251</v>
          </cell>
          <cell r="IC183">
            <v>356</v>
          </cell>
          <cell r="ID183">
            <v>3768</v>
          </cell>
          <cell r="IE183">
            <v>9312</v>
          </cell>
          <cell r="IF183">
            <v>5464</v>
          </cell>
          <cell r="IG183">
            <v>3216</v>
          </cell>
          <cell r="IH183">
            <v>10080</v>
          </cell>
          <cell r="II183">
            <v>18838</v>
          </cell>
          <cell r="IJ183">
            <v>11892</v>
          </cell>
          <cell r="IK183">
            <v>11656</v>
          </cell>
          <cell r="IL183">
            <v>7823</v>
          </cell>
          <cell r="IM183">
            <v>4466</v>
          </cell>
          <cell r="IN183">
            <v>1276</v>
          </cell>
          <cell r="IO183">
            <v>2393</v>
          </cell>
          <cell r="IP183">
            <v>6331</v>
          </cell>
          <cell r="IQ183">
            <v>14428</v>
          </cell>
        </row>
        <row r="184">
          <cell r="B184">
            <v>5825</v>
          </cell>
          <cell r="C184">
            <v>1165</v>
          </cell>
          <cell r="D184">
            <v>7003</v>
          </cell>
          <cell r="E184">
            <v>2528</v>
          </cell>
          <cell r="F184">
            <v>3425</v>
          </cell>
          <cell r="G184">
            <v>2135</v>
          </cell>
          <cell r="H184">
            <v>3887</v>
          </cell>
          <cell r="I184">
            <v>10870</v>
          </cell>
          <cell r="J184">
            <v>1924</v>
          </cell>
          <cell r="K184">
            <v>12431</v>
          </cell>
          <cell r="L184">
            <v>6390</v>
          </cell>
          <cell r="M184">
            <v>6151</v>
          </cell>
          <cell r="N184">
            <v>3633</v>
          </cell>
          <cell r="O184">
            <v>4666</v>
          </cell>
          <cell r="P184">
            <v>6883</v>
          </cell>
          <cell r="Q184">
            <v>26919</v>
          </cell>
          <cell r="R184">
            <v>5091</v>
          </cell>
          <cell r="S184">
            <v>310</v>
          </cell>
          <cell r="T184">
            <v>3680</v>
          </cell>
          <cell r="U184">
            <v>9006</v>
          </cell>
          <cell r="V184">
            <v>5336</v>
          </cell>
          <cell r="W184">
            <v>3557</v>
          </cell>
          <cell r="X184">
            <v>10236</v>
          </cell>
          <cell r="Y184">
            <v>19163</v>
          </cell>
          <cell r="Z184">
            <v>11687</v>
          </cell>
          <cell r="AA184">
            <v>11964</v>
          </cell>
          <cell r="AB184">
            <v>7820</v>
          </cell>
          <cell r="AC184">
            <v>4442</v>
          </cell>
          <cell r="AD184">
            <v>1265</v>
          </cell>
          <cell r="AE184">
            <v>2205</v>
          </cell>
          <cell r="AF184">
            <v>6079</v>
          </cell>
          <cell r="AG184">
            <v>13972</v>
          </cell>
          <cell r="AH184">
            <v>3260</v>
          </cell>
          <cell r="AI184">
            <v>3365</v>
          </cell>
          <cell r="AJ184">
            <v>6693</v>
          </cell>
          <cell r="AK184">
            <v>12136</v>
          </cell>
          <cell r="AL184">
            <v>9559</v>
          </cell>
          <cell r="AM184">
            <v>21269</v>
          </cell>
          <cell r="AN184">
            <v>1326</v>
          </cell>
          <cell r="AO184">
            <v>7173</v>
          </cell>
          <cell r="AP184">
            <v>8501</v>
          </cell>
          <cell r="AQ184">
            <v>2460</v>
          </cell>
          <cell r="AR184">
            <v>13887</v>
          </cell>
          <cell r="AS184">
            <v>16024</v>
          </cell>
          <cell r="AT184">
            <v>10085</v>
          </cell>
          <cell r="AU184">
            <v>16226</v>
          </cell>
          <cell r="AV184">
            <v>15345</v>
          </cell>
          <cell r="AW184">
            <v>15753</v>
          </cell>
          <cell r="AX184">
            <v>2148</v>
          </cell>
          <cell r="AY184">
            <v>6106</v>
          </cell>
          <cell r="AZ184">
            <v>27564</v>
          </cell>
          <cell r="BA184">
            <v>261139</v>
          </cell>
          <cell r="BB184">
            <v>23586</v>
          </cell>
          <cell r="BC184">
            <v>155</v>
          </cell>
          <cell r="BD184">
            <v>284617</v>
          </cell>
          <cell r="BE184">
            <v>-11.2</v>
          </cell>
          <cell r="BF184">
            <v>0.4</v>
          </cell>
          <cell r="BG184">
            <v>-9</v>
          </cell>
          <cell r="BH184">
            <v>1</v>
          </cell>
          <cell r="BI184">
            <v>-3.9</v>
          </cell>
          <cell r="BJ184">
            <v>9</v>
          </cell>
          <cell r="BK184">
            <v>1.5</v>
          </cell>
          <cell r="BL184">
            <v>-0.6</v>
          </cell>
          <cell r="BM184">
            <v>3.3</v>
          </cell>
          <cell r="BN184">
            <v>-0.2</v>
          </cell>
          <cell r="BO184">
            <v>-0.4</v>
          </cell>
          <cell r="BP184">
            <v>1.7</v>
          </cell>
          <cell r="BQ184">
            <v>2.2999999999999998</v>
          </cell>
          <cell r="BR184">
            <v>3.1</v>
          </cell>
          <cell r="BS184">
            <v>0.1</v>
          </cell>
          <cell r="BT184">
            <v>1.3</v>
          </cell>
          <cell r="BU184">
            <v>-0.3</v>
          </cell>
          <cell r="BV184">
            <v>0.5</v>
          </cell>
          <cell r="BW184">
            <v>-0.9</v>
          </cell>
          <cell r="BX184">
            <v>-0.5</v>
          </cell>
          <cell r="BY184">
            <v>2.4</v>
          </cell>
          <cell r="BZ184">
            <v>3.2</v>
          </cell>
          <cell r="CA184">
            <v>2.6</v>
          </cell>
          <cell r="CB184">
            <v>2.7</v>
          </cell>
          <cell r="CC184">
            <v>0.4</v>
          </cell>
          <cell r="CD184">
            <v>0.4</v>
          </cell>
          <cell r="CE184">
            <v>-0.4</v>
          </cell>
          <cell r="CF184">
            <v>1.3</v>
          </cell>
          <cell r="CG184">
            <v>4.0999999999999996</v>
          </cell>
          <cell r="CH184">
            <v>-3.3</v>
          </cell>
          <cell r="CI184">
            <v>-1.2</v>
          </cell>
          <cell r="CJ184">
            <v>-0.1</v>
          </cell>
          <cell r="CK184">
            <v>1.5</v>
          </cell>
          <cell r="CL184">
            <v>0.1</v>
          </cell>
          <cell r="CM184">
            <v>1.8</v>
          </cell>
          <cell r="CN184">
            <v>0.4</v>
          </cell>
          <cell r="CO184">
            <v>-0.5</v>
          </cell>
          <cell r="CP184">
            <v>0.2</v>
          </cell>
          <cell r="CQ184">
            <v>3.4</v>
          </cell>
          <cell r="CR184">
            <v>2.5</v>
          </cell>
          <cell r="CS184">
            <v>2.7</v>
          </cell>
          <cell r="CT184">
            <v>0.1</v>
          </cell>
          <cell r="CU184">
            <v>-0.7</v>
          </cell>
          <cell r="CV184">
            <v>-0.5</v>
          </cell>
          <cell r="CW184">
            <v>-0.6</v>
          </cell>
          <cell r="CX184">
            <v>0.7</v>
          </cell>
          <cell r="CY184">
            <v>0.5</v>
          </cell>
          <cell r="CZ184">
            <v>0.7</v>
          </cell>
          <cell r="DA184">
            <v>2.5</v>
          </cell>
          <cell r="DB184">
            <v>1.4</v>
          </cell>
          <cell r="DC184">
            <v>0.4</v>
          </cell>
          <cell r="DD184">
            <v>0.3</v>
          </cell>
          <cell r="DE184">
            <v>0.3</v>
          </cell>
          <cell r="DF184">
            <v>0.4</v>
          </cell>
          <cell r="DG184">
            <v>5973</v>
          </cell>
          <cell r="DH184">
            <v>1169</v>
          </cell>
          <cell r="DI184">
            <v>7148</v>
          </cell>
          <cell r="DJ184">
            <v>2528</v>
          </cell>
          <cell r="DK184">
            <v>3453</v>
          </cell>
          <cell r="DL184">
            <v>2097</v>
          </cell>
          <cell r="DM184">
            <v>3888</v>
          </cell>
          <cell r="DN184">
            <v>10883</v>
          </cell>
          <cell r="DO184">
            <v>2024</v>
          </cell>
          <cell r="DP184">
            <v>12527</v>
          </cell>
          <cell r="DQ184">
            <v>6363</v>
          </cell>
          <cell r="DR184">
            <v>5981</v>
          </cell>
          <cell r="DS184">
            <v>3714</v>
          </cell>
          <cell r="DT184">
            <v>4632</v>
          </cell>
          <cell r="DU184">
            <v>6860</v>
          </cell>
          <cell r="DV184">
            <v>26849</v>
          </cell>
          <cell r="DW184">
            <v>5150</v>
          </cell>
          <cell r="DX184">
            <v>310</v>
          </cell>
          <cell r="DY184">
            <v>3700</v>
          </cell>
          <cell r="DZ184">
            <v>9101</v>
          </cell>
          <cell r="EA184">
            <v>5316</v>
          </cell>
          <cell r="EB184">
            <v>3583</v>
          </cell>
          <cell r="EC184">
            <v>10815</v>
          </cell>
          <cell r="ED184">
            <v>19765</v>
          </cell>
          <cell r="EE184">
            <v>11646</v>
          </cell>
          <cell r="EF184">
            <v>11987</v>
          </cell>
          <cell r="EG184">
            <v>7874</v>
          </cell>
          <cell r="EH184">
            <v>4542</v>
          </cell>
          <cell r="EI184">
            <v>1283</v>
          </cell>
          <cell r="EJ184">
            <v>2178</v>
          </cell>
          <cell r="EK184">
            <v>6063</v>
          </cell>
          <cell r="EL184">
            <v>14040</v>
          </cell>
          <cell r="EM184">
            <v>3272</v>
          </cell>
          <cell r="EN184">
            <v>3358</v>
          </cell>
          <cell r="EO184">
            <v>6625</v>
          </cell>
          <cell r="EP184">
            <v>12132</v>
          </cell>
          <cell r="EQ184">
            <v>9367</v>
          </cell>
          <cell r="ER184">
            <v>21122</v>
          </cell>
          <cell r="ES184">
            <v>1330</v>
          </cell>
          <cell r="ET184">
            <v>7201</v>
          </cell>
          <cell r="EU184">
            <v>8532</v>
          </cell>
          <cell r="EV184">
            <v>2415</v>
          </cell>
          <cell r="EW184">
            <v>13634</v>
          </cell>
          <cell r="EX184">
            <v>15732</v>
          </cell>
          <cell r="EY184">
            <v>9952</v>
          </cell>
          <cell r="EZ184">
            <v>16260</v>
          </cell>
          <cell r="FA184">
            <v>15345</v>
          </cell>
          <cell r="FB184">
            <v>15665</v>
          </cell>
          <cell r="FC184">
            <v>2183</v>
          </cell>
          <cell r="FD184">
            <v>6121</v>
          </cell>
          <cell r="FE184">
            <v>27561</v>
          </cell>
          <cell r="FF184">
            <v>261528</v>
          </cell>
          <cell r="FG184">
            <v>23659</v>
          </cell>
          <cell r="FH184">
            <v>196</v>
          </cell>
          <cell r="FI184">
            <v>285126</v>
          </cell>
          <cell r="FJ184">
            <v>-7.4</v>
          </cell>
          <cell r="FK184">
            <v>7</v>
          </cell>
          <cell r="FL184">
            <v>-4.7</v>
          </cell>
          <cell r="FM184">
            <v>4.3</v>
          </cell>
          <cell r="FN184">
            <v>-3.9</v>
          </cell>
          <cell r="FO184">
            <v>2.4</v>
          </cell>
          <cell r="FP184">
            <v>1.5</v>
          </cell>
          <cell r="FQ184">
            <v>-0.7</v>
          </cell>
          <cell r="FR184">
            <v>9.6</v>
          </cell>
          <cell r="FS184">
            <v>0.5</v>
          </cell>
          <cell r="FT184">
            <v>-1.3</v>
          </cell>
          <cell r="FU184">
            <v>-0.5</v>
          </cell>
          <cell r="FV184">
            <v>5.0999999999999996</v>
          </cell>
          <cell r="FW184">
            <v>5.3</v>
          </cell>
          <cell r="FX184">
            <v>-0.7</v>
          </cell>
          <cell r="FY184">
            <v>1.6</v>
          </cell>
          <cell r="FZ184">
            <v>1</v>
          </cell>
          <cell r="GA184">
            <v>-0.6</v>
          </cell>
          <cell r="GB184">
            <v>-2.5</v>
          </cell>
          <cell r="GC184">
            <v>0</v>
          </cell>
          <cell r="GD184">
            <v>1.5</v>
          </cell>
          <cell r="GE184">
            <v>4</v>
          </cell>
          <cell r="GF184">
            <v>13.1</v>
          </cell>
          <cell r="GG184">
            <v>8.5</v>
          </cell>
          <cell r="GH184">
            <v>-0.9</v>
          </cell>
          <cell r="GI184">
            <v>0.6</v>
          </cell>
          <cell r="GJ184">
            <v>0.4</v>
          </cell>
          <cell r="GK184">
            <v>2.8</v>
          </cell>
          <cell r="GL184">
            <v>5.5</v>
          </cell>
          <cell r="GM184">
            <v>-6.5</v>
          </cell>
          <cell r="GN184">
            <v>-3.7</v>
          </cell>
          <cell r="GO184">
            <v>-1.2</v>
          </cell>
          <cell r="GP184">
            <v>1.5</v>
          </cell>
          <cell r="GQ184">
            <v>-1.2</v>
          </cell>
          <cell r="GR184">
            <v>0.3</v>
          </cell>
          <cell r="GS184">
            <v>1</v>
          </cell>
          <cell r="GT184">
            <v>-3.5</v>
          </cell>
          <cell r="GU184">
            <v>-0.5</v>
          </cell>
          <cell r="GV184">
            <v>3.2</v>
          </cell>
          <cell r="GW184">
            <v>2.8</v>
          </cell>
          <cell r="GX184">
            <v>2.9</v>
          </cell>
          <cell r="GY184">
            <v>-3.3</v>
          </cell>
          <cell r="GZ184">
            <v>-3.8</v>
          </cell>
          <cell r="HA184">
            <v>-3.7</v>
          </cell>
          <cell r="HB184">
            <v>-3.2</v>
          </cell>
          <cell r="HC184">
            <v>3.5</v>
          </cell>
          <cell r="HD184">
            <v>0.5</v>
          </cell>
          <cell r="HE184">
            <v>-0.8</v>
          </cell>
          <cell r="HF184">
            <v>4.2</v>
          </cell>
          <cell r="HG184">
            <v>2.1</v>
          </cell>
          <cell r="HH184">
            <v>0.4</v>
          </cell>
          <cell r="HI184">
            <v>0.6</v>
          </cell>
          <cell r="HJ184">
            <v>0</v>
          </cell>
          <cell r="HK184">
            <v>0.7</v>
          </cell>
          <cell r="HL184">
            <v>8932</v>
          </cell>
          <cell r="HM184">
            <v>1175</v>
          </cell>
          <cell r="HN184">
            <v>9936</v>
          </cell>
          <cell r="HO184">
            <v>2498</v>
          </cell>
          <cell r="HP184">
            <v>3406</v>
          </cell>
          <cell r="HQ184">
            <v>2140</v>
          </cell>
          <cell r="HR184">
            <v>3952</v>
          </cell>
          <cell r="HS184">
            <v>10838</v>
          </cell>
          <cell r="HT184">
            <v>2069</v>
          </cell>
          <cell r="HU184">
            <v>12520</v>
          </cell>
          <cell r="HV184">
            <v>6868</v>
          </cell>
          <cell r="HW184">
            <v>6004</v>
          </cell>
          <cell r="HX184">
            <v>3767</v>
          </cell>
          <cell r="HY184">
            <v>4657</v>
          </cell>
          <cell r="HZ184">
            <v>7109</v>
          </cell>
          <cell r="IA184">
            <v>27655</v>
          </cell>
          <cell r="IB184">
            <v>5021</v>
          </cell>
          <cell r="IC184">
            <v>290</v>
          </cell>
          <cell r="ID184">
            <v>3742</v>
          </cell>
          <cell r="IE184">
            <v>8953</v>
          </cell>
          <cell r="IF184">
            <v>5563</v>
          </cell>
          <cell r="IG184">
            <v>3669</v>
          </cell>
          <cell r="IH184">
            <v>11296</v>
          </cell>
          <cell r="II184">
            <v>20617</v>
          </cell>
          <cell r="IJ184">
            <v>11948</v>
          </cell>
          <cell r="IK184">
            <v>13205</v>
          </cell>
          <cell r="IL184">
            <v>8298</v>
          </cell>
          <cell r="IM184">
            <v>4819</v>
          </cell>
          <cell r="IN184">
            <v>1314</v>
          </cell>
          <cell r="IO184">
            <v>2193</v>
          </cell>
          <cell r="IP184">
            <v>6396</v>
          </cell>
          <cell r="IQ184">
            <v>14676</v>
          </cell>
        </row>
        <row r="185">
          <cell r="B185">
            <v>5497</v>
          </cell>
          <cell r="C185">
            <v>1227</v>
          </cell>
          <cell r="D185">
            <v>6769</v>
          </cell>
          <cell r="E185">
            <v>2563</v>
          </cell>
          <cell r="F185">
            <v>3289</v>
          </cell>
          <cell r="G185">
            <v>2210</v>
          </cell>
          <cell r="H185">
            <v>4007</v>
          </cell>
          <cell r="I185">
            <v>10806</v>
          </cell>
          <cell r="J185">
            <v>1894</v>
          </cell>
          <cell r="K185">
            <v>12346</v>
          </cell>
          <cell r="L185">
            <v>6293</v>
          </cell>
          <cell r="M185">
            <v>6067</v>
          </cell>
          <cell r="N185">
            <v>3744</v>
          </cell>
          <cell r="O185">
            <v>4867</v>
          </cell>
          <cell r="P185">
            <v>6846</v>
          </cell>
          <cell r="Q185">
            <v>27141</v>
          </cell>
          <cell r="R185">
            <v>5032</v>
          </cell>
          <cell r="S185">
            <v>308</v>
          </cell>
          <cell r="T185">
            <v>3591</v>
          </cell>
          <cell r="U185">
            <v>8859</v>
          </cell>
          <cell r="V185">
            <v>5332</v>
          </cell>
          <cell r="W185">
            <v>3641</v>
          </cell>
          <cell r="X185">
            <v>10423</v>
          </cell>
          <cell r="Y185">
            <v>19466</v>
          </cell>
          <cell r="Z185">
            <v>11652</v>
          </cell>
          <cell r="AA185">
            <v>12021</v>
          </cell>
          <cell r="AB185">
            <v>7743</v>
          </cell>
          <cell r="AC185">
            <v>4450</v>
          </cell>
          <cell r="AD185">
            <v>1293</v>
          </cell>
          <cell r="AE185">
            <v>2092</v>
          </cell>
          <cell r="AF185">
            <v>5840</v>
          </cell>
          <cell r="AG185">
            <v>13673</v>
          </cell>
          <cell r="AH185">
            <v>3307</v>
          </cell>
          <cell r="AI185">
            <v>3389</v>
          </cell>
          <cell r="AJ185">
            <v>6800</v>
          </cell>
          <cell r="AK185">
            <v>12199</v>
          </cell>
          <cell r="AL185">
            <v>9695</v>
          </cell>
          <cell r="AM185">
            <v>21445</v>
          </cell>
          <cell r="AN185">
            <v>1336</v>
          </cell>
          <cell r="AO185">
            <v>7144</v>
          </cell>
          <cell r="AP185">
            <v>8488</v>
          </cell>
          <cell r="AQ185">
            <v>2485</v>
          </cell>
          <cell r="AR185">
            <v>14001</v>
          </cell>
          <cell r="AS185">
            <v>16164</v>
          </cell>
          <cell r="AT185">
            <v>10031</v>
          </cell>
          <cell r="AU185">
            <v>16434</v>
          </cell>
          <cell r="AV185">
            <v>15416</v>
          </cell>
          <cell r="AW185">
            <v>15860</v>
          </cell>
          <cell r="AX185">
            <v>2206</v>
          </cell>
          <cell r="AY185">
            <v>6213</v>
          </cell>
          <cell r="AZ185">
            <v>27689</v>
          </cell>
          <cell r="BA185">
            <v>261916</v>
          </cell>
          <cell r="BB185">
            <v>23583</v>
          </cell>
          <cell r="BC185">
            <v>15</v>
          </cell>
          <cell r="BD185">
            <v>285239</v>
          </cell>
          <cell r="BE185">
            <v>-5.6</v>
          </cell>
          <cell r="BF185">
            <v>5.3</v>
          </cell>
          <cell r="BG185">
            <v>-3.3</v>
          </cell>
          <cell r="BH185">
            <v>1.4</v>
          </cell>
          <cell r="BI185">
            <v>-4</v>
          </cell>
          <cell r="BJ185">
            <v>3.5</v>
          </cell>
          <cell r="BK185">
            <v>3.1</v>
          </cell>
          <cell r="BL185">
            <v>-0.6</v>
          </cell>
          <cell r="BM185">
            <v>-1.6</v>
          </cell>
          <cell r="BN185">
            <v>-0.7</v>
          </cell>
          <cell r="BO185">
            <v>-1.5</v>
          </cell>
          <cell r="BP185">
            <v>-1.4</v>
          </cell>
          <cell r="BQ185">
            <v>3</v>
          </cell>
          <cell r="BR185">
            <v>4.3</v>
          </cell>
          <cell r="BS185">
            <v>-0.5</v>
          </cell>
          <cell r="BT185">
            <v>0.8</v>
          </cell>
          <cell r="BU185">
            <v>-1.2</v>
          </cell>
          <cell r="BV185">
            <v>-0.5</v>
          </cell>
          <cell r="BW185">
            <v>-2.4</v>
          </cell>
          <cell r="BX185">
            <v>-1.6</v>
          </cell>
          <cell r="BY185">
            <v>-0.1</v>
          </cell>
          <cell r="BZ185">
            <v>2.4</v>
          </cell>
          <cell r="CA185">
            <v>1.8</v>
          </cell>
          <cell r="CB185">
            <v>1.6</v>
          </cell>
          <cell r="CC185">
            <v>-0.3</v>
          </cell>
          <cell r="CD185">
            <v>0.5</v>
          </cell>
          <cell r="CE185">
            <v>-1</v>
          </cell>
          <cell r="CF185">
            <v>0.2</v>
          </cell>
          <cell r="CG185">
            <v>2.2000000000000002</v>
          </cell>
          <cell r="CH185">
            <v>-5.0999999999999996</v>
          </cell>
          <cell r="CI185">
            <v>-3.9</v>
          </cell>
          <cell r="CJ185">
            <v>-2.1</v>
          </cell>
          <cell r="CK185">
            <v>1.4</v>
          </cell>
          <cell r="CL185">
            <v>0.7</v>
          </cell>
          <cell r="CM185">
            <v>1.6</v>
          </cell>
          <cell r="CN185">
            <v>0.5</v>
          </cell>
          <cell r="CO185">
            <v>1.4</v>
          </cell>
          <cell r="CP185">
            <v>0.8</v>
          </cell>
          <cell r="CQ185">
            <v>0.8</v>
          </cell>
          <cell r="CR185">
            <v>-0.4</v>
          </cell>
          <cell r="CS185">
            <v>-0.1</v>
          </cell>
          <cell r="CT185">
            <v>1</v>
          </cell>
          <cell r="CU185">
            <v>0.8</v>
          </cell>
          <cell r="CV185">
            <v>0.9</v>
          </cell>
          <cell r="CW185">
            <v>-0.5</v>
          </cell>
          <cell r="CX185">
            <v>1.3</v>
          </cell>
          <cell r="CY185">
            <v>0.5</v>
          </cell>
          <cell r="CZ185">
            <v>0.7</v>
          </cell>
          <cell r="DA185">
            <v>2.7</v>
          </cell>
          <cell r="DB185">
            <v>1.8</v>
          </cell>
          <cell r="DC185">
            <v>0.5</v>
          </cell>
          <cell r="DD185">
            <v>0.3</v>
          </cell>
          <cell r="DE185">
            <v>0</v>
          </cell>
          <cell r="DF185">
            <v>0.2</v>
          </cell>
          <cell r="DG185">
            <v>5407</v>
          </cell>
          <cell r="DH185">
            <v>1218</v>
          </cell>
          <cell r="DI185">
            <v>6674</v>
          </cell>
          <cell r="DJ185">
            <v>2638</v>
          </cell>
          <cell r="DK185">
            <v>3244</v>
          </cell>
          <cell r="DL185">
            <v>2243</v>
          </cell>
          <cell r="DM185">
            <v>3917</v>
          </cell>
          <cell r="DN185">
            <v>10793</v>
          </cell>
          <cell r="DO185">
            <v>1871</v>
          </cell>
          <cell r="DP185">
            <v>12312</v>
          </cell>
          <cell r="DQ185">
            <v>6352</v>
          </cell>
          <cell r="DR185">
            <v>6489</v>
          </cell>
          <cell r="DS185">
            <v>3647</v>
          </cell>
          <cell r="DT185">
            <v>4921</v>
          </cell>
          <cell r="DU185">
            <v>6879</v>
          </cell>
          <cell r="DV185">
            <v>27429</v>
          </cell>
          <cell r="DW185">
            <v>4997</v>
          </cell>
          <cell r="DX185">
            <v>312</v>
          </cell>
          <cell r="DY185">
            <v>3555</v>
          </cell>
          <cell r="DZ185">
            <v>8786</v>
          </cell>
          <cell r="EA185">
            <v>5446</v>
          </cell>
          <cell r="EB185">
            <v>3638</v>
          </cell>
          <cell r="EC185">
            <v>9941</v>
          </cell>
          <cell r="ED185">
            <v>19079</v>
          </cell>
          <cell r="EE185">
            <v>11611</v>
          </cell>
          <cell r="EF185">
            <v>11983</v>
          </cell>
          <cell r="EG185">
            <v>7692</v>
          </cell>
          <cell r="EH185">
            <v>4362</v>
          </cell>
          <cell r="EI185">
            <v>1306</v>
          </cell>
          <cell r="EJ185">
            <v>2104</v>
          </cell>
          <cell r="EK185">
            <v>5862</v>
          </cell>
          <cell r="EL185">
            <v>13650</v>
          </cell>
          <cell r="EM185">
            <v>3291</v>
          </cell>
          <cell r="EN185">
            <v>3650</v>
          </cell>
          <cell r="EO185">
            <v>6900</v>
          </cell>
          <cell r="EP185">
            <v>12194</v>
          </cell>
          <cell r="EQ185">
            <v>9764</v>
          </cell>
          <cell r="ER185">
            <v>21489</v>
          </cell>
          <cell r="ES185">
            <v>1373</v>
          </cell>
          <cell r="ET185">
            <v>7287</v>
          </cell>
          <cell r="EU185">
            <v>8673</v>
          </cell>
          <cell r="EV185">
            <v>2478</v>
          </cell>
          <cell r="EW185">
            <v>13971</v>
          </cell>
          <cell r="EX185">
            <v>16127</v>
          </cell>
          <cell r="EY185">
            <v>10094</v>
          </cell>
          <cell r="EZ185">
            <v>16735</v>
          </cell>
          <cell r="FA185">
            <v>15416</v>
          </cell>
          <cell r="FB185">
            <v>15819</v>
          </cell>
          <cell r="FC185">
            <v>2169</v>
          </cell>
          <cell r="FD185">
            <v>6204</v>
          </cell>
          <cell r="FE185">
            <v>27688</v>
          </cell>
          <cell r="FF185">
            <v>262000</v>
          </cell>
          <cell r="FG185">
            <v>23441</v>
          </cell>
          <cell r="FH185">
            <v>81</v>
          </cell>
          <cell r="FI185">
            <v>285241</v>
          </cell>
          <cell r="FJ185">
            <v>-9.5</v>
          </cell>
          <cell r="FK185">
            <v>4.2</v>
          </cell>
          <cell r="FL185">
            <v>-6.6</v>
          </cell>
          <cell r="FM185">
            <v>4.3</v>
          </cell>
          <cell r="FN185">
            <v>-6.1</v>
          </cell>
          <cell r="FO185">
            <v>7</v>
          </cell>
          <cell r="FP185">
            <v>0.7</v>
          </cell>
          <cell r="FQ185">
            <v>-0.8</v>
          </cell>
          <cell r="FR185">
            <v>-7.6</v>
          </cell>
          <cell r="FS185">
            <v>-1.7</v>
          </cell>
          <cell r="FT185">
            <v>-0.2</v>
          </cell>
          <cell r="FU185">
            <v>8.5</v>
          </cell>
          <cell r="FV185">
            <v>-1.8</v>
          </cell>
          <cell r="FW185">
            <v>6.2</v>
          </cell>
          <cell r="FX185">
            <v>0.3</v>
          </cell>
          <cell r="FY185">
            <v>2.2000000000000002</v>
          </cell>
          <cell r="FZ185">
            <v>-3</v>
          </cell>
          <cell r="GA185">
            <v>0.8</v>
          </cell>
          <cell r="GB185">
            <v>-3.9</v>
          </cell>
          <cell r="GC185">
            <v>-3.5</v>
          </cell>
          <cell r="GD185">
            <v>2.4</v>
          </cell>
          <cell r="GE185">
            <v>1.5</v>
          </cell>
          <cell r="GF185">
            <v>-8.1</v>
          </cell>
          <cell r="GG185">
            <v>-3.5</v>
          </cell>
          <cell r="GH185">
            <v>-0.3</v>
          </cell>
          <cell r="GI185">
            <v>0</v>
          </cell>
          <cell r="GJ185">
            <v>-2.2999999999999998</v>
          </cell>
          <cell r="GK185">
            <v>-4</v>
          </cell>
          <cell r="GL185">
            <v>1.8</v>
          </cell>
          <cell r="GM185">
            <v>-3.4</v>
          </cell>
          <cell r="GN185">
            <v>-3.3</v>
          </cell>
          <cell r="GO185">
            <v>-2.8</v>
          </cell>
          <cell r="GP185">
            <v>0.6</v>
          </cell>
          <cell r="GQ185">
            <v>8.6999999999999993</v>
          </cell>
          <cell r="GR185">
            <v>4.0999999999999996</v>
          </cell>
          <cell r="GS185">
            <v>0.5</v>
          </cell>
          <cell r="GT185">
            <v>4.2</v>
          </cell>
          <cell r="GU185">
            <v>1.7</v>
          </cell>
          <cell r="GV185">
            <v>3.3</v>
          </cell>
          <cell r="GW185">
            <v>1.2</v>
          </cell>
          <cell r="GX185">
            <v>1.6</v>
          </cell>
          <cell r="GY185">
            <v>2.6</v>
          </cell>
          <cell r="GZ185">
            <v>2.5</v>
          </cell>
          <cell r="HA185">
            <v>2.5</v>
          </cell>
          <cell r="HB185">
            <v>1.4</v>
          </cell>
          <cell r="HC185">
            <v>2.9</v>
          </cell>
          <cell r="HD185">
            <v>0.5</v>
          </cell>
          <cell r="HE185">
            <v>1</v>
          </cell>
          <cell r="HF185">
            <v>-0.7</v>
          </cell>
          <cell r="HG185">
            <v>1.4</v>
          </cell>
          <cell r="HH185">
            <v>0.5</v>
          </cell>
          <cell r="HI185">
            <v>0.2</v>
          </cell>
          <cell r="HJ185">
            <v>-0.9</v>
          </cell>
          <cell r="HK185">
            <v>0</v>
          </cell>
          <cell r="HL185">
            <v>5009</v>
          </cell>
          <cell r="HM185">
            <v>1217</v>
          </cell>
          <cell r="HN185">
            <v>6294</v>
          </cell>
          <cell r="HO185">
            <v>2577</v>
          </cell>
          <cell r="HP185">
            <v>3116</v>
          </cell>
          <cell r="HQ185">
            <v>2123</v>
          </cell>
          <cell r="HR185">
            <v>3844</v>
          </cell>
          <cell r="HS185">
            <v>10427</v>
          </cell>
          <cell r="HT185">
            <v>1801</v>
          </cell>
          <cell r="HU185">
            <v>11889</v>
          </cell>
          <cell r="HV185">
            <v>6194</v>
          </cell>
          <cell r="HW185">
            <v>6378</v>
          </cell>
          <cell r="HX185">
            <v>3522</v>
          </cell>
          <cell r="HY185">
            <v>4567</v>
          </cell>
          <cell r="HZ185">
            <v>6444</v>
          </cell>
          <cell r="IA185">
            <v>26265</v>
          </cell>
          <cell r="IB185">
            <v>4976</v>
          </cell>
          <cell r="IC185">
            <v>268</v>
          </cell>
          <cell r="ID185">
            <v>3635</v>
          </cell>
          <cell r="IE185">
            <v>8787</v>
          </cell>
          <cell r="IF185">
            <v>4978</v>
          </cell>
          <cell r="IG185">
            <v>3470</v>
          </cell>
          <cell r="IH185">
            <v>9332</v>
          </cell>
          <cell r="II185">
            <v>17780</v>
          </cell>
          <cell r="IJ185">
            <v>11135</v>
          </cell>
          <cell r="IK185">
            <v>11402</v>
          </cell>
          <cell r="IL185">
            <v>7494</v>
          </cell>
          <cell r="IM185">
            <v>4162</v>
          </cell>
          <cell r="IN185">
            <v>1247</v>
          </cell>
          <cell r="IO185">
            <v>2040</v>
          </cell>
          <cell r="IP185">
            <v>5629</v>
          </cell>
          <cell r="IQ185">
            <v>13098</v>
          </cell>
        </row>
        <row r="186">
          <cell r="B186">
            <v>5741</v>
          </cell>
          <cell r="C186">
            <v>1297</v>
          </cell>
          <cell r="D186">
            <v>7093</v>
          </cell>
          <cell r="E186">
            <v>2584</v>
          </cell>
          <cell r="F186">
            <v>3193</v>
          </cell>
          <cell r="G186">
            <v>2168</v>
          </cell>
          <cell r="H186">
            <v>4095</v>
          </cell>
          <cell r="I186">
            <v>10719</v>
          </cell>
          <cell r="J186">
            <v>1772</v>
          </cell>
          <cell r="K186">
            <v>12168</v>
          </cell>
          <cell r="L186">
            <v>6198</v>
          </cell>
          <cell r="M186">
            <v>5870</v>
          </cell>
          <cell r="N186">
            <v>3792</v>
          </cell>
          <cell r="O186">
            <v>5021</v>
          </cell>
          <cell r="P186">
            <v>6821</v>
          </cell>
          <cell r="Q186">
            <v>27142</v>
          </cell>
          <cell r="R186">
            <v>5002</v>
          </cell>
          <cell r="S186">
            <v>307</v>
          </cell>
          <cell r="T186">
            <v>3499</v>
          </cell>
          <cell r="U186">
            <v>8741</v>
          </cell>
          <cell r="V186">
            <v>5306</v>
          </cell>
          <cell r="W186">
            <v>3653</v>
          </cell>
          <cell r="X186">
            <v>10676</v>
          </cell>
          <cell r="Y186">
            <v>19736</v>
          </cell>
          <cell r="Z186">
            <v>11715</v>
          </cell>
          <cell r="AA186">
            <v>12173</v>
          </cell>
          <cell r="AB186">
            <v>7755</v>
          </cell>
          <cell r="AC186">
            <v>4472</v>
          </cell>
          <cell r="AD186">
            <v>1291</v>
          </cell>
          <cell r="AE186">
            <v>2042</v>
          </cell>
          <cell r="AF186">
            <v>5639</v>
          </cell>
          <cell r="AG186">
            <v>13435</v>
          </cell>
          <cell r="AH186">
            <v>3342</v>
          </cell>
          <cell r="AI186">
            <v>3444</v>
          </cell>
          <cell r="AJ186">
            <v>6858</v>
          </cell>
          <cell r="AK186">
            <v>12326</v>
          </cell>
          <cell r="AL186">
            <v>10040</v>
          </cell>
          <cell r="AM186">
            <v>21845</v>
          </cell>
          <cell r="AN186">
            <v>1318</v>
          </cell>
          <cell r="AO186">
            <v>6994</v>
          </cell>
          <cell r="AP186">
            <v>8325</v>
          </cell>
          <cell r="AQ186">
            <v>2549</v>
          </cell>
          <cell r="AR186">
            <v>14358</v>
          </cell>
          <cell r="AS186">
            <v>16577</v>
          </cell>
          <cell r="AT186">
            <v>10031</v>
          </cell>
          <cell r="AU186">
            <v>16451</v>
          </cell>
          <cell r="AV186">
            <v>15486</v>
          </cell>
          <cell r="AW186">
            <v>16028</v>
          </cell>
          <cell r="AX186">
            <v>2268</v>
          </cell>
          <cell r="AY186">
            <v>6326</v>
          </cell>
          <cell r="AZ186">
            <v>27836</v>
          </cell>
          <cell r="BA186">
            <v>263592</v>
          </cell>
          <cell r="BB186">
            <v>23763</v>
          </cell>
          <cell r="BC186">
            <v>97</v>
          </cell>
          <cell r="BD186">
            <v>287179</v>
          </cell>
          <cell r="BE186">
            <v>4.4000000000000004</v>
          </cell>
          <cell r="BF186">
            <v>5.7</v>
          </cell>
          <cell r="BG186">
            <v>4.8</v>
          </cell>
          <cell r="BH186">
            <v>0.8</v>
          </cell>
          <cell r="BI186">
            <v>-2.9</v>
          </cell>
          <cell r="BJ186">
            <v>-1.9</v>
          </cell>
          <cell r="BK186">
            <v>2.2000000000000002</v>
          </cell>
          <cell r="BL186">
            <v>-0.8</v>
          </cell>
          <cell r="BM186">
            <v>-6.4</v>
          </cell>
          <cell r="BN186">
            <v>-1.4</v>
          </cell>
          <cell r="BO186">
            <v>-1.5</v>
          </cell>
          <cell r="BP186">
            <v>-3.2</v>
          </cell>
          <cell r="BQ186">
            <v>1.3</v>
          </cell>
          <cell r="BR186">
            <v>3.2</v>
          </cell>
          <cell r="BS186">
            <v>-0.4</v>
          </cell>
          <cell r="BT186">
            <v>0</v>
          </cell>
          <cell r="BU186">
            <v>-0.6</v>
          </cell>
          <cell r="BV186">
            <v>-0.4</v>
          </cell>
          <cell r="BW186">
            <v>-2.6</v>
          </cell>
          <cell r="BX186">
            <v>-1.3</v>
          </cell>
          <cell r="BY186">
            <v>-0.5</v>
          </cell>
          <cell r="BZ186">
            <v>0.3</v>
          </cell>
          <cell r="CA186">
            <v>2.4</v>
          </cell>
          <cell r="CB186">
            <v>1.4</v>
          </cell>
          <cell r="CC186">
            <v>0.5</v>
          </cell>
          <cell r="CD186">
            <v>1.3</v>
          </cell>
          <cell r="CE186">
            <v>0.2</v>
          </cell>
          <cell r="CF186">
            <v>0.5</v>
          </cell>
          <cell r="CG186">
            <v>-0.1</v>
          </cell>
          <cell r="CH186">
            <v>-2.4</v>
          </cell>
          <cell r="CI186">
            <v>-3.4</v>
          </cell>
          <cell r="CJ186">
            <v>-1.7</v>
          </cell>
          <cell r="CK186">
            <v>1.1000000000000001</v>
          </cell>
          <cell r="CL186">
            <v>1.6</v>
          </cell>
          <cell r="CM186">
            <v>0.8</v>
          </cell>
          <cell r="CN186">
            <v>1</v>
          </cell>
          <cell r="CO186">
            <v>3.6</v>
          </cell>
          <cell r="CP186">
            <v>1.9</v>
          </cell>
          <cell r="CQ186">
            <v>-1.4</v>
          </cell>
          <cell r="CR186">
            <v>-2.1</v>
          </cell>
          <cell r="CS186">
            <v>-1.9</v>
          </cell>
          <cell r="CT186">
            <v>2.6</v>
          </cell>
          <cell r="CU186">
            <v>2.5</v>
          </cell>
          <cell r="CV186">
            <v>2.6</v>
          </cell>
          <cell r="CW186">
            <v>0</v>
          </cell>
          <cell r="CX186">
            <v>0.1</v>
          </cell>
          <cell r="CY186">
            <v>0.5</v>
          </cell>
          <cell r="CZ186">
            <v>1.1000000000000001</v>
          </cell>
          <cell r="DA186">
            <v>2.8</v>
          </cell>
          <cell r="DB186">
            <v>1.8</v>
          </cell>
          <cell r="DC186">
            <v>0.5</v>
          </cell>
          <cell r="DD186">
            <v>0.6</v>
          </cell>
          <cell r="DE186">
            <v>0.8</v>
          </cell>
          <cell r="DF186">
            <v>0.7</v>
          </cell>
          <cell r="DG186">
            <v>5471</v>
          </cell>
          <cell r="DH186">
            <v>1343</v>
          </cell>
          <cell r="DI186">
            <v>6892</v>
          </cell>
          <cell r="DJ186">
            <v>2525</v>
          </cell>
          <cell r="DK186">
            <v>3153</v>
          </cell>
          <cell r="DL186">
            <v>2205</v>
          </cell>
          <cell r="DM186">
            <v>4237</v>
          </cell>
          <cell r="DN186">
            <v>10683</v>
          </cell>
          <cell r="DO186">
            <v>1784</v>
          </cell>
          <cell r="DP186">
            <v>12135</v>
          </cell>
          <cell r="DQ186">
            <v>6164</v>
          </cell>
          <cell r="DR186">
            <v>5607</v>
          </cell>
          <cell r="DS186">
            <v>3869</v>
          </cell>
          <cell r="DT186">
            <v>5074</v>
          </cell>
          <cell r="DU186">
            <v>6790</v>
          </cell>
          <cell r="DV186">
            <v>27079</v>
          </cell>
          <cell r="DW186">
            <v>4963</v>
          </cell>
          <cell r="DX186">
            <v>298</v>
          </cell>
          <cell r="DY186">
            <v>3501</v>
          </cell>
          <cell r="DZ186">
            <v>8701</v>
          </cell>
          <cell r="EA186">
            <v>5205</v>
          </cell>
          <cell r="EB186">
            <v>3696</v>
          </cell>
          <cell r="EC186">
            <v>10741</v>
          </cell>
          <cell r="ED186">
            <v>19752</v>
          </cell>
          <cell r="EE186">
            <v>11701</v>
          </cell>
          <cell r="EF186">
            <v>12141</v>
          </cell>
          <cell r="EG186">
            <v>7703</v>
          </cell>
          <cell r="EH186">
            <v>4439</v>
          </cell>
          <cell r="EI186">
            <v>1277</v>
          </cell>
          <cell r="EJ186">
            <v>2006</v>
          </cell>
          <cell r="EK186">
            <v>5590</v>
          </cell>
          <cell r="EL186">
            <v>13304</v>
          </cell>
          <cell r="EM186">
            <v>3324</v>
          </cell>
          <cell r="EN186">
            <v>3486</v>
          </cell>
          <cell r="EO186">
            <v>6800</v>
          </cell>
          <cell r="EP186">
            <v>12348</v>
          </cell>
          <cell r="EQ186">
            <v>9964</v>
          </cell>
          <cell r="ER186">
            <v>21819</v>
          </cell>
          <cell r="ES186">
            <v>1274</v>
          </cell>
          <cell r="ET186">
            <v>6878</v>
          </cell>
          <cell r="EU186">
            <v>8156</v>
          </cell>
          <cell r="EV186">
            <v>2558</v>
          </cell>
          <cell r="EW186">
            <v>14457</v>
          </cell>
          <cell r="EX186">
            <v>16674</v>
          </cell>
          <cell r="EY186">
            <v>10001</v>
          </cell>
          <cell r="EZ186">
            <v>16455</v>
          </cell>
          <cell r="FA186">
            <v>15487</v>
          </cell>
          <cell r="FB186">
            <v>16075</v>
          </cell>
          <cell r="FC186">
            <v>2295</v>
          </cell>
          <cell r="FD186">
            <v>6307</v>
          </cell>
          <cell r="FE186">
            <v>27843</v>
          </cell>
          <cell r="FF186">
            <v>262935</v>
          </cell>
          <cell r="FG186">
            <v>23663</v>
          </cell>
          <cell r="FH186">
            <v>-113</v>
          </cell>
          <cell r="FI186">
            <v>286188</v>
          </cell>
          <cell r="FJ186">
            <v>1.2</v>
          </cell>
          <cell r="FK186">
            <v>10.3</v>
          </cell>
          <cell r="FL186">
            <v>3.3</v>
          </cell>
          <cell r="FM186">
            <v>-4.2</v>
          </cell>
          <cell r="FN186">
            <v>-2.8</v>
          </cell>
          <cell r="FO186">
            <v>-1.7</v>
          </cell>
          <cell r="FP186">
            <v>8.1999999999999993</v>
          </cell>
          <cell r="FQ186">
            <v>-1</v>
          </cell>
          <cell r="FR186">
            <v>-4.5999999999999996</v>
          </cell>
          <cell r="FS186">
            <v>-1.4</v>
          </cell>
          <cell r="FT186">
            <v>-3</v>
          </cell>
          <cell r="FU186">
            <v>-13.6</v>
          </cell>
          <cell r="FV186">
            <v>6.1</v>
          </cell>
          <cell r="FW186">
            <v>3.1</v>
          </cell>
          <cell r="FX186">
            <v>-1.3</v>
          </cell>
          <cell r="FY186">
            <v>-1.3</v>
          </cell>
          <cell r="FZ186">
            <v>-0.7</v>
          </cell>
          <cell r="GA186">
            <v>-4.5</v>
          </cell>
          <cell r="GB186">
            <v>-1.5</v>
          </cell>
          <cell r="GC186">
            <v>-1</v>
          </cell>
          <cell r="GD186">
            <v>-4.4000000000000004</v>
          </cell>
          <cell r="GE186">
            <v>1.6</v>
          </cell>
          <cell r="GF186">
            <v>8</v>
          </cell>
          <cell r="GG186">
            <v>3.5</v>
          </cell>
          <cell r="GH186">
            <v>0.8</v>
          </cell>
          <cell r="GI186">
            <v>1.3</v>
          </cell>
          <cell r="GJ186">
            <v>0.2</v>
          </cell>
          <cell r="GK186">
            <v>1.8</v>
          </cell>
          <cell r="GL186">
            <v>-2.2000000000000002</v>
          </cell>
          <cell r="GM186">
            <v>-4.7</v>
          </cell>
          <cell r="GN186">
            <v>-4.5999999999999996</v>
          </cell>
          <cell r="GO186">
            <v>-2.5</v>
          </cell>
          <cell r="GP186">
            <v>1</v>
          </cell>
          <cell r="GQ186">
            <v>-4.5</v>
          </cell>
          <cell r="GR186">
            <v>-1.4</v>
          </cell>
          <cell r="GS186">
            <v>1.3</v>
          </cell>
          <cell r="GT186">
            <v>2.1</v>
          </cell>
          <cell r="GU186">
            <v>1.5</v>
          </cell>
          <cell r="GV186">
            <v>-7.2</v>
          </cell>
          <cell r="GW186">
            <v>-5.6</v>
          </cell>
          <cell r="GX186">
            <v>-6</v>
          </cell>
          <cell r="GY186">
            <v>3.2</v>
          </cell>
          <cell r="GZ186">
            <v>3.5</v>
          </cell>
          <cell r="HA186">
            <v>3.4</v>
          </cell>
          <cell r="HB186">
            <v>-0.9</v>
          </cell>
          <cell r="HC186">
            <v>-1.7</v>
          </cell>
          <cell r="HD186">
            <v>0.5</v>
          </cell>
          <cell r="HE186">
            <v>1.6</v>
          </cell>
          <cell r="HF186">
            <v>5.8</v>
          </cell>
          <cell r="HG186">
            <v>1.7</v>
          </cell>
          <cell r="HH186">
            <v>0.6</v>
          </cell>
          <cell r="HI186">
            <v>0.4</v>
          </cell>
          <cell r="HJ186">
            <v>0.9</v>
          </cell>
          <cell r="HK186">
            <v>0.3</v>
          </cell>
          <cell r="HL186">
            <v>4217</v>
          </cell>
          <cell r="HM186">
            <v>1335</v>
          </cell>
          <cell r="HN186">
            <v>5693</v>
          </cell>
          <cell r="HO186">
            <v>2539</v>
          </cell>
          <cell r="HP186">
            <v>3114</v>
          </cell>
          <cell r="HQ186">
            <v>2218</v>
          </cell>
          <cell r="HR186">
            <v>4224</v>
          </cell>
          <cell r="HS186">
            <v>10644</v>
          </cell>
          <cell r="HT186">
            <v>1830</v>
          </cell>
          <cell r="HU186">
            <v>12128</v>
          </cell>
          <cell r="HV186">
            <v>5939</v>
          </cell>
          <cell r="HW186">
            <v>5552</v>
          </cell>
          <cell r="HX186">
            <v>3896</v>
          </cell>
          <cell r="HY186">
            <v>5226</v>
          </cell>
          <cell r="HZ186">
            <v>6705</v>
          </cell>
          <cell r="IA186">
            <v>26959</v>
          </cell>
          <cell r="IB186">
            <v>4959</v>
          </cell>
          <cell r="IC186">
            <v>317</v>
          </cell>
          <cell r="ID186">
            <v>3407</v>
          </cell>
          <cell r="IE186">
            <v>8639</v>
          </cell>
          <cell r="IF186">
            <v>5200</v>
          </cell>
          <cell r="IG186">
            <v>4007</v>
          </cell>
          <cell r="IH186">
            <v>10346</v>
          </cell>
          <cell r="II186">
            <v>19586</v>
          </cell>
          <cell r="IJ186">
            <v>11735</v>
          </cell>
          <cell r="IK186">
            <v>11767</v>
          </cell>
          <cell r="IL186">
            <v>7500</v>
          </cell>
          <cell r="IM186">
            <v>4314</v>
          </cell>
          <cell r="IN186">
            <v>1243</v>
          </cell>
          <cell r="IO186">
            <v>1991</v>
          </cell>
          <cell r="IP186">
            <v>5453</v>
          </cell>
          <cell r="IQ186">
            <v>12999</v>
          </cell>
        </row>
        <row r="187">
          <cell r="B187">
            <v>6535</v>
          </cell>
          <cell r="C187">
            <v>1333</v>
          </cell>
          <cell r="D187">
            <v>7897</v>
          </cell>
          <cell r="E187">
            <v>2587</v>
          </cell>
          <cell r="F187">
            <v>3152</v>
          </cell>
          <cell r="G187">
            <v>2075</v>
          </cell>
          <cell r="H187">
            <v>4092</v>
          </cell>
          <cell r="I187">
            <v>10636</v>
          </cell>
          <cell r="J187">
            <v>1687</v>
          </cell>
          <cell r="K187">
            <v>12022</v>
          </cell>
          <cell r="L187">
            <v>6205</v>
          </cell>
          <cell r="M187">
            <v>5746</v>
          </cell>
          <cell r="N187">
            <v>3783</v>
          </cell>
          <cell r="O187">
            <v>5049</v>
          </cell>
          <cell r="P187">
            <v>6858</v>
          </cell>
          <cell r="Q187">
            <v>27112</v>
          </cell>
          <cell r="R187">
            <v>5032</v>
          </cell>
          <cell r="S187">
            <v>309</v>
          </cell>
          <cell r="T187">
            <v>3477</v>
          </cell>
          <cell r="U187">
            <v>8760</v>
          </cell>
          <cell r="V187">
            <v>5401</v>
          </cell>
          <cell r="W187">
            <v>3688</v>
          </cell>
          <cell r="X187">
            <v>10894</v>
          </cell>
          <cell r="Y187">
            <v>20078</v>
          </cell>
          <cell r="Z187">
            <v>11912</v>
          </cell>
          <cell r="AA187">
            <v>12391</v>
          </cell>
          <cell r="AB187">
            <v>7860</v>
          </cell>
          <cell r="AC187">
            <v>4571</v>
          </cell>
          <cell r="AD187">
            <v>1304</v>
          </cell>
          <cell r="AE187">
            <v>2081</v>
          </cell>
          <cell r="AF187">
            <v>5678</v>
          </cell>
          <cell r="AG187">
            <v>13609</v>
          </cell>
          <cell r="AH187">
            <v>3360</v>
          </cell>
          <cell r="AI187">
            <v>3527</v>
          </cell>
          <cell r="AJ187">
            <v>6888</v>
          </cell>
          <cell r="AK187">
            <v>12468</v>
          </cell>
          <cell r="AL187">
            <v>10395</v>
          </cell>
          <cell r="AM187">
            <v>22268</v>
          </cell>
          <cell r="AN187">
            <v>1307</v>
          </cell>
          <cell r="AO187">
            <v>6889</v>
          </cell>
          <cell r="AP187">
            <v>8213</v>
          </cell>
          <cell r="AQ187">
            <v>2602</v>
          </cell>
          <cell r="AR187">
            <v>14706</v>
          </cell>
          <cell r="AS187">
            <v>16964</v>
          </cell>
          <cell r="AT187">
            <v>10059</v>
          </cell>
          <cell r="AU187">
            <v>16387</v>
          </cell>
          <cell r="AV187">
            <v>15558</v>
          </cell>
          <cell r="AW187">
            <v>16240</v>
          </cell>
          <cell r="AX187">
            <v>2306</v>
          </cell>
          <cell r="AY187">
            <v>6399</v>
          </cell>
          <cell r="AZ187">
            <v>28017</v>
          </cell>
          <cell r="BA187">
            <v>266643</v>
          </cell>
          <cell r="BB187">
            <v>24137</v>
          </cell>
          <cell r="BC187">
            <v>204</v>
          </cell>
          <cell r="BD187">
            <v>290721</v>
          </cell>
          <cell r="BE187">
            <v>13.8</v>
          </cell>
          <cell r="BF187">
            <v>2.8</v>
          </cell>
          <cell r="BG187">
            <v>11.3</v>
          </cell>
          <cell r="BH187">
            <v>0.1</v>
          </cell>
          <cell r="BI187">
            <v>-1.3</v>
          </cell>
          <cell r="BJ187">
            <v>-4.2</v>
          </cell>
          <cell r="BK187">
            <v>-0.1</v>
          </cell>
          <cell r="BL187">
            <v>-0.8</v>
          </cell>
          <cell r="BM187">
            <v>-4.8</v>
          </cell>
          <cell r="BN187">
            <v>-1.2</v>
          </cell>
          <cell r="BO187">
            <v>0.1</v>
          </cell>
          <cell r="BP187">
            <v>-2.1</v>
          </cell>
          <cell r="BQ187">
            <v>-0.2</v>
          </cell>
          <cell r="BR187">
            <v>0.6</v>
          </cell>
          <cell r="BS187">
            <v>0.5</v>
          </cell>
          <cell r="BT187">
            <v>-0.1</v>
          </cell>
          <cell r="BU187">
            <v>0.6</v>
          </cell>
          <cell r="BV187">
            <v>0.6</v>
          </cell>
          <cell r="BW187">
            <v>-0.7</v>
          </cell>
          <cell r="BX187">
            <v>0.2</v>
          </cell>
          <cell r="BY187">
            <v>1.8</v>
          </cell>
          <cell r="BZ187">
            <v>1</v>
          </cell>
          <cell r="CA187">
            <v>2</v>
          </cell>
          <cell r="CB187">
            <v>1.7</v>
          </cell>
          <cell r="CC187">
            <v>1.7</v>
          </cell>
          <cell r="CD187">
            <v>1.8</v>
          </cell>
          <cell r="CE187">
            <v>1.4</v>
          </cell>
          <cell r="CF187">
            <v>2.2000000000000002</v>
          </cell>
          <cell r="CG187">
            <v>1</v>
          </cell>
          <cell r="CH187">
            <v>1.9</v>
          </cell>
          <cell r="CI187">
            <v>0.7</v>
          </cell>
          <cell r="CJ187">
            <v>1.3</v>
          </cell>
          <cell r="CK187">
            <v>0.5</v>
          </cell>
          <cell r="CL187">
            <v>2.4</v>
          </cell>
          <cell r="CM187">
            <v>0.4</v>
          </cell>
          <cell r="CN187">
            <v>1.2</v>
          </cell>
          <cell r="CO187">
            <v>3.5</v>
          </cell>
          <cell r="CP187">
            <v>1.9</v>
          </cell>
          <cell r="CQ187">
            <v>-0.8</v>
          </cell>
          <cell r="CR187">
            <v>-1.5</v>
          </cell>
          <cell r="CS187">
            <v>-1.3</v>
          </cell>
          <cell r="CT187">
            <v>2.1</v>
          </cell>
          <cell r="CU187">
            <v>2.4</v>
          </cell>
          <cell r="CV187">
            <v>2.2999999999999998</v>
          </cell>
          <cell r="CW187">
            <v>0.3</v>
          </cell>
          <cell r="CX187">
            <v>-0.4</v>
          </cell>
          <cell r="CY187">
            <v>0.5</v>
          </cell>
          <cell r="CZ187">
            <v>1.3</v>
          </cell>
          <cell r="DA187">
            <v>1.7</v>
          </cell>
          <cell r="DB187">
            <v>1.2</v>
          </cell>
          <cell r="DC187">
            <v>0.6</v>
          </cell>
          <cell r="DD187">
            <v>1.2</v>
          </cell>
          <cell r="DE187">
            <v>1.6</v>
          </cell>
          <cell r="DF187">
            <v>1.2</v>
          </cell>
          <cell r="DG187">
            <v>6670</v>
          </cell>
          <cell r="DH187">
            <v>1294</v>
          </cell>
          <cell r="DI187">
            <v>7981</v>
          </cell>
          <cell r="DJ187">
            <v>2588</v>
          </cell>
          <cell r="DK187">
            <v>3247</v>
          </cell>
          <cell r="DL187">
            <v>2009</v>
          </cell>
          <cell r="DM187">
            <v>4052</v>
          </cell>
          <cell r="DN187">
            <v>10720</v>
          </cell>
          <cell r="DO187">
            <v>1631</v>
          </cell>
          <cell r="DP187">
            <v>12071</v>
          </cell>
          <cell r="DQ187">
            <v>6135</v>
          </cell>
          <cell r="DR187">
            <v>5625</v>
          </cell>
          <cell r="DS187">
            <v>3800</v>
          </cell>
          <cell r="DT187">
            <v>5009</v>
          </cell>
          <cell r="DU187">
            <v>6854</v>
          </cell>
          <cell r="DV187">
            <v>26941</v>
          </cell>
          <cell r="DW187">
            <v>5074</v>
          </cell>
          <cell r="DX187">
            <v>315</v>
          </cell>
          <cell r="DY187">
            <v>3468</v>
          </cell>
          <cell r="DZ187">
            <v>8786</v>
          </cell>
          <cell r="EA187">
            <v>5325</v>
          </cell>
          <cell r="EB187">
            <v>3611</v>
          </cell>
          <cell r="EC187">
            <v>11083</v>
          </cell>
          <cell r="ED187">
            <v>20136</v>
          </cell>
          <cell r="EE187">
            <v>11956</v>
          </cell>
          <cell r="EF187">
            <v>12403</v>
          </cell>
          <cell r="EG187">
            <v>7899</v>
          </cell>
          <cell r="EH187">
            <v>4643</v>
          </cell>
          <cell r="EI187">
            <v>1289</v>
          </cell>
          <cell r="EJ187">
            <v>2066</v>
          </cell>
          <cell r="EK187">
            <v>5588</v>
          </cell>
          <cell r="EL187">
            <v>13541</v>
          </cell>
          <cell r="EM187">
            <v>3424</v>
          </cell>
          <cell r="EN187">
            <v>3497</v>
          </cell>
          <cell r="EO187">
            <v>6919</v>
          </cell>
          <cell r="EP187">
            <v>12451</v>
          </cell>
          <cell r="EQ187">
            <v>10462</v>
          </cell>
          <cell r="ER187">
            <v>22294</v>
          </cell>
          <cell r="ES187">
            <v>1320</v>
          </cell>
          <cell r="ET187">
            <v>6827</v>
          </cell>
          <cell r="EU187">
            <v>8174</v>
          </cell>
          <cell r="EV187">
            <v>2605</v>
          </cell>
          <cell r="EW187">
            <v>14692</v>
          </cell>
          <cell r="EX187">
            <v>16958</v>
          </cell>
          <cell r="EY187">
            <v>10052</v>
          </cell>
          <cell r="EZ187">
            <v>16038</v>
          </cell>
          <cell r="FA187">
            <v>15557</v>
          </cell>
          <cell r="FB187">
            <v>16258</v>
          </cell>
          <cell r="FC187">
            <v>2279</v>
          </cell>
          <cell r="FD187">
            <v>6447</v>
          </cell>
          <cell r="FE187">
            <v>28012</v>
          </cell>
          <cell r="FF187">
            <v>266448</v>
          </cell>
          <cell r="FG187">
            <v>24215</v>
          </cell>
          <cell r="FH187">
            <v>205</v>
          </cell>
          <cell r="FI187">
            <v>290628</v>
          </cell>
          <cell r="FJ187">
            <v>21.9</v>
          </cell>
          <cell r="FK187">
            <v>-3.6</v>
          </cell>
          <cell r="FL187">
            <v>15.8</v>
          </cell>
          <cell r="FM187">
            <v>2.5</v>
          </cell>
          <cell r="FN187">
            <v>3</v>
          </cell>
          <cell r="FO187">
            <v>-8.9</v>
          </cell>
          <cell r="FP187">
            <v>-4.4000000000000004</v>
          </cell>
          <cell r="FQ187">
            <v>0.3</v>
          </cell>
          <cell r="FR187">
            <v>-8.6</v>
          </cell>
          <cell r="FS187">
            <v>-0.5</v>
          </cell>
          <cell r="FT187">
            <v>-0.5</v>
          </cell>
          <cell r="FU187">
            <v>0.3</v>
          </cell>
          <cell r="FV187">
            <v>-1.8</v>
          </cell>
          <cell r="FW187">
            <v>-1.3</v>
          </cell>
          <cell r="FX187">
            <v>0.9</v>
          </cell>
          <cell r="FY187">
            <v>-0.5</v>
          </cell>
          <cell r="FZ187">
            <v>2.2000000000000002</v>
          </cell>
          <cell r="GA187">
            <v>5.5</v>
          </cell>
          <cell r="GB187">
            <v>-1</v>
          </cell>
          <cell r="GC187">
            <v>1</v>
          </cell>
          <cell r="GD187">
            <v>2.2999999999999998</v>
          </cell>
          <cell r="GE187">
            <v>-2.2999999999999998</v>
          </cell>
          <cell r="GF187">
            <v>3.2</v>
          </cell>
          <cell r="GG187">
            <v>1.9</v>
          </cell>
          <cell r="GH187">
            <v>2.2000000000000002</v>
          </cell>
          <cell r="GI187">
            <v>2.2000000000000002</v>
          </cell>
          <cell r="GJ187">
            <v>2.5</v>
          </cell>
          <cell r="GK187">
            <v>4.5999999999999996</v>
          </cell>
          <cell r="GL187">
            <v>1</v>
          </cell>
          <cell r="GM187">
            <v>3</v>
          </cell>
          <cell r="GN187">
            <v>0</v>
          </cell>
          <cell r="GO187">
            <v>1.8</v>
          </cell>
          <cell r="GP187">
            <v>3</v>
          </cell>
          <cell r="GQ187">
            <v>0.3</v>
          </cell>
          <cell r="GR187">
            <v>1.8</v>
          </cell>
          <cell r="GS187">
            <v>0.8</v>
          </cell>
          <cell r="GT187">
            <v>5</v>
          </cell>
          <cell r="GU187">
            <v>2.2000000000000002</v>
          </cell>
          <cell r="GV187">
            <v>3.6</v>
          </cell>
          <cell r="GW187">
            <v>-0.7</v>
          </cell>
          <cell r="GX187">
            <v>0.2</v>
          </cell>
          <cell r="GY187">
            <v>1.8</v>
          </cell>
          <cell r="GZ187">
            <v>1.6</v>
          </cell>
          <cell r="HA187">
            <v>1.7</v>
          </cell>
          <cell r="HB187">
            <v>0.5</v>
          </cell>
          <cell r="HC187">
            <v>-2.5</v>
          </cell>
          <cell r="HD187">
            <v>0.4</v>
          </cell>
          <cell r="HE187">
            <v>1.1000000000000001</v>
          </cell>
          <cell r="HF187">
            <v>-0.7</v>
          </cell>
          <cell r="HG187">
            <v>2.2000000000000002</v>
          </cell>
          <cell r="HH187">
            <v>0.6</v>
          </cell>
          <cell r="HI187">
            <v>1.3</v>
          </cell>
          <cell r="HJ187">
            <v>2.2999999999999998</v>
          </cell>
          <cell r="HK187">
            <v>1.6</v>
          </cell>
          <cell r="HL187">
            <v>3561</v>
          </cell>
          <cell r="HM187">
            <v>1300</v>
          </cell>
          <cell r="HN187">
            <v>5001</v>
          </cell>
          <cell r="HO187">
            <v>2663</v>
          </cell>
          <cell r="HP187">
            <v>3447</v>
          </cell>
          <cell r="HQ187">
            <v>2055</v>
          </cell>
          <cell r="HR187">
            <v>4074</v>
          </cell>
          <cell r="HS187">
            <v>11138</v>
          </cell>
          <cell r="HT187">
            <v>1602</v>
          </cell>
          <cell r="HU187">
            <v>12477</v>
          </cell>
          <cell r="HV187">
            <v>6021</v>
          </cell>
          <cell r="HW187">
            <v>5780</v>
          </cell>
          <cell r="HX187">
            <v>3842</v>
          </cell>
          <cell r="HY187">
            <v>5203</v>
          </cell>
          <cell r="HZ187">
            <v>7118</v>
          </cell>
          <cell r="IA187">
            <v>27443</v>
          </cell>
          <cell r="IB187">
            <v>5217</v>
          </cell>
          <cell r="IC187">
            <v>359</v>
          </cell>
          <cell r="ID187">
            <v>3469</v>
          </cell>
          <cell r="IE187">
            <v>9028</v>
          </cell>
          <cell r="IF187">
            <v>5536</v>
          </cell>
          <cell r="IG187">
            <v>3504</v>
          </cell>
          <cell r="IH187">
            <v>11238</v>
          </cell>
          <cell r="II187">
            <v>20381</v>
          </cell>
          <cell r="IJ187">
            <v>12102</v>
          </cell>
          <cell r="IK187">
            <v>12150</v>
          </cell>
          <cell r="IL187">
            <v>7865</v>
          </cell>
          <cell r="IM187">
            <v>4676</v>
          </cell>
          <cell r="IN187">
            <v>1354</v>
          </cell>
          <cell r="IO187">
            <v>2117</v>
          </cell>
          <cell r="IP187">
            <v>5661</v>
          </cell>
          <cell r="IQ187">
            <v>13786</v>
          </cell>
        </row>
        <row r="188">
          <cell r="B188">
            <v>7448</v>
          </cell>
          <cell r="C188">
            <v>1331</v>
          </cell>
          <cell r="D188">
            <v>8768</v>
          </cell>
          <cell r="E188">
            <v>2596</v>
          </cell>
          <cell r="F188">
            <v>3125</v>
          </cell>
          <cell r="G188">
            <v>1975</v>
          </cell>
          <cell r="H188">
            <v>3991</v>
          </cell>
          <cell r="I188">
            <v>10523</v>
          </cell>
          <cell r="J188">
            <v>1717</v>
          </cell>
          <cell r="K188">
            <v>11931</v>
          </cell>
          <cell r="L188">
            <v>6304</v>
          </cell>
          <cell r="M188">
            <v>5767</v>
          </cell>
          <cell r="N188">
            <v>3740</v>
          </cell>
          <cell r="O188">
            <v>5061</v>
          </cell>
          <cell r="P188">
            <v>6961</v>
          </cell>
          <cell r="Q188">
            <v>27253</v>
          </cell>
          <cell r="R188">
            <v>5107</v>
          </cell>
          <cell r="S188">
            <v>311</v>
          </cell>
          <cell r="T188">
            <v>3497</v>
          </cell>
          <cell r="U188">
            <v>8873</v>
          </cell>
          <cell r="V188">
            <v>5601</v>
          </cell>
          <cell r="W188">
            <v>3768</v>
          </cell>
          <cell r="X188">
            <v>11086</v>
          </cell>
          <cell r="Y188">
            <v>20526</v>
          </cell>
          <cell r="Z188">
            <v>12166</v>
          </cell>
          <cell r="AA188">
            <v>12595</v>
          </cell>
          <cell r="AB188">
            <v>8007</v>
          </cell>
          <cell r="AC188">
            <v>4722</v>
          </cell>
          <cell r="AD188">
            <v>1335</v>
          </cell>
          <cell r="AE188">
            <v>2177</v>
          </cell>
          <cell r="AF188">
            <v>5905</v>
          </cell>
          <cell r="AG188">
            <v>14100</v>
          </cell>
          <cell r="AH188">
            <v>3371</v>
          </cell>
          <cell r="AI188">
            <v>3616</v>
          </cell>
          <cell r="AJ188">
            <v>6947</v>
          </cell>
          <cell r="AK188">
            <v>12642</v>
          </cell>
          <cell r="AL188">
            <v>10629</v>
          </cell>
          <cell r="AM188">
            <v>22643</v>
          </cell>
          <cell r="AN188">
            <v>1320</v>
          </cell>
          <cell r="AO188">
            <v>7005</v>
          </cell>
          <cell r="AP188">
            <v>8338</v>
          </cell>
          <cell r="AQ188">
            <v>2588</v>
          </cell>
          <cell r="AR188">
            <v>14854</v>
          </cell>
          <cell r="AS188">
            <v>17057</v>
          </cell>
          <cell r="AT188">
            <v>10052</v>
          </cell>
          <cell r="AU188">
            <v>16563</v>
          </cell>
          <cell r="AV188">
            <v>15632</v>
          </cell>
          <cell r="AW188">
            <v>16447</v>
          </cell>
          <cell r="AX188">
            <v>2323</v>
          </cell>
          <cell r="AY188">
            <v>6432</v>
          </cell>
          <cell r="AZ188">
            <v>28245</v>
          </cell>
          <cell r="BA188">
            <v>270676</v>
          </cell>
          <cell r="BB188">
            <v>24446</v>
          </cell>
          <cell r="BC188">
            <v>114</v>
          </cell>
          <cell r="BD188">
            <v>294964</v>
          </cell>
          <cell r="BE188">
            <v>14</v>
          </cell>
          <cell r="BF188">
            <v>-0.2</v>
          </cell>
          <cell r="BG188">
            <v>11</v>
          </cell>
          <cell r="BH188">
            <v>0.4</v>
          </cell>
          <cell r="BI188">
            <v>-0.8</v>
          </cell>
          <cell r="BJ188">
            <v>-4.9000000000000004</v>
          </cell>
          <cell r="BK188">
            <v>-2.5</v>
          </cell>
          <cell r="BL188">
            <v>-1.1000000000000001</v>
          </cell>
          <cell r="BM188">
            <v>1.8</v>
          </cell>
          <cell r="BN188">
            <v>-0.8</v>
          </cell>
          <cell r="BO188">
            <v>1.6</v>
          </cell>
          <cell r="BP188">
            <v>0.4</v>
          </cell>
          <cell r="BQ188">
            <v>-1.1000000000000001</v>
          </cell>
          <cell r="BR188">
            <v>0.2</v>
          </cell>
          <cell r="BS188">
            <v>1.5</v>
          </cell>
          <cell r="BT188">
            <v>0.5</v>
          </cell>
          <cell r="BU188">
            <v>1.5</v>
          </cell>
          <cell r="BV188">
            <v>0.9</v>
          </cell>
          <cell r="BW188">
            <v>0.6</v>
          </cell>
          <cell r="BX188">
            <v>1.3</v>
          </cell>
          <cell r="BY188">
            <v>3.7</v>
          </cell>
          <cell r="BZ188">
            <v>2.2000000000000002</v>
          </cell>
          <cell r="CA188">
            <v>1.8</v>
          </cell>
          <cell r="CB188">
            <v>2.2000000000000002</v>
          </cell>
          <cell r="CC188">
            <v>2.1</v>
          </cell>
          <cell r="CD188">
            <v>1.7</v>
          </cell>
          <cell r="CE188">
            <v>1.9</v>
          </cell>
          <cell r="CF188">
            <v>3.3</v>
          </cell>
          <cell r="CG188">
            <v>2.2999999999999998</v>
          </cell>
          <cell r="CH188">
            <v>4.5999999999999996</v>
          </cell>
          <cell r="CI188">
            <v>4</v>
          </cell>
          <cell r="CJ188">
            <v>3.6</v>
          </cell>
          <cell r="CK188">
            <v>0.3</v>
          </cell>
          <cell r="CL188">
            <v>2.5</v>
          </cell>
          <cell r="CM188">
            <v>0.9</v>
          </cell>
          <cell r="CN188">
            <v>1.4</v>
          </cell>
          <cell r="CO188">
            <v>2.2999999999999998</v>
          </cell>
          <cell r="CP188">
            <v>1.7</v>
          </cell>
          <cell r="CQ188">
            <v>0.9</v>
          </cell>
          <cell r="CR188">
            <v>1.7</v>
          </cell>
          <cell r="CS188">
            <v>1.5</v>
          </cell>
          <cell r="CT188">
            <v>-0.5</v>
          </cell>
          <cell r="CU188">
            <v>1</v>
          </cell>
          <cell r="CV188">
            <v>0.6</v>
          </cell>
          <cell r="CW188">
            <v>-0.1</v>
          </cell>
          <cell r="CX188">
            <v>1.1000000000000001</v>
          </cell>
          <cell r="CY188">
            <v>0.5</v>
          </cell>
          <cell r="CZ188">
            <v>1.3</v>
          </cell>
          <cell r="DA188">
            <v>0.7</v>
          </cell>
          <cell r="DB188">
            <v>0.5</v>
          </cell>
          <cell r="DC188">
            <v>0.8</v>
          </cell>
          <cell r="DD188">
            <v>1.5</v>
          </cell>
          <cell r="DE188">
            <v>1.3</v>
          </cell>
          <cell r="DF188">
            <v>1.5</v>
          </cell>
          <cell r="DG188">
            <v>7493</v>
          </cell>
          <cell r="DH188">
            <v>1352</v>
          </cell>
          <cell r="DI188">
            <v>8835</v>
          </cell>
          <cell r="DJ188">
            <v>2619</v>
          </cell>
          <cell r="DK188">
            <v>3052</v>
          </cell>
          <cell r="DL188">
            <v>2026</v>
          </cell>
          <cell r="DM188">
            <v>3970</v>
          </cell>
          <cell r="DN188">
            <v>10467</v>
          </cell>
          <cell r="DO188">
            <v>1740</v>
          </cell>
          <cell r="DP188">
            <v>11891</v>
          </cell>
          <cell r="DQ188">
            <v>6334</v>
          </cell>
          <cell r="DR188">
            <v>5925</v>
          </cell>
          <cell r="DS188">
            <v>3674</v>
          </cell>
          <cell r="DT188">
            <v>5028</v>
          </cell>
          <cell r="DU188">
            <v>6922</v>
          </cell>
          <cell r="DV188">
            <v>27219</v>
          </cell>
          <cell r="DW188">
            <v>5074</v>
          </cell>
          <cell r="DX188">
            <v>311</v>
          </cell>
          <cell r="DY188">
            <v>3499</v>
          </cell>
          <cell r="DZ188">
            <v>8853</v>
          </cell>
          <cell r="EA188">
            <v>5671</v>
          </cell>
          <cell r="EB188">
            <v>3791</v>
          </cell>
          <cell r="EC188">
            <v>10970</v>
          </cell>
          <cell r="ED188">
            <v>20484</v>
          </cell>
          <cell r="EE188">
            <v>12051</v>
          </cell>
          <cell r="EF188">
            <v>12669</v>
          </cell>
          <cell r="EG188">
            <v>8042</v>
          </cell>
          <cell r="EH188">
            <v>4658</v>
          </cell>
          <cell r="EI188">
            <v>1352</v>
          </cell>
          <cell r="EJ188">
            <v>2203</v>
          </cell>
          <cell r="EK188">
            <v>5949</v>
          </cell>
          <cell r="EL188">
            <v>14136</v>
          </cell>
          <cell r="EM188">
            <v>3314</v>
          </cell>
          <cell r="EN188">
            <v>3633</v>
          </cell>
          <cell r="EO188">
            <v>6912</v>
          </cell>
          <cell r="EP188">
            <v>12647</v>
          </cell>
          <cell r="EQ188">
            <v>10718</v>
          </cell>
          <cell r="ER188">
            <v>22709</v>
          </cell>
          <cell r="ES188">
            <v>1316</v>
          </cell>
          <cell r="ET188">
            <v>7069</v>
          </cell>
          <cell r="EU188">
            <v>8391</v>
          </cell>
          <cell r="EV188">
            <v>2624</v>
          </cell>
          <cell r="EW188">
            <v>14929</v>
          </cell>
          <cell r="EX188">
            <v>17187</v>
          </cell>
          <cell r="EY188">
            <v>10121</v>
          </cell>
          <cell r="EZ188">
            <v>16764</v>
          </cell>
          <cell r="FA188">
            <v>15632</v>
          </cell>
          <cell r="FB188">
            <v>16384</v>
          </cell>
          <cell r="FC188">
            <v>2398</v>
          </cell>
          <cell r="FD188">
            <v>6418</v>
          </cell>
          <cell r="FE188">
            <v>28242</v>
          </cell>
          <cell r="FF188">
            <v>271028</v>
          </cell>
          <cell r="FG188">
            <v>24560</v>
          </cell>
          <cell r="FH188">
            <v>478</v>
          </cell>
          <cell r="FI188">
            <v>295804</v>
          </cell>
          <cell r="FJ188">
            <v>12.3</v>
          </cell>
          <cell r="FK188">
            <v>4.5</v>
          </cell>
          <cell r="FL188">
            <v>10.7</v>
          </cell>
          <cell r="FM188">
            <v>1.2</v>
          </cell>
          <cell r="FN188">
            <v>-6</v>
          </cell>
          <cell r="FO188">
            <v>0.8</v>
          </cell>
          <cell r="FP188">
            <v>-2</v>
          </cell>
          <cell r="FQ188">
            <v>-2.4</v>
          </cell>
          <cell r="FR188">
            <v>6.7</v>
          </cell>
          <cell r="FS188">
            <v>-1.5</v>
          </cell>
          <cell r="FT188">
            <v>3.2</v>
          </cell>
          <cell r="FU188">
            <v>5.3</v>
          </cell>
          <cell r="FV188">
            <v>-3.3</v>
          </cell>
          <cell r="FW188">
            <v>0.4</v>
          </cell>
          <cell r="FX188">
            <v>1</v>
          </cell>
          <cell r="FY188">
            <v>1</v>
          </cell>
          <cell r="FZ188">
            <v>0</v>
          </cell>
          <cell r="GA188">
            <v>-1.2</v>
          </cell>
          <cell r="GB188">
            <v>0.9</v>
          </cell>
          <cell r="GC188">
            <v>0.8</v>
          </cell>
          <cell r="GD188">
            <v>6.5</v>
          </cell>
          <cell r="GE188">
            <v>5</v>
          </cell>
          <cell r="GF188">
            <v>-1</v>
          </cell>
          <cell r="GG188">
            <v>1.7</v>
          </cell>
          <cell r="GH188">
            <v>0.8</v>
          </cell>
          <cell r="GI188">
            <v>2.1</v>
          </cell>
          <cell r="GJ188">
            <v>1.8</v>
          </cell>
          <cell r="GK188">
            <v>0.3</v>
          </cell>
          <cell r="GL188">
            <v>4.8</v>
          </cell>
          <cell r="GM188">
            <v>6.6</v>
          </cell>
          <cell r="GN188">
            <v>6.5</v>
          </cell>
          <cell r="GO188">
            <v>4.4000000000000004</v>
          </cell>
          <cell r="GP188">
            <v>-3.2</v>
          </cell>
          <cell r="GQ188">
            <v>3.9</v>
          </cell>
          <cell r="GR188">
            <v>-0.1</v>
          </cell>
          <cell r="GS188">
            <v>1.6</v>
          </cell>
          <cell r="GT188">
            <v>2.5</v>
          </cell>
          <cell r="GU188">
            <v>1.9</v>
          </cell>
          <cell r="GV188">
            <v>-0.3</v>
          </cell>
          <cell r="GW188">
            <v>3.6</v>
          </cell>
          <cell r="GX188">
            <v>2.7</v>
          </cell>
          <cell r="GY188">
            <v>0.7</v>
          </cell>
          <cell r="GZ188">
            <v>1.6</v>
          </cell>
          <cell r="HA188">
            <v>1.4</v>
          </cell>
          <cell r="HB188">
            <v>0.7</v>
          </cell>
          <cell r="HC188">
            <v>4.5</v>
          </cell>
          <cell r="HD188">
            <v>0.5</v>
          </cell>
          <cell r="HE188">
            <v>0.8</v>
          </cell>
          <cell r="HF188">
            <v>5.2</v>
          </cell>
          <cell r="HG188">
            <v>-0.4</v>
          </cell>
          <cell r="HH188">
            <v>0.8</v>
          </cell>
          <cell r="HI188">
            <v>1.7</v>
          </cell>
          <cell r="HJ188">
            <v>1.4</v>
          </cell>
          <cell r="HK188">
            <v>1.8</v>
          </cell>
          <cell r="HL188">
            <v>13394</v>
          </cell>
          <cell r="HM188">
            <v>1361</v>
          </cell>
          <cell r="HN188">
            <v>14532</v>
          </cell>
          <cell r="HO188">
            <v>2601</v>
          </cell>
          <cell r="HP188">
            <v>3031</v>
          </cell>
          <cell r="HQ188">
            <v>2062</v>
          </cell>
          <cell r="HR188">
            <v>4053</v>
          </cell>
          <cell r="HS188">
            <v>10482</v>
          </cell>
          <cell r="HT188">
            <v>1766</v>
          </cell>
          <cell r="HU188">
            <v>11923</v>
          </cell>
          <cell r="HV188">
            <v>6818</v>
          </cell>
          <cell r="HW188">
            <v>5945</v>
          </cell>
          <cell r="HX188">
            <v>3731</v>
          </cell>
          <cell r="HY188">
            <v>5037</v>
          </cell>
          <cell r="HZ188">
            <v>7181</v>
          </cell>
          <cell r="IA188">
            <v>28030</v>
          </cell>
          <cell r="IB188">
            <v>4954</v>
          </cell>
          <cell r="IC188">
            <v>291</v>
          </cell>
          <cell r="ID188">
            <v>3517</v>
          </cell>
          <cell r="IE188">
            <v>8697</v>
          </cell>
          <cell r="IF188">
            <v>5944</v>
          </cell>
          <cell r="IG188">
            <v>3899</v>
          </cell>
          <cell r="IH188">
            <v>11493</v>
          </cell>
          <cell r="II188">
            <v>21393</v>
          </cell>
          <cell r="IJ188">
            <v>12385</v>
          </cell>
          <cell r="IK188">
            <v>13958</v>
          </cell>
          <cell r="IL188">
            <v>8462</v>
          </cell>
          <cell r="IM188">
            <v>4952</v>
          </cell>
          <cell r="IN188">
            <v>1387</v>
          </cell>
          <cell r="IO188">
            <v>2222</v>
          </cell>
          <cell r="IP188">
            <v>6277</v>
          </cell>
          <cell r="IQ188">
            <v>14802</v>
          </cell>
        </row>
        <row r="189">
          <cell r="B189">
            <v>7947</v>
          </cell>
          <cell r="C189">
            <v>1335</v>
          </cell>
          <cell r="D189">
            <v>9249</v>
          </cell>
          <cell r="E189">
            <v>2607</v>
          </cell>
          <cell r="F189">
            <v>3116</v>
          </cell>
          <cell r="G189">
            <v>1958</v>
          </cell>
          <cell r="H189">
            <v>3886</v>
          </cell>
          <cell r="I189">
            <v>10461</v>
          </cell>
          <cell r="J189">
            <v>1822</v>
          </cell>
          <cell r="K189">
            <v>11943</v>
          </cell>
          <cell r="L189">
            <v>6402</v>
          </cell>
          <cell r="M189">
            <v>5889</v>
          </cell>
          <cell r="N189">
            <v>3679</v>
          </cell>
          <cell r="O189">
            <v>5061</v>
          </cell>
          <cell r="P189">
            <v>7067</v>
          </cell>
          <cell r="Q189">
            <v>27431</v>
          </cell>
          <cell r="R189">
            <v>5170</v>
          </cell>
          <cell r="S189">
            <v>312</v>
          </cell>
          <cell r="T189">
            <v>3537</v>
          </cell>
          <cell r="U189">
            <v>8988</v>
          </cell>
          <cell r="V189">
            <v>5767</v>
          </cell>
          <cell r="W189">
            <v>3911</v>
          </cell>
          <cell r="X189">
            <v>11071</v>
          </cell>
          <cell r="Y189">
            <v>20798</v>
          </cell>
          <cell r="Z189">
            <v>12374</v>
          </cell>
          <cell r="AA189">
            <v>12780</v>
          </cell>
          <cell r="AB189">
            <v>8179</v>
          </cell>
          <cell r="AC189">
            <v>4825</v>
          </cell>
          <cell r="AD189">
            <v>1375</v>
          </cell>
          <cell r="AE189">
            <v>2237</v>
          </cell>
          <cell r="AF189">
            <v>6170</v>
          </cell>
          <cell r="AG189">
            <v>14573</v>
          </cell>
          <cell r="AH189">
            <v>3392</v>
          </cell>
          <cell r="AI189">
            <v>3698</v>
          </cell>
          <cell r="AJ189">
            <v>7057</v>
          </cell>
          <cell r="AK189">
            <v>12877</v>
          </cell>
          <cell r="AL189">
            <v>10751</v>
          </cell>
          <cell r="AM189">
            <v>23004</v>
          </cell>
          <cell r="AN189">
            <v>1339</v>
          </cell>
          <cell r="AO189">
            <v>7240</v>
          </cell>
          <cell r="AP189">
            <v>8580</v>
          </cell>
          <cell r="AQ189">
            <v>2545</v>
          </cell>
          <cell r="AR189">
            <v>14904</v>
          </cell>
          <cell r="AS189">
            <v>17015</v>
          </cell>
          <cell r="AT189">
            <v>10081</v>
          </cell>
          <cell r="AU189">
            <v>16694</v>
          </cell>
          <cell r="AV189">
            <v>15710</v>
          </cell>
          <cell r="AW189">
            <v>16636</v>
          </cell>
          <cell r="AX189">
            <v>2346</v>
          </cell>
          <cell r="AY189">
            <v>6433</v>
          </cell>
          <cell r="AZ189">
            <v>28539</v>
          </cell>
          <cell r="BA189">
            <v>274168</v>
          </cell>
          <cell r="BB189">
            <v>24579</v>
          </cell>
          <cell r="BC189">
            <v>-64</v>
          </cell>
          <cell r="BD189">
            <v>298379</v>
          </cell>
          <cell r="BE189">
            <v>6.7</v>
          </cell>
          <cell r="BF189">
            <v>0.3</v>
          </cell>
          <cell r="BG189">
            <v>5.5</v>
          </cell>
          <cell r="BH189">
            <v>0.4</v>
          </cell>
          <cell r="BI189">
            <v>-0.3</v>
          </cell>
          <cell r="BJ189">
            <v>-0.9</v>
          </cell>
          <cell r="BK189">
            <v>-2.6</v>
          </cell>
          <cell r="BL189">
            <v>-0.6</v>
          </cell>
          <cell r="BM189">
            <v>6.1</v>
          </cell>
          <cell r="BN189">
            <v>0.1</v>
          </cell>
          <cell r="BO189">
            <v>1.6</v>
          </cell>
          <cell r="BP189">
            <v>2.1</v>
          </cell>
          <cell r="BQ189">
            <v>-1.6</v>
          </cell>
          <cell r="BR189">
            <v>0</v>
          </cell>
          <cell r="BS189">
            <v>1.5</v>
          </cell>
          <cell r="BT189">
            <v>0.7</v>
          </cell>
          <cell r="BU189">
            <v>1.2</v>
          </cell>
          <cell r="BV189">
            <v>0.2</v>
          </cell>
          <cell r="BW189">
            <v>1.2</v>
          </cell>
          <cell r="BX189">
            <v>1.3</v>
          </cell>
          <cell r="BY189">
            <v>3</v>
          </cell>
          <cell r="BZ189">
            <v>3.8</v>
          </cell>
          <cell r="CA189">
            <v>-0.1</v>
          </cell>
          <cell r="CB189">
            <v>1.3</v>
          </cell>
          <cell r="CC189">
            <v>1.7</v>
          </cell>
          <cell r="CD189">
            <v>1.5</v>
          </cell>
          <cell r="CE189">
            <v>2.1</v>
          </cell>
          <cell r="CF189">
            <v>2.2000000000000002</v>
          </cell>
          <cell r="CG189">
            <v>3</v>
          </cell>
          <cell r="CH189">
            <v>2.8</v>
          </cell>
          <cell r="CI189">
            <v>4.5</v>
          </cell>
          <cell r="CJ189">
            <v>3.4</v>
          </cell>
          <cell r="CK189">
            <v>0.6</v>
          </cell>
          <cell r="CL189">
            <v>2.2000000000000002</v>
          </cell>
          <cell r="CM189">
            <v>1.6</v>
          </cell>
          <cell r="CN189">
            <v>1.9</v>
          </cell>
          <cell r="CO189">
            <v>1.1000000000000001</v>
          </cell>
          <cell r="CP189">
            <v>1.6</v>
          </cell>
          <cell r="CQ189">
            <v>1.4</v>
          </cell>
          <cell r="CR189">
            <v>3.4</v>
          </cell>
          <cell r="CS189">
            <v>2.9</v>
          </cell>
          <cell r="CT189">
            <v>-1.7</v>
          </cell>
          <cell r="CU189">
            <v>0.3</v>
          </cell>
          <cell r="CV189">
            <v>-0.2</v>
          </cell>
          <cell r="CW189">
            <v>0.3</v>
          </cell>
          <cell r="CX189">
            <v>0.8</v>
          </cell>
          <cell r="CY189">
            <v>0.5</v>
          </cell>
          <cell r="CZ189">
            <v>1.2</v>
          </cell>
          <cell r="DA189">
            <v>1</v>
          </cell>
          <cell r="DB189">
            <v>0</v>
          </cell>
          <cell r="DC189">
            <v>1</v>
          </cell>
          <cell r="DD189">
            <v>1.3</v>
          </cell>
          <cell r="DE189">
            <v>0.5</v>
          </cell>
          <cell r="DF189">
            <v>1.2</v>
          </cell>
          <cell r="DG189">
            <v>8094</v>
          </cell>
          <cell r="DH189">
            <v>1351</v>
          </cell>
          <cell r="DI189">
            <v>9408</v>
          </cell>
          <cell r="DJ189">
            <v>2603</v>
          </cell>
          <cell r="DK189">
            <v>3153</v>
          </cell>
          <cell r="DL189">
            <v>1924</v>
          </cell>
          <cell r="DM189">
            <v>3921</v>
          </cell>
          <cell r="DN189">
            <v>10505</v>
          </cell>
          <cell r="DO189">
            <v>1778</v>
          </cell>
          <cell r="DP189">
            <v>11955</v>
          </cell>
          <cell r="DQ189">
            <v>6464</v>
          </cell>
          <cell r="DR189">
            <v>5919</v>
          </cell>
          <cell r="DS189">
            <v>3716</v>
          </cell>
          <cell r="DT189">
            <v>5076</v>
          </cell>
          <cell r="DU189">
            <v>7116</v>
          </cell>
          <cell r="DV189">
            <v>27625</v>
          </cell>
          <cell r="DW189">
            <v>5191</v>
          </cell>
          <cell r="DX189">
            <v>312</v>
          </cell>
          <cell r="DY189">
            <v>3537</v>
          </cell>
          <cell r="DZ189">
            <v>9009</v>
          </cell>
          <cell r="EA189">
            <v>5828</v>
          </cell>
          <cell r="EB189">
            <v>3946</v>
          </cell>
          <cell r="EC189">
            <v>11051</v>
          </cell>
          <cell r="ED189">
            <v>20860</v>
          </cell>
          <cell r="EE189">
            <v>12530</v>
          </cell>
          <cell r="EF189">
            <v>12717</v>
          </cell>
          <cell r="EG189">
            <v>8114</v>
          </cell>
          <cell r="EH189">
            <v>4858</v>
          </cell>
          <cell r="EI189">
            <v>1377</v>
          </cell>
          <cell r="EJ189">
            <v>2236</v>
          </cell>
          <cell r="EK189">
            <v>6227</v>
          </cell>
          <cell r="EL189">
            <v>14663</v>
          </cell>
          <cell r="EM189">
            <v>3391</v>
          </cell>
          <cell r="EN189">
            <v>3678</v>
          </cell>
          <cell r="EO189">
            <v>7040</v>
          </cell>
          <cell r="EP189">
            <v>12884</v>
          </cell>
          <cell r="EQ189">
            <v>10578</v>
          </cell>
          <cell r="ER189">
            <v>22890</v>
          </cell>
          <cell r="ES189">
            <v>1337</v>
          </cell>
          <cell r="ET189">
            <v>7086</v>
          </cell>
          <cell r="EU189">
            <v>8438</v>
          </cell>
          <cell r="EV189">
            <v>2524</v>
          </cell>
          <cell r="EW189">
            <v>14827</v>
          </cell>
          <cell r="EX189">
            <v>16912</v>
          </cell>
          <cell r="EY189">
            <v>10012</v>
          </cell>
          <cell r="EZ189">
            <v>16706</v>
          </cell>
          <cell r="FA189">
            <v>15709</v>
          </cell>
          <cell r="FB189">
            <v>16693</v>
          </cell>
          <cell r="FC189">
            <v>2241</v>
          </cell>
          <cell r="FD189">
            <v>6404</v>
          </cell>
          <cell r="FE189">
            <v>28532</v>
          </cell>
          <cell r="FF189">
            <v>274324</v>
          </cell>
          <cell r="FG189">
            <v>24506</v>
          </cell>
          <cell r="FH189">
            <v>-178</v>
          </cell>
          <cell r="FI189">
            <v>298344</v>
          </cell>
          <cell r="FJ189">
            <v>8</v>
          </cell>
          <cell r="FK189">
            <v>-0.1</v>
          </cell>
          <cell r="FL189">
            <v>6.5</v>
          </cell>
          <cell r="FM189">
            <v>-0.6</v>
          </cell>
          <cell r="FN189">
            <v>3.3</v>
          </cell>
          <cell r="FO189">
            <v>-5</v>
          </cell>
          <cell r="FP189">
            <v>-1.2</v>
          </cell>
          <cell r="FQ189">
            <v>0.4</v>
          </cell>
          <cell r="FR189">
            <v>2.2000000000000002</v>
          </cell>
          <cell r="FS189">
            <v>0.5</v>
          </cell>
          <cell r="FT189">
            <v>2</v>
          </cell>
          <cell r="FU189">
            <v>-0.1</v>
          </cell>
          <cell r="FV189">
            <v>1.1000000000000001</v>
          </cell>
          <cell r="FW189">
            <v>1</v>
          </cell>
          <cell r="FX189">
            <v>2.8</v>
          </cell>
          <cell r="FY189">
            <v>1.5</v>
          </cell>
          <cell r="FZ189">
            <v>2.2999999999999998</v>
          </cell>
          <cell r="GA189">
            <v>0.3</v>
          </cell>
          <cell r="GB189">
            <v>1.1000000000000001</v>
          </cell>
          <cell r="GC189">
            <v>1.8</v>
          </cell>
          <cell r="GD189">
            <v>2.8</v>
          </cell>
          <cell r="GE189">
            <v>4.0999999999999996</v>
          </cell>
          <cell r="GF189">
            <v>0.7</v>
          </cell>
          <cell r="GG189">
            <v>1.8</v>
          </cell>
          <cell r="GH189">
            <v>4</v>
          </cell>
          <cell r="GI189">
            <v>0.4</v>
          </cell>
          <cell r="GJ189">
            <v>0.9</v>
          </cell>
          <cell r="GK189">
            <v>4.3</v>
          </cell>
          <cell r="GL189">
            <v>1.9</v>
          </cell>
          <cell r="GM189">
            <v>1.5</v>
          </cell>
          <cell r="GN189">
            <v>4.7</v>
          </cell>
          <cell r="GO189">
            <v>3.7</v>
          </cell>
          <cell r="GP189">
            <v>2.2999999999999998</v>
          </cell>
          <cell r="GQ189">
            <v>1.2</v>
          </cell>
          <cell r="GR189">
            <v>1.8</v>
          </cell>
          <cell r="GS189">
            <v>1.9</v>
          </cell>
          <cell r="GT189">
            <v>-1.3</v>
          </cell>
          <cell r="GU189">
            <v>0.8</v>
          </cell>
          <cell r="GV189">
            <v>1.6</v>
          </cell>
          <cell r="GW189">
            <v>0.2</v>
          </cell>
          <cell r="GX189">
            <v>0.6</v>
          </cell>
          <cell r="GY189">
            <v>-3.8</v>
          </cell>
          <cell r="GZ189">
            <v>-0.7</v>
          </cell>
          <cell r="HA189">
            <v>-1.6</v>
          </cell>
          <cell r="HB189">
            <v>-1.1000000000000001</v>
          </cell>
          <cell r="HC189">
            <v>-0.3</v>
          </cell>
          <cell r="HD189">
            <v>0.5</v>
          </cell>
          <cell r="HE189">
            <v>1.9</v>
          </cell>
          <cell r="HF189">
            <v>-6.6</v>
          </cell>
          <cell r="HG189">
            <v>-0.2</v>
          </cell>
          <cell r="HH189">
            <v>1</v>
          </cell>
          <cell r="HI189">
            <v>1.2</v>
          </cell>
          <cell r="HJ189">
            <v>-0.2</v>
          </cell>
          <cell r="HK189">
            <v>0.9</v>
          </cell>
          <cell r="HL189">
            <v>7283</v>
          </cell>
          <cell r="HM189">
            <v>1348</v>
          </cell>
          <cell r="HN189">
            <v>8620</v>
          </cell>
          <cell r="HO189">
            <v>2532</v>
          </cell>
          <cell r="HP189">
            <v>2990</v>
          </cell>
          <cell r="HQ189">
            <v>1815</v>
          </cell>
          <cell r="HR189">
            <v>3846</v>
          </cell>
          <cell r="HS189">
            <v>10080</v>
          </cell>
          <cell r="HT189">
            <v>1710</v>
          </cell>
          <cell r="HU189">
            <v>11474</v>
          </cell>
          <cell r="HV189">
            <v>6307</v>
          </cell>
          <cell r="HW189">
            <v>5811</v>
          </cell>
          <cell r="HX189">
            <v>3576</v>
          </cell>
          <cell r="HY189">
            <v>4710</v>
          </cell>
          <cell r="HZ189">
            <v>6658</v>
          </cell>
          <cell r="IA189">
            <v>26392</v>
          </cell>
          <cell r="IB189">
            <v>5177</v>
          </cell>
          <cell r="IC189">
            <v>268</v>
          </cell>
          <cell r="ID189">
            <v>3586</v>
          </cell>
          <cell r="IE189">
            <v>8975</v>
          </cell>
          <cell r="IF189">
            <v>5337</v>
          </cell>
          <cell r="IG189">
            <v>3701</v>
          </cell>
          <cell r="IH189">
            <v>10524</v>
          </cell>
          <cell r="II189">
            <v>19632</v>
          </cell>
          <cell r="IJ189">
            <v>12030</v>
          </cell>
          <cell r="IK189">
            <v>12190</v>
          </cell>
          <cell r="IL189">
            <v>7933</v>
          </cell>
          <cell r="IM189">
            <v>4653</v>
          </cell>
          <cell r="IN189">
            <v>1317</v>
          </cell>
          <cell r="IO189">
            <v>2183</v>
          </cell>
          <cell r="IP189">
            <v>6003</v>
          </cell>
          <cell r="IQ189">
            <v>14118</v>
          </cell>
        </row>
        <row r="190">
          <cell r="B190">
            <v>7950</v>
          </cell>
          <cell r="C190">
            <v>1368</v>
          </cell>
          <cell r="D190">
            <v>9288</v>
          </cell>
          <cell r="E190">
            <v>2598</v>
          </cell>
          <cell r="F190">
            <v>3148</v>
          </cell>
          <cell r="G190">
            <v>2039</v>
          </cell>
          <cell r="H190">
            <v>3854</v>
          </cell>
          <cell r="I190">
            <v>10504</v>
          </cell>
          <cell r="J190">
            <v>1908</v>
          </cell>
          <cell r="K190">
            <v>12047</v>
          </cell>
          <cell r="L190">
            <v>6433</v>
          </cell>
          <cell r="M190">
            <v>5927</v>
          </cell>
          <cell r="N190">
            <v>3642</v>
          </cell>
          <cell r="O190">
            <v>5002</v>
          </cell>
          <cell r="P190">
            <v>7068</v>
          </cell>
          <cell r="Q190">
            <v>27372</v>
          </cell>
          <cell r="R190">
            <v>5192</v>
          </cell>
          <cell r="S190">
            <v>312</v>
          </cell>
          <cell r="T190">
            <v>3563</v>
          </cell>
          <cell r="U190">
            <v>9036</v>
          </cell>
          <cell r="V190">
            <v>5839</v>
          </cell>
          <cell r="W190">
            <v>4079</v>
          </cell>
          <cell r="X190">
            <v>11033</v>
          </cell>
          <cell r="Y190">
            <v>20984</v>
          </cell>
          <cell r="Z190">
            <v>12491</v>
          </cell>
          <cell r="AA190">
            <v>12983</v>
          </cell>
          <cell r="AB190">
            <v>8349</v>
          </cell>
          <cell r="AC190">
            <v>4886</v>
          </cell>
          <cell r="AD190">
            <v>1411</v>
          </cell>
          <cell r="AE190">
            <v>2238</v>
          </cell>
          <cell r="AF190">
            <v>6321</v>
          </cell>
          <cell r="AG190">
            <v>14838</v>
          </cell>
          <cell r="AH190">
            <v>3430</v>
          </cell>
          <cell r="AI190">
            <v>3765</v>
          </cell>
          <cell r="AJ190">
            <v>7161</v>
          </cell>
          <cell r="AK190">
            <v>13181</v>
          </cell>
          <cell r="AL190">
            <v>10754</v>
          </cell>
          <cell r="AM190">
            <v>23354</v>
          </cell>
          <cell r="AN190">
            <v>1329</v>
          </cell>
          <cell r="AO190">
            <v>7309</v>
          </cell>
          <cell r="AP190">
            <v>8629</v>
          </cell>
          <cell r="AQ190">
            <v>2526</v>
          </cell>
          <cell r="AR190">
            <v>14927</v>
          </cell>
          <cell r="AS190">
            <v>16997</v>
          </cell>
          <cell r="AT190">
            <v>10146</v>
          </cell>
          <cell r="AU190">
            <v>16690</v>
          </cell>
          <cell r="AV190">
            <v>15788</v>
          </cell>
          <cell r="AW190">
            <v>16860</v>
          </cell>
          <cell r="AX190">
            <v>2388</v>
          </cell>
          <cell r="AY190">
            <v>6414</v>
          </cell>
          <cell r="AZ190">
            <v>28896</v>
          </cell>
          <cell r="BA190">
            <v>276383</v>
          </cell>
          <cell r="BB190">
            <v>24618</v>
          </cell>
          <cell r="BC190">
            <v>6</v>
          </cell>
          <cell r="BD190">
            <v>300688</v>
          </cell>
          <cell r="BE190">
            <v>0</v>
          </cell>
          <cell r="BF190">
            <v>2.5</v>
          </cell>
          <cell r="BG190">
            <v>0.4</v>
          </cell>
          <cell r="BH190">
            <v>-0.4</v>
          </cell>
          <cell r="BI190">
            <v>1</v>
          </cell>
          <cell r="BJ190">
            <v>4.2</v>
          </cell>
          <cell r="BK190">
            <v>-0.8</v>
          </cell>
          <cell r="BL190">
            <v>0.4</v>
          </cell>
          <cell r="BM190">
            <v>4.8</v>
          </cell>
          <cell r="BN190">
            <v>0.9</v>
          </cell>
          <cell r="BO190">
            <v>0.5</v>
          </cell>
          <cell r="BP190">
            <v>0.6</v>
          </cell>
          <cell r="BQ190">
            <v>-1</v>
          </cell>
          <cell r="BR190">
            <v>-1.2</v>
          </cell>
          <cell r="BS190">
            <v>0</v>
          </cell>
          <cell r="BT190">
            <v>-0.2</v>
          </cell>
          <cell r="BU190">
            <v>0.4</v>
          </cell>
          <cell r="BV190">
            <v>-0.1</v>
          </cell>
          <cell r="BW190">
            <v>0.7</v>
          </cell>
          <cell r="BX190">
            <v>0.5</v>
          </cell>
          <cell r="BY190">
            <v>1.2</v>
          </cell>
          <cell r="BZ190">
            <v>4.3</v>
          </cell>
          <cell r="CA190">
            <v>-0.3</v>
          </cell>
          <cell r="CB190">
            <v>0.9</v>
          </cell>
          <cell r="CC190">
            <v>0.9</v>
          </cell>
          <cell r="CD190">
            <v>1.6</v>
          </cell>
          <cell r="CE190">
            <v>2.1</v>
          </cell>
          <cell r="CF190">
            <v>1.3</v>
          </cell>
          <cell r="CG190">
            <v>2.6</v>
          </cell>
          <cell r="CH190">
            <v>0.1</v>
          </cell>
          <cell r="CI190">
            <v>2.4</v>
          </cell>
          <cell r="CJ190">
            <v>1.8</v>
          </cell>
          <cell r="CK190">
            <v>1.1000000000000001</v>
          </cell>
          <cell r="CL190">
            <v>1.8</v>
          </cell>
          <cell r="CM190">
            <v>1.5</v>
          </cell>
          <cell r="CN190">
            <v>2.4</v>
          </cell>
          <cell r="CO190">
            <v>0</v>
          </cell>
          <cell r="CP190">
            <v>1.5</v>
          </cell>
          <cell r="CQ190">
            <v>-0.7</v>
          </cell>
          <cell r="CR190">
            <v>1</v>
          </cell>
          <cell r="CS190">
            <v>0.6</v>
          </cell>
          <cell r="CT190">
            <v>-0.7</v>
          </cell>
          <cell r="CU190">
            <v>0.2</v>
          </cell>
          <cell r="CV190">
            <v>-0.1</v>
          </cell>
          <cell r="CW190">
            <v>0.6</v>
          </cell>
          <cell r="CX190">
            <v>0</v>
          </cell>
          <cell r="CY190">
            <v>0.5</v>
          </cell>
          <cell r="CZ190">
            <v>1.3</v>
          </cell>
          <cell r="DA190">
            <v>1.8</v>
          </cell>
          <cell r="DB190">
            <v>-0.3</v>
          </cell>
          <cell r="DC190">
            <v>1.3</v>
          </cell>
          <cell r="DD190">
            <v>0.8</v>
          </cell>
          <cell r="DE190">
            <v>0.2</v>
          </cell>
          <cell r="DF190">
            <v>0.8</v>
          </cell>
          <cell r="DG190">
            <v>7955</v>
          </cell>
          <cell r="DH190">
            <v>1282</v>
          </cell>
          <cell r="DI190">
            <v>9191</v>
          </cell>
          <cell r="DJ190">
            <v>2576</v>
          </cell>
          <cell r="DK190">
            <v>3120</v>
          </cell>
          <cell r="DL190">
            <v>2002</v>
          </cell>
          <cell r="DM190">
            <v>3788</v>
          </cell>
          <cell r="DN190">
            <v>10390</v>
          </cell>
          <cell r="DO190">
            <v>1984</v>
          </cell>
          <cell r="DP190">
            <v>11986</v>
          </cell>
          <cell r="DQ190">
            <v>6399</v>
          </cell>
          <cell r="DR190">
            <v>5773</v>
          </cell>
          <cell r="DS190">
            <v>3659</v>
          </cell>
          <cell r="DT190">
            <v>5099</v>
          </cell>
          <cell r="DU190">
            <v>7086</v>
          </cell>
          <cell r="DV190">
            <v>27374</v>
          </cell>
          <cell r="DW190">
            <v>5201</v>
          </cell>
          <cell r="DX190">
            <v>312</v>
          </cell>
          <cell r="DY190">
            <v>3564</v>
          </cell>
          <cell r="DZ190">
            <v>9046</v>
          </cell>
          <cell r="EA190">
            <v>5797</v>
          </cell>
          <cell r="EB190">
            <v>4017</v>
          </cell>
          <cell r="EC190">
            <v>11123</v>
          </cell>
          <cell r="ED190">
            <v>20990</v>
          </cell>
          <cell r="EE190">
            <v>12444</v>
          </cell>
          <cell r="EF190">
            <v>12942</v>
          </cell>
          <cell r="EG190">
            <v>8334</v>
          </cell>
          <cell r="EH190">
            <v>4948</v>
          </cell>
          <cell r="EI190">
            <v>1394</v>
          </cell>
          <cell r="EJ190">
            <v>2298</v>
          </cell>
          <cell r="EK190">
            <v>6307</v>
          </cell>
          <cell r="EL190">
            <v>14902</v>
          </cell>
          <cell r="EM190">
            <v>3451</v>
          </cell>
          <cell r="EN190">
            <v>3794</v>
          </cell>
          <cell r="EO190">
            <v>7210</v>
          </cell>
          <cell r="EP190">
            <v>13122</v>
          </cell>
          <cell r="EQ190">
            <v>10911</v>
          </cell>
          <cell r="ER190">
            <v>23402</v>
          </cell>
          <cell r="ES190">
            <v>1344</v>
          </cell>
          <cell r="ET190">
            <v>7589</v>
          </cell>
          <cell r="EU190">
            <v>8908</v>
          </cell>
          <cell r="EV190">
            <v>2490</v>
          </cell>
          <cell r="EW190">
            <v>14937</v>
          </cell>
          <cell r="EX190">
            <v>16936</v>
          </cell>
          <cell r="EY190">
            <v>10133</v>
          </cell>
          <cell r="EZ190">
            <v>16948</v>
          </cell>
          <cell r="FA190">
            <v>15787</v>
          </cell>
          <cell r="FB190">
            <v>16860</v>
          </cell>
          <cell r="FC190">
            <v>2438</v>
          </cell>
          <cell r="FD190">
            <v>6448</v>
          </cell>
          <cell r="FE190">
            <v>28886</v>
          </cell>
          <cell r="FF190">
            <v>276817</v>
          </cell>
          <cell r="FG190">
            <v>24587</v>
          </cell>
          <cell r="FH190">
            <v>-506</v>
          </cell>
          <cell r="FI190">
            <v>300562</v>
          </cell>
          <cell r="FJ190">
            <v>-1.7</v>
          </cell>
          <cell r="FK190">
            <v>-5.0999999999999996</v>
          </cell>
          <cell r="FL190">
            <v>-2.2999999999999998</v>
          </cell>
          <cell r="FM190">
            <v>-1</v>
          </cell>
          <cell r="FN190">
            <v>-1</v>
          </cell>
          <cell r="FO190">
            <v>4.0999999999999996</v>
          </cell>
          <cell r="FP190">
            <v>-3.4</v>
          </cell>
          <cell r="FQ190">
            <v>-1.1000000000000001</v>
          </cell>
          <cell r="FR190">
            <v>11.6</v>
          </cell>
          <cell r="FS190">
            <v>0.3</v>
          </cell>
          <cell r="FT190">
            <v>-1</v>
          </cell>
          <cell r="FU190">
            <v>-2.5</v>
          </cell>
          <cell r="FV190">
            <v>-1.5</v>
          </cell>
          <cell r="FW190">
            <v>0.5</v>
          </cell>
          <cell r="FX190">
            <v>-0.4</v>
          </cell>
          <cell r="FY190">
            <v>-0.9</v>
          </cell>
          <cell r="FZ190">
            <v>0.2</v>
          </cell>
          <cell r="GA190">
            <v>0.2</v>
          </cell>
          <cell r="GB190">
            <v>0.7</v>
          </cell>
          <cell r="GC190">
            <v>0.4</v>
          </cell>
          <cell r="GD190">
            <v>-0.5</v>
          </cell>
          <cell r="GE190">
            <v>1.8</v>
          </cell>
          <cell r="GF190">
            <v>0.7</v>
          </cell>
          <cell r="GG190">
            <v>0.6</v>
          </cell>
          <cell r="GH190">
            <v>-0.7</v>
          </cell>
          <cell r="GI190">
            <v>1.8</v>
          </cell>
          <cell r="GJ190">
            <v>2.7</v>
          </cell>
          <cell r="GK190">
            <v>1.9</v>
          </cell>
          <cell r="GL190">
            <v>1.2</v>
          </cell>
          <cell r="GM190">
            <v>2.8</v>
          </cell>
          <cell r="GN190">
            <v>1.3</v>
          </cell>
          <cell r="GO190">
            <v>1.6</v>
          </cell>
          <cell r="GP190">
            <v>1.8</v>
          </cell>
          <cell r="GQ190">
            <v>3.1</v>
          </cell>
          <cell r="GR190">
            <v>2.4</v>
          </cell>
          <cell r="GS190">
            <v>1.8</v>
          </cell>
          <cell r="GT190">
            <v>3.1</v>
          </cell>
          <cell r="GU190">
            <v>2.2000000000000002</v>
          </cell>
          <cell r="GV190">
            <v>0.5</v>
          </cell>
          <cell r="GW190">
            <v>7.1</v>
          </cell>
          <cell r="GX190">
            <v>5.6</v>
          </cell>
          <cell r="GY190">
            <v>-1.4</v>
          </cell>
          <cell r="GZ190">
            <v>0.7</v>
          </cell>
          <cell r="HA190">
            <v>0.1</v>
          </cell>
          <cell r="HB190">
            <v>1.2</v>
          </cell>
          <cell r="HC190">
            <v>1.4</v>
          </cell>
          <cell r="HD190">
            <v>0.5</v>
          </cell>
          <cell r="HE190">
            <v>1</v>
          </cell>
          <cell r="HF190">
            <v>8.8000000000000007</v>
          </cell>
          <cell r="HG190">
            <v>0.7</v>
          </cell>
          <cell r="HH190">
            <v>1.2</v>
          </cell>
          <cell r="HI190">
            <v>0.9</v>
          </cell>
          <cell r="HJ190">
            <v>0.3</v>
          </cell>
          <cell r="HK190">
            <v>0.7</v>
          </cell>
          <cell r="HL190">
            <v>5973</v>
          </cell>
          <cell r="HM190">
            <v>1270</v>
          </cell>
          <cell r="HN190">
            <v>7262</v>
          </cell>
          <cell r="HO190">
            <v>2590</v>
          </cell>
          <cell r="HP190">
            <v>3103</v>
          </cell>
          <cell r="HQ190">
            <v>2029</v>
          </cell>
          <cell r="HR190">
            <v>3758</v>
          </cell>
          <cell r="HS190">
            <v>10380</v>
          </cell>
          <cell r="HT190">
            <v>2055</v>
          </cell>
          <cell r="HU190">
            <v>12029</v>
          </cell>
          <cell r="HV190">
            <v>6186</v>
          </cell>
          <cell r="HW190">
            <v>5707</v>
          </cell>
          <cell r="HX190">
            <v>3700</v>
          </cell>
          <cell r="HY190">
            <v>5262</v>
          </cell>
          <cell r="HZ190">
            <v>7020</v>
          </cell>
          <cell r="IA190">
            <v>27294</v>
          </cell>
          <cell r="IB190">
            <v>5192</v>
          </cell>
          <cell r="IC190">
            <v>332</v>
          </cell>
          <cell r="ID190">
            <v>3496</v>
          </cell>
          <cell r="IE190">
            <v>8994</v>
          </cell>
          <cell r="IF190">
            <v>5804</v>
          </cell>
          <cell r="IG190">
            <v>4261</v>
          </cell>
          <cell r="IH190">
            <v>10973</v>
          </cell>
          <cell r="II190">
            <v>21064</v>
          </cell>
          <cell r="IJ190">
            <v>12463</v>
          </cell>
          <cell r="IK190">
            <v>12433</v>
          </cell>
          <cell r="IL190">
            <v>8130</v>
          </cell>
          <cell r="IM190">
            <v>4825</v>
          </cell>
          <cell r="IN190">
            <v>1353</v>
          </cell>
          <cell r="IO190">
            <v>2280</v>
          </cell>
          <cell r="IP190">
            <v>6130</v>
          </cell>
          <cell r="IQ190">
            <v>14535</v>
          </cell>
        </row>
        <row r="191">
          <cell r="B191">
            <v>7751</v>
          </cell>
          <cell r="C191">
            <v>1388</v>
          </cell>
          <cell r="D191">
            <v>9121</v>
          </cell>
          <cell r="E191">
            <v>2584</v>
          </cell>
          <cell r="F191">
            <v>3207</v>
          </cell>
          <cell r="G191">
            <v>2201</v>
          </cell>
          <cell r="H191">
            <v>3877</v>
          </cell>
          <cell r="I191">
            <v>10643</v>
          </cell>
          <cell r="J191">
            <v>1935</v>
          </cell>
          <cell r="K191">
            <v>12211</v>
          </cell>
          <cell r="L191">
            <v>6388</v>
          </cell>
          <cell r="M191">
            <v>5913</v>
          </cell>
          <cell r="N191">
            <v>3662</v>
          </cell>
          <cell r="O191">
            <v>4930</v>
          </cell>
          <cell r="P191">
            <v>6938</v>
          </cell>
          <cell r="Q191">
            <v>27157</v>
          </cell>
          <cell r="R191">
            <v>5182</v>
          </cell>
          <cell r="S191">
            <v>314</v>
          </cell>
          <cell r="T191">
            <v>3550</v>
          </cell>
          <cell r="U191">
            <v>9006</v>
          </cell>
          <cell r="V191">
            <v>5862</v>
          </cell>
          <cell r="W191">
            <v>4291</v>
          </cell>
          <cell r="X191">
            <v>10935</v>
          </cell>
          <cell r="Y191">
            <v>21094</v>
          </cell>
          <cell r="Z191">
            <v>12514</v>
          </cell>
          <cell r="AA191">
            <v>13194</v>
          </cell>
          <cell r="AB191">
            <v>8461</v>
          </cell>
          <cell r="AC191">
            <v>4950</v>
          </cell>
          <cell r="AD191">
            <v>1447</v>
          </cell>
          <cell r="AE191">
            <v>2235</v>
          </cell>
          <cell r="AF191">
            <v>6349</v>
          </cell>
          <cell r="AG191">
            <v>14970</v>
          </cell>
          <cell r="AH191">
            <v>3450</v>
          </cell>
          <cell r="AI191">
            <v>3779</v>
          </cell>
          <cell r="AJ191">
            <v>7197</v>
          </cell>
          <cell r="AK191">
            <v>13502</v>
          </cell>
          <cell r="AL191">
            <v>10666</v>
          </cell>
          <cell r="AM191">
            <v>23648</v>
          </cell>
          <cell r="AN191">
            <v>1298</v>
          </cell>
          <cell r="AO191">
            <v>7184</v>
          </cell>
          <cell r="AP191">
            <v>8469</v>
          </cell>
          <cell r="AQ191">
            <v>2557</v>
          </cell>
          <cell r="AR191">
            <v>14988</v>
          </cell>
          <cell r="AS191">
            <v>17106</v>
          </cell>
          <cell r="AT191">
            <v>10259</v>
          </cell>
          <cell r="AU191">
            <v>16754</v>
          </cell>
          <cell r="AV191">
            <v>15863</v>
          </cell>
          <cell r="AW191">
            <v>17051</v>
          </cell>
          <cell r="AX191">
            <v>2435</v>
          </cell>
          <cell r="AY191">
            <v>6384</v>
          </cell>
          <cell r="AZ191">
            <v>29283</v>
          </cell>
          <cell r="BA191">
            <v>277727</v>
          </cell>
          <cell r="BB191">
            <v>24684</v>
          </cell>
          <cell r="BC191">
            <v>638</v>
          </cell>
          <cell r="BD191">
            <v>302735</v>
          </cell>
          <cell r="BE191">
            <v>-2.5</v>
          </cell>
          <cell r="BF191">
            <v>1.5</v>
          </cell>
          <cell r="BG191">
            <v>-1.8</v>
          </cell>
          <cell r="BH191">
            <v>-0.5</v>
          </cell>
          <cell r="BI191">
            <v>1.9</v>
          </cell>
          <cell r="BJ191">
            <v>7.9</v>
          </cell>
          <cell r="BK191">
            <v>0.6</v>
          </cell>
          <cell r="BL191">
            <v>1.3</v>
          </cell>
          <cell r="BM191">
            <v>1.4</v>
          </cell>
          <cell r="BN191">
            <v>1.4</v>
          </cell>
          <cell r="BO191">
            <v>-0.7</v>
          </cell>
          <cell r="BP191">
            <v>-0.2</v>
          </cell>
          <cell r="BQ191">
            <v>0.6</v>
          </cell>
          <cell r="BR191">
            <v>-1.4</v>
          </cell>
          <cell r="BS191">
            <v>-1.8</v>
          </cell>
          <cell r="BT191">
            <v>-0.8</v>
          </cell>
          <cell r="BU191">
            <v>-0.2</v>
          </cell>
          <cell r="BV191">
            <v>0.6</v>
          </cell>
          <cell r="BW191">
            <v>-0.4</v>
          </cell>
          <cell r="BX191">
            <v>-0.3</v>
          </cell>
          <cell r="BY191">
            <v>0.4</v>
          </cell>
          <cell r="BZ191">
            <v>5.2</v>
          </cell>
          <cell r="CA191">
            <v>-0.9</v>
          </cell>
          <cell r="CB191">
            <v>0.5</v>
          </cell>
          <cell r="CC191">
            <v>0.2</v>
          </cell>
          <cell r="CD191">
            <v>1.6</v>
          </cell>
          <cell r="CE191">
            <v>1.3</v>
          </cell>
          <cell r="CF191">
            <v>1.3</v>
          </cell>
          <cell r="CG191">
            <v>2.5</v>
          </cell>
          <cell r="CH191">
            <v>-0.2</v>
          </cell>
          <cell r="CI191">
            <v>0.4</v>
          </cell>
          <cell r="CJ191">
            <v>0.9</v>
          </cell>
          <cell r="CK191">
            <v>0.6</v>
          </cell>
          <cell r="CL191">
            <v>0.4</v>
          </cell>
          <cell r="CM191">
            <v>0.5</v>
          </cell>
          <cell r="CN191">
            <v>2.4</v>
          </cell>
          <cell r="CO191">
            <v>-0.8</v>
          </cell>
          <cell r="CP191">
            <v>1.3</v>
          </cell>
          <cell r="CQ191">
            <v>-2.2999999999999998</v>
          </cell>
          <cell r="CR191">
            <v>-1.7</v>
          </cell>
          <cell r="CS191">
            <v>-1.9</v>
          </cell>
          <cell r="CT191">
            <v>1.2</v>
          </cell>
          <cell r="CU191">
            <v>0.4</v>
          </cell>
          <cell r="CV191">
            <v>0.6</v>
          </cell>
          <cell r="CW191">
            <v>1.1000000000000001</v>
          </cell>
          <cell r="CX191">
            <v>0.4</v>
          </cell>
          <cell r="CY191">
            <v>0.5</v>
          </cell>
          <cell r="CZ191">
            <v>1.1000000000000001</v>
          </cell>
          <cell r="DA191">
            <v>2</v>
          </cell>
          <cell r="DB191">
            <v>-0.5</v>
          </cell>
          <cell r="DC191">
            <v>1.3</v>
          </cell>
          <cell r="DD191">
            <v>0.5</v>
          </cell>
          <cell r="DE191">
            <v>0.3</v>
          </cell>
          <cell r="DF191">
            <v>0.7</v>
          </cell>
          <cell r="DG191">
            <v>7671</v>
          </cell>
          <cell r="DH191">
            <v>1480</v>
          </cell>
          <cell r="DI191">
            <v>9151</v>
          </cell>
          <cell r="DJ191">
            <v>2612</v>
          </cell>
          <cell r="DK191">
            <v>3260</v>
          </cell>
          <cell r="DL191">
            <v>2238</v>
          </cell>
          <cell r="DM191">
            <v>3912</v>
          </cell>
          <cell r="DN191">
            <v>10782</v>
          </cell>
          <cell r="DO191">
            <v>1933</v>
          </cell>
          <cell r="DP191">
            <v>12350</v>
          </cell>
          <cell r="DQ191">
            <v>6380</v>
          </cell>
          <cell r="DR191">
            <v>6050</v>
          </cell>
          <cell r="DS191">
            <v>3597</v>
          </cell>
          <cell r="DT191">
            <v>4839</v>
          </cell>
          <cell r="DU191">
            <v>6965</v>
          </cell>
          <cell r="DV191">
            <v>27080</v>
          </cell>
          <cell r="DW191">
            <v>5198</v>
          </cell>
          <cell r="DX191">
            <v>311</v>
          </cell>
          <cell r="DY191">
            <v>3584</v>
          </cell>
          <cell r="DZ191">
            <v>9056</v>
          </cell>
          <cell r="EA191">
            <v>5810</v>
          </cell>
          <cell r="EB191">
            <v>4344</v>
          </cell>
          <cell r="EC191">
            <v>10921</v>
          </cell>
          <cell r="ED191">
            <v>21088</v>
          </cell>
          <cell r="EE191">
            <v>12501</v>
          </cell>
          <cell r="EF191">
            <v>13264</v>
          </cell>
          <cell r="EG191">
            <v>8583</v>
          </cell>
          <cell r="EH191">
            <v>4847</v>
          </cell>
          <cell r="EI191">
            <v>1465</v>
          </cell>
          <cell r="EJ191">
            <v>2126</v>
          </cell>
          <cell r="EK191">
            <v>6364</v>
          </cell>
          <cell r="EL191">
            <v>14832</v>
          </cell>
          <cell r="EM191">
            <v>3454</v>
          </cell>
          <cell r="EN191">
            <v>3764</v>
          </cell>
          <cell r="EO191">
            <v>7188</v>
          </cell>
          <cell r="EP191">
            <v>13556</v>
          </cell>
          <cell r="EQ191">
            <v>10639</v>
          </cell>
          <cell r="ER191">
            <v>23689</v>
          </cell>
          <cell r="ES191">
            <v>1306</v>
          </cell>
          <cell r="ET191">
            <v>7151</v>
          </cell>
          <cell r="EU191">
            <v>8450</v>
          </cell>
          <cell r="EV191">
            <v>2583</v>
          </cell>
          <cell r="EW191">
            <v>15010</v>
          </cell>
          <cell r="EX191">
            <v>17172</v>
          </cell>
          <cell r="EY191">
            <v>10326</v>
          </cell>
          <cell r="EZ191">
            <v>16166</v>
          </cell>
          <cell r="FA191">
            <v>15865</v>
          </cell>
          <cell r="FB191">
            <v>16961</v>
          </cell>
          <cell r="FC191">
            <v>2457</v>
          </cell>
          <cell r="FD191">
            <v>6378</v>
          </cell>
          <cell r="FE191">
            <v>29291</v>
          </cell>
          <cell r="FF191">
            <v>277323</v>
          </cell>
          <cell r="FG191">
            <v>24760</v>
          </cell>
          <cell r="FH191">
            <v>862</v>
          </cell>
          <cell r="FI191">
            <v>302626</v>
          </cell>
          <cell r="FJ191">
            <v>-3.6</v>
          </cell>
          <cell r="FK191">
            <v>15.5</v>
          </cell>
          <cell r="FL191">
            <v>-0.4</v>
          </cell>
          <cell r="FM191">
            <v>1.4</v>
          </cell>
          <cell r="FN191">
            <v>4.5</v>
          </cell>
          <cell r="FO191">
            <v>11.8</v>
          </cell>
          <cell r="FP191">
            <v>3.3</v>
          </cell>
          <cell r="FQ191">
            <v>3.8</v>
          </cell>
          <cell r="FR191">
            <v>-2.6</v>
          </cell>
          <cell r="FS191">
            <v>3</v>
          </cell>
          <cell r="FT191">
            <v>-0.3</v>
          </cell>
          <cell r="FU191">
            <v>4.8</v>
          </cell>
          <cell r="FV191">
            <v>-1.7</v>
          </cell>
          <cell r="FW191">
            <v>-5.0999999999999996</v>
          </cell>
          <cell r="FX191">
            <v>-1.7</v>
          </cell>
          <cell r="FY191">
            <v>-1.1000000000000001</v>
          </cell>
          <cell r="FZ191">
            <v>0</v>
          </cell>
          <cell r="GA191">
            <v>-0.6</v>
          </cell>
          <cell r="GB191">
            <v>0.6</v>
          </cell>
          <cell r="GC191">
            <v>0.1</v>
          </cell>
          <cell r="GD191">
            <v>0.2</v>
          </cell>
          <cell r="GE191">
            <v>8.1</v>
          </cell>
          <cell r="GF191">
            <v>-1.8</v>
          </cell>
          <cell r="GG191">
            <v>0.5</v>
          </cell>
          <cell r="GH191">
            <v>0.5</v>
          </cell>
          <cell r="GI191">
            <v>2.5</v>
          </cell>
          <cell r="GJ191">
            <v>3</v>
          </cell>
          <cell r="GK191">
            <v>-2</v>
          </cell>
          <cell r="GL191">
            <v>5.0999999999999996</v>
          </cell>
          <cell r="GM191">
            <v>-7.5</v>
          </cell>
          <cell r="GN191">
            <v>0.9</v>
          </cell>
          <cell r="GO191">
            <v>-0.5</v>
          </cell>
          <cell r="GP191">
            <v>0.1</v>
          </cell>
          <cell r="GQ191">
            <v>-0.8</v>
          </cell>
          <cell r="GR191">
            <v>-0.3</v>
          </cell>
          <cell r="GS191">
            <v>3.3</v>
          </cell>
          <cell r="GT191">
            <v>-2.5</v>
          </cell>
          <cell r="GU191">
            <v>1.2</v>
          </cell>
          <cell r="GV191">
            <v>-2.9</v>
          </cell>
          <cell r="GW191">
            <v>-5.8</v>
          </cell>
          <cell r="GX191">
            <v>-5.0999999999999996</v>
          </cell>
          <cell r="GY191">
            <v>3.7</v>
          </cell>
          <cell r="GZ191">
            <v>0.5</v>
          </cell>
          <cell r="HA191">
            <v>1.4</v>
          </cell>
          <cell r="HB191">
            <v>1.9</v>
          </cell>
          <cell r="HC191">
            <v>-4.5999999999999996</v>
          </cell>
          <cell r="HD191">
            <v>0.5</v>
          </cell>
          <cell r="HE191">
            <v>0.6</v>
          </cell>
          <cell r="HF191">
            <v>0.8</v>
          </cell>
          <cell r="HG191">
            <v>-1.1000000000000001</v>
          </cell>
          <cell r="HH191">
            <v>1.4</v>
          </cell>
          <cell r="HI191">
            <v>0.2</v>
          </cell>
          <cell r="HJ191">
            <v>0.7</v>
          </cell>
          <cell r="HK191">
            <v>0.7</v>
          </cell>
          <cell r="HL191">
            <v>4899</v>
          </cell>
          <cell r="HM191">
            <v>1484</v>
          </cell>
          <cell r="HN191">
            <v>6470</v>
          </cell>
          <cell r="HO191">
            <v>2680</v>
          </cell>
          <cell r="HP191">
            <v>3461</v>
          </cell>
          <cell r="HQ191">
            <v>2286</v>
          </cell>
          <cell r="HR191">
            <v>3928</v>
          </cell>
          <cell r="HS191">
            <v>11178</v>
          </cell>
          <cell r="HT191">
            <v>1901</v>
          </cell>
          <cell r="HU191">
            <v>12713</v>
          </cell>
          <cell r="HV191">
            <v>6280</v>
          </cell>
          <cell r="HW191">
            <v>6214</v>
          </cell>
          <cell r="HX191">
            <v>3646</v>
          </cell>
          <cell r="HY191">
            <v>5038</v>
          </cell>
          <cell r="HZ191">
            <v>7246</v>
          </cell>
          <cell r="IA191">
            <v>27643</v>
          </cell>
          <cell r="IB191">
            <v>5342</v>
          </cell>
          <cell r="IC191">
            <v>354</v>
          </cell>
          <cell r="ID191">
            <v>3579</v>
          </cell>
          <cell r="IE191">
            <v>9249</v>
          </cell>
          <cell r="IF191">
            <v>6041</v>
          </cell>
          <cell r="IG191">
            <v>4197</v>
          </cell>
          <cell r="IH191">
            <v>11107</v>
          </cell>
          <cell r="II191">
            <v>21358</v>
          </cell>
          <cell r="IJ191">
            <v>12636</v>
          </cell>
          <cell r="IK191">
            <v>12976</v>
          </cell>
          <cell r="IL191">
            <v>8573</v>
          </cell>
          <cell r="IM191">
            <v>4871</v>
          </cell>
          <cell r="IN191">
            <v>1541</v>
          </cell>
          <cell r="IO191">
            <v>2179</v>
          </cell>
          <cell r="IP191">
            <v>6421</v>
          </cell>
          <cell r="IQ191">
            <v>15060</v>
          </cell>
        </row>
        <row r="192">
          <cell r="B192">
            <v>7734</v>
          </cell>
          <cell r="C192">
            <v>1367</v>
          </cell>
          <cell r="D192">
            <v>9084</v>
          </cell>
          <cell r="E192">
            <v>2565</v>
          </cell>
          <cell r="F192">
            <v>3353</v>
          </cell>
          <cell r="G192">
            <v>2389</v>
          </cell>
          <cell r="H192">
            <v>3910</v>
          </cell>
          <cell r="I192">
            <v>10905</v>
          </cell>
          <cell r="J192">
            <v>1943</v>
          </cell>
          <cell r="K192">
            <v>12488</v>
          </cell>
          <cell r="L192">
            <v>6374</v>
          </cell>
          <cell r="M192">
            <v>5844</v>
          </cell>
          <cell r="N192">
            <v>3680</v>
          </cell>
          <cell r="O192">
            <v>4949</v>
          </cell>
          <cell r="P192">
            <v>6783</v>
          </cell>
          <cell r="Q192">
            <v>26994</v>
          </cell>
          <cell r="R192">
            <v>5191</v>
          </cell>
          <cell r="S192">
            <v>313</v>
          </cell>
          <cell r="T192">
            <v>3528</v>
          </cell>
          <cell r="U192">
            <v>8990</v>
          </cell>
          <cell r="V192">
            <v>5926</v>
          </cell>
          <cell r="W192">
            <v>4530</v>
          </cell>
          <cell r="X192">
            <v>10896</v>
          </cell>
          <cell r="Y192">
            <v>21317</v>
          </cell>
          <cell r="Z192">
            <v>12558</v>
          </cell>
          <cell r="AA192">
            <v>13340</v>
          </cell>
          <cell r="AB192">
            <v>8490</v>
          </cell>
          <cell r="AC192">
            <v>5033</v>
          </cell>
          <cell r="AD192">
            <v>1481</v>
          </cell>
          <cell r="AE192">
            <v>2262</v>
          </cell>
          <cell r="AF192">
            <v>6349</v>
          </cell>
          <cell r="AG192">
            <v>15110</v>
          </cell>
          <cell r="AH192">
            <v>3452</v>
          </cell>
          <cell r="AI192">
            <v>3765</v>
          </cell>
          <cell r="AJ192">
            <v>7180</v>
          </cell>
          <cell r="AK192">
            <v>13773</v>
          </cell>
          <cell r="AL192">
            <v>10556</v>
          </cell>
          <cell r="AM192">
            <v>23871</v>
          </cell>
          <cell r="AN192">
            <v>1285</v>
          </cell>
          <cell r="AO192">
            <v>7091</v>
          </cell>
          <cell r="AP192">
            <v>8367</v>
          </cell>
          <cell r="AQ192">
            <v>2603</v>
          </cell>
          <cell r="AR192">
            <v>15079</v>
          </cell>
          <cell r="AS192">
            <v>17271</v>
          </cell>
          <cell r="AT192">
            <v>10413</v>
          </cell>
          <cell r="AU192">
            <v>17098</v>
          </cell>
          <cell r="AV192">
            <v>15931</v>
          </cell>
          <cell r="AW192">
            <v>17212</v>
          </cell>
          <cell r="AX192">
            <v>2469</v>
          </cell>
          <cell r="AY192">
            <v>6325</v>
          </cell>
          <cell r="AZ192">
            <v>29654</v>
          </cell>
          <cell r="BA192">
            <v>279575</v>
          </cell>
          <cell r="BB192">
            <v>24840</v>
          </cell>
          <cell r="BC192">
            <v>705</v>
          </cell>
          <cell r="BD192">
            <v>304809</v>
          </cell>
          <cell r="BE192">
            <v>-0.2</v>
          </cell>
          <cell r="BF192">
            <v>-1.5</v>
          </cell>
          <cell r="BG192">
            <v>-0.4</v>
          </cell>
          <cell r="BH192">
            <v>-0.7</v>
          </cell>
          <cell r="BI192">
            <v>4.5999999999999996</v>
          </cell>
          <cell r="BJ192">
            <v>8.6</v>
          </cell>
          <cell r="BK192">
            <v>0.9</v>
          </cell>
          <cell r="BL192">
            <v>2.5</v>
          </cell>
          <cell r="BM192">
            <v>0.4</v>
          </cell>
          <cell r="BN192">
            <v>2.2999999999999998</v>
          </cell>
          <cell r="BO192">
            <v>-0.2</v>
          </cell>
          <cell r="BP192">
            <v>-1.2</v>
          </cell>
          <cell r="BQ192">
            <v>0.5</v>
          </cell>
          <cell r="BR192">
            <v>0.4</v>
          </cell>
          <cell r="BS192">
            <v>-2.2000000000000002</v>
          </cell>
          <cell r="BT192">
            <v>-0.6</v>
          </cell>
          <cell r="BU192">
            <v>0.2</v>
          </cell>
          <cell r="BV192">
            <v>-0.2</v>
          </cell>
          <cell r="BW192">
            <v>-0.6</v>
          </cell>
          <cell r="BX192">
            <v>-0.2</v>
          </cell>
          <cell r="BY192">
            <v>1.1000000000000001</v>
          </cell>
          <cell r="BZ192">
            <v>5.6</v>
          </cell>
          <cell r="CA192">
            <v>-0.4</v>
          </cell>
          <cell r="CB192">
            <v>1.1000000000000001</v>
          </cell>
          <cell r="CC192">
            <v>0.4</v>
          </cell>
          <cell r="CD192">
            <v>1.1000000000000001</v>
          </cell>
          <cell r="CE192">
            <v>0.3</v>
          </cell>
          <cell r="CF192">
            <v>1.7</v>
          </cell>
          <cell r="CG192">
            <v>2.4</v>
          </cell>
          <cell r="CH192">
            <v>1.2</v>
          </cell>
          <cell r="CI192">
            <v>0</v>
          </cell>
          <cell r="CJ192">
            <v>0.9</v>
          </cell>
          <cell r="CK192">
            <v>0.1</v>
          </cell>
          <cell r="CL192">
            <v>-0.4</v>
          </cell>
          <cell r="CM192">
            <v>-0.2</v>
          </cell>
          <cell r="CN192">
            <v>2</v>
          </cell>
          <cell r="CO192">
            <v>-1</v>
          </cell>
          <cell r="CP192">
            <v>0.9</v>
          </cell>
          <cell r="CQ192">
            <v>-1</v>
          </cell>
          <cell r="CR192">
            <v>-1.3</v>
          </cell>
          <cell r="CS192">
            <v>-1.2</v>
          </cell>
          <cell r="CT192">
            <v>1.8</v>
          </cell>
          <cell r="CU192">
            <v>0.6</v>
          </cell>
          <cell r="CV192">
            <v>1</v>
          </cell>
          <cell r="CW192">
            <v>1.5</v>
          </cell>
          <cell r="CX192">
            <v>2.1</v>
          </cell>
          <cell r="CY192">
            <v>0.4</v>
          </cell>
          <cell r="CZ192">
            <v>0.9</v>
          </cell>
          <cell r="DA192">
            <v>1.4</v>
          </cell>
          <cell r="DB192">
            <v>-0.9</v>
          </cell>
          <cell r="DC192">
            <v>1.3</v>
          </cell>
          <cell r="DD192">
            <v>0.7</v>
          </cell>
          <cell r="DE192">
            <v>0.6</v>
          </cell>
          <cell r="DF192">
            <v>0.7</v>
          </cell>
          <cell r="DG192">
            <v>7662</v>
          </cell>
          <cell r="DH192">
            <v>1361</v>
          </cell>
          <cell r="DI192">
            <v>9007</v>
          </cell>
          <cell r="DJ192">
            <v>2551</v>
          </cell>
          <cell r="DK192">
            <v>3306</v>
          </cell>
          <cell r="DL192">
            <v>2366</v>
          </cell>
          <cell r="DM192">
            <v>3894</v>
          </cell>
          <cell r="DN192">
            <v>10800</v>
          </cell>
          <cell r="DO192">
            <v>1879</v>
          </cell>
          <cell r="DP192">
            <v>12332</v>
          </cell>
          <cell r="DQ192">
            <v>6422</v>
          </cell>
          <cell r="DR192">
            <v>5869</v>
          </cell>
          <cell r="DS192">
            <v>3667</v>
          </cell>
          <cell r="DT192">
            <v>4904</v>
          </cell>
          <cell r="DU192">
            <v>6741</v>
          </cell>
          <cell r="DV192">
            <v>26957</v>
          </cell>
          <cell r="DW192">
            <v>5139</v>
          </cell>
          <cell r="DX192">
            <v>319</v>
          </cell>
          <cell r="DY192">
            <v>3489</v>
          </cell>
          <cell r="DZ192">
            <v>8897</v>
          </cell>
          <cell r="EA192">
            <v>6028</v>
          </cell>
          <cell r="EB192">
            <v>4441</v>
          </cell>
          <cell r="EC192">
            <v>10876</v>
          </cell>
          <cell r="ED192">
            <v>21301</v>
          </cell>
          <cell r="EE192">
            <v>12586</v>
          </cell>
          <cell r="EF192">
            <v>13331</v>
          </cell>
          <cell r="EG192">
            <v>8419</v>
          </cell>
          <cell r="EH192">
            <v>5056</v>
          </cell>
          <cell r="EI192">
            <v>1472</v>
          </cell>
          <cell r="EJ192">
            <v>2315</v>
          </cell>
          <cell r="EK192">
            <v>6336</v>
          </cell>
          <cell r="EL192">
            <v>15150</v>
          </cell>
          <cell r="EM192">
            <v>3456</v>
          </cell>
          <cell r="EN192">
            <v>3800</v>
          </cell>
          <cell r="EO192">
            <v>7224</v>
          </cell>
          <cell r="EP192">
            <v>13779</v>
          </cell>
          <cell r="EQ192">
            <v>10550</v>
          </cell>
          <cell r="ER192">
            <v>23876</v>
          </cell>
          <cell r="ES192">
            <v>1260</v>
          </cell>
          <cell r="ET192">
            <v>6906</v>
          </cell>
          <cell r="EU192">
            <v>8161</v>
          </cell>
          <cell r="EV192">
            <v>2603</v>
          </cell>
          <cell r="EW192">
            <v>15000</v>
          </cell>
          <cell r="EX192">
            <v>17205</v>
          </cell>
          <cell r="EY192">
            <v>10353</v>
          </cell>
          <cell r="EZ192">
            <v>17453</v>
          </cell>
          <cell r="FA192">
            <v>15932</v>
          </cell>
          <cell r="FB192">
            <v>17402</v>
          </cell>
          <cell r="FC192">
            <v>2425</v>
          </cell>
          <cell r="FD192">
            <v>6316</v>
          </cell>
          <cell r="FE192">
            <v>29661</v>
          </cell>
          <cell r="FF192">
            <v>279482</v>
          </cell>
          <cell r="FG192">
            <v>24745</v>
          </cell>
          <cell r="FH192">
            <v>879</v>
          </cell>
          <cell r="FI192">
            <v>304850</v>
          </cell>
          <cell r="FJ192">
            <v>-0.1</v>
          </cell>
          <cell r="FK192">
            <v>-8.1</v>
          </cell>
          <cell r="FL192">
            <v>-1.6</v>
          </cell>
          <cell r="FM192">
            <v>-2.2999999999999998</v>
          </cell>
          <cell r="FN192">
            <v>1.4</v>
          </cell>
          <cell r="FO192">
            <v>5.7</v>
          </cell>
          <cell r="FP192">
            <v>-0.4</v>
          </cell>
          <cell r="FQ192">
            <v>0.2</v>
          </cell>
          <cell r="FR192">
            <v>-2.8</v>
          </cell>
          <cell r="FS192">
            <v>-0.1</v>
          </cell>
          <cell r="FT192">
            <v>0.6</v>
          </cell>
          <cell r="FU192">
            <v>-3</v>
          </cell>
          <cell r="FV192">
            <v>2</v>
          </cell>
          <cell r="FW192">
            <v>1.3</v>
          </cell>
          <cell r="FX192">
            <v>-3.2</v>
          </cell>
          <cell r="FY192">
            <v>-0.5</v>
          </cell>
          <cell r="FZ192">
            <v>-1.1000000000000001</v>
          </cell>
          <cell r="GA192">
            <v>2.6</v>
          </cell>
          <cell r="GB192">
            <v>-2.7</v>
          </cell>
          <cell r="GC192">
            <v>-1.8</v>
          </cell>
          <cell r="GD192">
            <v>3.7</v>
          </cell>
          <cell r="GE192">
            <v>2.2000000000000002</v>
          </cell>
          <cell r="GF192">
            <v>-0.4</v>
          </cell>
          <cell r="GG192">
            <v>1</v>
          </cell>
          <cell r="GH192">
            <v>0.7</v>
          </cell>
          <cell r="GI192">
            <v>0.5</v>
          </cell>
          <cell r="GJ192">
            <v>-1.9</v>
          </cell>
          <cell r="GK192">
            <v>4.3</v>
          </cell>
          <cell r="GL192">
            <v>0.5</v>
          </cell>
          <cell r="GM192">
            <v>8.9</v>
          </cell>
          <cell r="GN192">
            <v>-0.4</v>
          </cell>
          <cell r="GO192">
            <v>2.1</v>
          </cell>
          <cell r="GP192">
            <v>0</v>
          </cell>
          <cell r="GQ192">
            <v>1</v>
          </cell>
          <cell r="GR192">
            <v>0.5</v>
          </cell>
          <cell r="GS192">
            <v>1.6</v>
          </cell>
          <cell r="GT192">
            <v>-0.8</v>
          </cell>
          <cell r="GU192">
            <v>0.8</v>
          </cell>
          <cell r="GV192">
            <v>-3.5</v>
          </cell>
          <cell r="GW192">
            <v>-3.4</v>
          </cell>
          <cell r="GX192">
            <v>-3.4</v>
          </cell>
          <cell r="GY192">
            <v>0.8</v>
          </cell>
          <cell r="GZ192">
            <v>-0.1</v>
          </cell>
          <cell r="HA192">
            <v>0.2</v>
          </cell>
          <cell r="HB192">
            <v>0.3</v>
          </cell>
          <cell r="HC192">
            <v>8</v>
          </cell>
          <cell r="HD192">
            <v>0.4</v>
          </cell>
          <cell r="HE192">
            <v>2.6</v>
          </cell>
          <cell r="HF192">
            <v>-1.3</v>
          </cell>
          <cell r="HG192">
            <v>-1</v>
          </cell>
          <cell r="HH192">
            <v>1.3</v>
          </cell>
          <cell r="HI192">
            <v>0.8</v>
          </cell>
          <cell r="HJ192">
            <v>-0.1</v>
          </cell>
          <cell r="HK192">
            <v>0.7</v>
          </cell>
          <cell r="HL192">
            <v>12380</v>
          </cell>
          <cell r="HM192">
            <v>1366</v>
          </cell>
          <cell r="HN192">
            <v>13590</v>
          </cell>
          <cell r="HO192">
            <v>2548</v>
          </cell>
          <cell r="HP192">
            <v>3310</v>
          </cell>
          <cell r="HQ192">
            <v>2419</v>
          </cell>
          <cell r="HR192">
            <v>4002</v>
          </cell>
          <cell r="HS192">
            <v>10892</v>
          </cell>
          <cell r="HT192">
            <v>1898</v>
          </cell>
          <cell r="HU192">
            <v>12440</v>
          </cell>
          <cell r="HV192">
            <v>6882</v>
          </cell>
          <cell r="HW192">
            <v>5881</v>
          </cell>
          <cell r="HX192">
            <v>3729</v>
          </cell>
          <cell r="HY192">
            <v>4913</v>
          </cell>
          <cell r="HZ192">
            <v>6978</v>
          </cell>
          <cell r="IA192">
            <v>27718</v>
          </cell>
          <cell r="IB192">
            <v>5021</v>
          </cell>
          <cell r="IC192">
            <v>298</v>
          </cell>
          <cell r="ID192">
            <v>3506</v>
          </cell>
          <cell r="IE192">
            <v>8773</v>
          </cell>
          <cell r="IF192">
            <v>6317</v>
          </cell>
          <cell r="IG192">
            <v>4587</v>
          </cell>
          <cell r="IH192">
            <v>11427</v>
          </cell>
          <cell r="II192">
            <v>22293</v>
          </cell>
          <cell r="IJ192">
            <v>12964</v>
          </cell>
          <cell r="IK192">
            <v>14680</v>
          </cell>
          <cell r="IL192">
            <v>8843</v>
          </cell>
          <cell r="IM192">
            <v>5370</v>
          </cell>
          <cell r="IN192">
            <v>1514</v>
          </cell>
          <cell r="IO192">
            <v>2333</v>
          </cell>
          <cell r="IP192">
            <v>6685</v>
          </cell>
          <cell r="IQ192">
            <v>15866</v>
          </cell>
        </row>
        <row r="193">
          <cell r="B193">
            <v>7927</v>
          </cell>
          <cell r="C193">
            <v>1312</v>
          </cell>
          <cell r="D193">
            <v>9209</v>
          </cell>
          <cell r="E193">
            <v>2528</v>
          </cell>
          <cell r="F193">
            <v>3602</v>
          </cell>
          <cell r="G193">
            <v>2495</v>
          </cell>
          <cell r="H193">
            <v>3903</v>
          </cell>
          <cell r="I193">
            <v>11211</v>
          </cell>
          <cell r="J193">
            <v>1956</v>
          </cell>
          <cell r="K193">
            <v>12809</v>
          </cell>
          <cell r="L193">
            <v>6405</v>
          </cell>
          <cell r="M193">
            <v>5758</v>
          </cell>
          <cell r="N193">
            <v>3649</v>
          </cell>
          <cell r="O193">
            <v>5107</v>
          </cell>
          <cell r="P193">
            <v>6717</v>
          </cell>
          <cell r="Q193">
            <v>27021</v>
          </cell>
          <cell r="R193">
            <v>5225</v>
          </cell>
          <cell r="S193">
            <v>310</v>
          </cell>
          <cell r="T193">
            <v>3507</v>
          </cell>
          <cell r="U193">
            <v>9004</v>
          </cell>
          <cell r="V193">
            <v>6028</v>
          </cell>
          <cell r="W193">
            <v>4712</v>
          </cell>
          <cell r="X193">
            <v>11067</v>
          </cell>
          <cell r="Y193">
            <v>21747</v>
          </cell>
          <cell r="Z193">
            <v>12703</v>
          </cell>
          <cell r="AA193">
            <v>13379</v>
          </cell>
          <cell r="AB193">
            <v>8486</v>
          </cell>
          <cell r="AC193">
            <v>5119</v>
          </cell>
          <cell r="AD193">
            <v>1507</v>
          </cell>
          <cell r="AE193">
            <v>2297</v>
          </cell>
          <cell r="AF193">
            <v>6378</v>
          </cell>
          <cell r="AG193">
            <v>15276</v>
          </cell>
          <cell r="AH193">
            <v>3470</v>
          </cell>
          <cell r="AI193">
            <v>3749</v>
          </cell>
          <cell r="AJ193">
            <v>7200</v>
          </cell>
          <cell r="AK193">
            <v>13935</v>
          </cell>
          <cell r="AL193">
            <v>10565</v>
          </cell>
          <cell r="AM193">
            <v>24067</v>
          </cell>
          <cell r="AN193">
            <v>1313</v>
          </cell>
          <cell r="AO193">
            <v>7226</v>
          </cell>
          <cell r="AP193">
            <v>8534</v>
          </cell>
          <cell r="AQ193">
            <v>2626</v>
          </cell>
          <cell r="AR193">
            <v>15088</v>
          </cell>
          <cell r="AS193">
            <v>17319</v>
          </cell>
          <cell r="AT193">
            <v>10558</v>
          </cell>
          <cell r="AU193">
            <v>17488</v>
          </cell>
          <cell r="AV193">
            <v>15987</v>
          </cell>
          <cell r="AW193">
            <v>17377</v>
          </cell>
          <cell r="AX193">
            <v>2474</v>
          </cell>
          <cell r="AY193">
            <v>6279</v>
          </cell>
          <cell r="AZ193">
            <v>29969</v>
          </cell>
          <cell r="BA193">
            <v>282217</v>
          </cell>
          <cell r="BB193">
            <v>25031</v>
          </cell>
          <cell r="BC193">
            <v>-109</v>
          </cell>
          <cell r="BD193">
            <v>306820</v>
          </cell>
          <cell r="BE193">
            <v>2.5</v>
          </cell>
          <cell r="BF193">
            <v>-4.0999999999999996</v>
          </cell>
          <cell r="BG193">
            <v>1.4</v>
          </cell>
          <cell r="BH193">
            <v>-1.4</v>
          </cell>
          <cell r="BI193">
            <v>7.4</v>
          </cell>
          <cell r="BJ193">
            <v>4.4000000000000004</v>
          </cell>
          <cell r="BK193">
            <v>-0.2</v>
          </cell>
          <cell r="BL193">
            <v>2.8</v>
          </cell>
          <cell r="BM193">
            <v>0.7</v>
          </cell>
          <cell r="BN193">
            <v>2.6</v>
          </cell>
          <cell r="BO193">
            <v>0.5</v>
          </cell>
          <cell r="BP193">
            <v>-1.5</v>
          </cell>
          <cell r="BQ193">
            <v>-0.8</v>
          </cell>
          <cell r="BR193">
            <v>3.2</v>
          </cell>
          <cell r="BS193">
            <v>-1</v>
          </cell>
          <cell r="BT193">
            <v>0.1</v>
          </cell>
          <cell r="BU193">
            <v>0.7</v>
          </cell>
          <cell r="BV193">
            <v>-1.1000000000000001</v>
          </cell>
          <cell r="BW193">
            <v>-0.6</v>
          </cell>
          <cell r="BX193">
            <v>0.2</v>
          </cell>
          <cell r="BY193">
            <v>1.7</v>
          </cell>
          <cell r="BZ193">
            <v>4</v>
          </cell>
          <cell r="CA193">
            <v>1.6</v>
          </cell>
          <cell r="CB193">
            <v>2</v>
          </cell>
          <cell r="CC193">
            <v>1.2</v>
          </cell>
          <cell r="CD193">
            <v>0.3</v>
          </cell>
          <cell r="CE193">
            <v>0</v>
          </cell>
          <cell r="CF193">
            <v>1.7</v>
          </cell>
          <cell r="CG193">
            <v>1.7</v>
          </cell>
          <cell r="CH193">
            <v>1.5</v>
          </cell>
          <cell r="CI193">
            <v>0.5</v>
          </cell>
          <cell r="CJ193">
            <v>1.1000000000000001</v>
          </cell>
          <cell r="CK193">
            <v>0.5</v>
          </cell>
          <cell r="CL193">
            <v>-0.4</v>
          </cell>
          <cell r="CM193">
            <v>0.3</v>
          </cell>
          <cell r="CN193">
            <v>1.2</v>
          </cell>
          <cell r="CO193">
            <v>0.1</v>
          </cell>
          <cell r="CP193">
            <v>0.8</v>
          </cell>
          <cell r="CQ193">
            <v>2.2000000000000002</v>
          </cell>
          <cell r="CR193">
            <v>1.9</v>
          </cell>
          <cell r="CS193">
            <v>2</v>
          </cell>
          <cell r="CT193">
            <v>0.9</v>
          </cell>
          <cell r="CU193">
            <v>0.1</v>
          </cell>
          <cell r="CV193">
            <v>0.3</v>
          </cell>
          <cell r="CW193">
            <v>1.4</v>
          </cell>
          <cell r="CX193">
            <v>2.2999999999999998</v>
          </cell>
          <cell r="CY193">
            <v>0.3</v>
          </cell>
          <cell r="CZ193">
            <v>1</v>
          </cell>
          <cell r="DA193">
            <v>0.2</v>
          </cell>
          <cell r="DB193">
            <v>-0.7</v>
          </cell>
          <cell r="DC193">
            <v>1.1000000000000001</v>
          </cell>
          <cell r="DD193">
            <v>0.9</v>
          </cell>
          <cell r="DE193">
            <v>0.8</v>
          </cell>
          <cell r="DF193">
            <v>0.7</v>
          </cell>
          <cell r="DG193">
            <v>7849</v>
          </cell>
          <cell r="DH193">
            <v>1287</v>
          </cell>
          <cell r="DI193">
            <v>9105</v>
          </cell>
          <cell r="DJ193">
            <v>2527</v>
          </cell>
          <cell r="DK193">
            <v>3503</v>
          </cell>
          <cell r="DL193">
            <v>2535</v>
          </cell>
          <cell r="DM193">
            <v>3965</v>
          </cell>
          <cell r="DN193">
            <v>11142</v>
          </cell>
          <cell r="DO193">
            <v>1994</v>
          </cell>
          <cell r="DP193">
            <v>12777</v>
          </cell>
          <cell r="DQ193">
            <v>6271</v>
          </cell>
          <cell r="DR193">
            <v>5651</v>
          </cell>
          <cell r="DS193">
            <v>3811</v>
          </cell>
          <cell r="DT193">
            <v>5155</v>
          </cell>
          <cell r="DU193">
            <v>6655</v>
          </cell>
          <cell r="DV193">
            <v>27045</v>
          </cell>
          <cell r="DW193">
            <v>5231</v>
          </cell>
          <cell r="DX193">
            <v>309</v>
          </cell>
          <cell r="DY193">
            <v>3497</v>
          </cell>
          <cell r="DZ193">
            <v>8999</v>
          </cell>
          <cell r="EA193">
            <v>5883</v>
          </cell>
          <cell r="EB193">
            <v>4841</v>
          </cell>
          <cell r="EC193">
            <v>10933</v>
          </cell>
          <cell r="ED193">
            <v>21591</v>
          </cell>
          <cell r="EE193">
            <v>12593</v>
          </cell>
          <cell r="EF193">
            <v>13383</v>
          </cell>
          <cell r="EG193">
            <v>8463</v>
          </cell>
          <cell r="EH193">
            <v>5170</v>
          </cell>
          <cell r="EI193">
            <v>1512</v>
          </cell>
          <cell r="EJ193">
            <v>2302</v>
          </cell>
          <cell r="EK193">
            <v>6342</v>
          </cell>
          <cell r="EL193">
            <v>15289</v>
          </cell>
          <cell r="EM193">
            <v>3422</v>
          </cell>
          <cell r="EN193">
            <v>3697</v>
          </cell>
          <cell r="EO193">
            <v>7093</v>
          </cell>
          <cell r="EP193">
            <v>13943</v>
          </cell>
          <cell r="EQ193">
            <v>10452</v>
          </cell>
          <cell r="ER193">
            <v>23984</v>
          </cell>
          <cell r="ES193">
            <v>1290</v>
          </cell>
          <cell r="ET193">
            <v>7208</v>
          </cell>
          <cell r="EU193">
            <v>8483</v>
          </cell>
          <cell r="EV193">
            <v>2642</v>
          </cell>
          <cell r="EW193">
            <v>15218</v>
          </cell>
          <cell r="EX193">
            <v>17458</v>
          </cell>
          <cell r="EY193">
            <v>10568</v>
          </cell>
          <cell r="EZ193">
            <v>17447</v>
          </cell>
          <cell r="FA193">
            <v>15988</v>
          </cell>
          <cell r="FB193">
            <v>17189</v>
          </cell>
          <cell r="FC193">
            <v>2506</v>
          </cell>
          <cell r="FD193">
            <v>6295</v>
          </cell>
          <cell r="FE193">
            <v>29973</v>
          </cell>
          <cell r="FF193">
            <v>281523</v>
          </cell>
          <cell r="FG193">
            <v>25027</v>
          </cell>
          <cell r="FH193">
            <v>927</v>
          </cell>
          <cell r="FI193">
            <v>307103</v>
          </cell>
          <cell r="FJ193">
            <v>2.4</v>
          </cell>
          <cell r="FK193">
            <v>-5.4</v>
          </cell>
          <cell r="FL193">
            <v>1.1000000000000001</v>
          </cell>
          <cell r="FM193">
            <v>-0.9</v>
          </cell>
          <cell r="FN193">
            <v>6</v>
          </cell>
          <cell r="FO193">
            <v>7.2</v>
          </cell>
          <cell r="FP193">
            <v>1.8</v>
          </cell>
          <cell r="FQ193">
            <v>3.2</v>
          </cell>
          <cell r="FR193">
            <v>6.1</v>
          </cell>
          <cell r="FS193">
            <v>3.6</v>
          </cell>
          <cell r="FT193">
            <v>-2.4</v>
          </cell>
          <cell r="FU193">
            <v>-3.7</v>
          </cell>
          <cell r="FV193">
            <v>3.9</v>
          </cell>
          <cell r="FW193">
            <v>5.0999999999999996</v>
          </cell>
          <cell r="FX193">
            <v>-1.3</v>
          </cell>
          <cell r="FY193">
            <v>0.3</v>
          </cell>
          <cell r="FZ193">
            <v>1.8</v>
          </cell>
          <cell r="GA193">
            <v>-3</v>
          </cell>
          <cell r="GB193">
            <v>0.2</v>
          </cell>
          <cell r="GC193">
            <v>1.1000000000000001</v>
          </cell>
          <cell r="GD193">
            <v>-2.4</v>
          </cell>
          <cell r="GE193">
            <v>9</v>
          </cell>
          <cell r="GF193">
            <v>0.5</v>
          </cell>
          <cell r="GG193">
            <v>1.4</v>
          </cell>
          <cell r="GH193">
            <v>0.1</v>
          </cell>
          <cell r="GI193">
            <v>0.4</v>
          </cell>
          <cell r="GJ193">
            <v>0.5</v>
          </cell>
          <cell r="GK193">
            <v>2.2999999999999998</v>
          </cell>
          <cell r="GL193">
            <v>2.7</v>
          </cell>
          <cell r="GM193">
            <v>-0.6</v>
          </cell>
          <cell r="GN193">
            <v>0.1</v>
          </cell>
          <cell r="GO193">
            <v>0.9</v>
          </cell>
          <cell r="GP193">
            <v>-1</v>
          </cell>
          <cell r="GQ193">
            <v>-2.7</v>
          </cell>
          <cell r="GR193">
            <v>-1.8</v>
          </cell>
          <cell r="GS193">
            <v>1.2</v>
          </cell>
          <cell r="GT193">
            <v>-0.9</v>
          </cell>
          <cell r="GU193">
            <v>0.5</v>
          </cell>
          <cell r="GV193">
            <v>2.4</v>
          </cell>
          <cell r="GW193">
            <v>4.4000000000000004</v>
          </cell>
          <cell r="GX193">
            <v>3.9</v>
          </cell>
          <cell r="GY193">
            <v>1.5</v>
          </cell>
          <cell r="GZ193">
            <v>1.5</v>
          </cell>
          <cell r="HA193">
            <v>1.5</v>
          </cell>
          <cell r="HB193">
            <v>2.1</v>
          </cell>
          <cell r="HC193">
            <v>0</v>
          </cell>
          <cell r="HD193">
            <v>0.4</v>
          </cell>
          <cell r="HE193">
            <v>-1.2</v>
          </cell>
          <cell r="HF193">
            <v>3.3</v>
          </cell>
          <cell r="HG193">
            <v>-0.3</v>
          </cell>
          <cell r="HH193">
            <v>1.1000000000000001</v>
          </cell>
          <cell r="HI193">
            <v>0.7</v>
          </cell>
          <cell r="HJ193">
            <v>1.1000000000000001</v>
          </cell>
          <cell r="HK193">
            <v>0.7</v>
          </cell>
          <cell r="HL193">
            <v>7460</v>
          </cell>
          <cell r="HM193">
            <v>1285</v>
          </cell>
          <cell r="HN193">
            <v>8724</v>
          </cell>
          <cell r="HO193">
            <v>2443</v>
          </cell>
          <cell r="HP193">
            <v>3289</v>
          </cell>
          <cell r="HQ193">
            <v>2383</v>
          </cell>
          <cell r="HR193">
            <v>3880</v>
          </cell>
          <cell r="HS193">
            <v>10618</v>
          </cell>
          <cell r="HT193">
            <v>1924</v>
          </cell>
          <cell r="HU193">
            <v>12198</v>
          </cell>
          <cell r="HV193">
            <v>6136</v>
          </cell>
          <cell r="HW193">
            <v>5546</v>
          </cell>
          <cell r="HX193">
            <v>3661</v>
          </cell>
          <cell r="HY193">
            <v>4780</v>
          </cell>
          <cell r="HZ193">
            <v>6205</v>
          </cell>
          <cell r="IA193">
            <v>25819</v>
          </cell>
          <cell r="IB193">
            <v>5266</v>
          </cell>
          <cell r="IC193">
            <v>267</v>
          </cell>
          <cell r="ID193">
            <v>3547</v>
          </cell>
          <cell r="IE193">
            <v>9035</v>
          </cell>
          <cell r="IF193">
            <v>5357</v>
          </cell>
          <cell r="IG193">
            <v>4569</v>
          </cell>
          <cell r="IH193">
            <v>10339</v>
          </cell>
          <cell r="II193">
            <v>20234</v>
          </cell>
          <cell r="IJ193">
            <v>12088</v>
          </cell>
          <cell r="IK193">
            <v>12747</v>
          </cell>
          <cell r="IL193">
            <v>8282</v>
          </cell>
          <cell r="IM193">
            <v>4950</v>
          </cell>
          <cell r="IN193">
            <v>1448</v>
          </cell>
          <cell r="IO193">
            <v>2252</v>
          </cell>
          <cell r="IP193">
            <v>6111</v>
          </cell>
          <cell r="IQ193">
            <v>14725</v>
          </cell>
        </row>
        <row r="194">
          <cell r="B194">
            <v>8191</v>
          </cell>
          <cell r="C194">
            <v>1274</v>
          </cell>
          <cell r="D194">
            <v>9421</v>
          </cell>
          <cell r="E194">
            <v>2487</v>
          </cell>
          <cell r="F194">
            <v>3876</v>
          </cell>
          <cell r="G194">
            <v>2499</v>
          </cell>
          <cell r="H194">
            <v>3871</v>
          </cell>
          <cell r="I194">
            <v>11469</v>
          </cell>
          <cell r="J194">
            <v>1966</v>
          </cell>
          <cell r="K194">
            <v>13078</v>
          </cell>
          <cell r="L194">
            <v>6428</v>
          </cell>
          <cell r="M194">
            <v>5696</v>
          </cell>
          <cell r="N194">
            <v>3548</v>
          </cell>
          <cell r="O194">
            <v>5300</v>
          </cell>
          <cell r="P194">
            <v>6721</v>
          </cell>
          <cell r="Q194">
            <v>27057</v>
          </cell>
          <cell r="R194">
            <v>5265</v>
          </cell>
          <cell r="S194">
            <v>305</v>
          </cell>
          <cell r="T194">
            <v>3476</v>
          </cell>
          <cell r="U194">
            <v>9023</v>
          </cell>
          <cell r="V194">
            <v>6075</v>
          </cell>
          <cell r="W194">
            <v>4804</v>
          </cell>
          <cell r="X194">
            <v>11406</v>
          </cell>
          <cell r="Y194">
            <v>22233</v>
          </cell>
          <cell r="Z194">
            <v>12879</v>
          </cell>
          <cell r="AA194">
            <v>13346</v>
          </cell>
          <cell r="AB194">
            <v>8523</v>
          </cell>
          <cell r="AC194">
            <v>5162</v>
          </cell>
          <cell r="AD194">
            <v>1527</v>
          </cell>
          <cell r="AE194">
            <v>2280</v>
          </cell>
          <cell r="AF194">
            <v>6434</v>
          </cell>
          <cell r="AG194">
            <v>15381</v>
          </cell>
          <cell r="AH194">
            <v>3511</v>
          </cell>
          <cell r="AI194">
            <v>3792</v>
          </cell>
          <cell r="AJ194">
            <v>7315</v>
          </cell>
          <cell r="AK194">
            <v>14019</v>
          </cell>
          <cell r="AL194">
            <v>10721</v>
          </cell>
          <cell r="AM194">
            <v>24286</v>
          </cell>
          <cell r="AN194">
            <v>1367</v>
          </cell>
          <cell r="AO194">
            <v>7526</v>
          </cell>
          <cell r="AP194">
            <v>8889</v>
          </cell>
          <cell r="AQ194">
            <v>2643</v>
          </cell>
          <cell r="AR194">
            <v>15048</v>
          </cell>
          <cell r="AS194">
            <v>17308</v>
          </cell>
          <cell r="AT194">
            <v>10717</v>
          </cell>
          <cell r="AU194">
            <v>17686</v>
          </cell>
          <cell r="AV194">
            <v>16030</v>
          </cell>
          <cell r="AW194">
            <v>17571</v>
          </cell>
          <cell r="AX194">
            <v>2488</v>
          </cell>
          <cell r="AY194">
            <v>6269</v>
          </cell>
          <cell r="AZ194">
            <v>30221</v>
          </cell>
          <cell r="BA194">
            <v>284988</v>
          </cell>
          <cell r="BB194">
            <v>25219</v>
          </cell>
          <cell r="BC194">
            <v>-759</v>
          </cell>
          <cell r="BD194">
            <v>309123</v>
          </cell>
          <cell r="BE194">
            <v>3.3</v>
          </cell>
          <cell r="BF194">
            <v>-2.8</v>
          </cell>
          <cell r="BG194">
            <v>2.2999999999999998</v>
          </cell>
          <cell r="BH194">
            <v>-1.6</v>
          </cell>
          <cell r="BI194">
            <v>7.6</v>
          </cell>
          <cell r="BJ194">
            <v>0.2</v>
          </cell>
          <cell r="BK194">
            <v>-0.8</v>
          </cell>
          <cell r="BL194">
            <v>2.2999999999999998</v>
          </cell>
          <cell r="BM194">
            <v>0.5</v>
          </cell>
          <cell r="BN194">
            <v>2.1</v>
          </cell>
          <cell r="BO194">
            <v>0.4</v>
          </cell>
          <cell r="BP194">
            <v>-1.1000000000000001</v>
          </cell>
          <cell r="BQ194">
            <v>-2.8</v>
          </cell>
          <cell r="BR194">
            <v>3.8</v>
          </cell>
          <cell r="BS194">
            <v>0.1</v>
          </cell>
          <cell r="BT194">
            <v>0.1</v>
          </cell>
          <cell r="BU194">
            <v>0.8</v>
          </cell>
          <cell r="BV194">
            <v>-1.4</v>
          </cell>
          <cell r="BW194">
            <v>-0.9</v>
          </cell>
          <cell r="BX194">
            <v>0.2</v>
          </cell>
          <cell r="BY194">
            <v>0.8</v>
          </cell>
          <cell r="BZ194">
            <v>1.9</v>
          </cell>
          <cell r="CA194">
            <v>3.1</v>
          </cell>
          <cell r="CB194">
            <v>2.2000000000000002</v>
          </cell>
          <cell r="CC194">
            <v>1.4</v>
          </cell>
          <cell r="CD194">
            <v>-0.3</v>
          </cell>
          <cell r="CE194">
            <v>0.4</v>
          </cell>
          <cell r="CF194">
            <v>0.8</v>
          </cell>
          <cell r="CG194">
            <v>1.3</v>
          </cell>
          <cell r="CH194">
            <v>-0.7</v>
          </cell>
          <cell r="CI194">
            <v>0.9</v>
          </cell>
          <cell r="CJ194">
            <v>0.7</v>
          </cell>
          <cell r="CK194">
            <v>1.2</v>
          </cell>
          <cell r="CL194">
            <v>1.1000000000000001</v>
          </cell>
          <cell r="CM194">
            <v>1.6</v>
          </cell>
          <cell r="CN194">
            <v>0.6</v>
          </cell>
          <cell r="CO194">
            <v>1.5</v>
          </cell>
          <cell r="CP194">
            <v>0.9</v>
          </cell>
          <cell r="CQ194">
            <v>4.0999999999999996</v>
          </cell>
          <cell r="CR194">
            <v>4.0999999999999996</v>
          </cell>
          <cell r="CS194">
            <v>4.2</v>
          </cell>
          <cell r="CT194">
            <v>0.7</v>
          </cell>
          <cell r="CU194">
            <v>-0.3</v>
          </cell>
          <cell r="CV194">
            <v>-0.1</v>
          </cell>
          <cell r="CW194">
            <v>1.5</v>
          </cell>
          <cell r="CX194">
            <v>1.1000000000000001</v>
          </cell>
          <cell r="CY194">
            <v>0.3</v>
          </cell>
          <cell r="CZ194">
            <v>1.1000000000000001</v>
          </cell>
          <cell r="DA194">
            <v>0.6</v>
          </cell>
          <cell r="DB194">
            <v>-0.2</v>
          </cell>
          <cell r="DC194">
            <v>0.8</v>
          </cell>
          <cell r="DD194">
            <v>1</v>
          </cell>
          <cell r="DE194">
            <v>0.8</v>
          </cell>
          <cell r="DF194">
            <v>0.8</v>
          </cell>
          <cell r="DG194">
            <v>8461</v>
          </cell>
          <cell r="DH194">
            <v>1262</v>
          </cell>
          <cell r="DI194">
            <v>9669</v>
          </cell>
          <cell r="DJ194">
            <v>2502</v>
          </cell>
          <cell r="DK194">
            <v>4034</v>
          </cell>
          <cell r="DL194">
            <v>2518</v>
          </cell>
          <cell r="DM194">
            <v>3806</v>
          </cell>
          <cell r="DN194">
            <v>11675</v>
          </cell>
          <cell r="DO194">
            <v>1985</v>
          </cell>
          <cell r="DP194">
            <v>13293</v>
          </cell>
          <cell r="DQ194">
            <v>6575</v>
          </cell>
          <cell r="DR194">
            <v>5685</v>
          </cell>
          <cell r="DS194">
            <v>3407</v>
          </cell>
          <cell r="DT194">
            <v>5266</v>
          </cell>
          <cell r="DU194">
            <v>6787</v>
          </cell>
          <cell r="DV194">
            <v>27002</v>
          </cell>
          <cell r="DW194">
            <v>5339</v>
          </cell>
          <cell r="DX194">
            <v>302</v>
          </cell>
          <cell r="DY194">
            <v>3535</v>
          </cell>
          <cell r="DZ194">
            <v>9159</v>
          </cell>
          <cell r="EA194">
            <v>6176</v>
          </cell>
          <cell r="EB194">
            <v>4751</v>
          </cell>
          <cell r="EC194">
            <v>11555</v>
          </cell>
          <cell r="ED194">
            <v>22430</v>
          </cell>
          <cell r="EE194">
            <v>12992</v>
          </cell>
          <cell r="EF194">
            <v>13350</v>
          </cell>
          <cell r="EG194">
            <v>8548</v>
          </cell>
          <cell r="EH194">
            <v>5152</v>
          </cell>
          <cell r="EI194">
            <v>1523</v>
          </cell>
          <cell r="EJ194">
            <v>2293</v>
          </cell>
          <cell r="EK194">
            <v>6454</v>
          </cell>
          <cell r="EL194">
            <v>15402</v>
          </cell>
          <cell r="EM194">
            <v>3570</v>
          </cell>
          <cell r="EN194">
            <v>3812</v>
          </cell>
          <cell r="EO194">
            <v>7358</v>
          </cell>
          <cell r="EP194">
            <v>14049</v>
          </cell>
          <cell r="EQ194">
            <v>10767</v>
          </cell>
          <cell r="ER194">
            <v>24357</v>
          </cell>
          <cell r="ES194">
            <v>1412</v>
          </cell>
          <cell r="ET194">
            <v>7633</v>
          </cell>
          <cell r="EU194">
            <v>9054</v>
          </cell>
          <cell r="EV194">
            <v>2617</v>
          </cell>
          <cell r="EW194">
            <v>15069</v>
          </cell>
          <cell r="EX194">
            <v>17283</v>
          </cell>
          <cell r="EY194">
            <v>10775</v>
          </cell>
          <cell r="EZ194">
            <v>17726</v>
          </cell>
          <cell r="FA194">
            <v>16034</v>
          </cell>
          <cell r="FB194">
            <v>17656</v>
          </cell>
          <cell r="FC194">
            <v>2474</v>
          </cell>
          <cell r="FD194">
            <v>6223</v>
          </cell>
          <cell r="FE194">
            <v>30226</v>
          </cell>
          <cell r="FF194">
            <v>286217</v>
          </cell>
          <cell r="FG194">
            <v>25332</v>
          </cell>
          <cell r="FH194">
            <v>-2668</v>
          </cell>
          <cell r="FI194">
            <v>308575</v>
          </cell>
          <cell r="FJ194">
            <v>7.8</v>
          </cell>
          <cell r="FK194">
            <v>-2</v>
          </cell>
          <cell r="FL194">
            <v>6.2</v>
          </cell>
          <cell r="FM194">
            <v>-1</v>
          </cell>
          <cell r="FN194">
            <v>15.2</v>
          </cell>
          <cell r="FO194">
            <v>-0.7</v>
          </cell>
          <cell r="FP194">
            <v>-4</v>
          </cell>
          <cell r="FQ194">
            <v>4.8</v>
          </cell>
          <cell r="FR194">
            <v>-0.5</v>
          </cell>
          <cell r="FS194">
            <v>4</v>
          </cell>
          <cell r="FT194">
            <v>4.8</v>
          </cell>
          <cell r="FU194">
            <v>0.6</v>
          </cell>
          <cell r="FV194">
            <v>-10.6</v>
          </cell>
          <cell r="FW194">
            <v>2.2000000000000002</v>
          </cell>
          <cell r="FX194">
            <v>2</v>
          </cell>
          <cell r="FY194">
            <v>-0.2</v>
          </cell>
          <cell r="FZ194">
            <v>2.1</v>
          </cell>
          <cell r="GA194">
            <v>-2.2000000000000002</v>
          </cell>
          <cell r="GB194">
            <v>1.1000000000000001</v>
          </cell>
          <cell r="GC194">
            <v>1.8</v>
          </cell>
          <cell r="GD194">
            <v>5</v>
          </cell>
          <cell r="GE194">
            <v>-1.9</v>
          </cell>
          <cell r="GF194">
            <v>5.7</v>
          </cell>
          <cell r="GG194">
            <v>3.9</v>
          </cell>
          <cell r="GH194">
            <v>3.2</v>
          </cell>
          <cell r="GI194">
            <v>-0.2</v>
          </cell>
          <cell r="GJ194">
            <v>1</v>
          </cell>
          <cell r="GK194">
            <v>-0.3</v>
          </cell>
          <cell r="GL194">
            <v>0.8</v>
          </cell>
          <cell r="GM194">
            <v>-0.4</v>
          </cell>
          <cell r="GN194">
            <v>1.8</v>
          </cell>
          <cell r="GO194">
            <v>0.7</v>
          </cell>
          <cell r="GP194">
            <v>4.4000000000000004</v>
          </cell>
          <cell r="GQ194">
            <v>3.1</v>
          </cell>
          <cell r="GR194">
            <v>3.7</v>
          </cell>
          <cell r="GS194">
            <v>0.8</v>
          </cell>
          <cell r="GT194">
            <v>3</v>
          </cell>
          <cell r="GU194">
            <v>1.6</v>
          </cell>
          <cell r="GV194">
            <v>9.4</v>
          </cell>
          <cell r="GW194">
            <v>5.9</v>
          </cell>
          <cell r="GX194">
            <v>6.7</v>
          </cell>
          <cell r="GY194">
            <v>-1</v>
          </cell>
          <cell r="GZ194">
            <v>-1</v>
          </cell>
          <cell r="HA194">
            <v>-1</v>
          </cell>
          <cell r="HB194">
            <v>2</v>
          </cell>
          <cell r="HC194">
            <v>1.6</v>
          </cell>
          <cell r="HD194">
            <v>0.3</v>
          </cell>
          <cell r="HE194">
            <v>2.7</v>
          </cell>
          <cell r="HF194">
            <v>-1.3</v>
          </cell>
          <cell r="HG194">
            <v>-1.1000000000000001</v>
          </cell>
          <cell r="HH194">
            <v>0.8</v>
          </cell>
          <cell r="HI194">
            <v>1.7</v>
          </cell>
          <cell r="HJ194">
            <v>1.2</v>
          </cell>
          <cell r="HK194">
            <v>0.5</v>
          </cell>
          <cell r="HL194">
            <v>6904</v>
          </cell>
          <cell r="HM194">
            <v>1254</v>
          </cell>
          <cell r="HN194">
            <v>8148</v>
          </cell>
          <cell r="HO194">
            <v>2522</v>
          </cell>
          <cell r="HP194">
            <v>4042</v>
          </cell>
          <cell r="HQ194">
            <v>2568</v>
          </cell>
          <cell r="HR194">
            <v>3768</v>
          </cell>
          <cell r="HS194">
            <v>11710</v>
          </cell>
          <cell r="HT194">
            <v>2068</v>
          </cell>
          <cell r="HU194">
            <v>13401</v>
          </cell>
          <cell r="HV194">
            <v>6348</v>
          </cell>
          <cell r="HW194">
            <v>5615</v>
          </cell>
          <cell r="HX194">
            <v>3445</v>
          </cell>
          <cell r="HY194">
            <v>5432</v>
          </cell>
          <cell r="HZ194">
            <v>6720</v>
          </cell>
          <cell r="IA194">
            <v>26905</v>
          </cell>
          <cell r="IB194">
            <v>5280</v>
          </cell>
          <cell r="IC194">
            <v>323</v>
          </cell>
          <cell r="ID194">
            <v>3473</v>
          </cell>
          <cell r="IE194">
            <v>9053</v>
          </cell>
          <cell r="IF194">
            <v>6181</v>
          </cell>
          <cell r="IG194">
            <v>5024</v>
          </cell>
          <cell r="IH194">
            <v>11412</v>
          </cell>
          <cell r="II194">
            <v>22525</v>
          </cell>
          <cell r="IJ194">
            <v>12984</v>
          </cell>
          <cell r="IK194">
            <v>12925</v>
          </cell>
          <cell r="IL194">
            <v>8316</v>
          </cell>
          <cell r="IM194">
            <v>5031</v>
          </cell>
          <cell r="IN194">
            <v>1470</v>
          </cell>
          <cell r="IO194">
            <v>2272</v>
          </cell>
          <cell r="IP194">
            <v>6281</v>
          </cell>
          <cell r="IQ194">
            <v>15023</v>
          </cell>
        </row>
        <row r="195">
          <cell r="B195">
            <v>8377</v>
          </cell>
          <cell r="C195">
            <v>1297</v>
          </cell>
          <cell r="D195">
            <v>9625</v>
          </cell>
          <cell r="E195">
            <v>2445</v>
          </cell>
          <cell r="F195">
            <v>4020</v>
          </cell>
          <cell r="G195">
            <v>2432</v>
          </cell>
          <cell r="H195">
            <v>3851</v>
          </cell>
          <cell r="I195">
            <v>11533</v>
          </cell>
          <cell r="J195">
            <v>1951</v>
          </cell>
          <cell r="K195">
            <v>13131</v>
          </cell>
          <cell r="L195">
            <v>6396</v>
          </cell>
          <cell r="M195">
            <v>5655</v>
          </cell>
          <cell r="N195">
            <v>3463</v>
          </cell>
          <cell r="O195">
            <v>5367</v>
          </cell>
          <cell r="P195">
            <v>6728</v>
          </cell>
          <cell r="Q195">
            <v>26949</v>
          </cell>
          <cell r="R195">
            <v>5313</v>
          </cell>
          <cell r="S195">
            <v>302</v>
          </cell>
          <cell r="T195">
            <v>3443</v>
          </cell>
          <cell r="U195">
            <v>9049</v>
          </cell>
          <cell r="V195">
            <v>5994</v>
          </cell>
          <cell r="W195">
            <v>4841</v>
          </cell>
          <cell r="X195">
            <v>11841</v>
          </cell>
          <cell r="Y195">
            <v>22658</v>
          </cell>
          <cell r="Z195">
            <v>13050</v>
          </cell>
          <cell r="AA195">
            <v>13317</v>
          </cell>
          <cell r="AB195">
            <v>8601</v>
          </cell>
          <cell r="AC195">
            <v>5184</v>
          </cell>
          <cell r="AD195">
            <v>1543</v>
          </cell>
          <cell r="AE195">
            <v>2239</v>
          </cell>
          <cell r="AF195">
            <v>6471</v>
          </cell>
          <cell r="AG195">
            <v>15423</v>
          </cell>
          <cell r="AH195">
            <v>3560</v>
          </cell>
          <cell r="AI195">
            <v>3865</v>
          </cell>
          <cell r="AJ195">
            <v>7450</v>
          </cell>
          <cell r="AK195">
            <v>14145</v>
          </cell>
          <cell r="AL195">
            <v>10890</v>
          </cell>
          <cell r="AM195">
            <v>24560</v>
          </cell>
          <cell r="AN195">
            <v>1395</v>
          </cell>
          <cell r="AO195">
            <v>7678</v>
          </cell>
          <cell r="AP195">
            <v>9069</v>
          </cell>
          <cell r="AQ195">
            <v>2673</v>
          </cell>
          <cell r="AR195">
            <v>15133</v>
          </cell>
          <cell r="AS195">
            <v>17425</v>
          </cell>
          <cell r="AT195">
            <v>10903</v>
          </cell>
          <cell r="AU195">
            <v>17546</v>
          </cell>
          <cell r="AV195">
            <v>16069</v>
          </cell>
          <cell r="AW195">
            <v>17815</v>
          </cell>
          <cell r="AX195">
            <v>2486</v>
          </cell>
          <cell r="AY195">
            <v>6279</v>
          </cell>
          <cell r="AZ195">
            <v>30424</v>
          </cell>
          <cell r="BA195">
            <v>287016</v>
          </cell>
          <cell r="BB195">
            <v>25375</v>
          </cell>
          <cell r="BC195">
            <v>-370</v>
          </cell>
          <cell r="BD195">
            <v>311698</v>
          </cell>
          <cell r="BE195">
            <v>2.2999999999999998</v>
          </cell>
          <cell r="BF195">
            <v>1.7</v>
          </cell>
          <cell r="BG195">
            <v>2.2000000000000002</v>
          </cell>
          <cell r="BH195">
            <v>-1.7</v>
          </cell>
          <cell r="BI195">
            <v>3.7</v>
          </cell>
          <cell r="BJ195">
            <v>-2.7</v>
          </cell>
          <cell r="BK195">
            <v>-0.5</v>
          </cell>
          <cell r="BL195">
            <v>0.6</v>
          </cell>
          <cell r="BM195">
            <v>-0.8</v>
          </cell>
          <cell r="BN195">
            <v>0.4</v>
          </cell>
          <cell r="BO195">
            <v>-0.5</v>
          </cell>
          <cell r="BP195">
            <v>-0.7</v>
          </cell>
          <cell r="BQ195">
            <v>-2.4</v>
          </cell>
          <cell r="BR195">
            <v>1.3</v>
          </cell>
          <cell r="BS195">
            <v>0.1</v>
          </cell>
          <cell r="BT195">
            <v>-0.4</v>
          </cell>
          <cell r="BU195">
            <v>0.9</v>
          </cell>
          <cell r="BV195">
            <v>-1.1000000000000001</v>
          </cell>
          <cell r="BW195">
            <v>-0.9</v>
          </cell>
          <cell r="BX195">
            <v>0.3</v>
          </cell>
          <cell r="BY195">
            <v>-1.3</v>
          </cell>
          <cell r="BZ195">
            <v>0.8</v>
          </cell>
          <cell r="CA195">
            <v>3.8</v>
          </cell>
          <cell r="CB195">
            <v>1.9</v>
          </cell>
          <cell r="CC195">
            <v>1.3</v>
          </cell>
          <cell r="CD195">
            <v>-0.2</v>
          </cell>
          <cell r="CE195">
            <v>0.9</v>
          </cell>
          <cell r="CF195">
            <v>0.4</v>
          </cell>
          <cell r="CG195">
            <v>1</v>
          </cell>
          <cell r="CH195">
            <v>-1.8</v>
          </cell>
          <cell r="CI195">
            <v>0.6</v>
          </cell>
          <cell r="CJ195">
            <v>0.3</v>
          </cell>
          <cell r="CK195">
            <v>1.4</v>
          </cell>
          <cell r="CL195">
            <v>1.9</v>
          </cell>
          <cell r="CM195">
            <v>1.9</v>
          </cell>
          <cell r="CN195">
            <v>0.9</v>
          </cell>
          <cell r="CO195">
            <v>1.6</v>
          </cell>
          <cell r="CP195">
            <v>1.1000000000000001</v>
          </cell>
          <cell r="CQ195">
            <v>2.1</v>
          </cell>
          <cell r="CR195">
            <v>2</v>
          </cell>
          <cell r="CS195">
            <v>2</v>
          </cell>
          <cell r="CT195">
            <v>1.1000000000000001</v>
          </cell>
          <cell r="CU195">
            <v>0.6</v>
          </cell>
          <cell r="CV195">
            <v>0.7</v>
          </cell>
          <cell r="CW195">
            <v>1.7</v>
          </cell>
          <cell r="CX195">
            <v>-0.8</v>
          </cell>
          <cell r="CY195">
            <v>0.2</v>
          </cell>
          <cell r="CZ195">
            <v>1.4</v>
          </cell>
          <cell r="DA195">
            <v>-0.1</v>
          </cell>
          <cell r="DB195">
            <v>0.1</v>
          </cell>
          <cell r="DC195">
            <v>0.7</v>
          </cell>
          <cell r="DD195">
            <v>0.7</v>
          </cell>
          <cell r="DE195">
            <v>0.6</v>
          </cell>
          <cell r="DF195">
            <v>0.8</v>
          </cell>
          <cell r="DG195">
            <v>8079</v>
          </cell>
          <cell r="DH195">
            <v>1311</v>
          </cell>
          <cell r="DI195">
            <v>9353</v>
          </cell>
          <cell r="DJ195">
            <v>2427</v>
          </cell>
          <cell r="DK195">
            <v>3943</v>
          </cell>
          <cell r="DL195">
            <v>2398</v>
          </cell>
          <cell r="DM195">
            <v>3854</v>
          </cell>
          <cell r="DN195">
            <v>11391</v>
          </cell>
          <cell r="DO195">
            <v>1944</v>
          </cell>
          <cell r="DP195">
            <v>12980</v>
          </cell>
          <cell r="DQ195">
            <v>6359</v>
          </cell>
          <cell r="DR195">
            <v>5787</v>
          </cell>
          <cell r="DS195">
            <v>3506</v>
          </cell>
          <cell r="DT195">
            <v>5446</v>
          </cell>
          <cell r="DU195">
            <v>6737</v>
          </cell>
          <cell r="DV195">
            <v>27173</v>
          </cell>
          <cell r="DW195">
            <v>5224</v>
          </cell>
          <cell r="DX195">
            <v>306</v>
          </cell>
          <cell r="DY195">
            <v>3408</v>
          </cell>
          <cell r="DZ195">
            <v>8918</v>
          </cell>
          <cell r="EA195">
            <v>6062</v>
          </cell>
          <cell r="EB195">
            <v>4828</v>
          </cell>
          <cell r="EC195">
            <v>11798</v>
          </cell>
          <cell r="ED195">
            <v>22668</v>
          </cell>
          <cell r="EE195">
            <v>12991</v>
          </cell>
          <cell r="EF195">
            <v>13336</v>
          </cell>
          <cell r="EG195">
            <v>8602</v>
          </cell>
          <cell r="EH195">
            <v>5147</v>
          </cell>
          <cell r="EI195">
            <v>1549</v>
          </cell>
          <cell r="EJ195">
            <v>2243</v>
          </cell>
          <cell r="EK195">
            <v>6495</v>
          </cell>
          <cell r="EL195">
            <v>15427</v>
          </cell>
          <cell r="EM195">
            <v>3517</v>
          </cell>
          <cell r="EN195">
            <v>3975</v>
          </cell>
          <cell r="EO195">
            <v>7448</v>
          </cell>
          <cell r="EP195">
            <v>14103</v>
          </cell>
          <cell r="EQ195">
            <v>10960</v>
          </cell>
          <cell r="ER195">
            <v>24568</v>
          </cell>
          <cell r="ES195">
            <v>1376</v>
          </cell>
          <cell r="ET195">
            <v>7721</v>
          </cell>
          <cell r="EU195">
            <v>9082</v>
          </cell>
          <cell r="EV195">
            <v>2672</v>
          </cell>
          <cell r="EW195">
            <v>14977</v>
          </cell>
          <cell r="EX195">
            <v>17287</v>
          </cell>
          <cell r="EY195">
            <v>10813</v>
          </cell>
          <cell r="EZ195">
            <v>17555</v>
          </cell>
          <cell r="FA195">
            <v>16066</v>
          </cell>
          <cell r="FB195">
            <v>17782</v>
          </cell>
          <cell r="FC195">
            <v>2493</v>
          </cell>
          <cell r="FD195">
            <v>6325</v>
          </cell>
          <cell r="FE195">
            <v>30416</v>
          </cell>
          <cell r="FF195">
            <v>286548</v>
          </cell>
          <cell r="FG195">
            <v>25284</v>
          </cell>
          <cell r="FH195">
            <v>113</v>
          </cell>
          <cell r="FI195">
            <v>311636</v>
          </cell>
          <cell r="FJ195">
            <v>-4.5</v>
          </cell>
          <cell r="FK195">
            <v>3.9</v>
          </cell>
          <cell r="FL195">
            <v>-3.3</v>
          </cell>
          <cell r="FM195">
            <v>-3</v>
          </cell>
          <cell r="FN195">
            <v>-2.2999999999999998</v>
          </cell>
          <cell r="FO195">
            <v>-4.7</v>
          </cell>
          <cell r="FP195">
            <v>1.3</v>
          </cell>
          <cell r="FQ195">
            <v>-2.4</v>
          </cell>
          <cell r="FR195">
            <v>-2.1</v>
          </cell>
          <cell r="FS195">
            <v>-2.4</v>
          </cell>
          <cell r="FT195">
            <v>-3.3</v>
          </cell>
          <cell r="FU195">
            <v>1.8</v>
          </cell>
          <cell r="FV195">
            <v>2.9</v>
          </cell>
          <cell r="FW195">
            <v>3.4</v>
          </cell>
          <cell r="FX195">
            <v>-0.7</v>
          </cell>
          <cell r="FY195">
            <v>0.6</v>
          </cell>
          <cell r="FZ195">
            <v>-2.2000000000000002</v>
          </cell>
          <cell r="GA195">
            <v>1.1000000000000001</v>
          </cell>
          <cell r="GB195">
            <v>-3.6</v>
          </cell>
          <cell r="GC195">
            <v>-2.6</v>
          </cell>
          <cell r="GD195">
            <v>-1.8</v>
          </cell>
          <cell r="GE195">
            <v>1.6</v>
          </cell>
          <cell r="GF195">
            <v>2.1</v>
          </cell>
          <cell r="GG195">
            <v>1.1000000000000001</v>
          </cell>
          <cell r="GH195">
            <v>0</v>
          </cell>
          <cell r="GI195">
            <v>-0.1</v>
          </cell>
          <cell r="GJ195">
            <v>0.6</v>
          </cell>
          <cell r="GK195">
            <v>-0.1</v>
          </cell>
          <cell r="GL195">
            <v>1.7</v>
          </cell>
          <cell r="GM195">
            <v>-2.2000000000000002</v>
          </cell>
          <cell r="GN195">
            <v>0.6</v>
          </cell>
          <cell r="GO195">
            <v>0.2</v>
          </cell>
          <cell r="GP195">
            <v>-1.5</v>
          </cell>
          <cell r="GQ195">
            <v>4.3</v>
          </cell>
          <cell r="GR195">
            <v>1.2</v>
          </cell>
          <cell r="GS195">
            <v>0.4</v>
          </cell>
          <cell r="GT195">
            <v>1.8</v>
          </cell>
          <cell r="GU195">
            <v>0.9</v>
          </cell>
          <cell r="GV195">
            <v>-2.5</v>
          </cell>
          <cell r="GW195">
            <v>1.2</v>
          </cell>
          <cell r="GX195">
            <v>0.3</v>
          </cell>
          <cell r="GY195">
            <v>2.1</v>
          </cell>
          <cell r="GZ195">
            <v>-0.6</v>
          </cell>
          <cell r="HA195">
            <v>0</v>
          </cell>
          <cell r="HB195">
            <v>0.3</v>
          </cell>
          <cell r="HC195">
            <v>-1</v>
          </cell>
          <cell r="HD195">
            <v>0.2</v>
          </cell>
          <cell r="HE195">
            <v>0.7</v>
          </cell>
          <cell r="HF195">
            <v>0.8</v>
          </cell>
          <cell r="HG195">
            <v>1.6</v>
          </cell>
          <cell r="HH195">
            <v>0.6</v>
          </cell>
          <cell r="HI195">
            <v>0.1</v>
          </cell>
          <cell r="HJ195">
            <v>-0.2</v>
          </cell>
          <cell r="HK195">
            <v>1</v>
          </cell>
          <cell r="HL195">
            <v>5222</v>
          </cell>
          <cell r="HM195">
            <v>1315</v>
          </cell>
          <cell r="HN195">
            <v>6585</v>
          </cell>
          <cell r="HO195">
            <v>2484</v>
          </cell>
          <cell r="HP195">
            <v>4163</v>
          </cell>
          <cell r="HQ195">
            <v>2441</v>
          </cell>
          <cell r="HR195">
            <v>3869</v>
          </cell>
          <cell r="HS195">
            <v>11751</v>
          </cell>
          <cell r="HT195">
            <v>1915</v>
          </cell>
          <cell r="HU195">
            <v>13336</v>
          </cell>
          <cell r="HV195">
            <v>6287</v>
          </cell>
          <cell r="HW195">
            <v>5951</v>
          </cell>
          <cell r="HX195">
            <v>3563</v>
          </cell>
          <cell r="HY195">
            <v>5660</v>
          </cell>
          <cell r="HZ195">
            <v>6998</v>
          </cell>
          <cell r="IA195">
            <v>27764</v>
          </cell>
          <cell r="IB195">
            <v>5373</v>
          </cell>
          <cell r="IC195">
            <v>346</v>
          </cell>
          <cell r="ID195">
            <v>3399</v>
          </cell>
          <cell r="IE195">
            <v>9121</v>
          </cell>
          <cell r="IF195">
            <v>6284</v>
          </cell>
          <cell r="IG195">
            <v>4688</v>
          </cell>
          <cell r="IH195">
            <v>11982</v>
          </cell>
          <cell r="II195">
            <v>22927</v>
          </cell>
          <cell r="IJ195">
            <v>13114</v>
          </cell>
          <cell r="IK195">
            <v>13089</v>
          </cell>
          <cell r="IL195">
            <v>8605</v>
          </cell>
          <cell r="IM195">
            <v>5150</v>
          </cell>
          <cell r="IN195">
            <v>1627</v>
          </cell>
          <cell r="IO195">
            <v>2295</v>
          </cell>
          <cell r="IP195">
            <v>6544</v>
          </cell>
          <cell r="IQ195">
            <v>15625</v>
          </cell>
        </row>
        <row r="196">
          <cell r="B196">
            <v>8400</v>
          </cell>
          <cell r="C196">
            <v>1350</v>
          </cell>
          <cell r="D196">
            <v>9709</v>
          </cell>
          <cell r="E196">
            <v>2414</v>
          </cell>
          <cell r="F196">
            <v>3904</v>
          </cell>
          <cell r="G196">
            <v>2360</v>
          </cell>
          <cell r="H196">
            <v>3846</v>
          </cell>
          <cell r="I196">
            <v>11319</v>
          </cell>
          <cell r="J196">
            <v>1952</v>
          </cell>
          <cell r="K196">
            <v>12913</v>
          </cell>
          <cell r="L196">
            <v>6317</v>
          </cell>
          <cell r="M196">
            <v>5614</v>
          </cell>
          <cell r="N196">
            <v>3499</v>
          </cell>
          <cell r="O196">
            <v>5292</v>
          </cell>
          <cell r="P196">
            <v>6684</v>
          </cell>
          <cell r="Q196">
            <v>26785</v>
          </cell>
          <cell r="R196">
            <v>5384</v>
          </cell>
          <cell r="S196">
            <v>305</v>
          </cell>
          <cell r="T196">
            <v>3437</v>
          </cell>
          <cell r="U196">
            <v>9120</v>
          </cell>
          <cell r="V196">
            <v>5863</v>
          </cell>
          <cell r="W196">
            <v>4903</v>
          </cell>
          <cell r="X196">
            <v>12261</v>
          </cell>
          <cell r="Y196">
            <v>23041</v>
          </cell>
          <cell r="Z196">
            <v>13113</v>
          </cell>
          <cell r="AA196">
            <v>13361</v>
          </cell>
          <cell r="AB196">
            <v>8685</v>
          </cell>
          <cell r="AC196">
            <v>5236</v>
          </cell>
          <cell r="AD196">
            <v>1556</v>
          </cell>
          <cell r="AE196">
            <v>2264</v>
          </cell>
          <cell r="AF196">
            <v>6465</v>
          </cell>
          <cell r="AG196">
            <v>15505</v>
          </cell>
          <cell r="AH196">
            <v>3595</v>
          </cell>
          <cell r="AI196">
            <v>3919</v>
          </cell>
          <cell r="AJ196">
            <v>7520</v>
          </cell>
          <cell r="AK196">
            <v>14400</v>
          </cell>
          <cell r="AL196">
            <v>10918</v>
          </cell>
          <cell r="AM196">
            <v>24861</v>
          </cell>
          <cell r="AN196">
            <v>1390</v>
          </cell>
          <cell r="AO196">
            <v>7639</v>
          </cell>
          <cell r="AP196">
            <v>9024</v>
          </cell>
          <cell r="AQ196">
            <v>2702</v>
          </cell>
          <cell r="AR196">
            <v>15476</v>
          </cell>
          <cell r="AS196">
            <v>17770</v>
          </cell>
          <cell r="AT196">
            <v>11100</v>
          </cell>
          <cell r="AU196">
            <v>17382</v>
          </cell>
          <cell r="AV196">
            <v>16116</v>
          </cell>
          <cell r="AW196">
            <v>18045</v>
          </cell>
          <cell r="AX196">
            <v>2481</v>
          </cell>
          <cell r="AY196">
            <v>6288</v>
          </cell>
          <cell r="AZ196">
            <v>30594</v>
          </cell>
          <cell r="BA196">
            <v>288416</v>
          </cell>
          <cell r="BB196">
            <v>25492</v>
          </cell>
          <cell r="BC196">
            <v>211</v>
          </cell>
          <cell r="BD196">
            <v>313798</v>
          </cell>
          <cell r="BE196">
            <v>0.3</v>
          </cell>
          <cell r="BF196">
            <v>4.0999999999999996</v>
          </cell>
          <cell r="BG196">
            <v>0.9</v>
          </cell>
          <cell r="BH196">
            <v>-1.3</v>
          </cell>
          <cell r="BI196">
            <v>-2.9</v>
          </cell>
          <cell r="BJ196">
            <v>-2.9</v>
          </cell>
          <cell r="BK196">
            <v>-0.1</v>
          </cell>
          <cell r="BL196">
            <v>-1.9</v>
          </cell>
          <cell r="BM196">
            <v>0.1</v>
          </cell>
          <cell r="BN196">
            <v>-1.7</v>
          </cell>
          <cell r="BO196">
            <v>-1.2</v>
          </cell>
          <cell r="BP196">
            <v>-0.7</v>
          </cell>
          <cell r="BQ196">
            <v>1</v>
          </cell>
          <cell r="BR196">
            <v>-1.4</v>
          </cell>
          <cell r="BS196">
            <v>-0.7</v>
          </cell>
          <cell r="BT196">
            <v>-0.6</v>
          </cell>
          <cell r="BU196">
            <v>1.3</v>
          </cell>
          <cell r="BV196">
            <v>0.9</v>
          </cell>
          <cell r="BW196">
            <v>-0.2</v>
          </cell>
          <cell r="BX196">
            <v>0.8</v>
          </cell>
          <cell r="BY196">
            <v>-2.2000000000000002</v>
          </cell>
          <cell r="BZ196">
            <v>1.3</v>
          </cell>
          <cell r="CA196">
            <v>3.5</v>
          </cell>
          <cell r="CB196">
            <v>1.7</v>
          </cell>
          <cell r="CC196">
            <v>0.5</v>
          </cell>
          <cell r="CD196">
            <v>0.3</v>
          </cell>
          <cell r="CE196">
            <v>1</v>
          </cell>
          <cell r="CF196">
            <v>1</v>
          </cell>
          <cell r="CG196">
            <v>0.9</v>
          </cell>
          <cell r="CH196">
            <v>1.1000000000000001</v>
          </cell>
          <cell r="CI196">
            <v>-0.1</v>
          </cell>
          <cell r="CJ196">
            <v>0.5</v>
          </cell>
          <cell r="CK196">
            <v>1</v>
          </cell>
          <cell r="CL196">
            <v>1.4</v>
          </cell>
          <cell r="CM196">
            <v>0.9</v>
          </cell>
          <cell r="CN196">
            <v>1.8</v>
          </cell>
          <cell r="CO196">
            <v>0.3</v>
          </cell>
          <cell r="CP196">
            <v>1.2</v>
          </cell>
          <cell r="CQ196">
            <v>-0.4</v>
          </cell>
          <cell r="CR196">
            <v>-0.5</v>
          </cell>
          <cell r="CS196">
            <v>-0.5</v>
          </cell>
          <cell r="CT196">
            <v>1.1000000000000001</v>
          </cell>
          <cell r="CU196">
            <v>2.2999999999999998</v>
          </cell>
          <cell r="CV196">
            <v>2</v>
          </cell>
          <cell r="CW196">
            <v>1.8</v>
          </cell>
          <cell r="CX196">
            <v>-0.9</v>
          </cell>
          <cell r="CY196">
            <v>0.3</v>
          </cell>
          <cell r="CZ196">
            <v>1.3</v>
          </cell>
          <cell r="DA196">
            <v>-0.2</v>
          </cell>
          <cell r="DB196">
            <v>0.2</v>
          </cell>
          <cell r="DC196">
            <v>0.6</v>
          </cell>
          <cell r="DD196">
            <v>0.5</v>
          </cell>
          <cell r="DE196">
            <v>0.5</v>
          </cell>
          <cell r="DF196">
            <v>0.7</v>
          </cell>
          <cell r="DG196">
            <v>8585</v>
          </cell>
          <cell r="DH196">
            <v>1337</v>
          </cell>
          <cell r="DI196">
            <v>9873</v>
          </cell>
          <cell r="DJ196">
            <v>2439</v>
          </cell>
          <cell r="DK196">
            <v>4059</v>
          </cell>
          <cell r="DL196">
            <v>2383</v>
          </cell>
          <cell r="DM196">
            <v>3891</v>
          </cell>
          <cell r="DN196">
            <v>11565</v>
          </cell>
          <cell r="DO196">
            <v>1915</v>
          </cell>
          <cell r="DP196">
            <v>13143</v>
          </cell>
          <cell r="DQ196">
            <v>6323</v>
          </cell>
          <cell r="DR196">
            <v>5509</v>
          </cell>
          <cell r="DS196">
            <v>3462</v>
          </cell>
          <cell r="DT196">
            <v>5293</v>
          </cell>
          <cell r="DU196">
            <v>6656</v>
          </cell>
          <cell r="DV196">
            <v>26626</v>
          </cell>
          <cell r="DW196">
            <v>5404</v>
          </cell>
          <cell r="DX196">
            <v>303</v>
          </cell>
          <cell r="DY196">
            <v>3409</v>
          </cell>
          <cell r="DZ196">
            <v>9124</v>
          </cell>
          <cell r="EA196">
            <v>5789</v>
          </cell>
          <cell r="EB196">
            <v>4905</v>
          </cell>
          <cell r="EC196">
            <v>12134</v>
          </cell>
          <cell r="ED196">
            <v>22850</v>
          </cell>
          <cell r="EE196">
            <v>13146</v>
          </cell>
          <cell r="EF196">
            <v>13292</v>
          </cell>
          <cell r="EG196">
            <v>8665</v>
          </cell>
          <cell r="EH196">
            <v>5249</v>
          </cell>
          <cell r="EI196">
            <v>1559</v>
          </cell>
          <cell r="EJ196">
            <v>2176</v>
          </cell>
          <cell r="EK196">
            <v>6469</v>
          </cell>
          <cell r="EL196">
            <v>15442</v>
          </cell>
          <cell r="EM196">
            <v>3617</v>
          </cell>
          <cell r="EN196">
            <v>3998</v>
          </cell>
          <cell r="EO196">
            <v>7577</v>
          </cell>
          <cell r="EP196">
            <v>14388</v>
          </cell>
          <cell r="EQ196">
            <v>10833</v>
          </cell>
          <cell r="ER196">
            <v>24775</v>
          </cell>
          <cell r="ES196">
            <v>1406</v>
          </cell>
          <cell r="ET196">
            <v>7597</v>
          </cell>
          <cell r="EU196">
            <v>9007</v>
          </cell>
          <cell r="EV196">
            <v>2721</v>
          </cell>
          <cell r="EW196">
            <v>15423</v>
          </cell>
          <cell r="EX196">
            <v>17753</v>
          </cell>
          <cell r="EY196">
            <v>11133</v>
          </cell>
          <cell r="EZ196">
            <v>17494</v>
          </cell>
          <cell r="FA196">
            <v>16113</v>
          </cell>
          <cell r="FB196">
            <v>18075</v>
          </cell>
          <cell r="FC196">
            <v>2488</v>
          </cell>
          <cell r="FD196">
            <v>6263</v>
          </cell>
          <cell r="FE196">
            <v>30595</v>
          </cell>
          <cell r="FF196">
            <v>288519</v>
          </cell>
          <cell r="FG196">
            <v>25508</v>
          </cell>
          <cell r="FH196">
            <v>909</v>
          </cell>
          <cell r="FI196">
            <v>314600</v>
          </cell>
          <cell r="FJ196">
            <v>6.3</v>
          </cell>
          <cell r="FK196">
            <v>2</v>
          </cell>
          <cell r="FL196">
            <v>5.6</v>
          </cell>
          <cell r="FM196">
            <v>0.5</v>
          </cell>
          <cell r="FN196">
            <v>2.9</v>
          </cell>
          <cell r="FO196">
            <v>-0.6</v>
          </cell>
          <cell r="FP196">
            <v>0.9</v>
          </cell>
          <cell r="FQ196">
            <v>1.5</v>
          </cell>
          <cell r="FR196">
            <v>-1.4</v>
          </cell>
          <cell r="FS196">
            <v>1.3</v>
          </cell>
          <cell r="FT196">
            <v>-0.6</v>
          </cell>
          <cell r="FU196">
            <v>-4.8</v>
          </cell>
          <cell r="FV196">
            <v>-1.2</v>
          </cell>
          <cell r="FW196">
            <v>-2.8</v>
          </cell>
          <cell r="FX196">
            <v>-1.2</v>
          </cell>
          <cell r="FY196">
            <v>-2</v>
          </cell>
          <cell r="FZ196">
            <v>3.4</v>
          </cell>
          <cell r="GA196">
            <v>-1</v>
          </cell>
          <cell r="GB196">
            <v>0</v>
          </cell>
          <cell r="GC196">
            <v>2.2999999999999998</v>
          </cell>
          <cell r="GD196">
            <v>-4.5</v>
          </cell>
          <cell r="GE196">
            <v>1.6</v>
          </cell>
          <cell r="GF196">
            <v>2.9</v>
          </cell>
          <cell r="GG196">
            <v>0.8</v>
          </cell>
          <cell r="GH196">
            <v>1.2</v>
          </cell>
          <cell r="GI196">
            <v>-0.3</v>
          </cell>
          <cell r="GJ196">
            <v>0.7</v>
          </cell>
          <cell r="GK196">
            <v>2</v>
          </cell>
          <cell r="GL196">
            <v>0.6</v>
          </cell>
          <cell r="GM196">
            <v>-3</v>
          </cell>
          <cell r="GN196">
            <v>-0.4</v>
          </cell>
          <cell r="GO196">
            <v>0.1</v>
          </cell>
          <cell r="GP196">
            <v>2.8</v>
          </cell>
          <cell r="GQ196">
            <v>0.6</v>
          </cell>
          <cell r="GR196">
            <v>1.7</v>
          </cell>
          <cell r="GS196">
            <v>2</v>
          </cell>
          <cell r="GT196">
            <v>-1.2</v>
          </cell>
          <cell r="GU196">
            <v>0.8</v>
          </cell>
          <cell r="GV196">
            <v>2.2000000000000002</v>
          </cell>
          <cell r="GW196">
            <v>-1.6</v>
          </cell>
          <cell r="GX196">
            <v>-0.8</v>
          </cell>
          <cell r="GY196">
            <v>1.8</v>
          </cell>
          <cell r="GZ196">
            <v>3</v>
          </cell>
          <cell r="HA196">
            <v>2.7</v>
          </cell>
          <cell r="HB196">
            <v>3</v>
          </cell>
          <cell r="HC196">
            <v>-0.4</v>
          </cell>
          <cell r="HD196">
            <v>0.3</v>
          </cell>
          <cell r="HE196">
            <v>1.6</v>
          </cell>
          <cell r="HF196">
            <v>-0.2</v>
          </cell>
          <cell r="HG196">
            <v>-1</v>
          </cell>
          <cell r="HH196">
            <v>0.6</v>
          </cell>
          <cell r="HI196">
            <v>0.7</v>
          </cell>
          <cell r="HJ196">
            <v>0.9</v>
          </cell>
          <cell r="HK196">
            <v>1</v>
          </cell>
          <cell r="HL196">
            <v>13203</v>
          </cell>
          <cell r="HM196">
            <v>1343</v>
          </cell>
          <cell r="HN196">
            <v>14351</v>
          </cell>
          <cell r="HO196">
            <v>2450</v>
          </cell>
          <cell r="HP196">
            <v>4085</v>
          </cell>
          <cell r="HQ196">
            <v>2432</v>
          </cell>
          <cell r="HR196">
            <v>4020</v>
          </cell>
          <cell r="HS196">
            <v>11705</v>
          </cell>
          <cell r="HT196">
            <v>1917</v>
          </cell>
          <cell r="HU196">
            <v>13290</v>
          </cell>
          <cell r="HV196">
            <v>6744</v>
          </cell>
          <cell r="HW196">
            <v>5514</v>
          </cell>
          <cell r="HX196">
            <v>3532</v>
          </cell>
          <cell r="HY196">
            <v>5318</v>
          </cell>
          <cell r="HZ196">
            <v>6910</v>
          </cell>
          <cell r="IA196">
            <v>27367</v>
          </cell>
          <cell r="IB196">
            <v>5278</v>
          </cell>
          <cell r="IC196">
            <v>281</v>
          </cell>
          <cell r="ID196">
            <v>3409</v>
          </cell>
          <cell r="IE196">
            <v>8947</v>
          </cell>
          <cell r="IF196">
            <v>6062</v>
          </cell>
          <cell r="IG196">
            <v>5077</v>
          </cell>
          <cell r="IH196">
            <v>12828</v>
          </cell>
          <cell r="II196">
            <v>23994</v>
          </cell>
          <cell r="IJ196">
            <v>13577</v>
          </cell>
          <cell r="IK196">
            <v>14601</v>
          </cell>
          <cell r="IL196">
            <v>9088</v>
          </cell>
          <cell r="IM196">
            <v>5563</v>
          </cell>
          <cell r="IN196">
            <v>1606</v>
          </cell>
          <cell r="IO196">
            <v>2190</v>
          </cell>
          <cell r="IP196">
            <v>6850</v>
          </cell>
          <cell r="IQ196">
            <v>16196</v>
          </cell>
        </row>
        <row r="197">
          <cell r="B197">
            <v>8198</v>
          </cell>
          <cell r="C197">
            <v>1387</v>
          </cell>
          <cell r="D197">
            <v>9557</v>
          </cell>
          <cell r="E197">
            <v>2424</v>
          </cell>
          <cell r="F197">
            <v>3773</v>
          </cell>
          <cell r="G197">
            <v>2365</v>
          </cell>
          <cell r="H197">
            <v>3852</v>
          </cell>
          <cell r="I197">
            <v>11208</v>
          </cell>
          <cell r="J197">
            <v>2011</v>
          </cell>
          <cell r="K197">
            <v>12843</v>
          </cell>
          <cell r="L197">
            <v>6311</v>
          </cell>
          <cell r="M197">
            <v>5503</v>
          </cell>
          <cell r="N197">
            <v>3634</v>
          </cell>
          <cell r="O197">
            <v>5158</v>
          </cell>
          <cell r="P197">
            <v>6615</v>
          </cell>
          <cell r="Q197">
            <v>26696</v>
          </cell>
          <cell r="R197">
            <v>5462</v>
          </cell>
          <cell r="S197">
            <v>312</v>
          </cell>
          <cell r="T197">
            <v>3475</v>
          </cell>
          <cell r="U197">
            <v>9238</v>
          </cell>
          <cell r="V197">
            <v>5765</v>
          </cell>
          <cell r="W197">
            <v>4976</v>
          </cell>
          <cell r="X197">
            <v>12457</v>
          </cell>
          <cell r="Y197">
            <v>23227</v>
          </cell>
          <cell r="Z197">
            <v>13086</v>
          </cell>
          <cell r="AA197">
            <v>13509</v>
          </cell>
          <cell r="AB197">
            <v>8770</v>
          </cell>
          <cell r="AC197">
            <v>5310</v>
          </cell>
          <cell r="AD197">
            <v>1584</v>
          </cell>
          <cell r="AE197">
            <v>2295</v>
          </cell>
          <cell r="AF197">
            <v>6460</v>
          </cell>
          <cell r="AG197">
            <v>15628</v>
          </cell>
          <cell r="AH197">
            <v>3611</v>
          </cell>
          <cell r="AI197">
            <v>3908</v>
          </cell>
          <cell r="AJ197">
            <v>7501</v>
          </cell>
          <cell r="AK197">
            <v>14862</v>
          </cell>
          <cell r="AL197">
            <v>10743</v>
          </cell>
          <cell r="AM197">
            <v>25220</v>
          </cell>
          <cell r="AN197">
            <v>1366</v>
          </cell>
          <cell r="AO197">
            <v>7529</v>
          </cell>
          <cell r="AP197">
            <v>8886</v>
          </cell>
          <cell r="AQ197">
            <v>2701</v>
          </cell>
          <cell r="AR197">
            <v>15916</v>
          </cell>
          <cell r="AS197">
            <v>18157</v>
          </cell>
          <cell r="AT197">
            <v>11276</v>
          </cell>
          <cell r="AU197">
            <v>17543</v>
          </cell>
          <cell r="AV197">
            <v>16185</v>
          </cell>
          <cell r="AW197">
            <v>18223</v>
          </cell>
          <cell r="AX197">
            <v>2493</v>
          </cell>
          <cell r="AY197">
            <v>6241</v>
          </cell>
          <cell r="AZ197">
            <v>30735</v>
          </cell>
          <cell r="BA197">
            <v>289853</v>
          </cell>
          <cell r="BB197">
            <v>25607</v>
          </cell>
          <cell r="BC197">
            <v>226</v>
          </cell>
          <cell r="BD197">
            <v>315359</v>
          </cell>
          <cell r="BE197">
            <v>-2.4</v>
          </cell>
          <cell r="BF197">
            <v>2.7</v>
          </cell>
          <cell r="BG197">
            <v>-1.6</v>
          </cell>
          <cell r="BH197">
            <v>0.4</v>
          </cell>
          <cell r="BI197">
            <v>-3.4</v>
          </cell>
          <cell r="BJ197">
            <v>0.2</v>
          </cell>
          <cell r="BK197">
            <v>0.2</v>
          </cell>
          <cell r="BL197">
            <v>-1</v>
          </cell>
          <cell r="BM197">
            <v>3</v>
          </cell>
          <cell r="BN197">
            <v>-0.5</v>
          </cell>
          <cell r="BO197">
            <v>-0.1</v>
          </cell>
          <cell r="BP197">
            <v>-2</v>
          </cell>
          <cell r="BQ197">
            <v>3.9</v>
          </cell>
          <cell r="BR197">
            <v>-2.5</v>
          </cell>
          <cell r="BS197">
            <v>-1</v>
          </cell>
          <cell r="BT197">
            <v>-0.3</v>
          </cell>
          <cell r="BU197">
            <v>1.4</v>
          </cell>
          <cell r="BV197">
            <v>2.2000000000000002</v>
          </cell>
          <cell r="BW197">
            <v>1.1000000000000001</v>
          </cell>
          <cell r="BX197">
            <v>1.3</v>
          </cell>
          <cell r="BY197">
            <v>-1.7</v>
          </cell>
          <cell r="BZ197">
            <v>1.5</v>
          </cell>
          <cell r="CA197">
            <v>1.6</v>
          </cell>
          <cell r="CB197">
            <v>0.8</v>
          </cell>
          <cell r="CC197">
            <v>-0.2</v>
          </cell>
          <cell r="CD197">
            <v>1.1000000000000001</v>
          </cell>
          <cell r="CE197">
            <v>1</v>
          </cell>
          <cell r="CF197">
            <v>1.4</v>
          </cell>
          <cell r="CG197">
            <v>1.8</v>
          </cell>
          <cell r="CH197">
            <v>1.4</v>
          </cell>
          <cell r="CI197">
            <v>-0.1</v>
          </cell>
          <cell r="CJ197">
            <v>0.8</v>
          </cell>
          <cell r="CK197">
            <v>0.4</v>
          </cell>
          <cell r="CL197">
            <v>-0.3</v>
          </cell>
          <cell r="CM197">
            <v>-0.3</v>
          </cell>
          <cell r="CN197">
            <v>3.2</v>
          </cell>
          <cell r="CO197">
            <v>-1.6</v>
          </cell>
          <cell r="CP197">
            <v>1.4</v>
          </cell>
          <cell r="CQ197">
            <v>-1.7</v>
          </cell>
          <cell r="CR197">
            <v>-1.5</v>
          </cell>
          <cell r="CS197">
            <v>-1.5</v>
          </cell>
          <cell r="CT197">
            <v>0</v>
          </cell>
          <cell r="CU197">
            <v>2.8</v>
          </cell>
          <cell r="CV197">
            <v>2.2000000000000002</v>
          </cell>
          <cell r="CW197">
            <v>1.6</v>
          </cell>
          <cell r="CX197">
            <v>0.9</v>
          </cell>
          <cell r="CY197">
            <v>0.4</v>
          </cell>
          <cell r="CZ197">
            <v>1</v>
          </cell>
          <cell r="DA197">
            <v>0.4</v>
          </cell>
          <cell r="DB197">
            <v>-0.7</v>
          </cell>
          <cell r="DC197">
            <v>0.5</v>
          </cell>
          <cell r="DD197">
            <v>0.5</v>
          </cell>
          <cell r="DE197">
            <v>0.5</v>
          </cell>
          <cell r="DF197">
            <v>0.5</v>
          </cell>
          <cell r="DG197">
            <v>8204</v>
          </cell>
          <cell r="DH197">
            <v>1383</v>
          </cell>
          <cell r="DI197">
            <v>9558</v>
          </cell>
          <cell r="DJ197">
            <v>2389</v>
          </cell>
          <cell r="DK197">
            <v>3679</v>
          </cell>
          <cell r="DL197">
            <v>2318</v>
          </cell>
          <cell r="DM197">
            <v>3812</v>
          </cell>
          <cell r="DN197">
            <v>11001</v>
          </cell>
          <cell r="DO197">
            <v>2029</v>
          </cell>
          <cell r="DP197">
            <v>12642</v>
          </cell>
          <cell r="DQ197">
            <v>6260</v>
          </cell>
          <cell r="DR197">
            <v>5478</v>
          </cell>
          <cell r="DS197">
            <v>3645</v>
          </cell>
          <cell r="DT197">
            <v>5127</v>
          </cell>
          <cell r="DU197">
            <v>6643</v>
          </cell>
          <cell r="DV197">
            <v>26641</v>
          </cell>
          <cell r="DW197">
            <v>5484</v>
          </cell>
          <cell r="DX197">
            <v>307</v>
          </cell>
          <cell r="DY197">
            <v>3498</v>
          </cell>
          <cell r="DZ197">
            <v>9271</v>
          </cell>
          <cell r="EA197">
            <v>5691</v>
          </cell>
          <cell r="EB197">
            <v>4947</v>
          </cell>
          <cell r="EC197">
            <v>12727</v>
          </cell>
          <cell r="ED197">
            <v>23403</v>
          </cell>
          <cell r="EE197">
            <v>13162</v>
          </cell>
          <cell r="EF197">
            <v>13529</v>
          </cell>
          <cell r="EG197">
            <v>8776</v>
          </cell>
          <cell r="EH197">
            <v>5351</v>
          </cell>
          <cell r="EI197">
            <v>1568</v>
          </cell>
          <cell r="EJ197">
            <v>2375</v>
          </cell>
          <cell r="EK197">
            <v>6422</v>
          </cell>
          <cell r="EL197">
            <v>15678</v>
          </cell>
          <cell r="EM197">
            <v>3622</v>
          </cell>
          <cell r="EN197">
            <v>3876</v>
          </cell>
          <cell r="EO197">
            <v>7475</v>
          </cell>
          <cell r="EP197">
            <v>14857</v>
          </cell>
          <cell r="EQ197">
            <v>10922</v>
          </cell>
          <cell r="ER197">
            <v>25368</v>
          </cell>
          <cell r="ES197">
            <v>1339</v>
          </cell>
          <cell r="ET197">
            <v>7496</v>
          </cell>
          <cell r="EU197">
            <v>8818</v>
          </cell>
          <cell r="EV197">
            <v>2695</v>
          </cell>
          <cell r="EW197">
            <v>16052</v>
          </cell>
          <cell r="EX197">
            <v>18266</v>
          </cell>
          <cell r="EY197">
            <v>11302</v>
          </cell>
          <cell r="EZ197">
            <v>17218</v>
          </cell>
          <cell r="FA197">
            <v>16182</v>
          </cell>
          <cell r="FB197">
            <v>18250</v>
          </cell>
          <cell r="FC197">
            <v>2469</v>
          </cell>
          <cell r="FD197">
            <v>6279</v>
          </cell>
          <cell r="FE197">
            <v>30739</v>
          </cell>
          <cell r="FF197">
            <v>289795</v>
          </cell>
          <cell r="FG197">
            <v>25657</v>
          </cell>
          <cell r="FH197">
            <v>317</v>
          </cell>
          <cell r="FI197">
            <v>315441</v>
          </cell>
          <cell r="FJ197">
            <v>-4.4000000000000004</v>
          </cell>
          <cell r="FK197">
            <v>3.4</v>
          </cell>
          <cell r="FL197">
            <v>-3.2</v>
          </cell>
          <cell r="FM197">
            <v>-2</v>
          </cell>
          <cell r="FN197">
            <v>-9.4</v>
          </cell>
          <cell r="FO197">
            <v>-2.8</v>
          </cell>
          <cell r="FP197">
            <v>-2</v>
          </cell>
          <cell r="FQ197">
            <v>-4.9000000000000004</v>
          </cell>
          <cell r="FR197">
            <v>5.9</v>
          </cell>
          <cell r="FS197">
            <v>-3.8</v>
          </cell>
          <cell r="FT197">
            <v>-1</v>
          </cell>
          <cell r="FU197">
            <v>-0.6</v>
          </cell>
          <cell r="FV197">
            <v>5.3</v>
          </cell>
          <cell r="FW197">
            <v>-3.1</v>
          </cell>
          <cell r="FX197">
            <v>-0.2</v>
          </cell>
          <cell r="FY197">
            <v>0.1</v>
          </cell>
          <cell r="FZ197">
            <v>1.5</v>
          </cell>
          <cell r="GA197">
            <v>1.4</v>
          </cell>
          <cell r="GB197">
            <v>2.6</v>
          </cell>
          <cell r="GC197">
            <v>1.6</v>
          </cell>
          <cell r="GD197">
            <v>-1.7</v>
          </cell>
          <cell r="GE197">
            <v>0.9</v>
          </cell>
          <cell r="GF197">
            <v>4.9000000000000004</v>
          </cell>
          <cell r="GG197">
            <v>2.4</v>
          </cell>
          <cell r="GH197">
            <v>0.1</v>
          </cell>
          <cell r="GI197">
            <v>1.8</v>
          </cell>
          <cell r="GJ197">
            <v>1.3</v>
          </cell>
          <cell r="GK197">
            <v>1.9</v>
          </cell>
          <cell r="GL197">
            <v>0.6</v>
          </cell>
          <cell r="GM197">
            <v>9.1999999999999993</v>
          </cell>
          <cell r="GN197">
            <v>-0.7</v>
          </cell>
          <cell r="GO197">
            <v>1.5</v>
          </cell>
          <cell r="GP197">
            <v>0.1</v>
          </cell>
          <cell r="GQ197">
            <v>-3.1</v>
          </cell>
          <cell r="GR197">
            <v>-1.3</v>
          </cell>
          <cell r="GS197">
            <v>3.3</v>
          </cell>
          <cell r="GT197">
            <v>0.8</v>
          </cell>
          <cell r="GU197">
            <v>2.4</v>
          </cell>
          <cell r="GV197">
            <v>-4.8</v>
          </cell>
          <cell r="GW197">
            <v>-1.3</v>
          </cell>
          <cell r="GX197">
            <v>-2.1</v>
          </cell>
          <cell r="GY197">
            <v>-0.9</v>
          </cell>
          <cell r="GZ197">
            <v>4.0999999999999996</v>
          </cell>
          <cell r="HA197">
            <v>2.9</v>
          </cell>
          <cell r="HB197">
            <v>1.5</v>
          </cell>
          <cell r="HC197">
            <v>-1.6</v>
          </cell>
          <cell r="HD197">
            <v>0.4</v>
          </cell>
          <cell r="HE197">
            <v>1</v>
          </cell>
          <cell r="HF197">
            <v>-0.8</v>
          </cell>
          <cell r="HG197">
            <v>0.3</v>
          </cell>
          <cell r="HH197">
            <v>0.5</v>
          </cell>
          <cell r="HI197">
            <v>0.4</v>
          </cell>
          <cell r="HJ197">
            <v>0.6</v>
          </cell>
          <cell r="HK197">
            <v>0.3</v>
          </cell>
          <cell r="HL197">
            <v>7909</v>
          </cell>
          <cell r="HM197">
            <v>1381</v>
          </cell>
          <cell r="HN197">
            <v>9272</v>
          </cell>
          <cell r="HO197">
            <v>2298</v>
          </cell>
          <cell r="HP197">
            <v>3417</v>
          </cell>
          <cell r="HQ197">
            <v>2168</v>
          </cell>
          <cell r="HR197">
            <v>3705</v>
          </cell>
          <cell r="HS197">
            <v>10420</v>
          </cell>
          <cell r="HT197">
            <v>1965</v>
          </cell>
          <cell r="HU197">
            <v>12001</v>
          </cell>
          <cell r="HV197">
            <v>6143</v>
          </cell>
          <cell r="HW197">
            <v>5358</v>
          </cell>
          <cell r="HX197">
            <v>3489</v>
          </cell>
          <cell r="HY197">
            <v>4742</v>
          </cell>
          <cell r="HZ197">
            <v>6183</v>
          </cell>
          <cell r="IA197">
            <v>25411</v>
          </cell>
          <cell r="IB197">
            <v>5489</v>
          </cell>
          <cell r="IC197">
            <v>266</v>
          </cell>
          <cell r="ID197">
            <v>3545</v>
          </cell>
          <cell r="IE197">
            <v>9270</v>
          </cell>
          <cell r="IF197">
            <v>5170</v>
          </cell>
          <cell r="IG197">
            <v>4653</v>
          </cell>
          <cell r="IH197">
            <v>11983</v>
          </cell>
          <cell r="II197">
            <v>21848</v>
          </cell>
          <cell r="IJ197">
            <v>12631</v>
          </cell>
          <cell r="IK197">
            <v>12942</v>
          </cell>
          <cell r="IL197">
            <v>8611</v>
          </cell>
          <cell r="IM197">
            <v>5124</v>
          </cell>
          <cell r="IN197">
            <v>1507</v>
          </cell>
          <cell r="IO197">
            <v>2335</v>
          </cell>
          <cell r="IP197">
            <v>6196</v>
          </cell>
          <cell r="IQ197">
            <v>15125</v>
          </cell>
        </row>
        <row r="198">
          <cell r="B198">
            <v>7716</v>
          </cell>
          <cell r="C198">
            <v>1384</v>
          </cell>
          <cell r="D198">
            <v>9089</v>
          </cell>
          <cell r="E198">
            <v>2491</v>
          </cell>
          <cell r="F198">
            <v>3833</v>
          </cell>
          <cell r="G198">
            <v>2439</v>
          </cell>
          <cell r="H198">
            <v>3866</v>
          </cell>
          <cell r="I198">
            <v>11453</v>
          </cell>
          <cell r="J198">
            <v>2096</v>
          </cell>
          <cell r="K198">
            <v>13152</v>
          </cell>
          <cell r="L198">
            <v>6421</v>
          </cell>
          <cell r="M198">
            <v>5398</v>
          </cell>
          <cell r="N198">
            <v>3798</v>
          </cell>
          <cell r="O198">
            <v>5092</v>
          </cell>
          <cell r="P198">
            <v>6569</v>
          </cell>
          <cell r="Q198">
            <v>26850</v>
          </cell>
          <cell r="R198">
            <v>5517</v>
          </cell>
          <cell r="S198">
            <v>318</v>
          </cell>
          <cell r="T198">
            <v>3533</v>
          </cell>
          <cell r="U198">
            <v>9353</v>
          </cell>
          <cell r="V198">
            <v>5798</v>
          </cell>
          <cell r="W198">
            <v>4991</v>
          </cell>
          <cell r="X198">
            <v>12509</v>
          </cell>
          <cell r="Y198">
            <v>23328</v>
          </cell>
          <cell r="Z198">
            <v>13105</v>
          </cell>
          <cell r="AA198">
            <v>13722</v>
          </cell>
          <cell r="AB198">
            <v>8842</v>
          </cell>
          <cell r="AC198">
            <v>5429</v>
          </cell>
          <cell r="AD198">
            <v>1636</v>
          </cell>
          <cell r="AE198">
            <v>2286</v>
          </cell>
          <cell r="AF198">
            <v>6491</v>
          </cell>
          <cell r="AG198">
            <v>15817</v>
          </cell>
          <cell r="AH198">
            <v>3637</v>
          </cell>
          <cell r="AI198">
            <v>3898</v>
          </cell>
          <cell r="AJ198">
            <v>7498</v>
          </cell>
          <cell r="AK198">
            <v>15511</v>
          </cell>
          <cell r="AL198">
            <v>10527</v>
          </cell>
          <cell r="AM198">
            <v>25746</v>
          </cell>
          <cell r="AN198">
            <v>1328</v>
          </cell>
          <cell r="AO198">
            <v>7414</v>
          </cell>
          <cell r="AP198">
            <v>8729</v>
          </cell>
          <cell r="AQ198">
            <v>2673</v>
          </cell>
          <cell r="AR198">
            <v>16228</v>
          </cell>
          <cell r="AS198">
            <v>18392</v>
          </cell>
          <cell r="AT198">
            <v>11379</v>
          </cell>
          <cell r="AU198">
            <v>18022</v>
          </cell>
          <cell r="AV198">
            <v>16274</v>
          </cell>
          <cell r="AW198">
            <v>18405</v>
          </cell>
          <cell r="AX198">
            <v>2521</v>
          </cell>
          <cell r="AY198">
            <v>6187</v>
          </cell>
          <cell r="AZ198">
            <v>30847</v>
          </cell>
          <cell r="BA198">
            <v>292162</v>
          </cell>
          <cell r="BB198">
            <v>25771</v>
          </cell>
          <cell r="BC198">
            <v>-455</v>
          </cell>
          <cell r="BD198">
            <v>317156</v>
          </cell>
          <cell r="BE198">
            <v>-5.9</v>
          </cell>
          <cell r="BF198">
            <v>-0.2</v>
          </cell>
          <cell r="BG198">
            <v>-4.9000000000000004</v>
          </cell>
          <cell r="BH198">
            <v>2.7</v>
          </cell>
          <cell r="BI198">
            <v>1.6</v>
          </cell>
          <cell r="BJ198">
            <v>3.1</v>
          </cell>
          <cell r="BK198">
            <v>0.4</v>
          </cell>
          <cell r="BL198">
            <v>2.2000000000000002</v>
          </cell>
          <cell r="BM198">
            <v>4.2</v>
          </cell>
          <cell r="BN198">
            <v>2.4</v>
          </cell>
          <cell r="BO198">
            <v>1.7</v>
          </cell>
          <cell r="BP198">
            <v>-1.9</v>
          </cell>
          <cell r="BQ198">
            <v>4.5</v>
          </cell>
          <cell r="BR198">
            <v>-1.3</v>
          </cell>
          <cell r="BS198">
            <v>-0.7</v>
          </cell>
          <cell r="BT198">
            <v>0.6</v>
          </cell>
          <cell r="BU198">
            <v>1</v>
          </cell>
          <cell r="BV198">
            <v>2.2000000000000002</v>
          </cell>
          <cell r="BW198">
            <v>1.7</v>
          </cell>
          <cell r="BX198">
            <v>1.2</v>
          </cell>
          <cell r="BY198">
            <v>0.6</v>
          </cell>
          <cell r="BZ198">
            <v>0.3</v>
          </cell>
          <cell r="CA198">
            <v>0.4</v>
          </cell>
          <cell r="CB198">
            <v>0.4</v>
          </cell>
          <cell r="CC198">
            <v>0.1</v>
          </cell>
          <cell r="CD198">
            <v>1.6</v>
          </cell>
          <cell r="CE198">
            <v>0.8</v>
          </cell>
          <cell r="CF198">
            <v>2.2000000000000002</v>
          </cell>
          <cell r="CG198">
            <v>3.3</v>
          </cell>
          <cell r="CH198">
            <v>-0.4</v>
          </cell>
          <cell r="CI198">
            <v>0.5</v>
          </cell>
          <cell r="CJ198">
            <v>1.2</v>
          </cell>
          <cell r="CK198">
            <v>0.7</v>
          </cell>
          <cell r="CL198">
            <v>-0.3</v>
          </cell>
          <cell r="CM198">
            <v>0</v>
          </cell>
          <cell r="CN198">
            <v>4.4000000000000004</v>
          </cell>
          <cell r="CO198">
            <v>-2</v>
          </cell>
          <cell r="CP198">
            <v>2.1</v>
          </cell>
          <cell r="CQ198">
            <v>-2.8</v>
          </cell>
          <cell r="CR198">
            <v>-1.5</v>
          </cell>
          <cell r="CS198">
            <v>-1.8</v>
          </cell>
          <cell r="CT198">
            <v>-1</v>
          </cell>
          <cell r="CU198">
            <v>2</v>
          </cell>
          <cell r="CV198">
            <v>1.3</v>
          </cell>
          <cell r="CW198">
            <v>0.9</v>
          </cell>
          <cell r="CX198">
            <v>2.7</v>
          </cell>
          <cell r="CY198">
            <v>0.5</v>
          </cell>
          <cell r="CZ198">
            <v>1</v>
          </cell>
          <cell r="DA198">
            <v>1.1000000000000001</v>
          </cell>
          <cell r="DB198">
            <v>-0.9</v>
          </cell>
          <cell r="DC198">
            <v>0.4</v>
          </cell>
          <cell r="DD198">
            <v>0.8</v>
          </cell>
          <cell r="DE198">
            <v>0.6</v>
          </cell>
          <cell r="DF198">
            <v>0.6</v>
          </cell>
          <cell r="DG198">
            <v>7762</v>
          </cell>
          <cell r="DH198">
            <v>1444</v>
          </cell>
          <cell r="DI198">
            <v>9204</v>
          </cell>
          <cell r="DJ198">
            <v>2505</v>
          </cell>
          <cell r="DK198">
            <v>3598</v>
          </cell>
          <cell r="DL198">
            <v>2440</v>
          </cell>
          <cell r="DM198">
            <v>3881</v>
          </cell>
          <cell r="DN198">
            <v>11205</v>
          </cell>
          <cell r="DO198">
            <v>2091</v>
          </cell>
          <cell r="DP198">
            <v>12894</v>
          </cell>
          <cell r="DQ198">
            <v>6372</v>
          </cell>
          <cell r="DR198">
            <v>5612</v>
          </cell>
          <cell r="DS198">
            <v>3813</v>
          </cell>
          <cell r="DT198">
            <v>5066</v>
          </cell>
          <cell r="DU198">
            <v>6551</v>
          </cell>
          <cell r="DV198">
            <v>26951</v>
          </cell>
          <cell r="DW198">
            <v>5529</v>
          </cell>
          <cell r="DX198">
            <v>326</v>
          </cell>
          <cell r="DY198">
            <v>3542</v>
          </cell>
          <cell r="DZ198">
            <v>9379</v>
          </cell>
          <cell r="EA198">
            <v>5914</v>
          </cell>
          <cell r="EB198">
            <v>5138</v>
          </cell>
          <cell r="EC198">
            <v>12507</v>
          </cell>
          <cell r="ED198">
            <v>23573</v>
          </cell>
          <cell r="EE198">
            <v>12956</v>
          </cell>
          <cell r="EF198">
            <v>13760</v>
          </cell>
          <cell r="EG198">
            <v>8873</v>
          </cell>
          <cell r="EH198">
            <v>5378</v>
          </cell>
          <cell r="EI198">
            <v>1636</v>
          </cell>
          <cell r="EJ198">
            <v>2336</v>
          </cell>
          <cell r="EK198">
            <v>6507</v>
          </cell>
          <cell r="EL198">
            <v>15838</v>
          </cell>
          <cell r="EM198">
            <v>3620</v>
          </cell>
          <cell r="EN198">
            <v>3904</v>
          </cell>
          <cell r="EO198">
            <v>7499</v>
          </cell>
          <cell r="EP198">
            <v>15466</v>
          </cell>
          <cell r="EQ198">
            <v>10409</v>
          </cell>
          <cell r="ER198">
            <v>25600</v>
          </cell>
          <cell r="ES198">
            <v>1371</v>
          </cell>
          <cell r="ET198">
            <v>7471</v>
          </cell>
          <cell r="EU198">
            <v>8839</v>
          </cell>
          <cell r="EV198">
            <v>2687</v>
          </cell>
          <cell r="EW198">
            <v>16299</v>
          </cell>
          <cell r="EX198">
            <v>18477</v>
          </cell>
          <cell r="EY198">
            <v>11398</v>
          </cell>
          <cell r="EZ198">
            <v>17910</v>
          </cell>
          <cell r="FA198">
            <v>16274</v>
          </cell>
          <cell r="FB198">
            <v>18301</v>
          </cell>
          <cell r="FC198">
            <v>2547</v>
          </cell>
          <cell r="FD198">
            <v>6225</v>
          </cell>
          <cell r="FE198">
            <v>30849</v>
          </cell>
          <cell r="FF198">
            <v>292064</v>
          </cell>
          <cell r="FG198">
            <v>25739</v>
          </cell>
          <cell r="FH198">
            <v>-1339</v>
          </cell>
          <cell r="FI198">
            <v>316143</v>
          </cell>
          <cell r="FJ198">
            <v>-5.4</v>
          </cell>
          <cell r="FK198">
            <v>4.5</v>
          </cell>
          <cell r="FL198">
            <v>-3.7</v>
          </cell>
          <cell r="FM198">
            <v>4.9000000000000004</v>
          </cell>
          <cell r="FN198">
            <v>-2.2000000000000002</v>
          </cell>
          <cell r="FO198">
            <v>5.3</v>
          </cell>
          <cell r="FP198">
            <v>1.8</v>
          </cell>
          <cell r="FQ198">
            <v>1.9</v>
          </cell>
          <cell r="FR198">
            <v>3.1</v>
          </cell>
          <cell r="FS198">
            <v>2</v>
          </cell>
          <cell r="FT198">
            <v>1.8</v>
          </cell>
          <cell r="FU198">
            <v>2.4</v>
          </cell>
          <cell r="FV198">
            <v>4.5999999999999996</v>
          </cell>
          <cell r="FW198">
            <v>-1.2</v>
          </cell>
          <cell r="FX198">
            <v>-1.4</v>
          </cell>
          <cell r="FY198">
            <v>1.2</v>
          </cell>
          <cell r="FZ198">
            <v>0.8</v>
          </cell>
          <cell r="GA198">
            <v>6.3</v>
          </cell>
          <cell r="GB198">
            <v>1.2</v>
          </cell>
          <cell r="GC198">
            <v>1.2</v>
          </cell>
          <cell r="GD198">
            <v>3.9</v>
          </cell>
          <cell r="GE198">
            <v>3.9</v>
          </cell>
          <cell r="GF198">
            <v>-1.7</v>
          </cell>
          <cell r="GG198">
            <v>0.7</v>
          </cell>
          <cell r="GH198">
            <v>-1.6</v>
          </cell>
          <cell r="GI198">
            <v>1.7</v>
          </cell>
          <cell r="GJ198">
            <v>1.1000000000000001</v>
          </cell>
          <cell r="GK198">
            <v>0.5</v>
          </cell>
          <cell r="GL198">
            <v>4.3</v>
          </cell>
          <cell r="GM198">
            <v>-1.6</v>
          </cell>
          <cell r="GN198">
            <v>1.3</v>
          </cell>
          <cell r="GO198">
            <v>1</v>
          </cell>
          <cell r="GP198">
            <v>0</v>
          </cell>
          <cell r="GQ198">
            <v>0.7</v>
          </cell>
          <cell r="GR198">
            <v>0.3</v>
          </cell>
          <cell r="GS198">
            <v>4.0999999999999996</v>
          </cell>
          <cell r="GT198">
            <v>-4.7</v>
          </cell>
          <cell r="GU198">
            <v>0.9</v>
          </cell>
          <cell r="GV198">
            <v>2.4</v>
          </cell>
          <cell r="GW198">
            <v>-0.3</v>
          </cell>
          <cell r="GX198">
            <v>0.2</v>
          </cell>
          <cell r="GY198">
            <v>-0.3</v>
          </cell>
          <cell r="GZ198">
            <v>1.5</v>
          </cell>
          <cell r="HA198">
            <v>1.2</v>
          </cell>
          <cell r="HB198">
            <v>0.8</v>
          </cell>
          <cell r="HC198">
            <v>4</v>
          </cell>
          <cell r="HD198">
            <v>0.6</v>
          </cell>
          <cell r="HE198">
            <v>0.3</v>
          </cell>
          <cell r="HF198">
            <v>3.2</v>
          </cell>
          <cell r="HG198">
            <v>-0.9</v>
          </cell>
          <cell r="HH198">
            <v>0.4</v>
          </cell>
          <cell r="HI198">
            <v>0.8</v>
          </cell>
          <cell r="HJ198">
            <v>0.3</v>
          </cell>
          <cell r="HK198">
            <v>0.2</v>
          </cell>
          <cell r="HL198">
            <v>6296</v>
          </cell>
          <cell r="HM198">
            <v>1436</v>
          </cell>
          <cell r="HN198">
            <v>7781</v>
          </cell>
          <cell r="HO198">
            <v>2529</v>
          </cell>
          <cell r="HP198">
            <v>3614</v>
          </cell>
          <cell r="HQ198">
            <v>2499</v>
          </cell>
          <cell r="HR198">
            <v>3843</v>
          </cell>
          <cell r="HS198">
            <v>11286</v>
          </cell>
          <cell r="HT198">
            <v>2182</v>
          </cell>
          <cell r="HU198">
            <v>13033</v>
          </cell>
          <cell r="HV198">
            <v>6140</v>
          </cell>
          <cell r="HW198">
            <v>5563</v>
          </cell>
          <cell r="HX198">
            <v>3842</v>
          </cell>
          <cell r="HY198">
            <v>5211</v>
          </cell>
          <cell r="HZ198">
            <v>6495</v>
          </cell>
          <cell r="IA198">
            <v>26849</v>
          </cell>
          <cell r="IB198">
            <v>5501</v>
          </cell>
          <cell r="IC198">
            <v>348</v>
          </cell>
          <cell r="ID198">
            <v>3504</v>
          </cell>
          <cell r="IE198">
            <v>9355</v>
          </cell>
          <cell r="IF198">
            <v>5940</v>
          </cell>
          <cell r="IG198">
            <v>5401</v>
          </cell>
          <cell r="IH198">
            <v>12374</v>
          </cell>
          <cell r="II198">
            <v>23724</v>
          </cell>
          <cell r="IJ198">
            <v>12935</v>
          </cell>
          <cell r="IK198">
            <v>13285</v>
          </cell>
          <cell r="IL198">
            <v>8611</v>
          </cell>
          <cell r="IM198">
            <v>5287</v>
          </cell>
          <cell r="IN198">
            <v>1574</v>
          </cell>
          <cell r="IO198">
            <v>2310</v>
          </cell>
          <cell r="IP198">
            <v>6303</v>
          </cell>
          <cell r="IQ198">
            <v>15440</v>
          </cell>
        </row>
        <row r="199">
          <cell r="B199">
            <v>7101</v>
          </cell>
          <cell r="C199">
            <v>1363</v>
          </cell>
          <cell r="D199">
            <v>8474</v>
          </cell>
          <cell r="E199">
            <v>2604</v>
          </cell>
          <cell r="F199">
            <v>3995</v>
          </cell>
          <cell r="G199">
            <v>2524</v>
          </cell>
          <cell r="H199">
            <v>3933</v>
          </cell>
          <cell r="I199">
            <v>11902</v>
          </cell>
          <cell r="J199">
            <v>2147</v>
          </cell>
          <cell r="K199">
            <v>13646</v>
          </cell>
          <cell r="L199">
            <v>6515</v>
          </cell>
          <cell r="M199">
            <v>5379</v>
          </cell>
          <cell r="N199">
            <v>3972</v>
          </cell>
          <cell r="O199">
            <v>5146</v>
          </cell>
          <cell r="P199">
            <v>6545</v>
          </cell>
          <cell r="Q199">
            <v>27217</v>
          </cell>
          <cell r="R199">
            <v>5522</v>
          </cell>
          <cell r="S199">
            <v>323</v>
          </cell>
          <cell r="T199">
            <v>3562</v>
          </cell>
          <cell r="U199">
            <v>9389</v>
          </cell>
          <cell r="V199">
            <v>5918</v>
          </cell>
          <cell r="W199">
            <v>5077</v>
          </cell>
          <cell r="X199">
            <v>12615</v>
          </cell>
          <cell r="Y199">
            <v>23626</v>
          </cell>
          <cell r="Z199">
            <v>13190</v>
          </cell>
          <cell r="AA199">
            <v>13994</v>
          </cell>
          <cell r="AB199">
            <v>8877</v>
          </cell>
          <cell r="AC199">
            <v>5622</v>
          </cell>
          <cell r="AD199">
            <v>1694</v>
          </cell>
          <cell r="AE199">
            <v>2262</v>
          </cell>
          <cell r="AF199">
            <v>6566</v>
          </cell>
          <cell r="AG199">
            <v>16105</v>
          </cell>
          <cell r="AH199">
            <v>3674</v>
          </cell>
          <cell r="AI199">
            <v>3954</v>
          </cell>
          <cell r="AJ199">
            <v>7638</v>
          </cell>
          <cell r="AK199">
            <v>16243</v>
          </cell>
          <cell r="AL199">
            <v>10440</v>
          </cell>
          <cell r="AM199">
            <v>26471</v>
          </cell>
          <cell r="AN199">
            <v>1309</v>
          </cell>
          <cell r="AO199">
            <v>7318</v>
          </cell>
          <cell r="AP199">
            <v>8614</v>
          </cell>
          <cell r="AQ199">
            <v>2634</v>
          </cell>
          <cell r="AR199">
            <v>16278</v>
          </cell>
          <cell r="AS199">
            <v>18382</v>
          </cell>
          <cell r="AT199">
            <v>11446</v>
          </cell>
          <cell r="AU199">
            <v>18420</v>
          </cell>
          <cell r="AV199">
            <v>16374</v>
          </cell>
          <cell r="AW199">
            <v>18563</v>
          </cell>
          <cell r="AX199">
            <v>2583</v>
          </cell>
          <cell r="AY199">
            <v>6291</v>
          </cell>
          <cell r="AZ199">
            <v>30940</v>
          </cell>
          <cell r="BA199">
            <v>295447</v>
          </cell>
          <cell r="BB199">
            <v>26038</v>
          </cell>
          <cell r="BC199">
            <v>-805</v>
          </cell>
          <cell r="BD199">
            <v>320361</v>
          </cell>
          <cell r="BE199">
            <v>-8</v>
          </cell>
          <cell r="BF199">
            <v>-1.5</v>
          </cell>
          <cell r="BG199">
            <v>-6.8</v>
          </cell>
          <cell r="BH199">
            <v>4.5999999999999996</v>
          </cell>
          <cell r="BI199">
            <v>4.2</v>
          </cell>
          <cell r="BJ199">
            <v>3.5</v>
          </cell>
          <cell r="BK199">
            <v>1.7</v>
          </cell>
          <cell r="BL199">
            <v>3.9</v>
          </cell>
          <cell r="BM199">
            <v>2.5</v>
          </cell>
          <cell r="BN199">
            <v>3.8</v>
          </cell>
          <cell r="BO199">
            <v>1.5</v>
          </cell>
          <cell r="BP199">
            <v>-0.4</v>
          </cell>
          <cell r="BQ199">
            <v>4.5999999999999996</v>
          </cell>
          <cell r="BR199">
            <v>1.1000000000000001</v>
          </cell>
          <cell r="BS199">
            <v>-0.4</v>
          </cell>
          <cell r="BT199">
            <v>1.4</v>
          </cell>
          <cell r="BU199">
            <v>0.1</v>
          </cell>
          <cell r="BV199">
            <v>1.3</v>
          </cell>
          <cell r="BW199">
            <v>0.8</v>
          </cell>
          <cell r="BX199">
            <v>0.4</v>
          </cell>
          <cell r="BY199">
            <v>2.1</v>
          </cell>
          <cell r="BZ199">
            <v>1.7</v>
          </cell>
          <cell r="CA199">
            <v>0.8</v>
          </cell>
          <cell r="CB199">
            <v>1.3</v>
          </cell>
          <cell r="CC199">
            <v>0.7</v>
          </cell>
          <cell r="CD199">
            <v>2</v>
          </cell>
          <cell r="CE199">
            <v>0.4</v>
          </cell>
          <cell r="CF199">
            <v>3.6</v>
          </cell>
          <cell r="CG199">
            <v>3.5</v>
          </cell>
          <cell r="CH199">
            <v>-1.1000000000000001</v>
          </cell>
          <cell r="CI199">
            <v>1.2</v>
          </cell>
          <cell r="CJ199">
            <v>1.8</v>
          </cell>
          <cell r="CK199">
            <v>1</v>
          </cell>
          <cell r="CL199">
            <v>1.4</v>
          </cell>
          <cell r="CM199">
            <v>1.9</v>
          </cell>
          <cell r="CN199">
            <v>4.7</v>
          </cell>
          <cell r="CO199">
            <v>-0.8</v>
          </cell>
          <cell r="CP199">
            <v>2.8</v>
          </cell>
          <cell r="CQ199">
            <v>-1.4</v>
          </cell>
          <cell r="CR199">
            <v>-1.3</v>
          </cell>
          <cell r="CS199">
            <v>-1.3</v>
          </cell>
          <cell r="CT199">
            <v>-1.5</v>
          </cell>
          <cell r="CU199">
            <v>0.3</v>
          </cell>
          <cell r="CV199">
            <v>-0.1</v>
          </cell>
          <cell r="CW199">
            <v>0.6</v>
          </cell>
          <cell r="CX199">
            <v>2.2000000000000002</v>
          </cell>
          <cell r="CY199">
            <v>0.6</v>
          </cell>
          <cell r="CZ199">
            <v>0.9</v>
          </cell>
          <cell r="DA199">
            <v>2.5</v>
          </cell>
          <cell r="DB199">
            <v>1.7</v>
          </cell>
          <cell r="DC199">
            <v>0.3</v>
          </cell>
          <cell r="DD199">
            <v>1.1000000000000001</v>
          </cell>
          <cell r="DE199">
            <v>1</v>
          </cell>
          <cell r="DF199">
            <v>1</v>
          </cell>
          <cell r="DG199">
            <v>7091</v>
          </cell>
          <cell r="DH199">
            <v>1300</v>
          </cell>
          <cell r="DI199">
            <v>8390</v>
          </cell>
          <cell r="DJ199">
            <v>2597</v>
          </cell>
          <cell r="DK199">
            <v>4280</v>
          </cell>
          <cell r="DL199">
            <v>2563</v>
          </cell>
          <cell r="DM199">
            <v>3913</v>
          </cell>
          <cell r="DN199">
            <v>12235</v>
          </cell>
          <cell r="DO199">
            <v>2169</v>
          </cell>
          <cell r="DP199">
            <v>14003</v>
          </cell>
          <cell r="DQ199">
            <v>6649</v>
          </cell>
          <cell r="DR199">
            <v>5087</v>
          </cell>
          <cell r="DS199">
            <v>3921</v>
          </cell>
          <cell r="DT199">
            <v>5120</v>
          </cell>
          <cell r="DU199">
            <v>6542</v>
          </cell>
          <cell r="DV199">
            <v>27003</v>
          </cell>
          <cell r="DW199">
            <v>5472</v>
          </cell>
          <cell r="DX199">
            <v>321</v>
          </cell>
          <cell r="DY199">
            <v>3540</v>
          </cell>
          <cell r="DZ199">
            <v>9320</v>
          </cell>
          <cell r="EA199">
            <v>5818</v>
          </cell>
          <cell r="EB199">
            <v>4906</v>
          </cell>
          <cell r="EC199">
            <v>12262</v>
          </cell>
          <cell r="ED199">
            <v>23004</v>
          </cell>
          <cell r="EE199">
            <v>13223</v>
          </cell>
          <cell r="EF199">
            <v>13957</v>
          </cell>
          <cell r="EG199">
            <v>8848</v>
          </cell>
          <cell r="EH199">
            <v>5579</v>
          </cell>
          <cell r="EI199">
            <v>1697</v>
          </cell>
          <cell r="EJ199">
            <v>2157</v>
          </cell>
          <cell r="EK199">
            <v>6580</v>
          </cell>
          <cell r="EL199">
            <v>15988</v>
          </cell>
          <cell r="EM199">
            <v>3660</v>
          </cell>
          <cell r="EN199">
            <v>3945</v>
          </cell>
          <cell r="EO199">
            <v>7582</v>
          </cell>
          <cell r="EP199">
            <v>16287</v>
          </cell>
          <cell r="EQ199">
            <v>10353</v>
          </cell>
          <cell r="ER199">
            <v>26441</v>
          </cell>
          <cell r="ES199">
            <v>1277</v>
          </cell>
          <cell r="ET199">
            <v>7291</v>
          </cell>
          <cell r="EU199">
            <v>8549</v>
          </cell>
          <cell r="EV199">
            <v>2607</v>
          </cell>
          <cell r="EW199">
            <v>16167</v>
          </cell>
          <cell r="EX199">
            <v>18242</v>
          </cell>
          <cell r="EY199">
            <v>11411</v>
          </cell>
          <cell r="EZ199">
            <v>19014</v>
          </cell>
          <cell r="FA199">
            <v>16377</v>
          </cell>
          <cell r="FB199">
            <v>18694</v>
          </cell>
          <cell r="FC199">
            <v>2557</v>
          </cell>
          <cell r="FD199">
            <v>6110</v>
          </cell>
          <cell r="FE199">
            <v>30936</v>
          </cell>
          <cell r="FF199">
            <v>295028</v>
          </cell>
          <cell r="FG199">
            <v>25933</v>
          </cell>
          <cell r="FH199">
            <v>2</v>
          </cell>
          <cell r="FI199">
            <v>320649</v>
          </cell>
          <cell r="FJ199">
            <v>-8.6</v>
          </cell>
          <cell r="FK199">
            <v>-10</v>
          </cell>
          <cell r="FL199">
            <v>-8.9</v>
          </cell>
          <cell r="FM199">
            <v>3.7</v>
          </cell>
          <cell r="FN199">
            <v>19</v>
          </cell>
          <cell r="FO199">
            <v>5.0999999999999996</v>
          </cell>
          <cell r="FP199">
            <v>0.8</v>
          </cell>
          <cell r="FQ199">
            <v>9.1999999999999993</v>
          </cell>
          <cell r="FR199">
            <v>3.8</v>
          </cell>
          <cell r="FS199">
            <v>8.6</v>
          </cell>
          <cell r="FT199">
            <v>4.3</v>
          </cell>
          <cell r="FU199">
            <v>-9.4</v>
          </cell>
          <cell r="FV199">
            <v>2.9</v>
          </cell>
          <cell r="FW199">
            <v>1.1000000000000001</v>
          </cell>
          <cell r="FX199">
            <v>-0.1</v>
          </cell>
          <cell r="FY199">
            <v>0.2</v>
          </cell>
          <cell r="FZ199">
            <v>-1</v>
          </cell>
          <cell r="GA199">
            <v>-1.5</v>
          </cell>
          <cell r="GB199">
            <v>0</v>
          </cell>
          <cell r="GC199">
            <v>-0.6</v>
          </cell>
          <cell r="GD199">
            <v>-1.6</v>
          </cell>
          <cell r="GE199">
            <v>-4.5</v>
          </cell>
          <cell r="GF199">
            <v>-2</v>
          </cell>
          <cell r="GG199">
            <v>-2.4</v>
          </cell>
          <cell r="GH199">
            <v>2.1</v>
          </cell>
          <cell r="GI199">
            <v>1.4</v>
          </cell>
          <cell r="GJ199">
            <v>-0.3</v>
          </cell>
          <cell r="GK199">
            <v>3.8</v>
          </cell>
          <cell r="GL199">
            <v>3.7</v>
          </cell>
          <cell r="GM199">
            <v>-7.7</v>
          </cell>
          <cell r="GN199">
            <v>1.1000000000000001</v>
          </cell>
          <cell r="GO199">
            <v>0.9</v>
          </cell>
          <cell r="GP199">
            <v>1.1000000000000001</v>
          </cell>
          <cell r="GQ199">
            <v>1.1000000000000001</v>
          </cell>
          <cell r="GR199">
            <v>1.1000000000000001</v>
          </cell>
          <cell r="GS199">
            <v>5.3</v>
          </cell>
          <cell r="GT199">
            <v>-0.5</v>
          </cell>
          <cell r="GU199">
            <v>3.3</v>
          </cell>
          <cell r="GV199">
            <v>-6.8</v>
          </cell>
          <cell r="GW199">
            <v>-2.4</v>
          </cell>
          <cell r="GX199">
            <v>-3.3</v>
          </cell>
          <cell r="GY199">
            <v>-3</v>
          </cell>
          <cell r="GZ199">
            <v>-0.8</v>
          </cell>
          <cell r="HA199">
            <v>-1.3</v>
          </cell>
          <cell r="HB199">
            <v>0.1</v>
          </cell>
          <cell r="HC199">
            <v>6.2</v>
          </cell>
          <cell r="HD199">
            <v>0.6</v>
          </cell>
          <cell r="HE199">
            <v>2.1</v>
          </cell>
          <cell r="HF199">
            <v>0.4</v>
          </cell>
          <cell r="HG199">
            <v>-1.9</v>
          </cell>
          <cell r="HH199">
            <v>0.3</v>
          </cell>
          <cell r="HI199">
            <v>1</v>
          </cell>
          <cell r="HJ199">
            <v>0.8</v>
          </cell>
          <cell r="HK199">
            <v>1.4</v>
          </cell>
          <cell r="HL199">
            <v>6025</v>
          </cell>
          <cell r="HM199">
            <v>1304</v>
          </cell>
          <cell r="HN199">
            <v>7370</v>
          </cell>
          <cell r="HO199">
            <v>2649</v>
          </cell>
          <cell r="HP199">
            <v>4464</v>
          </cell>
          <cell r="HQ199">
            <v>2608</v>
          </cell>
          <cell r="HR199">
            <v>3932</v>
          </cell>
          <cell r="HS199">
            <v>12569</v>
          </cell>
          <cell r="HT199">
            <v>2145</v>
          </cell>
          <cell r="HU199">
            <v>14337</v>
          </cell>
          <cell r="HV199">
            <v>6607</v>
          </cell>
          <cell r="HW199">
            <v>5231</v>
          </cell>
          <cell r="HX199">
            <v>4025</v>
          </cell>
          <cell r="HY199">
            <v>5333</v>
          </cell>
          <cell r="HZ199">
            <v>6794</v>
          </cell>
          <cell r="IA199">
            <v>27677</v>
          </cell>
          <cell r="IB199">
            <v>5626</v>
          </cell>
          <cell r="IC199">
            <v>362</v>
          </cell>
          <cell r="ID199">
            <v>3528</v>
          </cell>
          <cell r="IE199">
            <v>9525</v>
          </cell>
          <cell r="IF199">
            <v>6047</v>
          </cell>
          <cell r="IG199">
            <v>4733</v>
          </cell>
          <cell r="IH199">
            <v>12454</v>
          </cell>
          <cell r="II199">
            <v>23330</v>
          </cell>
          <cell r="IJ199">
            <v>13325</v>
          </cell>
          <cell r="IK199">
            <v>13711</v>
          </cell>
          <cell r="IL199">
            <v>8854</v>
          </cell>
          <cell r="IM199">
            <v>5576</v>
          </cell>
          <cell r="IN199">
            <v>1778</v>
          </cell>
          <cell r="IO199">
            <v>2209</v>
          </cell>
          <cell r="IP199">
            <v>6626</v>
          </cell>
          <cell r="IQ199">
            <v>16182</v>
          </cell>
        </row>
        <row r="200">
          <cell r="B200">
            <v>6685</v>
          </cell>
          <cell r="C200">
            <v>1349</v>
          </cell>
          <cell r="D200">
            <v>8061</v>
          </cell>
          <cell r="E200">
            <v>2733</v>
          </cell>
          <cell r="F200">
            <v>4111</v>
          </cell>
          <cell r="G200">
            <v>2585</v>
          </cell>
          <cell r="H200">
            <v>4041</v>
          </cell>
          <cell r="I200">
            <v>12294</v>
          </cell>
          <cell r="J200">
            <v>2163</v>
          </cell>
          <cell r="K200">
            <v>14057</v>
          </cell>
          <cell r="L200">
            <v>6476</v>
          </cell>
          <cell r="M200">
            <v>5473</v>
          </cell>
          <cell r="N200">
            <v>4032</v>
          </cell>
          <cell r="O200">
            <v>5231</v>
          </cell>
          <cell r="P200">
            <v>6569</v>
          </cell>
          <cell r="Q200">
            <v>27463</v>
          </cell>
          <cell r="R200">
            <v>5477</v>
          </cell>
          <cell r="S200">
            <v>325</v>
          </cell>
          <cell r="T200">
            <v>3551</v>
          </cell>
          <cell r="U200">
            <v>9341</v>
          </cell>
          <cell r="V200">
            <v>5996</v>
          </cell>
          <cell r="W200">
            <v>5287</v>
          </cell>
          <cell r="X200">
            <v>12813</v>
          </cell>
          <cell r="Y200">
            <v>24080</v>
          </cell>
          <cell r="Z200">
            <v>13333</v>
          </cell>
          <cell r="AA200">
            <v>14280</v>
          </cell>
          <cell r="AB200">
            <v>8898</v>
          </cell>
          <cell r="AC200">
            <v>5824</v>
          </cell>
          <cell r="AD200">
            <v>1726</v>
          </cell>
          <cell r="AE200">
            <v>2266</v>
          </cell>
          <cell r="AF200">
            <v>6679</v>
          </cell>
          <cell r="AG200">
            <v>16438</v>
          </cell>
          <cell r="AH200">
            <v>3733</v>
          </cell>
          <cell r="AI200">
            <v>4111</v>
          </cell>
          <cell r="AJ200">
            <v>7910</v>
          </cell>
          <cell r="AK200">
            <v>16937</v>
          </cell>
          <cell r="AL200">
            <v>10537</v>
          </cell>
          <cell r="AM200">
            <v>27312</v>
          </cell>
          <cell r="AN200">
            <v>1321</v>
          </cell>
          <cell r="AO200">
            <v>7259</v>
          </cell>
          <cell r="AP200">
            <v>8574</v>
          </cell>
          <cell r="AQ200">
            <v>2606</v>
          </cell>
          <cell r="AR200">
            <v>16335</v>
          </cell>
          <cell r="AS200">
            <v>18396</v>
          </cell>
          <cell r="AT200">
            <v>11554</v>
          </cell>
          <cell r="AU200">
            <v>18453</v>
          </cell>
          <cell r="AV200">
            <v>16479</v>
          </cell>
          <cell r="AW200">
            <v>18728</v>
          </cell>
          <cell r="AX200">
            <v>2670</v>
          </cell>
          <cell r="AY200">
            <v>6433</v>
          </cell>
          <cell r="AZ200">
            <v>31033</v>
          </cell>
          <cell r="BA200">
            <v>299069</v>
          </cell>
          <cell r="BB200">
            <v>26316</v>
          </cell>
          <cell r="BC200">
            <v>-543</v>
          </cell>
          <cell r="BD200">
            <v>324516</v>
          </cell>
          <cell r="BE200">
            <v>-5.9</v>
          </cell>
          <cell r="BF200">
            <v>-1</v>
          </cell>
          <cell r="BG200">
            <v>-4.9000000000000004</v>
          </cell>
          <cell r="BH200">
            <v>4.9000000000000004</v>
          </cell>
          <cell r="BI200">
            <v>2.9</v>
          </cell>
          <cell r="BJ200">
            <v>2.4</v>
          </cell>
          <cell r="BK200">
            <v>2.8</v>
          </cell>
          <cell r="BL200">
            <v>3.3</v>
          </cell>
          <cell r="BM200">
            <v>0.7</v>
          </cell>
          <cell r="BN200">
            <v>3</v>
          </cell>
          <cell r="BO200">
            <v>-0.6</v>
          </cell>
          <cell r="BP200">
            <v>1.7</v>
          </cell>
          <cell r="BQ200">
            <v>1.5</v>
          </cell>
          <cell r="BR200">
            <v>1.6</v>
          </cell>
          <cell r="BS200">
            <v>0.4</v>
          </cell>
          <cell r="BT200">
            <v>0.9</v>
          </cell>
          <cell r="BU200">
            <v>-0.8</v>
          </cell>
          <cell r="BV200">
            <v>0.8</v>
          </cell>
          <cell r="BW200">
            <v>-0.3</v>
          </cell>
          <cell r="BX200">
            <v>-0.5</v>
          </cell>
          <cell r="BY200">
            <v>1.3</v>
          </cell>
          <cell r="BZ200">
            <v>4.0999999999999996</v>
          </cell>
          <cell r="CA200">
            <v>1.6</v>
          </cell>
          <cell r="CB200">
            <v>1.9</v>
          </cell>
          <cell r="CC200">
            <v>1.1000000000000001</v>
          </cell>
          <cell r="CD200">
            <v>2</v>
          </cell>
          <cell r="CE200">
            <v>0.2</v>
          </cell>
          <cell r="CF200">
            <v>3.6</v>
          </cell>
          <cell r="CG200">
            <v>1.9</v>
          </cell>
          <cell r="CH200">
            <v>0.2</v>
          </cell>
          <cell r="CI200">
            <v>1.7</v>
          </cell>
          <cell r="CJ200">
            <v>2.1</v>
          </cell>
          <cell r="CK200">
            <v>1.6</v>
          </cell>
          <cell r="CL200">
            <v>4</v>
          </cell>
          <cell r="CM200">
            <v>3.6</v>
          </cell>
          <cell r="CN200">
            <v>4.3</v>
          </cell>
          <cell r="CO200">
            <v>0.9</v>
          </cell>
          <cell r="CP200">
            <v>3.2</v>
          </cell>
          <cell r="CQ200">
            <v>0.9</v>
          </cell>
          <cell r="CR200">
            <v>-0.8</v>
          </cell>
          <cell r="CS200">
            <v>-0.5</v>
          </cell>
          <cell r="CT200">
            <v>-1.1000000000000001</v>
          </cell>
          <cell r="CU200">
            <v>0.4</v>
          </cell>
          <cell r="CV200">
            <v>0.1</v>
          </cell>
          <cell r="CW200">
            <v>0.9</v>
          </cell>
          <cell r="CX200">
            <v>0.2</v>
          </cell>
          <cell r="CY200">
            <v>0.6</v>
          </cell>
          <cell r="CZ200">
            <v>0.9</v>
          </cell>
          <cell r="DA200">
            <v>3.4</v>
          </cell>
          <cell r="DB200">
            <v>2.2999999999999998</v>
          </cell>
          <cell r="DC200">
            <v>0.3</v>
          </cell>
          <cell r="DD200">
            <v>1.2</v>
          </cell>
          <cell r="DE200">
            <v>1.1000000000000001</v>
          </cell>
          <cell r="DF200">
            <v>1.3</v>
          </cell>
          <cell r="DG200">
            <v>6500</v>
          </cell>
          <cell r="DH200">
            <v>1357</v>
          </cell>
          <cell r="DI200">
            <v>7895</v>
          </cell>
          <cell r="DJ200">
            <v>2749</v>
          </cell>
          <cell r="DK200">
            <v>4088</v>
          </cell>
          <cell r="DL200">
            <v>2571</v>
          </cell>
          <cell r="DM200">
            <v>4015</v>
          </cell>
          <cell r="DN200">
            <v>12269</v>
          </cell>
          <cell r="DO200">
            <v>2179</v>
          </cell>
          <cell r="DP200">
            <v>14041</v>
          </cell>
          <cell r="DQ200">
            <v>6442</v>
          </cell>
          <cell r="DR200">
            <v>5581</v>
          </cell>
          <cell r="DS200">
            <v>4125</v>
          </cell>
          <cell r="DT200">
            <v>5286</v>
          </cell>
          <cell r="DU200">
            <v>6579</v>
          </cell>
          <cell r="DV200">
            <v>27717</v>
          </cell>
          <cell r="DW200">
            <v>5555</v>
          </cell>
          <cell r="DX200">
            <v>321</v>
          </cell>
          <cell r="DY200">
            <v>3585</v>
          </cell>
          <cell r="DZ200">
            <v>9441</v>
          </cell>
          <cell r="EA200">
            <v>6041</v>
          </cell>
          <cell r="EB200">
            <v>5238</v>
          </cell>
          <cell r="EC200">
            <v>13036</v>
          </cell>
          <cell r="ED200">
            <v>24329</v>
          </cell>
          <cell r="EE200">
            <v>13402</v>
          </cell>
          <cell r="EF200">
            <v>14249</v>
          </cell>
          <cell r="EG200">
            <v>8925</v>
          </cell>
          <cell r="EH200">
            <v>5895</v>
          </cell>
          <cell r="EI200">
            <v>1746</v>
          </cell>
          <cell r="EJ200">
            <v>2283</v>
          </cell>
          <cell r="EK200">
            <v>6629</v>
          </cell>
          <cell r="EL200">
            <v>16482</v>
          </cell>
          <cell r="EM200">
            <v>3761</v>
          </cell>
          <cell r="EN200">
            <v>4129</v>
          </cell>
          <cell r="EO200">
            <v>7863</v>
          </cell>
          <cell r="EP200">
            <v>16955</v>
          </cell>
          <cell r="EQ200">
            <v>10590</v>
          </cell>
          <cell r="ER200">
            <v>27375</v>
          </cell>
          <cell r="ES200">
            <v>1274</v>
          </cell>
          <cell r="ET200">
            <v>7207</v>
          </cell>
          <cell r="EU200">
            <v>8466</v>
          </cell>
          <cell r="EV200">
            <v>2644</v>
          </cell>
          <cell r="EW200">
            <v>16487</v>
          </cell>
          <cell r="EX200">
            <v>18587</v>
          </cell>
          <cell r="EY200">
            <v>11532</v>
          </cell>
          <cell r="EZ200">
            <v>18139</v>
          </cell>
          <cell r="FA200">
            <v>16478</v>
          </cell>
          <cell r="FB200">
            <v>18656</v>
          </cell>
          <cell r="FC200">
            <v>2660</v>
          </cell>
          <cell r="FD200">
            <v>6505</v>
          </cell>
          <cell r="FE200">
            <v>31030</v>
          </cell>
          <cell r="FF200">
            <v>299329</v>
          </cell>
          <cell r="FG200">
            <v>26391</v>
          </cell>
          <cell r="FH200">
            <v>-988</v>
          </cell>
          <cell r="FI200">
            <v>324408</v>
          </cell>
          <cell r="FJ200">
            <v>-8.3000000000000007</v>
          </cell>
          <cell r="FK200">
            <v>4.4000000000000004</v>
          </cell>
          <cell r="FL200">
            <v>-5.9</v>
          </cell>
          <cell r="FM200">
            <v>5.8</v>
          </cell>
          <cell r="FN200">
            <v>-4.5</v>
          </cell>
          <cell r="FO200">
            <v>0.3</v>
          </cell>
          <cell r="FP200">
            <v>2.6</v>
          </cell>
          <cell r="FQ200">
            <v>0.3</v>
          </cell>
          <cell r="FR200">
            <v>0.5</v>
          </cell>
          <cell r="FS200">
            <v>0.3</v>
          </cell>
          <cell r="FT200">
            <v>-3.1</v>
          </cell>
          <cell r="FU200">
            <v>9.6999999999999993</v>
          </cell>
          <cell r="FV200">
            <v>5.2</v>
          </cell>
          <cell r="FW200">
            <v>3.3</v>
          </cell>
          <cell r="FX200">
            <v>0.6</v>
          </cell>
          <cell r="FY200">
            <v>2.6</v>
          </cell>
          <cell r="FZ200">
            <v>1.5</v>
          </cell>
          <cell r="GA200">
            <v>0</v>
          </cell>
          <cell r="GB200">
            <v>1.3</v>
          </cell>
          <cell r="GC200">
            <v>1.3</v>
          </cell>
          <cell r="GD200">
            <v>3.8</v>
          </cell>
          <cell r="GE200">
            <v>6.8</v>
          </cell>
          <cell r="GF200">
            <v>6.3</v>
          </cell>
          <cell r="GG200">
            <v>5.8</v>
          </cell>
          <cell r="GH200">
            <v>1.4</v>
          </cell>
          <cell r="GI200">
            <v>2.1</v>
          </cell>
          <cell r="GJ200">
            <v>0.9</v>
          </cell>
          <cell r="GK200">
            <v>5.7</v>
          </cell>
          <cell r="GL200">
            <v>2.9</v>
          </cell>
          <cell r="GM200">
            <v>5.9</v>
          </cell>
          <cell r="GN200">
            <v>0.7</v>
          </cell>
          <cell r="GO200">
            <v>3.1</v>
          </cell>
          <cell r="GP200">
            <v>2.8</v>
          </cell>
          <cell r="GQ200">
            <v>4.5999999999999996</v>
          </cell>
          <cell r="GR200">
            <v>3.7</v>
          </cell>
          <cell r="GS200">
            <v>4.0999999999999996</v>
          </cell>
          <cell r="GT200">
            <v>2.2999999999999998</v>
          </cell>
          <cell r="GU200">
            <v>3.5</v>
          </cell>
          <cell r="GV200">
            <v>-0.2</v>
          </cell>
          <cell r="GW200">
            <v>-1.2</v>
          </cell>
          <cell r="GX200">
            <v>-1</v>
          </cell>
          <cell r="GY200">
            <v>1.4</v>
          </cell>
          <cell r="GZ200">
            <v>2</v>
          </cell>
          <cell r="HA200">
            <v>1.9</v>
          </cell>
          <cell r="HB200">
            <v>1.1000000000000001</v>
          </cell>
          <cell r="HC200">
            <v>-4.5999999999999996</v>
          </cell>
          <cell r="HD200">
            <v>0.6</v>
          </cell>
          <cell r="HE200">
            <v>-0.2</v>
          </cell>
          <cell r="HF200">
            <v>4</v>
          </cell>
          <cell r="HG200">
            <v>6.5</v>
          </cell>
          <cell r="HH200">
            <v>0.3</v>
          </cell>
          <cell r="HI200">
            <v>1.5</v>
          </cell>
          <cell r="HJ200">
            <v>1.8</v>
          </cell>
          <cell r="HK200">
            <v>1.2</v>
          </cell>
          <cell r="HL200">
            <v>9172</v>
          </cell>
          <cell r="HM200">
            <v>1363</v>
          </cell>
          <cell r="HN200">
            <v>10466</v>
          </cell>
          <cell r="HO200">
            <v>2767</v>
          </cell>
          <cell r="HP200">
            <v>4142</v>
          </cell>
          <cell r="HQ200">
            <v>2622</v>
          </cell>
          <cell r="HR200">
            <v>4177</v>
          </cell>
          <cell r="HS200">
            <v>12479</v>
          </cell>
          <cell r="HT200">
            <v>2173</v>
          </cell>
          <cell r="HU200">
            <v>14254</v>
          </cell>
          <cell r="HV200">
            <v>6835</v>
          </cell>
          <cell r="HW200">
            <v>5606</v>
          </cell>
          <cell r="HX200">
            <v>4219</v>
          </cell>
          <cell r="HY200">
            <v>5335</v>
          </cell>
          <cell r="HZ200">
            <v>6849</v>
          </cell>
          <cell r="IA200">
            <v>28535</v>
          </cell>
          <cell r="IB200">
            <v>5425</v>
          </cell>
          <cell r="IC200">
            <v>299</v>
          </cell>
          <cell r="ID200">
            <v>3577</v>
          </cell>
          <cell r="IE200">
            <v>9273</v>
          </cell>
          <cell r="IF200">
            <v>6345</v>
          </cell>
          <cell r="IG200">
            <v>5410</v>
          </cell>
          <cell r="IH200">
            <v>13810</v>
          </cell>
          <cell r="II200">
            <v>25617</v>
          </cell>
          <cell r="IJ200">
            <v>13874</v>
          </cell>
          <cell r="IK200">
            <v>15640</v>
          </cell>
          <cell r="IL200">
            <v>9350</v>
          </cell>
          <cell r="IM200">
            <v>6225</v>
          </cell>
          <cell r="IN200">
            <v>1801</v>
          </cell>
          <cell r="IO200">
            <v>2302</v>
          </cell>
          <cell r="IP200">
            <v>7036</v>
          </cell>
          <cell r="IQ200">
            <v>17293</v>
          </cell>
        </row>
        <row r="201">
          <cell r="B201">
            <v>6522</v>
          </cell>
          <cell r="C201">
            <v>1364</v>
          </cell>
          <cell r="D201">
            <v>7923</v>
          </cell>
          <cell r="E201">
            <v>2896</v>
          </cell>
          <cell r="F201">
            <v>4097</v>
          </cell>
          <cell r="G201">
            <v>2580</v>
          </cell>
          <cell r="H201">
            <v>4074</v>
          </cell>
          <cell r="I201">
            <v>12418</v>
          </cell>
          <cell r="J201">
            <v>2208</v>
          </cell>
          <cell r="K201">
            <v>14209</v>
          </cell>
          <cell r="L201">
            <v>6366</v>
          </cell>
          <cell r="M201">
            <v>5615</v>
          </cell>
          <cell r="N201">
            <v>3990</v>
          </cell>
          <cell r="O201">
            <v>5258</v>
          </cell>
          <cell r="P201">
            <v>6659</v>
          </cell>
          <cell r="Q201">
            <v>27535</v>
          </cell>
          <cell r="R201">
            <v>5439</v>
          </cell>
          <cell r="S201">
            <v>329</v>
          </cell>
          <cell r="T201">
            <v>3518</v>
          </cell>
          <cell r="U201">
            <v>9277</v>
          </cell>
          <cell r="V201">
            <v>6050</v>
          </cell>
          <cell r="W201">
            <v>5547</v>
          </cell>
          <cell r="X201">
            <v>13063</v>
          </cell>
          <cell r="Y201">
            <v>24615</v>
          </cell>
          <cell r="Z201">
            <v>13432</v>
          </cell>
          <cell r="AA201">
            <v>14568</v>
          </cell>
          <cell r="AB201">
            <v>8949</v>
          </cell>
          <cell r="AC201">
            <v>5953</v>
          </cell>
          <cell r="AD201">
            <v>1731</v>
          </cell>
          <cell r="AE201">
            <v>2310</v>
          </cell>
          <cell r="AF201">
            <v>6763</v>
          </cell>
          <cell r="AG201">
            <v>16687</v>
          </cell>
          <cell r="AH201">
            <v>3794</v>
          </cell>
          <cell r="AI201">
            <v>4273</v>
          </cell>
          <cell r="AJ201">
            <v>8137</v>
          </cell>
          <cell r="AK201">
            <v>17518</v>
          </cell>
          <cell r="AL201">
            <v>10743</v>
          </cell>
          <cell r="AM201">
            <v>28121</v>
          </cell>
          <cell r="AN201">
            <v>1329</v>
          </cell>
          <cell r="AO201">
            <v>7201</v>
          </cell>
          <cell r="AP201">
            <v>8528</v>
          </cell>
          <cell r="AQ201">
            <v>2611</v>
          </cell>
          <cell r="AR201">
            <v>16637</v>
          </cell>
          <cell r="AS201">
            <v>18671</v>
          </cell>
          <cell r="AT201">
            <v>11726</v>
          </cell>
          <cell r="AU201">
            <v>18243</v>
          </cell>
          <cell r="AV201">
            <v>16587</v>
          </cell>
          <cell r="AW201">
            <v>18909</v>
          </cell>
          <cell r="AX201">
            <v>2741</v>
          </cell>
          <cell r="AY201">
            <v>6558</v>
          </cell>
          <cell r="AZ201">
            <v>31136</v>
          </cell>
          <cell r="BA201">
            <v>302335</v>
          </cell>
          <cell r="BB201">
            <v>26467</v>
          </cell>
          <cell r="BC201">
            <v>36</v>
          </cell>
          <cell r="BD201">
            <v>328501</v>
          </cell>
          <cell r="BE201">
            <v>-2.4</v>
          </cell>
          <cell r="BF201">
            <v>1.1000000000000001</v>
          </cell>
          <cell r="BG201">
            <v>-1.7</v>
          </cell>
          <cell r="BH201">
            <v>6</v>
          </cell>
          <cell r="BI201">
            <v>-0.4</v>
          </cell>
          <cell r="BJ201">
            <v>-0.2</v>
          </cell>
          <cell r="BK201">
            <v>0.8</v>
          </cell>
          <cell r="BL201">
            <v>1</v>
          </cell>
          <cell r="BM201">
            <v>2.1</v>
          </cell>
          <cell r="BN201">
            <v>1.1000000000000001</v>
          </cell>
          <cell r="BO201">
            <v>-1.7</v>
          </cell>
          <cell r="BP201">
            <v>2.6</v>
          </cell>
          <cell r="BQ201">
            <v>-1</v>
          </cell>
          <cell r="BR201">
            <v>0.5</v>
          </cell>
          <cell r="BS201">
            <v>1.4</v>
          </cell>
          <cell r="BT201">
            <v>0.3</v>
          </cell>
          <cell r="BU201">
            <v>-0.7</v>
          </cell>
          <cell r="BV201">
            <v>1.4</v>
          </cell>
          <cell r="BW201">
            <v>-0.9</v>
          </cell>
          <cell r="BX201">
            <v>-0.7</v>
          </cell>
          <cell r="BY201">
            <v>0.9</v>
          </cell>
          <cell r="BZ201">
            <v>4.9000000000000004</v>
          </cell>
          <cell r="CA201">
            <v>1.9</v>
          </cell>
          <cell r="CB201">
            <v>2.2000000000000002</v>
          </cell>
          <cell r="CC201">
            <v>0.7</v>
          </cell>
          <cell r="CD201">
            <v>2</v>
          </cell>
          <cell r="CE201">
            <v>0.6</v>
          </cell>
          <cell r="CF201">
            <v>2.2000000000000002</v>
          </cell>
          <cell r="CG201">
            <v>0.3</v>
          </cell>
          <cell r="CH201">
            <v>1.9</v>
          </cell>
          <cell r="CI201">
            <v>1.3</v>
          </cell>
          <cell r="CJ201">
            <v>1.5</v>
          </cell>
          <cell r="CK201">
            <v>1.6</v>
          </cell>
          <cell r="CL201">
            <v>3.9</v>
          </cell>
          <cell r="CM201">
            <v>2.9</v>
          </cell>
          <cell r="CN201">
            <v>3.4</v>
          </cell>
          <cell r="CO201">
            <v>2</v>
          </cell>
          <cell r="CP201">
            <v>3</v>
          </cell>
          <cell r="CQ201">
            <v>0.6</v>
          </cell>
          <cell r="CR201">
            <v>-0.8</v>
          </cell>
          <cell r="CS201">
            <v>-0.5</v>
          </cell>
          <cell r="CT201">
            <v>0.2</v>
          </cell>
          <cell r="CU201">
            <v>1.9</v>
          </cell>
          <cell r="CV201">
            <v>1.5</v>
          </cell>
          <cell r="CW201">
            <v>1.5</v>
          </cell>
          <cell r="CX201">
            <v>-1.1000000000000001</v>
          </cell>
          <cell r="CY201">
            <v>0.7</v>
          </cell>
          <cell r="CZ201">
            <v>1</v>
          </cell>
          <cell r="DA201">
            <v>2.7</v>
          </cell>
          <cell r="DB201">
            <v>1.9</v>
          </cell>
          <cell r="DC201">
            <v>0.3</v>
          </cell>
          <cell r="DD201">
            <v>1.1000000000000001</v>
          </cell>
          <cell r="DE201">
            <v>0.6</v>
          </cell>
          <cell r="DF201">
            <v>1.2</v>
          </cell>
          <cell r="DG201">
            <v>6653</v>
          </cell>
          <cell r="DH201">
            <v>1382</v>
          </cell>
          <cell r="DI201">
            <v>8072</v>
          </cell>
          <cell r="DJ201">
            <v>2883</v>
          </cell>
          <cell r="DK201">
            <v>4009</v>
          </cell>
          <cell r="DL201">
            <v>2584</v>
          </cell>
          <cell r="DM201">
            <v>4123</v>
          </cell>
          <cell r="DN201">
            <v>12346</v>
          </cell>
          <cell r="DO201">
            <v>2151</v>
          </cell>
          <cell r="DP201">
            <v>14099</v>
          </cell>
          <cell r="DQ201">
            <v>6392</v>
          </cell>
          <cell r="DR201">
            <v>5643</v>
          </cell>
          <cell r="DS201">
            <v>4029</v>
          </cell>
          <cell r="DT201">
            <v>5265</v>
          </cell>
          <cell r="DU201">
            <v>6611</v>
          </cell>
          <cell r="DV201">
            <v>27600</v>
          </cell>
          <cell r="DW201">
            <v>5421</v>
          </cell>
          <cell r="DX201">
            <v>330</v>
          </cell>
          <cell r="DY201">
            <v>3503</v>
          </cell>
          <cell r="DZ201">
            <v>9256</v>
          </cell>
          <cell r="EA201">
            <v>6138</v>
          </cell>
          <cell r="EB201">
            <v>5712</v>
          </cell>
          <cell r="EC201">
            <v>13215</v>
          </cell>
          <cell r="ED201">
            <v>24993</v>
          </cell>
          <cell r="EE201">
            <v>13388</v>
          </cell>
          <cell r="EF201">
            <v>14677</v>
          </cell>
          <cell r="EG201">
            <v>8903</v>
          </cell>
          <cell r="EH201">
            <v>5996</v>
          </cell>
          <cell r="EI201">
            <v>1719</v>
          </cell>
          <cell r="EJ201">
            <v>2366</v>
          </cell>
          <cell r="EK201">
            <v>6808</v>
          </cell>
          <cell r="EL201">
            <v>16809</v>
          </cell>
          <cell r="EM201">
            <v>3775</v>
          </cell>
          <cell r="EN201">
            <v>4591</v>
          </cell>
          <cell r="EO201">
            <v>8300</v>
          </cell>
          <cell r="EP201">
            <v>17526</v>
          </cell>
          <cell r="EQ201">
            <v>10751</v>
          </cell>
          <cell r="ER201">
            <v>28137</v>
          </cell>
          <cell r="ES201">
            <v>1413</v>
          </cell>
          <cell r="ET201">
            <v>7279</v>
          </cell>
          <cell r="EU201">
            <v>8708</v>
          </cell>
          <cell r="EV201">
            <v>2566</v>
          </cell>
          <cell r="EW201">
            <v>16247</v>
          </cell>
          <cell r="EX201">
            <v>18260</v>
          </cell>
          <cell r="EY201">
            <v>11761</v>
          </cell>
          <cell r="EZ201">
            <v>18231</v>
          </cell>
          <cell r="FA201">
            <v>16584</v>
          </cell>
          <cell r="FB201">
            <v>18889</v>
          </cell>
          <cell r="FC201">
            <v>2767</v>
          </cell>
          <cell r="FD201">
            <v>6781</v>
          </cell>
          <cell r="FE201">
            <v>31136</v>
          </cell>
          <cell r="FF201">
            <v>303100</v>
          </cell>
          <cell r="FG201">
            <v>26631</v>
          </cell>
          <cell r="FH201">
            <v>-251</v>
          </cell>
          <cell r="FI201">
            <v>329139</v>
          </cell>
          <cell r="FJ201">
            <v>2.4</v>
          </cell>
          <cell r="FK201">
            <v>1.8</v>
          </cell>
          <cell r="FL201">
            <v>2.2000000000000002</v>
          </cell>
          <cell r="FM201">
            <v>4.9000000000000004</v>
          </cell>
          <cell r="FN201">
            <v>-1.9</v>
          </cell>
          <cell r="FO201">
            <v>0.5</v>
          </cell>
          <cell r="FP201">
            <v>2.7</v>
          </cell>
          <cell r="FQ201">
            <v>0.6</v>
          </cell>
          <cell r="FR201">
            <v>-1.3</v>
          </cell>
          <cell r="FS201">
            <v>0.4</v>
          </cell>
          <cell r="FT201">
            <v>-0.8</v>
          </cell>
          <cell r="FU201">
            <v>1.1000000000000001</v>
          </cell>
          <cell r="FV201">
            <v>-2.2999999999999998</v>
          </cell>
          <cell r="FW201">
            <v>-0.4</v>
          </cell>
          <cell r="FX201">
            <v>0.5</v>
          </cell>
          <cell r="FY201">
            <v>-0.4</v>
          </cell>
          <cell r="FZ201">
            <v>-2.4</v>
          </cell>
          <cell r="GA201">
            <v>2.5</v>
          </cell>
          <cell r="GB201">
            <v>-2.2999999999999998</v>
          </cell>
          <cell r="GC201">
            <v>-2</v>
          </cell>
          <cell r="GD201">
            <v>1.6</v>
          </cell>
          <cell r="GE201">
            <v>9.1</v>
          </cell>
          <cell r="GF201">
            <v>1.4</v>
          </cell>
          <cell r="GG201">
            <v>2.7</v>
          </cell>
          <cell r="GH201">
            <v>-0.1</v>
          </cell>
          <cell r="GI201">
            <v>3</v>
          </cell>
          <cell r="GJ201">
            <v>-0.2</v>
          </cell>
          <cell r="GK201">
            <v>1.7</v>
          </cell>
          <cell r="GL201">
            <v>-1.6</v>
          </cell>
          <cell r="GM201">
            <v>3.6</v>
          </cell>
          <cell r="GN201">
            <v>2.7</v>
          </cell>
          <cell r="GO201">
            <v>2</v>
          </cell>
          <cell r="GP201">
            <v>0.4</v>
          </cell>
          <cell r="GQ201">
            <v>11.2</v>
          </cell>
          <cell r="GR201">
            <v>5.6</v>
          </cell>
          <cell r="GS201">
            <v>3.4</v>
          </cell>
          <cell r="GT201">
            <v>1.5</v>
          </cell>
          <cell r="GU201">
            <v>2.8</v>
          </cell>
          <cell r="GV201">
            <v>10.9</v>
          </cell>
          <cell r="GW201">
            <v>1</v>
          </cell>
          <cell r="GX201">
            <v>2.9</v>
          </cell>
          <cell r="GY201">
            <v>-2.9</v>
          </cell>
          <cell r="GZ201">
            <v>-1.5</v>
          </cell>
          <cell r="HA201">
            <v>-1.8</v>
          </cell>
          <cell r="HB201">
            <v>2</v>
          </cell>
          <cell r="HC201">
            <v>0.5</v>
          </cell>
          <cell r="HD201">
            <v>0.6</v>
          </cell>
          <cell r="HE201">
            <v>1.2</v>
          </cell>
          <cell r="HF201">
            <v>4</v>
          </cell>
          <cell r="HG201">
            <v>4.2</v>
          </cell>
          <cell r="HH201">
            <v>0.3</v>
          </cell>
          <cell r="HI201">
            <v>1.3</v>
          </cell>
          <cell r="HJ201">
            <v>0.9</v>
          </cell>
          <cell r="HK201">
            <v>1.5</v>
          </cell>
          <cell r="HL201">
            <v>6471</v>
          </cell>
          <cell r="HM201">
            <v>1380</v>
          </cell>
          <cell r="HN201">
            <v>7895</v>
          </cell>
          <cell r="HO201">
            <v>2762</v>
          </cell>
          <cell r="HP201">
            <v>3729</v>
          </cell>
          <cell r="HQ201">
            <v>2414</v>
          </cell>
          <cell r="HR201">
            <v>3975</v>
          </cell>
          <cell r="HS201">
            <v>11660</v>
          </cell>
          <cell r="HT201">
            <v>2092</v>
          </cell>
          <cell r="HU201">
            <v>13352</v>
          </cell>
          <cell r="HV201">
            <v>6299</v>
          </cell>
          <cell r="HW201">
            <v>5514</v>
          </cell>
          <cell r="HX201">
            <v>3824</v>
          </cell>
          <cell r="HY201">
            <v>4862</v>
          </cell>
          <cell r="HZ201">
            <v>6140</v>
          </cell>
          <cell r="IA201">
            <v>26283</v>
          </cell>
          <cell r="IB201">
            <v>5429</v>
          </cell>
          <cell r="IC201">
            <v>288</v>
          </cell>
          <cell r="ID201">
            <v>3539</v>
          </cell>
          <cell r="IE201">
            <v>9231</v>
          </cell>
          <cell r="IF201">
            <v>5571</v>
          </cell>
          <cell r="IG201">
            <v>5331</v>
          </cell>
          <cell r="IH201">
            <v>12367</v>
          </cell>
          <cell r="II201">
            <v>23204</v>
          </cell>
          <cell r="IJ201">
            <v>12851</v>
          </cell>
          <cell r="IK201">
            <v>14067</v>
          </cell>
          <cell r="IL201">
            <v>8761</v>
          </cell>
          <cell r="IM201">
            <v>5732</v>
          </cell>
          <cell r="IN201">
            <v>1655</v>
          </cell>
          <cell r="IO201">
            <v>2326</v>
          </cell>
          <cell r="IP201">
            <v>6594</v>
          </cell>
          <cell r="IQ201">
            <v>16240</v>
          </cell>
        </row>
        <row r="202">
          <cell r="B202">
            <v>6500</v>
          </cell>
          <cell r="C202">
            <v>1387</v>
          </cell>
          <cell r="D202">
            <v>7927</v>
          </cell>
          <cell r="E202">
            <v>3066</v>
          </cell>
          <cell r="F202">
            <v>4086</v>
          </cell>
          <cell r="G202">
            <v>2558</v>
          </cell>
          <cell r="H202">
            <v>3988</v>
          </cell>
          <cell r="I202">
            <v>12426</v>
          </cell>
          <cell r="J202">
            <v>2293</v>
          </cell>
          <cell r="K202">
            <v>14264</v>
          </cell>
          <cell r="L202">
            <v>6329</v>
          </cell>
          <cell r="M202">
            <v>5677</v>
          </cell>
          <cell r="N202">
            <v>3956</v>
          </cell>
          <cell r="O202">
            <v>5206</v>
          </cell>
          <cell r="P202">
            <v>6756</v>
          </cell>
          <cell r="Q202">
            <v>27510</v>
          </cell>
          <cell r="R202">
            <v>5455</v>
          </cell>
          <cell r="S202">
            <v>336</v>
          </cell>
          <cell r="T202">
            <v>3472</v>
          </cell>
          <cell r="U202">
            <v>9258</v>
          </cell>
          <cell r="V202">
            <v>6107</v>
          </cell>
          <cell r="W202">
            <v>5678</v>
          </cell>
          <cell r="X202">
            <v>13192</v>
          </cell>
          <cell r="Y202">
            <v>24938</v>
          </cell>
          <cell r="Z202">
            <v>13489</v>
          </cell>
          <cell r="AA202">
            <v>14865</v>
          </cell>
          <cell r="AB202">
            <v>9014</v>
          </cell>
          <cell r="AC202">
            <v>6014</v>
          </cell>
          <cell r="AD202">
            <v>1729</v>
          </cell>
          <cell r="AE202">
            <v>2336</v>
          </cell>
          <cell r="AF202">
            <v>6828</v>
          </cell>
          <cell r="AG202">
            <v>16834</v>
          </cell>
          <cell r="AH202">
            <v>3834</v>
          </cell>
          <cell r="AI202">
            <v>4380</v>
          </cell>
          <cell r="AJ202">
            <v>8263</v>
          </cell>
          <cell r="AK202">
            <v>17994</v>
          </cell>
          <cell r="AL202">
            <v>10842</v>
          </cell>
          <cell r="AM202">
            <v>28714</v>
          </cell>
          <cell r="AN202">
            <v>1282</v>
          </cell>
          <cell r="AO202">
            <v>7216</v>
          </cell>
          <cell r="AP202">
            <v>8484</v>
          </cell>
          <cell r="AQ202">
            <v>2645</v>
          </cell>
          <cell r="AR202">
            <v>16980</v>
          </cell>
          <cell r="AS202">
            <v>19027</v>
          </cell>
          <cell r="AT202">
            <v>11911</v>
          </cell>
          <cell r="AU202">
            <v>18177</v>
          </cell>
          <cell r="AV202">
            <v>16693</v>
          </cell>
          <cell r="AW202">
            <v>19100</v>
          </cell>
          <cell r="AX202">
            <v>2755</v>
          </cell>
          <cell r="AY202">
            <v>6613</v>
          </cell>
          <cell r="AZ202">
            <v>31249</v>
          </cell>
          <cell r="BA202">
            <v>304895</v>
          </cell>
          <cell r="BB202">
            <v>26500</v>
          </cell>
          <cell r="BC202">
            <v>577</v>
          </cell>
          <cell r="BD202">
            <v>331630</v>
          </cell>
          <cell r="BE202">
            <v>-0.3</v>
          </cell>
          <cell r="BF202">
            <v>1.7</v>
          </cell>
          <cell r="BG202">
            <v>0.1</v>
          </cell>
          <cell r="BH202">
            <v>5.9</v>
          </cell>
          <cell r="BI202">
            <v>-0.3</v>
          </cell>
          <cell r="BJ202">
            <v>-0.9</v>
          </cell>
          <cell r="BK202">
            <v>-2.1</v>
          </cell>
          <cell r="BL202">
            <v>0.1</v>
          </cell>
          <cell r="BM202">
            <v>3.9</v>
          </cell>
          <cell r="BN202">
            <v>0.4</v>
          </cell>
          <cell r="BO202">
            <v>-0.6</v>
          </cell>
          <cell r="BP202">
            <v>1.1000000000000001</v>
          </cell>
          <cell r="BQ202">
            <v>-0.9</v>
          </cell>
          <cell r="BR202">
            <v>-1</v>
          </cell>
          <cell r="BS202">
            <v>1.5</v>
          </cell>
          <cell r="BT202">
            <v>-0.1</v>
          </cell>
          <cell r="BU202">
            <v>0.3</v>
          </cell>
          <cell r="BV202">
            <v>2</v>
          </cell>
          <cell r="BW202">
            <v>-1.3</v>
          </cell>
          <cell r="BX202">
            <v>-0.2</v>
          </cell>
          <cell r="BY202">
            <v>0.9</v>
          </cell>
          <cell r="BZ202">
            <v>2.4</v>
          </cell>
          <cell r="CA202">
            <v>1</v>
          </cell>
          <cell r="CB202">
            <v>1.3</v>
          </cell>
          <cell r="CC202">
            <v>0.4</v>
          </cell>
          <cell r="CD202">
            <v>2</v>
          </cell>
          <cell r="CE202">
            <v>0.7</v>
          </cell>
          <cell r="CF202">
            <v>1</v>
          </cell>
          <cell r="CG202">
            <v>-0.1</v>
          </cell>
          <cell r="CH202">
            <v>1.1000000000000001</v>
          </cell>
          <cell r="CI202">
            <v>1</v>
          </cell>
          <cell r="CJ202">
            <v>0.9</v>
          </cell>
          <cell r="CK202">
            <v>1.1000000000000001</v>
          </cell>
          <cell r="CL202">
            <v>2.5</v>
          </cell>
          <cell r="CM202">
            <v>1.5</v>
          </cell>
          <cell r="CN202">
            <v>2.7</v>
          </cell>
          <cell r="CO202">
            <v>0.9</v>
          </cell>
          <cell r="CP202">
            <v>2.1</v>
          </cell>
          <cell r="CQ202">
            <v>-3.5</v>
          </cell>
          <cell r="CR202">
            <v>0.2</v>
          </cell>
          <cell r="CS202">
            <v>-0.5</v>
          </cell>
          <cell r="CT202">
            <v>1.3</v>
          </cell>
          <cell r="CU202">
            <v>2.1</v>
          </cell>
          <cell r="CV202">
            <v>1.9</v>
          </cell>
          <cell r="CW202">
            <v>1.6</v>
          </cell>
          <cell r="CX202">
            <v>-0.4</v>
          </cell>
          <cell r="CY202">
            <v>0.6</v>
          </cell>
          <cell r="CZ202">
            <v>1</v>
          </cell>
          <cell r="DA202">
            <v>0.5</v>
          </cell>
          <cell r="DB202">
            <v>0.8</v>
          </cell>
          <cell r="DC202">
            <v>0.4</v>
          </cell>
          <cell r="DD202">
            <v>0.8</v>
          </cell>
          <cell r="DE202">
            <v>0.1</v>
          </cell>
          <cell r="DF202">
            <v>1</v>
          </cell>
          <cell r="DG202">
            <v>6513</v>
          </cell>
          <cell r="DH202">
            <v>1368</v>
          </cell>
          <cell r="DI202">
            <v>7919</v>
          </cell>
          <cell r="DJ202">
            <v>3008</v>
          </cell>
          <cell r="DK202">
            <v>4103</v>
          </cell>
          <cell r="DL202">
            <v>2601</v>
          </cell>
          <cell r="DM202">
            <v>4057</v>
          </cell>
          <cell r="DN202">
            <v>12470</v>
          </cell>
          <cell r="DO202">
            <v>2295</v>
          </cell>
          <cell r="DP202">
            <v>14314</v>
          </cell>
          <cell r="DQ202">
            <v>6183</v>
          </cell>
          <cell r="DR202">
            <v>5735</v>
          </cell>
          <cell r="DS202">
            <v>3830</v>
          </cell>
          <cell r="DT202">
            <v>5215</v>
          </cell>
          <cell r="DU202">
            <v>6785</v>
          </cell>
          <cell r="DV202">
            <v>27289</v>
          </cell>
          <cell r="DW202">
            <v>5350</v>
          </cell>
          <cell r="DX202">
            <v>339</v>
          </cell>
          <cell r="DY202">
            <v>3456</v>
          </cell>
          <cell r="DZ202">
            <v>9135</v>
          </cell>
          <cell r="EA202">
            <v>5935</v>
          </cell>
          <cell r="EB202">
            <v>5664</v>
          </cell>
          <cell r="EC202">
            <v>12892</v>
          </cell>
          <cell r="ED202">
            <v>24423</v>
          </cell>
          <cell r="EE202">
            <v>13523</v>
          </cell>
          <cell r="EF202">
            <v>14761</v>
          </cell>
          <cell r="EG202">
            <v>9024</v>
          </cell>
          <cell r="EH202">
            <v>5936</v>
          </cell>
          <cell r="EI202">
            <v>1721</v>
          </cell>
          <cell r="EJ202">
            <v>2306</v>
          </cell>
          <cell r="EK202">
            <v>6875</v>
          </cell>
          <cell r="EL202">
            <v>16785</v>
          </cell>
          <cell r="EM202">
            <v>3841</v>
          </cell>
          <cell r="EN202">
            <v>4439</v>
          </cell>
          <cell r="EO202">
            <v>8229</v>
          </cell>
          <cell r="EP202">
            <v>17979</v>
          </cell>
          <cell r="EQ202">
            <v>10819</v>
          </cell>
          <cell r="ER202">
            <v>28681</v>
          </cell>
          <cell r="ES202">
            <v>1266</v>
          </cell>
          <cell r="ET202">
            <v>7192</v>
          </cell>
          <cell r="EU202">
            <v>8439</v>
          </cell>
          <cell r="EV202">
            <v>2659</v>
          </cell>
          <cell r="EW202">
            <v>17251</v>
          </cell>
          <cell r="EX202">
            <v>19286</v>
          </cell>
          <cell r="EY202">
            <v>11883</v>
          </cell>
          <cell r="EZ202">
            <v>18169</v>
          </cell>
          <cell r="FA202">
            <v>16696</v>
          </cell>
          <cell r="FB202">
            <v>19153</v>
          </cell>
          <cell r="FC202">
            <v>2780</v>
          </cell>
          <cell r="FD202">
            <v>6258</v>
          </cell>
          <cell r="FE202">
            <v>31257</v>
          </cell>
          <cell r="FF202">
            <v>303934</v>
          </cell>
          <cell r="FG202">
            <v>26307</v>
          </cell>
          <cell r="FH202">
            <v>1238</v>
          </cell>
          <cell r="FI202">
            <v>331137</v>
          </cell>
          <cell r="FJ202">
            <v>-2.1</v>
          </cell>
          <cell r="FK202">
            <v>-1</v>
          </cell>
          <cell r="FL202">
            <v>-1.9</v>
          </cell>
          <cell r="FM202">
            <v>4.3</v>
          </cell>
          <cell r="FN202">
            <v>2.2999999999999998</v>
          </cell>
          <cell r="FO202">
            <v>0.7</v>
          </cell>
          <cell r="FP202">
            <v>-1.6</v>
          </cell>
          <cell r="FQ202">
            <v>1</v>
          </cell>
          <cell r="FR202">
            <v>6.7</v>
          </cell>
          <cell r="FS202">
            <v>1.5</v>
          </cell>
          <cell r="FT202">
            <v>-3.3</v>
          </cell>
          <cell r="FU202">
            <v>1.6</v>
          </cell>
          <cell r="FV202">
            <v>-5</v>
          </cell>
          <cell r="FW202">
            <v>-1</v>
          </cell>
          <cell r="FX202">
            <v>2.6</v>
          </cell>
          <cell r="FY202">
            <v>-1.1000000000000001</v>
          </cell>
          <cell r="FZ202">
            <v>-1.3</v>
          </cell>
          <cell r="GA202">
            <v>2.8</v>
          </cell>
          <cell r="GB202">
            <v>-1.3</v>
          </cell>
          <cell r="GC202">
            <v>-1.3</v>
          </cell>
          <cell r="GD202">
            <v>-3.3</v>
          </cell>
          <cell r="GE202">
            <v>-0.9</v>
          </cell>
          <cell r="GF202">
            <v>-2.4</v>
          </cell>
          <cell r="GG202">
            <v>-2.2999999999999998</v>
          </cell>
          <cell r="GH202">
            <v>1</v>
          </cell>
          <cell r="GI202">
            <v>0.6</v>
          </cell>
          <cell r="GJ202">
            <v>1.4</v>
          </cell>
          <cell r="GK202">
            <v>-1</v>
          </cell>
          <cell r="GL202">
            <v>0.2</v>
          </cell>
          <cell r="GM202">
            <v>-2.5</v>
          </cell>
          <cell r="GN202">
            <v>1</v>
          </cell>
          <cell r="GO202">
            <v>-0.1</v>
          </cell>
          <cell r="GP202">
            <v>1.7</v>
          </cell>
          <cell r="GQ202">
            <v>-3.3</v>
          </cell>
          <cell r="GR202">
            <v>-0.9</v>
          </cell>
          <cell r="GS202">
            <v>2.6</v>
          </cell>
          <cell r="GT202">
            <v>0.6</v>
          </cell>
          <cell r="GU202">
            <v>1.9</v>
          </cell>
          <cell r="GV202">
            <v>-10.4</v>
          </cell>
          <cell r="GW202">
            <v>-1.2</v>
          </cell>
          <cell r="GX202">
            <v>-3.1</v>
          </cell>
          <cell r="GY202">
            <v>3.6</v>
          </cell>
          <cell r="GZ202">
            <v>6.2</v>
          </cell>
          <cell r="HA202">
            <v>5.6</v>
          </cell>
          <cell r="HB202">
            <v>1</v>
          </cell>
          <cell r="HC202">
            <v>-0.3</v>
          </cell>
          <cell r="HD202">
            <v>0.7</v>
          </cell>
          <cell r="HE202">
            <v>1.4</v>
          </cell>
          <cell r="HF202">
            <v>0.5</v>
          </cell>
          <cell r="HG202">
            <v>-7.7</v>
          </cell>
          <cell r="HH202">
            <v>0.4</v>
          </cell>
          <cell r="HI202">
            <v>0.3</v>
          </cell>
          <cell r="HJ202">
            <v>-1.2</v>
          </cell>
          <cell r="HK202">
            <v>0.6</v>
          </cell>
          <cell r="HL202">
            <v>5091</v>
          </cell>
          <cell r="HM202">
            <v>1361</v>
          </cell>
          <cell r="HN202">
            <v>6544</v>
          </cell>
          <cell r="HO202">
            <v>3060</v>
          </cell>
          <cell r="HP202">
            <v>4145</v>
          </cell>
          <cell r="HQ202">
            <v>2675</v>
          </cell>
          <cell r="HR202">
            <v>4023</v>
          </cell>
          <cell r="HS202">
            <v>12612</v>
          </cell>
          <cell r="HT202">
            <v>2384</v>
          </cell>
          <cell r="HU202">
            <v>14514</v>
          </cell>
          <cell r="HV202">
            <v>5926</v>
          </cell>
          <cell r="HW202">
            <v>5694</v>
          </cell>
          <cell r="HX202">
            <v>3837</v>
          </cell>
          <cell r="HY202">
            <v>5355</v>
          </cell>
          <cell r="HZ202">
            <v>6734</v>
          </cell>
          <cell r="IA202">
            <v>27115</v>
          </cell>
          <cell r="IB202">
            <v>5318</v>
          </cell>
          <cell r="IC202">
            <v>363</v>
          </cell>
          <cell r="ID202">
            <v>3441</v>
          </cell>
          <cell r="IE202">
            <v>9124</v>
          </cell>
          <cell r="IF202">
            <v>5969</v>
          </cell>
          <cell r="IG202">
            <v>6046</v>
          </cell>
          <cell r="IH202">
            <v>12773</v>
          </cell>
          <cell r="II202">
            <v>24596</v>
          </cell>
          <cell r="IJ202">
            <v>13488</v>
          </cell>
          <cell r="IK202">
            <v>14226</v>
          </cell>
          <cell r="IL202">
            <v>8735</v>
          </cell>
          <cell r="IM202">
            <v>5873</v>
          </cell>
          <cell r="IN202">
            <v>1650</v>
          </cell>
          <cell r="IO202">
            <v>2274</v>
          </cell>
          <cell r="IP202">
            <v>6635</v>
          </cell>
          <cell r="IQ202">
            <v>16350</v>
          </cell>
        </row>
        <row r="203">
          <cell r="B203">
            <v>6621</v>
          </cell>
          <cell r="C203">
            <v>1388</v>
          </cell>
          <cell r="D203">
            <v>8043</v>
          </cell>
          <cell r="E203">
            <v>3179</v>
          </cell>
          <cell r="F203">
            <v>4168</v>
          </cell>
          <cell r="G203">
            <v>2592</v>
          </cell>
          <cell r="H203">
            <v>3823</v>
          </cell>
          <cell r="I203">
            <v>12483</v>
          </cell>
          <cell r="J203">
            <v>2393</v>
          </cell>
          <cell r="K203">
            <v>14376</v>
          </cell>
          <cell r="L203">
            <v>6381</v>
          </cell>
          <cell r="M203">
            <v>5643</v>
          </cell>
          <cell r="N203">
            <v>4069</v>
          </cell>
          <cell r="O203">
            <v>5162</v>
          </cell>
          <cell r="P203">
            <v>6795</v>
          </cell>
          <cell r="Q203">
            <v>27659</v>
          </cell>
          <cell r="R203">
            <v>5534</v>
          </cell>
          <cell r="S203">
            <v>341</v>
          </cell>
          <cell r="T203">
            <v>3415</v>
          </cell>
          <cell r="U203">
            <v>9299</v>
          </cell>
          <cell r="V203">
            <v>6153</v>
          </cell>
          <cell r="W203">
            <v>5763</v>
          </cell>
          <cell r="X203">
            <v>13209</v>
          </cell>
          <cell r="Y203">
            <v>25089</v>
          </cell>
          <cell r="Z203">
            <v>13589</v>
          </cell>
          <cell r="AA203">
            <v>15146</v>
          </cell>
          <cell r="AB203">
            <v>9047</v>
          </cell>
          <cell r="AC203">
            <v>6086</v>
          </cell>
          <cell r="AD203">
            <v>1753</v>
          </cell>
          <cell r="AE203">
            <v>2355</v>
          </cell>
          <cell r="AF203">
            <v>6854</v>
          </cell>
          <cell r="AG203">
            <v>16970</v>
          </cell>
          <cell r="AH203">
            <v>3868</v>
          </cell>
          <cell r="AI203">
            <v>4437</v>
          </cell>
          <cell r="AJ203">
            <v>8338</v>
          </cell>
          <cell r="AK203">
            <v>18400</v>
          </cell>
          <cell r="AL203">
            <v>10748</v>
          </cell>
          <cell r="AM203">
            <v>29049</v>
          </cell>
          <cell r="AN203">
            <v>1203</v>
          </cell>
          <cell r="AO203">
            <v>7182</v>
          </cell>
          <cell r="AP203">
            <v>8354</v>
          </cell>
          <cell r="AQ203">
            <v>2693</v>
          </cell>
          <cell r="AR203">
            <v>17073</v>
          </cell>
          <cell r="AS203">
            <v>19181</v>
          </cell>
          <cell r="AT203">
            <v>12089</v>
          </cell>
          <cell r="AU203">
            <v>18352</v>
          </cell>
          <cell r="AV203">
            <v>16795</v>
          </cell>
          <cell r="AW203">
            <v>19338</v>
          </cell>
          <cell r="AX203">
            <v>2732</v>
          </cell>
          <cell r="AY203">
            <v>6577</v>
          </cell>
          <cell r="AZ203">
            <v>31380</v>
          </cell>
          <cell r="BA203">
            <v>307170</v>
          </cell>
          <cell r="BB203">
            <v>26582</v>
          </cell>
          <cell r="BC203">
            <v>1084</v>
          </cell>
          <cell r="BD203">
            <v>334497</v>
          </cell>
          <cell r="BE203">
            <v>1.9</v>
          </cell>
          <cell r="BF203">
            <v>0.1</v>
          </cell>
          <cell r="BG203">
            <v>1.5</v>
          </cell>
          <cell r="BH203">
            <v>3.7</v>
          </cell>
          <cell r="BI203">
            <v>2</v>
          </cell>
          <cell r="BJ203">
            <v>1.4</v>
          </cell>
          <cell r="BK203">
            <v>-4.2</v>
          </cell>
          <cell r="BL203">
            <v>0.5</v>
          </cell>
          <cell r="BM203">
            <v>4.4000000000000004</v>
          </cell>
          <cell r="BN203">
            <v>0.8</v>
          </cell>
          <cell r="BO203">
            <v>0.8</v>
          </cell>
          <cell r="BP203">
            <v>-0.6</v>
          </cell>
          <cell r="BQ203">
            <v>2.9</v>
          </cell>
          <cell r="BR203">
            <v>-0.8</v>
          </cell>
          <cell r="BS203">
            <v>0.6</v>
          </cell>
          <cell r="BT203">
            <v>0.5</v>
          </cell>
          <cell r="BU203">
            <v>1.4</v>
          </cell>
          <cell r="BV203">
            <v>1.5</v>
          </cell>
          <cell r="BW203">
            <v>-1.6</v>
          </cell>
          <cell r="BX203">
            <v>0.4</v>
          </cell>
          <cell r="BY203">
            <v>0.8</v>
          </cell>
          <cell r="BZ203">
            <v>1.5</v>
          </cell>
          <cell r="CA203">
            <v>0.1</v>
          </cell>
          <cell r="CB203">
            <v>0.6</v>
          </cell>
          <cell r="CC203">
            <v>0.7</v>
          </cell>
          <cell r="CD203">
            <v>1.9</v>
          </cell>
          <cell r="CE203">
            <v>0.4</v>
          </cell>
          <cell r="CF203">
            <v>1.2</v>
          </cell>
          <cell r="CG203">
            <v>1.4</v>
          </cell>
          <cell r="CH203">
            <v>0.8</v>
          </cell>
          <cell r="CI203">
            <v>0.4</v>
          </cell>
          <cell r="CJ203">
            <v>0.8</v>
          </cell>
          <cell r="CK203">
            <v>0.9</v>
          </cell>
          <cell r="CL203">
            <v>1.3</v>
          </cell>
          <cell r="CM203">
            <v>0.9</v>
          </cell>
          <cell r="CN203">
            <v>2.2999999999999998</v>
          </cell>
          <cell r="CO203">
            <v>-0.9</v>
          </cell>
          <cell r="CP203">
            <v>1.2</v>
          </cell>
          <cell r="CQ203">
            <v>-6.2</v>
          </cell>
          <cell r="CR203">
            <v>-0.5</v>
          </cell>
          <cell r="CS203">
            <v>-1.5</v>
          </cell>
          <cell r="CT203">
            <v>1.8</v>
          </cell>
          <cell r="CU203">
            <v>0.5</v>
          </cell>
          <cell r="CV203">
            <v>0.8</v>
          </cell>
          <cell r="CW203">
            <v>1.5</v>
          </cell>
          <cell r="CX203">
            <v>1</v>
          </cell>
          <cell r="CY203">
            <v>0.6</v>
          </cell>
          <cell r="CZ203">
            <v>1.2</v>
          </cell>
          <cell r="DA203">
            <v>-0.9</v>
          </cell>
          <cell r="DB203">
            <v>-0.5</v>
          </cell>
          <cell r="DC203">
            <v>0.4</v>
          </cell>
          <cell r="DD203">
            <v>0.7</v>
          </cell>
          <cell r="DE203">
            <v>0.3</v>
          </cell>
          <cell r="DF203">
            <v>0.9</v>
          </cell>
          <cell r="DG203">
            <v>6649</v>
          </cell>
          <cell r="DH203">
            <v>1402</v>
          </cell>
          <cell r="DI203">
            <v>8087</v>
          </cell>
          <cell r="DJ203">
            <v>3318</v>
          </cell>
          <cell r="DK203">
            <v>4189</v>
          </cell>
          <cell r="DL203">
            <v>2502</v>
          </cell>
          <cell r="DM203">
            <v>3713</v>
          </cell>
          <cell r="DN203">
            <v>12473</v>
          </cell>
          <cell r="DO203">
            <v>2440</v>
          </cell>
          <cell r="DP203">
            <v>14391</v>
          </cell>
          <cell r="DQ203">
            <v>6502</v>
          </cell>
          <cell r="DR203">
            <v>5553</v>
          </cell>
          <cell r="DS203">
            <v>4077</v>
          </cell>
          <cell r="DT203">
            <v>5158</v>
          </cell>
          <cell r="DU203">
            <v>6848</v>
          </cell>
          <cell r="DV203">
            <v>27775</v>
          </cell>
          <cell r="DW203">
            <v>5631</v>
          </cell>
          <cell r="DX203">
            <v>339</v>
          </cell>
          <cell r="DY203">
            <v>3445</v>
          </cell>
          <cell r="DZ203">
            <v>9413</v>
          </cell>
          <cell r="EA203">
            <v>6297</v>
          </cell>
          <cell r="EB203">
            <v>5727</v>
          </cell>
          <cell r="EC203">
            <v>13487</v>
          </cell>
          <cell r="ED203">
            <v>25513</v>
          </cell>
          <cell r="EE203">
            <v>13526</v>
          </cell>
          <cell r="EF203">
            <v>15135</v>
          </cell>
          <cell r="EG203">
            <v>9081</v>
          </cell>
          <cell r="EH203">
            <v>6094</v>
          </cell>
          <cell r="EI203">
            <v>1758</v>
          </cell>
          <cell r="EJ203">
            <v>2344</v>
          </cell>
          <cell r="EK203">
            <v>6760</v>
          </cell>
          <cell r="EL203">
            <v>16865</v>
          </cell>
          <cell r="EM203">
            <v>3885</v>
          </cell>
          <cell r="EN203">
            <v>4381</v>
          </cell>
          <cell r="EO203">
            <v>8221</v>
          </cell>
          <cell r="EP203">
            <v>18408</v>
          </cell>
          <cell r="EQ203">
            <v>10830</v>
          </cell>
          <cell r="ER203">
            <v>29129</v>
          </cell>
          <cell r="ES203">
            <v>1209</v>
          </cell>
          <cell r="ET203">
            <v>7056</v>
          </cell>
          <cell r="EU203">
            <v>8239</v>
          </cell>
          <cell r="EV203">
            <v>2711</v>
          </cell>
          <cell r="EW203">
            <v>17286</v>
          </cell>
          <cell r="EX203">
            <v>19395</v>
          </cell>
          <cell r="EY203">
            <v>12148</v>
          </cell>
          <cell r="EZ203">
            <v>18346</v>
          </cell>
          <cell r="FA203">
            <v>16796</v>
          </cell>
          <cell r="FB203">
            <v>19332</v>
          </cell>
          <cell r="FC203">
            <v>2711</v>
          </cell>
          <cell r="FD203">
            <v>6829</v>
          </cell>
          <cell r="FE203">
            <v>31373</v>
          </cell>
          <cell r="FF203">
            <v>307976</v>
          </cell>
          <cell r="FG203">
            <v>26576</v>
          </cell>
          <cell r="FH203">
            <v>636</v>
          </cell>
          <cell r="FI203">
            <v>334851</v>
          </cell>
          <cell r="FJ203">
            <v>2.1</v>
          </cell>
          <cell r="FK203">
            <v>2.5</v>
          </cell>
          <cell r="FL203">
            <v>2.1</v>
          </cell>
          <cell r="FM203">
            <v>10.3</v>
          </cell>
          <cell r="FN203">
            <v>2.1</v>
          </cell>
          <cell r="FO203">
            <v>-3.8</v>
          </cell>
          <cell r="FP203">
            <v>-8.5</v>
          </cell>
          <cell r="FQ203">
            <v>0</v>
          </cell>
          <cell r="FR203">
            <v>6.3</v>
          </cell>
          <cell r="FS203">
            <v>0.5</v>
          </cell>
          <cell r="FT203">
            <v>5.0999999999999996</v>
          </cell>
          <cell r="FU203">
            <v>-3.2</v>
          </cell>
          <cell r="FV203">
            <v>6.5</v>
          </cell>
          <cell r="FW203">
            <v>-1.1000000000000001</v>
          </cell>
          <cell r="FX203">
            <v>0.9</v>
          </cell>
          <cell r="FY203">
            <v>1.8</v>
          </cell>
          <cell r="FZ203">
            <v>5.2</v>
          </cell>
          <cell r="GA203">
            <v>-0.1</v>
          </cell>
          <cell r="GB203">
            <v>-0.3</v>
          </cell>
          <cell r="GC203">
            <v>3</v>
          </cell>
          <cell r="GD203">
            <v>6.1</v>
          </cell>
          <cell r="GE203">
            <v>1.1000000000000001</v>
          </cell>
          <cell r="GF203">
            <v>4.5999999999999996</v>
          </cell>
          <cell r="GG203">
            <v>4.5</v>
          </cell>
          <cell r="GH203">
            <v>0</v>
          </cell>
          <cell r="GI203">
            <v>2.5</v>
          </cell>
          <cell r="GJ203">
            <v>0.6</v>
          </cell>
          <cell r="GK203">
            <v>2.7</v>
          </cell>
          <cell r="GL203">
            <v>2.1</v>
          </cell>
          <cell r="GM203">
            <v>1.7</v>
          </cell>
          <cell r="GN203">
            <v>-1.7</v>
          </cell>
          <cell r="GO203">
            <v>0.5</v>
          </cell>
          <cell r="GP203">
            <v>1.1000000000000001</v>
          </cell>
          <cell r="GQ203">
            <v>-1.3</v>
          </cell>
          <cell r="GR203">
            <v>-0.1</v>
          </cell>
          <cell r="GS203">
            <v>2.4</v>
          </cell>
          <cell r="GT203">
            <v>0.1</v>
          </cell>
          <cell r="GU203">
            <v>1.6</v>
          </cell>
          <cell r="GV203">
            <v>-4.4000000000000004</v>
          </cell>
          <cell r="GW203">
            <v>-1.9</v>
          </cell>
          <cell r="GX203">
            <v>-2.4</v>
          </cell>
          <cell r="GY203">
            <v>2</v>
          </cell>
          <cell r="GZ203">
            <v>0.2</v>
          </cell>
          <cell r="HA203">
            <v>0.6</v>
          </cell>
          <cell r="HB203">
            <v>2.2000000000000002</v>
          </cell>
          <cell r="HC203">
            <v>1</v>
          </cell>
          <cell r="HD203">
            <v>0.6</v>
          </cell>
          <cell r="HE203">
            <v>0.9</v>
          </cell>
          <cell r="HF203">
            <v>-2.5</v>
          </cell>
          <cell r="HG203">
            <v>9.1</v>
          </cell>
          <cell r="HH203">
            <v>0.4</v>
          </cell>
          <cell r="HI203">
            <v>1.3</v>
          </cell>
          <cell r="HJ203">
            <v>1</v>
          </cell>
          <cell r="HK203">
            <v>1.1000000000000001</v>
          </cell>
          <cell r="HL203">
            <v>4464</v>
          </cell>
          <cell r="HM203">
            <v>1405</v>
          </cell>
          <cell r="HN203">
            <v>5976</v>
          </cell>
          <cell r="HO203">
            <v>3412</v>
          </cell>
          <cell r="HP203">
            <v>4350</v>
          </cell>
          <cell r="HQ203">
            <v>2551</v>
          </cell>
          <cell r="HR203">
            <v>3733</v>
          </cell>
          <cell r="HS203">
            <v>12784</v>
          </cell>
          <cell r="HT203">
            <v>2408</v>
          </cell>
          <cell r="HU203">
            <v>14701</v>
          </cell>
          <cell r="HV203">
            <v>6503</v>
          </cell>
          <cell r="HW203">
            <v>5719</v>
          </cell>
          <cell r="HX203">
            <v>4170</v>
          </cell>
          <cell r="HY203">
            <v>5383</v>
          </cell>
          <cell r="HZ203">
            <v>7099</v>
          </cell>
          <cell r="IA203">
            <v>28485</v>
          </cell>
          <cell r="IB203">
            <v>5783</v>
          </cell>
          <cell r="IC203">
            <v>380</v>
          </cell>
          <cell r="ID203">
            <v>3445</v>
          </cell>
          <cell r="IE203">
            <v>9636</v>
          </cell>
          <cell r="IF203">
            <v>6556</v>
          </cell>
          <cell r="IG203">
            <v>5521</v>
          </cell>
          <cell r="IH203">
            <v>13693</v>
          </cell>
          <cell r="II203">
            <v>25817</v>
          </cell>
          <cell r="IJ203">
            <v>13629</v>
          </cell>
          <cell r="IK203">
            <v>14760</v>
          </cell>
          <cell r="IL203">
            <v>9076</v>
          </cell>
          <cell r="IM203">
            <v>6092</v>
          </cell>
          <cell r="IN203">
            <v>1833</v>
          </cell>
          <cell r="IO203">
            <v>2441</v>
          </cell>
          <cell r="IP203">
            <v>6815</v>
          </cell>
          <cell r="IQ203">
            <v>17088</v>
          </cell>
        </row>
        <row r="204">
          <cell r="B204">
            <v>6971</v>
          </cell>
          <cell r="C204">
            <v>1369</v>
          </cell>
          <cell r="D204">
            <v>8360</v>
          </cell>
          <cell r="E204">
            <v>3235</v>
          </cell>
          <cell r="F204">
            <v>4240</v>
          </cell>
          <cell r="G204">
            <v>2688</v>
          </cell>
          <cell r="H204">
            <v>3662</v>
          </cell>
          <cell r="I204">
            <v>12550</v>
          </cell>
          <cell r="J204">
            <v>2448</v>
          </cell>
          <cell r="K204">
            <v>14475</v>
          </cell>
          <cell r="L204">
            <v>6426</v>
          </cell>
          <cell r="M204">
            <v>5666</v>
          </cell>
          <cell r="N204">
            <v>4328</v>
          </cell>
          <cell r="O204">
            <v>5272</v>
          </cell>
          <cell r="P204">
            <v>6781</v>
          </cell>
          <cell r="Q204">
            <v>28207</v>
          </cell>
          <cell r="R204">
            <v>5585</v>
          </cell>
          <cell r="S204">
            <v>341</v>
          </cell>
          <cell r="T204">
            <v>3369</v>
          </cell>
          <cell r="U204">
            <v>9321</v>
          </cell>
          <cell r="V204">
            <v>6250</v>
          </cell>
          <cell r="W204">
            <v>5879</v>
          </cell>
          <cell r="X204">
            <v>13429</v>
          </cell>
          <cell r="Y204">
            <v>25504</v>
          </cell>
          <cell r="Z204">
            <v>13746</v>
          </cell>
          <cell r="AA204">
            <v>15366</v>
          </cell>
          <cell r="AB204">
            <v>9002</v>
          </cell>
          <cell r="AC204">
            <v>6217</v>
          </cell>
          <cell r="AD204">
            <v>1789</v>
          </cell>
          <cell r="AE204">
            <v>2412</v>
          </cell>
          <cell r="AF204">
            <v>6973</v>
          </cell>
          <cell r="AG204">
            <v>17307</v>
          </cell>
          <cell r="AH204">
            <v>3915</v>
          </cell>
          <cell r="AI204">
            <v>4505</v>
          </cell>
          <cell r="AJ204">
            <v>8446</v>
          </cell>
          <cell r="AK204">
            <v>18748</v>
          </cell>
          <cell r="AL204">
            <v>10453</v>
          </cell>
          <cell r="AM204">
            <v>29138</v>
          </cell>
          <cell r="AN204">
            <v>1182</v>
          </cell>
          <cell r="AO204">
            <v>7062</v>
          </cell>
          <cell r="AP204">
            <v>8212</v>
          </cell>
          <cell r="AQ204">
            <v>2752</v>
          </cell>
          <cell r="AR204">
            <v>16931</v>
          </cell>
          <cell r="AS204">
            <v>19145</v>
          </cell>
          <cell r="AT204">
            <v>12315</v>
          </cell>
          <cell r="AU204">
            <v>18431</v>
          </cell>
          <cell r="AV204">
            <v>16883</v>
          </cell>
          <cell r="AW204">
            <v>19603</v>
          </cell>
          <cell r="AX204">
            <v>2719</v>
          </cell>
          <cell r="AY204">
            <v>6518</v>
          </cell>
          <cell r="AZ204">
            <v>31540</v>
          </cell>
          <cell r="BA204">
            <v>309952</v>
          </cell>
          <cell r="BB204">
            <v>26728</v>
          </cell>
          <cell r="BC204">
            <v>824</v>
          </cell>
          <cell r="BD204">
            <v>337173</v>
          </cell>
          <cell r="BE204">
            <v>5.3</v>
          </cell>
          <cell r="BF204">
            <v>-1.3</v>
          </cell>
          <cell r="BG204">
            <v>3.9</v>
          </cell>
          <cell r="BH204">
            <v>1.8</v>
          </cell>
          <cell r="BI204">
            <v>1.7</v>
          </cell>
          <cell r="BJ204">
            <v>3.7</v>
          </cell>
          <cell r="BK204">
            <v>-4.2</v>
          </cell>
          <cell r="BL204">
            <v>0.5</v>
          </cell>
          <cell r="BM204">
            <v>2.2999999999999998</v>
          </cell>
          <cell r="BN204">
            <v>0.7</v>
          </cell>
          <cell r="BO204">
            <v>0.7</v>
          </cell>
          <cell r="BP204">
            <v>0.4</v>
          </cell>
          <cell r="BQ204">
            <v>6.4</v>
          </cell>
          <cell r="BR204">
            <v>2.1</v>
          </cell>
          <cell r="BS204">
            <v>-0.2</v>
          </cell>
          <cell r="BT204">
            <v>2</v>
          </cell>
          <cell r="BU204">
            <v>0.9</v>
          </cell>
          <cell r="BV204">
            <v>0.1</v>
          </cell>
          <cell r="BW204">
            <v>-1.4</v>
          </cell>
          <cell r="BX204">
            <v>0.2</v>
          </cell>
          <cell r="BY204">
            <v>1.6</v>
          </cell>
          <cell r="BZ204">
            <v>2</v>
          </cell>
          <cell r="CA204">
            <v>1.7</v>
          </cell>
          <cell r="CB204">
            <v>1.7</v>
          </cell>
          <cell r="CC204">
            <v>1.2</v>
          </cell>
          <cell r="CD204">
            <v>1.5</v>
          </cell>
          <cell r="CE204">
            <v>-0.5</v>
          </cell>
          <cell r="CF204">
            <v>2.1</v>
          </cell>
          <cell r="CG204">
            <v>2</v>
          </cell>
          <cell r="CH204">
            <v>2.4</v>
          </cell>
          <cell r="CI204">
            <v>1.7</v>
          </cell>
          <cell r="CJ204">
            <v>2</v>
          </cell>
          <cell r="CK204">
            <v>1.2</v>
          </cell>
          <cell r="CL204">
            <v>1.5</v>
          </cell>
          <cell r="CM204">
            <v>1.3</v>
          </cell>
          <cell r="CN204">
            <v>1.9</v>
          </cell>
          <cell r="CO204">
            <v>-2.7</v>
          </cell>
          <cell r="CP204">
            <v>0.3</v>
          </cell>
          <cell r="CQ204">
            <v>-1.7</v>
          </cell>
          <cell r="CR204">
            <v>-1.7</v>
          </cell>
          <cell r="CS204">
            <v>-1.7</v>
          </cell>
          <cell r="CT204">
            <v>2.2000000000000002</v>
          </cell>
          <cell r="CU204">
            <v>-0.8</v>
          </cell>
          <cell r="CV204">
            <v>-0.2</v>
          </cell>
          <cell r="CW204">
            <v>1.9</v>
          </cell>
          <cell r="CX204">
            <v>0.4</v>
          </cell>
          <cell r="CY204">
            <v>0.5</v>
          </cell>
          <cell r="CZ204">
            <v>1.4</v>
          </cell>
          <cell r="DA204">
            <v>-0.4</v>
          </cell>
          <cell r="DB204">
            <v>-0.9</v>
          </cell>
          <cell r="DC204">
            <v>0.5</v>
          </cell>
          <cell r="DD204">
            <v>0.9</v>
          </cell>
          <cell r="DE204">
            <v>0.5</v>
          </cell>
          <cell r="DF204">
            <v>0.8</v>
          </cell>
          <cell r="DG204">
            <v>6747</v>
          </cell>
          <cell r="DH204">
            <v>1378</v>
          </cell>
          <cell r="DI204">
            <v>8153</v>
          </cell>
          <cell r="DJ204">
            <v>3141</v>
          </cell>
          <cell r="DK204">
            <v>4241</v>
          </cell>
          <cell r="DL204">
            <v>2714</v>
          </cell>
          <cell r="DM204">
            <v>3702</v>
          </cell>
          <cell r="DN204">
            <v>12515</v>
          </cell>
          <cell r="DO204">
            <v>2417</v>
          </cell>
          <cell r="DP204">
            <v>14420</v>
          </cell>
          <cell r="DQ204">
            <v>6419</v>
          </cell>
          <cell r="DR204">
            <v>5649</v>
          </cell>
          <cell r="DS204">
            <v>4330</v>
          </cell>
          <cell r="DT204">
            <v>5184</v>
          </cell>
          <cell r="DU204">
            <v>6565</v>
          </cell>
          <cell r="DV204">
            <v>27971</v>
          </cell>
          <cell r="DW204">
            <v>5581</v>
          </cell>
          <cell r="DX204">
            <v>343</v>
          </cell>
          <cell r="DY204">
            <v>3361</v>
          </cell>
          <cell r="DZ204">
            <v>9317</v>
          </cell>
          <cell r="EA204">
            <v>6193</v>
          </cell>
          <cell r="EB204">
            <v>5703</v>
          </cell>
          <cell r="EC204">
            <v>13323</v>
          </cell>
          <cell r="ED204">
            <v>25207</v>
          </cell>
          <cell r="EE204">
            <v>13788</v>
          </cell>
          <cell r="EF204">
            <v>15457</v>
          </cell>
          <cell r="EG204">
            <v>8992</v>
          </cell>
          <cell r="EH204">
            <v>6215</v>
          </cell>
          <cell r="EI204">
            <v>1763</v>
          </cell>
          <cell r="EJ204">
            <v>2405</v>
          </cell>
          <cell r="EK204">
            <v>7033</v>
          </cell>
          <cell r="EL204">
            <v>17340</v>
          </cell>
          <cell r="EM204">
            <v>3873</v>
          </cell>
          <cell r="EN204">
            <v>4716</v>
          </cell>
          <cell r="EO204">
            <v>8534</v>
          </cell>
          <cell r="EP204">
            <v>18777</v>
          </cell>
          <cell r="EQ204">
            <v>10439</v>
          </cell>
          <cell r="ER204">
            <v>29151</v>
          </cell>
          <cell r="ES204">
            <v>1117</v>
          </cell>
          <cell r="ET204">
            <v>7400</v>
          </cell>
          <cell r="EU204">
            <v>8464</v>
          </cell>
          <cell r="EV204">
            <v>2725</v>
          </cell>
          <cell r="EW204">
            <v>16730</v>
          </cell>
          <cell r="EX204">
            <v>18927</v>
          </cell>
          <cell r="EY204">
            <v>12215</v>
          </cell>
          <cell r="EZ204">
            <v>18477</v>
          </cell>
          <cell r="FA204">
            <v>16888</v>
          </cell>
          <cell r="FB204">
            <v>19546</v>
          </cell>
          <cell r="FC204">
            <v>2687</v>
          </cell>
          <cell r="FD204">
            <v>6519</v>
          </cell>
          <cell r="FE204">
            <v>31539</v>
          </cell>
          <cell r="FF204">
            <v>309286</v>
          </cell>
          <cell r="FG204">
            <v>26744</v>
          </cell>
          <cell r="FH204">
            <v>851</v>
          </cell>
          <cell r="FI204">
            <v>336553</v>
          </cell>
          <cell r="FJ204">
            <v>1.5</v>
          </cell>
          <cell r="FK204">
            <v>-1.7</v>
          </cell>
          <cell r="FL204">
            <v>0.8</v>
          </cell>
          <cell r="FM204">
            <v>-5.3</v>
          </cell>
          <cell r="FN204">
            <v>1.2</v>
          </cell>
          <cell r="FO204">
            <v>8.5</v>
          </cell>
          <cell r="FP204">
            <v>-0.3</v>
          </cell>
          <cell r="FQ204">
            <v>0.3</v>
          </cell>
          <cell r="FR204">
            <v>-0.9</v>
          </cell>
          <cell r="FS204">
            <v>0.2</v>
          </cell>
          <cell r="FT204">
            <v>-1.3</v>
          </cell>
          <cell r="FU204">
            <v>1.7</v>
          </cell>
          <cell r="FV204">
            <v>6.2</v>
          </cell>
          <cell r="FW204">
            <v>0.5</v>
          </cell>
          <cell r="FX204">
            <v>-4.0999999999999996</v>
          </cell>
          <cell r="FY204">
            <v>0.7</v>
          </cell>
          <cell r="FZ204">
            <v>-0.9</v>
          </cell>
          <cell r="GA204">
            <v>1.4</v>
          </cell>
          <cell r="GB204">
            <v>-2.4</v>
          </cell>
          <cell r="GC204">
            <v>-1</v>
          </cell>
          <cell r="GD204">
            <v>-1.6</v>
          </cell>
          <cell r="GE204">
            <v>-0.4</v>
          </cell>
          <cell r="GF204">
            <v>-1.2</v>
          </cell>
          <cell r="GG204">
            <v>-1.2</v>
          </cell>
          <cell r="GH204">
            <v>1.9</v>
          </cell>
          <cell r="GI204">
            <v>2.1</v>
          </cell>
          <cell r="GJ204">
            <v>-1</v>
          </cell>
          <cell r="GK204">
            <v>2</v>
          </cell>
          <cell r="GL204">
            <v>0.3</v>
          </cell>
          <cell r="GM204">
            <v>2.6</v>
          </cell>
          <cell r="GN204">
            <v>4</v>
          </cell>
          <cell r="GO204">
            <v>2.8</v>
          </cell>
          <cell r="GP204">
            <v>-0.3</v>
          </cell>
          <cell r="GQ204">
            <v>7.7</v>
          </cell>
          <cell r="GR204">
            <v>3.8</v>
          </cell>
          <cell r="GS204">
            <v>2</v>
          </cell>
          <cell r="GT204">
            <v>-3.6</v>
          </cell>
          <cell r="GU204">
            <v>0.1</v>
          </cell>
          <cell r="GV204">
            <v>-7.7</v>
          </cell>
          <cell r="GW204">
            <v>4.9000000000000004</v>
          </cell>
          <cell r="GX204">
            <v>2.7</v>
          </cell>
          <cell r="GY204">
            <v>0.5</v>
          </cell>
          <cell r="GZ204">
            <v>-3.2</v>
          </cell>
          <cell r="HA204">
            <v>-2.4</v>
          </cell>
          <cell r="HB204">
            <v>0.6</v>
          </cell>
          <cell r="HC204">
            <v>0.7</v>
          </cell>
          <cell r="HD204">
            <v>0.5</v>
          </cell>
          <cell r="HE204">
            <v>1.1000000000000001</v>
          </cell>
          <cell r="HF204">
            <v>-0.9</v>
          </cell>
          <cell r="HG204">
            <v>-4.5</v>
          </cell>
          <cell r="HH204">
            <v>0.5</v>
          </cell>
          <cell r="HI204">
            <v>0.4</v>
          </cell>
          <cell r="HJ204">
            <v>0.6</v>
          </cell>
          <cell r="HK204">
            <v>0.5</v>
          </cell>
          <cell r="HL204">
            <v>11956</v>
          </cell>
          <cell r="HM204">
            <v>1383</v>
          </cell>
          <cell r="HN204">
            <v>13233</v>
          </cell>
          <cell r="HO204">
            <v>3203</v>
          </cell>
          <cell r="HP204">
            <v>4325</v>
          </cell>
          <cell r="HQ204">
            <v>2767</v>
          </cell>
          <cell r="HR204">
            <v>3856</v>
          </cell>
          <cell r="HS204">
            <v>12835</v>
          </cell>
          <cell r="HT204">
            <v>2415</v>
          </cell>
          <cell r="HU204">
            <v>14754</v>
          </cell>
          <cell r="HV204">
            <v>6756</v>
          </cell>
          <cell r="HW204">
            <v>5648</v>
          </cell>
          <cell r="HX204">
            <v>4401</v>
          </cell>
          <cell r="HY204">
            <v>5256</v>
          </cell>
          <cell r="HZ204">
            <v>6856</v>
          </cell>
          <cell r="IA204">
            <v>28707</v>
          </cell>
          <cell r="IB204">
            <v>5448</v>
          </cell>
          <cell r="IC204">
            <v>319</v>
          </cell>
          <cell r="ID204">
            <v>3337</v>
          </cell>
          <cell r="IE204">
            <v>9114</v>
          </cell>
          <cell r="IF204">
            <v>6505</v>
          </cell>
          <cell r="IG204">
            <v>5914</v>
          </cell>
          <cell r="IH204">
            <v>14165</v>
          </cell>
          <cell r="II204">
            <v>26600</v>
          </cell>
          <cell r="IJ204">
            <v>14290</v>
          </cell>
          <cell r="IK204">
            <v>16895</v>
          </cell>
          <cell r="IL204">
            <v>9424</v>
          </cell>
          <cell r="IM204">
            <v>6536</v>
          </cell>
          <cell r="IN204">
            <v>1821</v>
          </cell>
          <cell r="IO204">
            <v>2435</v>
          </cell>
          <cell r="IP204">
            <v>7452</v>
          </cell>
          <cell r="IQ204">
            <v>18184</v>
          </cell>
        </row>
        <row r="205">
          <cell r="B205">
            <v>7588</v>
          </cell>
          <cell r="C205">
            <v>1358</v>
          </cell>
          <cell r="D205">
            <v>8948</v>
          </cell>
          <cell r="E205">
            <v>3234</v>
          </cell>
          <cell r="F205">
            <v>4294</v>
          </cell>
          <cell r="G205">
            <v>2860</v>
          </cell>
          <cell r="H205">
            <v>3571</v>
          </cell>
          <cell r="I205">
            <v>12663</v>
          </cell>
          <cell r="J205">
            <v>2447</v>
          </cell>
          <cell r="K205">
            <v>14590</v>
          </cell>
          <cell r="L205">
            <v>6413</v>
          </cell>
          <cell r="M205">
            <v>5714</v>
          </cell>
          <cell r="N205">
            <v>4589</v>
          </cell>
          <cell r="O205">
            <v>5496</v>
          </cell>
          <cell r="P205">
            <v>6755</v>
          </cell>
          <cell r="Q205">
            <v>28873</v>
          </cell>
          <cell r="R205">
            <v>5607</v>
          </cell>
          <cell r="S205">
            <v>341</v>
          </cell>
          <cell r="T205">
            <v>3354</v>
          </cell>
          <cell r="U205">
            <v>9324</v>
          </cell>
          <cell r="V205">
            <v>6365</v>
          </cell>
          <cell r="W205">
            <v>6001</v>
          </cell>
          <cell r="X205">
            <v>13830</v>
          </cell>
          <cell r="Y205">
            <v>26114</v>
          </cell>
          <cell r="Z205">
            <v>13933</v>
          </cell>
          <cell r="AA205">
            <v>15452</v>
          </cell>
          <cell r="AB205">
            <v>8889</v>
          </cell>
          <cell r="AC205">
            <v>6292</v>
          </cell>
          <cell r="AD205">
            <v>1796</v>
          </cell>
          <cell r="AE205">
            <v>2488</v>
          </cell>
          <cell r="AF205">
            <v>7090</v>
          </cell>
          <cell r="AG205">
            <v>17578</v>
          </cell>
          <cell r="AH205">
            <v>3970</v>
          </cell>
          <cell r="AI205">
            <v>4572</v>
          </cell>
          <cell r="AJ205">
            <v>8559</v>
          </cell>
          <cell r="AK205">
            <v>19101</v>
          </cell>
          <cell r="AL205">
            <v>10025</v>
          </cell>
          <cell r="AM205">
            <v>29105</v>
          </cell>
          <cell r="AN205">
            <v>1263</v>
          </cell>
          <cell r="AO205">
            <v>6963</v>
          </cell>
          <cell r="AP205">
            <v>8217</v>
          </cell>
          <cell r="AQ205">
            <v>2780</v>
          </cell>
          <cell r="AR205">
            <v>16925</v>
          </cell>
          <cell r="AS205">
            <v>19185</v>
          </cell>
          <cell r="AT205">
            <v>12639</v>
          </cell>
          <cell r="AU205">
            <v>18523</v>
          </cell>
          <cell r="AV205">
            <v>16973</v>
          </cell>
          <cell r="AW205">
            <v>19932</v>
          </cell>
          <cell r="AX205">
            <v>2759</v>
          </cell>
          <cell r="AY205">
            <v>6463</v>
          </cell>
          <cell r="AZ205">
            <v>31747</v>
          </cell>
          <cell r="BA205">
            <v>313499</v>
          </cell>
          <cell r="BB205">
            <v>26765</v>
          </cell>
          <cell r="BC205">
            <v>-87</v>
          </cell>
          <cell r="BD205">
            <v>339859</v>
          </cell>
          <cell r="BE205">
            <v>8.9</v>
          </cell>
          <cell r="BF205">
            <v>-0.8</v>
          </cell>
          <cell r="BG205">
            <v>7</v>
          </cell>
          <cell r="BH205">
            <v>0</v>
          </cell>
          <cell r="BI205">
            <v>1.3</v>
          </cell>
          <cell r="BJ205">
            <v>6.4</v>
          </cell>
          <cell r="BK205">
            <v>-2.5</v>
          </cell>
          <cell r="BL205">
            <v>0.9</v>
          </cell>
          <cell r="BM205">
            <v>0</v>
          </cell>
          <cell r="BN205">
            <v>0.8</v>
          </cell>
          <cell r="BO205">
            <v>-0.2</v>
          </cell>
          <cell r="BP205">
            <v>0.8</v>
          </cell>
          <cell r="BQ205">
            <v>6</v>
          </cell>
          <cell r="BR205">
            <v>4.3</v>
          </cell>
          <cell r="BS205">
            <v>-0.4</v>
          </cell>
          <cell r="BT205">
            <v>2.4</v>
          </cell>
          <cell r="BU205">
            <v>0.4</v>
          </cell>
          <cell r="BV205">
            <v>-0.2</v>
          </cell>
          <cell r="BW205">
            <v>-0.4</v>
          </cell>
          <cell r="BX205">
            <v>0</v>
          </cell>
          <cell r="BY205">
            <v>1.8</v>
          </cell>
          <cell r="BZ205">
            <v>2.1</v>
          </cell>
          <cell r="CA205">
            <v>3</v>
          </cell>
          <cell r="CB205">
            <v>2.4</v>
          </cell>
          <cell r="CC205">
            <v>1.4</v>
          </cell>
          <cell r="CD205">
            <v>0.6</v>
          </cell>
          <cell r="CE205">
            <v>-1.3</v>
          </cell>
          <cell r="CF205">
            <v>1.2</v>
          </cell>
          <cell r="CG205">
            <v>0.4</v>
          </cell>
          <cell r="CH205">
            <v>3.1</v>
          </cell>
          <cell r="CI205">
            <v>1.7</v>
          </cell>
          <cell r="CJ205">
            <v>1.6</v>
          </cell>
          <cell r="CK205">
            <v>1.4</v>
          </cell>
          <cell r="CL205">
            <v>1.5</v>
          </cell>
          <cell r="CM205">
            <v>1.3</v>
          </cell>
          <cell r="CN205">
            <v>1.9</v>
          </cell>
          <cell r="CO205">
            <v>-4.0999999999999996</v>
          </cell>
          <cell r="CP205">
            <v>-0.1</v>
          </cell>
          <cell r="CQ205">
            <v>6.8</v>
          </cell>
          <cell r="CR205">
            <v>-1.4</v>
          </cell>
          <cell r="CS205">
            <v>0.1</v>
          </cell>
          <cell r="CT205">
            <v>1</v>
          </cell>
          <cell r="CU205">
            <v>0</v>
          </cell>
          <cell r="CV205">
            <v>0.2</v>
          </cell>
          <cell r="CW205">
            <v>2.6</v>
          </cell>
          <cell r="CX205">
            <v>0.5</v>
          </cell>
          <cell r="CY205">
            <v>0.5</v>
          </cell>
          <cell r="CZ205">
            <v>1.7</v>
          </cell>
          <cell r="DA205">
            <v>1.5</v>
          </cell>
          <cell r="DB205">
            <v>-0.8</v>
          </cell>
          <cell r="DC205">
            <v>0.7</v>
          </cell>
          <cell r="DD205">
            <v>1.1000000000000001</v>
          </cell>
          <cell r="DE205">
            <v>0.1</v>
          </cell>
          <cell r="DF205">
            <v>0.8</v>
          </cell>
          <cell r="DG205">
            <v>7769</v>
          </cell>
          <cell r="DH205">
            <v>1354</v>
          </cell>
          <cell r="DI205">
            <v>9120</v>
          </cell>
          <cell r="DJ205">
            <v>3227</v>
          </cell>
          <cell r="DK205">
            <v>4294</v>
          </cell>
          <cell r="DL205">
            <v>2880</v>
          </cell>
          <cell r="DM205">
            <v>3580</v>
          </cell>
          <cell r="DN205">
            <v>12689</v>
          </cell>
          <cell r="DO205">
            <v>2471</v>
          </cell>
          <cell r="DP205">
            <v>14630</v>
          </cell>
          <cell r="DQ205">
            <v>6371</v>
          </cell>
          <cell r="DR205">
            <v>5754</v>
          </cell>
          <cell r="DS205">
            <v>4622</v>
          </cell>
          <cell r="DT205">
            <v>5473</v>
          </cell>
          <cell r="DU205">
            <v>6714</v>
          </cell>
          <cell r="DV205">
            <v>28911</v>
          </cell>
          <cell r="DW205">
            <v>5640</v>
          </cell>
          <cell r="DX205">
            <v>343</v>
          </cell>
          <cell r="DY205">
            <v>3318</v>
          </cell>
          <cell r="DZ205">
            <v>9339</v>
          </cell>
          <cell r="EA205">
            <v>6320</v>
          </cell>
          <cell r="EB205">
            <v>6352</v>
          </cell>
          <cell r="EC205">
            <v>13573</v>
          </cell>
          <cell r="ED205">
            <v>26071</v>
          </cell>
          <cell r="EE205">
            <v>13883</v>
          </cell>
          <cell r="EF205">
            <v>15430</v>
          </cell>
          <cell r="EG205">
            <v>8910</v>
          </cell>
          <cell r="EH205">
            <v>6284</v>
          </cell>
          <cell r="EI205">
            <v>1848</v>
          </cell>
          <cell r="EJ205">
            <v>2515</v>
          </cell>
          <cell r="EK205">
            <v>6974</v>
          </cell>
          <cell r="EL205">
            <v>17519</v>
          </cell>
          <cell r="EM205">
            <v>3993</v>
          </cell>
          <cell r="EN205">
            <v>4605</v>
          </cell>
          <cell r="EO205">
            <v>8552</v>
          </cell>
          <cell r="EP205">
            <v>19071</v>
          </cell>
          <cell r="EQ205">
            <v>9993</v>
          </cell>
          <cell r="ER205">
            <v>29043</v>
          </cell>
          <cell r="ES205">
            <v>1294</v>
          </cell>
          <cell r="ET205">
            <v>6665</v>
          </cell>
          <cell r="EU205">
            <v>7965</v>
          </cell>
          <cell r="EV205">
            <v>2796</v>
          </cell>
          <cell r="EW205">
            <v>16813</v>
          </cell>
          <cell r="EX205">
            <v>19110</v>
          </cell>
          <cell r="EY205">
            <v>12574</v>
          </cell>
          <cell r="EZ205">
            <v>18656</v>
          </cell>
          <cell r="FA205">
            <v>16978</v>
          </cell>
          <cell r="FB205">
            <v>19978</v>
          </cell>
          <cell r="FC205">
            <v>2802</v>
          </cell>
          <cell r="FD205">
            <v>6339</v>
          </cell>
          <cell r="FE205">
            <v>31741</v>
          </cell>
          <cell r="FF205">
            <v>313268</v>
          </cell>
          <cell r="FG205">
            <v>26892</v>
          </cell>
          <cell r="FH205">
            <v>659</v>
          </cell>
          <cell r="FI205">
            <v>340492</v>
          </cell>
          <cell r="FJ205">
            <v>15.1</v>
          </cell>
          <cell r="FK205">
            <v>-1.7</v>
          </cell>
          <cell r="FL205">
            <v>11.9</v>
          </cell>
          <cell r="FM205">
            <v>2.7</v>
          </cell>
          <cell r="FN205">
            <v>1.3</v>
          </cell>
          <cell r="FO205">
            <v>6.1</v>
          </cell>
          <cell r="FP205">
            <v>-3.3</v>
          </cell>
          <cell r="FQ205">
            <v>1.4</v>
          </cell>
          <cell r="FR205">
            <v>2.2000000000000002</v>
          </cell>
          <cell r="FS205">
            <v>1.5</v>
          </cell>
          <cell r="FT205">
            <v>-0.7</v>
          </cell>
          <cell r="FU205">
            <v>1.9</v>
          </cell>
          <cell r="FV205">
            <v>6.8</v>
          </cell>
          <cell r="FW205">
            <v>5.6</v>
          </cell>
          <cell r="FX205">
            <v>2.2999999999999998</v>
          </cell>
          <cell r="FY205">
            <v>3.4</v>
          </cell>
          <cell r="FZ205">
            <v>1.1000000000000001</v>
          </cell>
          <cell r="GA205">
            <v>-0.1</v>
          </cell>
          <cell r="GB205">
            <v>-1.3</v>
          </cell>
          <cell r="GC205">
            <v>0.2</v>
          </cell>
          <cell r="GD205">
            <v>2.1</v>
          </cell>
          <cell r="GE205">
            <v>11.4</v>
          </cell>
          <cell r="GF205">
            <v>1.9</v>
          </cell>
          <cell r="GG205">
            <v>3.4</v>
          </cell>
          <cell r="GH205">
            <v>0.7</v>
          </cell>
          <cell r="GI205">
            <v>-0.2</v>
          </cell>
          <cell r="GJ205">
            <v>-0.9</v>
          </cell>
          <cell r="GK205">
            <v>1.1000000000000001</v>
          </cell>
          <cell r="GL205">
            <v>4.8</v>
          </cell>
          <cell r="GM205">
            <v>4.5999999999999996</v>
          </cell>
          <cell r="GN205">
            <v>-0.8</v>
          </cell>
          <cell r="GO205">
            <v>1</v>
          </cell>
          <cell r="GP205">
            <v>3.1</v>
          </cell>
          <cell r="GQ205">
            <v>-2.4</v>
          </cell>
          <cell r="GR205">
            <v>0.2</v>
          </cell>
          <cell r="GS205">
            <v>1.6</v>
          </cell>
          <cell r="GT205">
            <v>-4.3</v>
          </cell>
          <cell r="GU205">
            <v>-0.4</v>
          </cell>
          <cell r="GV205">
            <v>15.9</v>
          </cell>
          <cell r="GW205">
            <v>-9.9</v>
          </cell>
          <cell r="GX205">
            <v>-5.9</v>
          </cell>
          <cell r="GY205">
            <v>2.6</v>
          </cell>
          <cell r="GZ205">
            <v>0.5</v>
          </cell>
          <cell r="HA205">
            <v>1</v>
          </cell>
          <cell r="HB205">
            <v>2.9</v>
          </cell>
          <cell r="HC205">
            <v>1</v>
          </cell>
          <cell r="HD205">
            <v>0.5</v>
          </cell>
          <cell r="HE205">
            <v>2.2000000000000002</v>
          </cell>
          <cell r="HF205">
            <v>4.3</v>
          </cell>
          <cell r="HG205">
            <v>-2.8</v>
          </cell>
          <cell r="HH205">
            <v>0.6</v>
          </cell>
          <cell r="HI205">
            <v>1.3</v>
          </cell>
          <cell r="HJ205">
            <v>0.6</v>
          </cell>
          <cell r="HK205">
            <v>1.2</v>
          </cell>
          <cell r="HL205">
            <v>7301</v>
          </cell>
          <cell r="HM205">
            <v>1353</v>
          </cell>
          <cell r="HN205">
            <v>8659</v>
          </cell>
          <cell r="HO205">
            <v>2924</v>
          </cell>
          <cell r="HP205">
            <v>3999</v>
          </cell>
          <cell r="HQ205">
            <v>2691</v>
          </cell>
          <cell r="HR205">
            <v>3421</v>
          </cell>
          <cell r="HS205">
            <v>11822</v>
          </cell>
          <cell r="HT205">
            <v>2398</v>
          </cell>
          <cell r="HU205">
            <v>13682</v>
          </cell>
          <cell r="HV205">
            <v>6333</v>
          </cell>
          <cell r="HW205">
            <v>5621</v>
          </cell>
          <cell r="HX205">
            <v>4466</v>
          </cell>
          <cell r="HY205">
            <v>5040</v>
          </cell>
          <cell r="HZ205">
            <v>6227</v>
          </cell>
          <cell r="IA205">
            <v>27690</v>
          </cell>
          <cell r="IB205">
            <v>5693</v>
          </cell>
          <cell r="IC205">
            <v>303</v>
          </cell>
          <cell r="ID205">
            <v>3343</v>
          </cell>
          <cell r="IE205">
            <v>9352</v>
          </cell>
          <cell r="IF205">
            <v>5722</v>
          </cell>
          <cell r="IG205">
            <v>5921</v>
          </cell>
          <cell r="IH205">
            <v>12649</v>
          </cell>
          <cell r="II205">
            <v>24131</v>
          </cell>
          <cell r="IJ205">
            <v>13326</v>
          </cell>
          <cell r="IK205">
            <v>14923</v>
          </cell>
          <cell r="IL205">
            <v>8780</v>
          </cell>
          <cell r="IM205">
            <v>5989</v>
          </cell>
          <cell r="IN205">
            <v>1786</v>
          </cell>
          <cell r="IO205">
            <v>2445</v>
          </cell>
          <cell r="IP205">
            <v>6761</v>
          </cell>
          <cell r="IQ205">
            <v>16896</v>
          </cell>
        </row>
        <row r="206">
          <cell r="B206">
            <v>8314</v>
          </cell>
          <cell r="C206">
            <v>1381</v>
          </cell>
          <cell r="D206">
            <v>9686</v>
          </cell>
          <cell r="E206">
            <v>3228</v>
          </cell>
          <cell r="F206">
            <v>4401</v>
          </cell>
          <cell r="G206">
            <v>2966</v>
          </cell>
          <cell r="H206">
            <v>3535</v>
          </cell>
          <cell r="I206">
            <v>12811</v>
          </cell>
          <cell r="J206">
            <v>2418</v>
          </cell>
          <cell r="K206">
            <v>14730</v>
          </cell>
          <cell r="L206">
            <v>6321</v>
          </cell>
          <cell r="M206">
            <v>5673</v>
          </cell>
          <cell r="N206">
            <v>4707</v>
          </cell>
          <cell r="O206">
            <v>5650</v>
          </cell>
          <cell r="P206">
            <v>6707</v>
          </cell>
          <cell r="Q206">
            <v>29099</v>
          </cell>
          <cell r="R206">
            <v>5655</v>
          </cell>
          <cell r="S206">
            <v>341</v>
          </cell>
          <cell r="T206">
            <v>3346</v>
          </cell>
          <cell r="U206">
            <v>9331</v>
          </cell>
          <cell r="V206">
            <v>6457</v>
          </cell>
          <cell r="W206">
            <v>6055</v>
          </cell>
          <cell r="X206">
            <v>14356</v>
          </cell>
          <cell r="Y206">
            <v>26793</v>
          </cell>
          <cell r="Z206">
            <v>14045</v>
          </cell>
          <cell r="AA206">
            <v>15391</v>
          </cell>
          <cell r="AB206">
            <v>8765</v>
          </cell>
          <cell r="AC206">
            <v>6225</v>
          </cell>
          <cell r="AD206">
            <v>1768</v>
          </cell>
          <cell r="AE206">
            <v>2545</v>
          </cell>
          <cell r="AF206">
            <v>7212</v>
          </cell>
          <cell r="AG206">
            <v>17674</v>
          </cell>
          <cell r="AH206">
            <v>4010</v>
          </cell>
          <cell r="AI206">
            <v>4629</v>
          </cell>
          <cell r="AJ206">
            <v>8605</v>
          </cell>
          <cell r="AK206">
            <v>19523</v>
          </cell>
          <cell r="AL206">
            <v>9512</v>
          </cell>
          <cell r="AM206">
            <v>29083</v>
          </cell>
          <cell r="AN206">
            <v>1375</v>
          </cell>
          <cell r="AO206">
            <v>7008</v>
          </cell>
          <cell r="AP206">
            <v>8408</v>
          </cell>
          <cell r="AQ206">
            <v>2785</v>
          </cell>
          <cell r="AR206">
            <v>17339</v>
          </cell>
          <cell r="AS206">
            <v>19565</v>
          </cell>
          <cell r="AT206">
            <v>12723</v>
          </cell>
          <cell r="AU206">
            <v>18780</v>
          </cell>
          <cell r="AV206">
            <v>17086</v>
          </cell>
          <cell r="AW206">
            <v>20299</v>
          </cell>
          <cell r="AX206">
            <v>2834</v>
          </cell>
          <cell r="AY206">
            <v>6482</v>
          </cell>
          <cell r="AZ206">
            <v>31999</v>
          </cell>
          <cell r="BA206">
            <v>317019</v>
          </cell>
          <cell r="BB206">
            <v>26590</v>
          </cell>
          <cell r="BC206">
            <v>-1667</v>
          </cell>
          <cell r="BD206">
            <v>341642</v>
          </cell>
          <cell r="BE206">
            <v>9.6</v>
          </cell>
          <cell r="BF206">
            <v>1.7</v>
          </cell>
          <cell r="BG206">
            <v>8.1999999999999993</v>
          </cell>
          <cell r="BH206">
            <v>-0.2</v>
          </cell>
          <cell r="BI206">
            <v>2.5</v>
          </cell>
          <cell r="BJ206">
            <v>3.7</v>
          </cell>
          <cell r="BK206">
            <v>-1</v>
          </cell>
          <cell r="BL206">
            <v>1.2</v>
          </cell>
          <cell r="BM206">
            <v>-1.2</v>
          </cell>
          <cell r="BN206">
            <v>1</v>
          </cell>
          <cell r="BO206">
            <v>-1.4</v>
          </cell>
          <cell r="BP206">
            <v>-0.7</v>
          </cell>
          <cell r="BQ206">
            <v>2.6</v>
          </cell>
          <cell r="BR206">
            <v>2.8</v>
          </cell>
          <cell r="BS206">
            <v>-0.7</v>
          </cell>
          <cell r="BT206">
            <v>0.8</v>
          </cell>
          <cell r="BU206">
            <v>0.9</v>
          </cell>
          <cell r="BV206">
            <v>0</v>
          </cell>
          <cell r="BW206">
            <v>-0.2</v>
          </cell>
          <cell r="BX206">
            <v>0.1</v>
          </cell>
          <cell r="BY206">
            <v>1.4</v>
          </cell>
          <cell r="BZ206">
            <v>0.9</v>
          </cell>
          <cell r="CA206">
            <v>3.8</v>
          </cell>
          <cell r="CB206">
            <v>2.6</v>
          </cell>
          <cell r="CC206">
            <v>0.8</v>
          </cell>
          <cell r="CD206">
            <v>-0.4</v>
          </cell>
          <cell r="CE206">
            <v>-1.4</v>
          </cell>
          <cell r="CF206">
            <v>-1.1000000000000001</v>
          </cell>
          <cell r="CG206">
            <v>-1.5</v>
          </cell>
          <cell r="CH206">
            <v>2.2999999999999998</v>
          </cell>
          <cell r="CI206">
            <v>1.7</v>
          </cell>
          <cell r="CJ206">
            <v>0.5</v>
          </cell>
          <cell r="CK206">
            <v>1</v>
          </cell>
          <cell r="CL206">
            <v>1.2</v>
          </cell>
          <cell r="CM206">
            <v>0.5</v>
          </cell>
          <cell r="CN206">
            <v>2.2000000000000002</v>
          </cell>
          <cell r="CO206">
            <v>-5.0999999999999996</v>
          </cell>
          <cell r="CP206">
            <v>-0.1</v>
          </cell>
          <cell r="CQ206">
            <v>8.9</v>
          </cell>
          <cell r="CR206">
            <v>0.6</v>
          </cell>
          <cell r="CS206">
            <v>2.2999999999999998</v>
          </cell>
          <cell r="CT206">
            <v>0.2</v>
          </cell>
          <cell r="CU206">
            <v>2.4</v>
          </cell>
          <cell r="CV206">
            <v>2</v>
          </cell>
          <cell r="CW206">
            <v>0.7</v>
          </cell>
          <cell r="CX206">
            <v>1.4</v>
          </cell>
          <cell r="CY206">
            <v>0.7</v>
          </cell>
          <cell r="CZ206">
            <v>1.8</v>
          </cell>
          <cell r="DA206">
            <v>2.7</v>
          </cell>
          <cell r="DB206">
            <v>0.3</v>
          </cell>
          <cell r="DC206">
            <v>0.8</v>
          </cell>
          <cell r="DD206">
            <v>1.1000000000000001</v>
          </cell>
          <cell r="DE206">
            <v>-0.7</v>
          </cell>
          <cell r="DF206">
            <v>0.5</v>
          </cell>
          <cell r="DG206">
            <v>8205</v>
          </cell>
          <cell r="DH206">
            <v>1336</v>
          </cell>
          <cell r="DI206">
            <v>9527</v>
          </cell>
          <cell r="DJ206">
            <v>3298</v>
          </cell>
          <cell r="DK206">
            <v>4401</v>
          </cell>
          <cell r="DL206">
            <v>2915</v>
          </cell>
          <cell r="DM206">
            <v>3483</v>
          </cell>
          <cell r="DN206">
            <v>12795</v>
          </cell>
          <cell r="DO206">
            <v>2411</v>
          </cell>
          <cell r="DP206">
            <v>14710</v>
          </cell>
          <cell r="DQ206">
            <v>6374</v>
          </cell>
          <cell r="DR206">
            <v>5668</v>
          </cell>
          <cell r="DS206">
            <v>4690</v>
          </cell>
          <cell r="DT206">
            <v>5794</v>
          </cell>
          <cell r="DU206">
            <v>6761</v>
          </cell>
          <cell r="DV206">
            <v>29315</v>
          </cell>
          <cell r="DW206">
            <v>5504</v>
          </cell>
          <cell r="DX206">
            <v>333</v>
          </cell>
          <cell r="DY206">
            <v>3383</v>
          </cell>
          <cell r="DZ206">
            <v>9219</v>
          </cell>
          <cell r="EA206">
            <v>6530</v>
          </cell>
          <cell r="EB206">
            <v>5768</v>
          </cell>
          <cell r="EC206">
            <v>14692</v>
          </cell>
          <cell r="ED206">
            <v>26969</v>
          </cell>
          <cell r="EE206">
            <v>14096</v>
          </cell>
          <cell r="EF206">
            <v>15403</v>
          </cell>
          <cell r="EG206">
            <v>8737</v>
          </cell>
          <cell r="EH206">
            <v>6327</v>
          </cell>
          <cell r="EI206">
            <v>1750</v>
          </cell>
          <cell r="EJ206">
            <v>2518</v>
          </cell>
          <cell r="EK206">
            <v>7492</v>
          </cell>
          <cell r="EL206">
            <v>18038</v>
          </cell>
          <cell r="EM206">
            <v>4018</v>
          </cell>
          <cell r="EN206">
            <v>4640</v>
          </cell>
          <cell r="EO206">
            <v>8612</v>
          </cell>
          <cell r="EP206">
            <v>19479</v>
          </cell>
          <cell r="EQ206">
            <v>9537</v>
          </cell>
          <cell r="ER206">
            <v>29031</v>
          </cell>
          <cell r="ES206">
            <v>1367</v>
          </cell>
          <cell r="ET206">
            <v>6996</v>
          </cell>
          <cell r="EU206">
            <v>8375</v>
          </cell>
          <cell r="EV206">
            <v>2834</v>
          </cell>
          <cell r="EW206">
            <v>17237</v>
          </cell>
          <cell r="EX206">
            <v>19544</v>
          </cell>
          <cell r="EY206">
            <v>12816</v>
          </cell>
          <cell r="EZ206">
            <v>18414</v>
          </cell>
          <cell r="FA206">
            <v>17065</v>
          </cell>
          <cell r="FB206">
            <v>20279</v>
          </cell>
          <cell r="FC206">
            <v>2786</v>
          </cell>
          <cell r="FD206">
            <v>6495</v>
          </cell>
          <cell r="FE206">
            <v>31983</v>
          </cell>
          <cell r="FF206">
            <v>317097</v>
          </cell>
          <cell r="FG206">
            <v>26525</v>
          </cell>
          <cell r="FH206">
            <v>-2146</v>
          </cell>
          <cell r="FI206">
            <v>341182</v>
          </cell>
          <cell r="FJ206">
            <v>5.6</v>
          </cell>
          <cell r="FK206">
            <v>-1.4</v>
          </cell>
          <cell r="FL206">
            <v>4.5</v>
          </cell>
          <cell r="FM206">
            <v>2.2000000000000002</v>
          </cell>
          <cell r="FN206">
            <v>2.5</v>
          </cell>
          <cell r="FO206">
            <v>1.2</v>
          </cell>
          <cell r="FP206">
            <v>-2.7</v>
          </cell>
          <cell r="FQ206">
            <v>0.8</v>
          </cell>
          <cell r="FR206">
            <v>-2.4</v>
          </cell>
          <cell r="FS206">
            <v>0.5</v>
          </cell>
          <cell r="FT206">
            <v>0</v>
          </cell>
          <cell r="FU206">
            <v>-1.5</v>
          </cell>
          <cell r="FV206">
            <v>1.5</v>
          </cell>
          <cell r="FW206">
            <v>5.9</v>
          </cell>
          <cell r="FX206">
            <v>0.7</v>
          </cell>
          <cell r="FY206">
            <v>1.4</v>
          </cell>
          <cell r="FZ206">
            <v>-2.4</v>
          </cell>
          <cell r="GA206">
            <v>-2.7</v>
          </cell>
          <cell r="GB206">
            <v>2</v>
          </cell>
          <cell r="GC206">
            <v>-1.3</v>
          </cell>
          <cell r="GD206">
            <v>3.3</v>
          </cell>
          <cell r="GE206">
            <v>-9.1999999999999993</v>
          </cell>
          <cell r="GF206">
            <v>8.1999999999999993</v>
          </cell>
          <cell r="GG206">
            <v>3.4</v>
          </cell>
          <cell r="GH206">
            <v>1.5</v>
          </cell>
          <cell r="GI206">
            <v>-0.2</v>
          </cell>
          <cell r="GJ206">
            <v>-1.9</v>
          </cell>
          <cell r="GK206">
            <v>0.7</v>
          </cell>
          <cell r="GL206">
            <v>-5.3</v>
          </cell>
          <cell r="GM206">
            <v>0.1</v>
          </cell>
          <cell r="GN206">
            <v>7.4</v>
          </cell>
          <cell r="GO206">
            <v>3</v>
          </cell>
          <cell r="GP206">
            <v>0.6</v>
          </cell>
          <cell r="GQ206">
            <v>0.8</v>
          </cell>
          <cell r="GR206">
            <v>0.7</v>
          </cell>
          <cell r="GS206">
            <v>2.1</v>
          </cell>
          <cell r="GT206">
            <v>-4.5999999999999996</v>
          </cell>
          <cell r="GU206">
            <v>0</v>
          </cell>
          <cell r="GV206">
            <v>5.6</v>
          </cell>
          <cell r="GW206">
            <v>5</v>
          </cell>
          <cell r="GX206">
            <v>5.2</v>
          </cell>
          <cell r="GY206">
            <v>1.3</v>
          </cell>
          <cell r="GZ206">
            <v>2.5</v>
          </cell>
          <cell r="HA206">
            <v>2.2999999999999998</v>
          </cell>
          <cell r="HB206">
            <v>1.9</v>
          </cell>
          <cell r="HC206">
            <v>-1.3</v>
          </cell>
          <cell r="HD206">
            <v>0.5</v>
          </cell>
          <cell r="HE206">
            <v>1.5</v>
          </cell>
          <cell r="HF206">
            <v>-0.6</v>
          </cell>
          <cell r="HG206">
            <v>2.5</v>
          </cell>
          <cell r="HH206">
            <v>0.8</v>
          </cell>
          <cell r="HI206">
            <v>1.2</v>
          </cell>
          <cell r="HJ206">
            <v>-1.4</v>
          </cell>
          <cell r="HK206">
            <v>0.2</v>
          </cell>
          <cell r="HL206">
            <v>5649</v>
          </cell>
          <cell r="HM206">
            <v>1329</v>
          </cell>
          <cell r="HN206">
            <v>7018</v>
          </cell>
          <cell r="HO206">
            <v>3445</v>
          </cell>
          <cell r="HP206">
            <v>4451</v>
          </cell>
          <cell r="HQ206">
            <v>3002</v>
          </cell>
          <cell r="HR206">
            <v>3468</v>
          </cell>
          <cell r="HS206">
            <v>13030</v>
          </cell>
          <cell r="HT206">
            <v>2518</v>
          </cell>
          <cell r="HU206">
            <v>15015</v>
          </cell>
          <cell r="HV206">
            <v>6074</v>
          </cell>
          <cell r="HW206">
            <v>5636</v>
          </cell>
          <cell r="HX206">
            <v>4682</v>
          </cell>
          <cell r="HY206">
            <v>5931</v>
          </cell>
          <cell r="HZ206">
            <v>6707</v>
          </cell>
          <cell r="IA206">
            <v>29090</v>
          </cell>
          <cell r="IB206">
            <v>5431</v>
          </cell>
          <cell r="IC206">
            <v>356</v>
          </cell>
          <cell r="ID206">
            <v>3381</v>
          </cell>
          <cell r="IE206">
            <v>9185</v>
          </cell>
          <cell r="IF206">
            <v>6557</v>
          </cell>
          <cell r="IG206">
            <v>6194</v>
          </cell>
          <cell r="IH206">
            <v>14568</v>
          </cell>
          <cell r="II206">
            <v>27212</v>
          </cell>
          <cell r="IJ206">
            <v>14048</v>
          </cell>
          <cell r="IK206">
            <v>14847</v>
          </cell>
          <cell r="IL206">
            <v>8439</v>
          </cell>
          <cell r="IM206">
            <v>6303</v>
          </cell>
          <cell r="IN206">
            <v>1679</v>
          </cell>
          <cell r="IO206">
            <v>2461</v>
          </cell>
          <cell r="IP206">
            <v>7230</v>
          </cell>
          <cell r="IQ206">
            <v>17594</v>
          </cell>
        </row>
        <row r="207">
          <cell r="B207">
            <v>8842</v>
          </cell>
          <cell r="C207">
            <v>1432</v>
          </cell>
          <cell r="D207">
            <v>10265</v>
          </cell>
          <cell r="E207">
            <v>3234</v>
          </cell>
          <cell r="F207">
            <v>4614</v>
          </cell>
          <cell r="G207">
            <v>2941</v>
          </cell>
          <cell r="H207">
            <v>3490</v>
          </cell>
          <cell r="I207">
            <v>12969</v>
          </cell>
          <cell r="J207">
            <v>2415</v>
          </cell>
          <cell r="K207">
            <v>14895</v>
          </cell>
          <cell r="L207">
            <v>6210</v>
          </cell>
          <cell r="M207">
            <v>5398</v>
          </cell>
          <cell r="N207">
            <v>4637</v>
          </cell>
          <cell r="O207">
            <v>5569</v>
          </cell>
          <cell r="P207">
            <v>6555</v>
          </cell>
          <cell r="Q207">
            <v>28478</v>
          </cell>
          <cell r="R207">
            <v>5752</v>
          </cell>
          <cell r="S207">
            <v>341</v>
          </cell>
          <cell r="T207">
            <v>3390</v>
          </cell>
          <cell r="U207">
            <v>9456</v>
          </cell>
          <cell r="V207">
            <v>6551</v>
          </cell>
          <cell r="W207">
            <v>5979</v>
          </cell>
          <cell r="X207">
            <v>14879</v>
          </cell>
          <cell r="Y207">
            <v>27379</v>
          </cell>
          <cell r="Z207">
            <v>14041</v>
          </cell>
          <cell r="AA207">
            <v>15306</v>
          </cell>
          <cell r="AB207">
            <v>8720</v>
          </cell>
          <cell r="AC207">
            <v>6041</v>
          </cell>
          <cell r="AD207">
            <v>1735</v>
          </cell>
          <cell r="AE207">
            <v>2566</v>
          </cell>
          <cell r="AF207">
            <v>7330</v>
          </cell>
          <cell r="AG207">
            <v>17617</v>
          </cell>
          <cell r="AH207">
            <v>4019</v>
          </cell>
          <cell r="AI207">
            <v>4662</v>
          </cell>
          <cell r="AJ207">
            <v>8621</v>
          </cell>
          <cell r="AK207">
            <v>20036</v>
          </cell>
          <cell r="AL207">
            <v>9023</v>
          </cell>
          <cell r="AM207">
            <v>29026</v>
          </cell>
          <cell r="AN207">
            <v>1441</v>
          </cell>
          <cell r="AO207">
            <v>7152</v>
          </cell>
          <cell r="AP207">
            <v>8636</v>
          </cell>
          <cell r="AQ207">
            <v>2812</v>
          </cell>
          <cell r="AR207">
            <v>17719</v>
          </cell>
          <cell r="AS207">
            <v>19946</v>
          </cell>
          <cell r="AT207">
            <v>12319</v>
          </cell>
          <cell r="AU207">
            <v>19211</v>
          </cell>
          <cell r="AV207">
            <v>17239</v>
          </cell>
          <cell r="AW207">
            <v>20639</v>
          </cell>
          <cell r="AX207">
            <v>2909</v>
          </cell>
          <cell r="AY207">
            <v>6615</v>
          </cell>
          <cell r="AZ207">
            <v>32259</v>
          </cell>
          <cell r="BA207">
            <v>319081</v>
          </cell>
          <cell r="BB207">
            <v>26381</v>
          </cell>
          <cell r="BC207">
            <v>-2534</v>
          </cell>
          <cell r="BD207">
            <v>342639</v>
          </cell>
          <cell r="BE207">
            <v>6.3</v>
          </cell>
          <cell r="BF207">
            <v>3.7</v>
          </cell>
          <cell r="BG207">
            <v>6</v>
          </cell>
          <cell r="BH207">
            <v>0.2</v>
          </cell>
          <cell r="BI207">
            <v>4.8</v>
          </cell>
          <cell r="BJ207">
            <v>-0.8</v>
          </cell>
          <cell r="BK207">
            <v>-1.3</v>
          </cell>
          <cell r="BL207">
            <v>1.2</v>
          </cell>
          <cell r="BM207">
            <v>-0.1</v>
          </cell>
          <cell r="BN207">
            <v>1.1000000000000001</v>
          </cell>
          <cell r="BO207">
            <v>-1.8</v>
          </cell>
          <cell r="BP207">
            <v>-4.8</v>
          </cell>
          <cell r="BQ207">
            <v>-1.5</v>
          </cell>
          <cell r="BR207">
            <v>-1.4</v>
          </cell>
          <cell r="BS207">
            <v>-2.2999999999999998</v>
          </cell>
          <cell r="BT207">
            <v>-2.1</v>
          </cell>
          <cell r="BU207">
            <v>1.7</v>
          </cell>
          <cell r="BV207">
            <v>0</v>
          </cell>
          <cell r="BW207">
            <v>1.3</v>
          </cell>
          <cell r="BX207">
            <v>1.3</v>
          </cell>
          <cell r="BY207">
            <v>1.5</v>
          </cell>
          <cell r="BZ207">
            <v>-1.3</v>
          </cell>
          <cell r="CA207">
            <v>3.6</v>
          </cell>
          <cell r="CB207">
            <v>2.2000000000000002</v>
          </cell>
          <cell r="CC207">
            <v>0</v>
          </cell>
          <cell r="CD207">
            <v>-0.6</v>
          </cell>
          <cell r="CE207">
            <v>-0.5</v>
          </cell>
          <cell r="CF207">
            <v>-3</v>
          </cell>
          <cell r="CG207">
            <v>-1.9</v>
          </cell>
          <cell r="CH207">
            <v>0.8</v>
          </cell>
          <cell r="CI207">
            <v>1.6</v>
          </cell>
          <cell r="CJ207">
            <v>-0.3</v>
          </cell>
          <cell r="CK207">
            <v>0.2</v>
          </cell>
          <cell r="CL207">
            <v>0.7</v>
          </cell>
          <cell r="CM207">
            <v>0.2</v>
          </cell>
          <cell r="CN207">
            <v>2.6</v>
          </cell>
          <cell r="CO207">
            <v>-5.0999999999999996</v>
          </cell>
          <cell r="CP207">
            <v>-0.2</v>
          </cell>
          <cell r="CQ207">
            <v>4.8</v>
          </cell>
          <cell r="CR207">
            <v>2.1</v>
          </cell>
          <cell r="CS207">
            <v>2.7</v>
          </cell>
          <cell r="CT207">
            <v>1</v>
          </cell>
          <cell r="CU207">
            <v>2.2000000000000002</v>
          </cell>
          <cell r="CV207">
            <v>1.9</v>
          </cell>
          <cell r="CW207">
            <v>-3.2</v>
          </cell>
          <cell r="CX207">
            <v>2.2999999999999998</v>
          </cell>
          <cell r="CY207">
            <v>0.9</v>
          </cell>
          <cell r="CZ207">
            <v>1.7</v>
          </cell>
          <cell r="DA207">
            <v>2.6</v>
          </cell>
          <cell r="DB207">
            <v>2</v>
          </cell>
          <cell r="DC207">
            <v>0.8</v>
          </cell>
          <cell r="DD207">
            <v>0.7</v>
          </cell>
          <cell r="DE207">
            <v>-0.8</v>
          </cell>
          <cell r="DF207">
            <v>0.3</v>
          </cell>
          <cell r="DG207">
            <v>8878</v>
          </cell>
          <cell r="DH207">
            <v>1475</v>
          </cell>
          <cell r="DI207">
            <v>10347</v>
          </cell>
          <cell r="DJ207">
            <v>3149</v>
          </cell>
          <cell r="DK207">
            <v>4510</v>
          </cell>
          <cell r="DL207">
            <v>3140</v>
          </cell>
          <cell r="DM207">
            <v>3542</v>
          </cell>
          <cell r="DN207">
            <v>12977</v>
          </cell>
          <cell r="DO207">
            <v>2415</v>
          </cell>
          <cell r="DP207">
            <v>14903</v>
          </cell>
          <cell r="DQ207">
            <v>6226</v>
          </cell>
          <cell r="DR207">
            <v>5507</v>
          </cell>
          <cell r="DS207">
            <v>4717</v>
          </cell>
          <cell r="DT207">
            <v>5564</v>
          </cell>
          <cell r="DU207">
            <v>6590</v>
          </cell>
          <cell r="DV207">
            <v>28712</v>
          </cell>
          <cell r="DW207">
            <v>5912</v>
          </cell>
          <cell r="DX207">
            <v>349</v>
          </cell>
          <cell r="DY207">
            <v>3413</v>
          </cell>
          <cell r="DZ207">
            <v>9613</v>
          </cell>
          <cell r="EA207">
            <v>6512</v>
          </cell>
          <cell r="EB207">
            <v>6082</v>
          </cell>
          <cell r="EC207">
            <v>14641</v>
          </cell>
          <cell r="ED207">
            <v>27193</v>
          </cell>
          <cell r="EE207">
            <v>14111</v>
          </cell>
          <cell r="EF207">
            <v>15284</v>
          </cell>
          <cell r="EG207">
            <v>8720</v>
          </cell>
          <cell r="EH207">
            <v>5969</v>
          </cell>
          <cell r="EI207">
            <v>1717</v>
          </cell>
          <cell r="EJ207">
            <v>2585</v>
          </cell>
          <cell r="EK207">
            <v>6922</v>
          </cell>
          <cell r="EL207">
            <v>17097</v>
          </cell>
          <cell r="EM207">
            <v>4023</v>
          </cell>
          <cell r="EN207">
            <v>4604</v>
          </cell>
          <cell r="EO207">
            <v>8578</v>
          </cell>
          <cell r="EP207">
            <v>20047</v>
          </cell>
          <cell r="EQ207">
            <v>9084</v>
          </cell>
          <cell r="ER207">
            <v>29149</v>
          </cell>
          <cell r="ES207">
            <v>1457</v>
          </cell>
          <cell r="ET207">
            <v>7266</v>
          </cell>
          <cell r="EU207">
            <v>8778</v>
          </cell>
          <cell r="EV207">
            <v>2753</v>
          </cell>
          <cell r="EW207">
            <v>18013</v>
          </cell>
          <cell r="EX207">
            <v>20121</v>
          </cell>
          <cell r="EY207">
            <v>12691</v>
          </cell>
          <cell r="EZ207">
            <v>19379</v>
          </cell>
          <cell r="FA207">
            <v>17242</v>
          </cell>
          <cell r="FB207">
            <v>20658</v>
          </cell>
          <cell r="FC207">
            <v>2948</v>
          </cell>
          <cell r="FD207">
            <v>6640</v>
          </cell>
          <cell r="FE207">
            <v>32271</v>
          </cell>
          <cell r="FF207">
            <v>319957</v>
          </cell>
          <cell r="FG207">
            <v>26376</v>
          </cell>
          <cell r="FH207">
            <v>-2234</v>
          </cell>
          <cell r="FI207">
            <v>343811</v>
          </cell>
          <cell r="FJ207">
            <v>8.1999999999999993</v>
          </cell>
          <cell r="FK207">
            <v>10.4</v>
          </cell>
          <cell r="FL207">
            <v>8.6</v>
          </cell>
          <cell r="FM207">
            <v>-4.5</v>
          </cell>
          <cell r="FN207">
            <v>2.5</v>
          </cell>
          <cell r="FO207">
            <v>7.7</v>
          </cell>
          <cell r="FP207">
            <v>1.7</v>
          </cell>
          <cell r="FQ207">
            <v>1.4</v>
          </cell>
          <cell r="FR207">
            <v>0.2</v>
          </cell>
          <cell r="FS207">
            <v>1.3</v>
          </cell>
          <cell r="FT207">
            <v>-2.2999999999999998</v>
          </cell>
          <cell r="FU207">
            <v>-2.8</v>
          </cell>
          <cell r="FV207">
            <v>0.6</v>
          </cell>
          <cell r="FW207">
            <v>-4</v>
          </cell>
          <cell r="FX207">
            <v>-2.5</v>
          </cell>
          <cell r="FY207">
            <v>-2.1</v>
          </cell>
          <cell r="FZ207">
            <v>7.4</v>
          </cell>
          <cell r="GA207">
            <v>4.5999999999999996</v>
          </cell>
          <cell r="GB207">
            <v>0.9</v>
          </cell>
          <cell r="GC207">
            <v>4.3</v>
          </cell>
          <cell r="GD207">
            <v>-0.3</v>
          </cell>
          <cell r="GE207">
            <v>5.4</v>
          </cell>
          <cell r="GF207">
            <v>-0.3</v>
          </cell>
          <cell r="GG207">
            <v>0.8</v>
          </cell>
          <cell r="GH207">
            <v>0.1</v>
          </cell>
          <cell r="GI207">
            <v>-0.8</v>
          </cell>
          <cell r="GJ207">
            <v>-0.2</v>
          </cell>
          <cell r="GK207">
            <v>-5.6</v>
          </cell>
          <cell r="GL207">
            <v>-1.9</v>
          </cell>
          <cell r="GM207">
            <v>2.7</v>
          </cell>
          <cell r="GN207">
            <v>-7.6</v>
          </cell>
          <cell r="GO207">
            <v>-5.2</v>
          </cell>
          <cell r="GP207">
            <v>0.1</v>
          </cell>
          <cell r="GQ207">
            <v>-0.8</v>
          </cell>
          <cell r="GR207">
            <v>-0.4</v>
          </cell>
          <cell r="GS207">
            <v>2.9</v>
          </cell>
          <cell r="GT207">
            <v>-4.8</v>
          </cell>
          <cell r="GU207">
            <v>0.4</v>
          </cell>
          <cell r="GV207">
            <v>6.6</v>
          </cell>
          <cell r="GW207">
            <v>3.9</v>
          </cell>
          <cell r="GX207">
            <v>4.8</v>
          </cell>
          <cell r="GY207">
            <v>-2.8</v>
          </cell>
          <cell r="GZ207">
            <v>4.5</v>
          </cell>
          <cell r="HA207">
            <v>3</v>
          </cell>
          <cell r="HB207">
            <v>-1</v>
          </cell>
          <cell r="HC207">
            <v>5.2</v>
          </cell>
          <cell r="HD207">
            <v>1</v>
          </cell>
          <cell r="HE207">
            <v>1.9</v>
          </cell>
          <cell r="HF207">
            <v>5.8</v>
          </cell>
          <cell r="HG207">
            <v>2.2000000000000002</v>
          </cell>
          <cell r="HH207">
            <v>0.9</v>
          </cell>
          <cell r="HI207">
            <v>0.9</v>
          </cell>
          <cell r="HJ207">
            <v>-0.6</v>
          </cell>
          <cell r="HK207">
            <v>0.8</v>
          </cell>
          <cell r="HL207">
            <v>5177</v>
          </cell>
          <cell r="HM207">
            <v>1478</v>
          </cell>
          <cell r="HN207">
            <v>6705</v>
          </cell>
          <cell r="HO207">
            <v>3238</v>
          </cell>
          <cell r="HP207">
            <v>4660</v>
          </cell>
          <cell r="HQ207">
            <v>3198</v>
          </cell>
          <cell r="HR207">
            <v>3563</v>
          </cell>
          <cell r="HS207">
            <v>13268</v>
          </cell>
          <cell r="HT207">
            <v>2413</v>
          </cell>
          <cell r="HU207">
            <v>15200</v>
          </cell>
          <cell r="HV207">
            <v>6204</v>
          </cell>
          <cell r="HW207">
            <v>5650</v>
          </cell>
          <cell r="HX207">
            <v>4891</v>
          </cell>
          <cell r="HY207">
            <v>5790</v>
          </cell>
          <cell r="HZ207">
            <v>6818</v>
          </cell>
          <cell r="IA207">
            <v>29476</v>
          </cell>
          <cell r="IB207">
            <v>6065</v>
          </cell>
          <cell r="IC207">
            <v>388</v>
          </cell>
          <cell r="ID207">
            <v>3391</v>
          </cell>
          <cell r="IE207">
            <v>9866</v>
          </cell>
          <cell r="IF207">
            <v>6800</v>
          </cell>
          <cell r="IG207">
            <v>5884</v>
          </cell>
          <cell r="IH207">
            <v>14918</v>
          </cell>
          <cell r="II207">
            <v>27541</v>
          </cell>
          <cell r="IJ207">
            <v>14224</v>
          </cell>
          <cell r="IK207">
            <v>14975</v>
          </cell>
          <cell r="IL207">
            <v>8715</v>
          </cell>
          <cell r="IM207">
            <v>5983</v>
          </cell>
          <cell r="IN207">
            <v>1785</v>
          </cell>
          <cell r="IO207">
            <v>2703</v>
          </cell>
          <cell r="IP207">
            <v>6964</v>
          </cell>
          <cell r="IQ207">
            <v>17320</v>
          </cell>
        </row>
        <row r="208">
          <cell r="B208">
            <v>8902</v>
          </cell>
          <cell r="C208">
            <v>1468</v>
          </cell>
          <cell r="D208">
            <v>10369</v>
          </cell>
          <cell r="E208">
            <v>3200</v>
          </cell>
          <cell r="F208">
            <v>4781</v>
          </cell>
          <cell r="G208">
            <v>2919</v>
          </cell>
          <cell r="H208">
            <v>3451</v>
          </cell>
          <cell r="I208">
            <v>13060</v>
          </cell>
          <cell r="J208">
            <v>2465</v>
          </cell>
          <cell r="K208">
            <v>15014</v>
          </cell>
          <cell r="L208">
            <v>6138</v>
          </cell>
          <cell r="M208">
            <v>5071</v>
          </cell>
          <cell r="N208">
            <v>4448</v>
          </cell>
          <cell r="O208">
            <v>5274</v>
          </cell>
          <cell r="P208">
            <v>6308</v>
          </cell>
          <cell r="Q208">
            <v>27308</v>
          </cell>
          <cell r="R208">
            <v>5848</v>
          </cell>
          <cell r="S208">
            <v>341</v>
          </cell>
          <cell r="T208">
            <v>3476</v>
          </cell>
          <cell r="U208">
            <v>9668</v>
          </cell>
          <cell r="V208">
            <v>6533</v>
          </cell>
          <cell r="W208">
            <v>5822</v>
          </cell>
          <cell r="X208">
            <v>15009</v>
          </cell>
          <cell r="Y208">
            <v>27382</v>
          </cell>
          <cell r="Z208">
            <v>13974</v>
          </cell>
          <cell r="AA208">
            <v>15306</v>
          </cell>
          <cell r="AB208">
            <v>8753</v>
          </cell>
          <cell r="AC208">
            <v>5847</v>
          </cell>
          <cell r="AD208">
            <v>1720</v>
          </cell>
          <cell r="AE208">
            <v>2541</v>
          </cell>
          <cell r="AF208">
            <v>7385</v>
          </cell>
          <cell r="AG208">
            <v>17463</v>
          </cell>
          <cell r="AH208">
            <v>4004</v>
          </cell>
          <cell r="AI208">
            <v>4677</v>
          </cell>
          <cell r="AJ208">
            <v>8632</v>
          </cell>
          <cell r="AK208">
            <v>20550</v>
          </cell>
          <cell r="AL208">
            <v>8674</v>
          </cell>
          <cell r="AM208">
            <v>29018</v>
          </cell>
          <cell r="AN208">
            <v>1381</v>
          </cell>
          <cell r="AO208">
            <v>7318</v>
          </cell>
          <cell r="AP208">
            <v>8715</v>
          </cell>
          <cell r="AQ208">
            <v>2929</v>
          </cell>
          <cell r="AR208">
            <v>17760</v>
          </cell>
          <cell r="AS208">
            <v>20158</v>
          </cell>
          <cell r="AT208">
            <v>11645</v>
          </cell>
          <cell r="AU208">
            <v>19605</v>
          </cell>
          <cell r="AV208">
            <v>17426</v>
          </cell>
          <cell r="AW208">
            <v>20938</v>
          </cell>
          <cell r="AX208">
            <v>2962</v>
          </cell>
          <cell r="AY208">
            <v>6723</v>
          </cell>
          <cell r="AZ208">
            <v>32477</v>
          </cell>
          <cell r="BA208">
            <v>318904</v>
          </cell>
          <cell r="BB208">
            <v>26316</v>
          </cell>
          <cell r="BC208">
            <v>-1323</v>
          </cell>
          <cell r="BD208">
            <v>343605</v>
          </cell>
          <cell r="BE208">
            <v>0.7</v>
          </cell>
          <cell r="BF208">
            <v>2.5</v>
          </cell>
          <cell r="BG208">
            <v>1</v>
          </cell>
          <cell r="BH208">
            <v>-1</v>
          </cell>
          <cell r="BI208">
            <v>3.6</v>
          </cell>
          <cell r="BJ208">
            <v>-0.7</v>
          </cell>
          <cell r="BK208">
            <v>-1.1000000000000001</v>
          </cell>
          <cell r="BL208">
            <v>0.7</v>
          </cell>
          <cell r="BM208">
            <v>2.1</v>
          </cell>
          <cell r="BN208">
            <v>0.8</v>
          </cell>
          <cell r="BO208">
            <v>-1.2</v>
          </cell>
          <cell r="BP208">
            <v>-6.1</v>
          </cell>
          <cell r="BQ208">
            <v>-4.0999999999999996</v>
          </cell>
          <cell r="BR208">
            <v>-5.3</v>
          </cell>
          <cell r="BS208">
            <v>-3.8</v>
          </cell>
          <cell r="BT208">
            <v>-4.0999999999999996</v>
          </cell>
          <cell r="BU208">
            <v>1.7</v>
          </cell>
          <cell r="BV208">
            <v>-0.1</v>
          </cell>
          <cell r="BW208">
            <v>2.6</v>
          </cell>
          <cell r="BX208">
            <v>2.2000000000000002</v>
          </cell>
          <cell r="BY208">
            <v>-0.3</v>
          </cell>
          <cell r="BZ208">
            <v>-2.6</v>
          </cell>
          <cell r="CA208">
            <v>0.9</v>
          </cell>
          <cell r="CB208">
            <v>0</v>
          </cell>
          <cell r="CC208">
            <v>-0.5</v>
          </cell>
          <cell r="CD208">
            <v>0</v>
          </cell>
          <cell r="CE208">
            <v>0.4</v>
          </cell>
          <cell r="CF208">
            <v>-3.2</v>
          </cell>
          <cell r="CG208">
            <v>-0.9</v>
          </cell>
          <cell r="CH208">
            <v>-1</v>
          </cell>
          <cell r="CI208">
            <v>0.8</v>
          </cell>
          <cell r="CJ208">
            <v>-0.9</v>
          </cell>
          <cell r="CK208">
            <v>-0.4</v>
          </cell>
          <cell r="CL208">
            <v>0.3</v>
          </cell>
          <cell r="CM208">
            <v>0.1</v>
          </cell>
          <cell r="CN208">
            <v>2.6</v>
          </cell>
          <cell r="CO208">
            <v>-3.9</v>
          </cell>
          <cell r="CP208">
            <v>0</v>
          </cell>
          <cell r="CQ208">
            <v>-4.0999999999999996</v>
          </cell>
          <cell r="CR208">
            <v>2.2999999999999998</v>
          </cell>
          <cell r="CS208">
            <v>0.9</v>
          </cell>
          <cell r="CT208">
            <v>4.2</v>
          </cell>
          <cell r="CU208">
            <v>0.2</v>
          </cell>
          <cell r="CV208">
            <v>1.1000000000000001</v>
          </cell>
          <cell r="CW208">
            <v>-5.5</v>
          </cell>
          <cell r="CX208">
            <v>2.1</v>
          </cell>
          <cell r="CY208">
            <v>1.1000000000000001</v>
          </cell>
          <cell r="CZ208">
            <v>1.4</v>
          </cell>
          <cell r="DA208">
            <v>1.8</v>
          </cell>
          <cell r="DB208">
            <v>1.6</v>
          </cell>
          <cell r="DC208">
            <v>0.7</v>
          </cell>
          <cell r="DD208">
            <v>-0.1</v>
          </cell>
          <cell r="DE208">
            <v>-0.2</v>
          </cell>
          <cell r="DF208">
            <v>0.3</v>
          </cell>
          <cell r="DG208">
            <v>9170</v>
          </cell>
          <cell r="DH208">
            <v>1472</v>
          </cell>
          <cell r="DI208">
            <v>10639</v>
          </cell>
          <cell r="DJ208">
            <v>3264</v>
          </cell>
          <cell r="DK208">
            <v>4872</v>
          </cell>
          <cell r="DL208">
            <v>2730</v>
          </cell>
          <cell r="DM208">
            <v>3476</v>
          </cell>
          <cell r="DN208">
            <v>13086</v>
          </cell>
          <cell r="DO208">
            <v>2398</v>
          </cell>
          <cell r="DP208">
            <v>15005</v>
          </cell>
          <cell r="DQ208">
            <v>6079</v>
          </cell>
          <cell r="DR208">
            <v>5044</v>
          </cell>
          <cell r="DS208">
            <v>4413</v>
          </cell>
          <cell r="DT208">
            <v>5272</v>
          </cell>
          <cell r="DU208">
            <v>6285</v>
          </cell>
          <cell r="DV208">
            <v>27170</v>
          </cell>
          <cell r="DW208">
            <v>5780</v>
          </cell>
          <cell r="DX208">
            <v>338</v>
          </cell>
          <cell r="DY208">
            <v>3333</v>
          </cell>
          <cell r="DZ208">
            <v>9440</v>
          </cell>
          <cell r="EA208">
            <v>6523</v>
          </cell>
          <cell r="EB208">
            <v>5959</v>
          </cell>
          <cell r="EC208">
            <v>15216</v>
          </cell>
          <cell r="ED208">
            <v>27717</v>
          </cell>
          <cell r="EE208">
            <v>13859</v>
          </cell>
          <cell r="EF208">
            <v>15288</v>
          </cell>
          <cell r="EG208">
            <v>8684</v>
          </cell>
          <cell r="EH208">
            <v>5865</v>
          </cell>
          <cell r="EI208">
            <v>1722</v>
          </cell>
          <cell r="EJ208">
            <v>2559</v>
          </cell>
          <cell r="EK208">
            <v>7722</v>
          </cell>
          <cell r="EL208">
            <v>17868</v>
          </cell>
          <cell r="EM208">
            <v>3986</v>
          </cell>
          <cell r="EN208">
            <v>4725</v>
          </cell>
          <cell r="EO208">
            <v>8662</v>
          </cell>
          <cell r="EP208">
            <v>20546</v>
          </cell>
          <cell r="EQ208">
            <v>8499</v>
          </cell>
          <cell r="ER208">
            <v>29023</v>
          </cell>
          <cell r="ES208">
            <v>1414</v>
          </cell>
          <cell r="ET208">
            <v>7388</v>
          </cell>
          <cell r="EU208">
            <v>8833</v>
          </cell>
          <cell r="EV208">
            <v>2913</v>
          </cell>
          <cell r="EW208">
            <v>17845</v>
          </cell>
          <cell r="EX208">
            <v>20209</v>
          </cell>
          <cell r="EY208">
            <v>11273</v>
          </cell>
          <cell r="EZ208">
            <v>19719</v>
          </cell>
          <cell r="FA208">
            <v>17420</v>
          </cell>
          <cell r="FB208">
            <v>20954</v>
          </cell>
          <cell r="FC208">
            <v>2952</v>
          </cell>
          <cell r="FD208">
            <v>6778</v>
          </cell>
          <cell r="FE208">
            <v>32484</v>
          </cell>
          <cell r="FF208">
            <v>319300</v>
          </cell>
          <cell r="FG208">
            <v>26237</v>
          </cell>
          <cell r="FH208">
            <v>-3196</v>
          </cell>
          <cell r="FI208">
            <v>342057</v>
          </cell>
          <cell r="FJ208">
            <v>3.3</v>
          </cell>
          <cell r="FK208">
            <v>-0.2</v>
          </cell>
          <cell r="FL208">
            <v>2.8</v>
          </cell>
          <cell r="FM208">
            <v>3.7</v>
          </cell>
          <cell r="FN208">
            <v>8</v>
          </cell>
          <cell r="FO208">
            <v>-13</v>
          </cell>
          <cell r="FP208">
            <v>-1.9</v>
          </cell>
          <cell r="FQ208">
            <v>0.8</v>
          </cell>
          <cell r="FR208">
            <v>-0.7</v>
          </cell>
          <cell r="FS208">
            <v>0.7</v>
          </cell>
          <cell r="FT208">
            <v>-2.4</v>
          </cell>
          <cell r="FU208">
            <v>-8.4</v>
          </cell>
          <cell r="FV208">
            <v>-6.4</v>
          </cell>
          <cell r="FW208">
            <v>-5.2</v>
          </cell>
          <cell r="FX208">
            <v>-4.5999999999999996</v>
          </cell>
          <cell r="FY208">
            <v>-5.4</v>
          </cell>
          <cell r="FZ208">
            <v>-2.2000000000000002</v>
          </cell>
          <cell r="GA208">
            <v>-3.1</v>
          </cell>
          <cell r="GB208">
            <v>-2.4</v>
          </cell>
          <cell r="GC208">
            <v>-1.8</v>
          </cell>
          <cell r="GD208">
            <v>0.2</v>
          </cell>
          <cell r="GE208">
            <v>-2</v>
          </cell>
          <cell r="GF208">
            <v>3.9</v>
          </cell>
          <cell r="GG208">
            <v>1.9</v>
          </cell>
          <cell r="GH208">
            <v>-1.8</v>
          </cell>
          <cell r="GI208">
            <v>0</v>
          </cell>
          <cell r="GJ208">
            <v>-0.4</v>
          </cell>
          <cell r="GK208">
            <v>-1.8</v>
          </cell>
          <cell r="GL208">
            <v>0.3</v>
          </cell>
          <cell r="GM208">
            <v>-1</v>
          </cell>
          <cell r="GN208">
            <v>11.6</v>
          </cell>
          <cell r="GO208">
            <v>4.5</v>
          </cell>
          <cell r="GP208">
            <v>-0.9</v>
          </cell>
          <cell r="GQ208">
            <v>2.6</v>
          </cell>
          <cell r="GR208">
            <v>1</v>
          </cell>
          <cell r="GS208">
            <v>2.5</v>
          </cell>
          <cell r="GT208">
            <v>-6.4</v>
          </cell>
          <cell r="GU208">
            <v>-0.4</v>
          </cell>
          <cell r="GV208">
            <v>-3</v>
          </cell>
          <cell r="GW208">
            <v>1.7</v>
          </cell>
          <cell r="GX208">
            <v>0.6</v>
          </cell>
          <cell r="GY208">
            <v>5.8</v>
          </cell>
          <cell r="GZ208">
            <v>-0.9</v>
          </cell>
          <cell r="HA208">
            <v>0.4</v>
          </cell>
          <cell r="HB208">
            <v>-11.2</v>
          </cell>
          <cell r="HC208">
            <v>1.8</v>
          </cell>
          <cell r="HD208">
            <v>1</v>
          </cell>
          <cell r="HE208">
            <v>1.4</v>
          </cell>
          <cell r="HF208">
            <v>0.2</v>
          </cell>
          <cell r="HG208">
            <v>2.1</v>
          </cell>
          <cell r="HH208">
            <v>0.7</v>
          </cell>
          <cell r="HI208">
            <v>-0.2</v>
          </cell>
          <cell r="HJ208">
            <v>-0.5</v>
          </cell>
          <cell r="HK208">
            <v>-0.5</v>
          </cell>
          <cell r="HL208">
            <v>15921</v>
          </cell>
          <cell r="HM208">
            <v>1476</v>
          </cell>
          <cell r="HN208">
            <v>17304</v>
          </cell>
          <cell r="HO208">
            <v>3387</v>
          </cell>
          <cell r="HP208">
            <v>4989</v>
          </cell>
          <cell r="HQ208">
            <v>2781</v>
          </cell>
          <cell r="HR208">
            <v>3626</v>
          </cell>
          <cell r="HS208">
            <v>13478</v>
          </cell>
          <cell r="HT208">
            <v>2453</v>
          </cell>
          <cell r="HU208">
            <v>15444</v>
          </cell>
          <cell r="HV208">
            <v>6324</v>
          </cell>
          <cell r="HW208">
            <v>5027</v>
          </cell>
          <cell r="HX208">
            <v>4551</v>
          </cell>
          <cell r="HY208">
            <v>5362</v>
          </cell>
          <cell r="HZ208">
            <v>6543</v>
          </cell>
          <cell r="IA208">
            <v>27868</v>
          </cell>
          <cell r="IB208">
            <v>5637</v>
          </cell>
          <cell r="IC208">
            <v>314</v>
          </cell>
          <cell r="ID208">
            <v>3327</v>
          </cell>
          <cell r="IE208">
            <v>9293</v>
          </cell>
          <cell r="IF208">
            <v>6839</v>
          </cell>
          <cell r="IG208">
            <v>6185</v>
          </cell>
          <cell r="IH208">
            <v>16164</v>
          </cell>
          <cell r="II208">
            <v>29200</v>
          </cell>
          <cell r="IJ208">
            <v>14362</v>
          </cell>
          <cell r="IK208">
            <v>16748</v>
          </cell>
          <cell r="IL208">
            <v>9113</v>
          </cell>
          <cell r="IM208">
            <v>6120</v>
          </cell>
          <cell r="IN208">
            <v>1778</v>
          </cell>
          <cell r="IO208">
            <v>2582</v>
          </cell>
          <cell r="IP208">
            <v>8137</v>
          </cell>
          <cell r="IQ208">
            <v>18636</v>
          </cell>
        </row>
        <row r="209">
          <cell r="B209">
            <v>8722</v>
          </cell>
          <cell r="C209">
            <v>1477</v>
          </cell>
          <cell r="D209">
            <v>10204</v>
          </cell>
          <cell r="E209">
            <v>3179</v>
          </cell>
          <cell r="F209">
            <v>4788</v>
          </cell>
          <cell r="G209">
            <v>3060</v>
          </cell>
          <cell r="H209">
            <v>3450</v>
          </cell>
          <cell r="I209">
            <v>13179</v>
          </cell>
          <cell r="J209">
            <v>2502</v>
          </cell>
          <cell r="K209">
            <v>15164</v>
          </cell>
          <cell r="L209">
            <v>6185</v>
          </cell>
          <cell r="M209">
            <v>4902</v>
          </cell>
          <cell r="N209">
            <v>4235</v>
          </cell>
          <cell r="O209">
            <v>4985</v>
          </cell>
          <cell r="P209">
            <v>6030</v>
          </cell>
          <cell r="Q209">
            <v>26315</v>
          </cell>
          <cell r="R209">
            <v>5887</v>
          </cell>
          <cell r="S209">
            <v>340</v>
          </cell>
          <cell r="T209">
            <v>3521</v>
          </cell>
          <cell r="U209">
            <v>9794</v>
          </cell>
          <cell r="V209">
            <v>6388</v>
          </cell>
          <cell r="W209">
            <v>5761</v>
          </cell>
          <cell r="X209">
            <v>14811</v>
          </cell>
          <cell r="Y209">
            <v>27008</v>
          </cell>
          <cell r="Z209">
            <v>13920</v>
          </cell>
          <cell r="AA209">
            <v>15374</v>
          </cell>
          <cell r="AB209">
            <v>8789</v>
          </cell>
          <cell r="AC209">
            <v>5768</v>
          </cell>
          <cell r="AD209">
            <v>1718</v>
          </cell>
          <cell r="AE209">
            <v>2514</v>
          </cell>
          <cell r="AF209">
            <v>7361</v>
          </cell>
          <cell r="AG209">
            <v>17338</v>
          </cell>
          <cell r="AH209">
            <v>3985</v>
          </cell>
          <cell r="AI209">
            <v>4642</v>
          </cell>
          <cell r="AJ209">
            <v>8579</v>
          </cell>
          <cell r="AK209">
            <v>20909</v>
          </cell>
          <cell r="AL209">
            <v>8503</v>
          </cell>
          <cell r="AM209">
            <v>29112</v>
          </cell>
          <cell r="AN209">
            <v>1263</v>
          </cell>
          <cell r="AO209">
            <v>7444</v>
          </cell>
          <cell r="AP209">
            <v>8667</v>
          </cell>
          <cell r="AQ209">
            <v>3178</v>
          </cell>
          <cell r="AR209">
            <v>17603</v>
          </cell>
          <cell r="AS209">
            <v>20378</v>
          </cell>
          <cell r="AT209">
            <v>11217</v>
          </cell>
          <cell r="AU209">
            <v>19692</v>
          </cell>
          <cell r="AV209">
            <v>17598</v>
          </cell>
          <cell r="AW209">
            <v>21231</v>
          </cell>
          <cell r="AX209">
            <v>3000</v>
          </cell>
          <cell r="AY209">
            <v>6729</v>
          </cell>
          <cell r="AZ209">
            <v>32596</v>
          </cell>
          <cell r="BA209">
            <v>318111</v>
          </cell>
          <cell r="BB209">
            <v>26365</v>
          </cell>
          <cell r="BC209">
            <v>990</v>
          </cell>
          <cell r="BD209">
            <v>345168</v>
          </cell>
          <cell r="BE209">
            <v>-2</v>
          </cell>
          <cell r="BF209">
            <v>0.6</v>
          </cell>
          <cell r="BG209">
            <v>-1.6</v>
          </cell>
          <cell r="BH209">
            <v>-0.6</v>
          </cell>
          <cell r="BI209">
            <v>0.1</v>
          </cell>
          <cell r="BJ209">
            <v>4.8</v>
          </cell>
          <cell r="BK209">
            <v>-0.1</v>
          </cell>
          <cell r="BL209">
            <v>0.9</v>
          </cell>
          <cell r="BM209">
            <v>1.5</v>
          </cell>
          <cell r="BN209">
            <v>1</v>
          </cell>
          <cell r="BO209">
            <v>0.8</v>
          </cell>
          <cell r="BP209">
            <v>-3.3</v>
          </cell>
          <cell r="BQ209">
            <v>-4.8</v>
          </cell>
          <cell r="BR209">
            <v>-5.5</v>
          </cell>
          <cell r="BS209">
            <v>-4.4000000000000004</v>
          </cell>
          <cell r="BT209">
            <v>-3.6</v>
          </cell>
          <cell r="BU209">
            <v>0.7</v>
          </cell>
          <cell r="BV209">
            <v>-0.1</v>
          </cell>
          <cell r="BW209">
            <v>1.3</v>
          </cell>
          <cell r="BX209">
            <v>1.3</v>
          </cell>
          <cell r="BY209">
            <v>-2.2000000000000002</v>
          </cell>
          <cell r="BZ209">
            <v>-1.1000000000000001</v>
          </cell>
          <cell r="CA209">
            <v>-1.3</v>
          </cell>
          <cell r="CB209">
            <v>-1.4</v>
          </cell>
          <cell r="CC209">
            <v>-0.4</v>
          </cell>
          <cell r="CD209">
            <v>0.4</v>
          </cell>
          <cell r="CE209">
            <v>0.4</v>
          </cell>
          <cell r="CF209">
            <v>-1.4</v>
          </cell>
          <cell r="CG209">
            <v>-0.1</v>
          </cell>
          <cell r="CH209">
            <v>-1.1000000000000001</v>
          </cell>
          <cell r="CI209">
            <v>-0.3</v>
          </cell>
          <cell r="CJ209">
            <v>-0.7</v>
          </cell>
          <cell r="CK209">
            <v>-0.5</v>
          </cell>
          <cell r="CL209">
            <v>-0.7</v>
          </cell>
          <cell r="CM209">
            <v>-0.6</v>
          </cell>
          <cell r="CN209">
            <v>1.7</v>
          </cell>
          <cell r="CO209">
            <v>-2</v>
          </cell>
          <cell r="CP209">
            <v>0.3</v>
          </cell>
          <cell r="CQ209">
            <v>-8.6</v>
          </cell>
          <cell r="CR209">
            <v>1.7</v>
          </cell>
          <cell r="CS209">
            <v>-0.5</v>
          </cell>
          <cell r="CT209">
            <v>8.5</v>
          </cell>
          <cell r="CU209">
            <v>-0.9</v>
          </cell>
          <cell r="CV209">
            <v>1.1000000000000001</v>
          </cell>
          <cell r="CW209">
            <v>-3.7</v>
          </cell>
          <cell r="CX209">
            <v>0.4</v>
          </cell>
          <cell r="CY209">
            <v>1</v>
          </cell>
          <cell r="CZ209">
            <v>1.4</v>
          </cell>
          <cell r="DA209">
            <v>1.3</v>
          </cell>
          <cell r="DB209">
            <v>0.1</v>
          </cell>
          <cell r="DC209">
            <v>0.4</v>
          </cell>
          <cell r="DD209">
            <v>-0.2</v>
          </cell>
          <cell r="DE209">
            <v>0.2</v>
          </cell>
          <cell r="DF209">
            <v>0.5</v>
          </cell>
          <cell r="DG209">
            <v>8591</v>
          </cell>
          <cell r="DH209">
            <v>1468</v>
          </cell>
          <cell r="DI209">
            <v>10065</v>
          </cell>
          <cell r="DJ209">
            <v>3179</v>
          </cell>
          <cell r="DK209">
            <v>4931</v>
          </cell>
          <cell r="DL209">
            <v>3025</v>
          </cell>
          <cell r="DM209">
            <v>3365</v>
          </cell>
          <cell r="DN209">
            <v>13230</v>
          </cell>
          <cell r="DO209">
            <v>2577</v>
          </cell>
          <cell r="DP209">
            <v>15262</v>
          </cell>
          <cell r="DQ209">
            <v>6139</v>
          </cell>
          <cell r="DR209">
            <v>4686</v>
          </cell>
          <cell r="DS209">
            <v>4169</v>
          </cell>
          <cell r="DT209">
            <v>4983</v>
          </cell>
          <cell r="DU209">
            <v>6001</v>
          </cell>
          <cell r="DV209">
            <v>26008</v>
          </cell>
          <cell r="DW209">
            <v>5877</v>
          </cell>
          <cell r="DX209">
            <v>339</v>
          </cell>
          <cell r="DY209">
            <v>3704</v>
          </cell>
          <cell r="DZ209">
            <v>10008</v>
          </cell>
          <cell r="EA209">
            <v>6532</v>
          </cell>
          <cell r="EB209">
            <v>5536</v>
          </cell>
          <cell r="EC209">
            <v>14925</v>
          </cell>
          <cell r="ED209">
            <v>27034</v>
          </cell>
          <cell r="EE209">
            <v>14006</v>
          </cell>
          <cell r="EF209">
            <v>15349</v>
          </cell>
          <cell r="EG209">
            <v>8908</v>
          </cell>
          <cell r="EH209">
            <v>5707</v>
          </cell>
          <cell r="EI209">
            <v>1734</v>
          </cell>
          <cell r="EJ209">
            <v>2491</v>
          </cell>
          <cell r="EK209">
            <v>7320</v>
          </cell>
          <cell r="EL209">
            <v>17233</v>
          </cell>
          <cell r="EM209">
            <v>4005</v>
          </cell>
          <cell r="EN209">
            <v>4673</v>
          </cell>
          <cell r="EO209">
            <v>8629</v>
          </cell>
          <cell r="EP209">
            <v>20963</v>
          </cell>
          <cell r="EQ209">
            <v>7945</v>
          </cell>
          <cell r="ER209">
            <v>28807</v>
          </cell>
          <cell r="ES209">
            <v>1280</v>
          </cell>
          <cell r="ET209">
            <v>7221</v>
          </cell>
          <cell r="EU209">
            <v>8470</v>
          </cell>
          <cell r="EV209">
            <v>3167</v>
          </cell>
          <cell r="EW209">
            <v>17307</v>
          </cell>
          <cell r="EX209">
            <v>20099</v>
          </cell>
          <cell r="EY209">
            <v>11095</v>
          </cell>
          <cell r="EZ209">
            <v>19650</v>
          </cell>
          <cell r="FA209">
            <v>17606</v>
          </cell>
          <cell r="FB209">
            <v>21212</v>
          </cell>
          <cell r="FC209">
            <v>3006</v>
          </cell>
          <cell r="FD209">
            <v>6633</v>
          </cell>
          <cell r="FE209">
            <v>32608</v>
          </cell>
          <cell r="FF209">
            <v>317098</v>
          </cell>
          <cell r="FG209">
            <v>26388</v>
          </cell>
          <cell r="FH209">
            <v>2442</v>
          </cell>
          <cell r="FI209">
            <v>345625</v>
          </cell>
          <cell r="FJ209">
            <v>-6.3</v>
          </cell>
          <cell r="FK209">
            <v>-0.3</v>
          </cell>
          <cell r="FL209">
            <v>-5.4</v>
          </cell>
          <cell r="FM209">
            <v>-2.6</v>
          </cell>
          <cell r="FN209">
            <v>1.2</v>
          </cell>
          <cell r="FO209">
            <v>10.8</v>
          </cell>
          <cell r="FP209">
            <v>-3.2</v>
          </cell>
          <cell r="FQ209">
            <v>1.1000000000000001</v>
          </cell>
          <cell r="FR209">
            <v>7.5</v>
          </cell>
          <cell r="FS209">
            <v>1.7</v>
          </cell>
          <cell r="FT209">
            <v>1</v>
          </cell>
          <cell r="FU209">
            <v>-7.1</v>
          </cell>
          <cell r="FV209">
            <v>-5.5</v>
          </cell>
          <cell r="FW209">
            <v>-5.5</v>
          </cell>
          <cell r="FX209">
            <v>-4.5</v>
          </cell>
          <cell r="FY209">
            <v>-4.3</v>
          </cell>
          <cell r="FZ209">
            <v>1.7</v>
          </cell>
          <cell r="GA209">
            <v>0.3</v>
          </cell>
          <cell r="GB209">
            <v>11.2</v>
          </cell>
          <cell r="GC209">
            <v>6</v>
          </cell>
          <cell r="GD209">
            <v>0.1</v>
          </cell>
          <cell r="GE209">
            <v>-7.1</v>
          </cell>
          <cell r="GF209">
            <v>-1.9</v>
          </cell>
          <cell r="GG209">
            <v>-2.5</v>
          </cell>
          <cell r="GH209">
            <v>1.1000000000000001</v>
          </cell>
          <cell r="GI209">
            <v>0.4</v>
          </cell>
          <cell r="GJ209">
            <v>2.6</v>
          </cell>
          <cell r="GK209">
            <v>-2.7</v>
          </cell>
          <cell r="GL209">
            <v>0.7</v>
          </cell>
          <cell r="GM209">
            <v>-2.6</v>
          </cell>
          <cell r="GN209">
            <v>-5.2</v>
          </cell>
          <cell r="GO209">
            <v>-3.6</v>
          </cell>
          <cell r="GP209">
            <v>0.5</v>
          </cell>
          <cell r="GQ209">
            <v>-1.1000000000000001</v>
          </cell>
          <cell r="GR209">
            <v>-0.4</v>
          </cell>
          <cell r="GS209">
            <v>2</v>
          </cell>
          <cell r="GT209">
            <v>-6.5</v>
          </cell>
          <cell r="GU209">
            <v>-0.7</v>
          </cell>
          <cell r="GV209">
            <v>-9.5</v>
          </cell>
          <cell r="GW209">
            <v>-2.2999999999999998</v>
          </cell>
          <cell r="GX209">
            <v>-4.0999999999999996</v>
          </cell>
          <cell r="GY209">
            <v>8.6999999999999993</v>
          </cell>
          <cell r="GZ209">
            <v>-3</v>
          </cell>
          <cell r="HA209">
            <v>-0.5</v>
          </cell>
          <cell r="HB209">
            <v>-1.6</v>
          </cell>
          <cell r="HC209">
            <v>-0.3</v>
          </cell>
          <cell r="HD209">
            <v>1.1000000000000001</v>
          </cell>
          <cell r="HE209">
            <v>1.2</v>
          </cell>
          <cell r="HF209">
            <v>1.8</v>
          </cell>
          <cell r="HG209">
            <v>-2.1</v>
          </cell>
          <cell r="HH209">
            <v>0.4</v>
          </cell>
          <cell r="HI209">
            <v>-0.7</v>
          </cell>
          <cell r="HJ209">
            <v>0.6</v>
          </cell>
          <cell r="HK209">
            <v>1</v>
          </cell>
          <cell r="HL209">
            <v>8347</v>
          </cell>
          <cell r="HM209">
            <v>1467</v>
          </cell>
          <cell r="HN209">
            <v>9819</v>
          </cell>
          <cell r="HO209">
            <v>2861</v>
          </cell>
          <cell r="HP209">
            <v>4611</v>
          </cell>
          <cell r="HQ209">
            <v>2820</v>
          </cell>
          <cell r="HR209">
            <v>3194</v>
          </cell>
          <cell r="HS209">
            <v>12304</v>
          </cell>
          <cell r="HT209">
            <v>2519</v>
          </cell>
          <cell r="HU209">
            <v>14268</v>
          </cell>
          <cell r="HV209">
            <v>6025</v>
          </cell>
          <cell r="HW209">
            <v>4599</v>
          </cell>
          <cell r="HX209">
            <v>4016</v>
          </cell>
          <cell r="HY209">
            <v>4554</v>
          </cell>
          <cell r="HZ209">
            <v>5566</v>
          </cell>
          <cell r="IA209">
            <v>24772</v>
          </cell>
          <cell r="IB209">
            <v>5897</v>
          </cell>
          <cell r="IC209">
            <v>302</v>
          </cell>
          <cell r="ID209">
            <v>3738</v>
          </cell>
          <cell r="IE209">
            <v>9949</v>
          </cell>
          <cell r="IF209">
            <v>5907</v>
          </cell>
          <cell r="IG209">
            <v>5138</v>
          </cell>
          <cell r="IH209">
            <v>13796</v>
          </cell>
          <cell r="II209">
            <v>24881</v>
          </cell>
          <cell r="IJ209">
            <v>13444</v>
          </cell>
          <cell r="IK209">
            <v>14730</v>
          </cell>
          <cell r="IL209">
            <v>8788</v>
          </cell>
          <cell r="IM209">
            <v>5419</v>
          </cell>
          <cell r="IN209">
            <v>1678</v>
          </cell>
          <cell r="IO209">
            <v>2414</v>
          </cell>
          <cell r="IP209">
            <v>7106</v>
          </cell>
          <cell r="IQ209">
            <v>16612</v>
          </cell>
        </row>
        <row r="210">
          <cell r="B210">
            <v>8649</v>
          </cell>
          <cell r="C210">
            <v>1479</v>
          </cell>
          <cell r="D210">
            <v>10134</v>
          </cell>
          <cell r="E210">
            <v>3204</v>
          </cell>
          <cell r="F210">
            <v>4647</v>
          </cell>
          <cell r="G210">
            <v>3356</v>
          </cell>
          <cell r="H210">
            <v>3466</v>
          </cell>
          <cell r="I210">
            <v>13373</v>
          </cell>
          <cell r="J210">
            <v>2482</v>
          </cell>
          <cell r="K210">
            <v>15371</v>
          </cell>
          <cell r="L210">
            <v>6285</v>
          </cell>
          <cell r="M210">
            <v>4961</v>
          </cell>
          <cell r="N210">
            <v>4062</v>
          </cell>
          <cell r="O210">
            <v>5004</v>
          </cell>
          <cell r="P210">
            <v>5849</v>
          </cell>
          <cell r="Q210">
            <v>26048</v>
          </cell>
          <cell r="R210">
            <v>5891</v>
          </cell>
          <cell r="S210">
            <v>340</v>
          </cell>
          <cell r="T210">
            <v>3532</v>
          </cell>
          <cell r="U210">
            <v>9826</v>
          </cell>
          <cell r="V210">
            <v>6253</v>
          </cell>
          <cell r="W210">
            <v>5760</v>
          </cell>
          <cell r="X210">
            <v>14567</v>
          </cell>
          <cell r="Y210">
            <v>26648</v>
          </cell>
          <cell r="Z210">
            <v>14038</v>
          </cell>
          <cell r="AA210">
            <v>15479</v>
          </cell>
          <cell r="AB210">
            <v>8772</v>
          </cell>
          <cell r="AC210">
            <v>5792</v>
          </cell>
          <cell r="AD210">
            <v>1702</v>
          </cell>
          <cell r="AE210">
            <v>2498</v>
          </cell>
          <cell r="AF210">
            <v>7319</v>
          </cell>
          <cell r="AG210">
            <v>17280</v>
          </cell>
          <cell r="AH210">
            <v>3983</v>
          </cell>
          <cell r="AI210">
            <v>4620</v>
          </cell>
          <cell r="AJ210">
            <v>8553</v>
          </cell>
          <cell r="AK210">
            <v>21069</v>
          </cell>
          <cell r="AL210">
            <v>8355</v>
          </cell>
          <cell r="AM210">
            <v>29192</v>
          </cell>
          <cell r="AN210">
            <v>1184</v>
          </cell>
          <cell r="AO210">
            <v>7584</v>
          </cell>
          <cell r="AP210">
            <v>8691</v>
          </cell>
          <cell r="AQ210">
            <v>3422</v>
          </cell>
          <cell r="AR210">
            <v>17544</v>
          </cell>
          <cell r="AS210">
            <v>20672</v>
          </cell>
          <cell r="AT210">
            <v>11194</v>
          </cell>
          <cell r="AU210">
            <v>19483</v>
          </cell>
          <cell r="AV210">
            <v>17721</v>
          </cell>
          <cell r="AW210">
            <v>21581</v>
          </cell>
          <cell r="AX210">
            <v>3020</v>
          </cell>
          <cell r="AY210">
            <v>6699</v>
          </cell>
          <cell r="AZ210">
            <v>32611</v>
          </cell>
          <cell r="BA210">
            <v>318662</v>
          </cell>
          <cell r="BB210">
            <v>26388</v>
          </cell>
          <cell r="BC210">
            <v>2332</v>
          </cell>
          <cell r="BD210">
            <v>347096</v>
          </cell>
          <cell r="BE210">
            <v>-0.8</v>
          </cell>
          <cell r="BF210">
            <v>0.1</v>
          </cell>
          <cell r="BG210">
            <v>-0.7</v>
          </cell>
          <cell r="BH210">
            <v>0.8</v>
          </cell>
          <cell r="BI210">
            <v>-2.9</v>
          </cell>
          <cell r="BJ210">
            <v>9.6999999999999993</v>
          </cell>
          <cell r="BK210">
            <v>0.5</v>
          </cell>
          <cell r="BL210">
            <v>1.5</v>
          </cell>
          <cell r="BM210">
            <v>-0.8</v>
          </cell>
          <cell r="BN210">
            <v>1.4</v>
          </cell>
          <cell r="BO210">
            <v>1.6</v>
          </cell>
          <cell r="BP210">
            <v>1.2</v>
          </cell>
          <cell r="BQ210">
            <v>-4.0999999999999996</v>
          </cell>
          <cell r="BR210">
            <v>0.4</v>
          </cell>
          <cell r="BS210">
            <v>-3</v>
          </cell>
          <cell r="BT210">
            <v>-1</v>
          </cell>
          <cell r="BU210">
            <v>0.1</v>
          </cell>
          <cell r="BV210">
            <v>-0.1</v>
          </cell>
          <cell r="BW210">
            <v>0.3</v>
          </cell>
          <cell r="BX210">
            <v>0.3</v>
          </cell>
          <cell r="BY210">
            <v>-2.1</v>
          </cell>
          <cell r="BZ210">
            <v>0</v>
          </cell>
          <cell r="CA210">
            <v>-1.6</v>
          </cell>
          <cell r="CB210">
            <v>-1.3</v>
          </cell>
          <cell r="CC210">
            <v>0.8</v>
          </cell>
          <cell r="CD210">
            <v>0.7</v>
          </cell>
          <cell r="CE210">
            <v>-0.2</v>
          </cell>
          <cell r="CF210">
            <v>0.4</v>
          </cell>
          <cell r="CG210">
            <v>-1</v>
          </cell>
          <cell r="CH210">
            <v>-0.6</v>
          </cell>
          <cell r="CI210">
            <v>-0.6</v>
          </cell>
          <cell r="CJ210">
            <v>-0.3</v>
          </cell>
          <cell r="CK210">
            <v>-0.1</v>
          </cell>
          <cell r="CL210">
            <v>-0.5</v>
          </cell>
          <cell r="CM210">
            <v>-0.3</v>
          </cell>
          <cell r="CN210">
            <v>0.8</v>
          </cell>
          <cell r="CO210">
            <v>-1.7</v>
          </cell>
          <cell r="CP210">
            <v>0.3</v>
          </cell>
          <cell r="CQ210">
            <v>-6.2</v>
          </cell>
          <cell r="CR210">
            <v>1.9</v>
          </cell>
          <cell r="CS210">
            <v>0.3</v>
          </cell>
          <cell r="CT210">
            <v>7.7</v>
          </cell>
          <cell r="CU210">
            <v>-0.3</v>
          </cell>
          <cell r="CV210">
            <v>1.4</v>
          </cell>
          <cell r="CW210">
            <v>-0.2</v>
          </cell>
          <cell r="CX210">
            <v>-1.1000000000000001</v>
          </cell>
          <cell r="CY210">
            <v>0.7</v>
          </cell>
          <cell r="CZ210">
            <v>1.6</v>
          </cell>
          <cell r="DA210">
            <v>0.7</v>
          </cell>
          <cell r="DB210">
            <v>-0.5</v>
          </cell>
          <cell r="DC210">
            <v>0</v>
          </cell>
          <cell r="DD210">
            <v>0.2</v>
          </cell>
          <cell r="DE210">
            <v>0.1</v>
          </cell>
          <cell r="DF210">
            <v>0.6</v>
          </cell>
          <cell r="DG210">
            <v>8319</v>
          </cell>
          <cell r="DH210">
            <v>1466</v>
          </cell>
          <cell r="DI210">
            <v>9795</v>
          </cell>
          <cell r="DJ210">
            <v>3136</v>
          </cell>
          <cell r="DK210">
            <v>4471</v>
          </cell>
          <cell r="DL210">
            <v>3402</v>
          </cell>
          <cell r="DM210">
            <v>3501</v>
          </cell>
          <cell r="DN210">
            <v>13169</v>
          </cell>
          <cell r="DO210">
            <v>2527</v>
          </cell>
          <cell r="DP210">
            <v>15163</v>
          </cell>
          <cell r="DQ210">
            <v>6364</v>
          </cell>
          <cell r="DR210">
            <v>5136</v>
          </cell>
          <cell r="DS210">
            <v>4165</v>
          </cell>
          <cell r="DT210">
            <v>4875</v>
          </cell>
          <cell r="DU210">
            <v>5909</v>
          </cell>
          <cell r="DV210">
            <v>26241</v>
          </cell>
          <cell r="DW210">
            <v>5964</v>
          </cell>
          <cell r="DX210">
            <v>341</v>
          </cell>
          <cell r="DY210">
            <v>3509</v>
          </cell>
          <cell r="DZ210">
            <v>9867</v>
          </cell>
          <cell r="EA210">
            <v>6140</v>
          </cell>
          <cell r="EB210">
            <v>5757</v>
          </cell>
          <cell r="EC210">
            <v>14245</v>
          </cell>
          <cell r="ED210">
            <v>26228</v>
          </cell>
          <cell r="EE210">
            <v>13952</v>
          </cell>
          <cell r="EF210">
            <v>15553</v>
          </cell>
          <cell r="EG210">
            <v>8735</v>
          </cell>
          <cell r="EH210">
            <v>5826</v>
          </cell>
          <cell r="EI210">
            <v>1703</v>
          </cell>
          <cell r="EJ210">
            <v>2468</v>
          </cell>
          <cell r="EK210">
            <v>7169</v>
          </cell>
          <cell r="EL210">
            <v>17123</v>
          </cell>
          <cell r="EM210">
            <v>3980</v>
          </cell>
          <cell r="EN210">
            <v>4579</v>
          </cell>
          <cell r="EO210">
            <v>8511</v>
          </cell>
          <cell r="EP210">
            <v>21106</v>
          </cell>
          <cell r="EQ210">
            <v>8472</v>
          </cell>
          <cell r="ER210">
            <v>29567</v>
          </cell>
          <cell r="ES210">
            <v>1078</v>
          </cell>
          <cell r="ET210">
            <v>7685</v>
          </cell>
          <cell r="EU210">
            <v>8640</v>
          </cell>
          <cell r="EV210">
            <v>3441</v>
          </cell>
          <cell r="EW210">
            <v>17676</v>
          </cell>
          <cell r="EX210">
            <v>20824</v>
          </cell>
          <cell r="EY210">
            <v>11322</v>
          </cell>
          <cell r="EZ210">
            <v>19572</v>
          </cell>
          <cell r="FA210">
            <v>17753</v>
          </cell>
          <cell r="FB210">
            <v>21544</v>
          </cell>
          <cell r="FC210">
            <v>2997</v>
          </cell>
          <cell r="FD210">
            <v>6848</v>
          </cell>
          <cell r="FE210">
            <v>32641</v>
          </cell>
          <cell r="FF210">
            <v>318419</v>
          </cell>
          <cell r="FG210">
            <v>26496</v>
          </cell>
          <cell r="FH210">
            <v>2988</v>
          </cell>
          <cell r="FI210">
            <v>347600</v>
          </cell>
          <cell r="FJ210">
            <v>-3.2</v>
          </cell>
          <cell r="FK210">
            <v>-0.1</v>
          </cell>
          <cell r="FL210">
            <v>-2.7</v>
          </cell>
          <cell r="FM210">
            <v>-1.4</v>
          </cell>
          <cell r="FN210">
            <v>-9.3000000000000007</v>
          </cell>
          <cell r="FO210">
            <v>12.4</v>
          </cell>
          <cell r="FP210">
            <v>4</v>
          </cell>
          <cell r="FQ210">
            <v>-0.5</v>
          </cell>
          <cell r="FR210">
            <v>-1.9</v>
          </cell>
          <cell r="FS210">
            <v>-0.6</v>
          </cell>
          <cell r="FT210">
            <v>3.7</v>
          </cell>
          <cell r="FU210">
            <v>9.6</v>
          </cell>
          <cell r="FV210">
            <v>-0.1</v>
          </cell>
          <cell r="FW210">
            <v>-2.2000000000000002</v>
          </cell>
          <cell r="FX210">
            <v>-1.5</v>
          </cell>
          <cell r="FY210">
            <v>0.9</v>
          </cell>
          <cell r="FZ210">
            <v>1.5</v>
          </cell>
          <cell r="GA210">
            <v>0.7</v>
          </cell>
          <cell r="GB210">
            <v>-5.3</v>
          </cell>
          <cell r="GC210">
            <v>-1.4</v>
          </cell>
          <cell r="GD210">
            <v>-6</v>
          </cell>
          <cell r="GE210">
            <v>4</v>
          </cell>
          <cell r="GF210">
            <v>-4.5999999999999996</v>
          </cell>
          <cell r="GG210">
            <v>-3</v>
          </cell>
          <cell r="GH210">
            <v>-0.4</v>
          </cell>
          <cell r="GI210">
            <v>1.3</v>
          </cell>
          <cell r="GJ210">
            <v>-1.9</v>
          </cell>
          <cell r="GK210">
            <v>2.1</v>
          </cell>
          <cell r="GL210">
            <v>-1.8</v>
          </cell>
          <cell r="GM210">
            <v>-0.9</v>
          </cell>
          <cell r="GN210">
            <v>-2.1</v>
          </cell>
          <cell r="GO210">
            <v>-0.6</v>
          </cell>
          <cell r="GP210">
            <v>-0.6</v>
          </cell>
          <cell r="GQ210">
            <v>-2</v>
          </cell>
          <cell r="GR210">
            <v>-1.4</v>
          </cell>
          <cell r="GS210">
            <v>0.7</v>
          </cell>
          <cell r="GT210">
            <v>6.6</v>
          </cell>
          <cell r="GU210">
            <v>2.6</v>
          </cell>
          <cell r="GV210">
            <v>-15.8</v>
          </cell>
          <cell r="GW210">
            <v>6.4</v>
          </cell>
          <cell r="GX210">
            <v>2</v>
          </cell>
          <cell r="GY210">
            <v>8.6999999999999993</v>
          </cell>
          <cell r="GZ210">
            <v>2.1</v>
          </cell>
          <cell r="HA210">
            <v>3.6</v>
          </cell>
          <cell r="HB210">
            <v>2</v>
          </cell>
          <cell r="HC210">
            <v>-0.4</v>
          </cell>
          <cell r="HD210">
            <v>0.8</v>
          </cell>
          <cell r="HE210">
            <v>1.6</v>
          </cell>
          <cell r="HF210">
            <v>-0.3</v>
          </cell>
          <cell r="HG210">
            <v>3.2</v>
          </cell>
          <cell r="HH210">
            <v>0.1</v>
          </cell>
          <cell r="HI210">
            <v>0.4</v>
          </cell>
          <cell r="HJ210">
            <v>0.4</v>
          </cell>
          <cell r="HK210">
            <v>0.6</v>
          </cell>
          <cell r="HL210">
            <v>5513</v>
          </cell>
          <cell r="HM210">
            <v>1460</v>
          </cell>
          <cell r="HN210">
            <v>7018</v>
          </cell>
          <cell r="HO210">
            <v>3242</v>
          </cell>
          <cell r="HP210">
            <v>4523</v>
          </cell>
          <cell r="HQ210">
            <v>3498</v>
          </cell>
          <cell r="HR210">
            <v>3502</v>
          </cell>
          <cell r="HS210">
            <v>13411</v>
          </cell>
          <cell r="HT210">
            <v>2533</v>
          </cell>
          <cell r="HU210">
            <v>15422</v>
          </cell>
          <cell r="HV210">
            <v>6255</v>
          </cell>
          <cell r="HW210">
            <v>5098</v>
          </cell>
          <cell r="HX210">
            <v>4006</v>
          </cell>
          <cell r="HY210">
            <v>4987</v>
          </cell>
          <cell r="HZ210">
            <v>5857</v>
          </cell>
          <cell r="IA210">
            <v>26014</v>
          </cell>
          <cell r="IB210">
            <v>5934</v>
          </cell>
          <cell r="IC210">
            <v>363</v>
          </cell>
          <cell r="ID210">
            <v>3504</v>
          </cell>
          <cell r="IE210">
            <v>9820</v>
          </cell>
          <cell r="IF210">
            <v>6161</v>
          </cell>
          <cell r="IG210">
            <v>6126</v>
          </cell>
          <cell r="IH210">
            <v>14148</v>
          </cell>
          <cell r="II210">
            <v>26550</v>
          </cell>
          <cell r="IJ210">
            <v>13899</v>
          </cell>
          <cell r="IK210">
            <v>15022</v>
          </cell>
          <cell r="IL210">
            <v>8431</v>
          </cell>
          <cell r="IM210">
            <v>5846</v>
          </cell>
          <cell r="IN210">
            <v>1633</v>
          </cell>
          <cell r="IO210">
            <v>2404</v>
          </cell>
          <cell r="IP210">
            <v>6927</v>
          </cell>
          <cell r="IQ210">
            <v>16754</v>
          </cell>
        </row>
        <row r="211">
          <cell r="B211">
            <v>8719</v>
          </cell>
          <cell r="C211">
            <v>1490</v>
          </cell>
          <cell r="D211">
            <v>10214</v>
          </cell>
          <cell r="E211">
            <v>3258</v>
          </cell>
          <cell r="F211">
            <v>4550</v>
          </cell>
          <cell r="G211">
            <v>3682</v>
          </cell>
          <cell r="H211">
            <v>3514</v>
          </cell>
          <cell r="I211">
            <v>13693</v>
          </cell>
          <cell r="J211">
            <v>2421</v>
          </cell>
          <cell r="K211">
            <v>15696</v>
          </cell>
          <cell r="L211">
            <v>6383</v>
          </cell>
          <cell r="M211">
            <v>5176</v>
          </cell>
          <cell r="N211">
            <v>4013</v>
          </cell>
          <cell r="O211">
            <v>5232</v>
          </cell>
          <cell r="P211">
            <v>5828</v>
          </cell>
          <cell r="Q211">
            <v>26487</v>
          </cell>
          <cell r="R211">
            <v>5911</v>
          </cell>
          <cell r="S211">
            <v>340</v>
          </cell>
          <cell r="T211">
            <v>3546</v>
          </cell>
          <cell r="U211">
            <v>9840</v>
          </cell>
          <cell r="V211">
            <v>6288</v>
          </cell>
          <cell r="W211">
            <v>5802</v>
          </cell>
          <cell r="X211">
            <v>14401</v>
          </cell>
          <cell r="Y211">
            <v>26555</v>
          </cell>
          <cell r="Z211">
            <v>14288</v>
          </cell>
          <cell r="AA211">
            <v>15557</v>
          </cell>
          <cell r="AB211">
            <v>8711</v>
          </cell>
          <cell r="AC211">
            <v>5881</v>
          </cell>
          <cell r="AD211">
            <v>1685</v>
          </cell>
          <cell r="AE211">
            <v>2497</v>
          </cell>
          <cell r="AF211">
            <v>7337</v>
          </cell>
          <cell r="AG211">
            <v>17360</v>
          </cell>
          <cell r="AH211">
            <v>4008</v>
          </cell>
          <cell r="AI211">
            <v>4641</v>
          </cell>
          <cell r="AJ211">
            <v>8597</v>
          </cell>
          <cell r="AK211">
            <v>21112</v>
          </cell>
          <cell r="AL211">
            <v>8201</v>
          </cell>
          <cell r="AM211">
            <v>29243</v>
          </cell>
          <cell r="AN211">
            <v>1199</v>
          </cell>
          <cell r="AO211">
            <v>7626</v>
          </cell>
          <cell r="AP211">
            <v>8763</v>
          </cell>
          <cell r="AQ211">
            <v>3541</v>
          </cell>
          <cell r="AR211">
            <v>17716</v>
          </cell>
          <cell r="AS211">
            <v>20990</v>
          </cell>
          <cell r="AT211">
            <v>11324</v>
          </cell>
          <cell r="AU211">
            <v>19367</v>
          </cell>
          <cell r="AV211">
            <v>17809</v>
          </cell>
          <cell r="AW211">
            <v>21955</v>
          </cell>
          <cell r="AX211">
            <v>3019</v>
          </cell>
          <cell r="AY211">
            <v>6706</v>
          </cell>
          <cell r="AZ211">
            <v>32586</v>
          </cell>
          <cell r="BA211">
            <v>321104</v>
          </cell>
          <cell r="BB211">
            <v>26298</v>
          </cell>
          <cell r="BC211">
            <v>1918</v>
          </cell>
          <cell r="BD211">
            <v>349069</v>
          </cell>
          <cell r="BE211">
            <v>0.8</v>
          </cell>
          <cell r="BF211">
            <v>0.7</v>
          </cell>
          <cell r="BG211">
            <v>0.8</v>
          </cell>
          <cell r="BH211">
            <v>1.7</v>
          </cell>
          <cell r="BI211">
            <v>-2.1</v>
          </cell>
          <cell r="BJ211">
            <v>9.6999999999999993</v>
          </cell>
          <cell r="BK211">
            <v>1.4</v>
          </cell>
          <cell r="BL211">
            <v>2.4</v>
          </cell>
          <cell r="BM211">
            <v>-2.4</v>
          </cell>
          <cell r="BN211">
            <v>2.1</v>
          </cell>
          <cell r="BO211">
            <v>1.6</v>
          </cell>
          <cell r="BP211">
            <v>4.3</v>
          </cell>
          <cell r="BQ211">
            <v>-1.2</v>
          </cell>
          <cell r="BR211">
            <v>4.5999999999999996</v>
          </cell>
          <cell r="BS211">
            <v>-0.4</v>
          </cell>
          <cell r="BT211">
            <v>1.7</v>
          </cell>
          <cell r="BU211">
            <v>0.3</v>
          </cell>
          <cell r="BV211">
            <v>0.1</v>
          </cell>
          <cell r="BW211">
            <v>0.4</v>
          </cell>
          <cell r="BX211">
            <v>0.1</v>
          </cell>
          <cell r="BY211">
            <v>0.6</v>
          </cell>
          <cell r="BZ211">
            <v>0.7</v>
          </cell>
          <cell r="CA211">
            <v>-1.1000000000000001</v>
          </cell>
          <cell r="CB211">
            <v>-0.3</v>
          </cell>
          <cell r="CC211">
            <v>1.8</v>
          </cell>
          <cell r="CD211">
            <v>0.5</v>
          </cell>
          <cell r="CE211">
            <v>-0.7</v>
          </cell>
          <cell r="CF211">
            <v>1.5</v>
          </cell>
          <cell r="CG211">
            <v>-1</v>
          </cell>
          <cell r="CH211">
            <v>0</v>
          </cell>
          <cell r="CI211">
            <v>0.3</v>
          </cell>
          <cell r="CJ211">
            <v>0.5</v>
          </cell>
          <cell r="CK211">
            <v>0.6</v>
          </cell>
          <cell r="CL211">
            <v>0.5</v>
          </cell>
          <cell r="CM211">
            <v>0.5</v>
          </cell>
          <cell r="CN211">
            <v>0.2</v>
          </cell>
          <cell r="CO211">
            <v>-1.8</v>
          </cell>
          <cell r="CP211">
            <v>0.2</v>
          </cell>
          <cell r="CQ211">
            <v>1.2</v>
          </cell>
          <cell r="CR211">
            <v>0.6</v>
          </cell>
          <cell r="CS211">
            <v>0.8</v>
          </cell>
          <cell r="CT211">
            <v>3.5</v>
          </cell>
          <cell r="CU211">
            <v>1</v>
          </cell>
          <cell r="CV211">
            <v>1.5</v>
          </cell>
          <cell r="CW211">
            <v>1.2</v>
          </cell>
          <cell r="CX211">
            <v>-0.6</v>
          </cell>
          <cell r="CY211">
            <v>0.5</v>
          </cell>
          <cell r="CZ211">
            <v>1.7</v>
          </cell>
          <cell r="DA211">
            <v>0</v>
          </cell>
          <cell r="DB211">
            <v>0.1</v>
          </cell>
          <cell r="DC211">
            <v>-0.1</v>
          </cell>
          <cell r="DD211">
            <v>0.8</v>
          </cell>
          <cell r="DE211">
            <v>-0.3</v>
          </cell>
          <cell r="DF211">
            <v>0.6</v>
          </cell>
          <cell r="DG211">
            <v>8966</v>
          </cell>
          <cell r="DH211">
            <v>1503</v>
          </cell>
          <cell r="DI211">
            <v>10471</v>
          </cell>
          <cell r="DJ211">
            <v>3295</v>
          </cell>
          <cell r="DK211">
            <v>4612</v>
          </cell>
          <cell r="DL211">
            <v>3742</v>
          </cell>
          <cell r="DM211">
            <v>3598</v>
          </cell>
          <cell r="DN211">
            <v>13899</v>
          </cell>
          <cell r="DO211">
            <v>2310</v>
          </cell>
          <cell r="DP211">
            <v>15877</v>
          </cell>
          <cell r="DQ211">
            <v>6405</v>
          </cell>
          <cell r="DR211">
            <v>5117</v>
          </cell>
          <cell r="DS211">
            <v>3935</v>
          </cell>
          <cell r="DT211">
            <v>5167</v>
          </cell>
          <cell r="DU211">
            <v>5674</v>
          </cell>
          <cell r="DV211">
            <v>26188</v>
          </cell>
          <cell r="DW211">
            <v>5805</v>
          </cell>
          <cell r="DX211">
            <v>343</v>
          </cell>
          <cell r="DY211">
            <v>3395</v>
          </cell>
          <cell r="DZ211">
            <v>9579</v>
          </cell>
          <cell r="EA211">
            <v>6179</v>
          </cell>
          <cell r="EB211">
            <v>5993</v>
          </cell>
          <cell r="EC211">
            <v>14562</v>
          </cell>
          <cell r="ED211">
            <v>26788</v>
          </cell>
          <cell r="EE211">
            <v>14198</v>
          </cell>
          <cell r="EF211">
            <v>15497</v>
          </cell>
          <cell r="EG211">
            <v>8679</v>
          </cell>
          <cell r="EH211">
            <v>5905</v>
          </cell>
          <cell r="EI211">
            <v>1674</v>
          </cell>
          <cell r="EJ211">
            <v>2564</v>
          </cell>
          <cell r="EK211">
            <v>7415</v>
          </cell>
          <cell r="EL211">
            <v>17515</v>
          </cell>
          <cell r="EM211">
            <v>3973</v>
          </cell>
          <cell r="EN211">
            <v>4569</v>
          </cell>
          <cell r="EO211">
            <v>8492</v>
          </cell>
          <cell r="EP211">
            <v>21030</v>
          </cell>
          <cell r="EQ211">
            <v>8200</v>
          </cell>
          <cell r="ER211">
            <v>29190</v>
          </cell>
          <cell r="ES211">
            <v>1256</v>
          </cell>
          <cell r="ET211">
            <v>7764</v>
          </cell>
          <cell r="EU211">
            <v>8970</v>
          </cell>
          <cell r="EV211">
            <v>3665</v>
          </cell>
          <cell r="EW211">
            <v>17696</v>
          </cell>
          <cell r="EX211">
            <v>21137</v>
          </cell>
          <cell r="EY211">
            <v>11437</v>
          </cell>
          <cell r="EZ211">
            <v>19219</v>
          </cell>
          <cell r="FA211">
            <v>17773</v>
          </cell>
          <cell r="FB211">
            <v>21934</v>
          </cell>
          <cell r="FC211">
            <v>3055</v>
          </cell>
          <cell r="FD211">
            <v>6525</v>
          </cell>
          <cell r="FE211">
            <v>32558</v>
          </cell>
          <cell r="FF211">
            <v>321270</v>
          </cell>
          <cell r="FG211">
            <v>26233</v>
          </cell>
          <cell r="FH211">
            <v>1294</v>
          </cell>
          <cell r="FI211">
            <v>348557</v>
          </cell>
          <cell r="FJ211">
            <v>7.8</v>
          </cell>
          <cell r="FK211">
            <v>2.5</v>
          </cell>
          <cell r="FL211">
            <v>6.9</v>
          </cell>
          <cell r="FM211">
            <v>5.0999999999999996</v>
          </cell>
          <cell r="FN211">
            <v>3.2</v>
          </cell>
          <cell r="FO211">
            <v>10</v>
          </cell>
          <cell r="FP211">
            <v>2.8</v>
          </cell>
          <cell r="FQ211">
            <v>5.5</v>
          </cell>
          <cell r="FR211">
            <v>-8.6</v>
          </cell>
          <cell r="FS211">
            <v>4.7</v>
          </cell>
          <cell r="FT211">
            <v>0.6</v>
          </cell>
          <cell r="FU211">
            <v>-0.4</v>
          </cell>
          <cell r="FV211">
            <v>-5.5</v>
          </cell>
          <cell r="FW211">
            <v>6</v>
          </cell>
          <cell r="FX211">
            <v>-4</v>
          </cell>
          <cell r="FY211">
            <v>-0.2</v>
          </cell>
          <cell r="FZ211">
            <v>-2.7</v>
          </cell>
          <cell r="GA211">
            <v>0.5</v>
          </cell>
          <cell r="GB211">
            <v>-3.3</v>
          </cell>
          <cell r="GC211">
            <v>-2.9</v>
          </cell>
          <cell r="GD211">
            <v>0.6</v>
          </cell>
          <cell r="GE211">
            <v>4.0999999999999996</v>
          </cell>
          <cell r="GF211">
            <v>2.2000000000000002</v>
          </cell>
          <cell r="GG211">
            <v>2.1</v>
          </cell>
          <cell r="GH211">
            <v>1.8</v>
          </cell>
          <cell r="GI211">
            <v>-0.4</v>
          </cell>
          <cell r="GJ211">
            <v>-0.6</v>
          </cell>
          <cell r="GK211">
            <v>1.4</v>
          </cell>
          <cell r="GL211">
            <v>-1.7</v>
          </cell>
          <cell r="GM211">
            <v>3.9</v>
          </cell>
          <cell r="GN211">
            <v>3.4</v>
          </cell>
          <cell r="GO211">
            <v>2.2999999999999998</v>
          </cell>
          <cell r="GP211">
            <v>-0.2</v>
          </cell>
          <cell r="GQ211">
            <v>-0.2</v>
          </cell>
          <cell r="GR211">
            <v>-0.2</v>
          </cell>
          <cell r="GS211">
            <v>-0.4</v>
          </cell>
          <cell r="GT211">
            <v>-3.2</v>
          </cell>
          <cell r="GU211">
            <v>-1.3</v>
          </cell>
          <cell r="GV211">
            <v>16.5</v>
          </cell>
          <cell r="GW211">
            <v>1</v>
          </cell>
          <cell r="GX211">
            <v>3.8</v>
          </cell>
          <cell r="GY211">
            <v>6.5</v>
          </cell>
          <cell r="GZ211">
            <v>0.1</v>
          </cell>
          <cell r="HA211">
            <v>1.5</v>
          </cell>
          <cell r="HB211">
            <v>1</v>
          </cell>
          <cell r="HC211">
            <v>-1.8</v>
          </cell>
          <cell r="HD211">
            <v>0.1</v>
          </cell>
          <cell r="HE211">
            <v>1.8</v>
          </cell>
          <cell r="HF211">
            <v>1.9</v>
          </cell>
          <cell r="HG211">
            <v>-4.7</v>
          </cell>
          <cell r="HH211">
            <v>-0.3</v>
          </cell>
          <cell r="HI211">
            <v>0.9</v>
          </cell>
          <cell r="HJ211">
            <v>-1</v>
          </cell>
          <cell r="HK211">
            <v>0.3</v>
          </cell>
          <cell r="HL211">
            <v>5480</v>
          </cell>
          <cell r="HM211">
            <v>1505</v>
          </cell>
          <cell r="HN211">
            <v>7041</v>
          </cell>
          <cell r="HO211">
            <v>3376</v>
          </cell>
          <cell r="HP211">
            <v>4746</v>
          </cell>
          <cell r="HQ211">
            <v>3821</v>
          </cell>
          <cell r="HR211">
            <v>3631</v>
          </cell>
          <cell r="HS211">
            <v>14205</v>
          </cell>
          <cell r="HT211">
            <v>2196</v>
          </cell>
          <cell r="HU211">
            <v>16163</v>
          </cell>
          <cell r="HV211">
            <v>6419</v>
          </cell>
          <cell r="HW211">
            <v>5280</v>
          </cell>
          <cell r="HX211">
            <v>4064</v>
          </cell>
          <cell r="HY211">
            <v>5366</v>
          </cell>
          <cell r="HZ211">
            <v>5874</v>
          </cell>
          <cell r="IA211">
            <v>26904</v>
          </cell>
          <cell r="IB211">
            <v>5950</v>
          </cell>
          <cell r="IC211">
            <v>381</v>
          </cell>
          <cell r="ID211">
            <v>3351</v>
          </cell>
          <cell r="IE211">
            <v>9707</v>
          </cell>
          <cell r="IF211">
            <v>6465</v>
          </cell>
          <cell r="IG211">
            <v>5793</v>
          </cell>
          <cell r="IH211">
            <v>14853</v>
          </cell>
          <cell r="II211">
            <v>27190</v>
          </cell>
          <cell r="IJ211">
            <v>14323</v>
          </cell>
          <cell r="IK211">
            <v>15179</v>
          </cell>
          <cell r="IL211">
            <v>8687</v>
          </cell>
          <cell r="IM211">
            <v>5939</v>
          </cell>
          <cell r="IN211">
            <v>1737</v>
          </cell>
          <cell r="IO211">
            <v>2675</v>
          </cell>
          <cell r="IP211">
            <v>7424</v>
          </cell>
          <cell r="IQ211">
            <v>17724</v>
          </cell>
        </row>
        <row r="212">
          <cell r="B212">
            <v>8711</v>
          </cell>
          <cell r="C212">
            <v>1477</v>
          </cell>
          <cell r="D212">
            <v>10192</v>
          </cell>
          <cell r="E212">
            <v>3332</v>
          </cell>
          <cell r="F212">
            <v>4645</v>
          </cell>
          <cell r="G212">
            <v>3853</v>
          </cell>
          <cell r="H212">
            <v>3587</v>
          </cell>
          <cell r="I212">
            <v>14085</v>
          </cell>
          <cell r="J212">
            <v>2382</v>
          </cell>
          <cell r="K212">
            <v>16104</v>
          </cell>
          <cell r="L212">
            <v>6425</v>
          </cell>
          <cell r="M212">
            <v>5348</v>
          </cell>
          <cell r="N212">
            <v>4095</v>
          </cell>
          <cell r="O212">
            <v>5474</v>
          </cell>
          <cell r="P212">
            <v>5882</v>
          </cell>
          <cell r="Q212">
            <v>27117</v>
          </cell>
          <cell r="R212">
            <v>5910</v>
          </cell>
          <cell r="S212">
            <v>340</v>
          </cell>
          <cell r="T212">
            <v>3590</v>
          </cell>
          <cell r="U212">
            <v>9856</v>
          </cell>
          <cell r="V212">
            <v>6545</v>
          </cell>
          <cell r="W212">
            <v>5784</v>
          </cell>
          <cell r="X212">
            <v>14510</v>
          </cell>
          <cell r="Y212">
            <v>26885</v>
          </cell>
          <cell r="Z212">
            <v>14482</v>
          </cell>
          <cell r="AA212">
            <v>15614</v>
          </cell>
          <cell r="AB212">
            <v>8657</v>
          </cell>
          <cell r="AC212">
            <v>5993</v>
          </cell>
          <cell r="AD212">
            <v>1692</v>
          </cell>
          <cell r="AE212">
            <v>2504</v>
          </cell>
          <cell r="AF212">
            <v>7456</v>
          </cell>
          <cell r="AG212">
            <v>17607</v>
          </cell>
          <cell r="AH212">
            <v>4055</v>
          </cell>
          <cell r="AI212">
            <v>4714</v>
          </cell>
          <cell r="AJ212">
            <v>8718</v>
          </cell>
          <cell r="AK212">
            <v>21130</v>
          </cell>
          <cell r="AL212">
            <v>8100</v>
          </cell>
          <cell r="AM212">
            <v>29262</v>
          </cell>
          <cell r="AN212">
            <v>1290</v>
          </cell>
          <cell r="AO212">
            <v>7488</v>
          </cell>
          <cell r="AP212">
            <v>8761</v>
          </cell>
          <cell r="AQ212">
            <v>3616</v>
          </cell>
          <cell r="AR212">
            <v>18025</v>
          </cell>
          <cell r="AS212">
            <v>21366</v>
          </cell>
          <cell r="AT212">
            <v>11368</v>
          </cell>
          <cell r="AU212">
            <v>19520</v>
          </cell>
          <cell r="AV212">
            <v>17892</v>
          </cell>
          <cell r="AW212">
            <v>22251</v>
          </cell>
          <cell r="AX212">
            <v>2992</v>
          </cell>
          <cell r="AY212">
            <v>6740</v>
          </cell>
          <cell r="AZ212">
            <v>32606</v>
          </cell>
          <cell r="BA212">
            <v>324458</v>
          </cell>
          <cell r="BB212">
            <v>26219</v>
          </cell>
          <cell r="BC212">
            <v>326</v>
          </cell>
          <cell r="BD212">
            <v>350792</v>
          </cell>
          <cell r="BE212">
            <v>-0.1</v>
          </cell>
          <cell r="BF212">
            <v>-0.8</v>
          </cell>
          <cell r="BG212">
            <v>-0.2</v>
          </cell>
          <cell r="BH212">
            <v>2.2999999999999998</v>
          </cell>
          <cell r="BI212">
            <v>2.1</v>
          </cell>
          <cell r="BJ212">
            <v>4.5999999999999996</v>
          </cell>
          <cell r="BK212">
            <v>2.1</v>
          </cell>
          <cell r="BL212">
            <v>2.9</v>
          </cell>
          <cell r="BM212">
            <v>-1.6</v>
          </cell>
          <cell r="BN212">
            <v>2.6</v>
          </cell>
          <cell r="BO212">
            <v>0.7</v>
          </cell>
          <cell r="BP212">
            <v>3.3</v>
          </cell>
          <cell r="BQ212">
            <v>2</v>
          </cell>
          <cell r="BR212">
            <v>4.5999999999999996</v>
          </cell>
          <cell r="BS212">
            <v>0.9</v>
          </cell>
          <cell r="BT212">
            <v>2.4</v>
          </cell>
          <cell r="BU212">
            <v>0</v>
          </cell>
          <cell r="BV212">
            <v>0</v>
          </cell>
          <cell r="BW212">
            <v>1.3</v>
          </cell>
          <cell r="BX212">
            <v>0.2</v>
          </cell>
          <cell r="BY212">
            <v>4.0999999999999996</v>
          </cell>
          <cell r="BZ212">
            <v>-0.3</v>
          </cell>
          <cell r="CA212">
            <v>0.8</v>
          </cell>
          <cell r="CB212">
            <v>1.2</v>
          </cell>
          <cell r="CC212">
            <v>1.4</v>
          </cell>
          <cell r="CD212">
            <v>0.4</v>
          </cell>
          <cell r="CE212">
            <v>-0.6</v>
          </cell>
          <cell r="CF212">
            <v>1.9</v>
          </cell>
          <cell r="CG212">
            <v>0.4</v>
          </cell>
          <cell r="CH212">
            <v>0.3</v>
          </cell>
          <cell r="CI212">
            <v>1.6</v>
          </cell>
          <cell r="CJ212">
            <v>1.4</v>
          </cell>
          <cell r="CK212">
            <v>1.2</v>
          </cell>
          <cell r="CL212">
            <v>1.6</v>
          </cell>
          <cell r="CM212">
            <v>1.4</v>
          </cell>
          <cell r="CN212">
            <v>0.1</v>
          </cell>
          <cell r="CO212">
            <v>-1.2</v>
          </cell>
          <cell r="CP212">
            <v>0.1</v>
          </cell>
          <cell r="CQ212">
            <v>7.6</v>
          </cell>
          <cell r="CR212">
            <v>-1.8</v>
          </cell>
          <cell r="CS212">
            <v>0</v>
          </cell>
          <cell r="CT212">
            <v>2.1</v>
          </cell>
          <cell r="CU212">
            <v>1.7</v>
          </cell>
          <cell r="CV212">
            <v>1.8</v>
          </cell>
          <cell r="CW212">
            <v>0.4</v>
          </cell>
          <cell r="CX212">
            <v>0.8</v>
          </cell>
          <cell r="CY212">
            <v>0.5</v>
          </cell>
          <cell r="CZ212">
            <v>1.3</v>
          </cell>
          <cell r="DA212">
            <v>-0.9</v>
          </cell>
          <cell r="DB212">
            <v>0.5</v>
          </cell>
          <cell r="DC212">
            <v>0.1</v>
          </cell>
          <cell r="DD212">
            <v>1</v>
          </cell>
          <cell r="DE212">
            <v>-0.3</v>
          </cell>
          <cell r="DF212">
            <v>0.5</v>
          </cell>
          <cell r="DG212">
            <v>8950</v>
          </cell>
          <cell r="DH212">
            <v>1489</v>
          </cell>
          <cell r="DI212">
            <v>10439</v>
          </cell>
          <cell r="DJ212">
            <v>3356</v>
          </cell>
          <cell r="DK212">
            <v>4562</v>
          </cell>
          <cell r="DL212">
            <v>3785</v>
          </cell>
          <cell r="DM212">
            <v>3449</v>
          </cell>
          <cell r="DN212">
            <v>13927</v>
          </cell>
          <cell r="DO212">
            <v>2445</v>
          </cell>
          <cell r="DP212">
            <v>15956</v>
          </cell>
          <cell r="DQ212">
            <v>6301</v>
          </cell>
          <cell r="DR212">
            <v>5318</v>
          </cell>
          <cell r="DS212">
            <v>4030</v>
          </cell>
          <cell r="DT212">
            <v>5806</v>
          </cell>
          <cell r="DU212">
            <v>5975</v>
          </cell>
          <cell r="DV212">
            <v>27335</v>
          </cell>
          <cell r="DW212">
            <v>5993</v>
          </cell>
          <cell r="DX212">
            <v>338</v>
          </cell>
          <cell r="DY212">
            <v>3716</v>
          </cell>
          <cell r="DZ212">
            <v>10073</v>
          </cell>
          <cell r="EA212">
            <v>6613</v>
          </cell>
          <cell r="EB212">
            <v>5687</v>
          </cell>
          <cell r="EC212">
            <v>14505</v>
          </cell>
          <cell r="ED212">
            <v>26848</v>
          </cell>
          <cell r="EE212">
            <v>14682</v>
          </cell>
          <cell r="EF212">
            <v>15667</v>
          </cell>
          <cell r="EG212">
            <v>8698</v>
          </cell>
          <cell r="EH212">
            <v>5902</v>
          </cell>
          <cell r="EI212">
            <v>1692</v>
          </cell>
          <cell r="EJ212">
            <v>2463</v>
          </cell>
          <cell r="EK212">
            <v>7398</v>
          </cell>
          <cell r="EL212">
            <v>17422</v>
          </cell>
          <cell r="EM212">
            <v>4092</v>
          </cell>
          <cell r="EN212">
            <v>4848</v>
          </cell>
          <cell r="EO212">
            <v>8882</v>
          </cell>
          <cell r="EP212">
            <v>21144</v>
          </cell>
          <cell r="EQ212">
            <v>7892</v>
          </cell>
          <cell r="ER212">
            <v>28999</v>
          </cell>
          <cell r="ES212">
            <v>1298</v>
          </cell>
          <cell r="ET212">
            <v>7380</v>
          </cell>
          <cell r="EU212">
            <v>8674</v>
          </cell>
          <cell r="EV212">
            <v>3489</v>
          </cell>
          <cell r="EW212">
            <v>17971</v>
          </cell>
          <cell r="EX212">
            <v>21141</v>
          </cell>
          <cell r="EY212">
            <v>11259</v>
          </cell>
          <cell r="EZ212">
            <v>19425</v>
          </cell>
          <cell r="FA212">
            <v>17891</v>
          </cell>
          <cell r="FB212">
            <v>22364</v>
          </cell>
          <cell r="FC212">
            <v>2993</v>
          </cell>
          <cell r="FD212">
            <v>6829</v>
          </cell>
          <cell r="FE212">
            <v>32594</v>
          </cell>
          <cell r="FF212">
            <v>324498</v>
          </cell>
          <cell r="FG212">
            <v>26271</v>
          </cell>
          <cell r="FH212">
            <v>463</v>
          </cell>
          <cell r="FI212">
            <v>351012</v>
          </cell>
          <cell r="FJ212">
            <v>-0.2</v>
          </cell>
          <cell r="FK212">
            <v>-0.9</v>
          </cell>
          <cell r="FL212">
            <v>-0.3</v>
          </cell>
          <cell r="FM212">
            <v>1.8</v>
          </cell>
          <cell r="FN212">
            <v>-1.1000000000000001</v>
          </cell>
          <cell r="FO212">
            <v>1.2</v>
          </cell>
          <cell r="FP212">
            <v>-4.0999999999999996</v>
          </cell>
          <cell r="FQ212">
            <v>0.2</v>
          </cell>
          <cell r="FR212">
            <v>5.8</v>
          </cell>
          <cell r="FS212">
            <v>0.5</v>
          </cell>
          <cell r="FT212">
            <v>-1.6</v>
          </cell>
          <cell r="FU212">
            <v>3.9</v>
          </cell>
          <cell r="FV212">
            <v>2.4</v>
          </cell>
          <cell r="FW212">
            <v>12.4</v>
          </cell>
          <cell r="FX212">
            <v>5.3</v>
          </cell>
          <cell r="FY212">
            <v>4.4000000000000004</v>
          </cell>
          <cell r="FZ212">
            <v>3.2</v>
          </cell>
          <cell r="GA212">
            <v>-1.4</v>
          </cell>
          <cell r="GB212">
            <v>9.5</v>
          </cell>
          <cell r="GC212">
            <v>5.2</v>
          </cell>
          <cell r="GD212">
            <v>7</v>
          </cell>
          <cell r="GE212">
            <v>-5.0999999999999996</v>
          </cell>
          <cell r="GF212">
            <v>-0.4</v>
          </cell>
          <cell r="GG212">
            <v>0.2</v>
          </cell>
          <cell r="GH212">
            <v>3.4</v>
          </cell>
          <cell r="GI212">
            <v>1.1000000000000001</v>
          </cell>
          <cell r="GJ212">
            <v>0.2</v>
          </cell>
          <cell r="GK212">
            <v>-0.1</v>
          </cell>
          <cell r="GL212">
            <v>1.1000000000000001</v>
          </cell>
          <cell r="GM212">
            <v>-3.9</v>
          </cell>
          <cell r="GN212">
            <v>-0.2</v>
          </cell>
          <cell r="GO212">
            <v>-0.5</v>
          </cell>
          <cell r="GP212">
            <v>3</v>
          </cell>
          <cell r="GQ212">
            <v>6.1</v>
          </cell>
          <cell r="GR212">
            <v>4.5999999999999996</v>
          </cell>
          <cell r="GS212">
            <v>0.5</v>
          </cell>
          <cell r="GT212">
            <v>-3.8</v>
          </cell>
          <cell r="GU212">
            <v>-0.7</v>
          </cell>
          <cell r="GV212">
            <v>3.4</v>
          </cell>
          <cell r="GW212">
            <v>-5</v>
          </cell>
          <cell r="GX212">
            <v>-3.3</v>
          </cell>
          <cell r="GY212">
            <v>-4.8</v>
          </cell>
          <cell r="GZ212">
            <v>1.6</v>
          </cell>
          <cell r="HA212">
            <v>0</v>
          </cell>
          <cell r="HB212">
            <v>-1.6</v>
          </cell>
          <cell r="HC212">
            <v>1.1000000000000001</v>
          </cell>
          <cell r="HD212">
            <v>0.7</v>
          </cell>
          <cell r="HE212">
            <v>2</v>
          </cell>
          <cell r="HF212">
            <v>-2</v>
          </cell>
          <cell r="HG212">
            <v>4.7</v>
          </cell>
          <cell r="HH212">
            <v>0.1</v>
          </cell>
          <cell r="HI212">
            <v>1</v>
          </cell>
          <cell r="HJ212">
            <v>0.1</v>
          </cell>
          <cell r="HK212">
            <v>0.7</v>
          </cell>
          <cell r="HL212">
            <v>14250</v>
          </cell>
          <cell r="HM212">
            <v>1492</v>
          </cell>
          <cell r="HN212">
            <v>15653</v>
          </cell>
          <cell r="HO212">
            <v>3475</v>
          </cell>
          <cell r="HP212">
            <v>4688</v>
          </cell>
          <cell r="HQ212">
            <v>3866</v>
          </cell>
          <cell r="HR212">
            <v>3604</v>
          </cell>
          <cell r="HS212">
            <v>14389</v>
          </cell>
          <cell r="HT212">
            <v>2525</v>
          </cell>
          <cell r="HU212">
            <v>16484</v>
          </cell>
          <cell r="HV212">
            <v>6638</v>
          </cell>
          <cell r="HW212">
            <v>5266</v>
          </cell>
          <cell r="HX212">
            <v>4143</v>
          </cell>
          <cell r="HY212">
            <v>5946</v>
          </cell>
          <cell r="HZ212">
            <v>6247</v>
          </cell>
          <cell r="IA212">
            <v>28158</v>
          </cell>
          <cell r="IB212">
            <v>5836</v>
          </cell>
          <cell r="IC212">
            <v>316</v>
          </cell>
          <cell r="ID212">
            <v>3705</v>
          </cell>
          <cell r="IE212">
            <v>9862</v>
          </cell>
          <cell r="IF212">
            <v>6938</v>
          </cell>
          <cell r="IG212">
            <v>5924</v>
          </cell>
          <cell r="IH212">
            <v>15416</v>
          </cell>
          <cell r="II212">
            <v>28324</v>
          </cell>
          <cell r="IJ212">
            <v>15190</v>
          </cell>
          <cell r="IK212">
            <v>17232</v>
          </cell>
          <cell r="IL212">
            <v>9142</v>
          </cell>
          <cell r="IM212">
            <v>6127</v>
          </cell>
          <cell r="IN212">
            <v>1749</v>
          </cell>
          <cell r="IO212">
            <v>2485</v>
          </cell>
          <cell r="IP212">
            <v>7811</v>
          </cell>
          <cell r="IQ212">
            <v>18148</v>
          </cell>
        </row>
        <row r="213">
          <cell r="B213">
            <v>8541</v>
          </cell>
          <cell r="C213">
            <v>1460</v>
          </cell>
          <cell r="D213">
            <v>10004</v>
          </cell>
          <cell r="E213">
            <v>3381</v>
          </cell>
          <cell r="F213">
            <v>4884</v>
          </cell>
          <cell r="G213">
            <v>3872</v>
          </cell>
          <cell r="H213">
            <v>3706</v>
          </cell>
          <cell r="I213">
            <v>14455</v>
          </cell>
          <cell r="J213">
            <v>2389</v>
          </cell>
          <cell r="K213">
            <v>16502</v>
          </cell>
          <cell r="L213">
            <v>6422</v>
          </cell>
          <cell r="M213">
            <v>5348</v>
          </cell>
          <cell r="N213">
            <v>4270</v>
          </cell>
          <cell r="O213">
            <v>5569</v>
          </cell>
          <cell r="P213">
            <v>5909</v>
          </cell>
          <cell r="Q213">
            <v>27484</v>
          </cell>
          <cell r="R213">
            <v>5920</v>
          </cell>
          <cell r="S213">
            <v>347</v>
          </cell>
          <cell r="T213">
            <v>3649</v>
          </cell>
          <cell r="U213">
            <v>9916</v>
          </cell>
          <cell r="V213">
            <v>6861</v>
          </cell>
          <cell r="W213">
            <v>5641</v>
          </cell>
          <cell r="X213">
            <v>14720</v>
          </cell>
          <cell r="Y213">
            <v>27240</v>
          </cell>
          <cell r="Z213">
            <v>14486</v>
          </cell>
          <cell r="AA213">
            <v>15678</v>
          </cell>
          <cell r="AB213">
            <v>8645</v>
          </cell>
          <cell r="AC213">
            <v>6063</v>
          </cell>
          <cell r="AD213">
            <v>1728</v>
          </cell>
          <cell r="AE213">
            <v>2542</v>
          </cell>
          <cell r="AF213">
            <v>7450</v>
          </cell>
          <cell r="AG213">
            <v>17743</v>
          </cell>
          <cell r="AH213">
            <v>4116</v>
          </cell>
          <cell r="AI213">
            <v>4771</v>
          </cell>
          <cell r="AJ213">
            <v>8839</v>
          </cell>
          <cell r="AK213">
            <v>21148</v>
          </cell>
          <cell r="AL213">
            <v>8127</v>
          </cell>
          <cell r="AM213">
            <v>29308</v>
          </cell>
          <cell r="AN213">
            <v>1396</v>
          </cell>
          <cell r="AO213">
            <v>7291</v>
          </cell>
          <cell r="AP213">
            <v>8706</v>
          </cell>
          <cell r="AQ213">
            <v>3751</v>
          </cell>
          <cell r="AR213">
            <v>18289</v>
          </cell>
          <cell r="AS213">
            <v>21782</v>
          </cell>
          <cell r="AT213">
            <v>11463</v>
          </cell>
          <cell r="AU213">
            <v>19790</v>
          </cell>
          <cell r="AV213">
            <v>17974</v>
          </cell>
          <cell r="AW213">
            <v>22377</v>
          </cell>
          <cell r="AX213">
            <v>2967</v>
          </cell>
          <cell r="AY213">
            <v>6776</v>
          </cell>
          <cell r="AZ213">
            <v>32744</v>
          </cell>
          <cell r="BA213">
            <v>327230</v>
          </cell>
          <cell r="BB213">
            <v>26296</v>
          </cell>
          <cell r="BC213">
            <v>-564</v>
          </cell>
          <cell r="BD213">
            <v>352768</v>
          </cell>
          <cell r="BE213">
            <v>-2</v>
          </cell>
          <cell r="BF213">
            <v>-1.2</v>
          </cell>
          <cell r="BG213">
            <v>-1.8</v>
          </cell>
          <cell r="BH213">
            <v>1.5</v>
          </cell>
          <cell r="BI213">
            <v>5.0999999999999996</v>
          </cell>
          <cell r="BJ213">
            <v>0.5</v>
          </cell>
          <cell r="BK213">
            <v>3.3</v>
          </cell>
          <cell r="BL213">
            <v>2.6</v>
          </cell>
          <cell r="BM213">
            <v>0.3</v>
          </cell>
          <cell r="BN213">
            <v>2.5</v>
          </cell>
          <cell r="BO213">
            <v>-0.1</v>
          </cell>
          <cell r="BP213">
            <v>0</v>
          </cell>
          <cell r="BQ213">
            <v>4.3</v>
          </cell>
          <cell r="BR213">
            <v>1.7</v>
          </cell>
          <cell r="BS213">
            <v>0.5</v>
          </cell>
          <cell r="BT213">
            <v>1.4</v>
          </cell>
          <cell r="BU213">
            <v>0.2</v>
          </cell>
          <cell r="BV213">
            <v>1.8</v>
          </cell>
          <cell r="BW213">
            <v>1.6</v>
          </cell>
          <cell r="BX213">
            <v>0.6</v>
          </cell>
          <cell r="BY213">
            <v>4.8</v>
          </cell>
          <cell r="BZ213">
            <v>-2.5</v>
          </cell>
          <cell r="CA213">
            <v>1.4</v>
          </cell>
          <cell r="CB213">
            <v>1.3</v>
          </cell>
          <cell r="CC213">
            <v>0</v>
          </cell>
          <cell r="CD213">
            <v>0.4</v>
          </cell>
          <cell r="CE213">
            <v>-0.1</v>
          </cell>
          <cell r="CF213">
            <v>1.2</v>
          </cell>
          <cell r="CG213">
            <v>2.1</v>
          </cell>
          <cell r="CH213">
            <v>1.5</v>
          </cell>
          <cell r="CI213">
            <v>-0.1</v>
          </cell>
          <cell r="CJ213">
            <v>0.8</v>
          </cell>
          <cell r="CK213">
            <v>1.5</v>
          </cell>
          <cell r="CL213">
            <v>1.2</v>
          </cell>
          <cell r="CM213">
            <v>1.4</v>
          </cell>
          <cell r="CN213">
            <v>0.1</v>
          </cell>
          <cell r="CO213">
            <v>0.3</v>
          </cell>
          <cell r="CP213">
            <v>0.2</v>
          </cell>
          <cell r="CQ213">
            <v>8.1999999999999993</v>
          </cell>
          <cell r="CR213">
            <v>-2.6</v>
          </cell>
          <cell r="CS213">
            <v>-0.6</v>
          </cell>
          <cell r="CT213">
            <v>3.8</v>
          </cell>
          <cell r="CU213">
            <v>1.5</v>
          </cell>
          <cell r="CV213">
            <v>1.9</v>
          </cell>
          <cell r="CW213">
            <v>0.8</v>
          </cell>
          <cell r="CX213">
            <v>1.4</v>
          </cell>
          <cell r="CY213">
            <v>0.5</v>
          </cell>
          <cell r="CZ213">
            <v>0.6</v>
          </cell>
          <cell r="DA213">
            <v>-0.8</v>
          </cell>
          <cell r="DB213">
            <v>0.5</v>
          </cell>
          <cell r="DC213">
            <v>0.4</v>
          </cell>
          <cell r="DD213">
            <v>0.9</v>
          </cell>
          <cell r="DE213">
            <v>0.3</v>
          </cell>
          <cell r="DF213">
            <v>0.6</v>
          </cell>
          <cell r="DG213">
            <v>8218</v>
          </cell>
          <cell r="DH213">
            <v>1458</v>
          </cell>
          <cell r="DI213">
            <v>9685</v>
          </cell>
          <cell r="DJ213">
            <v>3327</v>
          </cell>
          <cell r="DK213">
            <v>4926</v>
          </cell>
          <cell r="DL213">
            <v>3967</v>
          </cell>
          <cell r="DM213">
            <v>3773</v>
          </cell>
          <cell r="DN213">
            <v>14524</v>
          </cell>
          <cell r="DO213">
            <v>2371</v>
          </cell>
          <cell r="DP213">
            <v>16574</v>
          </cell>
          <cell r="DQ213">
            <v>6581</v>
          </cell>
          <cell r="DR213">
            <v>5498</v>
          </cell>
          <cell r="DS213">
            <v>4352</v>
          </cell>
          <cell r="DT213">
            <v>5306</v>
          </cell>
          <cell r="DU213">
            <v>5980</v>
          </cell>
          <cell r="DV213">
            <v>27650</v>
          </cell>
          <cell r="DW213">
            <v>5881</v>
          </cell>
          <cell r="DX213">
            <v>344</v>
          </cell>
          <cell r="DY213">
            <v>3653</v>
          </cell>
          <cell r="DZ213">
            <v>9867</v>
          </cell>
          <cell r="EA213">
            <v>6869</v>
          </cell>
          <cell r="EB213">
            <v>5590</v>
          </cell>
          <cell r="EC213">
            <v>14579</v>
          </cell>
          <cell r="ED213">
            <v>27065</v>
          </cell>
          <cell r="EE213">
            <v>14469</v>
          </cell>
          <cell r="EF213">
            <v>15628</v>
          </cell>
          <cell r="EG213">
            <v>8615</v>
          </cell>
          <cell r="EH213">
            <v>6178</v>
          </cell>
          <cell r="EI213">
            <v>1724</v>
          </cell>
          <cell r="EJ213">
            <v>2523</v>
          </cell>
          <cell r="EK213">
            <v>7636</v>
          </cell>
          <cell r="EL213">
            <v>18025</v>
          </cell>
          <cell r="EM213">
            <v>4098</v>
          </cell>
          <cell r="EN213">
            <v>4684</v>
          </cell>
          <cell r="EO213">
            <v>8740</v>
          </cell>
          <cell r="EP213">
            <v>21187</v>
          </cell>
          <cell r="EQ213">
            <v>8318</v>
          </cell>
          <cell r="ER213">
            <v>29567</v>
          </cell>
          <cell r="ES213">
            <v>1347</v>
          </cell>
          <cell r="ET213">
            <v>7300</v>
          </cell>
          <cell r="EU213">
            <v>8662</v>
          </cell>
          <cell r="EV213">
            <v>3721</v>
          </cell>
          <cell r="EW213">
            <v>18314</v>
          </cell>
          <cell r="EX213">
            <v>21763</v>
          </cell>
          <cell r="EY213">
            <v>11462</v>
          </cell>
          <cell r="EZ213">
            <v>19904</v>
          </cell>
          <cell r="FA213">
            <v>17983</v>
          </cell>
          <cell r="FB213">
            <v>22327</v>
          </cell>
          <cell r="FC213">
            <v>2932</v>
          </cell>
          <cell r="FD213">
            <v>6812</v>
          </cell>
          <cell r="FE213">
            <v>32734</v>
          </cell>
          <cell r="FF213">
            <v>327346</v>
          </cell>
          <cell r="FG213">
            <v>26111</v>
          </cell>
          <cell r="FH213">
            <v>-539</v>
          </cell>
          <cell r="FI213">
            <v>352747</v>
          </cell>
          <cell r="FJ213">
            <v>-8.1999999999999993</v>
          </cell>
          <cell r="FK213">
            <v>-2.1</v>
          </cell>
          <cell r="FL213">
            <v>-7.2</v>
          </cell>
          <cell r="FM213">
            <v>-0.9</v>
          </cell>
          <cell r="FN213">
            <v>8</v>
          </cell>
          <cell r="FO213">
            <v>4.8</v>
          </cell>
          <cell r="FP213">
            <v>9.4</v>
          </cell>
          <cell r="FQ213">
            <v>4.3</v>
          </cell>
          <cell r="FR213">
            <v>-3.1</v>
          </cell>
          <cell r="FS213">
            <v>3.9</v>
          </cell>
          <cell r="FT213">
            <v>4.4000000000000004</v>
          </cell>
          <cell r="FU213">
            <v>3.4</v>
          </cell>
          <cell r="FV213">
            <v>8</v>
          </cell>
          <cell r="FW213">
            <v>-8.6</v>
          </cell>
          <cell r="FX213">
            <v>0.1</v>
          </cell>
          <cell r="FY213">
            <v>1.2</v>
          </cell>
          <cell r="FZ213">
            <v>-1.9</v>
          </cell>
          <cell r="GA213">
            <v>1.8</v>
          </cell>
          <cell r="GB213">
            <v>-1.7</v>
          </cell>
          <cell r="GC213">
            <v>-2</v>
          </cell>
          <cell r="GD213">
            <v>3.9</v>
          </cell>
          <cell r="GE213">
            <v>-1.7</v>
          </cell>
          <cell r="GF213">
            <v>0.5</v>
          </cell>
          <cell r="GG213">
            <v>0.8</v>
          </cell>
          <cell r="GH213">
            <v>-1.5</v>
          </cell>
          <cell r="GI213">
            <v>-0.2</v>
          </cell>
          <cell r="GJ213">
            <v>-1</v>
          </cell>
          <cell r="GK213">
            <v>4.7</v>
          </cell>
          <cell r="GL213">
            <v>1.9</v>
          </cell>
          <cell r="GM213">
            <v>2.4</v>
          </cell>
          <cell r="GN213">
            <v>3.2</v>
          </cell>
          <cell r="GO213">
            <v>3.5</v>
          </cell>
          <cell r="GP213">
            <v>0.2</v>
          </cell>
          <cell r="GQ213">
            <v>-3.4</v>
          </cell>
          <cell r="GR213">
            <v>-1.6</v>
          </cell>
          <cell r="GS213">
            <v>0.2</v>
          </cell>
          <cell r="GT213">
            <v>5.4</v>
          </cell>
          <cell r="GU213">
            <v>2</v>
          </cell>
          <cell r="GV213">
            <v>3.7</v>
          </cell>
          <cell r="GW213">
            <v>-1.1000000000000001</v>
          </cell>
          <cell r="GX213">
            <v>-0.1</v>
          </cell>
          <cell r="GY213">
            <v>6.6</v>
          </cell>
          <cell r="GZ213">
            <v>1.9</v>
          </cell>
          <cell r="HA213">
            <v>2.9</v>
          </cell>
          <cell r="HB213">
            <v>1.8</v>
          </cell>
          <cell r="HC213">
            <v>2.5</v>
          </cell>
          <cell r="HD213">
            <v>0.5</v>
          </cell>
          <cell r="HE213">
            <v>-0.2</v>
          </cell>
          <cell r="HF213">
            <v>-2</v>
          </cell>
          <cell r="HG213">
            <v>-0.3</v>
          </cell>
          <cell r="HH213">
            <v>0.4</v>
          </cell>
          <cell r="HI213">
            <v>0.9</v>
          </cell>
          <cell r="HJ213">
            <v>-0.6</v>
          </cell>
          <cell r="HK213">
            <v>0.5</v>
          </cell>
          <cell r="HL213">
            <v>8406</v>
          </cell>
          <cell r="HM213">
            <v>1458</v>
          </cell>
          <cell r="HN213">
            <v>9873</v>
          </cell>
          <cell r="HO213">
            <v>3014</v>
          </cell>
          <cell r="HP213">
            <v>4613</v>
          </cell>
          <cell r="HQ213">
            <v>3700</v>
          </cell>
          <cell r="HR213">
            <v>3571</v>
          </cell>
          <cell r="HS213">
            <v>13455</v>
          </cell>
          <cell r="HT213">
            <v>2290</v>
          </cell>
          <cell r="HU213">
            <v>15389</v>
          </cell>
          <cell r="HV213">
            <v>6509</v>
          </cell>
          <cell r="HW213">
            <v>5409</v>
          </cell>
          <cell r="HX213">
            <v>4145</v>
          </cell>
          <cell r="HY213">
            <v>4845</v>
          </cell>
          <cell r="HZ213">
            <v>5507</v>
          </cell>
          <cell r="IA213">
            <v>26315</v>
          </cell>
          <cell r="IB213">
            <v>5927</v>
          </cell>
          <cell r="IC213">
            <v>310</v>
          </cell>
          <cell r="ID213">
            <v>3707</v>
          </cell>
          <cell r="IE213">
            <v>9952</v>
          </cell>
          <cell r="IF213">
            <v>6236</v>
          </cell>
          <cell r="IG213">
            <v>5188</v>
          </cell>
          <cell r="IH213">
            <v>13422</v>
          </cell>
          <cell r="II213">
            <v>24861</v>
          </cell>
          <cell r="IJ213">
            <v>13873</v>
          </cell>
          <cell r="IK213">
            <v>15011</v>
          </cell>
          <cell r="IL213">
            <v>8483</v>
          </cell>
          <cell r="IM213">
            <v>5860</v>
          </cell>
          <cell r="IN213">
            <v>1675</v>
          </cell>
          <cell r="IO213">
            <v>2435</v>
          </cell>
          <cell r="IP213">
            <v>7445</v>
          </cell>
          <cell r="IQ213">
            <v>17387</v>
          </cell>
        </row>
        <row r="214">
          <cell r="B214">
            <v>8507</v>
          </cell>
          <cell r="C214">
            <v>1463</v>
          </cell>
          <cell r="D214">
            <v>9974</v>
          </cell>
          <cell r="E214">
            <v>3349</v>
          </cell>
          <cell r="F214">
            <v>5105</v>
          </cell>
          <cell r="G214">
            <v>3826</v>
          </cell>
          <cell r="H214">
            <v>3872</v>
          </cell>
          <cell r="I214">
            <v>14666</v>
          </cell>
          <cell r="J214">
            <v>2420</v>
          </cell>
          <cell r="K214">
            <v>16741</v>
          </cell>
          <cell r="L214">
            <v>6382</v>
          </cell>
          <cell r="M214">
            <v>5296</v>
          </cell>
          <cell r="N214">
            <v>4412</v>
          </cell>
          <cell r="O214">
            <v>5534</v>
          </cell>
          <cell r="P214">
            <v>5851</v>
          </cell>
          <cell r="Q214">
            <v>27490</v>
          </cell>
          <cell r="R214">
            <v>5919</v>
          </cell>
          <cell r="S214">
            <v>359</v>
          </cell>
          <cell r="T214">
            <v>3651</v>
          </cell>
          <cell r="U214">
            <v>9922</v>
          </cell>
          <cell r="V214">
            <v>6959</v>
          </cell>
          <cell r="W214">
            <v>5505</v>
          </cell>
          <cell r="X214">
            <v>14948</v>
          </cell>
          <cell r="Y214">
            <v>27406</v>
          </cell>
          <cell r="Z214">
            <v>14296</v>
          </cell>
          <cell r="AA214">
            <v>15764</v>
          </cell>
          <cell r="AB214">
            <v>8660</v>
          </cell>
          <cell r="AC214">
            <v>6053</v>
          </cell>
          <cell r="AD214">
            <v>1772</v>
          </cell>
          <cell r="AE214">
            <v>2613</v>
          </cell>
          <cell r="AF214">
            <v>7386</v>
          </cell>
          <cell r="AG214">
            <v>17781</v>
          </cell>
          <cell r="AH214">
            <v>4154</v>
          </cell>
          <cell r="AI214">
            <v>4799</v>
          </cell>
          <cell r="AJ214">
            <v>8907</v>
          </cell>
          <cell r="AK214">
            <v>21178</v>
          </cell>
          <cell r="AL214">
            <v>8198</v>
          </cell>
          <cell r="AM214">
            <v>29430</v>
          </cell>
          <cell r="AN214">
            <v>1449</v>
          </cell>
          <cell r="AO214">
            <v>7221</v>
          </cell>
          <cell r="AP214">
            <v>8695</v>
          </cell>
          <cell r="AQ214">
            <v>4028</v>
          </cell>
          <cell r="AR214">
            <v>18565</v>
          </cell>
          <cell r="AS214">
            <v>22388</v>
          </cell>
          <cell r="AT214">
            <v>11733</v>
          </cell>
          <cell r="AU214">
            <v>19924</v>
          </cell>
          <cell r="AV214">
            <v>18033</v>
          </cell>
          <cell r="AW214">
            <v>22383</v>
          </cell>
          <cell r="AX214">
            <v>2964</v>
          </cell>
          <cell r="AY214">
            <v>6806</v>
          </cell>
          <cell r="AZ214">
            <v>33001</v>
          </cell>
          <cell r="BA214">
            <v>329302</v>
          </cell>
          <cell r="BB214">
            <v>26511</v>
          </cell>
          <cell r="BC214">
            <v>-392</v>
          </cell>
          <cell r="BD214">
            <v>355218</v>
          </cell>
          <cell r="BE214">
            <v>-0.4</v>
          </cell>
          <cell r="BF214">
            <v>0.2</v>
          </cell>
          <cell r="BG214">
            <v>-0.3</v>
          </cell>
          <cell r="BH214">
            <v>-1</v>
          </cell>
          <cell r="BI214">
            <v>4.5</v>
          </cell>
          <cell r="BJ214">
            <v>-1.2</v>
          </cell>
          <cell r="BK214">
            <v>4.5</v>
          </cell>
          <cell r="BL214">
            <v>1.5</v>
          </cell>
          <cell r="BM214">
            <v>1.3</v>
          </cell>
          <cell r="BN214">
            <v>1.4</v>
          </cell>
          <cell r="BO214">
            <v>-0.6</v>
          </cell>
          <cell r="BP214">
            <v>-1</v>
          </cell>
          <cell r="BQ214">
            <v>3.3</v>
          </cell>
          <cell r="BR214">
            <v>-0.6</v>
          </cell>
          <cell r="BS214">
            <v>-1</v>
          </cell>
          <cell r="BT214">
            <v>0</v>
          </cell>
          <cell r="BU214">
            <v>0</v>
          </cell>
          <cell r="BV214">
            <v>3.5</v>
          </cell>
          <cell r="BW214">
            <v>0</v>
          </cell>
          <cell r="BX214">
            <v>0.1</v>
          </cell>
          <cell r="BY214">
            <v>1.4</v>
          </cell>
          <cell r="BZ214">
            <v>-2.4</v>
          </cell>
          <cell r="CA214">
            <v>1.6</v>
          </cell>
          <cell r="CB214">
            <v>0.6</v>
          </cell>
          <cell r="CC214">
            <v>-1.3</v>
          </cell>
          <cell r="CD214">
            <v>0.5</v>
          </cell>
          <cell r="CE214">
            <v>0.2</v>
          </cell>
          <cell r="CF214">
            <v>-0.2</v>
          </cell>
          <cell r="CG214">
            <v>2.6</v>
          </cell>
          <cell r="CH214">
            <v>2.8</v>
          </cell>
          <cell r="CI214">
            <v>-0.9</v>
          </cell>
          <cell r="CJ214">
            <v>0.2</v>
          </cell>
          <cell r="CK214">
            <v>0.9</v>
          </cell>
          <cell r="CL214">
            <v>0.6</v>
          </cell>
          <cell r="CM214">
            <v>0.8</v>
          </cell>
          <cell r="CN214">
            <v>0.1</v>
          </cell>
          <cell r="CO214">
            <v>0.9</v>
          </cell>
          <cell r="CP214">
            <v>0.4</v>
          </cell>
          <cell r="CQ214">
            <v>3.8</v>
          </cell>
          <cell r="CR214">
            <v>-1</v>
          </cell>
          <cell r="CS214">
            <v>-0.1</v>
          </cell>
          <cell r="CT214">
            <v>7.4</v>
          </cell>
          <cell r="CU214">
            <v>1.5</v>
          </cell>
          <cell r="CV214">
            <v>2.8</v>
          </cell>
          <cell r="CW214">
            <v>2.4</v>
          </cell>
          <cell r="CX214">
            <v>0.7</v>
          </cell>
          <cell r="CY214">
            <v>0.3</v>
          </cell>
          <cell r="CZ214">
            <v>0</v>
          </cell>
          <cell r="DA214">
            <v>-0.1</v>
          </cell>
          <cell r="DB214">
            <v>0.4</v>
          </cell>
          <cell r="DC214">
            <v>0.8</v>
          </cell>
          <cell r="DD214">
            <v>0.6</v>
          </cell>
          <cell r="DE214">
            <v>0.8</v>
          </cell>
          <cell r="DF214">
            <v>0.7</v>
          </cell>
          <cell r="DG214">
            <v>8527</v>
          </cell>
          <cell r="DH214">
            <v>1418</v>
          </cell>
          <cell r="DI214">
            <v>9945</v>
          </cell>
          <cell r="DJ214">
            <v>3384</v>
          </cell>
          <cell r="DK214">
            <v>5080</v>
          </cell>
          <cell r="DL214">
            <v>3796</v>
          </cell>
          <cell r="DM214">
            <v>3853</v>
          </cell>
          <cell r="DN214">
            <v>14662</v>
          </cell>
          <cell r="DO214">
            <v>2423</v>
          </cell>
          <cell r="DP214">
            <v>16737</v>
          </cell>
          <cell r="DQ214">
            <v>6297</v>
          </cell>
          <cell r="DR214">
            <v>5243</v>
          </cell>
          <cell r="DS214">
            <v>4409</v>
          </cell>
          <cell r="DT214">
            <v>5636</v>
          </cell>
          <cell r="DU214">
            <v>5763</v>
          </cell>
          <cell r="DV214">
            <v>27387</v>
          </cell>
          <cell r="DW214">
            <v>5923</v>
          </cell>
          <cell r="DX214">
            <v>357</v>
          </cell>
          <cell r="DY214">
            <v>3624</v>
          </cell>
          <cell r="DZ214">
            <v>9899</v>
          </cell>
          <cell r="EA214">
            <v>6994</v>
          </cell>
          <cell r="EB214">
            <v>5702</v>
          </cell>
          <cell r="EC214">
            <v>15154</v>
          </cell>
          <cell r="ED214">
            <v>27849</v>
          </cell>
          <cell r="EE214">
            <v>14269</v>
          </cell>
          <cell r="EF214">
            <v>15792</v>
          </cell>
          <cell r="EG214">
            <v>8671</v>
          </cell>
          <cell r="EH214">
            <v>6014</v>
          </cell>
          <cell r="EI214">
            <v>1777</v>
          </cell>
          <cell r="EJ214">
            <v>2617</v>
          </cell>
          <cell r="EK214">
            <v>7247</v>
          </cell>
          <cell r="EL214">
            <v>17605</v>
          </cell>
          <cell r="EM214">
            <v>4152</v>
          </cell>
          <cell r="EN214">
            <v>4847</v>
          </cell>
          <cell r="EO214">
            <v>8951</v>
          </cell>
          <cell r="EP214">
            <v>21159</v>
          </cell>
          <cell r="EQ214">
            <v>8167</v>
          </cell>
          <cell r="ER214">
            <v>29385</v>
          </cell>
          <cell r="ES214">
            <v>1503</v>
          </cell>
          <cell r="ET214">
            <v>7170</v>
          </cell>
          <cell r="EU214">
            <v>8698</v>
          </cell>
          <cell r="EV214">
            <v>4093</v>
          </cell>
          <cell r="EW214">
            <v>18713</v>
          </cell>
          <cell r="EX214">
            <v>22619</v>
          </cell>
          <cell r="EY214">
            <v>11737</v>
          </cell>
          <cell r="EZ214">
            <v>20107</v>
          </cell>
          <cell r="FA214">
            <v>18051</v>
          </cell>
          <cell r="FB214">
            <v>22436</v>
          </cell>
          <cell r="FC214">
            <v>2991</v>
          </cell>
          <cell r="FD214">
            <v>6720</v>
          </cell>
          <cell r="FE214">
            <v>32980</v>
          </cell>
          <cell r="FF214">
            <v>329864</v>
          </cell>
          <cell r="FG214">
            <v>26656</v>
          </cell>
          <cell r="FH214">
            <v>-1218</v>
          </cell>
          <cell r="FI214">
            <v>355089</v>
          </cell>
          <cell r="FJ214">
            <v>3.8</v>
          </cell>
          <cell r="FK214">
            <v>-2.7</v>
          </cell>
          <cell r="FL214">
            <v>2.7</v>
          </cell>
          <cell r="FM214">
            <v>1.7</v>
          </cell>
          <cell r="FN214">
            <v>3.1</v>
          </cell>
          <cell r="FO214">
            <v>-4.3</v>
          </cell>
          <cell r="FP214">
            <v>2.1</v>
          </cell>
          <cell r="FQ214">
            <v>1</v>
          </cell>
          <cell r="FR214">
            <v>2.2000000000000002</v>
          </cell>
          <cell r="FS214">
            <v>1</v>
          </cell>
          <cell r="FT214">
            <v>-4.3</v>
          </cell>
          <cell r="FU214">
            <v>-4.5999999999999996</v>
          </cell>
          <cell r="FV214">
            <v>1.3</v>
          </cell>
          <cell r="FW214">
            <v>6.2</v>
          </cell>
          <cell r="FX214">
            <v>-3.6</v>
          </cell>
          <cell r="FY214">
            <v>-1</v>
          </cell>
          <cell r="FZ214">
            <v>0.7</v>
          </cell>
          <cell r="GA214">
            <v>3.9</v>
          </cell>
          <cell r="GB214">
            <v>-0.8</v>
          </cell>
          <cell r="GC214">
            <v>0.3</v>
          </cell>
          <cell r="GD214">
            <v>1.8</v>
          </cell>
          <cell r="GE214">
            <v>2</v>
          </cell>
          <cell r="GF214">
            <v>3.9</v>
          </cell>
          <cell r="GG214">
            <v>2.9</v>
          </cell>
          <cell r="GH214">
            <v>-1.4</v>
          </cell>
          <cell r="GI214">
            <v>1</v>
          </cell>
          <cell r="GJ214">
            <v>0.6</v>
          </cell>
          <cell r="GK214">
            <v>-2.7</v>
          </cell>
          <cell r="GL214">
            <v>3</v>
          </cell>
          <cell r="GM214">
            <v>3.7</v>
          </cell>
          <cell r="GN214">
            <v>-5.0999999999999996</v>
          </cell>
          <cell r="GO214">
            <v>-2.2999999999999998</v>
          </cell>
          <cell r="GP214">
            <v>1.3</v>
          </cell>
          <cell r="GQ214">
            <v>3.5</v>
          </cell>
          <cell r="GR214">
            <v>2.4</v>
          </cell>
          <cell r="GS214">
            <v>-0.1</v>
          </cell>
          <cell r="GT214">
            <v>-1.8</v>
          </cell>
          <cell r="GU214">
            <v>-0.6</v>
          </cell>
          <cell r="GV214">
            <v>11.6</v>
          </cell>
          <cell r="GW214">
            <v>-1.8</v>
          </cell>
          <cell r="GX214">
            <v>0.4</v>
          </cell>
          <cell r="GY214">
            <v>10</v>
          </cell>
          <cell r="GZ214">
            <v>2.2000000000000002</v>
          </cell>
          <cell r="HA214">
            <v>3.9</v>
          </cell>
          <cell r="HB214">
            <v>2.4</v>
          </cell>
          <cell r="HC214">
            <v>1</v>
          </cell>
          <cell r="HD214">
            <v>0.4</v>
          </cell>
          <cell r="HE214">
            <v>0.5</v>
          </cell>
          <cell r="HF214">
            <v>2</v>
          </cell>
          <cell r="HG214">
            <v>-1.3</v>
          </cell>
          <cell r="HH214">
            <v>0.8</v>
          </cell>
          <cell r="HI214">
            <v>0.8</v>
          </cell>
          <cell r="HJ214">
            <v>2.1</v>
          </cell>
          <cell r="HK214">
            <v>0.7</v>
          </cell>
          <cell r="HL214">
            <v>6524</v>
          </cell>
          <cell r="HM214">
            <v>1413</v>
          </cell>
          <cell r="HN214">
            <v>7973</v>
          </cell>
          <cell r="HO214">
            <v>3496</v>
          </cell>
          <cell r="HP214">
            <v>5133</v>
          </cell>
          <cell r="HQ214">
            <v>3903</v>
          </cell>
          <cell r="HR214">
            <v>3867</v>
          </cell>
          <cell r="HS214">
            <v>14963</v>
          </cell>
          <cell r="HT214">
            <v>2539</v>
          </cell>
          <cell r="HU214">
            <v>17108</v>
          </cell>
          <cell r="HV214">
            <v>6018</v>
          </cell>
          <cell r="HW214">
            <v>5222</v>
          </cell>
          <cell r="HX214">
            <v>4374</v>
          </cell>
          <cell r="HY214">
            <v>5757</v>
          </cell>
          <cell r="HZ214">
            <v>5765</v>
          </cell>
          <cell r="IA214">
            <v>27182</v>
          </cell>
          <cell r="IB214">
            <v>5889</v>
          </cell>
          <cell r="IC214">
            <v>376</v>
          </cell>
          <cell r="ID214">
            <v>3625</v>
          </cell>
          <cell r="IE214">
            <v>9897</v>
          </cell>
          <cell r="IF214">
            <v>7017</v>
          </cell>
          <cell r="IG214">
            <v>6067</v>
          </cell>
          <cell r="IH214">
            <v>15109</v>
          </cell>
          <cell r="II214">
            <v>28176</v>
          </cell>
          <cell r="IJ214">
            <v>14232</v>
          </cell>
          <cell r="IK214">
            <v>15160</v>
          </cell>
          <cell r="IL214">
            <v>8351</v>
          </cell>
          <cell r="IM214">
            <v>6072</v>
          </cell>
          <cell r="IN214">
            <v>1706</v>
          </cell>
          <cell r="IO214">
            <v>2572</v>
          </cell>
          <cell r="IP214">
            <v>7016</v>
          </cell>
          <cell r="IQ214">
            <v>17308</v>
          </cell>
        </row>
        <row r="215">
          <cell r="B215">
            <v>8728</v>
          </cell>
          <cell r="C215">
            <v>1483</v>
          </cell>
          <cell r="D215">
            <v>10213</v>
          </cell>
          <cell r="E215">
            <v>3213</v>
          </cell>
          <cell r="F215">
            <v>5182</v>
          </cell>
          <cell r="G215">
            <v>3794</v>
          </cell>
          <cell r="H215">
            <v>3986</v>
          </cell>
          <cell r="I215">
            <v>14615</v>
          </cell>
          <cell r="J215">
            <v>2422</v>
          </cell>
          <cell r="K215">
            <v>16688</v>
          </cell>
          <cell r="L215">
            <v>6286</v>
          </cell>
          <cell r="M215">
            <v>5235</v>
          </cell>
          <cell r="N215">
            <v>4382</v>
          </cell>
          <cell r="O215">
            <v>5500</v>
          </cell>
          <cell r="P215">
            <v>5740</v>
          </cell>
          <cell r="Q215">
            <v>27168</v>
          </cell>
          <cell r="R215">
            <v>5909</v>
          </cell>
          <cell r="S215">
            <v>369</v>
          </cell>
          <cell r="T215">
            <v>3664</v>
          </cell>
          <cell r="U215">
            <v>9940</v>
          </cell>
          <cell r="V215">
            <v>6782</v>
          </cell>
          <cell r="W215">
            <v>5505</v>
          </cell>
          <cell r="X215">
            <v>15213</v>
          </cell>
          <cell r="Y215">
            <v>27483</v>
          </cell>
          <cell r="Z215">
            <v>14169</v>
          </cell>
          <cell r="AA215">
            <v>15852</v>
          </cell>
          <cell r="AB215">
            <v>8692</v>
          </cell>
          <cell r="AC215">
            <v>5952</v>
          </cell>
          <cell r="AD215">
            <v>1804</v>
          </cell>
          <cell r="AE215">
            <v>2643</v>
          </cell>
          <cell r="AF215">
            <v>7415</v>
          </cell>
          <cell r="AG215">
            <v>17778</v>
          </cell>
          <cell r="AH215">
            <v>4147</v>
          </cell>
          <cell r="AI215">
            <v>4857</v>
          </cell>
          <cell r="AJ215">
            <v>8954</v>
          </cell>
          <cell r="AK215">
            <v>21249</v>
          </cell>
          <cell r="AL215">
            <v>8253</v>
          </cell>
          <cell r="AM215">
            <v>29544</v>
          </cell>
          <cell r="AN215">
            <v>1442</v>
          </cell>
          <cell r="AO215">
            <v>7254</v>
          </cell>
          <cell r="AP215">
            <v>8713</v>
          </cell>
          <cell r="AQ215">
            <v>4339</v>
          </cell>
          <cell r="AR215">
            <v>18774</v>
          </cell>
          <cell r="AS215">
            <v>22967</v>
          </cell>
          <cell r="AT215">
            <v>12094</v>
          </cell>
          <cell r="AU215">
            <v>19954</v>
          </cell>
          <cell r="AV215">
            <v>18064</v>
          </cell>
          <cell r="AW215">
            <v>22461</v>
          </cell>
          <cell r="AX215">
            <v>3006</v>
          </cell>
          <cell r="AY215">
            <v>6767</v>
          </cell>
          <cell r="AZ215">
            <v>33311</v>
          </cell>
          <cell r="BA215">
            <v>330750</v>
          </cell>
          <cell r="BB215">
            <v>26654</v>
          </cell>
          <cell r="BC215">
            <v>341</v>
          </cell>
          <cell r="BD215">
            <v>357535</v>
          </cell>
          <cell r="BE215">
            <v>2.6</v>
          </cell>
          <cell r="BF215">
            <v>1.3</v>
          </cell>
          <cell r="BG215">
            <v>2.4</v>
          </cell>
          <cell r="BH215">
            <v>-4</v>
          </cell>
          <cell r="BI215">
            <v>1.5</v>
          </cell>
          <cell r="BJ215">
            <v>-0.9</v>
          </cell>
          <cell r="BK215">
            <v>2.9</v>
          </cell>
          <cell r="BL215">
            <v>-0.3</v>
          </cell>
          <cell r="BM215">
            <v>0.1</v>
          </cell>
          <cell r="BN215">
            <v>-0.3</v>
          </cell>
          <cell r="BO215">
            <v>-1.5</v>
          </cell>
          <cell r="BP215">
            <v>-1.2</v>
          </cell>
          <cell r="BQ215">
            <v>-0.7</v>
          </cell>
          <cell r="BR215">
            <v>-0.6</v>
          </cell>
          <cell r="BS215">
            <v>-1.9</v>
          </cell>
          <cell r="BT215">
            <v>-1.2</v>
          </cell>
          <cell r="BU215">
            <v>-0.2</v>
          </cell>
          <cell r="BV215">
            <v>2.8</v>
          </cell>
          <cell r="BW215">
            <v>0.4</v>
          </cell>
          <cell r="BX215">
            <v>0.2</v>
          </cell>
          <cell r="BY215">
            <v>-2.5</v>
          </cell>
          <cell r="BZ215">
            <v>0</v>
          </cell>
          <cell r="CA215">
            <v>1.8</v>
          </cell>
          <cell r="CB215">
            <v>0.3</v>
          </cell>
          <cell r="CC215">
            <v>-0.9</v>
          </cell>
          <cell r="CD215">
            <v>0.6</v>
          </cell>
          <cell r="CE215">
            <v>0.4</v>
          </cell>
          <cell r="CF215">
            <v>-1.7</v>
          </cell>
          <cell r="CG215">
            <v>1.8</v>
          </cell>
          <cell r="CH215">
            <v>1.2</v>
          </cell>
          <cell r="CI215">
            <v>0.4</v>
          </cell>
          <cell r="CJ215">
            <v>0</v>
          </cell>
          <cell r="CK215">
            <v>-0.2</v>
          </cell>
          <cell r="CL215">
            <v>1.2</v>
          </cell>
          <cell r="CM215">
            <v>0.5</v>
          </cell>
          <cell r="CN215">
            <v>0.3</v>
          </cell>
          <cell r="CO215">
            <v>0.7</v>
          </cell>
          <cell r="CP215">
            <v>0.4</v>
          </cell>
          <cell r="CQ215">
            <v>-0.5</v>
          </cell>
          <cell r="CR215">
            <v>0.5</v>
          </cell>
          <cell r="CS215">
            <v>0.2</v>
          </cell>
          <cell r="CT215">
            <v>7.7</v>
          </cell>
          <cell r="CU215">
            <v>1.1000000000000001</v>
          </cell>
          <cell r="CV215">
            <v>2.6</v>
          </cell>
          <cell r="CW215">
            <v>3.1</v>
          </cell>
          <cell r="CX215">
            <v>0.2</v>
          </cell>
          <cell r="CY215">
            <v>0.2</v>
          </cell>
          <cell r="CZ215">
            <v>0.3</v>
          </cell>
          <cell r="DA215">
            <v>1.4</v>
          </cell>
          <cell r="DB215">
            <v>-0.6</v>
          </cell>
          <cell r="DC215">
            <v>0.9</v>
          </cell>
          <cell r="DD215">
            <v>0.4</v>
          </cell>
          <cell r="DE215">
            <v>0.5</v>
          </cell>
          <cell r="DF215">
            <v>0.7</v>
          </cell>
          <cell r="DG215">
            <v>8744</v>
          </cell>
          <cell r="DH215">
            <v>1528</v>
          </cell>
          <cell r="DI215">
            <v>10277</v>
          </cell>
          <cell r="DJ215">
            <v>3295</v>
          </cell>
          <cell r="DK215">
            <v>5274</v>
          </cell>
          <cell r="DL215">
            <v>3714</v>
          </cell>
          <cell r="DM215">
            <v>4010</v>
          </cell>
          <cell r="DN215">
            <v>14746</v>
          </cell>
          <cell r="DO215">
            <v>2404</v>
          </cell>
          <cell r="DP215">
            <v>16811</v>
          </cell>
          <cell r="DQ215">
            <v>6323</v>
          </cell>
          <cell r="DR215">
            <v>5083</v>
          </cell>
          <cell r="DS215">
            <v>4441</v>
          </cell>
          <cell r="DT215">
            <v>5479</v>
          </cell>
          <cell r="DU215">
            <v>5779</v>
          </cell>
          <cell r="DV215">
            <v>27164</v>
          </cell>
          <cell r="DW215">
            <v>5928</v>
          </cell>
          <cell r="DX215">
            <v>375</v>
          </cell>
          <cell r="DY215">
            <v>3642</v>
          </cell>
          <cell r="DZ215">
            <v>9945</v>
          </cell>
          <cell r="EA215">
            <v>6866</v>
          </cell>
          <cell r="EB215">
            <v>5316</v>
          </cell>
          <cell r="EC215">
            <v>15046</v>
          </cell>
          <cell r="ED215">
            <v>27198</v>
          </cell>
          <cell r="EE215">
            <v>14135</v>
          </cell>
          <cell r="EF215">
            <v>15843</v>
          </cell>
          <cell r="EG215">
            <v>8681</v>
          </cell>
          <cell r="EH215">
            <v>5983</v>
          </cell>
          <cell r="EI215">
            <v>1814</v>
          </cell>
          <cell r="EJ215">
            <v>2695</v>
          </cell>
          <cell r="EK215">
            <v>7380</v>
          </cell>
          <cell r="EL215">
            <v>17831</v>
          </cell>
          <cell r="EM215">
            <v>4185</v>
          </cell>
          <cell r="EN215">
            <v>4814</v>
          </cell>
          <cell r="EO215">
            <v>8952</v>
          </cell>
          <cell r="EP215">
            <v>21198</v>
          </cell>
          <cell r="EQ215">
            <v>8227</v>
          </cell>
          <cell r="ER215">
            <v>29459</v>
          </cell>
          <cell r="ES215">
            <v>1469</v>
          </cell>
          <cell r="ET215">
            <v>7320</v>
          </cell>
          <cell r="EU215">
            <v>8815</v>
          </cell>
          <cell r="EV215">
            <v>4253</v>
          </cell>
          <cell r="EW215">
            <v>18504</v>
          </cell>
          <cell r="EX215">
            <v>22610</v>
          </cell>
          <cell r="EY215">
            <v>12009</v>
          </cell>
          <cell r="EZ215">
            <v>19771</v>
          </cell>
          <cell r="FA215">
            <v>18048</v>
          </cell>
          <cell r="FB215">
            <v>22364</v>
          </cell>
          <cell r="FC215">
            <v>2992</v>
          </cell>
          <cell r="FD215">
            <v>6842</v>
          </cell>
          <cell r="FE215">
            <v>33334</v>
          </cell>
          <cell r="FF215">
            <v>329961</v>
          </cell>
          <cell r="FG215">
            <v>26664</v>
          </cell>
          <cell r="FH215">
            <v>803</v>
          </cell>
          <cell r="FI215">
            <v>357212</v>
          </cell>
          <cell r="FJ215">
            <v>2.5</v>
          </cell>
          <cell r="FK215">
            <v>7.7</v>
          </cell>
          <cell r="FL215">
            <v>3.3</v>
          </cell>
          <cell r="FM215">
            <v>-2.6</v>
          </cell>
          <cell r="FN215">
            <v>3.8</v>
          </cell>
          <cell r="FO215">
            <v>-2.2000000000000002</v>
          </cell>
          <cell r="FP215">
            <v>4.0999999999999996</v>
          </cell>
          <cell r="FQ215">
            <v>0.6</v>
          </cell>
          <cell r="FR215">
            <v>-0.8</v>
          </cell>
          <cell r="FS215">
            <v>0.4</v>
          </cell>
          <cell r="FT215">
            <v>0.4</v>
          </cell>
          <cell r="FU215">
            <v>-3.1</v>
          </cell>
          <cell r="FV215">
            <v>0.7</v>
          </cell>
          <cell r="FW215">
            <v>-2.8</v>
          </cell>
          <cell r="FX215">
            <v>0.3</v>
          </cell>
          <cell r="FY215">
            <v>-0.8</v>
          </cell>
          <cell r="FZ215">
            <v>0.1</v>
          </cell>
          <cell r="GA215">
            <v>4.8</v>
          </cell>
          <cell r="GB215">
            <v>0.5</v>
          </cell>
          <cell r="GC215">
            <v>0.5</v>
          </cell>
          <cell r="GD215">
            <v>-1.8</v>
          </cell>
          <cell r="GE215">
            <v>-6.8</v>
          </cell>
          <cell r="GF215">
            <v>-0.7</v>
          </cell>
          <cell r="GG215">
            <v>-2.2999999999999998</v>
          </cell>
          <cell r="GH215">
            <v>-0.9</v>
          </cell>
          <cell r="GI215">
            <v>0.3</v>
          </cell>
          <cell r="GJ215">
            <v>0.1</v>
          </cell>
          <cell r="GK215">
            <v>-0.5</v>
          </cell>
          <cell r="GL215">
            <v>2.1</v>
          </cell>
          <cell r="GM215">
            <v>3</v>
          </cell>
          <cell r="GN215">
            <v>1.8</v>
          </cell>
          <cell r="GO215">
            <v>1.3</v>
          </cell>
          <cell r="GP215">
            <v>0.8</v>
          </cell>
          <cell r="GQ215">
            <v>-0.7</v>
          </cell>
          <cell r="GR215">
            <v>0</v>
          </cell>
          <cell r="GS215">
            <v>0.2</v>
          </cell>
          <cell r="GT215">
            <v>0.7</v>
          </cell>
          <cell r="GU215">
            <v>0.3</v>
          </cell>
          <cell r="GV215">
            <v>-2.2999999999999998</v>
          </cell>
          <cell r="GW215">
            <v>2.1</v>
          </cell>
          <cell r="GX215">
            <v>1.4</v>
          </cell>
          <cell r="GY215">
            <v>3.9</v>
          </cell>
          <cell r="GZ215">
            <v>-1.1000000000000001</v>
          </cell>
          <cell r="HA215">
            <v>0</v>
          </cell>
          <cell r="HB215">
            <v>2.2999999999999998</v>
          </cell>
          <cell r="HC215">
            <v>-1.7</v>
          </cell>
          <cell r="HD215">
            <v>0</v>
          </cell>
          <cell r="HE215">
            <v>-0.3</v>
          </cell>
          <cell r="HF215">
            <v>0</v>
          </cell>
          <cell r="HG215">
            <v>1.8</v>
          </cell>
          <cell r="HH215">
            <v>1.1000000000000001</v>
          </cell>
          <cell r="HI215">
            <v>0</v>
          </cell>
          <cell r="HJ215">
            <v>0</v>
          </cell>
          <cell r="HK215">
            <v>0.6</v>
          </cell>
          <cell r="HL215">
            <v>5896</v>
          </cell>
          <cell r="HM215">
            <v>1530</v>
          </cell>
          <cell r="HN215">
            <v>7478</v>
          </cell>
          <cell r="HO215">
            <v>3371</v>
          </cell>
          <cell r="HP215">
            <v>5412</v>
          </cell>
          <cell r="HQ215">
            <v>3796</v>
          </cell>
          <cell r="HR215">
            <v>4047</v>
          </cell>
          <cell r="HS215">
            <v>15049</v>
          </cell>
          <cell r="HT215">
            <v>2406</v>
          </cell>
          <cell r="HU215">
            <v>17122</v>
          </cell>
          <cell r="HV215">
            <v>6351</v>
          </cell>
          <cell r="HW215">
            <v>5270</v>
          </cell>
          <cell r="HX215">
            <v>4559</v>
          </cell>
          <cell r="HY215">
            <v>5673</v>
          </cell>
          <cell r="HZ215">
            <v>5947</v>
          </cell>
          <cell r="IA215">
            <v>27856</v>
          </cell>
          <cell r="IB215">
            <v>6057</v>
          </cell>
          <cell r="IC215">
            <v>463</v>
          </cell>
          <cell r="ID215">
            <v>3591</v>
          </cell>
          <cell r="IE215">
            <v>10117</v>
          </cell>
          <cell r="IF215">
            <v>7154</v>
          </cell>
          <cell r="IG215">
            <v>5163</v>
          </cell>
          <cell r="IH215">
            <v>15377</v>
          </cell>
          <cell r="II215">
            <v>27649</v>
          </cell>
          <cell r="IJ215">
            <v>14268</v>
          </cell>
          <cell r="IK215">
            <v>15554</v>
          </cell>
          <cell r="IL215">
            <v>8696</v>
          </cell>
          <cell r="IM215">
            <v>6037</v>
          </cell>
          <cell r="IN215">
            <v>1882</v>
          </cell>
          <cell r="IO215">
            <v>2803</v>
          </cell>
          <cell r="IP215">
            <v>7359</v>
          </cell>
          <cell r="IQ215">
            <v>18041</v>
          </cell>
        </row>
        <row r="216">
          <cell r="B216">
            <v>8980</v>
          </cell>
          <cell r="C216">
            <v>1478</v>
          </cell>
          <cell r="D216">
            <v>10456</v>
          </cell>
          <cell r="E216">
            <v>3020</v>
          </cell>
          <cell r="F216">
            <v>5072</v>
          </cell>
          <cell r="G216">
            <v>3821</v>
          </cell>
          <cell r="H216">
            <v>4009</v>
          </cell>
          <cell r="I216">
            <v>14359</v>
          </cell>
          <cell r="J216">
            <v>2428</v>
          </cell>
          <cell r="K216">
            <v>16420</v>
          </cell>
          <cell r="L216">
            <v>6262</v>
          </cell>
          <cell r="M216">
            <v>5252</v>
          </cell>
          <cell r="N216">
            <v>4314</v>
          </cell>
          <cell r="O216">
            <v>5423</v>
          </cell>
          <cell r="P216">
            <v>5673</v>
          </cell>
          <cell r="Q216">
            <v>26928</v>
          </cell>
          <cell r="R216">
            <v>5918</v>
          </cell>
          <cell r="S216">
            <v>372</v>
          </cell>
          <cell r="T216">
            <v>3764</v>
          </cell>
          <cell r="U216">
            <v>10059</v>
          </cell>
          <cell r="V216">
            <v>6471</v>
          </cell>
          <cell r="W216">
            <v>5687</v>
          </cell>
          <cell r="X216">
            <v>15377</v>
          </cell>
          <cell r="Y216">
            <v>27546</v>
          </cell>
          <cell r="Z216">
            <v>14218</v>
          </cell>
          <cell r="AA216">
            <v>15936</v>
          </cell>
          <cell r="AB216">
            <v>8763</v>
          </cell>
          <cell r="AC216">
            <v>5858</v>
          </cell>
          <cell r="AD216">
            <v>1829</v>
          </cell>
          <cell r="AE216">
            <v>2624</v>
          </cell>
          <cell r="AF216">
            <v>7648</v>
          </cell>
          <cell r="AG216">
            <v>17938</v>
          </cell>
          <cell r="AH216">
            <v>4120</v>
          </cell>
          <cell r="AI216">
            <v>4968</v>
          </cell>
          <cell r="AJ216">
            <v>9027</v>
          </cell>
          <cell r="AK216">
            <v>21378</v>
          </cell>
          <cell r="AL216">
            <v>8332</v>
          </cell>
          <cell r="AM216">
            <v>29724</v>
          </cell>
          <cell r="AN216">
            <v>1388</v>
          </cell>
          <cell r="AO216">
            <v>7345</v>
          </cell>
          <cell r="AP216">
            <v>8737</v>
          </cell>
          <cell r="AQ216">
            <v>4508</v>
          </cell>
          <cell r="AR216">
            <v>18974</v>
          </cell>
          <cell r="AS216">
            <v>23354</v>
          </cell>
          <cell r="AT216">
            <v>12324</v>
          </cell>
          <cell r="AU216">
            <v>20112</v>
          </cell>
          <cell r="AV216">
            <v>18103</v>
          </cell>
          <cell r="AW216">
            <v>22678</v>
          </cell>
          <cell r="AX216">
            <v>3062</v>
          </cell>
          <cell r="AY216">
            <v>6754</v>
          </cell>
          <cell r="AZ216">
            <v>33602</v>
          </cell>
          <cell r="BA216">
            <v>332288</v>
          </cell>
          <cell r="BB216">
            <v>26716</v>
          </cell>
          <cell r="BC216">
            <v>598</v>
          </cell>
          <cell r="BD216">
            <v>359393</v>
          </cell>
          <cell r="BE216">
            <v>2.9</v>
          </cell>
          <cell r="BF216">
            <v>-0.3</v>
          </cell>
          <cell r="BG216">
            <v>2.4</v>
          </cell>
          <cell r="BH216">
            <v>-6</v>
          </cell>
          <cell r="BI216">
            <v>-2.1</v>
          </cell>
          <cell r="BJ216">
            <v>0.7</v>
          </cell>
          <cell r="BK216">
            <v>0.6</v>
          </cell>
          <cell r="BL216">
            <v>-1.8</v>
          </cell>
          <cell r="BM216">
            <v>0.3</v>
          </cell>
          <cell r="BN216">
            <v>-1.6</v>
          </cell>
          <cell r="BO216">
            <v>-0.4</v>
          </cell>
          <cell r="BP216">
            <v>0.3</v>
          </cell>
          <cell r="BQ216">
            <v>-1.5</v>
          </cell>
          <cell r="BR216">
            <v>-1.4</v>
          </cell>
          <cell r="BS216">
            <v>-1.2</v>
          </cell>
          <cell r="BT216">
            <v>-0.9</v>
          </cell>
          <cell r="BU216">
            <v>0.1</v>
          </cell>
          <cell r="BV216">
            <v>1</v>
          </cell>
          <cell r="BW216">
            <v>2.7</v>
          </cell>
          <cell r="BX216">
            <v>1.2</v>
          </cell>
          <cell r="BY216">
            <v>-4.5999999999999996</v>
          </cell>
          <cell r="BZ216">
            <v>3.3</v>
          </cell>
          <cell r="CA216">
            <v>1.1000000000000001</v>
          </cell>
          <cell r="CB216">
            <v>0.2</v>
          </cell>
          <cell r="CC216">
            <v>0.3</v>
          </cell>
          <cell r="CD216">
            <v>0.5</v>
          </cell>
          <cell r="CE216">
            <v>0.8</v>
          </cell>
          <cell r="CF216">
            <v>-1.6</v>
          </cell>
          <cell r="CG216">
            <v>1.3</v>
          </cell>
          <cell r="CH216">
            <v>-0.7</v>
          </cell>
          <cell r="CI216">
            <v>3.1</v>
          </cell>
          <cell r="CJ216">
            <v>0.9</v>
          </cell>
          <cell r="CK216">
            <v>-0.6</v>
          </cell>
          <cell r="CL216">
            <v>2.2999999999999998</v>
          </cell>
          <cell r="CM216">
            <v>0.8</v>
          </cell>
          <cell r="CN216">
            <v>0.6</v>
          </cell>
          <cell r="CO216">
            <v>1</v>
          </cell>
          <cell r="CP216">
            <v>0.6</v>
          </cell>
          <cell r="CQ216">
            <v>-3.8</v>
          </cell>
          <cell r="CR216">
            <v>1.3</v>
          </cell>
          <cell r="CS216">
            <v>0.3</v>
          </cell>
          <cell r="CT216">
            <v>3.9</v>
          </cell>
          <cell r="CU216">
            <v>1.1000000000000001</v>
          </cell>
          <cell r="CV216">
            <v>1.7</v>
          </cell>
          <cell r="CW216">
            <v>1.9</v>
          </cell>
          <cell r="CX216">
            <v>0.8</v>
          </cell>
          <cell r="CY216">
            <v>0.2</v>
          </cell>
          <cell r="CZ216">
            <v>1</v>
          </cell>
          <cell r="DA216">
            <v>1.8</v>
          </cell>
          <cell r="DB216">
            <v>-0.2</v>
          </cell>
          <cell r="DC216">
            <v>0.9</v>
          </cell>
          <cell r="DD216">
            <v>0.5</v>
          </cell>
          <cell r="DE216">
            <v>0.2</v>
          </cell>
          <cell r="DF216">
            <v>0.5</v>
          </cell>
          <cell r="DG216">
            <v>9105</v>
          </cell>
          <cell r="DH216">
            <v>1485</v>
          </cell>
          <cell r="DI216">
            <v>10587</v>
          </cell>
          <cell r="DJ216">
            <v>2949</v>
          </cell>
          <cell r="DK216">
            <v>5077</v>
          </cell>
          <cell r="DL216">
            <v>3913</v>
          </cell>
          <cell r="DM216">
            <v>4033</v>
          </cell>
          <cell r="DN216">
            <v>14354</v>
          </cell>
          <cell r="DO216">
            <v>2513</v>
          </cell>
          <cell r="DP216">
            <v>16469</v>
          </cell>
          <cell r="DQ216">
            <v>6253</v>
          </cell>
          <cell r="DR216">
            <v>5451</v>
          </cell>
          <cell r="DS216">
            <v>4283</v>
          </cell>
          <cell r="DT216">
            <v>5443</v>
          </cell>
          <cell r="DU216">
            <v>5652</v>
          </cell>
          <cell r="DV216">
            <v>27052</v>
          </cell>
          <cell r="DW216">
            <v>5877</v>
          </cell>
          <cell r="DX216">
            <v>370</v>
          </cell>
          <cell r="DY216">
            <v>3766</v>
          </cell>
          <cell r="DZ216">
            <v>10016</v>
          </cell>
          <cell r="EA216">
            <v>6396</v>
          </cell>
          <cell r="EB216">
            <v>5733</v>
          </cell>
          <cell r="EC216">
            <v>15476</v>
          </cell>
          <cell r="ED216">
            <v>27610</v>
          </cell>
          <cell r="EE216">
            <v>14162</v>
          </cell>
          <cell r="EF216">
            <v>15940</v>
          </cell>
          <cell r="EG216">
            <v>8814</v>
          </cell>
          <cell r="EH216">
            <v>5816</v>
          </cell>
          <cell r="EI216">
            <v>1823</v>
          </cell>
          <cell r="EJ216">
            <v>2629</v>
          </cell>
          <cell r="EK216">
            <v>7664</v>
          </cell>
          <cell r="EL216">
            <v>17915</v>
          </cell>
          <cell r="EM216">
            <v>4103</v>
          </cell>
          <cell r="EN216">
            <v>4963</v>
          </cell>
          <cell r="EO216">
            <v>9006</v>
          </cell>
          <cell r="EP216">
            <v>21428</v>
          </cell>
          <cell r="EQ216">
            <v>8311</v>
          </cell>
          <cell r="ER216">
            <v>29750</v>
          </cell>
          <cell r="ES216">
            <v>1347</v>
          </cell>
          <cell r="ET216">
            <v>7301</v>
          </cell>
          <cell r="EU216">
            <v>8646</v>
          </cell>
          <cell r="EV216">
            <v>4659</v>
          </cell>
          <cell r="EW216">
            <v>19232</v>
          </cell>
          <cell r="EX216">
            <v>23774</v>
          </cell>
          <cell r="EY216">
            <v>12470</v>
          </cell>
          <cell r="EZ216">
            <v>19973</v>
          </cell>
          <cell r="FA216">
            <v>18098</v>
          </cell>
          <cell r="FB216">
            <v>22639</v>
          </cell>
          <cell r="FC216">
            <v>3046</v>
          </cell>
          <cell r="FD216">
            <v>6763</v>
          </cell>
          <cell r="FE216">
            <v>33611</v>
          </cell>
          <cell r="FF216">
            <v>333135</v>
          </cell>
          <cell r="FG216">
            <v>26775</v>
          </cell>
          <cell r="FH216">
            <v>1152</v>
          </cell>
          <cell r="FI216">
            <v>360852</v>
          </cell>
          <cell r="FJ216">
            <v>4.0999999999999996</v>
          </cell>
          <cell r="FK216">
            <v>-2.8</v>
          </cell>
          <cell r="FL216">
            <v>3</v>
          </cell>
          <cell r="FM216">
            <v>-10.5</v>
          </cell>
          <cell r="FN216">
            <v>-3.7</v>
          </cell>
          <cell r="FO216">
            <v>5.4</v>
          </cell>
          <cell r="FP216">
            <v>0.6</v>
          </cell>
          <cell r="FQ216">
            <v>-2.7</v>
          </cell>
          <cell r="FR216">
            <v>4.5999999999999996</v>
          </cell>
          <cell r="FS216">
            <v>-2</v>
          </cell>
          <cell r="FT216">
            <v>-1.1000000000000001</v>
          </cell>
          <cell r="FU216">
            <v>7.2</v>
          </cell>
          <cell r="FV216">
            <v>-3.6</v>
          </cell>
          <cell r="FW216">
            <v>-0.7</v>
          </cell>
          <cell r="FX216">
            <v>-2.2000000000000002</v>
          </cell>
          <cell r="FY216">
            <v>-0.4</v>
          </cell>
          <cell r="FZ216">
            <v>-0.9</v>
          </cell>
          <cell r="GA216">
            <v>-1.3</v>
          </cell>
          <cell r="GB216">
            <v>3.4</v>
          </cell>
          <cell r="GC216">
            <v>0.7</v>
          </cell>
          <cell r="GD216">
            <v>-6.8</v>
          </cell>
          <cell r="GE216">
            <v>7.8</v>
          </cell>
          <cell r="GF216">
            <v>2.9</v>
          </cell>
          <cell r="GG216">
            <v>1.5</v>
          </cell>
          <cell r="GH216">
            <v>0.2</v>
          </cell>
          <cell r="GI216">
            <v>0.6</v>
          </cell>
          <cell r="GJ216">
            <v>1.5</v>
          </cell>
          <cell r="GK216">
            <v>-2.8</v>
          </cell>
          <cell r="GL216">
            <v>0.5</v>
          </cell>
          <cell r="GM216">
            <v>-2.5</v>
          </cell>
          <cell r="GN216">
            <v>3.8</v>
          </cell>
          <cell r="GO216">
            <v>0.5</v>
          </cell>
          <cell r="GP216">
            <v>-2</v>
          </cell>
          <cell r="GQ216">
            <v>3.1</v>
          </cell>
          <cell r="GR216">
            <v>0.6</v>
          </cell>
          <cell r="GS216">
            <v>1.1000000000000001</v>
          </cell>
          <cell r="GT216">
            <v>1</v>
          </cell>
          <cell r="GU216">
            <v>1</v>
          </cell>
          <cell r="GV216">
            <v>-8.3000000000000007</v>
          </cell>
          <cell r="GW216">
            <v>-0.3</v>
          </cell>
          <cell r="GX216">
            <v>-1.9</v>
          </cell>
          <cell r="GY216">
            <v>9.6</v>
          </cell>
          <cell r="GZ216">
            <v>3.9</v>
          </cell>
          <cell r="HA216">
            <v>5.0999999999999996</v>
          </cell>
          <cell r="HB216">
            <v>3.8</v>
          </cell>
          <cell r="HC216">
            <v>1</v>
          </cell>
          <cell r="HD216">
            <v>0.3</v>
          </cell>
          <cell r="HE216">
            <v>1.2</v>
          </cell>
          <cell r="HF216">
            <v>1.8</v>
          </cell>
          <cell r="HG216">
            <v>-1.2</v>
          </cell>
          <cell r="HH216">
            <v>0.8</v>
          </cell>
          <cell r="HI216">
            <v>1</v>
          </cell>
          <cell r="HJ216">
            <v>0.4</v>
          </cell>
          <cell r="HK216">
            <v>1</v>
          </cell>
          <cell r="HL216">
            <v>13880</v>
          </cell>
          <cell r="HM216">
            <v>1487</v>
          </cell>
          <cell r="HN216">
            <v>15299</v>
          </cell>
          <cell r="HO216">
            <v>3037</v>
          </cell>
          <cell r="HP216">
            <v>5219</v>
          </cell>
          <cell r="HQ216">
            <v>3994</v>
          </cell>
          <cell r="HR216">
            <v>4198</v>
          </cell>
          <cell r="HS216">
            <v>14797</v>
          </cell>
          <cell r="HT216">
            <v>2563</v>
          </cell>
          <cell r="HU216">
            <v>16960</v>
          </cell>
          <cell r="HV216">
            <v>6607</v>
          </cell>
          <cell r="HW216">
            <v>5395</v>
          </cell>
          <cell r="HX216">
            <v>4385</v>
          </cell>
          <cell r="HY216">
            <v>5587</v>
          </cell>
          <cell r="HZ216">
            <v>5921</v>
          </cell>
          <cell r="IA216">
            <v>27877</v>
          </cell>
          <cell r="IB216">
            <v>5721</v>
          </cell>
          <cell r="IC216">
            <v>340</v>
          </cell>
          <cell r="ID216">
            <v>3766</v>
          </cell>
          <cell r="IE216">
            <v>9829</v>
          </cell>
          <cell r="IF216">
            <v>6685</v>
          </cell>
          <cell r="IG216">
            <v>5974</v>
          </cell>
          <cell r="IH216">
            <v>16387</v>
          </cell>
          <cell r="II216">
            <v>29053</v>
          </cell>
          <cell r="IJ216">
            <v>14650</v>
          </cell>
          <cell r="IK216">
            <v>17509</v>
          </cell>
          <cell r="IL216">
            <v>9278</v>
          </cell>
          <cell r="IM216">
            <v>6003</v>
          </cell>
          <cell r="IN216">
            <v>1882</v>
          </cell>
          <cell r="IO216">
            <v>2658</v>
          </cell>
          <cell r="IP216">
            <v>8091</v>
          </cell>
          <cell r="IQ216">
            <v>18623</v>
          </cell>
        </row>
        <row r="217">
          <cell r="B217">
            <v>9126</v>
          </cell>
          <cell r="C217">
            <v>1456</v>
          </cell>
          <cell r="D217">
            <v>10577</v>
          </cell>
          <cell r="E217">
            <v>2916</v>
          </cell>
          <cell r="F217">
            <v>4878</v>
          </cell>
          <cell r="G217">
            <v>3940</v>
          </cell>
          <cell r="H217">
            <v>3998</v>
          </cell>
          <cell r="I217">
            <v>14240</v>
          </cell>
          <cell r="J217">
            <v>2475</v>
          </cell>
          <cell r="K217">
            <v>16321</v>
          </cell>
          <cell r="L217">
            <v>6377</v>
          </cell>
          <cell r="M217">
            <v>5360</v>
          </cell>
          <cell r="N217">
            <v>4317</v>
          </cell>
          <cell r="O217">
            <v>5329</v>
          </cell>
          <cell r="P217">
            <v>5633</v>
          </cell>
          <cell r="Q217">
            <v>26995</v>
          </cell>
          <cell r="R217">
            <v>5906</v>
          </cell>
          <cell r="S217">
            <v>370</v>
          </cell>
          <cell r="T217">
            <v>3868</v>
          </cell>
          <cell r="U217">
            <v>10149</v>
          </cell>
          <cell r="V217">
            <v>6221</v>
          </cell>
          <cell r="W217">
            <v>6287</v>
          </cell>
          <cell r="X217">
            <v>15512</v>
          </cell>
          <cell r="Y217">
            <v>28094</v>
          </cell>
          <cell r="Z217">
            <v>14416</v>
          </cell>
          <cell r="AA217">
            <v>16010</v>
          </cell>
          <cell r="AB217">
            <v>8918</v>
          </cell>
          <cell r="AC217">
            <v>5853</v>
          </cell>
          <cell r="AD217">
            <v>1856</v>
          </cell>
          <cell r="AE217">
            <v>2617</v>
          </cell>
          <cell r="AF217">
            <v>7927</v>
          </cell>
          <cell r="AG217">
            <v>18246</v>
          </cell>
          <cell r="AH217">
            <v>4114</v>
          </cell>
          <cell r="AI217">
            <v>5048</v>
          </cell>
          <cell r="AJ217">
            <v>9094</v>
          </cell>
          <cell r="AK217">
            <v>21536</v>
          </cell>
          <cell r="AL217">
            <v>8487</v>
          </cell>
          <cell r="AM217">
            <v>30020</v>
          </cell>
          <cell r="AN217">
            <v>1374</v>
          </cell>
          <cell r="AO217">
            <v>7465</v>
          </cell>
          <cell r="AP217">
            <v>8845</v>
          </cell>
          <cell r="AQ217">
            <v>4556</v>
          </cell>
          <cell r="AR217">
            <v>19198</v>
          </cell>
          <cell r="AS217">
            <v>23620</v>
          </cell>
          <cell r="AT217">
            <v>12285</v>
          </cell>
          <cell r="AU217">
            <v>20392</v>
          </cell>
          <cell r="AV217">
            <v>18175</v>
          </cell>
          <cell r="AW217">
            <v>22941</v>
          </cell>
          <cell r="AX217">
            <v>3112</v>
          </cell>
          <cell r="AY217">
            <v>6762</v>
          </cell>
          <cell r="AZ217">
            <v>33813</v>
          </cell>
          <cell r="BA217">
            <v>334934</v>
          </cell>
          <cell r="BB217">
            <v>26811</v>
          </cell>
          <cell r="BC217">
            <v>-283</v>
          </cell>
          <cell r="BD217">
            <v>361265</v>
          </cell>
          <cell r="BE217">
            <v>1.6</v>
          </cell>
          <cell r="BF217">
            <v>-1.5</v>
          </cell>
          <cell r="BG217">
            <v>1.2</v>
          </cell>
          <cell r="BH217">
            <v>-3.4</v>
          </cell>
          <cell r="BI217">
            <v>-3.8</v>
          </cell>
          <cell r="BJ217">
            <v>3.1</v>
          </cell>
          <cell r="BK217">
            <v>-0.3</v>
          </cell>
          <cell r="BL217">
            <v>-0.8</v>
          </cell>
          <cell r="BM217">
            <v>1.9</v>
          </cell>
          <cell r="BN217">
            <v>-0.6</v>
          </cell>
          <cell r="BO217">
            <v>1.8</v>
          </cell>
          <cell r="BP217">
            <v>2.1</v>
          </cell>
          <cell r="BQ217">
            <v>0.1</v>
          </cell>
          <cell r="BR217">
            <v>-1.7</v>
          </cell>
          <cell r="BS217">
            <v>-0.7</v>
          </cell>
          <cell r="BT217">
            <v>0.3</v>
          </cell>
          <cell r="BU217">
            <v>-0.2</v>
          </cell>
          <cell r="BV217">
            <v>-0.8</v>
          </cell>
          <cell r="BW217">
            <v>2.8</v>
          </cell>
          <cell r="BX217">
            <v>0.9</v>
          </cell>
          <cell r="BY217">
            <v>-3.9</v>
          </cell>
          <cell r="BZ217">
            <v>10.5</v>
          </cell>
          <cell r="CA217">
            <v>0.9</v>
          </cell>
          <cell r="CB217">
            <v>2</v>
          </cell>
          <cell r="CC217">
            <v>1.4</v>
          </cell>
          <cell r="CD217">
            <v>0.5</v>
          </cell>
          <cell r="CE217">
            <v>1.8</v>
          </cell>
          <cell r="CF217">
            <v>-0.1</v>
          </cell>
          <cell r="CG217">
            <v>1.5</v>
          </cell>
          <cell r="CH217">
            <v>-0.3</v>
          </cell>
          <cell r="CI217">
            <v>3.6</v>
          </cell>
          <cell r="CJ217">
            <v>1.7</v>
          </cell>
          <cell r="CK217">
            <v>-0.1</v>
          </cell>
          <cell r="CL217">
            <v>1.6</v>
          </cell>
          <cell r="CM217">
            <v>0.7</v>
          </cell>
          <cell r="CN217">
            <v>0.7</v>
          </cell>
          <cell r="CO217">
            <v>1.9</v>
          </cell>
          <cell r="CP217">
            <v>1</v>
          </cell>
          <cell r="CQ217">
            <v>-1</v>
          </cell>
          <cell r="CR217">
            <v>1.6</v>
          </cell>
          <cell r="CS217">
            <v>1.2</v>
          </cell>
          <cell r="CT217">
            <v>1.1000000000000001</v>
          </cell>
          <cell r="CU217">
            <v>1.2</v>
          </cell>
          <cell r="CV217">
            <v>1.1000000000000001</v>
          </cell>
          <cell r="CW217">
            <v>-0.3</v>
          </cell>
          <cell r="CX217">
            <v>1.4</v>
          </cell>
          <cell r="CY217">
            <v>0.4</v>
          </cell>
          <cell r="CZ217">
            <v>1.2</v>
          </cell>
          <cell r="DA217">
            <v>1.6</v>
          </cell>
          <cell r="DB217">
            <v>0.1</v>
          </cell>
          <cell r="DC217">
            <v>0.6</v>
          </cell>
          <cell r="DD217">
            <v>0.8</v>
          </cell>
          <cell r="DE217">
            <v>0.4</v>
          </cell>
          <cell r="DF217">
            <v>0.5</v>
          </cell>
          <cell r="DG217">
            <v>8981</v>
          </cell>
          <cell r="DH217">
            <v>1445</v>
          </cell>
          <cell r="DI217">
            <v>10423</v>
          </cell>
          <cell r="DJ217">
            <v>2876</v>
          </cell>
          <cell r="DK217">
            <v>4803</v>
          </cell>
          <cell r="DL217">
            <v>3884</v>
          </cell>
          <cell r="DM217">
            <v>3946</v>
          </cell>
          <cell r="DN217">
            <v>14040</v>
          </cell>
          <cell r="DO217">
            <v>2341</v>
          </cell>
          <cell r="DP217">
            <v>16030</v>
          </cell>
          <cell r="DQ217">
            <v>6255</v>
          </cell>
          <cell r="DR217">
            <v>5222</v>
          </cell>
          <cell r="DS217">
            <v>4195</v>
          </cell>
          <cell r="DT217">
            <v>5376</v>
          </cell>
          <cell r="DU217">
            <v>5620</v>
          </cell>
          <cell r="DV217">
            <v>26637</v>
          </cell>
          <cell r="DW217">
            <v>5948</v>
          </cell>
          <cell r="DX217">
            <v>366</v>
          </cell>
          <cell r="DY217">
            <v>3869</v>
          </cell>
          <cell r="DZ217">
            <v>10191</v>
          </cell>
          <cell r="EA217">
            <v>6163</v>
          </cell>
          <cell r="EB217">
            <v>6294</v>
          </cell>
          <cell r="EC217">
            <v>15509</v>
          </cell>
          <cell r="ED217">
            <v>28038</v>
          </cell>
          <cell r="EE217">
            <v>14519</v>
          </cell>
          <cell r="EF217">
            <v>16029</v>
          </cell>
          <cell r="EG217">
            <v>8798</v>
          </cell>
          <cell r="EH217">
            <v>5813</v>
          </cell>
          <cell r="EI217">
            <v>1843</v>
          </cell>
          <cell r="EJ217">
            <v>2519</v>
          </cell>
          <cell r="EK217">
            <v>7888</v>
          </cell>
          <cell r="EL217">
            <v>18059</v>
          </cell>
          <cell r="EM217">
            <v>4083</v>
          </cell>
          <cell r="EN217">
            <v>5083</v>
          </cell>
          <cell r="EO217">
            <v>9090</v>
          </cell>
          <cell r="EP217">
            <v>21556</v>
          </cell>
          <cell r="EQ217">
            <v>8520</v>
          </cell>
          <cell r="ER217">
            <v>30073</v>
          </cell>
          <cell r="ES217">
            <v>1355</v>
          </cell>
          <cell r="ET217">
            <v>7455</v>
          </cell>
          <cell r="EU217">
            <v>8809</v>
          </cell>
          <cell r="EV217">
            <v>4528</v>
          </cell>
          <cell r="EW217">
            <v>18987</v>
          </cell>
          <cell r="EX217">
            <v>23380</v>
          </cell>
          <cell r="EY217">
            <v>12338</v>
          </cell>
          <cell r="EZ217">
            <v>20595</v>
          </cell>
          <cell r="FA217">
            <v>18172</v>
          </cell>
          <cell r="FB217">
            <v>23055</v>
          </cell>
          <cell r="FC217">
            <v>3156</v>
          </cell>
          <cell r="FD217">
            <v>6671</v>
          </cell>
          <cell r="FE217">
            <v>33818</v>
          </cell>
          <cell r="FF217">
            <v>333830</v>
          </cell>
          <cell r="FG217">
            <v>26596</v>
          </cell>
          <cell r="FH217">
            <v>-233</v>
          </cell>
          <cell r="FI217">
            <v>360008</v>
          </cell>
          <cell r="FJ217">
            <v>-1.4</v>
          </cell>
          <cell r="FK217">
            <v>-2.7</v>
          </cell>
          <cell r="FL217">
            <v>-1.6</v>
          </cell>
          <cell r="FM217">
            <v>-2.5</v>
          </cell>
          <cell r="FN217">
            <v>-5.4</v>
          </cell>
          <cell r="FO217">
            <v>-0.7</v>
          </cell>
          <cell r="FP217">
            <v>-2.2000000000000002</v>
          </cell>
          <cell r="FQ217">
            <v>-2.2000000000000002</v>
          </cell>
          <cell r="FR217">
            <v>-6.9</v>
          </cell>
          <cell r="FS217">
            <v>-2.7</v>
          </cell>
          <cell r="FT217">
            <v>0</v>
          </cell>
          <cell r="FU217">
            <v>-4.2</v>
          </cell>
          <cell r="FV217">
            <v>-2.1</v>
          </cell>
          <cell r="FW217">
            <v>-1.2</v>
          </cell>
          <cell r="FX217">
            <v>-0.6</v>
          </cell>
          <cell r="FY217">
            <v>-1.5</v>
          </cell>
          <cell r="FZ217">
            <v>1.2</v>
          </cell>
          <cell r="GA217">
            <v>-1</v>
          </cell>
          <cell r="GB217">
            <v>2.7</v>
          </cell>
          <cell r="GC217">
            <v>1.7</v>
          </cell>
          <cell r="GD217">
            <v>-3.7</v>
          </cell>
          <cell r="GE217">
            <v>9.8000000000000007</v>
          </cell>
          <cell r="GF217">
            <v>0.2</v>
          </cell>
          <cell r="GG217">
            <v>1.5</v>
          </cell>
          <cell r="GH217">
            <v>2.5</v>
          </cell>
          <cell r="GI217">
            <v>0.6</v>
          </cell>
          <cell r="GJ217">
            <v>-0.2</v>
          </cell>
          <cell r="GK217">
            <v>-0.1</v>
          </cell>
          <cell r="GL217">
            <v>1.1000000000000001</v>
          </cell>
          <cell r="GM217">
            <v>-4.2</v>
          </cell>
          <cell r="GN217">
            <v>2.9</v>
          </cell>
          <cell r="GO217">
            <v>0.8</v>
          </cell>
          <cell r="GP217">
            <v>-0.5</v>
          </cell>
          <cell r="GQ217">
            <v>2.4</v>
          </cell>
          <cell r="GR217">
            <v>0.9</v>
          </cell>
          <cell r="GS217">
            <v>0.6</v>
          </cell>
          <cell r="GT217">
            <v>2.5</v>
          </cell>
          <cell r="GU217">
            <v>1.1000000000000001</v>
          </cell>
          <cell r="GV217">
            <v>0.6</v>
          </cell>
          <cell r="GW217">
            <v>2.1</v>
          </cell>
          <cell r="GX217">
            <v>1.9</v>
          </cell>
          <cell r="GY217">
            <v>-2.8</v>
          </cell>
          <cell r="GZ217">
            <v>-1.3</v>
          </cell>
          <cell r="HA217">
            <v>-1.7</v>
          </cell>
          <cell r="HB217">
            <v>-1.1000000000000001</v>
          </cell>
          <cell r="HC217">
            <v>3.1</v>
          </cell>
          <cell r="HD217">
            <v>0.4</v>
          </cell>
          <cell r="HE217">
            <v>1.8</v>
          </cell>
          <cell r="HF217">
            <v>3.6</v>
          </cell>
          <cell r="HG217">
            <v>-1.4</v>
          </cell>
          <cell r="HH217">
            <v>0.6</v>
          </cell>
          <cell r="HI217">
            <v>0.2</v>
          </cell>
          <cell r="HJ217">
            <v>-0.7</v>
          </cell>
          <cell r="HK217">
            <v>-0.2</v>
          </cell>
          <cell r="HL217">
            <v>8451</v>
          </cell>
          <cell r="HM217">
            <v>1445</v>
          </cell>
          <cell r="HN217">
            <v>9899</v>
          </cell>
          <cell r="HO217">
            <v>2627</v>
          </cell>
          <cell r="HP217">
            <v>4498</v>
          </cell>
          <cell r="HQ217">
            <v>3613</v>
          </cell>
          <cell r="HR217">
            <v>3730</v>
          </cell>
          <cell r="HS217">
            <v>13078</v>
          </cell>
          <cell r="HT217">
            <v>2207</v>
          </cell>
          <cell r="HU217">
            <v>14950</v>
          </cell>
          <cell r="HV217">
            <v>6158</v>
          </cell>
          <cell r="HW217">
            <v>5143</v>
          </cell>
          <cell r="HX217">
            <v>3940</v>
          </cell>
          <cell r="HY217">
            <v>4925</v>
          </cell>
          <cell r="HZ217">
            <v>5172</v>
          </cell>
          <cell r="IA217">
            <v>25274</v>
          </cell>
          <cell r="IB217">
            <v>5985</v>
          </cell>
          <cell r="IC217">
            <v>298</v>
          </cell>
          <cell r="ID217">
            <v>3937</v>
          </cell>
          <cell r="IE217">
            <v>10229</v>
          </cell>
          <cell r="IF217">
            <v>5575</v>
          </cell>
          <cell r="IG217">
            <v>5833</v>
          </cell>
          <cell r="IH217">
            <v>14230</v>
          </cell>
          <cell r="II217">
            <v>25718</v>
          </cell>
          <cell r="IJ217">
            <v>13902</v>
          </cell>
          <cell r="IK217">
            <v>15321</v>
          </cell>
          <cell r="IL217">
            <v>8652</v>
          </cell>
          <cell r="IM217">
            <v>5503</v>
          </cell>
          <cell r="IN217">
            <v>1791</v>
          </cell>
          <cell r="IO217">
            <v>2419</v>
          </cell>
          <cell r="IP217">
            <v>7673</v>
          </cell>
          <cell r="IQ217">
            <v>17391</v>
          </cell>
        </row>
        <row r="218">
          <cell r="B218">
            <v>9175</v>
          </cell>
          <cell r="C218">
            <v>1450</v>
          </cell>
          <cell r="D218">
            <v>10620</v>
          </cell>
          <cell r="E218">
            <v>2967</v>
          </cell>
          <cell r="F218">
            <v>4747</v>
          </cell>
          <cell r="G218">
            <v>4131</v>
          </cell>
          <cell r="H218">
            <v>3977</v>
          </cell>
          <cell r="I218">
            <v>14467</v>
          </cell>
          <cell r="J218">
            <v>2553</v>
          </cell>
          <cell r="K218">
            <v>16600</v>
          </cell>
          <cell r="L218">
            <v>6546</v>
          </cell>
          <cell r="M218">
            <v>5442</v>
          </cell>
          <cell r="N218">
            <v>4420</v>
          </cell>
          <cell r="O218">
            <v>5334</v>
          </cell>
          <cell r="P218">
            <v>5557</v>
          </cell>
          <cell r="Q218">
            <v>27282</v>
          </cell>
          <cell r="R218">
            <v>5871</v>
          </cell>
          <cell r="S218">
            <v>359</v>
          </cell>
          <cell r="T218">
            <v>3910</v>
          </cell>
          <cell r="U218">
            <v>10146</v>
          </cell>
          <cell r="V218">
            <v>6129</v>
          </cell>
          <cell r="W218">
            <v>7209</v>
          </cell>
          <cell r="X218">
            <v>15557</v>
          </cell>
          <cell r="Y218">
            <v>29042</v>
          </cell>
          <cell r="Z218">
            <v>14662</v>
          </cell>
          <cell r="AA218">
            <v>16114</v>
          </cell>
          <cell r="AB218">
            <v>9113</v>
          </cell>
          <cell r="AC218">
            <v>5876</v>
          </cell>
          <cell r="AD218">
            <v>1881</v>
          </cell>
          <cell r="AE218">
            <v>2659</v>
          </cell>
          <cell r="AF218">
            <v>8044</v>
          </cell>
          <cell r="AG218">
            <v>18457</v>
          </cell>
          <cell r="AH218">
            <v>4152</v>
          </cell>
          <cell r="AI218">
            <v>5080</v>
          </cell>
          <cell r="AJ218">
            <v>9163</v>
          </cell>
          <cell r="AK218">
            <v>21727</v>
          </cell>
          <cell r="AL218">
            <v>8620</v>
          </cell>
          <cell r="AM218">
            <v>30341</v>
          </cell>
          <cell r="AN218">
            <v>1427</v>
          </cell>
          <cell r="AO218">
            <v>7577</v>
          </cell>
          <cell r="AP218">
            <v>9024</v>
          </cell>
          <cell r="AQ218">
            <v>4638</v>
          </cell>
          <cell r="AR218">
            <v>19250</v>
          </cell>
          <cell r="AS218">
            <v>23749</v>
          </cell>
          <cell r="AT218">
            <v>12082</v>
          </cell>
          <cell r="AU218">
            <v>20595</v>
          </cell>
          <cell r="AV218">
            <v>18271</v>
          </cell>
          <cell r="AW218">
            <v>23137</v>
          </cell>
          <cell r="AX218">
            <v>3161</v>
          </cell>
          <cell r="AY218">
            <v>6830</v>
          </cell>
          <cell r="AZ218">
            <v>33938</v>
          </cell>
          <cell r="BA218">
            <v>338459</v>
          </cell>
          <cell r="BB218">
            <v>27007</v>
          </cell>
          <cell r="BC218">
            <v>-1180</v>
          </cell>
          <cell r="BD218">
            <v>364095</v>
          </cell>
          <cell r="BE218">
            <v>0.5</v>
          </cell>
          <cell r="BF218">
            <v>-0.4</v>
          </cell>
          <cell r="BG218">
            <v>0.4</v>
          </cell>
          <cell r="BH218">
            <v>1.7</v>
          </cell>
          <cell r="BI218">
            <v>-2.7</v>
          </cell>
          <cell r="BJ218">
            <v>4.8</v>
          </cell>
          <cell r="BK218">
            <v>-0.5</v>
          </cell>
          <cell r="BL218">
            <v>1.6</v>
          </cell>
          <cell r="BM218">
            <v>3.2</v>
          </cell>
          <cell r="BN218">
            <v>1.7</v>
          </cell>
          <cell r="BO218">
            <v>2.7</v>
          </cell>
          <cell r="BP218">
            <v>1.5</v>
          </cell>
          <cell r="BQ218">
            <v>2.4</v>
          </cell>
          <cell r="BR218">
            <v>0.1</v>
          </cell>
          <cell r="BS218">
            <v>-1.4</v>
          </cell>
          <cell r="BT218">
            <v>1.1000000000000001</v>
          </cell>
          <cell r="BU218">
            <v>-0.6</v>
          </cell>
          <cell r="BV218">
            <v>-2.8</v>
          </cell>
          <cell r="BW218">
            <v>1.1000000000000001</v>
          </cell>
          <cell r="BX218">
            <v>0</v>
          </cell>
          <cell r="BY218">
            <v>-1.5</v>
          </cell>
          <cell r="BZ218">
            <v>14.7</v>
          </cell>
          <cell r="CA218">
            <v>0.3</v>
          </cell>
          <cell r="CB218">
            <v>3.4</v>
          </cell>
          <cell r="CC218">
            <v>1.7</v>
          </cell>
          <cell r="CD218">
            <v>0.6</v>
          </cell>
          <cell r="CE218">
            <v>2.2000000000000002</v>
          </cell>
          <cell r="CF218">
            <v>0.4</v>
          </cell>
          <cell r="CG218">
            <v>1.3</v>
          </cell>
          <cell r="CH218">
            <v>1.6</v>
          </cell>
          <cell r="CI218">
            <v>1.5</v>
          </cell>
          <cell r="CJ218">
            <v>1.2</v>
          </cell>
          <cell r="CK218">
            <v>0.9</v>
          </cell>
          <cell r="CL218">
            <v>0.6</v>
          </cell>
          <cell r="CM218">
            <v>0.8</v>
          </cell>
          <cell r="CN218">
            <v>0.9</v>
          </cell>
          <cell r="CO218">
            <v>1.6</v>
          </cell>
          <cell r="CP218">
            <v>1.1000000000000001</v>
          </cell>
          <cell r="CQ218">
            <v>3.8</v>
          </cell>
          <cell r="CR218">
            <v>1.5</v>
          </cell>
          <cell r="CS218">
            <v>2</v>
          </cell>
          <cell r="CT218">
            <v>1.8</v>
          </cell>
          <cell r="CU218">
            <v>0.3</v>
          </cell>
          <cell r="CV218">
            <v>0.5</v>
          </cell>
          <cell r="CW218">
            <v>-1.6</v>
          </cell>
          <cell r="CX218">
            <v>1</v>
          </cell>
          <cell r="CY218">
            <v>0.5</v>
          </cell>
          <cell r="CZ218">
            <v>0.9</v>
          </cell>
          <cell r="DA218">
            <v>1.6</v>
          </cell>
          <cell r="DB218">
            <v>1</v>
          </cell>
          <cell r="DC218">
            <v>0.4</v>
          </cell>
          <cell r="DD218">
            <v>1.1000000000000001</v>
          </cell>
          <cell r="DE218">
            <v>0.7</v>
          </cell>
          <cell r="DF218">
            <v>0.8</v>
          </cell>
          <cell r="DG218">
            <v>9241</v>
          </cell>
          <cell r="DH218">
            <v>1419</v>
          </cell>
          <cell r="DI218">
            <v>10652</v>
          </cell>
          <cell r="DJ218">
            <v>2948</v>
          </cell>
          <cell r="DK218">
            <v>4784</v>
          </cell>
          <cell r="DL218">
            <v>4114</v>
          </cell>
          <cell r="DM218">
            <v>4017</v>
          </cell>
          <cell r="DN218">
            <v>14491</v>
          </cell>
          <cell r="DO218">
            <v>2608</v>
          </cell>
          <cell r="DP218">
            <v>16662</v>
          </cell>
          <cell r="DQ218">
            <v>6683</v>
          </cell>
          <cell r="DR218">
            <v>5453</v>
          </cell>
          <cell r="DS218">
            <v>4567</v>
          </cell>
          <cell r="DT218">
            <v>5133</v>
          </cell>
          <cell r="DU218">
            <v>5583</v>
          </cell>
          <cell r="DV218">
            <v>27430</v>
          </cell>
          <cell r="DW218">
            <v>5867</v>
          </cell>
          <cell r="DX218">
            <v>368</v>
          </cell>
          <cell r="DY218">
            <v>3966</v>
          </cell>
          <cell r="DZ218">
            <v>10202</v>
          </cell>
          <cell r="EA218">
            <v>6134</v>
          </cell>
          <cell r="EB218">
            <v>6997</v>
          </cell>
          <cell r="EC218">
            <v>15430</v>
          </cell>
          <cell r="ED218">
            <v>28711</v>
          </cell>
          <cell r="EE218">
            <v>14536</v>
          </cell>
          <cell r="EF218">
            <v>16076</v>
          </cell>
          <cell r="EG218">
            <v>9149</v>
          </cell>
          <cell r="EH218">
            <v>5943</v>
          </cell>
          <cell r="EI218">
            <v>1898</v>
          </cell>
          <cell r="EJ218">
            <v>2740</v>
          </cell>
          <cell r="EK218">
            <v>8280</v>
          </cell>
          <cell r="EL218">
            <v>18861</v>
          </cell>
          <cell r="EM218">
            <v>4160</v>
          </cell>
          <cell r="EN218">
            <v>5089</v>
          </cell>
          <cell r="EO218">
            <v>9183</v>
          </cell>
          <cell r="EP218">
            <v>21683</v>
          </cell>
          <cell r="EQ218">
            <v>8617</v>
          </cell>
          <cell r="ER218">
            <v>30291</v>
          </cell>
          <cell r="ES218">
            <v>1419</v>
          </cell>
          <cell r="ET218">
            <v>7655</v>
          </cell>
          <cell r="EU218">
            <v>9092</v>
          </cell>
          <cell r="EV218">
            <v>4516</v>
          </cell>
          <cell r="EW218">
            <v>19423</v>
          </cell>
          <cell r="EX218">
            <v>23784</v>
          </cell>
          <cell r="EY218">
            <v>12039</v>
          </cell>
          <cell r="EZ218">
            <v>20641</v>
          </cell>
          <cell r="FA218">
            <v>18269</v>
          </cell>
          <cell r="FB218">
            <v>23094</v>
          </cell>
          <cell r="FC218">
            <v>3119</v>
          </cell>
          <cell r="FD218">
            <v>6921</v>
          </cell>
          <cell r="FE218">
            <v>33956</v>
          </cell>
          <cell r="FF218">
            <v>338623</v>
          </cell>
          <cell r="FG218">
            <v>27130</v>
          </cell>
          <cell r="FH218">
            <v>-1722</v>
          </cell>
          <cell r="FI218">
            <v>363832</v>
          </cell>
          <cell r="FJ218">
            <v>2.9</v>
          </cell>
          <cell r="FK218">
            <v>-1.8</v>
          </cell>
          <cell r="FL218">
            <v>2.2000000000000002</v>
          </cell>
          <cell r="FM218">
            <v>2.5</v>
          </cell>
          <cell r="FN218">
            <v>-0.4</v>
          </cell>
          <cell r="FO218">
            <v>5.9</v>
          </cell>
          <cell r="FP218">
            <v>1.8</v>
          </cell>
          <cell r="FQ218">
            <v>3.2</v>
          </cell>
          <cell r="FR218">
            <v>11.4</v>
          </cell>
          <cell r="FS218">
            <v>3.9</v>
          </cell>
          <cell r="FT218">
            <v>6.8</v>
          </cell>
          <cell r="FU218">
            <v>4.4000000000000004</v>
          </cell>
          <cell r="FV218">
            <v>8.9</v>
          </cell>
          <cell r="FW218">
            <v>-4.5</v>
          </cell>
          <cell r="FX218">
            <v>-0.7</v>
          </cell>
          <cell r="FY218">
            <v>3</v>
          </cell>
          <cell r="FZ218">
            <v>-1.4</v>
          </cell>
          <cell r="GA218">
            <v>0.4</v>
          </cell>
          <cell r="GB218">
            <v>2.5</v>
          </cell>
          <cell r="GC218">
            <v>0.1</v>
          </cell>
          <cell r="GD218">
            <v>-0.5</v>
          </cell>
          <cell r="GE218">
            <v>11.2</v>
          </cell>
          <cell r="GF218">
            <v>-0.5</v>
          </cell>
          <cell r="GG218">
            <v>2.4</v>
          </cell>
          <cell r="GH218">
            <v>0.1</v>
          </cell>
          <cell r="GI218">
            <v>0.3</v>
          </cell>
          <cell r="GJ218">
            <v>4</v>
          </cell>
          <cell r="GK218">
            <v>2.2000000000000002</v>
          </cell>
          <cell r="GL218">
            <v>2.9</v>
          </cell>
          <cell r="GM218">
            <v>8.8000000000000007</v>
          </cell>
          <cell r="GN218">
            <v>5</v>
          </cell>
          <cell r="GO218">
            <v>4.4000000000000004</v>
          </cell>
          <cell r="GP218">
            <v>1.9</v>
          </cell>
          <cell r="GQ218">
            <v>0.1</v>
          </cell>
          <cell r="GR218">
            <v>1</v>
          </cell>
          <cell r="GS218">
            <v>0.6</v>
          </cell>
          <cell r="GT218">
            <v>1.1000000000000001</v>
          </cell>
          <cell r="GU218">
            <v>0.7</v>
          </cell>
          <cell r="GV218">
            <v>4.7</v>
          </cell>
          <cell r="GW218">
            <v>2.7</v>
          </cell>
          <cell r="GX218">
            <v>3.2</v>
          </cell>
          <cell r="GY218">
            <v>-0.3</v>
          </cell>
          <cell r="GZ218">
            <v>2.2999999999999998</v>
          </cell>
          <cell r="HA218">
            <v>1.7</v>
          </cell>
          <cell r="HB218">
            <v>-2.4</v>
          </cell>
          <cell r="HC218">
            <v>0.2</v>
          </cell>
          <cell r="HD218">
            <v>0.5</v>
          </cell>
          <cell r="HE218">
            <v>0.2</v>
          </cell>
          <cell r="HF218">
            <v>-1.2</v>
          </cell>
          <cell r="HG218">
            <v>3.7</v>
          </cell>
          <cell r="HH218">
            <v>0.4</v>
          </cell>
          <cell r="HI218">
            <v>1.4</v>
          </cell>
          <cell r="HJ218">
            <v>2</v>
          </cell>
          <cell r="HK218">
            <v>1.1000000000000001</v>
          </cell>
          <cell r="HL218">
            <v>7845</v>
          </cell>
          <cell r="HM218">
            <v>1413</v>
          </cell>
          <cell r="HN218">
            <v>9263</v>
          </cell>
          <cell r="HO218">
            <v>3034</v>
          </cell>
          <cell r="HP218">
            <v>4810</v>
          </cell>
          <cell r="HQ218">
            <v>4222</v>
          </cell>
          <cell r="HR218">
            <v>4030</v>
          </cell>
          <cell r="HS218">
            <v>14707</v>
          </cell>
          <cell r="HT218">
            <v>2689</v>
          </cell>
          <cell r="HU218">
            <v>16939</v>
          </cell>
          <cell r="HV218">
            <v>6398</v>
          </cell>
          <cell r="HW218">
            <v>5401</v>
          </cell>
          <cell r="HX218">
            <v>4601</v>
          </cell>
          <cell r="HY218">
            <v>5247</v>
          </cell>
          <cell r="HZ218">
            <v>5595</v>
          </cell>
          <cell r="IA218">
            <v>27276</v>
          </cell>
          <cell r="IB218">
            <v>5857</v>
          </cell>
          <cell r="IC218">
            <v>378</v>
          </cell>
          <cell r="ID218">
            <v>3948</v>
          </cell>
          <cell r="IE218">
            <v>10180</v>
          </cell>
          <cell r="IF218">
            <v>6144</v>
          </cell>
          <cell r="IG218">
            <v>7370</v>
          </cell>
          <cell r="IH218">
            <v>15466</v>
          </cell>
          <cell r="II218">
            <v>29136</v>
          </cell>
          <cell r="IJ218">
            <v>14532</v>
          </cell>
          <cell r="IK218">
            <v>15504</v>
          </cell>
          <cell r="IL218">
            <v>8816</v>
          </cell>
          <cell r="IM218">
            <v>6011</v>
          </cell>
          <cell r="IN218">
            <v>1823</v>
          </cell>
          <cell r="IO218">
            <v>2703</v>
          </cell>
          <cell r="IP218">
            <v>8089</v>
          </cell>
          <cell r="IQ218">
            <v>18610</v>
          </cell>
        </row>
        <row r="219">
          <cell r="B219">
            <v>9168</v>
          </cell>
          <cell r="C219">
            <v>1479</v>
          </cell>
          <cell r="D219">
            <v>10643</v>
          </cell>
          <cell r="E219">
            <v>3072</v>
          </cell>
          <cell r="F219">
            <v>4712</v>
          </cell>
          <cell r="G219">
            <v>4369</v>
          </cell>
          <cell r="H219">
            <v>3982</v>
          </cell>
          <cell r="I219">
            <v>14917</v>
          </cell>
          <cell r="J219">
            <v>2616</v>
          </cell>
          <cell r="K219">
            <v>17105</v>
          </cell>
          <cell r="L219">
            <v>6671</v>
          </cell>
          <cell r="M219">
            <v>5515</v>
          </cell>
          <cell r="N219">
            <v>4556</v>
          </cell>
          <cell r="O219">
            <v>5439</v>
          </cell>
          <cell r="P219">
            <v>5445</v>
          </cell>
          <cell r="Q219">
            <v>27619</v>
          </cell>
          <cell r="R219">
            <v>5828</v>
          </cell>
          <cell r="S219">
            <v>346</v>
          </cell>
          <cell r="T219">
            <v>3893</v>
          </cell>
          <cell r="U219">
            <v>10072</v>
          </cell>
          <cell r="V219">
            <v>6129</v>
          </cell>
          <cell r="W219">
            <v>8256</v>
          </cell>
          <cell r="X219">
            <v>15415</v>
          </cell>
          <cell r="Y219">
            <v>29971</v>
          </cell>
          <cell r="Z219">
            <v>14866</v>
          </cell>
          <cell r="AA219">
            <v>16250</v>
          </cell>
          <cell r="AB219">
            <v>9224</v>
          </cell>
          <cell r="AC219">
            <v>5888</v>
          </cell>
          <cell r="AD219">
            <v>1908</v>
          </cell>
          <cell r="AE219">
            <v>2723</v>
          </cell>
          <cell r="AF219">
            <v>8068</v>
          </cell>
          <cell r="AG219">
            <v>18581</v>
          </cell>
          <cell r="AH219">
            <v>4207</v>
          </cell>
          <cell r="AI219">
            <v>5040</v>
          </cell>
          <cell r="AJ219">
            <v>9185</v>
          </cell>
          <cell r="AK219">
            <v>21996</v>
          </cell>
          <cell r="AL219">
            <v>8735</v>
          </cell>
          <cell r="AM219">
            <v>30729</v>
          </cell>
          <cell r="AN219">
            <v>1473</v>
          </cell>
          <cell r="AO219">
            <v>7717</v>
          </cell>
          <cell r="AP219">
            <v>9214</v>
          </cell>
          <cell r="AQ219">
            <v>4738</v>
          </cell>
          <cell r="AR219">
            <v>19240</v>
          </cell>
          <cell r="AS219">
            <v>23849</v>
          </cell>
          <cell r="AT219">
            <v>12001</v>
          </cell>
          <cell r="AU219">
            <v>20718</v>
          </cell>
          <cell r="AV219">
            <v>18366</v>
          </cell>
          <cell r="AW219">
            <v>23187</v>
          </cell>
          <cell r="AX219">
            <v>3177</v>
          </cell>
          <cell r="AY219">
            <v>7013</v>
          </cell>
          <cell r="AZ219">
            <v>34018</v>
          </cell>
          <cell r="BA219">
            <v>342275</v>
          </cell>
          <cell r="BB219">
            <v>27149</v>
          </cell>
          <cell r="BC219">
            <v>-1136</v>
          </cell>
          <cell r="BD219">
            <v>368115</v>
          </cell>
          <cell r="BE219">
            <v>-0.1</v>
          </cell>
          <cell r="BF219">
            <v>2</v>
          </cell>
          <cell r="BG219">
            <v>0.2</v>
          </cell>
          <cell r="BH219">
            <v>3.5</v>
          </cell>
          <cell r="BI219">
            <v>-0.7</v>
          </cell>
          <cell r="BJ219">
            <v>5.8</v>
          </cell>
          <cell r="BK219">
            <v>0.1</v>
          </cell>
          <cell r="BL219">
            <v>3.1</v>
          </cell>
          <cell r="BM219">
            <v>2.5</v>
          </cell>
          <cell r="BN219">
            <v>3</v>
          </cell>
          <cell r="BO219">
            <v>1.9</v>
          </cell>
          <cell r="BP219">
            <v>1.3</v>
          </cell>
          <cell r="BQ219">
            <v>3.1</v>
          </cell>
          <cell r="BR219">
            <v>2</v>
          </cell>
          <cell r="BS219">
            <v>-2</v>
          </cell>
          <cell r="BT219">
            <v>1.2</v>
          </cell>
          <cell r="BU219">
            <v>-0.7</v>
          </cell>
          <cell r="BV219">
            <v>-3.8</v>
          </cell>
          <cell r="BW219">
            <v>-0.4</v>
          </cell>
          <cell r="BX219">
            <v>-0.7</v>
          </cell>
          <cell r="BY219">
            <v>0</v>
          </cell>
          <cell r="BZ219">
            <v>14.5</v>
          </cell>
          <cell r="CA219">
            <v>-0.9</v>
          </cell>
          <cell r="CB219">
            <v>3.2</v>
          </cell>
          <cell r="CC219">
            <v>1.4</v>
          </cell>
          <cell r="CD219">
            <v>0.8</v>
          </cell>
          <cell r="CE219">
            <v>1.2</v>
          </cell>
          <cell r="CF219">
            <v>0.2</v>
          </cell>
          <cell r="CG219">
            <v>1.5</v>
          </cell>
          <cell r="CH219">
            <v>2.4</v>
          </cell>
          <cell r="CI219">
            <v>0.3</v>
          </cell>
          <cell r="CJ219">
            <v>0.7</v>
          </cell>
          <cell r="CK219">
            <v>1.3</v>
          </cell>
          <cell r="CL219">
            <v>-0.8</v>
          </cell>
          <cell r="CM219">
            <v>0.2</v>
          </cell>
          <cell r="CN219">
            <v>1.2</v>
          </cell>
          <cell r="CO219">
            <v>1.3</v>
          </cell>
          <cell r="CP219">
            <v>1.3</v>
          </cell>
          <cell r="CQ219">
            <v>3.2</v>
          </cell>
          <cell r="CR219">
            <v>1.9</v>
          </cell>
          <cell r="CS219">
            <v>2.1</v>
          </cell>
          <cell r="CT219">
            <v>2.2000000000000002</v>
          </cell>
          <cell r="CU219">
            <v>0</v>
          </cell>
          <cell r="CV219">
            <v>0.4</v>
          </cell>
          <cell r="CW219">
            <v>-0.7</v>
          </cell>
          <cell r="CX219">
            <v>0.6</v>
          </cell>
          <cell r="CY219">
            <v>0.5</v>
          </cell>
          <cell r="CZ219">
            <v>0.2</v>
          </cell>
          <cell r="DA219">
            <v>0.5</v>
          </cell>
          <cell r="DB219">
            <v>2.7</v>
          </cell>
          <cell r="DC219">
            <v>0.2</v>
          </cell>
          <cell r="DD219">
            <v>1.1000000000000001</v>
          </cell>
          <cell r="DE219">
            <v>0.5</v>
          </cell>
          <cell r="DF219">
            <v>1.1000000000000001</v>
          </cell>
          <cell r="DG219">
            <v>9261</v>
          </cell>
          <cell r="DH219">
            <v>1510</v>
          </cell>
          <cell r="DI219">
            <v>10767</v>
          </cell>
          <cell r="DJ219">
            <v>3155</v>
          </cell>
          <cell r="DK219">
            <v>4639</v>
          </cell>
          <cell r="DL219">
            <v>4369</v>
          </cell>
          <cell r="DM219">
            <v>3952</v>
          </cell>
          <cell r="DN219">
            <v>14942</v>
          </cell>
          <cell r="DO219">
            <v>2698</v>
          </cell>
          <cell r="DP219">
            <v>17169</v>
          </cell>
          <cell r="DQ219">
            <v>6616</v>
          </cell>
          <cell r="DR219">
            <v>5607</v>
          </cell>
          <cell r="DS219">
            <v>4437</v>
          </cell>
          <cell r="DT219">
            <v>5652</v>
          </cell>
          <cell r="DU219">
            <v>5479</v>
          </cell>
          <cell r="DV219">
            <v>27759</v>
          </cell>
          <cell r="DW219">
            <v>5819</v>
          </cell>
          <cell r="DX219">
            <v>345</v>
          </cell>
          <cell r="DY219">
            <v>3866</v>
          </cell>
          <cell r="DZ219">
            <v>10036</v>
          </cell>
          <cell r="EA219">
            <v>6169</v>
          </cell>
          <cell r="EB219">
            <v>8607</v>
          </cell>
          <cell r="EC219">
            <v>15706</v>
          </cell>
          <cell r="ED219">
            <v>30660</v>
          </cell>
          <cell r="EE219">
            <v>15039</v>
          </cell>
          <cell r="EF219">
            <v>16265</v>
          </cell>
          <cell r="EG219">
            <v>9336</v>
          </cell>
          <cell r="EH219">
            <v>5884</v>
          </cell>
          <cell r="EI219">
            <v>1910</v>
          </cell>
          <cell r="EJ219">
            <v>2705</v>
          </cell>
          <cell r="EK219">
            <v>7866</v>
          </cell>
          <cell r="EL219">
            <v>18352</v>
          </cell>
          <cell r="EM219">
            <v>4233</v>
          </cell>
          <cell r="EN219">
            <v>5018</v>
          </cell>
          <cell r="EO219">
            <v>9189</v>
          </cell>
          <cell r="EP219">
            <v>21992</v>
          </cell>
          <cell r="EQ219">
            <v>8735</v>
          </cell>
          <cell r="ER219">
            <v>30724</v>
          </cell>
          <cell r="ES219">
            <v>1536</v>
          </cell>
          <cell r="ET219">
            <v>7643</v>
          </cell>
          <cell r="EU219">
            <v>9229</v>
          </cell>
          <cell r="EV219">
            <v>4771</v>
          </cell>
          <cell r="EW219">
            <v>19354</v>
          </cell>
          <cell r="EX219">
            <v>23999</v>
          </cell>
          <cell r="EY219">
            <v>11836</v>
          </cell>
          <cell r="EZ219">
            <v>20573</v>
          </cell>
          <cell r="FA219">
            <v>18377</v>
          </cell>
          <cell r="FB219">
            <v>23239</v>
          </cell>
          <cell r="FC219">
            <v>3191</v>
          </cell>
          <cell r="FD219">
            <v>6912</v>
          </cell>
          <cell r="FE219">
            <v>33999</v>
          </cell>
          <cell r="FF219">
            <v>343171</v>
          </cell>
          <cell r="FG219">
            <v>27228</v>
          </cell>
          <cell r="FH219">
            <v>-1631</v>
          </cell>
          <cell r="FI219">
            <v>368592</v>
          </cell>
          <cell r="FJ219">
            <v>0.2</v>
          </cell>
          <cell r="FK219">
            <v>6.4</v>
          </cell>
          <cell r="FL219">
            <v>1.1000000000000001</v>
          </cell>
          <cell r="FM219">
            <v>7</v>
          </cell>
          <cell r="FN219">
            <v>-3</v>
          </cell>
          <cell r="FO219">
            <v>6.2</v>
          </cell>
          <cell r="FP219">
            <v>-1.6</v>
          </cell>
          <cell r="FQ219">
            <v>3.1</v>
          </cell>
          <cell r="FR219">
            <v>3.5</v>
          </cell>
          <cell r="FS219">
            <v>3</v>
          </cell>
          <cell r="FT219">
            <v>-1</v>
          </cell>
          <cell r="FU219">
            <v>2.8</v>
          </cell>
          <cell r="FV219">
            <v>-2.8</v>
          </cell>
          <cell r="FW219">
            <v>10.1</v>
          </cell>
          <cell r="FX219">
            <v>-1.9</v>
          </cell>
          <cell r="FY219">
            <v>1.2</v>
          </cell>
          <cell r="FZ219">
            <v>-0.8</v>
          </cell>
          <cell r="GA219">
            <v>-6.1</v>
          </cell>
          <cell r="GB219">
            <v>-2.5</v>
          </cell>
          <cell r="GC219">
            <v>-1.6</v>
          </cell>
          <cell r="GD219">
            <v>0.6</v>
          </cell>
          <cell r="GE219">
            <v>23</v>
          </cell>
          <cell r="GF219">
            <v>1.8</v>
          </cell>
          <cell r="GG219">
            <v>6.8</v>
          </cell>
          <cell r="GH219">
            <v>3.5</v>
          </cell>
          <cell r="GI219">
            <v>1.2</v>
          </cell>
          <cell r="GJ219">
            <v>2</v>
          </cell>
          <cell r="GK219">
            <v>-1</v>
          </cell>
          <cell r="GL219">
            <v>0.7</v>
          </cell>
          <cell r="GM219">
            <v>-1.3</v>
          </cell>
          <cell r="GN219">
            <v>-5</v>
          </cell>
          <cell r="GO219">
            <v>-2.7</v>
          </cell>
          <cell r="GP219">
            <v>1.7</v>
          </cell>
          <cell r="GQ219">
            <v>-1.4</v>
          </cell>
          <cell r="GR219">
            <v>0.1</v>
          </cell>
          <cell r="GS219">
            <v>1.4</v>
          </cell>
          <cell r="GT219">
            <v>1.4</v>
          </cell>
          <cell r="GU219">
            <v>1.4</v>
          </cell>
          <cell r="GV219">
            <v>8.1999999999999993</v>
          </cell>
          <cell r="GW219">
            <v>-0.2</v>
          </cell>
          <cell r="GX219">
            <v>1.5</v>
          </cell>
          <cell r="GY219">
            <v>5.6</v>
          </cell>
          <cell r="GZ219">
            <v>-0.4</v>
          </cell>
          <cell r="HA219">
            <v>0.9</v>
          </cell>
          <cell r="HB219">
            <v>-1.7</v>
          </cell>
          <cell r="HC219">
            <v>-0.3</v>
          </cell>
          <cell r="HD219">
            <v>0.6</v>
          </cell>
          <cell r="HE219">
            <v>0.6</v>
          </cell>
          <cell r="HF219">
            <v>2.2999999999999998</v>
          </cell>
          <cell r="HG219">
            <v>-0.1</v>
          </cell>
          <cell r="HH219">
            <v>0.1</v>
          </cell>
          <cell r="HI219">
            <v>1.3</v>
          </cell>
          <cell r="HJ219">
            <v>0.4</v>
          </cell>
          <cell r="HK219">
            <v>1.3</v>
          </cell>
          <cell r="HL219">
            <v>5832</v>
          </cell>
          <cell r="HM219">
            <v>1513</v>
          </cell>
          <cell r="HN219">
            <v>7341</v>
          </cell>
          <cell r="HO219">
            <v>3229</v>
          </cell>
          <cell r="HP219">
            <v>4770</v>
          </cell>
          <cell r="HQ219">
            <v>4475</v>
          </cell>
          <cell r="HR219">
            <v>3991</v>
          </cell>
          <cell r="HS219">
            <v>15248</v>
          </cell>
          <cell r="HT219">
            <v>2698</v>
          </cell>
          <cell r="HU219">
            <v>17500</v>
          </cell>
          <cell r="HV219">
            <v>6596</v>
          </cell>
          <cell r="HW219">
            <v>5809</v>
          </cell>
          <cell r="HX219">
            <v>4577</v>
          </cell>
          <cell r="HY219">
            <v>5845</v>
          </cell>
          <cell r="HZ219">
            <v>5656</v>
          </cell>
          <cell r="IA219">
            <v>28465</v>
          </cell>
          <cell r="IB219">
            <v>5935</v>
          </cell>
          <cell r="IC219">
            <v>424</v>
          </cell>
          <cell r="ID219">
            <v>3811</v>
          </cell>
          <cell r="IE219">
            <v>10171</v>
          </cell>
          <cell r="IF219">
            <v>6451</v>
          </cell>
          <cell r="IG219">
            <v>8439</v>
          </cell>
          <cell r="IH219">
            <v>16017</v>
          </cell>
          <cell r="II219">
            <v>31135</v>
          </cell>
          <cell r="IJ219">
            <v>15182</v>
          </cell>
          <cell r="IK219">
            <v>15949</v>
          </cell>
          <cell r="IL219">
            <v>9364</v>
          </cell>
          <cell r="IM219">
            <v>5952</v>
          </cell>
          <cell r="IN219">
            <v>1983</v>
          </cell>
          <cell r="IO219">
            <v>2799</v>
          </cell>
          <cell r="IP219">
            <v>7819</v>
          </cell>
          <cell r="IQ219">
            <v>18529</v>
          </cell>
        </row>
        <row r="220">
          <cell r="B220">
            <v>9130</v>
          </cell>
          <cell r="C220">
            <v>1510</v>
          </cell>
          <cell r="D220">
            <v>10637</v>
          </cell>
          <cell r="E220">
            <v>3109</v>
          </cell>
          <cell r="F220">
            <v>4691</v>
          </cell>
          <cell r="G220">
            <v>4575</v>
          </cell>
          <cell r="H220">
            <v>4017</v>
          </cell>
          <cell r="I220">
            <v>15286</v>
          </cell>
          <cell r="J220">
            <v>2679</v>
          </cell>
          <cell r="K220">
            <v>17522</v>
          </cell>
          <cell r="L220">
            <v>6622</v>
          </cell>
          <cell r="M220">
            <v>5517</v>
          </cell>
          <cell r="N220">
            <v>4579</v>
          </cell>
          <cell r="O220">
            <v>5582</v>
          </cell>
          <cell r="P220">
            <v>5315</v>
          </cell>
          <cell r="Q220">
            <v>27613</v>
          </cell>
          <cell r="R220">
            <v>5804</v>
          </cell>
          <cell r="S220">
            <v>339</v>
          </cell>
          <cell r="T220">
            <v>3895</v>
          </cell>
          <cell r="U220">
            <v>10043</v>
          </cell>
          <cell r="V220">
            <v>6087</v>
          </cell>
          <cell r="W220">
            <v>9363</v>
          </cell>
          <cell r="X220">
            <v>15186</v>
          </cell>
          <cell r="Y220">
            <v>30751</v>
          </cell>
          <cell r="Z220">
            <v>15049</v>
          </cell>
          <cell r="AA220">
            <v>16437</v>
          </cell>
          <cell r="AB220">
            <v>9192</v>
          </cell>
          <cell r="AC220">
            <v>5870</v>
          </cell>
          <cell r="AD220">
            <v>1937</v>
          </cell>
          <cell r="AE220">
            <v>2766</v>
          </cell>
          <cell r="AF220">
            <v>8198</v>
          </cell>
          <cell r="AG220">
            <v>18765</v>
          </cell>
          <cell r="AH220">
            <v>4235</v>
          </cell>
          <cell r="AI220">
            <v>4994</v>
          </cell>
          <cell r="AJ220">
            <v>9174</v>
          </cell>
          <cell r="AK220">
            <v>22371</v>
          </cell>
          <cell r="AL220">
            <v>8823</v>
          </cell>
          <cell r="AM220">
            <v>31199</v>
          </cell>
          <cell r="AN220">
            <v>1492</v>
          </cell>
          <cell r="AO220">
            <v>7877</v>
          </cell>
          <cell r="AP220">
            <v>9382</v>
          </cell>
          <cell r="AQ220">
            <v>4856</v>
          </cell>
          <cell r="AR220">
            <v>19469</v>
          </cell>
          <cell r="AS220">
            <v>24214</v>
          </cell>
          <cell r="AT220">
            <v>12124</v>
          </cell>
          <cell r="AU220">
            <v>20878</v>
          </cell>
          <cell r="AV220">
            <v>18450</v>
          </cell>
          <cell r="AW220">
            <v>23236</v>
          </cell>
          <cell r="AX220">
            <v>3166</v>
          </cell>
          <cell r="AY220">
            <v>7182</v>
          </cell>
          <cell r="AZ220">
            <v>34093</v>
          </cell>
          <cell r="BA220">
            <v>345985</v>
          </cell>
          <cell r="BB220">
            <v>27175</v>
          </cell>
          <cell r="BC220">
            <v>-283</v>
          </cell>
          <cell r="BD220">
            <v>372735</v>
          </cell>
          <cell r="BE220">
            <v>-0.4</v>
          </cell>
          <cell r="BF220">
            <v>2.1</v>
          </cell>
          <cell r="BG220">
            <v>-0.1</v>
          </cell>
          <cell r="BH220">
            <v>1.2</v>
          </cell>
          <cell r="BI220">
            <v>-0.4</v>
          </cell>
          <cell r="BJ220">
            <v>4.7</v>
          </cell>
          <cell r="BK220">
            <v>0.9</v>
          </cell>
          <cell r="BL220">
            <v>2.5</v>
          </cell>
          <cell r="BM220">
            <v>2.4</v>
          </cell>
          <cell r="BN220">
            <v>2.4</v>
          </cell>
          <cell r="BO220">
            <v>-0.7</v>
          </cell>
          <cell r="BP220">
            <v>0</v>
          </cell>
          <cell r="BQ220">
            <v>0.5</v>
          </cell>
          <cell r="BR220">
            <v>2.6</v>
          </cell>
          <cell r="BS220">
            <v>-2.4</v>
          </cell>
          <cell r="BT220">
            <v>0</v>
          </cell>
          <cell r="BU220">
            <v>-0.4</v>
          </cell>
          <cell r="BV220">
            <v>-1.8</v>
          </cell>
          <cell r="BW220">
            <v>0</v>
          </cell>
          <cell r="BX220">
            <v>-0.3</v>
          </cell>
          <cell r="BY220">
            <v>-0.7</v>
          </cell>
          <cell r="BZ220">
            <v>13.4</v>
          </cell>
          <cell r="CA220">
            <v>-1.5</v>
          </cell>
          <cell r="CB220">
            <v>2.6</v>
          </cell>
          <cell r="CC220">
            <v>1.2</v>
          </cell>
          <cell r="CD220">
            <v>1.2</v>
          </cell>
          <cell r="CE220">
            <v>-0.4</v>
          </cell>
          <cell r="CF220">
            <v>-0.3</v>
          </cell>
          <cell r="CG220">
            <v>1.5</v>
          </cell>
          <cell r="CH220">
            <v>1.6</v>
          </cell>
          <cell r="CI220">
            <v>1.6</v>
          </cell>
          <cell r="CJ220">
            <v>1</v>
          </cell>
          <cell r="CK220">
            <v>0.7</v>
          </cell>
          <cell r="CL220">
            <v>-0.9</v>
          </cell>
          <cell r="CM220">
            <v>-0.1</v>
          </cell>
          <cell r="CN220">
            <v>1.7</v>
          </cell>
          <cell r="CO220">
            <v>1</v>
          </cell>
          <cell r="CP220">
            <v>1.5</v>
          </cell>
          <cell r="CQ220">
            <v>1.3</v>
          </cell>
          <cell r="CR220">
            <v>2.1</v>
          </cell>
          <cell r="CS220">
            <v>1.8</v>
          </cell>
          <cell r="CT220">
            <v>2.5</v>
          </cell>
          <cell r="CU220">
            <v>1.2</v>
          </cell>
          <cell r="CV220">
            <v>1.5</v>
          </cell>
          <cell r="CW220">
            <v>1</v>
          </cell>
          <cell r="CX220">
            <v>0.8</v>
          </cell>
          <cell r="CY220">
            <v>0.5</v>
          </cell>
          <cell r="CZ220">
            <v>0.2</v>
          </cell>
          <cell r="DA220">
            <v>-0.3</v>
          </cell>
          <cell r="DB220">
            <v>2.4</v>
          </cell>
          <cell r="DC220">
            <v>0.2</v>
          </cell>
          <cell r="DD220">
            <v>1.1000000000000001</v>
          </cell>
          <cell r="DE220">
            <v>0.1</v>
          </cell>
          <cell r="DF220">
            <v>1.3</v>
          </cell>
          <cell r="DG220">
            <v>8929</v>
          </cell>
          <cell r="DH220">
            <v>1506</v>
          </cell>
          <cell r="DI220">
            <v>10433</v>
          </cell>
          <cell r="DJ220">
            <v>3104</v>
          </cell>
          <cell r="DK220">
            <v>4842</v>
          </cell>
          <cell r="DL220">
            <v>4630</v>
          </cell>
          <cell r="DM220">
            <v>4019</v>
          </cell>
          <cell r="DN220">
            <v>15437</v>
          </cell>
          <cell r="DO220">
            <v>2594</v>
          </cell>
          <cell r="DP220">
            <v>17640</v>
          </cell>
          <cell r="DQ220">
            <v>6704</v>
          </cell>
          <cell r="DR220">
            <v>5396</v>
          </cell>
          <cell r="DS220">
            <v>4687</v>
          </cell>
          <cell r="DT220">
            <v>5422</v>
          </cell>
          <cell r="DU220">
            <v>5249</v>
          </cell>
          <cell r="DV220">
            <v>27475</v>
          </cell>
          <cell r="DW220">
            <v>5783</v>
          </cell>
          <cell r="DX220">
            <v>331</v>
          </cell>
          <cell r="DY220">
            <v>3867</v>
          </cell>
          <cell r="DZ220">
            <v>9986</v>
          </cell>
          <cell r="EA220">
            <v>6073</v>
          </cell>
          <cell r="EB220">
            <v>9053</v>
          </cell>
          <cell r="EC220">
            <v>14991</v>
          </cell>
          <cell r="ED220">
            <v>30271</v>
          </cell>
          <cell r="EE220">
            <v>14951</v>
          </cell>
          <cell r="EF220">
            <v>16434</v>
          </cell>
          <cell r="EG220">
            <v>9148</v>
          </cell>
          <cell r="EH220">
            <v>5840</v>
          </cell>
          <cell r="EI220">
            <v>1904</v>
          </cell>
          <cell r="EJ220">
            <v>2769</v>
          </cell>
          <cell r="EK220">
            <v>8176</v>
          </cell>
          <cell r="EL220">
            <v>18683</v>
          </cell>
          <cell r="EM220">
            <v>4215</v>
          </cell>
          <cell r="EN220">
            <v>5013</v>
          </cell>
          <cell r="EO220">
            <v>9172</v>
          </cell>
          <cell r="EP220">
            <v>22369</v>
          </cell>
          <cell r="EQ220">
            <v>8798</v>
          </cell>
          <cell r="ER220">
            <v>31175</v>
          </cell>
          <cell r="ES220">
            <v>1465</v>
          </cell>
          <cell r="ET220">
            <v>7862</v>
          </cell>
          <cell r="EU220">
            <v>9331</v>
          </cell>
          <cell r="EV220">
            <v>5048</v>
          </cell>
          <cell r="EW220">
            <v>18958</v>
          </cell>
          <cell r="EX220">
            <v>23904</v>
          </cell>
          <cell r="EY220">
            <v>12182</v>
          </cell>
          <cell r="EZ220">
            <v>20819</v>
          </cell>
          <cell r="FA220">
            <v>18449</v>
          </cell>
          <cell r="FB220">
            <v>23226</v>
          </cell>
          <cell r="FC220">
            <v>3203</v>
          </cell>
          <cell r="FD220">
            <v>7188</v>
          </cell>
          <cell r="FE220">
            <v>34088</v>
          </cell>
          <cell r="FF220">
            <v>344963</v>
          </cell>
          <cell r="FG220">
            <v>27127</v>
          </cell>
          <cell r="FH220">
            <v>713</v>
          </cell>
          <cell r="FI220">
            <v>372655</v>
          </cell>
          <cell r="FJ220">
            <v>-3.6</v>
          </cell>
          <cell r="FK220">
            <v>-0.3</v>
          </cell>
          <cell r="FL220">
            <v>-3.1</v>
          </cell>
          <cell r="FM220">
            <v>-1.6</v>
          </cell>
          <cell r="FN220">
            <v>4.4000000000000004</v>
          </cell>
          <cell r="FO220">
            <v>6</v>
          </cell>
          <cell r="FP220">
            <v>1.7</v>
          </cell>
          <cell r="FQ220">
            <v>3.3</v>
          </cell>
          <cell r="FR220">
            <v>-3.9</v>
          </cell>
          <cell r="FS220">
            <v>2.7</v>
          </cell>
          <cell r="FT220">
            <v>1.3</v>
          </cell>
          <cell r="FU220">
            <v>-3.8</v>
          </cell>
          <cell r="FV220">
            <v>5.6</v>
          </cell>
          <cell r="FW220">
            <v>-4.0999999999999996</v>
          </cell>
          <cell r="FX220">
            <v>-4.2</v>
          </cell>
          <cell r="FY220">
            <v>-1</v>
          </cell>
          <cell r="FZ220">
            <v>-0.6</v>
          </cell>
          <cell r="GA220">
            <v>-4.0999999999999996</v>
          </cell>
          <cell r="GB220">
            <v>0</v>
          </cell>
          <cell r="GC220">
            <v>-0.5</v>
          </cell>
          <cell r="GD220">
            <v>-1.6</v>
          </cell>
          <cell r="GE220">
            <v>5.2</v>
          </cell>
          <cell r="GF220">
            <v>-4.5999999999999996</v>
          </cell>
          <cell r="GG220">
            <v>-1.3</v>
          </cell>
          <cell r="GH220">
            <v>-0.6</v>
          </cell>
          <cell r="GI220">
            <v>1</v>
          </cell>
          <cell r="GJ220">
            <v>-2</v>
          </cell>
          <cell r="GK220">
            <v>-0.7</v>
          </cell>
          <cell r="GL220">
            <v>-0.3</v>
          </cell>
          <cell r="GM220">
            <v>2.4</v>
          </cell>
          <cell r="GN220">
            <v>3.9</v>
          </cell>
          <cell r="GO220">
            <v>1.8</v>
          </cell>
          <cell r="GP220">
            <v>-0.4</v>
          </cell>
          <cell r="GQ220">
            <v>-0.1</v>
          </cell>
          <cell r="GR220">
            <v>-0.2</v>
          </cell>
          <cell r="GS220">
            <v>1.7</v>
          </cell>
          <cell r="GT220">
            <v>0.7</v>
          </cell>
          <cell r="GU220">
            <v>1.5</v>
          </cell>
          <cell r="GV220">
            <v>-4.5999999999999996</v>
          </cell>
          <cell r="GW220">
            <v>2.9</v>
          </cell>
          <cell r="GX220">
            <v>1.1000000000000001</v>
          </cell>
          <cell r="GY220">
            <v>5.8</v>
          </cell>
          <cell r="GZ220">
            <v>-2</v>
          </cell>
          <cell r="HA220">
            <v>-0.4</v>
          </cell>
          <cell r="HB220">
            <v>2.9</v>
          </cell>
          <cell r="HC220">
            <v>1.2</v>
          </cell>
          <cell r="HD220">
            <v>0.4</v>
          </cell>
          <cell r="HE220">
            <v>-0.1</v>
          </cell>
          <cell r="HF220">
            <v>0.4</v>
          </cell>
          <cell r="HG220">
            <v>4</v>
          </cell>
          <cell r="HH220">
            <v>0.3</v>
          </cell>
          <cell r="HI220">
            <v>0.5</v>
          </cell>
          <cell r="HJ220">
            <v>-0.4</v>
          </cell>
          <cell r="HK220">
            <v>1.1000000000000001</v>
          </cell>
          <cell r="HL220">
            <v>13050</v>
          </cell>
          <cell r="HM220">
            <v>1508</v>
          </cell>
          <cell r="HN220">
            <v>14561</v>
          </cell>
          <cell r="HO220">
            <v>3181</v>
          </cell>
          <cell r="HP220">
            <v>4985</v>
          </cell>
          <cell r="HQ220">
            <v>4731</v>
          </cell>
          <cell r="HR220">
            <v>4174</v>
          </cell>
          <cell r="HS220">
            <v>15896</v>
          </cell>
          <cell r="HT220">
            <v>2653</v>
          </cell>
          <cell r="HU220">
            <v>18156</v>
          </cell>
          <cell r="HV220">
            <v>7108</v>
          </cell>
          <cell r="HW220">
            <v>5358</v>
          </cell>
          <cell r="HX220">
            <v>4810</v>
          </cell>
          <cell r="HY220">
            <v>5607</v>
          </cell>
          <cell r="HZ220">
            <v>5495</v>
          </cell>
          <cell r="IA220">
            <v>28409</v>
          </cell>
          <cell r="IB220">
            <v>5629</v>
          </cell>
          <cell r="IC220">
            <v>299</v>
          </cell>
          <cell r="ID220">
            <v>3887</v>
          </cell>
          <cell r="IE220">
            <v>9818</v>
          </cell>
          <cell r="IF220">
            <v>6351</v>
          </cell>
          <cell r="IG220">
            <v>9508</v>
          </cell>
          <cell r="IH220">
            <v>15845</v>
          </cell>
          <cell r="II220">
            <v>31872</v>
          </cell>
          <cell r="IJ220">
            <v>15457</v>
          </cell>
          <cell r="IK220">
            <v>18021</v>
          </cell>
          <cell r="IL220">
            <v>9634</v>
          </cell>
          <cell r="IM220">
            <v>6012</v>
          </cell>
          <cell r="IN220">
            <v>1966</v>
          </cell>
          <cell r="IO220">
            <v>2805</v>
          </cell>
          <cell r="IP220">
            <v>8630</v>
          </cell>
          <cell r="IQ220">
            <v>19412</v>
          </cell>
        </row>
        <row r="221">
          <cell r="B221">
            <v>9048</v>
          </cell>
          <cell r="C221">
            <v>1518</v>
          </cell>
          <cell r="D221">
            <v>10564</v>
          </cell>
          <cell r="E221">
            <v>3115</v>
          </cell>
          <cell r="F221">
            <v>4776</v>
          </cell>
          <cell r="G221">
            <v>4667</v>
          </cell>
          <cell r="H221">
            <v>4034</v>
          </cell>
          <cell r="I221">
            <v>15542</v>
          </cell>
          <cell r="J221">
            <v>2793</v>
          </cell>
          <cell r="K221">
            <v>17846</v>
          </cell>
          <cell r="L221">
            <v>6493</v>
          </cell>
          <cell r="M221">
            <v>5387</v>
          </cell>
          <cell r="N221">
            <v>4502</v>
          </cell>
          <cell r="O221">
            <v>5661</v>
          </cell>
          <cell r="P221">
            <v>5200</v>
          </cell>
          <cell r="Q221">
            <v>27247</v>
          </cell>
          <cell r="R221">
            <v>5803</v>
          </cell>
          <cell r="S221">
            <v>354</v>
          </cell>
          <cell r="T221">
            <v>3968</v>
          </cell>
          <cell r="U221">
            <v>10125</v>
          </cell>
          <cell r="V221">
            <v>5958</v>
          </cell>
          <cell r="W221">
            <v>10312</v>
          </cell>
          <cell r="X221">
            <v>15018</v>
          </cell>
          <cell r="Y221">
            <v>31309</v>
          </cell>
          <cell r="Z221">
            <v>15299</v>
          </cell>
          <cell r="AA221">
            <v>16630</v>
          </cell>
          <cell r="AB221">
            <v>9110</v>
          </cell>
          <cell r="AC221">
            <v>5844</v>
          </cell>
          <cell r="AD221">
            <v>1958</v>
          </cell>
          <cell r="AE221">
            <v>2805</v>
          </cell>
          <cell r="AF221">
            <v>8458</v>
          </cell>
          <cell r="AG221">
            <v>19065</v>
          </cell>
          <cell r="AH221">
            <v>4225</v>
          </cell>
          <cell r="AI221">
            <v>4988</v>
          </cell>
          <cell r="AJ221">
            <v>9156</v>
          </cell>
          <cell r="AK221">
            <v>22780</v>
          </cell>
          <cell r="AL221">
            <v>8859</v>
          </cell>
          <cell r="AM221">
            <v>31653</v>
          </cell>
          <cell r="AN221">
            <v>1529</v>
          </cell>
          <cell r="AO221">
            <v>8043</v>
          </cell>
          <cell r="AP221">
            <v>9582</v>
          </cell>
          <cell r="AQ221">
            <v>4978</v>
          </cell>
          <cell r="AR221">
            <v>19739</v>
          </cell>
          <cell r="AS221">
            <v>24625</v>
          </cell>
          <cell r="AT221">
            <v>12270</v>
          </cell>
          <cell r="AU221">
            <v>21007</v>
          </cell>
          <cell r="AV221">
            <v>18523</v>
          </cell>
          <cell r="AW221">
            <v>23426</v>
          </cell>
          <cell r="AX221">
            <v>3134</v>
          </cell>
          <cell r="AY221">
            <v>7193</v>
          </cell>
          <cell r="AZ221">
            <v>34189</v>
          </cell>
          <cell r="BA221">
            <v>349069</v>
          </cell>
          <cell r="BB221">
            <v>27211</v>
          </cell>
          <cell r="BC221">
            <v>471</v>
          </cell>
          <cell r="BD221">
            <v>376633</v>
          </cell>
          <cell r="BE221">
            <v>-0.9</v>
          </cell>
          <cell r="BF221">
            <v>0.5</v>
          </cell>
          <cell r="BG221">
            <v>-0.7</v>
          </cell>
          <cell r="BH221">
            <v>0.2</v>
          </cell>
          <cell r="BI221">
            <v>1.8</v>
          </cell>
          <cell r="BJ221">
            <v>2</v>
          </cell>
          <cell r="BK221">
            <v>0.4</v>
          </cell>
          <cell r="BL221">
            <v>1.7</v>
          </cell>
          <cell r="BM221">
            <v>4.3</v>
          </cell>
          <cell r="BN221">
            <v>1.8</v>
          </cell>
          <cell r="BO221">
            <v>-2</v>
          </cell>
          <cell r="BP221">
            <v>-2.4</v>
          </cell>
          <cell r="BQ221">
            <v>-1.7</v>
          </cell>
          <cell r="BR221">
            <v>1.4</v>
          </cell>
          <cell r="BS221">
            <v>-2.2000000000000002</v>
          </cell>
          <cell r="BT221">
            <v>-1.3</v>
          </cell>
          <cell r="BU221">
            <v>0</v>
          </cell>
          <cell r="BV221">
            <v>4.3</v>
          </cell>
          <cell r="BW221">
            <v>1.9</v>
          </cell>
          <cell r="BX221">
            <v>0.8</v>
          </cell>
          <cell r="BY221">
            <v>-2.1</v>
          </cell>
          <cell r="BZ221">
            <v>10.1</v>
          </cell>
          <cell r="CA221">
            <v>-1.1000000000000001</v>
          </cell>
          <cell r="CB221">
            <v>1.8</v>
          </cell>
          <cell r="CC221">
            <v>1.7</v>
          </cell>
          <cell r="CD221">
            <v>1.2</v>
          </cell>
          <cell r="CE221">
            <v>-0.9</v>
          </cell>
          <cell r="CF221">
            <v>-0.4</v>
          </cell>
          <cell r="CG221">
            <v>1.1000000000000001</v>
          </cell>
          <cell r="CH221">
            <v>1.4</v>
          </cell>
          <cell r="CI221">
            <v>3.2</v>
          </cell>
          <cell r="CJ221">
            <v>1.6</v>
          </cell>
          <cell r="CK221">
            <v>-0.2</v>
          </cell>
          <cell r="CL221">
            <v>-0.1</v>
          </cell>
          <cell r="CM221">
            <v>-0.2</v>
          </cell>
          <cell r="CN221">
            <v>1.8</v>
          </cell>
          <cell r="CO221">
            <v>0.4</v>
          </cell>
          <cell r="CP221">
            <v>1.5</v>
          </cell>
          <cell r="CQ221">
            <v>2.5</v>
          </cell>
          <cell r="CR221">
            <v>2.1</v>
          </cell>
          <cell r="CS221">
            <v>2.1</v>
          </cell>
          <cell r="CT221">
            <v>2.5</v>
          </cell>
          <cell r="CU221">
            <v>1.4</v>
          </cell>
          <cell r="CV221">
            <v>1.7</v>
          </cell>
          <cell r="CW221">
            <v>1.2</v>
          </cell>
          <cell r="CX221">
            <v>0.6</v>
          </cell>
          <cell r="CY221">
            <v>0.4</v>
          </cell>
          <cell r="CZ221">
            <v>0.8</v>
          </cell>
          <cell r="DA221">
            <v>-1</v>
          </cell>
          <cell r="DB221">
            <v>0.2</v>
          </cell>
          <cell r="DC221">
            <v>0.3</v>
          </cell>
          <cell r="DD221">
            <v>0.9</v>
          </cell>
          <cell r="DE221">
            <v>0.1</v>
          </cell>
          <cell r="DF221">
            <v>1</v>
          </cell>
          <cell r="DG221">
            <v>9210</v>
          </cell>
          <cell r="DH221">
            <v>1512</v>
          </cell>
          <cell r="DI221">
            <v>10722</v>
          </cell>
          <cell r="DJ221">
            <v>3108</v>
          </cell>
          <cell r="DK221">
            <v>4648</v>
          </cell>
          <cell r="DL221">
            <v>4675</v>
          </cell>
          <cell r="DM221">
            <v>4034</v>
          </cell>
          <cell r="DN221">
            <v>15453</v>
          </cell>
          <cell r="DO221">
            <v>2749</v>
          </cell>
          <cell r="DP221">
            <v>17729</v>
          </cell>
          <cell r="DQ221">
            <v>6491</v>
          </cell>
          <cell r="DR221">
            <v>5563</v>
          </cell>
          <cell r="DS221">
            <v>4509</v>
          </cell>
          <cell r="DT221">
            <v>5778</v>
          </cell>
          <cell r="DU221">
            <v>5232</v>
          </cell>
          <cell r="DV221">
            <v>27561</v>
          </cell>
          <cell r="DW221">
            <v>5826</v>
          </cell>
          <cell r="DX221">
            <v>351</v>
          </cell>
          <cell r="DY221">
            <v>3954</v>
          </cell>
          <cell r="DZ221">
            <v>10133</v>
          </cell>
          <cell r="EA221">
            <v>6002</v>
          </cell>
          <cell r="EB221">
            <v>10392</v>
          </cell>
          <cell r="EC221">
            <v>15024</v>
          </cell>
          <cell r="ED221">
            <v>31427</v>
          </cell>
          <cell r="EE221">
            <v>15254</v>
          </cell>
          <cell r="EF221">
            <v>16601</v>
          </cell>
          <cell r="EG221">
            <v>9066</v>
          </cell>
          <cell r="EH221">
            <v>5855</v>
          </cell>
          <cell r="EI221">
            <v>1996</v>
          </cell>
          <cell r="EJ221">
            <v>2793</v>
          </cell>
          <cell r="EK221">
            <v>8451</v>
          </cell>
          <cell r="EL221">
            <v>19093</v>
          </cell>
          <cell r="EM221">
            <v>4252</v>
          </cell>
          <cell r="EN221">
            <v>4931</v>
          </cell>
          <cell r="EO221">
            <v>9134</v>
          </cell>
          <cell r="EP221">
            <v>22751</v>
          </cell>
          <cell r="EQ221">
            <v>8939</v>
          </cell>
          <cell r="ER221">
            <v>31700</v>
          </cell>
          <cell r="ES221">
            <v>1487</v>
          </cell>
          <cell r="ET221">
            <v>8110</v>
          </cell>
          <cell r="EU221">
            <v>9586</v>
          </cell>
          <cell r="EV221">
            <v>4708</v>
          </cell>
          <cell r="EW221">
            <v>20111</v>
          </cell>
          <cell r="EX221">
            <v>24719</v>
          </cell>
          <cell r="EY221">
            <v>12389</v>
          </cell>
          <cell r="EZ221">
            <v>21232</v>
          </cell>
          <cell r="FA221">
            <v>18521</v>
          </cell>
          <cell r="FB221">
            <v>23303</v>
          </cell>
          <cell r="FC221">
            <v>3088</v>
          </cell>
          <cell r="FD221">
            <v>7358</v>
          </cell>
          <cell r="FE221">
            <v>34189</v>
          </cell>
          <cell r="FF221">
            <v>349708</v>
          </cell>
          <cell r="FG221">
            <v>27152</v>
          </cell>
          <cell r="FH221">
            <v>-265</v>
          </cell>
          <cell r="FI221">
            <v>376493</v>
          </cell>
          <cell r="FJ221">
            <v>3.1</v>
          </cell>
          <cell r="FK221">
            <v>0.4</v>
          </cell>
          <cell r="FL221">
            <v>2.8</v>
          </cell>
          <cell r="FM221">
            <v>0.1</v>
          </cell>
          <cell r="FN221">
            <v>-4</v>
          </cell>
          <cell r="FO221">
            <v>1</v>
          </cell>
          <cell r="FP221">
            <v>0.4</v>
          </cell>
          <cell r="FQ221">
            <v>0.1</v>
          </cell>
          <cell r="FR221">
            <v>6</v>
          </cell>
          <cell r="FS221">
            <v>0.5</v>
          </cell>
          <cell r="FT221">
            <v>-3.2</v>
          </cell>
          <cell r="FU221">
            <v>3.1</v>
          </cell>
          <cell r="FV221">
            <v>-3.8</v>
          </cell>
          <cell r="FW221">
            <v>6.6</v>
          </cell>
          <cell r="FX221">
            <v>-0.3</v>
          </cell>
          <cell r="FY221">
            <v>0.3</v>
          </cell>
          <cell r="FZ221">
            <v>0.7</v>
          </cell>
          <cell r="GA221">
            <v>6.1</v>
          </cell>
          <cell r="GB221">
            <v>2.2999999999999998</v>
          </cell>
          <cell r="GC221">
            <v>1.5</v>
          </cell>
          <cell r="GD221">
            <v>-1.2</v>
          </cell>
          <cell r="GE221">
            <v>14.8</v>
          </cell>
          <cell r="GF221">
            <v>0.2</v>
          </cell>
          <cell r="GG221">
            <v>3.8</v>
          </cell>
          <cell r="GH221">
            <v>2</v>
          </cell>
          <cell r="GI221">
            <v>1</v>
          </cell>
          <cell r="GJ221">
            <v>-0.9</v>
          </cell>
          <cell r="GK221">
            <v>0.3</v>
          </cell>
          <cell r="GL221">
            <v>4.8</v>
          </cell>
          <cell r="GM221">
            <v>0.9</v>
          </cell>
          <cell r="GN221">
            <v>3.4</v>
          </cell>
          <cell r="GO221">
            <v>2.2000000000000002</v>
          </cell>
          <cell r="GP221">
            <v>0.9</v>
          </cell>
          <cell r="GQ221">
            <v>-1.6</v>
          </cell>
          <cell r="GR221">
            <v>-0.4</v>
          </cell>
          <cell r="GS221">
            <v>1.7</v>
          </cell>
          <cell r="GT221">
            <v>1.6</v>
          </cell>
          <cell r="GU221">
            <v>1.7</v>
          </cell>
          <cell r="GV221">
            <v>1.5</v>
          </cell>
          <cell r="GW221">
            <v>3.2</v>
          </cell>
          <cell r="GX221">
            <v>2.7</v>
          </cell>
          <cell r="GY221">
            <v>-6.7</v>
          </cell>
          <cell r="GZ221">
            <v>6.1</v>
          </cell>
          <cell r="HA221">
            <v>3.4</v>
          </cell>
          <cell r="HB221">
            <v>1.7</v>
          </cell>
          <cell r="HC221">
            <v>2</v>
          </cell>
          <cell r="HD221">
            <v>0.4</v>
          </cell>
          <cell r="HE221">
            <v>0.3</v>
          </cell>
          <cell r="HF221">
            <v>-3.6</v>
          </cell>
          <cell r="HG221">
            <v>2.4</v>
          </cell>
          <cell r="HH221">
            <v>0.3</v>
          </cell>
          <cell r="HI221">
            <v>1.4</v>
          </cell>
          <cell r="HJ221">
            <v>0.1</v>
          </cell>
          <cell r="HK221">
            <v>1</v>
          </cell>
          <cell r="HL221">
            <v>8973</v>
          </cell>
          <cell r="HM221">
            <v>1513</v>
          </cell>
          <cell r="HN221">
            <v>10481</v>
          </cell>
          <cell r="HO221">
            <v>2876</v>
          </cell>
          <cell r="HP221">
            <v>4380</v>
          </cell>
          <cell r="HQ221">
            <v>4342</v>
          </cell>
          <cell r="HR221">
            <v>3822</v>
          </cell>
          <cell r="HS221">
            <v>14477</v>
          </cell>
          <cell r="HT221">
            <v>2589</v>
          </cell>
          <cell r="HU221">
            <v>16613</v>
          </cell>
          <cell r="HV221">
            <v>6358</v>
          </cell>
          <cell r="HW221">
            <v>5467</v>
          </cell>
          <cell r="HX221">
            <v>4225</v>
          </cell>
          <cell r="HY221">
            <v>5283</v>
          </cell>
          <cell r="HZ221">
            <v>4798</v>
          </cell>
          <cell r="IA221">
            <v>26059</v>
          </cell>
          <cell r="IB221">
            <v>5875</v>
          </cell>
          <cell r="IC221">
            <v>287</v>
          </cell>
          <cell r="ID221">
            <v>4029</v>
          </cell>
          <cell r="IE221">
            <v>10196</v>
          </cell>
          <cell r="IF221">
            <v>5425</v>
          </cell>
          <cell r="IG221">
            <v>9662</v>
          </cell>
          <cell r="IH221">
            <v>13768</v>
          </cell>
          <cell r="II221">
            <v>28840</v>
          </cell>
          <cell r="IJ221">
            <v>14568</v>
          </cell>
          <cell r="IK221">
            <v>15986</v>
          </cell>
          <cell r="IL221">
            <v>8882</v>
          </cell>
          <cell r="IM221">
            <v>5541</v>
          </cell>
          <cell r="IN221">
            <v>1940</v>
          </cell>
          <cell r="IO221">
            <v>2677</v>
          </cell>
          <cell r="IP221">
            <v>8213</v>
          </cell>
          <cell r="IQ221">
            <v>18375</v>
          </cell>
        </row>
        <row r="222">
          <cell r="B222">
            <v>8926</v>
          </cell>
          <cell r="C222">
            <v>1508</v>
          </cell>
          <cell r="D222">
            <v>10433</v>
          </cell>
          <cell r="E222">
            <v>3225</v>
          </cell>
          <cell r="F222">
            <v>5008</v>
          </cell>
          <cell r="G222">
            <v>4697</v>
          </cell>
          <cell r="H222">
            <v>4018</v>
          </cell>
          <cell r="I222">
            <v>15891</v>
          </cell>
          <cell r="J222">
            <v>2968</v>
          </cell>
          <cell r="K222">
            <v>18308</v>
          </cell>
          <cell r="L222">
            <v>6470</v>
          </cell>
          <cell r="M222">
            <v>5229</v>
          </cell>
          <cell r="N222">
            <v>4393</v>
          </cell>
          <cell r="O222">
            <v>5648</v>
          </cell>
          <cell r="P222">
            <v>5121</v>
          </cell>
          <cell r="Q222">
            <v>26873</v>
          </cell>
          <cell r="R222">
            <v>5790</v>
          </cell>
          <cell r="S222">
            <v>379</v>
          </cell>
          <cell r="T222">
            <v>4071</v>
          </cell>
          <cell r="U222">
            <v>10234</v>
          </cell>
          <cell r="V222">
            <v>5807</v>
          </cell>
          <cell r="W222">
            <v>10926</v>
          </cell>
          <cell r="X222">
            <v>15119</v>
          </cell>
          <cell r="Y222">
            <v>31848</v>
          </cell>
          <cell r="Z222">
            <v>15595</v>
          </cell>
          <cell r="AA222">
            <v>16766</v>
          </cell>
          <cell r="AB222">
            <v>9109</v>
          </cell>
          <cell r="AC222">
            <v>5810</v>
          </cell>
          <cell r="AD222">
            <v>1968</v>
          </cell>
          <cell r="AE222">
            <v>2871</v>
          </cell>
          <cell r="AF222">
            <v>8698</v>
          </cell>
          <cell r="AG222">
            <v>19352</v>
          </cell>
          <cell r="AH222">
            <v>4233</v>
          </cell>
          <cell r="AI222">
            <v>4963</v>
          </cell>
          <cell r="AJ222">
            <v>9140</v>
          </cell>
          <cell r="AK222">
            <v>23101</v>
          </cell>
          <cell r="AL222">
            <v>8896</v>
          </cell>
          <cell r="AM222">
            <v>32014</v>
          </cell>
          <cell r="AN222">
            <v>1620</v>
          </cell>
          <cell r="AO222">
            <v>8162</v>
          </cell>
          <cell r="AP222">
            <v>9808</v>
          </cell>
          <cell r="AQ222">
            <v>5125</v>
          </cell>
          <cell r="AR222">
            <v>19984</v>
          </cell>
          <cell r="AS222">
            <v>25037</v>
          </cell>
          <cell r="AT222">
            <v>12271</v>
          </cell>
          <cell r="AU222">
            <v>21004</v>
          </cell>
          <cell r="AV222">
            <v>18593</v>
          </cell>
          <cell r="AW222">
            <v>23744</v>
          </cell>
          <cell r="AX222">
            <v>3106</v>
          </cell>
          <cell r="AY222">
            <v>7045</v>
          </cell>
          <cell r="AZ222">
            <v>34300</v>
          </cell>
          <cell r="BA222">
            <v>351953</v>
          </cell>
          <cell r="BB222">
            <v>27352</v>
          </cell>
          <cell r="BC222">
            <v>525</v>
          </cell>
          <cell r="BD222">
            <v>379723</v>
          </cell>
          <cell r="BE222">
            <v>-1.3</v>
          </cell>
          <cell r="BF222">
            <v>-0.6</v>
          </cell>
          <cell r="BG222">
            <v>-1.2</v>
          </cell>
          <cell r="BH222">
            <v>3.6</v>
          </cell>
          <cell r="BI222">
            <v>4.9000000000000004</v>
          </cell>
          <cell r="BJ222">
            <v>0.6</v>
          </cell>
          <cell r="BK222">
            <v>-0.4</v>
          </cell>
          <cell r="BL222">
            <v>2.2000000000000002</v>
          </cell>
          <cell r="BM222">
            <v>6.3</v>
          </cell>
          <cell r="BN222">
            <v>2.6</v>
          </cell>
          <cell r="BO222">
            <v>-0.4</v>
          </cell>
          <cell r="BP222">
            <v>-2.9</v>
          </cell>
          <cell r="BQ222">
            <v>-2.4</v>
          </cell>
          <cell r="BR222">
            <v>-0.2</v>
          </cell>
          <cell r="BS222">
            <v>-1.5</v>
          </cell>
          <cell r="BT222">
            <v>-1.4</v>
          </cell>
          <cell r="BU222">
            <v>-0.2</v>
          </cell>
          <cell r="BV222">
            <v>7.2</v>
          </cell>
          <cell r="BW222">
            <v>2.6</v>
          </cell>
          <cell r="BX222">
            <v>1.1000000000000001</v>
          </cell>
          <cell r="BY222">
            <v>-2.5</v>
          </cell>
          <cell r="BZ222">
            <v>5.9</v>
          </cell>
          <cell r="CA222">
            <v>0.7</v>
          </cell>
          <cell r="CB222">
            <v>1.7</v>
          </cell>
          <cell r="CC222">
            <v>1.9</v>
          </cell>
          <cell r="CD222">
            <v>0.8</v>
          </cell>
          <cell r="CE222">
            <v>0</v>
          </cell>
          <cell r="CF222">
            <v>-0.6</v>
          </cell>
          <cell r="CG222">
            <v>0.5</v>
          </cell>
          <cell r="CH222">
            <v>2.4</v>
          </cell>
          <cell r="CI222">
            <v>2.8</v>
          </cell>
          <cell r="CJ222">
            <v>1.5</v>
          </cell>
          <cell r="CK222">
            <v>0.2</v>
          </cell>
          <cell r="CL222">
            <v>-0.5</v>
          </cell>
          <cell r="CM222">
            <v>-0.2</v>
          </cell>
          <cell r="CN222">
            <v>1.4</v>
          </cell>
          <cell r="CO222">
            <v>0.4</v>
          </cell>
          <cell r="CP222">
            <v>1.1000000000000001</v>
          </cell>
          <cell r="CQ222">
            <v>5.9</v>
          </cell>
          <cell r="CR222">
            <v>1.5</v>
          </cell>
          <cell r="CS222">
            <v>2.4</v>
          </cell>
          <cell r="CT222">
            <v>3</v>
          </cell>
          <cell r="CU222">
            <v>1.2</v>
          </cell>
          <cell r="CV222">
            <v>1.7</v>
          </cell>
          <cell r="CW222">
            <v>0</v>
          </cell>
          <cell r="CX222">
            <v>0</v>
          </cell>
          <cell r="CY222">
            <v>0.4</v>
          </cell>
          <cell r="CZ222">
            <v>1.4</v>
          </cell>
          <cell r="DA222">
            <v>-0.9</v>
          </cell>
          <cell r="DB222">
            <v>-2.1</v>
          </cell>
          <cell r="DC222">
            <v>0.3</v>
          </cell>
          <cell r="DD222">
            <v>0.8</v>
          </cell>
          <cell r="DE222">
            <v>0.5</v>
          </cell>
          <cell r="DF222">
            <v>0.8</v>
          </cell>
          <cell r="DG222">
            <v>8904</v>
          </cell>
          <cell r="DH222">
            <v>1523</v>
          </cell>
          <cell r="DI222">
            <v>10426</v>
          </cell>
          <cell r="DJ222">
            <v>3168</v>
          </cell>
          <cell r="DK222">
            <v>4866</v>
          </cell>
          <cell r="DL222">
            <v>4679</v>
          </cell>
          <cell r="DM222">
            <v>4081</v>
          </cell>
          <cell r="DN222">
            <v>15783</v>
          </cell>
          <cell r="DO222">
            <v>2991</v>
          </cell>
          <cell r="DP222">
            <v>18201</v>
          </cell>
          <cell r="DQ222">
            <v>6326</v>
          </cell>
          <cell r="DR222">
            <v>5083</v>
          </cell>
          <cell r="DS222">
            <v>4289</v>
          </cell>
          <cell r="DT222">
            <v>5604</v>
          </cell>
          <cell r="DU222">
            <v>5149</v>
          </cell>
          <cell r="DV222">
            <v>26472</v>
          </cell>
          <cell r="DW222">
            <v>5797</v>
          </cell>
          <cell r="DX222">
            <v>379</v>
          </cell>
          <cell r="DY222">
            <v>4096</v>
          </cell>
          <cell r="DZ222">
            <v>10264</v>
          </cell>
          <cell r="EA222">
            <v>5795</v>
          </cell>
          <cell r="EB222">
            <v>11107</v>
          </cell>
          <cell r="EC222">
            <v>15063</v>
          </cell>
          <cell r="ED222">
            <v>31895</v>
          </cell>
          <cell r="EE222">
            <v>15607</v>
          </cell>
          <cell r="EF222">
            <v>16848</v>
          </cell>
          <cell r="EG222">
            <v>9079</v>
          </cell>
          <cell r="EH222">
            <v>5851</v>
          </cell>
          <cell r="EI222">
            <v>1961</v>
          </cell>
          <cell r="EJ222">
            <v>2870</v>
          </cell>
          <cell r="EK222">
            <v>8854</v>
          </cell>
          <cell r="EL222">
            <v>19546</v>
          </cell>
          <cell r="EM222">
            <v>4220</v>
          </cell>
          <cell r="EN222">
            <v>5004</v>
          </cell>
          <cell r="EO222">
            <v>9166</v>
          </cell>
          <cell r="EP222">
            <v>23147</v>
          </cell>
          <cell r="EQ222">
            <v>8864</v>
          </cell>
          <cell r="ER222">
            <v>32034</v>
          </cell>
          <cell r="ES222">
            <v>1642</v>
          </cell>
          <cell r="ET222">
            <v>8152</v>
          </cell>
          <cell r="EU222">
            <v>9835</v>
          </cell>
          <cell r="EV222">
            <v>5236</v>
          </cell>
          <cell r="EW222">
            <v>20163</v>
          </cell>
          <cell r="EX222">
            <v>25325</v>
          </cell>
          <cell r="EY222">
            <v>12193</v>
          </cell>
          <cell r="EZ222">
            <v>20949</v>
          </cell>
          <cell r="FA222">
            <v>18592</v>
          </cell>
          <cell r="FB222">
            <v>23809</v>
          </cell>
          <cell r="FC222">
            <v>3133</v>
          </cell>
          <cell r="FD222">
            <v>6976</v>
          </cell>
          <cell r="FE222">
            <v>34301</v>
          </cell>
          <cell r="FF222">
            <v>351878</v>
          </cell>
          <cell r="FG222">
            <v>27325</v>
          </cell>
          <cell r="FH222">
            <v>1183</v>
          </cell>
          <cell r="FI222">
            <v>380281</v>
          </cell>
          <cell r="FJ222">
            <v>-3.3</v>
          </cell>
          <cell r="FK222">
            <v>0.7</v>
          </cell>
          <cell r="FL222">
            <v>-2.8</v>
          </cell>
          <cell r="FM222">
            <v>1.9</v>
          </cell>
          <cell r="FN222">
            <v>4.7</v>
          </cell>
          <cell r="FO222">
            <v>0.1</v>
          </cell>
          <cell r="FP222">
            <v>1.2</v>
          </cell>
          <cell r="FQ222">
            <v>2.1</v>
          </cell>
          <cell r="FR222">
            <v>8.8000000000000007</v>
          </cell>
          <cell r="FS222">
            <v>2.7</v>
          </cell>
          <cell r="FT222">
            <v>-2.5</v>
          </cell>
          <cell r="FU222">
            <v>-8.6</v>
          </cell>
          <cell r="FV222">
            <v>-4.9000000000000004</v>
          </cell>
          <cell r="FW222">
            <v>-3</v>
          </cell>
          <cell r="FX222">
            <v>-1.6</v>
          </cell>
          <cell r="FY222">
            <v>-4</v>
          </cell>
          <cell r="FZ222">
            <v>-0.5</v>
          </cell>
          <cell r="GA222">
            <v>7.9</v>
          </cell>
          <cell r="GB222">
            <v>3.6</v>
          </cell>
          <cell r="GC222">
            <v>1.3</v>
          </cell>
          <cell r="GD222">
            <v>-3.5</v>
          </cell>
          <cell r="GE222">
            <v>6.9</v>
          </cell>
          <cell r="GF222">
            <v>0.3</v>
          </cell>
          <cell r="GG222">
            <v>1.5</v>
          </cell>
          <cell r="GH222">
            <v>2.2999999999999998</v>
          </cell>
          <cell r="GI222">
            <v>1.5</v>
          </cell>
          <cell r="GJ222">
            <v>0.2</v>
          </cell>
          <cell r="GK222">
            <v>-0.1</v>
          </cell>
          <cell r="GL222">
            <v>-1.8</v>
          </cell>
          <cell r="GM222">
            <v>2.8</v>
          </cell>
          <cell r="GN222">
            <v>4.8</v>
          </cell>
          <cell r="GO222">
            <v>2.4</v>
          </cell>
          <cell r="GP222">
            <v>-0.8</v>
          </cell>
          <cell r="GQ222">
            <v>1.5</v>
          </cell>
          <cell r="GR222">
            <v>0.4</v>
          </cell>
          <cell r="GS222">
            <v>1.7</v>
          </cell>
          <cell r="GT222">
            <v>-0.8</v>
          </cell>
          <cell r="GU222">
            <v>1.1000000000000001</v>
          </cell>
          <cell r="GV222">
            <v>10.4</v>
          </cell>
          <cell r="GW222">
            <v>0.5</v>
          </cell>
          <cell r="GX222">
            <v>2.6</v>
          </cell>
          <cell r="GY222">
            <v>11.2</v>
          </cell>
          <cell r="GZ222">
            <v>0.3</v>
          </cell>
          <cell r="HA222">
            <v>2.5</v>
          </cell>
          <cell r="HB222">
            <v>-1.6</v>
          </cell>
          <cell r="HC222">
            <v>-1.3</v>
          </cell>
          <cell r="HD222">
            <v>0.4</v>
          </cell>
          <cell r="HE222">
            <v>2.2000000000000002</v>
          </cell>
          <cell r="HF222">
            <v>1.5</v>
          </cell>
          <cell r="HG222">
            <v>-5.2</v>
          </cell>
          <cell r="HH222">
            <v>0.3</v>
          </cell>
          <cell r="HI222">
            <v>0.6</v>
          </cell>
          <cell r="HJ222">
            <v>0.6</v>
          </cell>
          <cell r="HK222">
            <v>1</v>
          </cell>
          <cell r="HL222">
            <v>8451</v>
          </cell>
          <cell r="HM222">
            <v>1518</v>
          </cell>
          <cell r="HN222">
            <v>9964</v>
          </cell>
          <cell r="HO222">
            <v>3249</v>
          </cell>
          <cell r="HP222">
            <v>4861</v>
          </cell>
          <cell r="HQ222">
            <v>4805</v>
          </cell>
          <cell r="HR222">
            <v>4099</v>
          </cell>
          <cell r="HS222">
            <v>15994</v>
          </cell>
          <cell r="HT222">
            <v>3091</v>
          </cell>
          <cell r="HU222">
            <v>18470</v>
          </cell>
          <cell r="HV222">
            <v>6075</v>
          </cell>
          <cell r="HW222">
            <v>5015</v>
          </cell>
          <cell r="HX222">
            <v>4309</v>
          </cell>
          <cell r="HY222">
            <v>5722</v>
          </cell>
          <cell r="HZ222">
            <v>5159</v>
          </cell>
          <cell r="IA222">
            <v>26335</v>
          </cell>
          <cell r="IB222">
            <v>5785</v>
          </cell>
          <cell r="IC222">
            <v>397</v>
          </cell>
          <cell r="ID222">
            <v>4055</v>
          </cell>
          <cell r="IE222">
            <v>10232</v>
          </cell>
          <cell r="IF222">
            <v>5813</v>
          </cell>
          <cell r="IG222">
            <v>11549</v>
          </cell>
          <cell r="IH222">
            <v>15154</v>
          </cell>
          <cell r="II222">
            <v>32406</v>
          </cell>
          <cell r="IJ222">
            <v>15644</v>
          </cell>
          <cell r="IK222">
            <v>16192</v>
          </cell>
          <cell r="IL222">
            <v>8749</v>
          </cell>
          <cell r="IM222">
            <v>5925</v>
          </cell>
          <cell r="IN222">
            <v>1882</v>
          </cell>
          <cell r="IO222">
            <v>2855</v>
          </cell>
          <cell r="IP222">
            <v>8685</v>
          </cell>
          <cell r="IQ222">
            <v>19358</v>
          </cell>
        </row>
        <row r="223">
          <cell r="B223">
            <v>8774</v>
          </cell>
          <cell r="C223">
            <v>1504</v>
          </cell>
          <cell r="D223">
            <v>10275</v>
          </cell>
          <cell r="E223">
            <v>3462</v>
          </cell>
          <cell r="F223">
            <v>5164</v>
          </cell>
          <cell r="G223">
            <v>4768</v>
          </cell>
          <cell r="H223">
            <v>3998</v>
          </cell>
          <cell r="I223">
            <v>16333</v>
          </cell>
          <cell r="J223">
            <v>3032</v>
          </cell>
          <cell r="K223">
            <v>18815</v>
          </cell>
          <cell r="L223">
            <v>6603</v>
          </cell>
          <cell r="M223">
            <v>5110</v>
          </cell>
          <cell r="N223">
            <v>4258</v>
          </cell>
          <cell r="O223">
            <v>5564</v>
          </cell>
          <cell r="P223">
            <v>5111</v>
          </cell>
          <cell r="Q223">
            <v>26652</v>
          </cell>
          <cell r="R223">
            <v>5759</v>
          </cell>
          <cell r="S223">
            <v>392</v>
          </cell>
          <cell r="T223">
            <v>4116</v>
          </cell>
          <cell r="U223">
            <v>10257</v>
          </cell>
          <cell r="V223">
            <v>5725</v>
          </cell>
          <cell r="W223">
            <v>11054</v>
          </cell>
          <cell r="X223">
            <v>15404</v>
          </cell>
          <cell r="Y223">
            <v>32246</v>
          </cell>
          <cell r="Z223">
            <v>15835</v>
          </cell>
          <cell r="AA223">
            <v>16878</v>
          </cell>
          <cell r="AB223">
            <v>9140</v>
          </cell>
          <cell r="AC223">
            <v>5811</v>
          </cell>
          <cell r="AD223">
            <v>1965</v>
          </cell>
          <cell r="AE223">
            <v>2926</v>
          </cell>
          <cell r="AF223">
            <v>8795</v>
          </cell>
          <cell r="AG223">
            <v>19505</v>
          </cell>
          <cell r="AH223">
            <v>4271</v>
          </cell>
          <cell r="AI223">
            <v>4885</v>
          </cell>
          <cell r="AJ223">
            <v>9109</v>
          </cell>
          <cell r="AK223">
            <v>23206</v>
          </cell>
          <cell r="AL223">
            <v>9035</v>
          </cell>
          <cell r="AM223">
            <v>32256</v>
          </cell>
          <cell r="AN223">
            <v>1718</v>
          </cell>
          <cell r="AO223">
            <v>8257</v>
          </cell>
          <cell r="AP223">
            <v>10022</v>
          </cell>
          <cell r="AQ223">
            <v>5326</v>
          </cell>
          <cell r="AR223">
            <v>20091</v>
          </cell>
          <cell r="AS223">
            <v>25366</v>
          </cell>
          <cell r="AT223">
            <v>12141</v>
          </cell>
          <cell r="AU223">
            <v>20955</v>
          </cell>
          <cell r="AV223">
            <v>18663</v>
          </cell>
          <cell r="AW223">
            <v>24087</v>
          </cell>
          <cell r="AX223">
            <v>3106</v>
          </cell>
          <cell r="AY223">
            <v>6857</v>
          </cell>
          <cell r="AZ223">
            <v>34408</v>
          </cell>
          <cell r="BA223">
            <v>354283</v>
          </cell>
          <cell r="BB223">
            <v>27535</v>
          </cell>
          <cell r="BC223">
            <v>247</v>
          </cell>
          <cell r="BD223">
            <v>381959</v>
          </cell>
          <cell r="BE223">
            <v>-1.7</v>
          </cell>
          <cell r="BF223">
            <v>-0.3</v>
          </cell>
          <cell r="BG223">
            <v>-1.5</v>
          </cell>
          <cell r="BH223">
            <v>7.3</v>
          </cell>
          <cell r="BI223">
            <v>3.1</v>
          </cell>
          <cell r="BJ223">
            <v>1.5</v>
          </cell>
          <cell r="BK223">
            <v>-0.5</v>
          </cell>
          <cell r="BL223">
            <v>2.8</v>
          </cell>
          <cell r="BM223">
            <v>2.2000000000000002</v>
          </cell>
          <cell r="BN223">
            <v>2.8</v>
          </cell>
          <cell r="BO223">
            <v>2.1</v>
          </cell>
          <cell r="BP223">
            <v>-2.2999999999999998</v>
          </cell>
          <cell r="BQ223">
            <v>-3.1</v>
          </cell>
          <cell r="BR223">
            <v>-1.5</v>
          </cell>
          <cell r="BS223">
            <v>-0.2</v>
          </cell>
          <cell r="BT223">
            <v>-0.8</v>
          </cell>
          <cell r="BU223">
            <v>-0.5</v>
          </cell>
          <cell r="BV223">
            <v>3.4</v>
          </cell>
          <cell r="BW223">
            <v>1.1000000000000001</v>
          </cell>
          <cell r="BX223">
            <v>0.2</v>
          </cell>
          <cell r="BY223">
            <v>-1.4</v>
          </cell>
          <cell r="BZ223">
            <v>1.2</v>
          </cell>
          <cell r="CA223">
            <v>1.9</v>
          </cell>
          <cell r="CB223">
            <v>1.2</v>
          </cell>
          <cell r="CC223">
            <v>1.5</v>
          </cell>
          <cell r="CD223">
            <v>0.7</v>
          </cell>
          <cell r="CE223">
            <v>0.3</v>
          </cell>
          <cell r="CF223">
            <v>0</v>
          </cell>
          <cell r="CG223">
            <v>-0.1</v>
          </cell>
          <cell r="CH223">
            <v>1.9</v>
          </cell>
          <cell r="CI223">
            <v>1.1000000000000001</v>
          </cell>
          <cell r="CJ223">
            <v>0.8</v>
          </cell>
          <cell r="CK223">
            <v>0.9</v>
          </cell>
          <cell r="CL223">
            <v>-1.6</v>
          </cell>
          <cell r="CM223">
            <v>-0.3</v>
          </cell>
          <cell r="CN223">
            <v>0.5</v>
          </cell>
          <cell r="CO223">
            <v>1.6</v>
          </cell>
          <cell r="CP223">
            <v>0.8</v>
          </cell>
          <cell r="CQ223">
            <v>6.1</v>
          </cell>
          <cell r="CR223">
            <v>1.2</v>
          </cell>
          <cell r="CS223">
            <v>2.2000000000000002</v>
          </cell>
          <cell r="CT223">
            <v>3.9</v>
          </cell>
          <cell r="CU223">
            <v>0.5</v>
          </cell>
          <cell r="CV223">
            <v>1.3</v>
          </cell>
          <cell r="CW223">
            <v>-1.1000000000000001</v>
          </cell>
          <cell r="CX223">
            <v>-0.2</v>
          </cell>
          <cell r="CY223">
            <v>0.4</v>
          </cell>
          <cell r="CZ223">
            <v>1.4</v>
          </cell>
          <cell r="DA223">
            <v>0</v>
          </cell>
          <cell r="DB223">
            <v>-2.7</v>
          </cell>
          <cell r="DC223">
            <v>0.3</v>
          </cell>
          <cell r="DD223">
            <v>0.7</v>
          </cell>
          <cell r="DE223">
            <v>0.7</v>
          </cell>
          <cell r="DF223">
            <v>0.6</v>
          </cell>
          <cell r="DG223">
            <v>8804</v>
          </cell>
          <cell r="DH223">
            <v>1488</v>
          </cell>
          <cell r="DI223">
            <v>10289</v>
          </cell>
          <cell r="DJ223">
            <v>3439</v>
          </cell>
          <cell r="DK223">
            <v>5427</v>
          </cell>
          <cell r="DL223">
            <v>4756</v>
          </cell>
          <cell r="DM223">
            <v>3921</v>
          </cell>
          <cell r="DN223">
            <v>16403</v>
          </cell>
          <cell r="DO223">
            <v>3111</v>
          </cell>
          <cell r="DP223">
            <v>18932</v>
          </cell>
          <cell r="DQ223">
            <v>6644</v>
          </cell>
          <cell r="DR223">
            <v>5148</v>
          </cell>
          <cell r="DS223">
            <v>4349</v>
          </cell>
          <cell r="DT223">
            <v>5575</v>
          </cell>
          <cell r="DU223">
            <v>5045</v>
          </cell>
          <cell r="DV223">
            <v>26769</v>
          </cell>
          <cell r="DW223">
            <v>5744</v>
          </cell>
          <cell r="DX223">
            <v>409</v>
          </cell>
          <cell r="DY223">
            <v>4147</v>
          </cell>
          <cell r="DZ223">
            <v>10288</v>
          </cell>
          <cell r="EA223">
            <v>5666</v>
          </cell>
          <cell r="EB223">
            <v>10996</v>
          </cell>
          <cell r="EC223">
            <v>15401</v>
          </cell>
          <cell r="ED223">
            <v>32118</v>
          </cell>
          <cell r="EE223">
            <v>15911</v>
          </cell>
          <cell r="EF223">
            <v>16831</v>
          </cell>
          <cell r="EG223">
            <v>9215</v>
          </cell>
          <cell r="EH223">
            <v>5762</v>
          </cell>
          <cell r="EI223">
            <v>1949</v>
          </cell>
          <cell r="EJ223">
            <v>2934</v>
          </cell>
          <cell r="EK223">
            <v>8698</v>
          </cell>
          <cell r="EL223">
            <v>19349</v>
          </cell>
          <cell r="EM223">
            <v>4230</v>
          </cell>
          <cell r="EN223">
            <v>4950</v>
          </cell>
          <cell r="EO223">
            <v>9116</v>
          </cell>
          <cell r="EP223">
            <v>23266</v>
          </cell>
          <cell r="EQ223">
            <v>8927</v>
          </cell>
          <cell r="ER223">
            <v>32208</v>
          </cell>
          <cell r="ES223">
            <v>1715</v>
          </cell>
          <cell r="ET223">
            <v>8250</v>
          </cell>
          <cell r="EU223">
            <v>10011</v>
          </cell>
          <cell r="EV223">
            <v>5404</v>
          </cell>
          <cell r="EW223">
            <v>19636</v>
          </cell>
          <cell r="EX223">
            <v>24992</v>
          </cell>
          <cell r="EY223">
            <v>12188</v>
          </cell>
          <cell r="EZ223">
            <v>20833</v>
          </cell>
          <cell r="FA223">
            <v>18666</v>
          </cell>
          <cell r="FB223">
            <v>24129</v>
          </cell>
          <cell r="FC223">
            <v>3078</v>
          </cell>
          <cell r="FD223">
            <v>6791</v>
          </cell>
          <cell r="FE223">
            <v>34410</v>
          </cell>
          <cell r="FF223">
            <v>354041</v>
          </cell>
          <cell r="FG223">
            <v>27670</v>
          </cell>
          <cell r="FH223">
            <v>37</v>
          </cell>
          <cell r="FI223">
            <v>381621</v>
          </cell>
          <cell r="FJ223">
            <v>-1.1000000000000001</v>
          </cell>
          <cell r="FK223">
            <v>-2.2999999999999998</v>
          </cell>
          <cell r="FL223">
            <v>-1.3</v>
          </cell>
          <cell r="FM223">
            <v>8.5</v>
          </cell>
          <cell r="FN223">
            <v>11.5</v>
          </cell>
          <cell r="FO223">
            <v>1.7</v>
          </cell>
          <cell r="FP223">
            <v>-3.9</v>
          </cell>
          <cell r="FQ223">
            <v>3.9</v>
          </cell>
          <cell r="FR223">
            <v>4</v>
          </cell>
          <cell r="FS223">
            <v>4</v>
          </cell>
          <cell r="FT223">
            <v>5</v>
          </cell>
          <cell r="FU223">
            <v>1.3</v>
          </cell>
          <cell r="FV223">
            <v>1.4</v>
          </cell>
          <cell r="FW223">
            <v>-0.5</v>
          </cell>
          <cell r="FX223">
            <v>-2</v>
          </cell>
          <cell r="FY223">
            <v>1.1000000000000001</v>
          </cell>
          <cell r="FZ223">
            <v>-0.9</v>
          </cell>
          <cell r="GA223">
            <v>8.1</v>
          </cell>
          <cell r="GB223">
            <v>1.3</v>
          </cell>
          <cell r="GC223">
            <v>0.2</v>
          </cell>
          <cell r="GD223">
            <v>-2.2000000000000002</v>
          </cell>
          <cell r="GE223">
            <v>-1</v>
          </cell>
          <cell r="GF223">
            <v>2.2000000000000002</v>
          </cell>
          <cell r="GG223">
            <v>0.7</v>
          </cell>
          <cell r="GH223">
            <v>1.9</v>
          </cell>
          <cell r="GI223">
            <v>-0.1</v>
          </cell>
          <cell r="GJ223">
            <v>1.5</v>
          </cell>
          <cell r="GK223">
            <v>-1.5</v>
          </cell>
          <cell r="GL223">
            <v>-0.6</v>
          </cell>
          <cell r="GM223">
            <v>2.2999999999999998</v>
          </cell>
          <cell r="GN223">
            <v>-1.8</v>
          </cell>
          <cell r="GO223">
            <v>-1</v>
          </cell>
          <cell r="GP223">
            <v>0.2</v>
          </cell>
          <cell r="GQ223">
            <v>-1.1000000000000001</v>
          </cell>
          <cell r="GR223">
            <v>-0.6</v>
          </cell>
          <cell r="GS223">
            <v>0.5</v>
          </cell>
          <cell r="GT223">
            <v>0.7</v>
          </cell>
          <cell r="GU223">
            <v>0.5</v>
          </cell>
          <cell r="GV223">
            <v>4.5</v>
          </cell>
          <cell r="GW223">
            <v>1.2</v>
          </cell>
          <cell r="GX223">
            <v>1.8</v>
          </cell>
          <cell r="GY223">
            <v>3.2</v>
          </cell>
          <cell r="GZ223">
            <v>-2.6</v>
          </cell>
          <cell r="HA223">
            <v>-1.3</v>
          </cell>
          <cell r="HB223">
            <v>0</v>
          </cell>
          <cell r="HC223">
            <v>-0.6</v>
          </cell>
          <cell r="HD223">
            <v>0.4</v>
          </cell>
          <cell r="HE223">
            <v>1.3</v>
          </cell>
          <cell r="HF223">
            <v>-1.8</v>
          </cell>
          <cell r="HG223">
            <v>-2.6</v>
          </cell>
          <cell r="HH223">
            <v>0.3</v>
          </cell>
          <cell r="HI223">
            <v>0.6</v>
          </cell>
          <cell r="HJ223">
            <v>1.3</v>
          </cell>
          <cell r="HK223">
            <v>0.4</v>
          </cell>
          <cell r="HL223">
            <v>6069</v>
          </cell>
          <cell r="HM223">
            <v>1491</v>
          </cell>
          <cell r="HN223">
            <v>7546</v>
          </cell>
          <cell r="HO223">
            <v>3529</v>
          </cell>
          <cell r="HP223">
            <v>5586</v>
          </cell>
          <cell r="HQ223">
            <v>4882</v>
          </cell>
          <cell r="HR223">
            <v>3965</v>
          </cell>
          <cell r="HS223">
            <v>16782</v>
          </cell>
          <cell r="HT223">
            <v>3125</v>
          </cell>
          <cell r="HU223">
            <v>19338</v>
          </cell>
          <cell r="HV223">
            <v>6585</v>
          </cell>
          <cell r="HW223">
            <v>5324</v>
          </cell>
          <cell r="HX223">
            <v>4470</v>
          </cell>
          <cell r="HY223">
            <v>5752</v>
          </cell>
          <cell r="HZ223">
            <v>5245</v>
          </cell>
          <cell r="IA223">
            <v>27408</v>
          </cell>
          <cell r="IB223">
            <v>5858</v>
          </cell>
          <cell r="IC223">
            <v>503</v>
          </cell>
          <cell r="ID223">
            <v>4062</v>
          </cell>
          <cell r="IE223">
            <v>10437</v>
          </cell>
          <cell r="IF223">
            <v>5921</v>
          </cell>
          <cell r="IG223">
            <v>10845</v>
          </cell>
          <cell r="IH223">
            <v>15696</v>
          </cell>
          <cell r="II223">
            <v>32493</v>
          </cell>
          <cell r="IJ223">
            <v>16042</v>
          </cell>
          <cell r="IK223">
            <v>16501</v>
          </cell>
          <cell r="IL223">
            <v>9248</v>
          </cell>
          <cell r="IM223">
            <v>5849</v>
          </cell>
          <cell r="IN223">
            <v>2024</v>
          </cell>
          <cell r="IO223">
            <v>3024</v>
          </cell>
          <cell r="IP223">
            <v>8628</v>
          </cell>
          <cell r="IQ223">
            <v>19515</v>
          </cell>
        </row>
        <row r="224">
          <cell r="B224">
            <v>8814</v>
          </cell>
          <cell r="C224">
            <v>1512</v>
          </cell>
          <cell r="D224">
            <v>10322</v>
          </cell>
          <cell r="E224">
            <v>3715</v>
          </cell>
          <cell r="F224">
            <v>5084</v>
          </cell>
          <cell r="G224">
            <v>4959</v>
          </cell>
          <cell r="H224">
            <v>4025</v>
          </cell>
          <cell r="I224">
            <v>16775</v>
          </cell>
          <cell r="J224">
            <v>2867</v>
          </cell>
          <cell r="K224">
            <v>19201</v>
          </cell>
          <cell r="L224">
            <v>6747</v>
          </cell>
          <cell r="M224">
            <v>5070</v>
          </cell>
          <cell r="N224">
            <v>4126</v>
          </cell>
          <cell r="O224">
            <v>5394</v>
          </cell>
          <cell r="P224">
            <v>5173</v>
          </cell>
          <cell r="Q224">
            <v>26504</v>
          </cell>
          <cell r="R224">
            <v>5725</v>
          </cell>
          <cell r="S224">
            <v>388</v>
          </cell>
          <cell r="T224">
            <v>4100</v>
          </cell>
          <cell r="U224">
            <v>10202</v>
          </cell>
          <cell r="V224">
            <v>5746</v>
          </cell>
          <cell r="W224">
            <v>10708</v>
          </cell>
          <cell r="X224">
            <v>15655</v>
          </cell>
          <cell r="Y224">
            <v>32245</v>
          </cell>
          <cell r="Z224">
            <v>15896</v>
          </cell>
          <cell r="AA224">
            <v>16991</v>
          </cell>
          <cell r="AB224">
            <v>9130</v>
          </cell>
          <cell r="AC224">
            <v>5846</v>
          </cell>
          <cell r="AD224">
            <v>1960</v>
          </cell>
          <cell r="AE224">
            <v>2958</v>
          </cell>
          <cell r="AF224">
            <v>8834</v>
          </cell>
          <cell r="AG224">
            <v>19603</v>
          </cell>
          <cell r="AH224">
            <v>4344</v>
          </cell>
          <cell r="AI224">
            <v>4786</v>
          </cell>
          <cell r="AJ224">
            <v>9100</v>
          </cell>
          <cell r="AK224">
            <v>23143</v>
          </cell>
          <cell r="AL224">
            <v>9266</v>
          </cell>
          <cell r="AM224">
            <v>32416</v>
          </cell>
          <cell r="AN224">
            <v>1734</v>
          </cell>
          <cell r="AO224">
            <v>8417</v>
          </cell>
          <cell r="AP224">
            <v>10195</v>
          </cell>
          <cell r="AQ224">
            <v>5529</v>
          </cell>
          <cell r="AR224">
            <v>20096</v>
          </cell>
          <cell r="AS224">
            <v>25584</v>
          </cell>
          <cell r="AT224">
            <v>12020</v>
          </cell>
          <cell r="AU224">
            <v>21039</v>
          </cell>
          <cell r="AV224">
            <v>18729</v>
          </cell>
          <cell r="AW224">
            <v>24325</v>
          </cell>
          <cell r="AX224">
            <v>3128</v>
          </cell>
          <cell r="AY224">
            <v>6800</v>
          </cell>
          <cell r="AZ224">
            <v>34507</v>
          </cell>
          <cell r="BA224">
            <v>355960</v>
          </cell>
          <cell r="BB224">
            <v>27655</v>
          </cell>
          <cell r="BC224">
            <v>61</v>
          </cell>
          <cell r="BD224">
            <v>383574</v>
          </cell>
          <cell r="BE224">
            <v>0.5</v>
          </cell>
          <cell r="BF224">
            <v>0.5</v>
          </cell>
          <cell r="BG224">
            <v>0.5</v>
          </cell>
          <cell r="BH224">
            <v>7.3</v>
          </cell>
          <cell r="BI224">
            <v>-1.5</v>
          </cell>
          <cell r="BJ224">
            <v>4</v>
          </cell>
          <cell r="BK224">
            <v>0.7</v>
          </cell>
          <cell r="BL224">
            <v>2.7</v>
          </cell>
          <cell r="BM224">
            <v>-5.5</v>
          </cell>
          <cell r="BN224">
            <v>2.1</v>
          </cell>
          <cell r="BO224">
            <v>2.2000000000000002</v>
          </cell>
          <cell r="BP224">
            <v>-0.8</v>
          </cell>
          <cell r="BQ224">
            <v>-3.1</v>
          </cell>
          <cell r="BR224">
            <v>-3.1</v>
          </cell>
          <cell r="BS224">
            <v>1.2</v>
          </cell>
          <cell r="BT224">
            <v>-0.6</v>
          </cell>
          <cell r="BU224">
            <v>-0.6</v>
          </cell>
          <cell r="BV224">
            <v>-1.1000000000000001</v>
          </cell>
          <cell r="BW224">
            <v>-0.4</v>
          </cell>
          <cell r="BX224">
            <v>-0.5</v>
          </cell>
          <cell r="BY224">
            <v>0.4</v>
          </cell>
          <cell r="BZ224">
            <v>-3.1</v>
          </cell>
          <cell r="CA224">
            <v>1.6</v>
          </cell>
          <cell r="CB224">
            <v>0</v>
          </cell>
          <cell r="CC224">
            <v>0.4</v>
          </cell>
          <cell r="CD224">
            <v>0.7</v>
          </cell>
          <cell r="CE224">
            <v>-0.1</v>
          </cell>
          <cell r="CF224">
            <v>0.6</v>
          </cell>
          <cell r="CG224">
            <v>-0.2</v>
          </cell>
          <cell r="CH224">
            <v>1.1000000000000001</v>
          </cell>
          <cell r="CI224">
            <v>0.4</v>
          </cell>
          <cell r="CJ224">
            <v>0.5</v>
          </cell>
          <cell r="CK224">
            <v>1.7</v>
          </cell>
          <cell r="CL224">
            <v>-2</v>
          </cell>
          <cell r="CM224">
            <v>-0.1</v>
          </cell>
          <cell r="CN224">
            <v>-0.3</v>
          </cell>
          <cell r="CO224">
            <v>2.6</v>
          </cell>
          <cell r="CP224">
            <v>0.5</v>
          </cell>
          <cell r="CQ224">
            <v>0.9</v>
          </cell>
          <cell r="CR224">
            <v>1.9</v>
          </cell>
          <cell r="CS224">
            <v>1.7</v>
          </cell>
          <cell r="CT224">
            <v>3.8</v>
          </cell>
          <cell r="CU224">
            <v>0</v>
          </cell>
          <cell r="CV224">
            <v>0.9</v>
          </cell>
          <cell r="CW224">
            <v>-1</v>
          </cell>
          <cell r="CX224">
            <v>0.4</v>
          </cell>
          <cell r="CY224">
            <v>0.4</v>
          </cell>
          <cell r="CZ224">
            <v>1</v>
          </cell>
          <cell r="DA224">
            <v>0.7</v>
          </cell>
          <cell r="DB224">
            <v>-0.8</v>
          </cell>
          <cell r="DC224">
            <v>0.3</v>
          </cell>
          <cell r="DD224">
            <v>0.5</v>
          </cell>
          <cell r="DE224">
            <v>0.4</v>
          </cell>
          <cell r="DF224">
            <v>0.4</v>
          </cell>
          <cell r="DG224">
            <v>8655</v>
          </cell>
          <cell r="DH224">
            <v>1510</v>
          </cell>
          <cell r="DI224">
            <v>10161</v>
          </cell>
          <cell r="DJ224">
            <v>3808</v>
          </cell>
          <cell r="DK224">
            <v>5154</v>
          </cell>
          <cell r="DL224">
            <v>4933</v>
          </cell>
          <cell r="DM224">
            <v>4023</v>
          </cell>
          <cell r="DN224">
            <v>16908</v>
          </cell>
          <cell r="DO224">
            <v>2896</v>
          </cell>
          <cell r="DP224">
            <v>19361</v>
          </cell>
          <cell r="DQ224">
            <v>6787</v>
          </cell>
          <cell r="DR224">
            <v>5061</v>
          </cell>
          <cell r="DS224">
            <v>4130</v>
          </cell>
          <cell r="DT224">
            <v>5437</v>
          </cell>
          <cell r="DU224">
            <v>5163</v>
          </cell>
          <cell r="DV224">
            <v>26573</v>
          </cell>
          <cell r="DW224">
            <v>5733</v>
          </cell>
          <cell r="DX224">
            <v>378</v>
          </cell>
          <cell r="DY224">
            <v>4073</v>
          </cell>
          <cell r="DZ224">
            <v>10175</v>
          </cell>
          <cell r="EA224">
            <v>5883</v>
          </cell>
          <cell r="EB224">
            <v>10839</v>
          </cell>
          <cell r="EC224">
            <v>15808</v>
          </cell>
          <cell r="ED224">
            <v>32643</v>
          </cell>
          <cell r="EE224">
            <v>15895</v>
          </cell>
          <cell r="EF224">
            <v>16935</v>
          </cell>
          <cell r="EG224">
            <v>9122</v>
          </cell>
          <cell r="EH224">
            <v>5796</v>
          </cell>
          <cell r="EI224">
            <v>1971</v>
          </cell>
          <cell r="EJ224">
            <v>2959</v>
          </cell>
          <cell r="EK224">
            <v>8806</v>
          </cell>
          <cell r="EL224">
            <v>19535</v>
          </cell>
          <cell r="EM224">
            <v>4411</v>
          </cell>
          <cell r="EN224">
            <v>4689</v>
          </cell>
          <cell r="EO224">
            <v>9089</v>
          </cell>
          <cell r="EP224">
            <v>23155</v>
          </cell>
          <cell r="EQ224">
            <v>9329</v>
          </cell>
          <cell r="ER224">
            <v>32489</v>
          </cell>
          <cell r="ES224">
            <v>1776</v>
          </cell>
          <cell r="ET224">
            <v>8350</v>
          </cell>
          <cell r="EU224">
            <v>10177</v>
          </cell>
          <cell r="EV224">
            <v>5392</v>
          </cell>
          <cell r="EW224">
            <v>20391</v>
          </cell>
          <cell r="EX224">
            <v>25749</v>
          </cell>
          <cell r="EY224">
            <v>11999</v>
          </cell>
          <cell r="EZ224">
            <v>21114</v>
          </cell>
          <cell r="FA224">
            <v>18731</v>
          </cell>
          <cell r="FB224">
            <v>24325</v>
          </cell>
          <cell r="FC224">
            <v>3160</v>
          </cell>
          <cell r="FD224">
            <v>6825</v>
          </cell>
          <cell r="FE224">
            <v>34507</v>
          </cell>
          <cell r="FF224">
            <v>356602</v>
          </cell>
          <cell r="FG224">
            <v>27497</v>
          </cell>
          <cell r="FH224">
            <v>-274</v>
          </cell>
          <cell r="FI224">
            <v>383753</v>
          </cell>
          <cell r="FJ224">
            <v>-1.7</v>
          </cell>
          <cell r="FK224">
            <v>1.5</v>
          </cell>
          <cell r="FL224">
            <v>-1.2</v>
          </cell>
          <cell r="FM224">
            <v>10.8</v>
          </cell>
          <cell r="FN224">
            <v>-5</v>
          </cell>
          <cell r="FO224">
            <v>3.7</v>
          </cell>
          <cell r="FP224">
            <v>2.6</v>
          </cell>
          <cell r="FQ224">
            <v>3.1</v>
          </cell>
          <cell r="FR224">
            <v>-6.9</v>
          </cell>
          <cell r="FS224">
            <v>2.2999999999999998</v>
          </cell>
          <cell r="FT224">
            <v>2.1</v>
          </cell>
          <cell r="FU224">
            <v>-1.7</v>
          </cell>
          <cell r="FV224">
            <v>-5</v>
          </cell>
          <cell r="FW224">
            <v>-2.5</v>
          </cell>
          <cell r="FX224">
            <v>2.2999999999999998</v>
          </cell>
          <cell r="FY224">
            <v>-0.7</v>
          </cell>
          <cell r="FZ224">
            <v>-0.2</v>
          </cell>
          <cell r="GA224">
            <v>-7.7</v>
          </cell>
          <cell r="GB224">
            <v>-1.8</v>
          </cell>
          <cell r="GC224">
            <v>-1.1000000000000001</v>
          </cell>
          <cell r="GD224">
            <v>3.8</v>
          </cell>
          <cell r="GE224">
            <v>-1.4</v>
          </cell>
          <cell r="GF224">
            <v>2.6</v>
          </cell>
          <cell r="GG224">
            <v>1.6</v>
          </cell>
          <cell r="GH224">
            <v>-0.1</v>
          </cell>
          <cell r="GI224">
            <v>0.6</v>
          </cell>
          <cell r="GJ224">
            <v>-1</v>
          </cell>
          <cell r="GK224">
            <v>0.6</v>
          </cell>
          <cell r="GL224">
            <v>1.1000000000000001</v>
          </cell>
          <cell r="GM224">
            <v>0.8</v>
          </cell>
          <cell r="GN224">
            <v>1.2</v>
          </cell>
          <cell r="GO224">
            <v>1</v>
          </cell>
          <cell r="GP224">
            <v>4.3</v>
          </cell>
          <cell r="GQ224">
            <v>-5.3</v>
          </cell>
          <cell r="GR224">
            <v>-0.3</v>
          </cell>
          <cell r="GS224">
            <v>-0.5</v>
          </cell>
          <cell r="GT224">
            <v>4.5</v>
          </cell>
          <cell r="GU224">
            <v>0.9</v>
          </cell>
          <cell r="GV224">
            <v>3.6</v>
          </cell>
          <cell r="GW224">
            <v>1.2</v>
          </cell>
          <cell r="GX224">
            <v>1.7</v>
          </cell>
          <cell r="GY224">
            <v>-0.2</v>
          </cell>
          <cell r="GZ224">
            <v>3.8</v>
          </cell>
          <cell r="HA224">
            <v>3</v>
          </cell>
          <cell r="HB224">
            <v>-1.6</v>
          </cell>
          <cell r="HC224">
            <v>1.4</v>
          </cell>
          <cell r="HD224">
            <v>0.3</v>
          </cell>
          <cell r="HE224">
            <v>0.8</v>
          </cell>
          <cell r="HF224">
            <v>2.7</v>
          </cell>
          <cell r="HG224">
            <v>0.5</v>
          </cell>
          <cell r="HH224">
            <v>0.3</v>
          </cell>
          <cell r="HI224">
            <v>0.7</v>
          </cell>
          <cell r="HJ224">
            <v>-0.6</v>
          </cell>
          <cell r="HK224">
            <v>0.6</v>
          </cell>
          <cell r="HL224">
            <v>11988</v>
          </cell>
          <cell r="HM224">
            <v>1513</v>
          </cell>
          <cell r="HN224">
            <v>13510</v>
          </cell>
          <cell r="HO224">
            <v>3875</v>
          </cell>
          <cell r="HP224">
            <v>5276</v>
          </cell>
          <cell r="HQ224">
            <v>5033</v>
          </cell>
          <cell r="HR224">
            <v>4172</v>
          </cell>
          <cell r="HS224">
            <v>17348</v>
          </cell>
          <cell r="HT224">
            <v>2955</v>
          </cell>
          <cell r="HU224">
            <v>19854</v>
          </cell>
          <cell r="HV224">
            <v>7223</v>
          </cell>
          <cell r="HW224">
            <v>5052</v>
          </cell>
          <cell r="HX224">
            <v>4249</v>
          </cell>
          <cell r="HY224">
            <v>5624</v>
          </cell>
          <cell r="HZ224">
            <v>5414</v>
          </cell>
          <cell r="IA224">
            <v>27558</v>
          </cell>
          <cell r="IB224">
            <v>5580</v>
          </cell>
          <cell r="IC224">
            <v>336</v>
          </cell>
          <cell r="ID224">
            <v>4115</v>
          </cell>
          <cell r="IE224">
            <v>10003</v>
          </cell>
          <cell r="IF224">
            <v>6139</v>
          </cell>
          <cell r="IG224">
            <v>11342</v>
          </cell>
          <cell r="IH224">
            <v>16676</v>
          </cell>
          <cell r="II224">
            <v>34271</v>
          </cell>
          <cell r="IJ224">
            <v>16437</v>
          </cell>
          <cell r="IK224">
            <v>18516</v>
          </cell>
          <cell r="IL224">
            <v>9594</v>
          </cell>
          <cell r="IM224">
            <v>5966</v>
          </cell>
          <cell r="IN224">
            <v>2033</v>
          </cell>
          <cell r="IO224">
            <v>2997</v>
          </cell>
          <cell r="IP224">
            <v>9277</v>
          </cell>
          <cell r="IQ224">
            <v>20281</v>
          </cell>
        </row>
        <row r="225">
          <cell r="B225">
            <v>9014</v>
          </cell>
          <cell r="C225">
            <v>1528</v>
          </cell>
          <cell r="D225">
            <v>10539</v>
          </cell>
          <cell r="E225">
            <v>3867</v>
          </cell>
          <cell r="F225">
            <v>4855</v>
          </cell>
          <cell r="G225">
            <v>5253</v>
          </cell>
          <cell r="H225">
            <v>4105</v>
          </cell>
          <cell r="I225">
            <v>17194</v>
          </cell>
          <cell r="J225">
            <v>2613</v>
          </cell>
          <cell r="K225">
            <v>19507</v>
          </cell>
          <cell r="L225">
            <v>6721</v>
          </cell>
          <cell r="M225">
            <v>5105</v>
          </cell>
          <cell r="N225">
            <v>4039</v>
          </cell>
          <cell r="O225">
            <v>5253</v>
          </cell>
          <cell r="P225">
            <v>5240</v>
          </cell>
          <cell r="Q225">
            <v>26339</v>
          </cell>
          <cell r="R225">
            <v>5695</v>
          </cell>
          <cell r="S225">
            <v>376</v>
          </cell>
          <cell r="T225">
            <v>4049</v>
          </cell>
          <cell r="U225">
            <v>10114</v>
          </cell>
          <cell r="V225">
            <v>5851</v>
          </cell>
          <cell r="W225">
            <v>10434</v>
          </cell>
          <cell r="X225">
            <v>15790</v>
          </cell>
          <cell r="Y225">
            <v>32205</v>
          </cell>
          <cell r="Z225">
            <v>15812</v>
          </cell>
          <cell r="AA225">
            <v>17096</v>
          </cell>
          <cell r="AB225">
            <v>9089</v>
          </cell>
          <cell r="AC225">
            <v>5893</v>
          </cell>
          <cell r="AD225">
            <v>1965</v>
          </cell>
          <cell r="AE225">
            <v>2937</v>
          </cell>
          <cell r="AF225">
            <v>8911</v>
          </cell>
          <cell r="AG225">
            <v>19707</v>
          </cell>
          <cell r="AH225">
            <v>4447</v>
          </cell>
          <cell r="AI225">
            <v>4726</v>
          </cell>
          <cell r="AJ225">
            <v>9156</v>
          </cell>
          <cell r="AK225">
            <v>23062</v>
          </cell>
          <cell r="AL225">
            <v>9473</v>
          </cell>
          <cell r="AM225">
            <v>32536</v>
          </cell>
          <cell r="AN225">
            <v>1673</v>
          </cell>
          <cell r="AO225">
            <v>8607</v>
          </cell>
          <cell r="AP225">
            <v>10304</v>
          </cell>
          <cell r="AQ225">
            <v>5693</v>
          </cell>
          <cell r="AR225">
            <v>20120</v>
          </cell>
          <cell r="AS225">
            <v>25770</v>
          </cell>
          <cell r="AT225">
            <v>11995</v>
          </cell>
          <cell r="AU225">
            <v>21293</v>
          </cell>
          <cell r="AV225">
            <v>18804</v>
          </cell>
          <cell r="AW225">
            <v>24491</v>
          </cell>
          <cell r="AX225">
            <v>3177</v>
          </cell>
          <cell r="AY225">
            <v>6921</v>
          </cell>
          <cell r="AZ225">
            <v>34589</v>
          </cell>
          <cell r="BA225">
            <v>357667</v>
          </cell>
          <cell r="BB225">
            <v>27637</v>
          </cell>
          <cell r="BC225">
            <v>-41</v>
          </cell>
          <cell r="BD225">
            <v>385182</v>
          </cell>
          <cell r="BE225">
            <v>2.2999999999999998</v>
          </cell>
          <cell r="BF225">
            <v>1.1000000000000001</v>
          </cell>
          <cell r="BG225">
            <v>2.1</v>
          </cell>
          <cell r="BH225">
            <v>4.0999999999999996</v>
          </cell>
          <cell r="BI225">
            <v>-4.5</v>
          </cell>
          <cell r="BJ225">
            <v>5.9</v>
          </cell>
          <cell r="BK225">
            <v>2</v>
          </cell>
          <cell r="BL225">
            <v>2.5</v>
          </cell>
          <cell r="BM225">
            <v>-8.9</v>
          </cell>
          <cell r="BN225">
            <v>1.6</v>
          </cell>
          <cell r="BO225">
            <v>-0.4</v>
          </cell>
          <cell r="BP225">
            <v>0.7</v>
          </cell>
          <cell r="BQ225">
            <v>-2.1</v>
          </cell>
          <cell r="BR225">
            <v>-2.6</v>
          </cell>
          <cell r="BS225">
            <v>1.3</v>
          </cell>
          <cell r="BT225">
            <v>-0.6</v>
          </cell>
          <cell r="BU225">
            <v>-0.5</v>
          </cell>
          <cell r="BV225">
            <v>-2.9</v>
          </cell>
          <cell r="BW225">
            <v>-1.2</v>
          </cell>
          <cell r="BX225">
            <v>-0.9</v>
          </cell>
          <cell r="BY225">
            <v>1.8</v>
          </cell>
          <cell r="BZ225">
            <v>-2.6</v>
          </cell>
          <cell r="CA225">
            <v>0.9</v>
          </cell>
          <cell r="CB225">
            <v>-0.1</v>
          </cell>
          <cell r="CC225">
            <v>-0.5</v>
          </cell>
          <cell r="CD225">
            <v>0.6</v>
          </cell>
          <cell r="CE225">
            <v>-0.4</v>
          </cell>
          <cell r="CF225">
            <v>0.8</v>
          </cell>
          <cell r="CG225">
            <v>0.2</v>
          </cell>
          <cell r="CH225">
            <v>-0.7</v>
          </cell>
          <cell r="CI225">
            <v>0.9</v>
          </cell>
          <cell r="CJ225">
            <v>0.5</v>
          </cell>
          <cell r="CK225">
            <v>2.4</v>
          </cell>
          <cell r="CL225">
            <v>-1.2</v>
          </cell>
          <cell r="CM225">
            <v>0.6</v>
          </cell>
          <cell r="CN225">
            <v>-0.3</v>
          </cell>
          <cell r="CO225">
            <v>2.2000000000000002</v>
          </cell>
          <cell r="CP225">
            <v>0.4</v>
          </cell>
          <cell r="CQ225">
            <v>-3.5</v>
          </cell>
          <cell r="CR225">
            <v>2.2000000000000002</v>
          </cell>
          <cell r="CS225">
            <v>1.1000000000000001</v>
          </cell>
          <cell r="CT225">
            <v>3</v>
          </cell>
          <cell r="CU225">
            <v>0.1</v>
          </cell>
          <cell r="CV225">
            <v>0.7</v>
          </cell>
          <cell r="CW225">
            <v>-0.2</v>
          </cell>
          <cell r="CX225">
            <v>1.2</v>
          </cell>
          <cell r="CY225">
            <v>0.4</v>
          </cell>
          <cell r="CZ225">
            <v>0.7</v>
          </cell>
          <cell r="DA225">
            <v>1.6</v>
          </cell>
          <cell r="DB225">
            <v>1.8</v>
          </cell>
          <cell r="DC225">
            <v>0.2</v>
          </cell>
          <cell r="DD225">
            <v>0.5</v>
          </cell>
          <cell r="DE225">
            <v>-0.1</v>
          </cell>
          <cell r="DF225">
            <v>0.4</v>
          </cell>
          <cell r="DG225">
            <v>8979</v>
          </cell>
          <cell r="DH225">
            <v>1531</v>
          </cell>
          <cell r="DI225">
            <v>10507</v>
          </cell>
          <cell r="DJ225">
            <v>3831</v>
          </cell>
          <cell r="DK225">
            <v>4644</v>
          </cell>
          <cell r="DL225">
            <v>5254</v>
          </cell>
          <cell r="DM225">
            <v>4129</v>
          </cell>
          <cell r="DN225">
            <v>17014</v>
          </cell>
          <cell r="DO225">
            <v>2568</v>
          </cell>
          <cell r="DP225">
            <v>19296</v>
          </cell>
          <cell r="DQ225">
            <v>6844</v>
          </cell>
          <cell r="DR225">
            <v>5088</v>
          </cell>
          <cell r="DS225">
            <v>4004</v>
          </cell>
          <cell r="DT225">
            <v>5178</v>
          </cell>
          <cell r="DU225">
            <v>5307</v>
          </cell>
          <cell r="DV225">
            <v>26397</v>
          </cell>
          <cell r="DW225">
            <v>5690</v>
          </cell>
          <cell r="DX225">
            <v>373</v>
          </cell>
          <cell r="DY225">
            <v>4039</v>
          </cell>
          <cell r="DZ225">
            <v>10095</v>
          </cell>
          <cell r="EA225">
            <v>5866</v>
          </cell>
          <cell r="EB225">
            <v>10239</v>
          </cell>
          <cell r="EC225">
            <v>15631</v>
          </cell>
          <cell r="ED225">
            <v>31830</v>
          </cell>
          <cell r="EE225">
            <v>15759</v>
          </cell>
          <cell r="EF225">
            <v>17184</v>
          </cell>
          <cell r="EG225">
            <v>9045</v>
          </cell>
          <cell r="EH225">
            <v>6025</v>
          </cell>
          <cell r="EI225">
            <v>1968</v>
          </cell>
          <cell r="EJ225">
            <v>2941</v>
          </cell>
          <cell r="EK225">
            <v>8979</v>
          </cell>
          <cell r="EL225">
            <v>19920</v>
          </cell>
          <cell r="EM225">
            <v>4380</v>
          </cell>
          <cell r="EN225">
            <v>4750</v>
          </cell>
          <cell r="EO225">
            <v>9109</v>
          </cell>
          <cell r="EP225">
            <v>22931</v>
          </cell>
          <cell r="EQ225">
            <v>9539</v>
          </cell>
          <cell r="ER225">
            <v>32469</v>
          </cell>
          <cell r="ES225">
            <v>1671</v>
          </cell>
          <cell r="ET225">
            <v>8685</v>
          </cell>
          <cell r="EU225">
            <v>10377</v>
          </cell>
          <cell r="EV225">
            <v>5748</v>
          </cell>
          <cell r="EW225">
            <v>20147</v>
          </cell>
          <cell r="EX225">
            <v>25850</v>
          </cell>
          <cell r="EY225">
            <v>11977</v>
          </cell>
          <cell r="EZ225">
            <v>21256</v>
          </cell>
          <cell r="FA225">
            <v>18804</v>
          </cell>
          <cell r="FB225">
            <v>24495</v>
          </cell>
          <cell r="FC225">
            <v>3141</v>
          </cell>
          <cell r="FD225">
            <v>6901</v>
          </cell>
          <cell r="FE225">
            <v>34589</v>
          </cell>
          <cell r="FF225">
            <v>357080</v>
          </cell>
          <cell r="FG225">
            <v>27801</v>
          </cell>
          <cell r="FH225">
            <v>307</v>
          </cell>
          <cell r="FI225">
            <v>385074</v>
          </cell>
          <cell r="FJ225">
            <v>3.7</v>
          </cell>
          <cell r="FK225">
            <v>1.4</v>
          </cell>
          <cell r="FL225">
            <v>3.4</v>
          </cell>
          <cell r="FM225">
            <v>0.6</v>
          </cell>
          <cell r="FN225">
            <v>-9.9</v>
          </cell>
          <cell r="FO225">
            <v>6.5</v>
          </cell>
          <cell r="FP225">
            <v>2.6</v>
          </cell>
          <cell r="FQ225">
            <v>0.6</v>
          </cell>
          <cell r="FR225">
            <v>-11.3</v>
          </cell>
          <cell r="FS225">
            <v>-0.3</v>
          </cell>
          <cell r="FT225">
            <v>0.8</v>
          </cell>
          <cell r="FU225">
            <v>0.5</v>
          </cell>
          <cell r="FV225">
            <v>-3.1</v>
          </cell>
          <cell r="FW225">
            <v>-4.8</v>
          </cell>
          <cell r="FX225">
            <v>2.8</v>
          </cell>
          <cell r="FY225">
            <v>-0.7</v>
          </cell>
          <cell r="FZ225">
            <v>-0.7</v>
          </cell>
          <cell r="GA225">
            <v>-1.4</v>
          </cell>
          <cell r="GB225">
            <v>-0.8</v>
          </cell>
          <cell r="GC225">
            <v>-0.8</v>
          </cell>
          <cell r="GD225">
            <v>-0.3</v>
          </cell>
          <cell r="GE225">
            <v>-5.5</v>
          </cell>
          <cell r="GF225">
            <v>-1.1000000000000001</v>
          </cell>
          <cell r="GG225">
            <v>-2.5</v>
          </cell>
          <cell r="GH225">
            <v>-0.9</v>
          </cell>
          <cell r="GI225">
            <v>1.5</v>
          </cell>
          <cell r="GJ225">
            <v>-0.8</v>
          </cell>
          <cell r="GK225">
            <v>4</v>
          </cell>
          <cell r="GL225">
            <v>-0.1</v>
          </cell>
          <cell r="GM225">
            <v>-0.6</v>
          </cell>
          <cell r="GN225">
            <v>2</v>
          </cell>
          <cell r="GO225">
            <v>2</v>
          </cell>
          <cell r="GP225">
            <v>-0.7</v>
          </cell>
          <cell r="GQ225">
            <v>1.3</v>
          </cell>
          <cell r="GR225">
            <v>0.2</v>
          </cell>
          <cell r="GS225">
            <v>-1</v>
          </cell>
          <cell r="GT225">
            <v>2.2999999999999998</v>
          </cell>
          <cell r="GU225">
            <v>-0.1</v>
          </cell>
          <cell r="GV225">
            <v>-5.9</v>
          </cell>
          <cell r="GW225">
            <v>4</v>
          </cell>
          <cell r="GX225">
            <v>2</v>
          </cell>
          <cell r="GY225">
            <v>6.6</v>
          </cell>
          <cell r="GZ225">
            <v>-1.2</v>
          </cell>
          <cell r="HA225">
            <v>0.4</v>
          </cell>
          <cell r="HB225">
            <v>-0.2</v>
          </cell>
          <cell r="HC225">
            <v>0.7</v>
          </cell>
          <cell r="HD225">
            <v>0.4</v>
          </cell>
          <cell r="HE225">
            <v>0.7</v>
          </cell>
          <cell r="HF225">
            <v>-0.6</v>
          </cell>
          <cell r="HG225">
            <v>1.1000000000000001</v>
          </cell>
          <cell r="HH225">
            <v>0.2</v>
          </cell>
          <cell r="HI225">
            <v>0.1</v>
          </cell>
          <cell r="HJ225">
            <v>1.1000000000000001</v>
          </cell>
          <cell r="HK225">
            <v>0.3</v>
          </cell>
          <cell r="HL225">
            <v>8740</v>
          </cell>
          <cell r="HM225">
            <v>1532</v>
          </cell>
          <cell r="HN225">
            <v>10268</v>
          </cell>
          <cell r="HO225">
            <v>3593</v>
          </cell>
          <cell r="HP225">
            <v>4412</v>
          </cell>
          <cell r="HQ225">
            <v>4883</v>
          </cell>
          <cell r="HR225">
            <v>3924</v>
          </cell>
          <cell r="HS225">
            <v>16035</v>
          </cell>
          <cell r="HT225">
            <v>2421</v>
          </cell>
          <cell r="HU225">
            <v>18186</v>
          </cell>
          <cell r="HV225">
            <v>6671</v>
          </cell>
          <cell r="HW225">
            <v>4992</v>
          </cell>
          <cell r="HX225">
            <v>3737</v>
          </cell>
          <cell r="HY225">
            <v>4717</v>
          </cell>
          <cell r="HZ225">
            <v>4865</v>
          </cell>
          <cell r="IA225">
            <v>24916</v>
          </cell>
          <cell r="IB225">
            <v>5781</v>
          </cell>
          <cell r="IC225">
            <v>303</v>
          </cell>
          <cell r="ID225">
            <v>4122</v>
          </cell>
          <cell r="IE225">
            <v>10188</v>
          </cell>
          <cell r="IF225">
            <v>5314</v>
          </cell>
          <cell r="IG225">
            <v>9571</v>
          </cell>
          <cell r="IH225">
            <v>14300</v>
          </cell>
          <cell r="II225">
            <v>29285</v>
          </cell>
          <cell r="IJ225">
            <v>15000</v>
          </cell>
          <cell r="IK225">
            <v>16533</v>
          </cell>
          <cell r="IL225">
            <v>8852</v>
          </cell>
          <cell r="IM225">
            <v>5703</v>
          </cell>
          <cell r="IN225">
            <v>1912</v>
          </cell>
          <cell r="IO225">
            <v>2817</v>
          </cell>
          <cell r="IP225">
            <v>8709</v>
          </cell>
          <cell r="IQ225">
            <v>19144</v>
          </cell>
        </row>
        <row r="226">
          <cell r="B226">
            <v>9183</v>
          </cell>
          <cell r="C226">
            <v>1541</v>
          </cell>
          <cell r="D226">
            <v>10721</v>
          </cell>
          <cell r="E226">
            <v>3890</v>
          </cell>
          <cell r="F226">
            <v>4741</v>
          </cell>
          <cell r="G226">
            <v>5572</v>
          </cell>
          <cell r="H226">
            <v>4165</v>
          </cell>
          <cell r="I226">
            <v>17619</v>
          </cell>
          <cell r="J226">
            <v>2470</v>
          </cell>
          <cell r="K226">
            <v>19868</v>
          </cell>
          <cell r="L226">
            <v>6617</v>
          </cell>
          <cell r="M226">
            <v>5093</v>
          </cell>
          <cell r="N226">
            <v>4082</v>
          </cell>
          <cell r="O226">
            <v>5162</v>
          </cell>
          <cell r="P226">
            <v>5243</v>
          </cell>
          <cell r="Q226">
            <v>26201</v>
          </cell>
          <cell r="R226">
            <v>5669</v>
          </cell>
          <cell r="S226">
            <v>372</v>
          </cell>
          <cell r="T226">
            <v>3993</v>
          </cell>
          <cell r="U226">
            <v>10032</v>
          </cell>
          <cell r="V226">
            <v>5968</v>
          </cell>
          <cell r="W226">
            <v>10563</v>
          </cell>
          <cell r="X226">
            <v>15743</v>
          </cell>
          <cell r="Y226">
            <v>32328</v>
          </cell>
          <cell r="Z226">
            <v>15667</v>
          </cell>
          <cell r="AA226">
            <v>17168</v>
          </cell>
          <cell r="AB226">
            <v>9056</v>
          </cell>
          <cell r="AC226">
            <v>5923</v>
          </cell>
          <cell r="AD226">
            <v>1967</v>
          </cell>
          <cell r="AE226">
            <v>2891</v>
          </cell>
          <cell r="AF226">
            <v>9029</v>
          </cell>
          <cell r="AG226">
            <v>19808</v>
          </cell>
          <cell r="AH226">
            <v>4539</v>
          </cell>
          <cell r="AI226">
            <v>4728</v>
          </cell>
          <cell r="AJ226">
            <v>9253</v>
          </cell>
          <cell r="AK226">
            <v>23098</v>
          </cell>
          <cell r="AL226">
            <v>9559</v>
          </cell>
          <cell r="AM226">
            <v>32656</v>
          </cell>
          <cell r="AN226">
            <v>1613</v>
          </cell>
          <cell r="AO226">
            <v>8791</v>
          </cell>
          <cell r="AP226">
            <v>10412</v>
          </cell>
          <cell r="AQ226">
            <v>5811</v>
          </cell>
          <cell r="AR226">
            <v>20125</v>
          </cell>
          <cell r="AS226">
            <v>25880</v>
          </cell>
          <cell r="AT226">
            <v>12094</v>
          </cell>
          <cell r="AU226">
            <v>21599</v>
          </cell>
          <cell r="AV226">
            <v>18900</v>
          </cell>
          <cell r="AW226">
            <v>24703</v>
          </cell>
          <cell r="AX226">
            <v>3238</v>
          </cell>
          <cell r="AY226">
            <v>7078</v>
          </cell>
          <cell r="AZ226">
            <v>34652</v>
          </cell>
          <cell r="BA226">
            <v>359711</v>
          </cell>
          <cell r="BB226">
            <v>27549</v>
          </cell>
          <cell r="BC226">
            <v>77</v>
          </cell>
          <cell r="BD226">
            <v>387288</v>
          </cell>
          <cell r="BE226">
            <v>1.9</v>
          </cell>
          <cell r="BF226">
            <v>0.8</v>
          </cell>
          <cell r="BG226">
            <v>1.7</v>
          </cell>
          <cell r="BH226">
            <v>0.6</v>
          </cell>
          <cell r="BI226">
            <v>-2.4</v>
          </cell>
          <cell r="BJ226">
            <v>6.1</v>
          </cell>
          <cell r="BK226">
            <v>1.5</v>
          </cell>
          <cell r="BL226">
            <v>2.5</v>
          </cell>
          <cell r="BM226">
            <v>-5.5</v>
          </cell>
          <cell r="BN226">
            <v>1.8</v>
          </cell>
          <cell r="BO226">
            <v>-1.5</v>
          </cell>
          <cell r="BP226">
            <v>-0.2</v>
          </cell>
          <cell r="BQ226">
            <v>1.1000000000000001</v>
          </cell>
          <cell r="BR226">
            <v>-1.7</v>
          </cell>
          <cell r="BS226">
            <v>0.1</v>
          </cell>
          <cell r="BT226">
            <v>-0.5</v>
          </cell>
          <cell r="BU226">
            <v>-0.5</v>
          </cell>
          <cell r="BV226">
            <v>-1.2</v>
          </cell>
          <cell r="BW226">
            <v>-1.4</v>
          </cell>
          <cell r="BX226">
            <v>-0.8</v>
          </cell>
          <cell r="BY226">
            <v>2</v>
          </cell>
          <cell r="BZ226">
            <v>1.2</v>
          </cell>
          <cell r="CA226">
            <v>-0.3</v>
          </cell>
          <cell r="CB226">
            <v>0.4</v>
          </cell>
          <cell r="CC226">
            <v>-0.9</v>
          </cell>
          <cell r="CD226">
            <v>0.4</v>
          </cell>
          <cell r="CE226">
            <v>-0.4</v>
          </cell>
          <cell r="CF226">
            <v>0.5</v>
          </cell>
          <cell r="CG226">
            <v>0.1</v>
          </cell>
          <cell r="CH226">
            <v>-1.6</v>
          </cell>
          <cell r="CI226">
            <v>1.3</v>
          </cell>
          <cell r="CJ226">
            <v>0.5</v>
          </cell>
          <cell r="CK226">
            <v>2.1</v>
          </cell>
          <cell r="CL226">
            <v>0</v>
          </cell>
          <cell r="CM226">
            <v>1.1000000000000001</v>
          </cell>
          <cell r="CN226">
            <v>0.2</v>
          </cell>
          <cell r="CO226">
            <v>0.9</v>
          </cell>
          <cell r="CP226">
            <v>0.4</v>
          </cell>
          <cell r="CQ226">
            <v>-3.6</v>
          </cell>
          <cell r="CR226">
            <v>2.1</v>
          </cell>
          <cell r="CS226">
            <v>1</v>
          </cell>
          <cell r="CT226">
            <v>2.1</v>
          </cell>
          <cell r="CU226">
            <v>0</v>
          </cell>
          <cell r="CV226">
            <v>0.4</v>
          </cell>
          <cell r="CW226">
            <v>0.8</v>
          </cell>
          <cell r="CX226">
            <v>1.4</v>
          </cell>
          <cell r="CY226">
            <v>0.5</v>
          </cell>
          <cell r="CZ226">
            <v>0.9</v>
          </cell>
          <cell r="DA226">
            <v>1.9</v>
          </cell>
          <cell r="DB226">
            <v>2.2999999999999998</v>
          </cell>
          <cell r="DC226">
            <v>0.2</v>
          </cell>
          <cell r="DD226">
            <v>0.6</v>
          </cell>
          <cell r="DE226">
            <v>-0.3</v>
          </cell>
          <cell r="DF226">
            <v>0.5</v>
          </cell>
          <cell r="DG226">
            <v>9532</v>
          </cell>
          <cell r="DH226">
            <v>1551</v>
          </cell>
          <cell r="DI226">
            <v>11082</v>
          </cell>
          <cell r="DJ226">
            <v>3940</v>
          </cell>
          <cell r="DK226">
            <v>4751</v>
          </cell>
          <cell r="DL226">
            <v>5597</v>
          </cell>
          <cell r="DM226">
            <v>4154</v>
          </cell>
          <cell r="DN226">
            <v>17658</v>
          </cell>
          <cell r="DO226">
            <v>2383</v>
          </cell>
          <cell r="DP226">
            <v>19861</v>
          </cell>
          <cell r="DQ226">
            <v>6459</v>
          </cell>
          <cell r="DR226">
            <v>5137</v>
          </cell>
          <cell r="DS226">
            <v>3982</v>
          </cell>
          <cell r="DT226">
            <v>5177</v>
          </cell>
          <cell r="DU226">
            <v>5270</v>
          </cell>
          <cell r="DV226">
            <v>26009</v>
          </cell>
          <cell r="DW226">
            <v>5678</v>
          </cell>
          <cell r="DX226">
            <v>377</v>
          </cell>
          <cell r="DY226">
            <v>4031</v>
          </cell>
          <cell r="DZ226">
            <v>10081</v>
          </cell>
          <cell r="EA226">
            <v>5952</v>
          </cell>
          <cell r="EB226">
            <v>10364</v>
          </cell>
          <cell r="EC226">
            <v>15955</v>
          </cell>
          <cell r="ED226">
            <v>32328</v>
          </cell>
          <cell r="EE226">
            <v>15752</v>
          </cell>
          <cell r="EF226">
            <v>17155</v>
          </cell>
          <cell r="EG226">
            <v>9094</v>
          </cell>
          <cell r="EH226">
            <v>5823</v>
          </cell>
          <cell r="EI226">
            <v>1956</v>
          </cell>
          <cell r="EJ226">
            <v>2904</v>
          </cell>
          <cell r="EK226">
            <v>8917</v>
          </cell>
          <cell r="EL226">
            <v>19594</v>
          </cell>
          <cell r="EM226">
            <v>4577</v>
          </cell>
          <cell r="EN226">
            <v>4731</v>
          </cell>
          <cell r="EO226">
            <v>9297</v>
          </cell>
          <cell r="EP226">
            <v>23174</v>
          </cell>
          <cell r="EQ226">
            <v>9537</v>
          </cell>
          <cell r="ER226">
            <v>32711</v>
          </cell>
          <cell r="ES226">
            <v>1574</v>
          </cell>
          <cell r="ET226">
            <v>8817</v>
          </cell>
          <cell r="EU226">
            <v>10391</v>
          </cell>
          <cell r="EV226">
            <v>5837</v>
          </cell>
          <cell r="EW226">
            <v>19968</v>
          </cell>
          <cell r="EX226">
            <v>25744</v>
          </cell>
          <cell r="EY226">
            <v>12064</v>
          </cell>
          <cell r="EZ226">
            <v>21569</v>
          </cell>
          <cell r="FA226">
            <v>18885</v>
          </cell>
          <cell r="FB226">
            <v>24667</v>
          </cell>
          <cell r="FC226">
            <v>3236</v>
          </cell>
          <cell r="FD226">
            <v>7046</v>
          </cell>
          <cell r="FE226">
            <v>34656</v>
          </cell>
          <cell r="FF226">
            <v>359696</v>
          </cell>
          <cell r="FG226">
            <v>27531</v>
          </cell>
          <cell r="FH226">
            <v>-69</v>
          </cell>
          <cell r="FI226">
            <v>387113</v>
          </cell>
          <cell r="FJ226">
            <v>6.2</v>
          </cell>
          <cell r="FK226">
            <v>1.3</v>
          </cell>
          <cell r="FL226">
            <v>5.5</v>
          </cell>
          <cell r="FM226">
            <v>2.8</v>
          </cell>
          <cell r="FN226">
            <v>2.2999999999999998</v>
          </cell>
          <cell r="FO226">
            <v>6.5</v>
          </cell>
          <cell r="FP226">
            <v>0.6</v>
          </cell>
          <cell r="FQ226">
            <v>3.8</v>
          </cell>
          <cell r="FR226">
            <v>-7.2</v>
          </cell>
          <cell r="FS226">
            <v>2.9</v>
          </cell>
          <cell r="FT226">
            <v>-5.6</v>
          </cell>
          <cell r="FU226">
            <v>1</v>
          </cell>
          <cell r="FV226">
            <v>-0.6</v>
          </cell>
          <cell r="FW226">
            <v>0</v>
          </cell>
          <cell r="FX226">
            <v>-0.7</v>
          </cell>
          <cell r="FY226">
            <v>-1.5</v>
          </cell>
          <cell r="FZ226">
            <v>-0.2</v>
          </cell>
          <cell r="GA226">
            <v>1.2</v>
          </cell>
          <cell r="GB226">
            <v>-0.2</v>
          </cell>
          <cell r="GC226">
            <v>-0.1</v>
          </cell>
          <cell r="GD226">
            <v>1.5</v>
          </cell>
          <cell r="GE226">
            <v>1.2</v>
          </cell>
          <cell r="GF226">
            <v>2.1</v>
          </cell>
          <cell r="GG226">
            <v>1.6</v>
          </cell>
          <cell r="GH226">
            <v>0</v>
          </cell>
          <cell r="GI226">
            <v>-0.2</v>
          </cell>
          <cell r="GJ226">
            <v>0.5</v>
          </cell>
          <cell r="GK226">
            <v>-3.4</v>
          </cell>
          <cell r="GL226">
            <v>-0.6</v>
          </cell>
          <cell r="GM226">
            <v>-1.3</v>
          </cell>
          <cell r="GN226">
            <v>-0.7</v>
          </cell>
          <cell r="GO226">
            <v>-1.6</v>
          </cell>
          <cell r="GP226">
            <v>4.5</v>
          </cell>
          <cell r="GQ226">
            <v>-0.4</v>
          </cell>
          <cell r="GR226">
            <v>2.1</v>
          </cell>
          <cell r="GS226">
            <v>1.1000000000000001</v>
          </cell>
          <cell r="GT226">
            <v>0</v>
          </cell>
          <cell r="GU226">
            <v>0.7</v>
          </cell>
          <cell r="GV226">
            <v>-5.8</v>
          </cell>
          <cell r="GW226">
            <v>1.5</v>
          </cell>
          <cell r="GX226">
            <v>0.1</v>
          </cell>
          <cell r="GY226">
            <v>1.5</v>
          </cell>
          <cell r="GZ226">
            <v>-0.9</v>
          </cell>
          <cell r="HA226">
            <v>-0.4</v>
          </cell>
          <cell r="HB226">
            <v>0.7</v>
          </cell>
          <cell r="HC226">
            <v>1.5</v>
          </cell>
          <cell r="HD226">
            <v>0.4</v>
          </cell>
          <cell r="HE226">
            <v>0.7</v>
          </cell>
          <cell r="HF226">
            <v>3</v>
          </cell>
          <cell r="HG226">
            <v>2.1</v>
          </cell>
          <cell r="HH226">
            <v>0.2</v>
          </cell>
          <cell r="HI226">
            <v>0.7</v>
          </cell>
          <cell r="HJ226">
            <v>-1</v>
          </cell>
          <cell r="HK226">
            <v>0.5</v>
          </cell>
          <cell r="HL226">
            <v>9173</v>
          </cell>
          <cell r="HM226">
            <v>1546</v>
          </cell>
          <cell r="HN226">
            <v>10715</v>
          </cell>
          <cell r="HO226">
            <v>4021</v>
          </cell>
          <cell r="HP226">
            <v>4702</v>
          </cell>
          <cell r="HQ226">
            <v>5742</v>
          </cell>
          <cell r="HR226">
            <v>4166</v>
          </cell>
          <cell r="HS226">
            <v>17819</v>
          </cell>
          <cell r="HT226">
            <v>2457</v>
          </cell>
          <cell r="HU226">
            <v>20071</v>
          </cell>
          <cell r="HV226">
            <v>6255</v>
          </cell>
          <cell r="HW226">
            <v>5067</v>
          </cell>
          <cell r="HX226">
            <v>4009</v>
          </cell>
          <cell r="HY226">
            <v>5274</v>
          </cell>
          <cell r="HZ226">
            <v>5259</v>
          </cell>
          <cell r="IA226">
            <v>25866</v>
          </cell>
          <cell r="IB226">
            <v>5626</v>
          </cell>
          <cell r="IC226">
            <v>396</v>
          </cell>
          <cell r="ID226">
            <v>3992</v>
          </cell>
          <cell r="IE226">
            <v>10012</v>
          </cell>
          <cell r="IF226">
            <v>5993</v>
          </cell>
          <cell r="IG226">
            <v>10680</v>
          </cell>
          <cell r="IH226">
            <v>16124</v>
          </cell>
          <cell r="II226">
            <v>32872</v>
          </cell>
          <cell r="IJ226">
            <v>15838</v>
          </cell>
          <cell r="IK226">
            <v>16555</v>
          </cell>
          <cell r="IL226">
            <v>8784</v>
          </cell>
          <cell r="IM226">
            <v>5888</v>
          </cell>
          <cell r="IN226">
            <v>1875</v>
          </cell>
          <cell r="IO226">
            <v>2900</v>
          </cell>
          <cell r="IP226">
            <v>8787</v>
          </cell>
          <cell r="IQ226">
            <v>19457</v>
          </cell>
        </row>
        <row r="227">
          <cell r="B227">
            <v>9233</v>
          </cell>
          <cell r="C227">
            <v>1542</v>
          </cell>
          <cell r="D227">
            <v>10772</v>
          </cell>
          <cell r="E227">
            <v>3909</v>
          </cell>
          <cell r="F227">
            <v>4897</v>
          </cell>
          <cell r="G227">
            <v>5838</v>
          </cell>
          <cell r="H227">
            <v>4153</v>
          </cell>
          <cell r="I227">
            <v>18151</v>
          </cell>
          <cell r="J227">
            <v>2504</v>
          </cell>
          <cell r="K227">
            <v>20432</v>
          </cell>
          <cell r="L227">
            <v>6561</v>
          </cell>
          <cell r="M227">
            <v>5076</v>
          </cell>
          <cell r="N227">
            <v>4190</v>
          </cell>
          <cell r="O227">
            <v>5136</v>
          </cell>
          <cell r="P227">
            <v>5235</v>
          </cell>
          <cell r="Q227">
            <v>26176</v>
          </cell>
          <cell r="R227">
            <v>5643</v>
          </cell>
          <cell r="S227">
            <v>377</v>
          </cell>
          <cell r="T227">
            <v>3962</v>
          </cell>
          <cell r="U227">
            <v>9982</v>
          </cell>
          <cell r="V227">
            <v>6086</v>
          </cell>
          <cell r="W227">
            <v>10915</v>
          </cell>
          <cell r="X227">
            <v>15764</v>
          </cell>
          <cell r="Y227">
            <v>32774</v>
          </cell>
          <cell r="Z227">
            <v>15559</v>
          </cell>
          <cell r="AA227">
            <v>17207</v>
          </cell>
          <cell r="AB227">
            <v>9048</v>
          </cell>
          <cell r="AC227">
            <v>5920</v>
          </cell>
          <cell r="AD227">
            <v>1966</v>
          </cell>
          <cell r="AE227">
            <v>2834</v>
          </cell>
          <cell r="AF227">
            <v>9077</v>
          </cell>
          <cell r="AG227">
            <v>19799</v>
          </cell>
          <cell r="AH227">
            <v>4608</v>
          </cell>
          <cell r="AI227">
            <v>4738</v>
          </cell>
          <cell r="AJ227">
            <v>9332</v>
          </cell>
          <cell r="AK227">
            <v>23238</v>
          </cell>
          <cell r="AL227">
            <v>9630</v>
          </cell>
          <cell r="AM227">
            <v>32866</v>
          </cell>
          <cell r="AN227">
            <v>1615</v>
          </cell>
          <cell r="AO227">
            <v>8993</v>
          </cell>
          <cell r="AP227">
            <v>10613</v>
          </cell>
          <cell r="AQ227">
            <v>5803</v>
          </cell>
          <cell r="AR227">
            <v>20099</v>
          </cell>
          <cell r="AS227">
            <v>25839</v>
          </cell>
          <cell r="AT227">
            <v>12332</v>
          </cell>
          <cell r="AU227">
            <v>21796</v>
          </cell>
          <cell r="AV227">
            <v>19019</v>
          </cell>
          <cell r="AW227">
            <v>25039</v>
          </cell>
          <cell r="AX227">
            <v>3273</v>
          </cell>
          <cell r="AY227">
            <v>7156</v>
          </cell>
          <cell r="AZ227">
            <v>34700</v>
          </cell>
          <cell r="BA227">
            <v>362281</v>
          </cell>
          <cell r="BB227">
            <v>27524</v>
          </cell>
          <cell r="BC227">
            <v>139</v>
          </cell>
          <cell r="BD227">
            <v>389923</v>
          </cell>
          <cell r="BE227">
            <v>0.5</v>
          </cell>
          <cell r="BF227">
            <v>0</v>
          </cell>
          <cell r="BG227">
            <v>0.5</v>
          </cell>
          <cell r="BH227">
            <v>0.5</v>
          </cell>
          <cell r="BI227">
            <v>3.3</v>
          </cell>
          <cell r="BJ227">
            <v>4.8</v>
          </cell>
          <cell r="BK227">
            <v>-0.3</v>
          </cell>
          <cell r="BL227">
            <v>3</v>
          </cell>
          <cell r="BM227">
            <v>1.4</v>
          </cell>
          <cell r="BN227">
            <v>2.8</v>
          </cell>
          <cell r="BO227">
            <v>-0.9</v>
          </cell>
          <cell r="BP227">
            <v>-0.3</v>
          </cell>
          <cell r="BQ227">
            <v>2.6</v>
          </cell>
          <cell r="BR227">
            <v>-0.5</v>
          </cell>
          <cell r="BS227">
            <v>-0.2</v>
          </cell>
          <cell r="BT227">
            <v>-0.1</v>
          </cell>
          <cell r="BU227">
            <v>-0.5</v>
          </cell>
          <cell r="BV227">
            <v>1.4</v>
          </cell>
          <cell r="BW227">
            <v>-0.8</v>
          </cell>
          <cell r="BX227">
            <v>-0.5</v>
          </cell>
          <cell r="BY227">
            <v>2</v>
          </cell>
          <cell r="BZ227">
            <v>3.3</v>
          </cell>
          <cell r="CA227">
            <v>0.1</v>
          </cell>
          <cell r="CB227">
            <v>1.4</v>
          </cell>
          <cell r="CC227">
            <v>-0.7</v>
          </cell>
          <cell r="CD227">
            <v>0.2</v>
          </cell>
          <cell r="CE227">
            <v>-0.1</v>
          </cell>
          <cell r="CF227">
            <v>0</v>
          </cell>
          <cell r="CG227">
            <v>-0.1</v>
          </cell>
          <cell r="CH227">
            <v>-1.9</v>
          </cell>
          <cell r="CI227">
            <v>0.5</v>
          </cell>
          <cell r="CJ227">
            <v>0</v>
          </cell>
          <cell r="CK227">
            <v>1.5</v>
          </cell>
          <cell r="CL227">
            <v>0.2</v>
          </cell>
          <cell r="CM227">
            <v>0.9</v>
          </cell>
          <cell r="CN227">
            <v>0.6</v>
          </cell>
          <cell r="CO227">
            <v>0.7</v>
          </cell>
          <cell r="CP227">
            <v>0.6</v>
          </cell>
          <cell r="CQ227">
            <v>0.2</v>
          </cell>
          <cell r="CR227">
            <v>2.2999999999999998</v>
          </cell>
          <cell r="CS227">
            <v>1.9</v>
          </cell>
          <cell r="CT227">
            <v>-0.1</v>
          </cell>
          <cell r="CU227">
            <v>-0.1</v>
          </cell>
          <cell r="CV227">
            <v>-0.2</v>
          </cell>
          <cell r="CW227">
            <v>2</v>
          </cell>
          <cell r="CX227">
            <v>0.9</v>
          </cell>
          <cell r="CY227">
            <v>0.6</v>
          </cell>
          <cell r="CZ227">
            <v>1.4</v>
          </cell>
          <cell r="DA227">
            <v>1.1000000000000001</v>
          </cell>
          <cell r="DB227">
            <v>1.1000000000000001</v>
          </cell>
          <cell r="DC227">
            <v>0.1</v>
          </cell>
          <cell r="DD227">
            <v>0.7</v>
          </cell>
          <cell r="DE227">
            <v>-0.1</v>
          </cell>
          <cell r="DF227">
            <v>0.7</v>
          </cell>
          <cell r="DG227">
            <v>8887</v>
          </cell>
          <cell r="DH227">
            <v>1532</v>
          </cell>
          <cell r="DI227">
            <v>10411</v>
          </cell>
          <cell r="DJ227">
            <v>3850</v>
          </cell>
          <cell r="DK227">
            <v>4970</v>
          </cell>
          <cell r="DL227">
            <v>5872</v>
          </cell>
          <cell r="DM227">
            <v>4195</v>
          </cell>
          <cell r="DN227">
            <v>18269</v>
          </cell>
          <cell r="DO227">
            <v>2551</v>
          </cell>
          <cell r="DP227">
            <v>20580</v>
          </cell>
          <cell r="DQ227">
            <v>6539</v>
          </cell>
          <cell r="DR227">
            <v>5083</v>
          </cell>
          <cell r="DS227">
            <v>4297</v>
          </cell>
          <cell r="DT227">
            <v>5132</v>
          </cell>
          <cell r="DU227">
            <v>5147</v>
          </cell>
          <cell r="DV227">
            <v>26193</v>
          </cell>
          <cell r="DW227">
            <v>5629</v>
          </cell>
          <cell r="DX227">
            <v>370</v>
          </cell>
          <cell r="DY227">
            <v>3919</v>
          </cell>
          <cell r="DZ227">
            <v>9923</v>
          </cell>
          <cell r="EA227">
            <v>6109</v>
          </cell>
          <cell r="EB227">
            <v>11099</v>
          </cell>
          <cell r="EC227">
            <v>15672</v>
          </cell>
          <cell r="ED227">
            <v>32881</v>
          </cell>
          <cell r="EE227">
            <v>15484</v>
          </cell>
          <cell r="EF227">
            <v>17173</v>
          </cell>
          <cell r="EG227">
            <v>9058</v>
          </cell>
          <cell r="EH227">
            <v>5947</v>
          </cell>
          <cell r="EI227">
            <v>1980</v>
          </cell>
          <cell r="EJ227">
            <v>2788</v>
          </cell>
          <cell r="EK227">
            <v>9172</v>
          </cell>
          <cell r="EL227">
            <v>19886</v>
          </cell>
          <cell r="EM227">
            <v>4631</v>
          </cell>
          <cell r="EN227">
            <v>4766</v>
          </cell>
          <cell r="EO227">
            <v>9376</v>
          </cell>
          <cell r="EP227">
            <v>23213</v>
          </cell>
          <cell r="EQ227">
            <v>9576</v>
          </cell>
          <cell r="ER227">
            <v>32788</v>
          </cell>
          <cell r="ES227">
            <v>1610</v>
          </cell>
          <cell r="ET227">
            <v>8887</v>
          </cell>
          <cell r="EU227">
            <v>10504</v>
          </cell>
          <cell r="EV227">
            <v>5872</v>
          </cell>
          <cell r="EW227">
            <v>20054</v>
          </cell>
          <cell r="EX227">
            <v>25876</v>
          </cell>
          <cell r="EY227">
            <v>12346</v>
          </cell>
          <cell r="EZ227">
            <v>21859</v>
          </cell>
          <cell r="FA227">
            <v>19025</v>
          </cell>
          <cell r="FB227">
            <v>25038</v>
          </cell>
          <cell r="FC227">
            <v>3329</v>
          </cell>
          <cell r="FD227">
            <v>7289</v>
          </cell>
          <cell r="FE227">
            <v>34697</v>
          </cell>
          <cell r="FF227">
            <v>362370</v>
          </cell>
          <cell r="FG227">
            <v>27395</v>
          </cell>
          <cell r="FH227">
            <v>128</v>
          </cell>
          <cell r="FI227">
            <v>389890</v>
          </cell>
          <cell r="FJ227">
            <v>-6.8</v>
          </cell>
          <cell r="FK227">
            <v>-1.2</v>
          </cell>
          <cell r="FL227">
            <v>-6.1</v>
          </cell>
          <cell r="FM227">
            <v>-2.2999999999999998</v>
          </cell>
          <cell r="FN227">
            <v>4.5999999999999996</v>
          </cell>
          <cell r="FO227">
            <v>4.9000000000000004</v>
          </cell>
          <cell r="FP227">
            <v>1</v>
          </cell>
          <cell r="FQ227">
            <v>3.5</v>
          </cell>
          <cell r="FR227">
            <v>7</v>
          </cell>
          <cell r="FS227">
            <v>3.6</v>
          </cell>
          <cell r="FT227">
            <v>1.2</v>
          </cell>
          <cell r="FU227">
            <v>-1.1000000000000001</v>
          </cell>
          <cell r="FV227">
            <v>7.9</v>
          </cell>
          <cell r="FW227">
            <v>-0.9</v>
          </cell>
          <cell r="FX227">
            <v>-2.2999999999999998</v>
          </cell>
          <cell r="FY227">
            <v>0.7</v>
          </cell>
          <cell r="FZ227">
            <v>-0.9</v>
          </cell>
          <cell r="GA227">
            <v>-1.8</v>
          </cell>
          <cell r="GB227">
            <v>-2.8</v>
          </cell>
          <cell r="GC227">
            <v>-1.6</v>
          </cell>
          <cell r="GD227">
            <v>2.6</v>
          </cell>
          <cell r="GE227">
            <v>7.1</v>
          </cell>
          <cell r="GF227">
            <v>-1.8</v>
          </cell>
          <cell r="GG227">
            <v>1.7</v>
          </cell>
          <cell r="GH227">
            <v>-1.7</v>
          </cell>
          <cell r="GI227">
            <v>0.1</v>
          </cell>
          <cell r="GJ227">
            <v>-0.4</v>
          </cell>
          <cell r="GK227">
            <v>2.1</v>
          </cell>
          <cell r="GL227">
            <v>1.2</v>
          </cell>
          <cell r="GM227">
            <v>-4</v>
          </cell>
          <cell r="GN227">
            <v>2.9</v>
          </cell>
          <cell r="GO227">
            <v>1.5</v>
          </cell>
          <cell r="GP227">
            <v>1.2</v>
          </cell>
          <cell r="GQ227">
            <v>0.7</v>
          </cell>
          <cell r="GR227">
            <v>0.9</v>
          </cell>
          <cell r="GS227">
            <v>0.2</v>
          </cell>
          <cell r="GT227">
            <v>0.4</v>
          </cell>
          <cell r="GU227">
            <v>0.2</v>
          </cell>
          <cell r="GV227">
            <v>2.2999999999999998</v>
          </cell>
          <cell r="GW227">
            <v>0.8</v>
          </cell>
          <cell r="GX227">
            <v>1.1000000000000001</v>
          </cell>
          <cell r="GY227">
            <v>0.6</v>
          </cell>
          <cell r="GZ227">
            <v>0.4</v>
          </cell>
          <cell r="HA227">
            <v>0.5</v>
          </cell>
          <cell r="HB227">
            <v>2.2999999999999998</v>
          </cell>
          <cell r="HC227">
            <v>1.3</v>
          </cell>
          <cell r="HD227">
            <v>0.7</v>
          </cell>
          <cell r="HE227">
            <v>1.5</v>
          </cell>
          <cell r="HF227">
            <v>2.9</v>
          </cell>
          <cell r="HG227">
            <v>3.5</v>
          </cell>
          <cell r="HH227">
            <v>0.1</v>
          </cell>
          <cell r="HI227">
            <v>0.7</v>
          </cell>
          <cell r="HJ227">
            <v>-0.5</v>
          </cell>
          <cell r="HK227">
            <v>0.7</v>
          </cell>
          <cell r="HL227">
            <v>5112</v>
          </cell>
          <cell r="HM227">
            <v>1534</v>
          </cell>
          <cell r="HN227">
            <v>6577</v>
          </cell>
          <cell r="HO227">
            <v>3956</v>
          </cell>
          <cell r="HP227">
            <v>5151</v>
          </cell>
          <cell r="HQ227">
            <v>6039</v>
          </cell>
          <cell r="HR227">
            <v>4242</v>
          </cell>
          <cell r="HS227">
            <v>18727</v>
          </cell>
          <cell r="HT227">
            <v>2562</v>
          </cell>
          <cell r="HU227">
            <v>21058</v>
          </cell>
          <cell r="HV227">
            <v>6423</v>
          </cell>
          <cell r="HW227">
            <v>5250</v>
          </cell>
          <cell r="HX227">
            <v>4410</v>
          </cell>
          <cell r="HY227">
            <v>5305</v>
          </cell>
          <cell r="HZ227">
            <v>5365</v>
          </cell>
          <cell r="IA227">
            <v>26754</v>
          </cell>
          <cell r="IB227">
            <v>5748</v>
          </cell>
          <cell r="IC227">
            <v>458</v>
          </cell>
          <cell r="ID227">
            <v>3825</v>
          </cell>
          <cell r="IE227">
            <v>10060</v>
          </cell>
          <cell r="IF227">
            <v>6377</v>
          </cell>
          <cell r="IG227">
            <v>11015</v>
          </cell>
          <cell r="IH227">
            <v>15932</v>
          </cell>
          <cell r="II227">
            <v>33346</v>
          </cell>
          <cell r="IJ227">
            <v>15593</v>
          </cell>
          <cell r="IK227">
            <v>16817</v>
          </cell>
          <cell r="IL227">
            <v>9110</v>
          </cell>
          <cell r="IM227">
            <v>6046</v>
          </cell>
          <cell r="IN227">
            <v>2058</v>
          </cell>
          <cell r="IO227">
            <v>2857</v>
          </cell>
          <cell r="IP227">
            <v>9092</v>
          </cell>
          <cell r="IQ227">
            <v>20059</v>
          </cell>
        </row>
        <row r="228">
          <cell r="B228">
            <v>9188</v>
          </cell>
          <cell r="C228">
            <v>1538</v>
          </cell>
          <cell r="D228">
            <v>10724</v>
          </cell>
          <cell r="E228">
            <v>3975</v>
          </cell>
          <cell r="F228">
            <v>5142</v>
          </cell>
          <cell r="G228">
            <v>6107</v>
          </cell>
          <cell r="H228">
            <v>4086</v>
          </cell>
          <cell r="I228">
            <v>18734</v>
          </cell>
          <cell r="J228">
            <v>2612</v>
          </cell>
          <cell r="K228">
            <v>21088</v>
          </cell>
          <cell r="L228">
            <v>6610</v>
          </cell>
          <cell r="M228">
            <v>5063</v>
          </cell>
          <cell r="N228">
            <v>4225</v>
          </cell>
          <cell r="O228">
            <v>5087</v>
          </cell>
          <cell r="P228">
            <v>5276</v>
          </cell>
          <cell r="Q228">
            <v>26176</v>
          </cell>
          <cell r="R228">
            <v>5621</v>
          </cell>
          <cell r="S228">
            <v>380</v>
          </cell>
          <cell r="T228">
            <v>3938</v>
          </cell>
          <cell r="U228">
            <v>9939</v>
          </cell>
          <cell r="V228">
            <v>6217</v>
          </cell>
          <cell r="W228">
            <v>11183</v>
          </cell>
          <cell r="X228">
            <v>16069</v>
          </cell>
          <cell r="Y228">
            <v>33512</v>
          </cell>
          <cell r="Z228">
            <v>15541</v>
          </cell>
          <cell r="AA228">
            <v>17261</v>
          </cell>
          <cell r="AB228">
            <v>9117</v>
          </cell>
          <cell r="AC228">
            <v>5923</v>
          </cell>
          <cell r="AD228">
            <v>1977</v>
          </cell>
          <cell r="AE228">
            <v>2768</v>
          </cell>
          <cell r="AF228">
            <v>8974</v>
          </cell>
          <cell r="AG228">
            <v>19652</v>
          </cell>
          <cell r="AH228">
            <v>4684</v>
          </cell>
          <cell r="AI228">
            <v>4748</v>
          </cell>
          <cell r="AJ228">
            <v>9425</v>
          </cell>
          <cell r="AK228">
            <v>23414</v>
          </cell>
          <cell r="AL228">
            <v>9718</v>
          </cell>
          <cell r="AM228">
            <v>33128</v>
          </cell>
          <cell r="AN228">
            <v>1677</v>
          </cell>
          <cell r="AO228">
            <v>9260</v>
          </cell>
          <cell r="AP228">
            <v>10948</v>
          </cell>
          <cell r="AQ228">
            <v>5756</v>
          </cell>
          <cell r="AR228">
            <v>20054</v>
          </cell>
          <cell r="AS228">
            <v>25761</v>
          </cell>
          <cell r="AT228">
            <v>12609</v>
          </cell>
          <cell r="AU228">
            <v>21860</v>
          </cell>
          <cell r="AV228">
            <v>19148</v>
          </cell>
          <cell r="AW228">
            <v>25476</v>
          </cell>
          <cell r="AX228">
            <v>3279</v>
          </cell>
          <cell r="AY228">
            <v>7144</v>
          </cell>
          <cell r="AZ228">
            <v>34738</v>
          </cell>
          <cell r="BA228">
            <v>365254</v>
          </cell>
          <cell r="BB228">
            <v>27603</v>
          </cell>
          <cell r="BC228">
            <v>75</v>
          </cell>
          <cell r="BD228">
            <v>392926</v>
          </cell>
          <cell r="BE228">
            <v>-0.5</v>
          </cell>
          <cell r="BF228">
            <v>-0.2</v>
          </cell>
          <cell r="BG228">
            <v>-0.4</v>
          </cell>
          <cell r="BH228">
            <v>1.7</v>
          </cell>
          <cell r="BI228">
            <v>5</v>
          </cell>
          <cell r="BJ228">
            <v>4.5999999999999996</v>
          </cell>
          <cell r="BK228">
            <v>-1.6</v>
          </cell>
          <cell r="BL228">
            <v>3.2</v>
          </cell>
          <cell r="BM228">
            <v>4.3</v>
          </cell>
          <cell r="BN228">
            <v>3.2</v>
          </cell>
          <cell r="BO228">
            <v>0.8</v>
          </cell>
          <cell r="BP228">
            <v>-0.3</v>
          </cell>
          <cell r="BQ228">
            <v>0.8</v>
          </cell>
          <cell r="BR228">
            <v>-0.9</v>
          </cell>
          <cell r="BS228">
            <v>0.8</v>
          </cell>
          <cell r="BT228">
            <v>0</v>
          </cell>
          <cell r="BU228">
            <v>-0.4</v>
          </cell>
          <cell r="BV228">
            <v>0.7</v>
          </cell>
          <cell r="BW228">
            <v>-0.6</v>
          </cell>
          <cell r="BX228">
            <v>-0.4</v>
          </cell>
          <cell r="BY228">
            <v>2.2000000000000002</v>
          </cell>
          <cell r="BZ228">
            <v>2.5</v>
          </cell>
          <cell r="CA228">
            <v>1.9</v>
          </cell>
          <cell r="CB228">
            <v>2.2999999999999998</v>
          </cell>
          <cell r="CC228">
            <v>-0.1</v>
          </cell>
          <cell r="CD228">
            <v>0.3</v>
          </cell>
          <cell r="CE228">
            <v>0.8</v>
          </cell>
          <cell r="CF228">
            <v>0</v>
          </cell>
          <cell r="CG228">
            <v>0.6</v>
          </cell>
          <cell r="CH228">
            <v>-2.2999999999999998</v>
          </cell>
          <cell r="CI228">
            <v>-1.1000000000000001</v>
          </cell>
          <cell r="CJ228">
            <v>-0.7</v>
          </cell>
          <cell r="CK228">
            <v>1.6</v>
          </cell>
          <cell r="CL228">
            <v>0.2</v>
          </cell>
          <cell r="CM228">
            <v>1</v>
          </cell>
          <cell r="CN228">
            <v>0.8</v>
          </cell>
          <cell r="CO228">
            <v>0.9</v>
          </cell>
          <cell r="CP228">
            <v>0.8</v>
          </cell>
          <cell r="CQ228">
            <v>3.8</v>
          </cell>
          <cell r="CR228">
            <v>3</v>
          </cell>
          <cell r="CS228">
            <v>3.2</v>
          </cell>
          <cell r="CT228">
            <v>-0.8</v>
          </cell>
          <cell r="CU228">
            <v>-0.2</v>
          </cell>
          <cell r="CV228">
            <v>-0.3</v>
          </cell>
          <cell r="CW228">
            <v>2.2000000000000002</v>
          </cell>
          <cell r="CX228">
            <v>0.3</v>
          </cell>
          <cell r="CY228">
            <v>0.7</v>
          </cell>
          <cell r="CZ228">
            <v>1.7</v>
          </cell>
          <cell r="DA228">
            <v>0.2</v>
          </cell>
          <cell r="DB228">
            <v>-0.2</v>
          </cell>
          <cell r="DC228">
            <v>0.1</v>
          </cell>
          <cell r="DD228">
            <v>0.8</v>
          </cell>
          <cell r="DE228">
            <v>0.3</v>
          </cell>
          <cell r="DF228">
            <v>0.8</v>
          </cell>
          <cell r="DG228">
            <v>9337</v>
          </cell>
          <cell r="DH228">
            <v>1541</v>
          </cell>
          <cell r="DI228">
            <v>10878</v>
          </cell>
          <cell r="DJ228">
            <v>3944</v>
          </cell>
          <cell r="DK228">
            <v>5024</v>
          </cell>
          <cell r="DL228">
            <v>6083</v>
          </cell>
          <cell r="DM228">
            <v>4044</v>
          </cell>
          <cell r="DN228">
            <v>18517</v>
          </cell>
          <cell r="DO228">
            <v>2614</v>
          </cell>
          <cell r="DP228">
            <v>20862</v>
          </cell>
          <cell r="DQ228">
            <v>6744</v>
          </cell>
          <cell r="DR228">
            <v>4982</v>
          </cell>
          <cell r="DS228">
            <v>4291</v>
          </cell>
          <cell r="DT228">
            <v>5122</v>
          </cell>
          <cell r="DU228">
            <v>5268</v>
          </cell>
          <cell r="DV228">
            <v>26426</v>
          </cell>
          <cell r="DW228">
            <v>5638</v>
          </cell>
          <cell r="DX228">
            <v>386</v>
          </cell>
          <cell r="DY228">
            <v>3931</v>
          </cell>
          <cell r="DZ228">
            <v>9959</v>
          </cell>
          <cell r="EA228">
            <v>6177</v>
          </cell>
          <cell r="EB228">
            <v>11296</v>
          </cell>
          <cell r="EC228">
            <v>15803</v>
          </cell>
          <cell r="ED228">
            <v>33283</v>
          </cell>
          <cell r="EE228">
            <v>15525</v>
          </cell>
          <cell r="EF228">
            <v>17262</v>
          </cell>
          <cell r="EG228">
            <v>9075</v>
          </cell>
          <cell r="EH228">
            <v>5948</v>
          </cell>
          <cell r="EI228">
            <v>1971</v>
          </cell>
          <cell r="EJ228">
            <v>2829</v>
          </cell>
          <cell r="EK228">
            <v>8997</v>
          </cell>
          <cell r="EL228">
            <v>19759</v>
          </cell>
          <cell r="EM228">
            <v>4643</v>
          </cell>
          <cell r="EN228">
            <v>4720</v>
          </cell>
          <cell r="EO228">
            <v>9360</v>
          </cell>
          <cell r="EP228">
            <v>23441</v>
          </cell>
          <cell r="EQ228">
            <v>9691</v>
          </cell>
          <cell r="ER228">
            <v>33129</v>
          </cell>
          <cell r="ES228">
            <v>1683</v>
          </cell>
          <cell r="ET228">
            <v>9305</v>
          </cell>
          <cell r="EU228">
            <v>10999</v>
          </cell>
          <cell r="EV228">
            <v>5641</v>
          </cell>
          <cell r="EW228">
            <v>20304</v>
          </cell>
          <cell r="EX228">
            <v>25872</v>
          </cell>
          <cell r="EY228">
            <v>12586</v>
          </cell>
          <cell r="EZ228">
            <v>21961</v>
          </cell>
          <cell r="FA228">
            <v>19149</v>
          </cell>
          <cell r="FB228">
            <v>25434</v>
          </cell>
          <cell r="FC228">
            <v>3233</v>
          </cell>
          <cell r="FD228">
            <v>7097</v>
          </cell>
          <cell r="FE228">
            <v>34736</v>
          </cell>
          <cell r="FF228">
            <v>365220</v>
          </cell>
          <cell r="FG228">
            <v>27659</v>
          </cell>
          <cell r="FH228">
            <v>119</v>
          </cell>
          <cell r="FI228">
            <v>392986</v>
          </cell>
          <cell r="FJ228">
            <v>5.0999999999999996</v>
          </cell>
          <cell r="FK228">
            <v>0.6</v>
          </cell>
          <cell r="FL228">
            <v>4.5</v>
          </cell>
          <cell r="FM228">
            <v>2.4</v>
          </cell>
          <cell r="FN228">
            <v>1.1000000000000001</v>
          </cell>
          <cell r="FO228">
            <v>3.6</v>
          </cell>
          <cell r="FP228">
            <v>-3.6</v>
          </cell>
          <cell r="FQ228">
            <v>1.4</v>
          </cell>
          <cell r="FR228">
            <v>2.5</v>
          </cell>
          <cell r="FS228">
            <v>1.4</v>
          </cell>
          <cell r="FT228">
            <v>3.1</v>
          </cell>
          <cell r="FU228">
            <v>-2</v>
          </cell>
          <cell r="FV228">
            <v>-0.1</v>
          </cell>
          <cell r="FW228">
            <v>-0.2</v>
          </cell>
          <cell r="FX228">
            <v>2.2999999999999998</v>
          </cell>
          <cell r="FY228">
            <v>0.9</v>
          </cell>
          <cell r="FZ228">
            <v>0.2</v>
          </cell>
          <cell r="GA228">
            <v>4.2</v>
          </cell>
          <cell r="GB228">
            <v>0.3</v>
          </cell>
          <cell r="GC228">
            <v>0.4</v>
          </cell>
          <cell r="GD228">
            <v>1.1000000000000001</v>
          </cell>
          <cell r="GE228">
            <v>1.8</v>
          </cell>
          <cell r="GF228">
            <v>0.8</v>
          </cell>
          <cell r="GG228">
            <v>1.2</v>
          </cell>
          <cell r="GH228">
            <v>0.3</v>
          </cell>
          <cell r="GI228">
            <v>0.5</v>
          </cell>
          <cell r="GJ228">
            <v>0.2</v>
          </cell>
          <cell r="GK228">
            <v>0</v>
          </cell>
          <cell r="GL228">
            <v>-0.4</v>
          </cell>
          <cell r="GM228">
            <v>1.5</v>
          </cell>
          <cell r="GN228">
            <v>-1.9</v>
          </cell>
          <cell r="GO228">
            <v>-0.6</v>
          </cell>
          <cell r="GP228">
            <v>0.2</v>
          </cell>
          <cell r="GQ228">
            <v>-1</v>
          </cell>
          <cell r="GR228">
            <v>-0.2</v>
          </cell>
          <cell r="GS228">
            <v>1</v>
          </cell>
          <cell r="GT228">
            <v>1.2</v>
          </cell>
          <cell r="GU228">
            <v>1</v>
          </cell>
          <cell r="GV228">
            <v>4.5</v>
          </cell>
          <cell r="GW228">
            <v>4.7</v>
          </cell>
          <cell r="GX228">
            <v>4.7</v>
          </cell>
          <cell r="GY228">
            <v>-3.9</v>
          </cell>
          <cell r="GZ228">
            <v>1.2</v>
          </cell>
          <cell r="HA228">
            <v>0</v>
          </cell>
          <cell r="HB228">
            <v>1.9</v>
          </cell>
          <cell r="HC228">
            <v>0.5</v>
          </cell>
          <cell r="HD228">
            <v>0.7</v>
          </cell>
          <cell r="HE228">
            <v>1.6</v>
          </cell>
          <cell r="HF228">
            <v>-2.9</v>
          </cell>
          <cell r="HG228">
            <v>-2.6</v>
          </cell>
          <cell r="HH228">
            <v>0.1</v>
          </cell>
          <cell r="HI228">
            <v>0.8</v>
          </cell>
          <cell r="HJ228">
            <v>1</v>
          </cell>
          <cell r="HK228">
            <v>0.8</v>
          </cell>
          <cell r="HL228">
            <v>14774</v>
          </cell>
          <cell r="HM228">
            <v>1543</v>
          </cell>
          <cell r="HN228">
            <v>16400</v>
          </cell>
          <cell r="HO228">
            <v>3988</v>
          </cell>
          <cell r="HP228">
            <v>5156</v>
          </cell>
          <cell r="HQ228">
            <v>6191</v>
          </cell>
          <cell r="HR228">
            <v>4188</v>
          </cell>
          <cell r="HS228">
            <v>18973</v>
          </cell>
          <cell r="HT228">
            <v>2659</v>
          </cell>
          <cell r="HU228">
            <v>21364</v>
          </cell>
          <cell r="HV228">
            <v>7233</v>
          </cell>
          <cell r="HW228">
            <v>4977</v>
          </cell>
          <cell r="HX228">
            <v>4439</v>
          </cell>
          <cell r="HY228">
            <v>5293</v>
          </cell>
          <cell r="HZ228">
            <v>5525</v>
          </cell>
          <cell r="IA228">
            <v>27521</v>
          </cell>
          <cell r="IB228">
            <v>5485</v>
          </cell>
          <cell r="IC228">
            <v>344</v>
          </cell>
          <cell r="ID228">
            <v>3988</v>
          </cell>
          <cell r="IE228">
            <v>9799</v>
          </cell>
          <cell r="IF228">
            <v>6444</v>
          </cell>
          <cell r="IG228">
            <v>11799</v>
          </cell>
          <cell r="IH228">
            <v>16687</v>
          </cell>
          <cell r="II228">
            <v>34955</v>
          </cell>
          <cell r="IJ228">
            <v>16069</v>
          </cell>
          <cell r="IK228">
            <v>18899</v>
          </cell>
          <cell r="IL228">
            <v>9528</v>
          </cell>
          <cell r="IM228">
            <v>6123</v>
          </cell>
          <cell r="IN228">
            <v>2033</v>
          </cell>
          <cell r="IO228">
            <v>2882</v>
          </cell>
          <cell r="IP228">
            <v>9461</v>
          </cell>
          <cell r="IQ228">
            <v>20504</v>
          </cell>
        </row>
        <row r="229">
          <cell r="B229">
            <v>9108</v>
          </cell>
          <cell r="C229">
            <v>1538</v>
          </cell>
          <cell r="D229">
            <v>10644</v>
          </cell>
          <cell r="E229">
            <v>4086</v>
          </cell>
          <cell r="F229">
            <v>5337</v>
          </cell>
          <cell r="G229">
            <v>6461</v>
          </cell>
          <cell r="H229">
            <v>4007</v>
          </cell>
          <cell r="I229">
            <v>19353</v>
          </cell>
          <cell r="J229">
            <v>2653</v>
          </cell>
          <cell r="K229">
            <v>21745</v>
          </cell>
          <cell r="L229">
            <v>6686</v>
          </cell>
          <cell r="M229">
            <v>5058</v>
          </cell>
          <cell r="N229">
            <v>4175</v>
          </cell>
          <cell r="O229">
            <v>4995</v>
          </cell>
          <cell r="P229">
            <v>5323</v>
          </cell>
          <cell r="Q229">
            <v>26114</v>
          </cell>
          <cell r="R229">
            <v>5604</v>
          </cell>
          <cell r="S229">
            <v>385</v>
          </cell>
          <cell r="T229">
            <v>3918</v>
          </cell>
          <cell r="U229">
            <v>9909</v>
          </cell>
          <cell r="V229">
            <v>6335</v>
          </cell>
          <cell r="W229">
            <v>10956</v>
          </cell>
          <cell r="X229">
            <v>16558</v>
          </cell>
          <cell r="Y229">
            <v>33952</v>
          </cell>
          <cell r="Z229">
            <v>15634</v>
          </cell>
          <cell r="AA229">
            <v>17344</v>
          </cell>
          <cell r="AB229">
            <v>9279</v>
          </cell>
          <cell r="AC229">
            <v>5955</v>
          </cell>
          <cell r="AD229">
            <v>2004</v>
          </cell>
          <cell r="AE229">
            <v>2710</v>
          </cell>
          <cell r="AF229">
            <v>8756</v>
          </cell>
          <cell r="AG229">
            <v>19445</v>
          </cell>
          <cell r="AH229">
            <v>4770</v>
          </cell>
          <cell r="AI229">
            <v>4808</v>
          </cell>
          <cell r="AJ229">
            <v>9571</v>
          </cell>
          <cell r="AK229">
            <v>23638</v>
          </cell>
          <cell r="AL229">
            <v>9752</v>
          </cell>
          <cell r="AM229">
            <v>33386</v>
          </cell>
          <cell r="AN229">
            <v>1731</v>
          </cell>
          <cell r="AO229">
            <v>9564</v>
          </cell>
          <cell r="AP229">
            <v>11310</v>
          </cell>
          <cell r="AQ229">
            <v>5800</v>
          </cell>
          <cell r="AR229">
            <v>19840</v>
          </cell>
          <cell r="AS229">
            <v>25622</v>
          </cell>
          <cell r="AT229">
            <v>12799</v>
          </cell>
          <cell r="AU229">
            <v>21785</v>
          </cell>
          <cell r="AV229">
            <v>19261</v>
          </cell>
          <cell r="AW229">
            <v>25907</v>
          </cell>
          <cell r="AX229">
            <v>3269</v>
          </cell>
          <cell r="AY229">
            <v>7154</v>
          </cell>
          <cell r="AZ229">
            <v>34765</v>
          </cell>
          <cell r="BA229">
            <v>367932</v>
          </cell>
          <cell r="BB229">
            <v>27810</v>
          </cell>
          <cell r="BC229">
            <v>16</v>
          </cell>
          <cell r="BD229">
            <v>395750</v>
          </cell>
          <cell r="BE229">
            <v>-0.9</v>
          </cell>
          <cell r="BF229">
            <v>0</v>
          </cell>
          <cell r="BG229">
            <v>-0.7</v>
          </cell>
          <cell r="BH229">
            <v>2.8</v>
          </cell>
          <cell r="BI229">
            <v>3.8</v>
          </cell>
          <cell r="BJ229">
            <v>5.8</v>
          </cell>
          <cell r="BK229">
            <v>-1.9</v>
          </cell>
          <cell r="BL229">
            <v>3.3</v>
          </cell>
          <cell r="BM229">
            <v>1.6</v>
          </cell>
          <cell r="BN229">
            <v>3.1</v>
          </cell>
          <cell r="BO229">
            <v>1.1000000000000001</v>
          </cell>
          <cell r="BP229">
            <v>-0.1</v>
          </cell>
          <cell r="BQ229">
            <v>-1.2</v>
          </cell>
          <cell r="BR229">
            <v>-1.8</v>
          </cell>
          <cell r="BS229">
            <v>0.9</v>
          </cell>
          <cell r="BT229">
            <v>-0.2</v>
          </cell>
          <cell r="BU229">
            <v>-0.3</v>
          </cell>
          <cell r="BV229">
            <v>1.3</v>
          </cell>
          <cell r="BW229">
            <v>-0.5</v>
          </cell>
          <cell r="BX229">
            <v>-0.3</v>
          </cell>
          <cell r="BY229">
            <v>1.9</v>
          </cell>
          <cell r="BZ229">
            <v>-2</v>
          </cell>
          <cell r="CA229">
            <v>3</v>
          </cell>
          <cell r="CB229">
            <v>1.3</v>
          </cell>
          <cell r="CC229">
            <v>0.6</v>
          </cell>
          <cell r="CD229">
            <v>0.5</v>
          </cell>
          <cell r="CE229">
            <v>1.8</v>
          </cell>
          <cell r="CF229">
            <v>0.6</v>
          </cell>
          <cell r="CG229">
            <v>1.4</v>
          </cell>
          <cell r="CH229">
            <v>-2.1</v>
          </cell>
          <cell r="CI229">
            <v>-2.4</v>
          </cell>
          <cell r="CJ229">
            <v>-1.1000000000000001</v>
          </cell>
          <cell r="CK229">
            <v>1.8</v>
          </cell>
          <cell r="CL229">
            <v>1.3</v>
          </cell>
          <cell r="CM229">
            <v>1.5</v>
          </cell>
          <cell r="CN229">
            <v>1</v>
          </cell>
          <cell r="CO229">
            <v>0.4</v>
          </cell>
          <cell r="CP229">
            <v>0.8</v>
          </cell>
          <cell r="CQ229">
            <v>3.2</v>
          </cell>
          <cell r="CR229">
            <v>3.3</v>
          </cell>
          <cell r="CS229">
            <v>3.3</v>
          </cell>
          <cell r="CT229">
            <v>0.8</v>
          </cell>
          <cell r="CU229">
            <v>-1.1000000000000001</v>
          </cell>
          <cell r="CV229">
            <v>-0.5</v>
          </cell>
          <cell r="CW229">
            <v>1.5</v>
          </cell>
          <cell r="CX229">
            <v>-0.3</v>
          </cell>
          <cell r="CY229">
            <v>0.6</v>
          </cell>
          <cell r="CZ229">
            <v>1.7</v>
          </cell>
          <cell r="DA229">
            <v>-0.3</v>
          </cell>
          <cell r="DB229">
            <v>0.2</v>
          </cell>
          <cell r="DC229">
            <v>0.1</v>
          </cell>
          <cell r="DD229">
            <v>0.7</v>
          </cell>
          <cell r="DE229">
            <v>0.7</v>
          </cell>
          <cell r="DF229">
            <v>0.7</v>
          </cell>
          <cell r="DG229">
            <v>9130</v>
          </cell>
          <cell r="DH229">
            <v>1541</v>
          </cell>
          <cell r="DI229">
            <v>10669</v>
          </cell>
          <cell r="DJ229">
            <v>4168</v>
          </cell>
          <cell r="DK229">
            <v>5484</v>
          </cell>
          <cell r="DL229">
            <v>6353</v>
          </cell>
          <cell r="DM229">
            <v>4045</v>
          </cell>
          <cell r="DN229">
            <v>19533</v>
          </cell>
          <cell r="DO229">
            <v>2678</v>
          </cell>
          <cell r="DP229">
            <v>21946</v>
          </cell>
          <cell r="DQ229">
            <v>6517</v>
          </cell>
          <cell r="DR229">
            <v>5135</v>
          </cell>
          <cell r="DS229">
            <v>4052</v>
          </cell>
          <cell r="DT229">
            <v>5016</v>
          </cell>
          <cell r="DU229">
            <v>5131</v>
          </cell>
          <cell r="DV229">
            <v>25817</v>
          </cell>
          <cell r="DW229">
            <v>5591</v>
          </cell>
          <cell r="DX229">
            <v>387</v>
          </cell>
          <cell r="DY229">
            <v>3988</v>
          </cell>
          <cell r="DZ229">
            <v>9958</v>
          </cell>
          <cell r="EA229">
            <v>6362</v>
          </cell>
          <cell r="EB229">
            <v>10807</v>
          </cell>
          <cell r="EC229">
            <v>16791</v>
          </cell>
          <cell r="ED229">
            <v>34093</v>
          </cell>
          <cell r="EE229">
            <v>15656</v>
          </cell>
          <cell r="EF229">
            <v>17385</v>
          </cell>
          <cell r="EG229">
            <v>9215</v>
          </cell>
          <cell r="EH229">
            <v>5918</v>
          </cell>
          <cell r="EI229">
            <v>1988</v>
          </cell>
          <cell r="EJ229">
            <v>2684</v>
          </cell>
          <cell r="EK229">
            <v>8779</v>
          </cell>
          <cell r="EL229">
            <v>19385</v>
          </cell>
          <cell r="EM229">
            <v>4766</v>
          </cell>
          <cell r="EN229">
            <v>4782</v>
          </cell>
          <cell r="EO229">
            <v>9542</v>
          </cell>
          <cell r="EP229">
            <v>23613</v>
          </cell>
          <cell r="EQ229">
            <v>9926</v>
          </cell>
          <cell r="ER229">
            <v>33532</v>
          </cell>
          <cell r="ES229">
            <v>1746</v>
          </cell>
          <cell r="ET229">
            <v>9540</v>
          </cell>
          <cell r="EU229">
            <v>11305</v>
          </cell>
          <cell r="EV229">
            <v>5799</v>
          </cell>
          <cell r="EW229">
            <v>19716</v>
          </cell>
          <cell r="EX229">
            <v>25502</v>
          </cell>
          <cell r="EY229">
            <v>12869</v>
          </cell>
          <cell r="EZ229">
            <v>21609</v>
          </cell>
          <cell r="FA229">
            <v>19263</v>
          </cell>
          <cell r="FB229">
            <v>26003</v>
          </cell>
          <cell r="FC229">
            <v>3283</v>
          </cell>
          <cell r="FD229">
            <v>7067</v>
          </cell>
          <cell r="FE229">
            <v>34769</v>
          </cell>
          <cell r="FF229">
            <v>367816</v>
          </cell>
          <cell r="FG229">
            <v>27842</v>
          </cell>
          <cell r="FH229">
            <v>191</v>
          </cell>
          <cell r="FI229">
            <v>395834</v>
          </cell>
          <cell r="FJ229">
            <v>-2.2000000000000002</v>
          </cell>
          <cell r="FK229">
            <v>0</v>
          </cell>
          <cell r="FL229">
            <v>-1.9</v>
          </cell>
          <cell r="FM229">
            <v>5.7</v>
          </cell>
          <cell r="FN229">
            <v>9.1</v>
          </cell>
          <cell r="FO229">
            <v>4.4000000000000004</v>
          </cell>
          <cell r="FP229">
            <v>0</v>
          </cell>
          <cell r="FQ229">
            <v>5.5</v>
          </cell>
          <cell r="FR229">
            <v>2.5</v>
          </cell>
          <cell r="FS229">
            <v>5.2</v>
          </cell>
          <cell r="FT229">
            <v>-3.4</v>
          </cell>
          <cell r="FU229">
            <v>3.1</v>
          </cell>
          <cell r="FV229">
            <v>-5.6</v>
          </cell>
          <cell r="FW229">
            <v>-2.1</v>
          </cell>
          <cell r="FX229">
            <v>-2.6</v>
          </cell>
          <cell r="FY229">
            <v>-2.2999999999999998</v>
          </cell>
          <cell r="FZ229">
            <v>-0.8</v>
          </cell>
          <cell r="GA229">
            <v>0.4</v>
          </cell>
          <cell r="GB229">
            <v>1.4</v>
          </cell>
          <cell r="GC229">
            <v>0</v>
          </cell>
          <cell r="GD229">
            <v>3</v>
          </cell>
          <cell r="GE229">
            <v>-4.3</v>
          </cell>
          <cell r="GF229">
            <v>6.3</v>
          </cell>
          <cell r="GG229">
            <v>2.4</v>
          </cell>
          <cell r="GH229">
            <v>0.8</v>
          </cell>
          <cell r="GI229">
            <v>0.7</v>
          </cell>
          <cell r="GJ229">
            <v>1.5</v>
          </cell>
          <cell r="GK229">
            <v>-0.5</v>
          </cell>
          <cell r="GL229">
            <v>0.8</v>
          </cell>
          <cell r="GM229">
            <v>-5.0999999999999996</v>
          </cell>
          <cell r="GN229">
            <v>-2.4</v>
          </cell>
          <cell r="GO229">
            <v>-1.9</v>
          </cell>
          <cell r="GP229">
            <v>2.6</v>
          </cell>
          <cell r="GQ229">
            <v>1.3</v>
          </cell>
          <cell r="GR229">
            <v>1.9</v>
          </cell>
          <cell r="GS229">
            <v>0.7</v>
          </cell>
          <cell r="GT229">
            <v>2.4</v>
          </cell>
          <cell r="GU229">
            <v>1.2</v>
          </cell>
          <cell r="GV229">
            <v>3.8</v>
          </cell>
          <cell r="GW229">
            <v>2.5</v>
          </cell>
          <cell r="GX229">
            <v>2.8</v>
          </cell>
          <cell r="GY229">
            <v>2.8</v>
          </cell>
          <cell r="GZ229">
            <v>-2.9</v>
          </cell>
          <cell r="HA229">
            <v>-1.4</v>
          </cell>
          <cell r="HB229">
            <v>2.2000000000000002</v>
          </cell>
          <cell r="HC229">
            <v>-1.6</v>
          </cell>
          <cell r="HD229">
            <v>0.6</v>
          </cell>
          <cell r="HE229">
            <v>2.2000000000000002</v>
          </cell>
          <cell r="HF229">
            <v>1.6</v>
          </cell>
          <cell r="HG229">
            <v>-0.4</v>
          </cell>
          <cell r="HH229">
            <v>0.1</v>
          </cell>
          <cell r="HI229">
            <v>0.7</v>
          </cell>
          <cell r="HJ229">
            <v>0.7</v>
          </cell>
          <cell r="HK229">
            <v>0.7</v>
          </cell>
          <cell r="HL229">
            <v>8739</v>
          </cell>
          <cell r="HM229">
            <v>1541</v>
          </cell>
          <cell r="HN229">
            <v>10272</v>
          </cell>
          <cell r="HO229">
            <v>3959</v>
          </cell>
          <cell r="HP229">
            <v>5273</v>
          </cell>
          <cell r="HQ229">
            <v>5908</v>
          </cell>
          <cell r="HR229">
            <v>3844</v>
          </cell>
          <cell r="HS229">
            <v>18521</v>
          </cell>
          <cell r="HT229">
            <v>2544</v>
          </cell>
          <cell r="HU229">
            <v>20813</v>
          </cell>
          <cell r="HV229">
            <v>6323</v>
          </cell>
          <cell r="HW229">
            <v>5025</v>
          </cell>
          <cell r="HX229">
            <v>3761</v>
          </cell>
          <cell r="HY229">
            <v>4589</v>
          </cell>
          <cell r="HZ229">
            <v>4666</v>
          </cell>
          <cell r="IA229">
            <v>24285</v>
          </cell>
          <cell r="IB229">
            <v>5647</v>
          </cell>
          <cell r="IC229">
            <v>320</v>
          </cell>
          <cell r="ID229">
            <v>4075</v>
          </cell>
          <cell r="IE229">
            <v>10024</v>
          </cell>
          <cell r="IF229">
            <v>5770</v>
          </cell>
          <cell r="IG229">
            <v>10170</v>
          </cell>
          <cell r="IH229">
            <v>15389</v>
          </cell>
          <cell r="II229">
            <v>31431</v>
          </cell>
          <cell r="IJ229">
            <v>14872</v>
          </cell>
          <cell r="IK229">
            <v>16721</v>
          </cell>
          <cell r="IL229">
            <v>9021</v>
          </cell>
          <cell r="IM229">
            <v>5599</v>
          </cell>
          <cell r="IN229">
            <v>1934</v>
          </cell>
          <cell r="IO229">
            <v>2564</v>
          </cell>
          <cell r="IP229">
            <v>8489</v>
          </cell>
          <cell r="IQ229">
            <v>18590</v>
          </cell>
        </row>
        <row r="230">
          <cell r="B230">
            <v>8999</v>
          </cell>
          <cell r="C230">
            <v>1541</v>
          </cell>
          <cell r="D230">
            <v>10538</v>
          </cell>
          <cell r="E230">
            <v>4191</v>
          </cell>
          <cell r="F230">
            <v>5458</v>
          </cell>
          <cell r="G230">
            <v>6836</v>
          </cell>
          <cell r="H230">
            <v>3964</v>
          </cell>
          <cell r="I230">
            <v>19971</v>
          </cell>
          <cell r="J230">
            <v>2600</v>
          </cell>
          <cell r="K230">
            <v>22352</v>
          </cell>
          <cell r="L230">
            <v>6678</v>
          </cell>
          <cell r="M230">
            <v>5066</v>
          </cell>
          <cell r="N230">
            <v>4094</v>
          </cell>
          <cell r="O230">
            <v>4948</v>
          </cell>
          <cell r="P230">
            <v>5287</v>
          </cell>
          <cell r="Q230">
            <v>25980</v>
          </cell>
          <cell r="R230">
            <v>5591</v>
          </cell>
          <cell r="S230">
            <v>396</v>
          </cell>
          <cell r="T230">
            <v>3919</v>
          </cell>
          <cell r="U230">
            <v>9909</v>
          </cell>
          <cell r="V230">
            <v>6400</v>
          </cell>
          <cell r="W230">
            <v>10355</v>
          </cell>
          <cell r="X230">
            <v>17045</v>
          </cell>
          <cell r="Y230">
            <v>33938</v>
          </cell>
          <cell r="Z230">
            <v>15793</v>
          </cell>
          <cell r="AA230">
            <v>17443</v>
          </cell>
          <cell r="AB230">
            <v>9449</v>
          </cell>
          <cell r="AC230">
            <v>5994</v>
          </cell>
          <cell r="AD230">
            <v>2042</v>
          </cell>
          <cell r="AE230">
            <v>2677</v>
          </cell>
          <cell r="AF230">
            <v>8545</v>
          </cell>
          <cell r="AG230">
            <v>19277</v>
          </cell>
          <cell r="AH230">
            <v>4877</v>
          </cell>
          <cell r="AI230">
            <v>4877</v>
          </cell>
          <cell r="AJ230">
            <v>9743</v>
          </cell>
          <cell r="AK230">
            <v>23937</v>
          </cell>
          <cell r="AL230">
            <v>9737</v>
          </cell>
          <cell r="AM230">
            <v>33673</v>
          </cell>
          <cell r="AN230">
            <v>1724</v>
          </cell>
          <cell r="AO230">
            <v>9745</v>
          </cell>
          <cell r="AP230">
            <v>11481</v>
          </cell>
          <cell r="AQ230">
            <v>5943</v>
          </cell>
          <cell r="AR230">
            <v>19499</v>
          </cell>
          <cell r="AS230">
            <v>25454</v>
          </cell>
          <cell r="AT230">
            <v>12863</v>
          </cell>
          <cell r="AU230">
            <v>21753</v>
          </cell>
          <cell r="AV230">
            <v>19351</v>
          </cell>
          <cell r="AW230">
            <v>26304</v>
          </cell>
          <cell r="AX230">
            <v>3289</v>
          </cell>
          <cell r="AY230">
            <v>7199</v>
          </cell>
          <cell r="AZ230">
            <v>34781</v>
          </cell>
          <cell r="BA230">
            <v>370007</v>
          </cell>
          <cell r="BB230">
            <v>28027</v>
          </cell>
          <cell r="BC230">
            <v>-50</v>
          </cell>
          <cell r="BD230">
            <v>397973</v>
          </cell>
          <cell r="BE230">
            <v>-1.2</v>
          </cell>
          <cell r="BF230">
            <v>0.2</v>
          </cell>
          <cell r="BG230">
            <v>-1</v>
          </cell>
          <cell r="BH230">
            <v>2.6</v>
          </cell>
          <cell r="BI230">
            <v>2.2999999999999998</v>
          </cell>
          <cell r="BJ230">
            <v>5.8</v>
          </cell>
          <cell r="BK230">
            <v>-1.1000000000000001</v>
          </cell>
          <cell r="BL230">
            <v>3.2</v>
          </cell>
          <cell r="BM230">
            <v>-2</v>
          </cell>
          <cell r="BN230">
            <v>2.8</v>
          </cell>
          <cell r="BO230">
            <v>-0.1</v>
          </cell>
          <cell r="BP230">
            <v>0.2</v>
          </cell>
          <cell r="BQ230">
            <v>-1.9</v>
          </cell>
          <cell r="BR230">
            <v>-0.9</v>
          </cell>
          <cell r="BS230">
            <v>-0.7</v>
          </cell>
          <cell r="BT230">
            <v>-0.5</v>
          </cell>
          <cell r="BU230">
            <v>-0.2</v>
          </cell>
          <cell r="BV230">
            <v>2.9</v>
          </cell>
          <cell r="BW230">
            <v>0</v>
          </cell>
          <cell r="BX230">
            <v>0</v>
          </cell>
          <cell r="BY230">
            <v>1</v>
          </cell>
          <cell r="BZ230">
            <v>-5.5</v>
          </cell>
          <cell r="CA230">
            <v>2.9</v>
          </cell>
          <cell r="CB230">
            <v>0</v>
          </cell>
          <cell r="CC230">
            <v>1</v>
          </cell>
          <cell r="CD230">
            <v>0.6</v>
          </cell>
          <cell r="CE230">
            <v>1.8</v>
          </cell>
          <cell r="CF230">
            <v>0.6</v>
          </cell>
          <cell r="CG230">
            <v>1.9</v>
          </cell>
          <cell r="CH230">
            <v>-1.2</v>
          </cell>
          <cell r="CI230">
            <v>-2.4</v>
          </cell>
          <cell r="CJ230">
            <v>-0.9</v>
          </cell>
          <cell r="CK230">
            <v>2.2000000000000002</v>
          </cell>
          <cell r="CL230">
            <v>1.4</v>
          </cell>
          <cell r="CM230">
            <v>1.8</v>
          </cell>
          <cell r="CN230">
            <v>1.3</v>
          </cell>
          <cell r="CO230">
            <v>-0.2</v>
          </cell>
          <cell r="CP230">
            <v>0.9</v>
          </cell>
          <cell r="CQ230">
            <v>-0.4</v>
          </cell>
          <cell r="CR230">
            <v>1.9</v>
          </cell>
          <cell r="CS230">
            <v>1.5</v>
          </cell>
          <cell r="CT230">
            <v>2.5</v>
          </cell>
          <cell r="CU230">
            <v>-1.7</v>
          </cell>
          <cell r="CV230">
            <v>-0.7</v>
          </cell>
          <cell r="CW230">
            <v>0.5</v>
          </cell>
          <cell r="CX230">
            <v>-0.1</v>
          </cell>
          <cell r="CY230">
            <v>0.5</v>
          </cell>
          <cell r="CZ230">
            <v>1.5</v>
          </cell>
          <cell r="DA230">
            <v>0.6</v>
          </cell>
          <cell r="DB230">
            <v>0.6</v>
          </cell>
          <cell r="DC230">
            <v>0</v>
          </cell>
          <cell r="DD230">
            <v>0.6</v>
          </cell>
          <cell r="DE230">
            <v>0.8</v>
          </cell>
          <cell r="DF230">
            <v>0.6</v>
          </cell>
          <cell r="DG230">
            <v>9029</v>
          </cell>
          <cell r="DH230">
            <v>1535</v>
          </cell>
          <cell r="DI230">
            <v>10561</v>
          </cell>
          <cell r="DJ230">
            <v>4102</v>
          </cell>
          <cell r="DK230">
            <v>5388</v>
          </cell>
          <cell r="DL230">
            <v>6936</v>
          </cell>
          <cell r="DM230">
            <v>3913</v>
          </cell>
          <cell r="DN230">
            <v>19828</v>
          </cell>
          <cell r="DO230">
            <v>2618</v>
          </cell>
          <cell r="DP230">
            <v>22211</v>
          </cell>
          <cell r="DQ230">
            <v>6832</v>
          </cell>
          <cell r="DR230">
            <v>5051</v>
          </cell>
          <cell r="DS230">
            <v>4150</v>
          </cell>
          <cell r="DT230">
            <v>4865</v>
          </cell>
          <cell r="DU230">
            <v>5281</v>
          </cell>
          <cell r="DV230">
            <v>26177</v>
          </cell>
          <cell r="DW230">
            <v>5593</v>
          </cell>
          <cell r="DX230">
            <v>381</v>
          </cell>
          <cell r="DY230">
            <v>3849</v>
          </cell>
          <cell r="DZ230">
            <v>9833</v>
          </cell>
          <cell r="EA230">
            <v>6418</v>
          </cell>
          <cell r="EB230">
            <v>10654</v>
          </cell>
          <cell r="EC230">
            <v>17114</v>
          </cell>
          <cell r="ED230">
            <v>34349</v>
          </cell>
          <cell r="EE230">
            <v>15787</v>
          </cell>
          <cell r="EF230">
            <v>17410</v>
          </cell>
          <cell r="EG230">
            <v>9575</v>
          </cell>
          <cell r="EH230">
            <v>5987</v>
          </cell>
          <cell r="EI230">
            <v>2062</v>
          </cell>
          <cell r="EJ230">
            <v>2660</v>
          </cell>
          <cell r="EK230">
            <v>8419</v>
          </cell>
          <cell r="EL230">
            <v>19152</v>
          </cell>
          <cell r="EM230">
            <v>4918</v>
          </cell>
          <cell r="EN230">
            <v>4918</v>
          </cell>
          <cell r="EO230">
            <v>9832</v>
          </cell>
          <cell r="EP230">
            <v>23905</v>
          </cell>
          <cell r="EQ230">
            <v>9592</v>
          </cell>
          <cell r="ER230">
            <v>33500</v>
          </cell>
          <cell r="ES230">
            <v>1734</v>
          </cell>
          <cell r="ET230">
            <v>9818</v>
          </cell>
          <cell r="EU230">
            <v>11563</v>
          </cell>
          <cell r="EV230">
            <v>6000</v>
          </cell>
          <cell r="EW230">
            <v>19519</v>
          </cell>
          <cell r="EX230">
            <v>25548</v>
          </cell>
          <cell r="EY230">
            <v>12886</v>
          </cell>
          <cell r="EZ230">
            <v>21890</v>
          </cell>
          <cell r="FA230">
            <v>19367</v>
          </cell>
          <cell r="FB230">
            <v>26275</v>
          </cell>
          <cell r="FC230">
            <v>3274</v>
          </cell>
          <cell r="FD230">
            <v>7230</v>
          </cell>
          <cell r="FE230">
            <v>34795</v>
          </cell>
          <cell r="FF230">
            <v>370681</v>
          </cell>
          <cell r="FG230">
            <v>27943</v>
          </cell>
          <cell r="FH230">
            <v>-438</v>
          </cell>
          <cell r="FI230">
            <v>398187</v>
          </cell>
          <cell r="FJ230">
            <v>-1.1000000000000001</v>
          </cell>
          <cell r="FK230">
            <v>-0.4</v>
          </cell>
          <cell r="FL230">
            <v>-1</v>
          </cell>
          <cell r="FM230">
            <v>-1.6</v>
          </cell>
          <cell r="FN230">
            <v>-1.8</v>
          </cell>
          <cell r="FO230">
            <v>9.1999999999999993</v>
          </cell>
          <cell r="FP230">
            <v>-3.3</v>
          </cell>
          <cell r="FQ230">
            <v>1.5</v>
          </cell>
          <cell r="FR230">
            <v>-2.2000000000000002</v>
          </cell>
          <cell r="FS230">
            <v>1.2</v>
          </cell>
          <cell r="FT230">
            <v>4.8</v>
          </cell>
          <cell r="FU230">
            <v>-1.6</v>
          </cell>
          <cell r="FV230">
            <v>2.4</v>
          </cell>
          <cell r="FW230">
            <v>-3</v>
          </cell>
          <cell r="FX230">
            <v>2.9</v>
          </cell>
          <cell r="FY230">
            <v>1.4</v>
          </cell>
          <cell r="FZ230">
            <v>0</v>
          </cell>
          <cell r="GA230">
            <v>-1.7</v>
          </cell>
          <cell r="GB230">
            <v>-3.5</v>
          </cell>
          <cell r="GC230">
            <v>-1.3</v>
          </cell>
          <cell r="GD230">
            <v>0.9</v>
          </cell>
          <cell r="GE230">
            <v>-1.4</v>
          </cell>
          <cell r="GF230">
            <v>1.9</v>
          </cell>
          <cell r="GG230">
            <v>0.7</v>
          </cell>
          <cell r="GH230">
            <v>0.8</v>
          </cell>
          <cell r="GI230">
            <v>0.1</v>
          </cell>
          <cell r="GJ230">
            <v>3.9</v>
          </cell>
          <cell r="GK230">
            <v>1.2</v>
          </cell>
          <cell r="GL230">
            <v>3.7</v>
          </cell>
          <cell r="GM230">
            <v>-0.9</v>
          </cell>
          <cell r="GN230">
            <v>-4.0999999999999996</v>
          </cell>
          <cell r="GO230">
            <v>-1.2</v>
          </cell>
          <cell r="GP230">
            <v>3.2</v>
          </cell>
          <cell r="GQ230">
            <v>2.9</v>
          </cell>
          <cell r="GR230">
            <v>3</v>
          </cell>
          <cell r="GS230">
            <v>1.2</v>
          </cell>
          <cell r="GT230">
            <v>-3.4</v>
          </cell>
          <cell r="GU230">
            <v>-0.1</v>
          </cell>
          <cell r="GV230">
            <v>-0.7</v>
          </cell>
          <cell r="GW230">
            <v>2.9</v>
          </cell>
          <cell r="GX230">
            <v>2.2999999999999998</v>
          </cell>
          <cell r="GY230">
            <v>3.5</v>
          </cell>
          <cell r="GZ230">
            <v>-1</v>
          </cell>
          <cell r="HA230">
            <v>0.2</v>
          </cell>
          <cell r="HB230">
            <v>0.1</v>
          </cell>
          <cell r="HC230">
            <v>1.3</v>
          </cell>
          <cell r="HD230">
            <v>0.5</v>
          </cell>
          <cell r="HE230">
            <v>1</v>
          </cell>
          <cell r="HF230">
            <v>-0.3</v>
          </cell>
          <cell r="HG230">
            <v>2.2999999999999998</v>
          </cell>
          <cell r="HH230">
            <v>0.1</v>
          </cell>
          <cell r="HI230">
            <v>0.8</v>
          </cell>
          <cell r="HJ230">
            <v>0.4</v>
          </cell>
          <cell r="HK230">
            <v>0.6</v>
          </cell>
          <cell r="HL230">
            <v>7759</v>
          </cell>
          <cell r="HM230">
            <v>1530</v>
          </cell>
          <cell r="HN230">
            <v>9271</v>
          </cell>
          <cell r="HO230">
            <v>4161</v>
          </cell>
          <cell r="HP230">
            <v>5286</v>
          </cell>
          <cell r="HQ230">
            <v>7106</v>
          </cell>
          <cell r="HR230">
            <v>3924</v>
          </cell>
          <cell r="HS230">
            <v>19926</v>
          </cell>
          <cell r="HT230">
            <v>2694</v>
          </cell>
          <cell r="HU230">
            <v>22364</v>
          </cell>
          <cell r="HV230">
            <v>6653</v>
          </cell>
          <cell r="HW230">
            <v>4999</v>
          </cell>
          <cell r="HX230">
            <v>4180</v>
          </cell>
          <cell r="HY230">
            <v>4947</v>
          </cell>
          <cell r="HZ230">
            <v>5270</v>
          </cell>
          <cell r="IA230">
            <v>26053</v>
          </cell>
          <cell r="IB230">
            <v>5572</v>
          </cell>
          <cell r="IC230">
            <v>403</v>
          </cell>
          <cell r="ID230">
            <v>3800</v>
          </cell>
          <cell r="IE230">
            <v>9789</v>
          </cell>
          <cell r="IF230">
            <v>6474</v>
          </cell>
          <cell r="IG230">
            <v>10871</v>
          </cell>
          <cell r="IH230">
            <v>17371</v>
          </cell>
          <cell r="II230">
            <v>34875</v>
          </cell>
          <cell r="IJ230">
            <v>15917</v>
          </cell>
          <cell r="IK230">
            <v>16792</v>
          </cell>
          <cell r="IL230">
            <v>9264</v>
          </cell>
          <cell r="IM230">
            <v>6033</v>
          </cell>
          <cell r="IN230">
            <v>1976</v>
          </cell>
          <cell r="IO230">
            <v>2657</v>
          </cell>
          <cell r="IP230">
            <v>8325</v>
          </cell>
          <cell r="IQ230">
            <v>19029</v>
          </cell>
        </row>
        <row r="231">
          <cell r="B231">
            <v>8976</v>
          </cell>
          <cell r="C231">
            <v>1542</v>
          </cell>
          <cell r="D231">
            <v>10516</v>
          </cell>
          <cell r="E231">
            <v>4237</v>
          </cell>
          <cell r="F231">
            <v>5504</v>
          </cell>
          <cell r="G231">
            <v>7115</v>
          </cell>
          <cell r="H231">
            <v>3980</v>
          </cell>
          <cell r="I231">
            <v>20481</v>
          </cell>
          <cell r="J231">
            <v>2511</v>
          </cell>
          <cell r="K231">
            <v>22831</v>
          </cell>
          <cell r="L231">
            <v>6599</v>
          </cell>
          <cell r="M231">
            <v>5043</v>
          </cell>
          <cell r="N231">
            <v>4077</v>
          </cell>
          <cell r="O231">
            <v>4970</v>
          </cell>
          <cell r="P231">
            <v>5233</v>
          </cell>
          <cell r="Q231">
            <v>25897</v>
          </cell>
          <cell r="R231">
            <v>5587</v>
          </cell>
          <cell r="S231">
            <v>407</v>
          </cell>
          <cell r="T231">
            <v>3947</v>
          </cell>
          <cell r="U231">
            <v>9945</v>
          </cell>
          <cell r="V231">
            <v>6460</v>
          </cell>
          <cell r="W231">
            <v>9619</v>
          </cell>
          <cell r="X231">
            <v>17329</v>
          </cell>
          <cell r="Y231">
            <v>33516</v>
          </cell>
          <cell r="Z231">
            <v>15928</v>
          </cell>
          <cell r="AA231">
            <v>17590</v>
          </cell>
          <cell r="AB231">
            <v>9538</v>
          </cell>
          <cell r="AC231">
            <v>6028</v>
          </cell>
          <cell r="AD231">
            <v>2082</v>
          </cell>
          <cell r="AE231">
            <v>2710</v>
          </cell>
          <cell r="AF231">
            <v>8459</v>
          </cell>
          <cell r="AG231">
            <v>19288</v>
          </cell>
          <cell r="AH231">
            <v>4996</v>
          </cell>
          <cell r="AI231">
            <v>4935</v>
          </cell>
          <cell r="AJ231">
            <v>9921</v>
          </cell>
          <cell r="AK231">
            <v>24263</v>
          </cell>
          <cell r="AL231">
            <v>9756</v>
          </cell>
          <cell r="AM231">
            <v>34020</v>
          </cell>
          <cell r="AN231">
            <v>1681</v>
          </cell>
          <cell r="AO231">
            <v>9764</v>
          </cell>
          <cell r="AP231">
            <v>11453</v>
          </cell>
          <cell r="AQ231">
            <v>6127</v>
          </cell>
          <cell r="AR231">
            <v>19388</v>
          </cell>
          <cell r="AS231">
            <v>25535</v>
          </cell>
          <cell r="AT231">
            <v>12878</v>
          </cell>
          <cell r="AU231">
            <v>21830</v>
          </cell>
          <cell r="AV231">
            <v>19440</v>
          </cell>
          <cell r="AW231">
            <v>26662</v>
          </cell>
          <cell r="AX231">
            <v>3320</v>
          </cell>
          <cell r="AY231">
            <v>7259</v>
          </cell>
          <cell r="AZ231">
            <v>34805</v>
          </cell>
          <cell r="BA231">
            <v>371871</v>
          </cell>
          <cell r="BB231">
            <v>28145</v>
          </cell>
          <cell r="BC231">
            <v>86</v>
          </cell>
          <cell r="BD231">
            <v>400096</v>
          </cell>
          <cell r="BE231">
            <v>-0.3</v>
          </cell>
          <cell r="BF231">
            <v>0.1</v>
          </cell>
          <cell r="BG231">
            <v>-0.2</v>
          </cell>
          <cell r="BH231">
            <v>1.1000000000000001</v>
          </cell>
          <cell r="BI231">
            <v>0.8</v>
          </cell>
          <cell r="BJ231">
            <v>4.0999999999999996</v>
          </cell>
          <cell r="BK231">
            <v>0.4</v>
          </cell>
          <cell r="BL231">
            <v>2.6</v>
          </cell>
          <cell r="BM231">
            <v>-3.4</v>
          </cell>
          <cell r="BN231">
            <v>2.1</v>
          </cell>
          <cell r="BO231">
            <v>-1.2</v>
          </cell>
          <cell r="BP231">
            <v>-0.4</v>
          </cell>
          <cell r="BQ231">
            <v>-0.4</v>
          </cell>
          <cell r="BR231">
            <v>0.5</v>
          </cell>
          <cell r="BS231">
            <v>-1</v>
          </cell>
          <cell r="BT231">
            <v>-0.3</v>
          </cell>
          <cell r="BU231">
            <v>-0.1</v>
          </cell>
          <cell r="BV231">
            <v>2.8</v>
          </cell>
          <cell r="BW231">
            <v>0.7</v>
          </cell>
          <cell r="BX231">
            <v>0.4</v>
          </cell>
          <cell r="BY231">
            <v>0.9</v>
          </cell>
          <cell r="BZ231">
            <v>-7.1</v>
          </cell>
          <cell r="CA231">
            <v>1.7</v>
          </cell>
          <cell r="CB231">
            <v>-1.2</v>
          </cell>
          <cell r="CC231">
            <v>0.9</v>
          </cell>
          <cell r="CD231">
            <v>0.8</v>
          </cell>
          <cell r="CE231">
            <v>0.9</v>
          </cell>
          <cell r="CF231">
            <v>0.6</v>
          </cell>
          <cell r="CG231">
            <v>1.9</v>
          </cell>
          <cell r="CH231">
            <v>1.2</v>
          </cell>
          <cell r="CI231">
            <v>-1</v>
          </cell>
          <cell r="CJ231">
            <v>0.1</v>
          </cell>
          <cell r="CK231">
            <v>2.4</v>
          </cell>
          <cell r="CL231">
            <v>1.2</v>
          </cell>
          <cell r="CM231">
            <v>1.8</v>
          </cell>
          <cell r="CN231">
            <v>1.4</v>
          </cell>
          <cell r="CO231">
            <v>0.2</v>
          </cell>
          <cell r="CP231">
            <v>1</v>
          </cell>
          <cell r="CQ231">
            <v>-2.5</v>
          </cell>
          <cell r="CR231">
            <v>0.2</v>
          </cell>
          <cell r="CS231">
            <v>-0.2</v>
          </cell>
          <cell r="CT231">
            <v>3.1</v>
          </cell>
          <cell r="CU231">
            <v>-0.6</v>
          </cell>
          <cell r="CV231">
            <v>0.3</v>
          </cell>
          <cell r="CW231">
            <v>0.1</v>
          </cell>
          <cell r="CX231">
            <v>0.4</v>
          </cell>
          <cell r="CY231">
            <v>0.5</v>
          </cell>
          <cell r="CZ231">
            <v>1.4</v>
          </cell>
          <cell r="DA231">
            <v>1</v>
          </cell>
          <cell r="DB231">
            <v>0.8</v>
          </cell>
          <cell r="DC231">
            <v>0.1</v>
          </cell>
          <cell r="DD231">
            <v>0.5</v>
          </cell>
          <cell r="DE231">
            <v>0.4</v>
          </cell>
          <cell r="DF231">
            <v>0.5</v>
          </cell>
          <cell r="DG231">
            <v>8837</v>
          </cell>
          <cell r="DH231">
            <v>1549</v>
          </cell>
          <cell r="DI231">
            <v>10382</v>
          </cell>
          <cell r="DJ231">
            <v>4331</v>
          </cell>
          <cell r="DK231">
            <v>5514</v>
          </cell>
          <cell r="DL231">
            <v>7171</v>
          </cell>
          <cell r="DM231">
            <v>3987</v>
          </cell>
          <cell r="DN231">
            <v>20618</v>
          </cell>
          <cell r="DO231">
            <v>2463</v>
          </cell>
          <cell r="DP231">
            <v>22945</v>
          </cell>
          <cell r="DQ231">
            <v>6564</v>
          </cell>
          <cell r="DR231">
            <v>4994</v>
          </cell>
          <cell r="DS231">
            <v>4093</v>
          </cell>
          <cell r="DT231">
            <v>4977</v>
          </cell>
          <cell r="DU231">
            <v>5204</v>
          </cell>
          <cell r="DV231">
            <v>25826</v>
          </cell>
          <cell r="DW231">
            <v>5600</v>
          </cell>
          <cell r="DX231">
            <v>419</v>
          </cell>
          <cell r="DY231">
            <v>3948</v>
          </cell>
          <cell r="DZ231">
            <v>9972</v>
          </cell>
          <cell r="EA231">
            <v>6439</v>
          </cell>
          <cell r="EB231">
            <v>9279</v>
          </cell>
          <cell r="EC231">
            <v>17186</v>
          </cell>
          <cell r="ED231">
            <v>33001</v>
          </cell>
          <cell r="EE231">
            <v>15948</v>
          </cell>
          <cell r="EF231">
            <v>17574</v>
          </cell>
          <cell r="EG231">
            <v>9534</v>
          </cell>
          <cell r="EH231">
            <v>6063</v>
          </cell>
          <cell r="EI231">
            <v>2079</v>
          </cell>
          <cell r="EJ231">
            <v>2730</v>
          </cell>
          <cell r="EK231">
            <v>8540</v>
          </cell>
          <cell r="EL231">
            <v>19420</v>
          </cell>
          <cell r="EM231">
            <v>4969</v>
          </cell>
          <cell r="EN231">
            <v>4964</v>
          </cell>
          <cell r="EO231">
            <v>9903</v>
          </cell>
          <cell r="EP231">
            <v>24320</v>
          </cell>
          <cell r="EQ231">
            <v>9739</v>
          </cell>
          <cell r="ER231">
            <v>34060</v>
          </cell>
          <cell r="ES231">
            <v>1690</v>
          </cell>
          <cell r="ET231">
            <v>9801</v>
          </cell>
          <cell r="EU231">
            <v>11499</v>
          </cell>
          <cell r="EV231">
            <v>6078</v>
          </cell>
          <cell r="EW231">
            <v>19402</v>
          </cell>
          <cell r="EX231">
            <v>25493</v>
          </cell>
          <cell r="EY231">
            <v>12807</v>
          </cell>
          <cell r="EZ231">
            <v>21659</v>
          </cell>
          <cell r="FA231">
            <v>19421</v>
          </cell>
          <cell r="FB231">
            <v>26592</v>
          </cell>
          <cell r="FC231">
            <v>3321</v>
          </cell>
          <cell r="FD231">
            <v>7386</v>
          </cell>
          <cell r="FE231">
            <v>34796</v>
          </cell>
          <cell r="FF231">
            <v>371454</v>
          </cell>
          <cell r="FG231">
            <v>28220</v>
          </cell>
          <cell r="FH231">
            <v>337</v>
          </cell>
          <cell r="FI231">
            <v>399997</v>
          </cell>
          <cell r="FJ231">
            <v>-2.1</v>
          </cell>
          <cell r="FK231">
            <v>0.9</v>
          </cell>
          <cell r="FL231">
            <v>-1.7</v>
          </cell>
          <cell r="FM231">
            <v>5.6</v>
          </cell>
          <cell r="FN231">
            <v>2.2999999999999998</v>
          </cell>
          <cell r="FO231">
            <v>3.4</v>
          </cell>
          <cell r="FP231">
            <v>1.9</v>
          </cell>
          <cell r="FQ231">
            <v>4</v>
          </cell>
          <cell r="FR231">
            <v>-5.9</v>
          </cell>
          <cell r="FS231">
            <v>3.3</v>
          </cell>
          <cell r="FT231">
            <v>-3.9</v>
          </cell>
          <cell r="FU231">
            <v>-1.1000000000000001</v>
          </cell>
          <cell r="FV231">
            <v>-1.4</v>
          </cell>
          <cell r="FW231">
            <v>2.2999999999999998</v>
          </cell>
          <cell r="FX231">
            <v>-1.5</v>
          </cell>
          <cell r="FY231">
            <v>-1.3</v>
          </cell>
          <cell r="FZ231">
            <v>0.1</v>
          </cell>
          <cell r="GA231">
            <v>10</v>
          </cell>
          <cell r="GB231">
            <v>2.6</v>
          </cell>
          <cell r="GC231">
            <v>1.4</v>
          </cell>
          <cell r="GD231">
            <v>0.3</v>
          </cell>
          <cell r="GE231">
            <v>-12.9</v>
          </cell>
          <cell r="GF231">
            <v>0.4</v>
          </cell>
          <cell r="GG231">
            <v>-3.9</v>
          </cell>
          <cell r="GH231">
            <v>1</v>
          </cell>
          <cell r="GI231">
            <v>0.9</v>
          </cell>
          <cell r="GJ231">
            <v>-0.4</v>
          </cell>
          <cell r="GK231">
            <v>1.3</v>
          </cell>
          <cell r="GL231">
            <v>0.8</v>
          </cell>
          <cell r="GM231">
            <v>2.6</v>
          </cell>
          <cell r="GN231">
            <v>1.4</v>
          </cell>
          <cell r="GO231">
            <v>1.4</v>
          </cell>
          <cell r="GP231">
            <v>1</v>
          </cell>
          <cell r="GQ231">
            <v>0.9</v>
          </cell>
          <cell r="GR231">
            <v>0.7</v>
          </cell>
          <cell r="GS231">
            <v>1.7</v>
          </cell>
          <cell r="GT231">
            <v>1.5</v>
          </cell>
          <cell r="GU231">
            <v>1.7</v>
          </cell>
          <cell r="GV231">
            <v>-2.5</v>
          </cell>
          <cell r="GW231">
            <v>-0.2</v>
          </cell>
          <cell r="GX231">
            <v>-0.5</v>
          </cell>
          <cell r="GY231">
            <v>1.3</v>
          </cell>
          <cell r="GZ231">
            <v>-0.6</v>
          </cell>
          <cell r="HA231">
            <v>-0.2</v>
          </cell>
          <cell r="HB231">
            <v>-0.6</v>
          </cell>
          <cell r="HC231">
            <v>-1.1000000000000001</v>
          </cell>
          <cell r="HD231">
            <v>0.3</v>
          </cell>
          <cell r="HE231">
            <v>1.2</v>
          </cell>
          <cell r="HF231">
            <v>1.5</v>
          </cell>
          <cell r="HG231">
            <v>2.2000000000000002</v>
          </cell>
          <cell r="HH231">
            <v>0</v>
          </cell>
          <cell r="HI231">
            <v>0.2</v>
          </cell>
          <cell r="HJ231">
            <v>1</v>
          </cell>
          <cell r="HK231">
            <v>0.5</v>
          </cell>
          <cell r="HL231">
            <v>5331</v>
          </cell>
          <cell r="HM231">
            <v>1551</v>
          </cell>
          <cell r="HN231">
            <v>6876</v>
          </cell>
          <cell r="HO231">
            <v>4453</v>
          </cell>
          <cell r="HP231">
            <v>5732</v>
          </cell>
          <cell r="HQ231">
            <v>7378</v>
          </cell>
          <cell r="HR231">
            <v>4031</v>
          </cell>
          <cell r="HS231">
            <v>21154</v>
          </cell>
          <cell r="HT231">
            <v>2466</v>
          </cell>
          <cell r="HU231">
            <v>23502</v>
          </cell>
          <cell r="HV231">
            <v>6418</v>
          </cell>
          <cell r="HW231">
            <v>5133</v>
          </cell>
          <cell r="HX231">
            <v>4198</v>
          </cell>
          <cell r="HY231">
            <v>5166</v>
          </cell>
          <cell r="HZ231">
            <v>5441</v>
          </cell>
          <cell r="IA231">
            <v>26344</v>
          </cell>
          <cell r="IB231">
            <v>5722</v>
          </cell>
          <cell r="IC231">
            <v>515</v>
          </cell>
          <cell r="ID231">
            <v>3836</v>
          </cell>
          <cell r="IE231">
            <v>10102</v>
          </cell>
          <cell r="IF231">
            <v>6700</v>
          </cell>
          <cell r="IG231">
            <v>9261</v>
          </cell>
          <cell r="IH231">
            <v>17456</v>
          </cell>
          <cell r="II231">
            <v>33503</v>
          </cell>
          <cell r="IJ231">
            <v>16036</v>
          </cell>
          <cell r="IK231">
            <v>17182</v>
          </cell>
          <cell r="IL231">
            <v>9583</v>
          </cell>
          <cell r="IM231">
            <v>6175</v>
          </cell>
          <cell r="IN231">
            <v>2164</v>
          </cell>
          <cell r="IO231">
            <v>2798</v>
          </cell>
          <cell r="IP231">
            <v>8483</v>
          </cell>
          <cell r="IQ231">
            <v>19622</v>
          </cell>
        </row>
        <row r="232">
          <cell r="B232">
            <v>9210</v>
          </cell>
          <cell r="C232">
            <v>1548</v>
          </cell>
          <cell r="D232">
            <v>10754</v>
          </cell>
          <cell r="E232">
            <v>4240</v>
          </cell>
          <cell r="F232">
            <v>5427</v>
          </cell>
          <cell r="G232">
            <v>7237</v>
          </cell>
          <cell r="H232">
            <v>3983</v>
          </cell>
          <cell r="I232">
            <v>20668</v>
          </cell>
          <cell r="J232">
            <v>2416</v>
          </cell>
          <cell r="K232">
            <v>22976</v>
          </cell>
          <cell r="L232">
            <v>6509</v>
          </cell>
          <cell r="M232">
            <v>4963</v>
          </cell>
          <cell r="N232">
            <v>4076</v>
          </cell>
          <cell r="O232">
            <v>4993</v>
          </cell>
          <cell r="P232">
            <v>5279</v>
          </cell>
          <cell r="Q232">
            <v>25849</v>
          </cell>
          <cell r="R232">
            <v>5599</v>
          </cell>
          <cell r="S232">
            <v>411</v>
          </cell>
          <cell r="T232">
            <v>4008</v>
          </cell>
          <cell r="U232">
            <v>10019</v>
          </cell>
          <cell r="V232">
            <v>6515</v>
          </cell>
          <cell r="W232">
            <v>8962</v>
          </cell>
          <cell r="X232">
            <v>17444</v>
          </cell>
          <cell r="Y232">
            <v>32958</v>
          </cell>
          <cell r="Z232">
            <v>16050</v>
          </cell>
          <cell r="AA232">
            <v>17789</v>
          </cell>
          <cell r="AB232">
            <v>9575</v>
          </cell>
          <cell r="AC232">
            <v>6029</v>
          </cell>
          <cell r="AD232">
            <v>2114</v>
          </cell>
          <cell r="AE232">
            <v>2820</v>
          </cell>
          <cell r="AF232">
            <v>8511</v>
          </cell>
          <cell r="AG232">
            <v>19470</v>
          </cell>
          <cell r="AH232">
            <v>5113</v>
          </cell>
          <cell r="AI232">
            <v>5007</v>
          </cell>
          <cell r="AJ232">
            <v>10120</v>
          </cell>
          <cell r="AK232">
            <v>24568</v>
          </cell>
          <cell r="AL232">
            <v>9851</v>
          </cell>
          <cell r="AM232">
            <v>34421</v>
          </cell>
          <cell r="AN232">
            <v>1660</v>
          </cell>
          <cell r="AO232">
            <v>9752</v>
          </cell>
          <cell r="AP232">
            <v>11417</v>
          </cell>
          <cell r="AQ232">
            <v>6301</v>
          </cell>
          <cell r="AR232">
            <v>19638</v>
          </cell>
          <cell r="AS232">
            <v>25945</v>
          </cell>
          <cell r="AT232">
            <v>12959</v>
          </cell>
          <cell r="AU232">
            <v>21963</v>
          </cell>
          <cell r="AV232">
            <v>19549</v>
          </cell>
          <cell r="AW232">
            <v>26998</v>
          </cell>
          <cell r="AX232">
            <v>3326</v>
          </cell>
          <cell r="AY232">
            <v>7291</v>
          </cell>
          <cell r="AZ232">
            <v>34873</v>
          </cell>
          <cell r="BA232">
            <v>374040</v>
          </cell>
          <cell r="BB232">
            <v>28131</v>
          </cell>
          <cell r="BC232">
            <v>128</v>
          </cell>
          <cell r="BD232">
            <v>402305</v>
          </cell>
          <cell r="BE232">
            <v>2.6</v>
          </cell>
          <cell r="BF232">
            <v>0.3</v>
          </cell>
          <cell r="BG232">
            <v>2.2999999999999998</v>
          </cell>
          <cell r="BH232">
            <v>0.1</v>
          </cell>
          <cell r="BI232">
            <v>-1.4</v>
          </cell>
          <cell r="BJ232">
            <v>1.7</v>
          </cell>
          <cell r="BK232">
            <v>0.1</v>
          </cell>
          <cell r="BL232">
            <v>0.9</v>
          </cell>
          <cell r="BM232">
            <v>-3.8</v>
          </cell>
          <cell r="BN232">
            <v>0.6</v>
          </cell>
          <cell r="BO232">
            <v>-1.4</v>
          </cell>
          <cell r="BP232">
            <v>-1.6</v>
          </cell>
          <cell r="BQ232">
            <v>0</v>
          </cell>
          <cell r="BR232">
            <v>0.5</v>
          </cell>
          <cell r="BS232">
            <v>0.9</v>
          </cell>
          <cell r="BT232">
            <v>-0.2</v>
          </cell>
          <cell r="BU232">
            <v>0.2</v>
          </cell>
          <cell r="BV232">
            <v>1</v>
          </cell>
          <cell r="BW232">
            <v>1.6</v>
          </cell>
          <cell r="BX232">
            <v>0.7</v>
          </cell>
          <cell r="BY232">
            <v>0.9</v>
          </cell>
          <cell r="BZ232">
            <v>-6.8</v>
          </cell>
          <cell r="CA232">
            <v>0.7</v>
          </cell>
          <cell r="CB232">
            <v>-1.7</v>
          </cell>
          <cell r="CC232">
            <v>0.8</v>
          </cell>
          <cell r="CD232">
            <v>1.1000000000000001</v>
          </cell>
          <cell r="CE232">
            <v>0.4</v>
          </cell>
          <cell r="CF232">
            <v>0</v>
          </cell>
          <cell r="CG232">
            <v>1.5</v>
          </cell>
          <cell r="CH232">
            <v>4.0999999999999996</v>
          </cell>
          <cell r="CI232">
            <v>0.6</v>
          </cell>
          <cell r="CJ232">
            <v>0.9</v>
          </cell>
          <cell r="CK232">
            <v>2.2999999999999998</v>
          </cell>
          <cell r="CL232">
            <v>1.5</v>
          </cell>
          <cell r="CM232">
            <v>2</v>
          </cell>
          <cell r="CN232">
            <v>1.3</v>
          </cell>
          <cell r="CO232">
            <v>1</v>
          </cell>
          <cell r="CP232">
            <v>1.2</v>
          </cell>
          <cell r="CQ232">
            <v>-1.3</v>
          </cell>
          <cell r="CR232">
            <v>-0.1</v>
          </cell>
          <cell r="CS232">
            <v>-0.3</v>
          </cell>
          <cell r="CT232">
            <v>2.8</v>
          </cell>
          <cell r="CU232">
            <v>1.3</v>
          </cell>
          <cell r="CV232">
            <v>1.6</v>
          </cell>
          <cell r="CW232">
            <v>0.6</v>
          </cell>
          <cell r="CX232">
            <v>0.6</v>
          </cell>
          <cell r="CY232">
            <v>0.6</v>
          </cell>
          <cell r="CZ232">
            <v>1.3</v>
          </cell>
          <cell r="DA232">
            <v>0.2</v>
          </cell>
          <cell r="DB232">
            <v>0.4</v>
          </cell>
          <cell r="DC232">
            <v>0.2</v>
          </cell>
          <cell r="DD232">
            <v>0.6</v>
          </cell>
          <cell r="DE232">
            <v>0</v>
          </cell>
          <cell r="DF232">
            <v>0.6</v>
          </cell>
          <cell r="DG232">
            <v>9106</v>
          </cell>
          <cell r="DH232">
            <v>1545</v>
          </cell>
          <cell r="DI232">
            <v>10648</v>
          </cell>
          <cell r="DJ232">
            <v>4190</v>
          </cell>
          <cell r="DK232">
            <v>5459</v>
          </cell>
          <cell r="DL232">
            <v>7179</v>
          </cell>
          <cell r="DM232">
            <v>4017</v>
          </cell>
          <cell r="DN232">
            <v>20679</v>
          </cell>
          <cell r="DO232">
            <v>2428</v>
          </cell>
          <cell r="DP232">
            <v>22993</v>
          </cell>
          <cell r="DQ232">
            <v>6482</v>
          </cell>
          <cell r="DR232">
            <v>5066</v>
          </cell>
          <cell r="DS232">
            <v>3997</v>
          </cell>
          <cell r="DT232">
            <v>5066</v>
          </cell>
          <cell r="DU232">
            <v>5204</v>
          </cell>
          <cell r="DV232">
            <v>25803</v>
          </cell>
          <cell r="DW232">
            <v>5571</v>
          </cell>
          <cell r="DX232">
            <v>418</v>
          </cell>
          <cell r="DY232">
            <v>4041</v>
          </cell>
          <cell r="DZ232">
            <v>10028</v>
          </cell>
          <cell r="EA232">
            <v>6462</v>
          </cell>
          <cell r="EB232">
            <v>9157</v>
          </cell>
          <cell r="EC232">
            <v>17538</v>
          </cell>
          <cell r="ED232">
            <v>33196</v>
          </cell>
          <cell r="EE232">
            <v>16054</v>
          </cell>
          <cell r="EF232">
            <v>17803</v>
          </cell>
          <cell r="EG232">
            <v>9504</v>
          </cell>
          <cell r="EH232">
            <v>6046</v>
          </cell>
          <cell r="EI232">
            <v>2114</v>
          </cell>
          <cell r="EJ232">
            <v>2765</v>
          </cell>
          <cell r="EK232">
            <v>8486</v>
          </cell>
          <cell r="EL232">
            <v>19403</v>
          </cell>
          <cell r="EM232">
            <v>5091</v>
          </cell>
          <cell r="EN232">
            <v>4930</v>
          </cell>
          <cell r="EO232">
            <v>10029</v>
          </cell>
          <cell r="EP232">
            <v>24536</v>
          </cell>
          <cell r="EQ232">
            <v>9898</v>
          </cell>
          <cell r="ER232">
            <v>34435</v>
          </cell>
          <cell r="ES232">
            <v>1608</v>
          </cell>
          <cell r="ET232">
            <v>9680</v>
          </cell>
          <cell r="EU232">
            <v>11291</v>
          </cell>
          <cell r="EV232">
            <v>6318</v>
          </cell>
          <cell r="EW232">
            <v>19337</v>
          </cell>
          <cell r="EX232">
            <v>25666</v>
          </cell>
          <cell r="EY232">
            <v>12956</v>
          </cell>
          <cell r="EZ232">
            <v>22117</v>
          </cell>
          <cell r="FA232">
            <v>19549</v>
          </cell>
          <cell r="FB232">
            <v>27115</v>
          </cell>
          <cell r="FC232">
            <v>3362</v>
          </cell>
          <cell r="FD232">
            <v>7104</v>
          </cell>
          <cell r="FE232">
            <v>34867</v>
          </cell>
          <cell r="FF232">
            <v>373492</v>
          </cell>
          <cell r="FG232">
            <v>28225</v>
          </cell>
          <cell r="FH232">
            <v>9</v>
          </cell>
          <cell r="FI232">
            <v>401723</v>
          </cell>
          <cell r="FJ232">
            <v>3.1</v>
          </cell>
          <cell r="FK232">
            <v>-0.3</v>
          </cell>
          <cell r="FL232">
            <v>2.6</v>
          </cell>
          <cell r="FM232">
            <v>-3.3</v>
          </cell>
          <cell r="FN232">
            <v>-1</v>
          </cell>
          <cell r="FO232">
            <v>0.1</v>
          </cell>
          <cell r="FP232">
            <v>0.8</v>
          </cell>
          <cell r="FQ232">
            <v>0.3</v>
          </cell>
          <cell r="FR232">
            <v>-1.4</v>
          </cell>
          <cell r="FS232">
            <v>0.2</v>
          </cell>
          <cell r="FT232">
            <v>-1.2</v>
          </cell>
          <cell r="FU232">
            <v>1.5</v>
          </cell>
          <cell r="FV232">
            <v>-2.2999999999999998</v>
          </cell>
          <cell r="FW232">
            <v>1.8</v>
          </cell>
          <cell r="FX232">
            <v>0</v>
          </cell>
          <cell r="FY232">
            <v>-0.1</v>
          </cell>
          <cell r="FZ232">
            <v>-0.5</v>
          </cell>
          <cell r="GA232">
            <v>-0.2</v>
          </cell>
          <cell r="GB232">
            <v>2.4</v>
          </cell>
          <cell r="GC232">
            <v>0.6</v>
          </cell>
          <cell r="GD232">
            <v>0.4</v>
          </cell>
          <cell r="GE232">
            <v>-1.3</v>
          </cell>
          <cell r="GF232">
            <v>2</v>
          </cell>
          <cell r="GG232">
            <v>0.6</v>
          </cell>
          <cell r="GH232">
            <v>0.7</v>
          </cell>
          <cell r="GI232">
            <v>1.3</v>
          </cell>
          <cell r="GJ232">
            <v>-0.3</v>
          </cell>
          <cell r="GK232">
            <v>-0.3</v>
          </cell>
          <cell r="GL232">
            <v>1.7</v>
          </cell>
          <cell r="GM232">
            <v>1.3</v>
          </cell>
          <cell r="GN232">
            <v>-0.6</v>
          </cell>
          <cell r="GO232">
            <v>-0.1</v>
          </cell>
          <cell r="GP232">
            <v>2.5</v>
          </cell>
          <cell r="GQ232">
            <v>-0.7</v>
          </cell>
          <cell r="GR232">
            <v>1.3</v>
          </cell>
          <cell r="GS232">
            <v>0.9</v>
          </cell>
          <cell r="GT232">
            <v>1.6</v>
          </cell>
          <cell r="GU232">
            <v>1.1000000000000001</v>
          </cell>
          <cell r="GV232">
            <v>-4.9000000000000004</v>
          </cell>
          <cell r="GW232">
            <v>-1.2</v>
          </cell>
          <cell r="GX232">
            <v>-1.8</v>
          </cell>
          <cell r="GY232">
            <v>4</v>
          </cell>
          <cell r="GZ232">
            <v>-0.3</v>
          </cell>
          <cell r="HA232">
            <v>0.7</v>
          </cell>
          <cell r="HB232">
            <v>1.2</v>
          </cell>
          <cell r="HC232">
            <v>2.1</v>
          </cell>
          <cell r="HD232">
            <v>0.7</v>
          </cell>
          <cell r="HE232">
            <v>2</v>
          </cell>
          <cell r="HF232">
            <v>1.2</v>
          </cell>
          <cell r="HG232">
            <v>-3.8</v>
          </cell>
          <cell r="HH232">
            <v>0.2</v>
          </cell>
          <cell r="HI232">
            <v>0.5</v>
          </cell>
          <cell r="HJ232">
            <v>0</v>
          </cell>
          <cell r="HK232">
            <v>0.4</v>
          </cell>
          <cell r="HL232">
            <v>14765</v>
          </cell>
          <cell r="HM232">
            <v>1547</v>
          </cell>
          <cell r="HN232">
            <v>16304</v>
          </cell>
          <cell r="HO232">
            <v>4210</v>
          </cell>
          <cell r="HP232">
            <v>5564</v>
          </cell>
          <cell r="HQ232">
            <v>7292</v>
          </cell>
          <cell r="HR232">
            <v>4157</v>
          </cell>
          <cell r="HS232">
            <v>21131</v>
          </cell>
          <cell r="HT232">
            <v>2462</v>
          </cell>
          <cell r="HU232">
            <v>23483</v>
          </cell>
          <cell r="HV232">
            <v>6981</v>
          </cell>
          <cell r="HW232">
            <v>5088</v>
          </cell>
          <cell r="HX232">
            <v>4144</v>
          </cell>
          <cell r="HY232">
            <v>5230</v>
          </cell>
          <cell r="HZ232">
            <v>5446</v>
          </cell>
          <cell r="IA232">
            <v>26898</v>
          </cell>
          <cell r="IB232">
            <v>5423</v>
          </cell>
          <cell r="IC232">
            <v>369</v>
          </cell>
          <cell r="ID232">
            <v>4118</v>
          </cell>
          <cell r="IE232">
            <v>9894</v>
          </cell>
          <cell r="IF232">
            <v>6740</v>
          </cell>
          <cell r="IG232">
            <v>9496</v>
          </cell>
          <cell r="IH232">
            <v>18493</v>
          </cell>
          <cell r="II232">
            <v>34764</v>
          </cell>
          <cell r="IJ232">
            <v>16641</v>
          </cell>
          <cell r="IK232">
            <v>19518</v>
          </cell>
          <cell r="IL232">
            <v>9953</v>
          </cell>
          <cell r="IM232">
            <v>6228</v>
          </cell>
          <cell r="IN232">
            <v>2180</v>
          </cell>
          <cell r="IO232">
            <v>2823</v>
          </cell>
          <cell r="IP232">
            <v>8912</v>
          </cell>
          <cell r="IQ232">
            <v>20142</v>
          </cell>
        </row>
        <row r="233">
          <cell r="B233">
            <v>9399</v>
          </cell>
          <cell r="C233">
            <v>1555</v>
          </cell>
          <cell r="D233">
            <v>10951</v>
          </cell>
          <cell r="E233">
            <v>4226</v>
          </cell>
          <cell r="F233">
            <v>5352</v>
          </cell>
          <cell r="G233">
            <v>7342</v>
          </cell>
          <cell r="H233">
            <v>4009</v>
          </cell>
          <cell r="I233">
            <v>20847</v>
          </cell>
          <cell r="J233">
            <v>2302</v>
          </cell>
          <cell r="K233">
            <v>23083</v>
          </cell>
          <cell r="L233">
            <v>6440</v>
          </cell>
          <cell r="M233">
            <v>4912</v>
          </cell>
          <cell r="N233">
            <v>4070</v>
          </cell>
          <cell r="O233">
            <v>4971</v>
          </cell>
          <cell r="P233">
            <v>5394</v>
          </cell>
          <cell r="Q233">
            <v>25780</v>
          </cell>
          <cell r="R233">
            <v>5622</v>
          </cell>
          <cell r="S233">
            <v>406</v>
          </cell>
          <cell r="T233">
            <v>4063</v>
          </cell>
          <cell r="U233">
            <v>10088</v>
          </cell>
          <cell r="V233">
            <v>6573</v>
          </cell>
          <cell r="W233">
            <v>8501</v>
          </cell>
          <cell r="X233">
            <v>17543</v>
          </cell>
          <cell r="Y233">
            <v>32593</v>
          </cell>
          <cell r="Z233">
            <v>16171</v>
          </cell>
          <cell r="AA233">
            <v>18003</v>
          </cell>
          <cell r="AB233">
            <v>9654</v>
          </cell>
          <cell r="AC233">
            <v>6020</v>
          </cell>
          <cell r="AD233">
            <v>2152</v>
          </cell>
          <cell r="AE233">
            <v>2925</v>
          </cell>
          <cell r="AF233">
            <v>8640</v>
          </cell>
          <cell r="AG233">
            <v>19727</v>
          </cell>
          <cell r="AH233">
            <v>5231</v>
          </cell>
          <cell r="AI233">
            <v>5128</v>
          </cell>
          <cell r="AJ233">
            <v>10351</v>
          </cell>
          <cell r="AK233">
            <v>24806</v>
          </cell>
          <cell r="AL233">
            <v>9938</v>
          </cell>
          <cell r="AM233">
            <v>34743</v>
          </cell>
          <cell r="AN233">
            <v>1667</v>
          </cell>
          <cell r="AO233">
            <v>9907</v>
          </cell>
          <cell r="AP233">
            <v>11577</v>
          </cell>
          <cell r="AQ233">
            <v>6446</v>
          </cell>
          <cell r="AR233">
            <v>20001</v>
          </cell>
          <cell r="AS233">
            <v>26439</v>
          </cell>
          <cell r="AT233">
            <v>13122</v>
          </cell>
          <cell r="AU233">
            <v>22041</v>
          </cell>
          <cell r="AV233">
            <v>19693</v>
          </cell>
          <cell r="AW233">
            <v>27339</v>
          </cell>
          <cell r="AX233">
            <v>3324</v>
          </cell>
          <cell r="AY233">
            <v>7312</v>
          </cell>
          <cell r="AZ233">
            <v>35021</v>
          </cell>
          <cell r="BA233">
            <v>376688</v>
          </cell>
          <cell r="BB233">
            <v>28043</v>
          </cell>
          <cell r="BC233">
            <v>22</v>
          </cell>
          <cell r="BD233">
            <v>404774</v>
          </cell>
          <cell r="BE233">
            <v>2.1</v>
          </cell>
          <cell r="BF233">
            <v>0.5</v>
          </cell>
          <cell r="BG233">
            <v>1.8</v>
          </cell>
          <cell r="BH233">
            <v>-0.3</v>
          </cell>
          <cell r="BI233">
            <v>-1.4</v>
          </cell>
          <cell r="BJ233">
            <v>1.4</v>
          </cell>
          <cell r="BK233">
            <v>0.6</v>
          </cell>
          <cell r="BL233">
            <v>0.9</v>
          </cell>
          <cell r="BM233">
            <v>-4.7</v>
          </cell>
          <cell r="BN233">
            <v>0.5</v>
          </cell>
          <cell r="BO233">
            <v>-1</v>
          </cell>
          <cell r="BP233">
            <v>-1</v>
          </cell>
          <cell r="BQ233">
            <v>-0.2</v>
          </cell>
          <cell r="BR233">
            <v>-0.4</v>
          </cell>
          <cell r="BS233">
            <v>2.2000000000000002</v>
          </cell>
          <cell r="BT233">
            <v>-0.3</v>
          </cell>
          <cell r="BU233">
            <v>0.4</v>
          </cell>
          <cell r="BV233">
            <v>-1.2</v>
          </cell>
          <cell r="BW233">
            <v>1.4</v>
          </cell>
          <cell r="BX233">
            <v>0.7</v>
          </cell>
          <cell r="BY233">
            <v>0.9</v>
          </cell>
          <cell r="BZ233">
            <v>-5.0999999999999996</v>
          </cell>
          <cell r="CA233">
            <v>0.6</v>
          </cell>
          <cell r="CB233">
            <v>-1.1000000000000001</v>
          </cell>
          <cell r="CC233">
            <v>0.8</v>
          </cell>
          <cell r="CD233">
            <v>1.2</v>
          </cell>
          <cell r="CE233">
            <v>0.8</v>
          </cell>
          <cell r="CF233">
            <v>-0.1</v>
          </cell>
          <cell r="CG233">
            <v>1.8</v>
          </cell>
          <cell r="CH233">
            <v>3.8</v>
          </cell>
          <cell r="CI233">
            <v>1.5</v>
          </cell>
          <cell r="CJ233">
            <v>1.3</v>
          </cell>
          <cell r="CK233">
            <v>2.2999999999999998</v>
          </cell>
          <cell r="CL233">
            <v>2.4</v>
          </cell>
          <cell r="CM233">
            <v>2.2999999999999998</v>
          </cell>
          <cell r="CN233">
            <v>1</v>
          </cell>
          <cell r="CO233">
            <v>0.9</v>
          </cell>
          <cell r="CP233">
            <v>0.9</v>
          </cell>
          <cell r="CQ233">
            <v>0.4</v>
          </cell>
          <cell r="CR233">
            <v>1.6</v>
          </cell>
          <cell r="CS233">
            <v>1.4</v>
          </cell>
          <cell r="CT233">
            <v>2.2999999999999998</v>
          </cell>
          <cell r="CU233">
            <v>1.8</v>
          </cell>
          <cell r="CV233">
            <v>1.9</v>
          </cell>
          <cell r="CW233">
            <v>1.3</v>
          </cell>
          <cell r="CX233">
            <v>0.4</v>
          </cell>
          <cell r="CY233">
            <v>0.7</v>
          </cell>
          <cell r="CZ233">
            <v>1.3</v>
          </cell>
          <cell r="DA233">
            <v>-0.1</v>
          </cell>
          <cell r="DB233">
            <v>0.3</v>
          </cell>
          <cell r="DC233">
            <v>0.4</v>
          </cell>
          <cell r="DD233">
            <v>0.7</v>
          </cell>
          <cell r="DE233">
            <v>-0.3</v>
          </cell>
          <cell r="DF233">
            <v>0.6</v>
          </cell>
          <cell r="DG233">
            <v>9611</v>
          </cell>
          <cell r="DH233">
            <v>1552</v>
          </cell>
          <cell r="DI233">
            <v>11160</v>
          </cell>
          <cell r="DJ233">
            <v>4236</v>
          </cell>
          <cell r="DK233">
            <v>5432</v>
          </cell>
          <cell r="DL233">
            <v>7354</v>
          </cell>
          <cell r="DM233">
            <v>4020</v>
          </cell>
          <cell r="DN233">
            <v>20965</v>
          </cell>
          <cell r="DO233">
            <v>2321</v>
          </cell>
          <cell r="DP233">
            <v>23219</v>
          </cell>
          <cell r="DQ233">
            <v>6392</v>
          </cell>
          <cell r="DR233">
            <v>4845</v>
          </cell>
          <cell r="DS233">
            <v>4160</v>
          </cell>
          <cell r="DT233">
            <v>4959</v>
          </cell>
          <cell r="DU233">
            <v>5470</v>
          </cell>
          <cell r="DV233">
            <v>25836</v>
          </cell>
          <cell r="DW233">
            <v>5646</v>
          </cell>
          <cell r="DX233">
            <v>398</v>
          </cell>
          <cell r="DY233">
            <v>4050</v>
          </cell>
          <cell r="DZ233">
            <v>10092</v>
          </cell>
          <cell r="EA233">
            <v>6688</v>
          </cell>
          <cell r="EB233">
            <v>8328</v>
          </cell>
          <cell r="EC233">
            <v>17591</v>
          </cell>
          <cell r="ED233">
            <v>32576</v>
          </cell>
          <cell r="EE233">
            <v>16139</v>
          </cell>
          <cell r="EF233">
            <v>18021</v>
          </cell>
          <cell r="EG233">
            <v>9666</v>
          </cell>
          <cell r="EH233">
            <v>5966</v>
          </cell>
          <cell r="EI233">
            <v>2149</v>
          </cell>
          <cell r="EJ233">
            <v>2978</v>
          </cell>
          <cell r="EK233">
            <v>8569</v>
          </cell>
          <cell r="EL233">
            <v>19649</v>
          </cell>
          <cell r="EM233">
            <v>5287</v>
          </cell>
          <cell r="EN233">
            <v>5139</v>
          </cell>
          <cell r="EO233">
            <v>10441</v>
          </cell>
          <cell r="EP233">
            <v>24837</v>
          </cell>
          <cell r="EQ233">
            <v>9957</v>
          </cell>
          <cell r="ER233">
            <v>34794</v>
          </cell>
          <cell r="ES233">
            <v>1691</v>
          </cell>
          <cell r="ET233">
            <v>9867</v>
          </cell>
          <cell r="EU233">
            <v>11565</v>
          </cell>
          <cell r="EV233">
            <v>6447</v>
          </cell>
          <cell r="EW233">
            <v>20325</v>
          </cell>
          <cell r="EX233">
            <v>26755</v>
          </cell>
          <cell r="EY233">
            <v>13105</v>
          </cell>
          <cell r="EZ233">
            <v>21992</v>
          </cell>
          <cell r="FA233">
            <v>19693</v>
          </cell>
          <cell r="FB233">
            <v>27246</v>
          </cell>
          <cell r="FC233">
            <v>3295</v>
          </cell>
          <cell r="FD233">
            <v>7411</v>
          </cell>
          <cell r="FE233">
            <v>35013</v>
          </cell>
          <cell r="FF233">
            <v>377355</v>
          </cell>
          <cell r="FG233">
            <v>27945</v>
          </cell>
          <cell r="FH233">
            <v>414</v>
          </cell>
          <cell r="FI233">
            <v>405749</v>
          </cell>
          <cell r="FJ233">
            <v>5.5</v>
          </cell>
          <cell r="FK233">
            <v>0.5</v>
          </cell>
          <cell r="FL233">
            <v>4.8</v>
          </cell>
          <cell r="FM233">
            <v>1.1000000000000001</v>
          </cell>
          <cell r="FN233">
            <v>-0.5</v>
          </cell>
          <cell r="FO233">
            <v>2.4</v>
          </cell>
          <cell r="FP233">
            <v>0.1</v>
          </cell>
          <cell r="FQ233">
            <v>1.4</v>
          </cell>
          <cell r="FR233">
            <v>-4.4000000000000004</v>
          </cell>
          <cell r="FS233">
            <v>1</v>
          </cell>
          <cell r="FT233">
            <v>-1.4</v>
          </cell>
          <cell r="FU233">
            <v>-4.4000000000000004</v>
          </cell>
          <cell r="FV233">
            <v>4.0999999999999996</v>
          </cell>
          <cell r="FW233">
            <v>-2.1</v>
          </cell>
          <cell r="FX233">
            <v>5.0999999999999996</v>
          </cell>
          <cell r="FY233">
            <v>0.1</v>
          </cell>
          <cell r="FZ233">
            <v>1.4</v>
          </cell>
          <cell r="GA233">
            <v>-4.8</v>
          </cell>
          <cell r="GB233">
            <v>0.2</v>
          </cell>
          <cell r="GC233">
            <v>0.6</v>
          </cell>
          <cell r="GD233">
            <v>3.5</v>
          </cell>
          <cell r="GE233">
            <v>-9.1</v>
          </cell>
          <cell r="GF233">
            <v>0.3</v>
          </cell>
          <cell r="GG233">
            <v>-1.9</v>
          </cell>
          <cell r="GH233">
            <v>0.5</v>
          </cell>
          <cell r="GI233">
            <v>1.2</v>
          </cell>
          <cell r="GJ233">
            <v>1.7</v>
          </cell>
          <cell r="GK233">
            <v>-1.3</v>
          </cell>
          <cell r="GL233">
            <v>1.7</v>
          </cell>
          <cell r="GM233">
            <v>7.7</v>
          </cell>
          <cell r="GN233">
            <v>1</v>
          </cell>
          <cell r="GO233">
            <v>1.3</v>
          </cell>
          <cell r="GP233">
            <v>3.9</v>
          </cell>
          <cell r="GQ233">
            <v>4.2</v>
          </cell>
          <cell r="GR233">
            <v>4.0999999999999996</v>
          </cell>
          <cell r="GS233">
            <v>1.2</v>
          </cell>
          <cell r="GT233">
            <v>0.6</v>
          </cell>
          <cell r="GU233">
            <v>1</v>
          </cell>
          <cell r="GV233">
            <v>5.2</v>
          </cell>
          <cell r="GW233">
            <v>1.9</v>
          </cell>
          <cell r="GX233">
            <v>2.4</v>
          </cell>
          <cell r="GY233">
            <v>2</v>
          </cell>
          <cell r="GZ233">
            <v>5.0999999999999996</v>
          </cell>
          <cell r="HA233">
            <v>4.2</v>
          </cell>
          <cell r="HB233">
            <v>1.1000000000000001</v>
          </cell>
          <cell r="HC233">
            <v>-0.6</v>
          </cell>
          <cell r="HD233">
            <v>0.7</v>
          </cell>
          <cell r="HE233">
            <v>0.5</v>
          </cell>
          <cell r="HF233">
            <v>-2</v>
          </cell>
          <cell r="HG233">
            <v>4.3</v>
          </cell>
          <cell r="HH233">
            <v>0.4</v>
          </cell>
          <cell r="HI233">
            <v>1</v>
          </cell>
          <cell r="HJ233">
            <v>-1</v>
          </cell>
          <cell r="HK233">
            <v>1</v>
          </cell>
          <cell r="HL233">
            <v>9051</v>
          </cell>
          <cell r="HM233">
            <v>1553</v>
          </cell>
          <cell r="HN233">
            <v>10604</v>
          </cell>
          <cell r="HO233">
            <v>4061</v>
          </cell>
          <cell r="HP233">
            <v>5263</v>
          </cell>
          <cell r="HQ233">
            <v>6854</v>
          </cell>
          <cell r="HR233">
            <v>3824</v>
          </cell>
          <cell r="HS233">
            <v>19954</v>
          </cell>
          <cell r="HT233">
            <v>2220</v>
          </cell>
          <cell r="HU233">
            <v>22106</v>
          </cell>
          <cell r="HV233">
            <v>6180</v>
          </cell>
          <cell r="HW233">
            <v>4706</v>
          </cell>
          <cell r="HX233">
            <v>3865</v>
          </cell>
          <cell r="HY233">
            <v>4522</v>
          </cell>
          <cell r="HZ233">
            <v>4997</v>
          </cell>
          <cell r="IA233">
            <v>24273</v>
          </cell>
          <cell r="IB233">
            <v>5709</v>
          </cell>
          <cell r="IC233">
            <v>329</v>
          </cell>
          <cell r="ID233">
            <v>4144</v>
          </cell>
          <cell r="IE233">
            <v>10167</v>
          </cell>
          <cell r="IF233">
            <v>6080</v>
          </cell>
          <cell r="IG233">
            <v>7861</v>
          </cell>
          <cell r="IH233">
            <v>16094</v>
          </cell>
          <cell r="II233">
            <v>30014</v>
          </cell>
          <cell r="IJ233">
            <v>15306</v>
          </cell>
          <cell r="IK233">
            <v>17338</v>
          </cell>
          <cell r="IL233">
            <v>9469</v>
          </cell>
          <cell r="IM233">
            <v>5647</v>
          </cell>
          <cell r="IN233">
            <v>2092</v>
          </cell>
          <cell r="IO233">
            <v>2851</v>
          </cell>
          <cell r="IP233">
            <v>8303</v>
          </cell>
          <cell r="IQ233">
            <v>18876</v>
          </cell>
        </row>
        <row r="234">
          <cell r="B234">
            <v>9219</v>
          </cell>
          <cell r="C234">
            <v>1564</v>
          </cell>
          <cell r="D234">
            <v>10780</v>
          </cell>
          <cell r="E234">
            <v>4203</v>
          </cell>
          <cell r="F234">
            <v>5392</v>
          </cell>
          <cell r="G234">
            <v>7497</v>
          </cell>
          <cell r="H234">
            <v>4041</v>
          </cell>
          <cell r="I234">
            <v>21186</v>
          </cell>
          <cell r="J234">
            <v>2153</v>
          </cell>
          <cell r="K234">
            <v>23308</v>
          </cell>
          <cell r="L234">
            <v>6397</v>
          </cell>
          <cell r="M234">
            <v>4886</v>
          </cell>
          <cell r="N234">
            <v>4060</v>
          </cell>
          <cell r="O234">
            <v>4921</v>
          </cell>
          <cell r="P234">
            <v>5472</v>
          </cell>
          <cell r="Q234">
            <v>25677</v>
          </cell>
          <cell r="R234">
            <v>5657</v>
          </cell>
          <cell r="S234">
            <v>403</v>
          </cell>
          <cell r="T234">
            <v>4098</v>
          </cell>
          <cell r="U234">
            <v>10155</v>
          </cell>
          <cell r="V234">
            <v>6621</v>
          </cell>
          <cell r="W234">
            <v>8209</v>
          </cell>
          <cell r="X234">
            <v>17717</v>
          </cell>
          <cell r="Y234">
            <v>32498</v>
          </cell>
          <cell r="Z234">
            <v>16304</v>
          </cell>
          <cell r="AA234">
            <v>18199</v>
          </cell>
          <cell r="AB234">
            <v>9776</v>
          </cell>
          <cell r="AC234">
            <v>6037</v>
          </cell>
          <cell r="AD234">
            <v>2205</v>
          </cell>
          <cell r="AE234">
            <v>2976</v>
          </cell>
          <cell r="AF234">
            <v>8743</v>
          </cell>
          <cell r="AG234">
            <v>19952</v>
          </cell>
          <cell r="AH234">
            <v>5340</v>
          </cell>
          <cell r="AI234">
            <v>5258</v>
          </cell>
          <cell r="AJ234">
            <v>10606</v>
          </cell>
          <cell r="AK234">
            <v>24992</v>
          </cell>
          <cell r="AL234">
            <v>9951</v>
          </cell>
          <cell r="AM234">
            <v>34941</v>
          </cell>
          <cell r="AN234">
            <v>1672</v>
          </cell>
          <cell r="AO234">
            <v>10295</v>
          </cell>
          <cell r="AP234">
            <v>11969</v>
          </cell>
          <cell r="AQ234">
            <v>6539</v>
          </cell>
          <cell r="AR234">
            <v>20223</v>
          </cell>
          <cell r="AS234">
            <v>26750</v>
          </cell>
          <cell r="AT234">
            <v>13258</v>
          </cell>
          <cell r="AU234">
            <v>22100</v>
          </cell>
          <cell r="AV234">
            <v>19861</v>
          </cell>
          <cell r="AW234">
            <v>27645</v>
          </cell>
          <cell r="AX234">
            <v>3338</v>
          </cell>
          <cell r="AY234">
            <v>7341</v>
          </cell>
          <cell r="AZ234">
            <v>35247</v>
          </cell>
          <cell r="BA234">
            <v>379354</v>
          </cell>
          <cell r="BB234">
            <v>28065</v>
          </cell>
          <cell r="BC234">
            <v>-155</v>
          </cell>
          <cell r="BD234">
            <v>407292</v>
          </cell>
          <cell r="BE234">
            <v>-1.9</v>
          </cell>
          <cell r="BF234">
            <v>0.6</v>
          </cell>
          <cell r="BG234">
            <v>-1.6</v>
          </cell>
          <cell r="BH234">
            <v>-0.5</v>
          </cell>
          <cell r="BI234">
            <v>0.7</v>
          </cell>
          <cell r="BJ234">
            <v>2.1</v>
          </cell>
          <cell r="BK234">
            <v>0.8</v>
          </cell>
          <cell r="BL234">
            <v>1.6</v>
          </cell>
          <cell r="BM234">
            <v>-6.5</v>
          </cell>
          <cell r="BN234">
            <v>1</v>
          </cell>
          <cell r="BO234">
            <v>-0.7</v>
          </cell>
          <cell r="BP234">
            <v>-0.5</v>
          </cell>
          <cell r="BQ234">
            <v>-0.2</v>
          </cell>
          <cell r="BR234">
            <v>-1</v>
          </cell>
          <cell r="BS234">
            <v>1.4</v>
          </cell>
          <cell r="BT234">
            <v>-0.4</v>
          </cell>
          <cell r="BU234">
            <v>0.6</v>
          </cell>
          <cell r="BV234">
            <v>-0.7</v>
          </cell>
          <cell r="BW234">
            <v>0.9</v>
          </cell>
          <cell r="BX234">
            <v>0.7</v>
          </cell>
          <cell r="BY234">
            <v>0.7</v>
          </cell>
          <cell r="BZ234">
            <v>-3.4</v>
          </cell>
          <cell r="CA234">
            <v>1</v>
          </cell>
          <cell r="CB234">
            <v>-0.3</v>
          </cell>
          <cell r="CC234">
            <v>0.8</v>
          </cell>
          <cell r="CD234">
            <v>1.1000000000000001</v>
          </cell>
          <cell r="CE234">
            <v>1.3</v>
          </cell>
          <cell r="CF234">
            <v>0.3</v>
          </cell>
          <cell r="CG234">
            <v>2.5</v>
          </cell>
          <cell r="CH234">
            <v>1.7</v>
          </cell>
          <cell r="CI234">
            <v>1.2</v>
          </cell>
          <cell r="CJ234">
            <v>1.1000000000000001</v>
          </cell>
          <cell r="CK234">
            <v>2.1</v>
          </cell>
          <cell r="CL234">
            <v>2.5</v>
          </cell>
          <cell r="CM234">
            <v>2.5</v>
          </cell>
          <cell r="CN234">
            <v>0.8</v>
          </cell>
          <cell r="CO234">
            <v>0.1</v>
          </cell>
          <cell r="CP234">
            <v>0.6</v>
          </cell>
          <cell r="CQ234">
            <v>0.3</v>
          </cell>
          <cell r="CR234">
            <v>3.9</v>
          </cell>
          <cell r="CS234">
            <v>3.4</v>
          </cell>
          <cell r="CT234">
            <v>1.4</v>
          </cell>
          <cell r="CU234">
            <v>1.1000000000000001</v>
          </cell>
          <cell r="CV234">
            <v>1.2</v>
          </cell>
          <cell r="CW234">
            <v>1</v>
          </cell>
          <cell r="CX234">
            <v>0.3</v>
          </cell>
          <cell r="CY234">
            <v>0.9</v>
          </cell>
          <cell r="CZ234">
            <v>1.1000000000000001</v>
          </cell>
          <cell r="DA234">
            <v>0.4</v>
          </cell>
          <cell r="DB234">
            <v>0.4</v>
          </cell>
          <cell r="DC234">
            <v>0.6</v>
          </cell>
          <cell r="DD234">
            <v>0.7</v>
          </cell>
          <cell r="DE234">
            <v>0.1</v>
          </cell>
          <cell r="DF234">
            <v>0.6</v>
          </cell>
          <cell r="DG234">
            <v>9335</v>
          </cell>
          <cell r="DH234">
            <v>1570</v>
          </cell>
          <cell r="DI234">
            <v>10902</v>
          </cell>
          <cell r="DJ234">
            <v>4201</v>
          </cell>
          <cell r="DK234">
            <v>5162</v>
          </cell>
          <cell r="DL234">
            <v>7443</v>
          </cell>
          <cell r="DM234">
            <v>3911</v>
          </cell>
          <cell r="DN234">
            <v>20670</v>
          </cell>
          <cell r="DO234">
            <v>2174</v>
          </cell>
          <cell r="DP234">
            <v>22804</v>
          </cell>
          <cell r="DQ234">
            <v>6497</v>
          </cell>
          <cell r="DR234">
            <v>4805</v>
          </cell>
          <cell r="DS234">
            <v>3995</v>
          </cell>
          <cell r="DT234">
            <v>4853</v>
          </cell>
          <cell r="DU234">
            <v>5499</v>
          </cell>
          <cell r="DV234">
            <v>25666</v>
          </cell>
          <cell r="DW234">
            <v>5640</v>
          </cell>
          <cell r="DX234">
            <v>403</v>
          </cell>
          <cell r="DY234">
            <v>4102</v>
          </cell>
          <cell r="DZ234">
            <v>10141</v>
          </cell>
          <cell r="EA234">
            <v>6532</v>
          </cell>
          <cell r="EB234">
            <v>8303</v>
          </cell>
          <cell r="EC234">
            <v>17548</v>
          </cell>
          <cell r="ED234">
            <v>32326</v>
          </cell>
          <cell r="EE234">
            <v>16336</v>
          </cell>
          <cell r="EF234">
            <v>18187</v>
          </cell>
          <cell r="EG234">
            <v>9794</v>
          </cell>
          <cell r="EH234">
            <v>6057</v>
          </cell>
          <cell r="EI234">
            <v>2200</v>
          </cell>
          <cell r="EJ234">
            <v>2999</v>
          </cell>
          <cell r="EK234">
            <v>8853</v>
          </cell>
          <cell r="EL234">
            <v>20102</v>
          </cell>
          <cell r="EM234">
            <v>5301</v>
          </cell>
          <cell r="EN234">
            <v>5300</v>
          </cell>
          <cell r="EO234">
            <v>10596</v>
          </cell>
          <cell r="EP234">
            <v>24988</v>
          </cell>
          <cell r="EQ234">
            <v>9967</v>
          </cell>
          <cell r="ER234">
            <v>34953</v>
          </cell>
          <cell r="ES234">
            <v>1713</v>
          </cell>
          <cell r="ET234">
            <v>10216</v>
          </cell>
          <cell r="EU234">
            <v>11931</v>
          </cell>
          <cell r="EV234">
            <v>6581</v>
          </cell>
          <cell r="EW234">
            <v>20236</v>
          </cell>
          <cell r="EX234">
            <v>26808</v>
          </cell>
          <cell r="EY234">
            <v>13331</v>
          </cell>
          <cell r="EZ234">
            <v>22172</v>
          </cell>
          <cell r="FA234">
            <v>19853</v>
          </cell>
          <cell r="FB234">
            <v>27651</v>
          </cell>
          <cell r="FC234">
            <v>3329</v>
          </cell>
          <cell r="FD234">
            <v>7357</v>
          </cell>
          <cell r="FE234">
            <v>35237</v>
          </cell>
          <cell r="FF234">
            <v>379179</v>
          </cell>
          <cell r="FG234">
            <v>28054</v>
          </cell>
          <cell r="FH234">
            <v>-760</v>
          </cell>
          <cell r="FI234">
            <v>406503</v>
          </cell>
          <cell r="FJ234">
            <v>-2.9</v>
          </cell>
          <cell r="FK234">
            <v>1.1000000000000001</v>
          </cell>
          <cell r="FL234">
            <v>-2.2999999999999998</v>
          </cell>
          <cell r="FM234">
            <v>-0.8</v>
          </cell>
          <cell r="FN234">
            <v>-5</v>
          </cell>
          <cell r="FO234">
            <v>1.2</v>
          </cell>
          <cell r="FP234">
            <v>-2.7</v>
          </cell>
          <cell r="FQ234">
            <v>-1.4</v>
          </cell>
          <cell r="FR234">
            <v>-6.3</v>
          </cell>
          <cell r="FS234">
            <v>-1.8</v>
          </cell>
          <cell r="FT234">
            <v>1.7</v>
          </cell>
          <cell r="FU234">
            <v>-0.8</v>
          </cell>
          <cell r="FV234">
            <v>-4</v>
          </cell>
          <cell r="FW234">
            <v>-2.1</v>
          </cell>
          <cell r="FX234">
            <v>0.5</v>
          </cell>
          <cell r="FY234">
            <v>-0.7</v>
          </cell>
          <cell r="FZ234">
            <v>-0.1</v>
          </cell>
          <cell r="GA234">
            <v>1.1000000000000001</v>
          </cell>
          <cell r="GB234">
            <v>1.3</v>
          </cell>
          <cell r="GC234">
            <v>0.5</v>
          </cell>
          <cell r="GD234">
            <v>-2.2999999999999998</v>
          </cell>
          <cell r="GE234">
            <v>-0.3</v>
          </cell>
          <cell r="GF234">
            <v>-0.2</v>
          </cell>
          <cell r="GG234">
            <v>-0.8</v>
          </cell>
          <cell r="GH234">
            <v>1.2</v>
          </cell>
          <cell r="GI234">
            <v>0.9</v>
          </cell>
          <cell r="GJ234">
            <v>1.3</v>
          </cell>
          <cell r="GK234">
            <v>1.5</v>
          </cell>
          <cell r="GL234">
            <v>2.4</v>
          </cell>
          <cell r="GM234">
            <v>0.7</v>
          </cell>
          <cell r="GN234">
            <v>3.3</v>
          </cell>
          <cell r="GO234">
            <v>2.2999999999999998</v>
          </cell>
          <cell r="GP234">
            <v>0.3</v>
          </cell>
          <cell r="GQ234">
            <v>3.1</v>
          </cell>
          <cell r="GR234">
            <v>1.5</v>
          </cell>
          <cell r="GS234">
            <v>0.6</v>
          </cell>
          <cell r="GT234">
            <v>0.1</v>
          </cell>
          <cell r="GU234">
            <v>0.5</v>
          </cell>
          <cell r="GV234">
            <v>1.3</v>
          </cell>
          <cell r="GW234">
            <v>3.5</v>
          </cell>
          <cell r="GX234">
            <v>3.2</v>
          </cell>
          <cell r="GY234">
            <v>2.1</v>
          </cell>
          <cell r="GZ234">
            <v>-0.4</v>
          </cell>
          <cell r="HA234">
            <v>0.2</v>
          </cell>
          <cell r="HB234">
            <v>1.7</v>
          </cell>
          <cell r="HC234">
            <v>0.8</v>
          </cell>
          <cell r="HD234">
            <v>0.8</v>
          </cell>
          <cell r="HE234">
            <v>1.5</v>
          </cell>
          <cell r="HF234">
            <v>1.1000000000000001</v>
          </cell>
          <cell r="HG234">
            <v>-0.7</v>
          </cell>
          <cell r="HH234">
            <v>0.6</v>
          </cell>
          <cell r="HI234">
            <v>0.5</v>
          </cell>
          <cell r="HJ234">
            <v>0.4</v>
          </cell>
          <cell r="HK234">
            <v>0.2</v>
          </cell>
          <cell r="HL234">
            <v>7742</v>
          </cell>
          <cell r="HM234">
            <v>1564</v>
          </cell>
          <cell r="HN234">
            <v>9308</v>
          </cell>
          <cell r="HO234">
            <v>4235</v>
          </cell>
          <cell r="HP234">
            <v>5008</v>
          </cell>
          <cell r="HQ234">
            <v>7623</v>
          </cell>
          <cell r="HR234">
            <v>3923</v>
          </cell>
          <cell r="HS234">
            <v>20693</v>
          </cell>
          <cell r="HT234">
            <v>2237</v>
          </cell>
          <cell r="HU234">
            <v>22869</v>
          </cell>
          <cell r="HV234">
            <v>6357</v>
          </cell>
          <cell r="HW234">
            <v>4783</v>
          </cell>
          <cell r="HX234">
            <v>4037</v>
          </cell>
          <cell r="HY234">
            <v>4937</v>
          </cell>
          <cell r="HZ234">
            <v>5492</v>
          </cell>
          <cell r="IA234">
            <v>25617</v>
          </cell>
          <cell r="IB234">
            <v>5604</v>
          </cell>
          <cell r="IC234">
            <v>424</v>
          </cell>
          <cell r="ID234">
            <v>4043</v>
          </cell>
          <cell r="IE234">
            <v>10071</v>
          </cell>
          <cell r="IF234">
            <v>6600</v>
          </cell>
          <cell r="IG234">
            <v>8448</v>
          </cell>
          <cell r="IH234">
            <v>17820</v>
          </cell>
          <cell r="II234">
            <v>32818</v>
          </cell>
          <cell r="IJ234">
            <v>16494</v>
          </cell>
          <cell r="IK234">
            <v>17547</v>
          </cell>
          <cell r="IL234">
            <v>9493</v>
          </cell>
          <cell r="IM234">
            <v>6081</v>
          </cell>
          <cell r="IN234">
            <v>2106</v>
          </cell>
          <cell r="IO234">
            <v>2999</v>
          </cell>
          <cell r="IP234">
            <v>8751</v>
          </cell>
          <cell r="IQ234">
            <v>19935</v>
          </cell>
        </row>
        <row r="235">
          <cell r="B235">
            <v>8710</v>
          </cell>
          <cell r="C235">
            <v>1577</v>
          </cell>
          <cell r="D235">
            <v>10285</v>
          </cell>
          <cell r="E235">
            <v>4213</v>
          </cell>
          <cell r="F235">
            <v>5662</v>
          </cell>
          <cell r="G235">
            <v>7775</v>
          </cell>
          <cell r="H235">
            <v>4044</v>
          </cell>
          <cell r="I235">
            <v>21816</v>
          </cell>
          <cell r="J235">
            <v>2012</v>
          </cell>
          <cell r="K235">
            <v>23822</v>
          </cell>
          <cell r="L235">
            <v>6329</v>
          </cell>
          <cell r="M235">
            <v>4845</v>
          </cell>
          <cell r="N235">
            <v>3975</v>
          </cell>
          <cell r="O235">
            <v>4908</v>
          </cell>
          <cell r="P235">
            <v>5480</v>
          </cell>
          <cell r="Q235">
            <v>25448</v>
          </cell>
          <cell r="R235">
            <v>5682</v>
          </cell>
          <cell r="S235">
            <v>416</v>
          </cell>
          <cell r="T235">
            <v>4136</v>
          </cell>
          <cell r="U235">
            <v>10232</v>
          </cell>
          <cell r="V235">
            <v>6690</v>
          </cell>
          <cell r="W235">
            <v>7912</v>
          </cell>
          <cell r="X235">
            <v>17985</v>
          </cell>
          <cell r="Y235">
            <v>32531</v>
          </cell>
          <cell r="Z235">
            <v>16435</v>
          </cell>
          <cell r="AA235">
            <v>18395</v>
          </cell>
          <cell r="AB235">
            <v>9875</v>
          </cell>
          <cell r="AC235">
            <v>6083</v>
          </cell>
          <cell r="AD235">
            <v>2268</v>
          </cell>
          <cell r="AE235">
            <v>2962</v>
          </cell>
          <cell r="AF235">
            <v>8751</v>
          </cell>
          <cell r="AG235">
            <v>20061</v>
          </cell>
          <cell r="AH235">
            <v>5440</v>
          </cell>
          <cell r="AI235">
            <v>5341</v>
          </cell>
          <cell r="AJ235">
            <v>10831</v>
          </cell>
          <cell r="AK235">
            <v>25177</v>
          </cell>
          <cell r="AL235">
            <v>9998</v>
          </cell>
          <cell r="AM235">
            <v>35172</v>
          </cell>
          <cell r="AN235">
            <v>1694</v>
          </cell>
          <cell r="AO235">
            <v>10647</v>
          </cell>
          <cell r="AP235">
            <v>12341</v>
          </cell>
          <cell r="AQ235">
            <v>6574</v>
          </cell>
          <cell r="AR235">
            <v>20226</v>
          </cell>
          <cell r="AS235">
            <v>26795</v>
          </cell>
          <cell r="AT235">
            <v>13312</v>
          </cell>
          <cell r="AU235">
            <v>22302</v>
          </cell>
          <cell r="AV235">
            <v>20025</v>
          </cell>
          <cell r="AW235">
            <v>27864</v>
          </cell>
          <cell r="AX235">
            <v>3386</v>
          </cell>
          <cell r="AY235">
            <v>7318</v>
          </cell>
          <cell r="AZ235">
            <v>35514</v>
          </cell>
          <cell r="BA235">
            <v>381694</v>
          </cell>
          <cell r="BB235">
            <v>28352</v>
          </cell>
          <cell r="BC235">
            <v>-123</v>
          </cell>
          <cell r="BD235">
            <v>409939</v>
          </cell>
          <cell r="BE235">
            <v>-5.5</v>
          </cell>
          <cell r="BF235">
            <v>0.8</v>
          </cell>
          <cell r="BG235">
            <v>-4.5999999999999996</v>
          </cell>
          <cell r="BH235">
            <v>0.2</v>
          </cell>
          <cell r="BI235">
            <v>5</v>
          </cell>
          <cell r="BJ235">
            <v>3.7</v>
          </cell>
          <cell r="BK235">
            <v>0.1</v>
          </cell>
          <cell r="BL235">
            <v>3</v>
          </cell>
          <cell r="BM235">
            <v>-6.6</v>
          </cell>
          <cell r="BN235">
            <v>2.2000000000000002</v>
          </cell>
          <cell r="BO235">
            <v>-1.1000000000000001</v>
          </cell>
          <cell r="BP235">
            <v>-0.8</v>
          </cell>
          <cell r="BQ235">
            <v>-2.1</v>
          </cell>
          <cell r="BR235">
            <v>-0.3</v>
          </cell>
          <cell r="BS235">
            <v>0.1</v>
          </cell>
          <cell r="BT235">
            <v>-0.9</v>
          </cell>
          <cell r="BU235">
            <v>0.4</v>
          </cell>
          <cell r="BV235">
            <v>3.3</v>
          </cell>
          <cell r="BW235">
            <v>0.9</v>
          </cell>
          <cell r="BX235">
            <v>0.8</v>
          </cell>
          <cell r="BY235">
            <v>1</v>
          </cell>
          <cell r="BZ235">
            <v>-3.6</v>
          </cell>
          <cell r="CA235">
            <v>1.5</v>
          </cell>
          <cell r="CB235">
            <v>0.1</v>
          </cell>
          <cell r="CC235">
            <v>0.8</v>
          </cell>
          <cell r="CD235">
            <v>1.1000000000000001</v>
          </cell>
          <cell r="CE235">
            <v>1</v>
          </cell>
          <cell r="CF235">
            <v>0.8</v>
          </cell>
          <cell r="CG235">
            <v>2.8</v>
          </cell>
          <cell r="CH235">
            <v>-0.4</v>
          </cell>
          <cell r="CI235">
            <v>0.1</v>
          </cell>
          <cell r="CJ235">
            <v>0.5</v>
          </cell>
          <cell r="CK235">
            <v>1.9</v>
          </cell>
          <cell r="CL235">
            <v>1.6</v>
          </cell>
          <cell r="CM235">
            <v>2.1</v>
          </cell>
          <cell r="CN235">
            <v>0.7</v>
          </cell>
          <cell r="CO235">
            <v>0.5</v>
          </cell>
          <cell r="CP235">
            <v>0.7</v>
          </cell>
          <cell r="CQ235">
            <v>1.3</v>
          </cell>
          <cell r="CR235">
            <v>3.4</v>
          </cell>
          <cell r="CS235">
            <v>3.1</v>
          </cell>
          <cell r="CT235">
            <v>0.5</v>
          </cell>
          <cell r="CU235">
            <v>0</v>
          </cell>
          <cell r="CV235">
            <v>0.2</v>
          </cell>
          <cell r="CW235">
            <v>0.4</v>
          </cell>
          <cell r="CX235">
            <v>0.9</v>
          </cell>
          <cell r="CY235">
            <v>0.8</v>
          </cell>
          <cell r="CZ235">
            <v>0.8</v>
          </cell>
          <cell r="DA235">
            <v>1.4</v>
          </cell>
          <cell r="DB235">
            <v>-0.3</v>
          </cell>
          <cell r="DC235">
            <v>0.8</v>
          </cell>
          <cell r="DD235">
            <v>0.6</v>
          </cell>
          <cell r="DE235">
            <v>1</v>
          </cell>
          <cell r="DF235">
            <v>0.6</v>
          </cell>
          <cell r="DG235">
            <v>8648</v>
          </cell>
          <cell r="DH235">
            <v>1571</v>
          </cell>
          <cell r="DI235">
            <v>10218</v>
          </cell>
          <cell r="DJ235">
            <v>4225</v>
          </cell>
          <cell r="DK235">
            <v>5744</v>
          </cell>
          <cell r="DL235">
            <v>7874</v>
          </cell>
          <cell r="DM235">
            <v>4217</v>
          </cell>
          <cell r="DN235">
            <v>22279</v>
          </cell>
          <cell r="DO235">
            <v>1959</v>
          </cell>
          <cell r="DP235">
            <v>24251</v>
          </cell>
          <cell r="DQ235">
            <v>6319</v>
          </cell>
          <cell r="DR235">
            <v>5013</v>
          </cell>
          <cell r="DS235">
            <v>4036</v>
          </cell>
          <cell r="DT235">
            <v>4958</v>
          </cell>
          <cell r="DU235">
            <v>5198</v>
          </cell>
          <cell r="DV235">
            <v>25522</v>
          </cell>
          <cell r="DW235">
            <v>5689</v>
          </cell>
          <cell r="DX235">
            <v>415</v>
          </cell>
          <cell r="DY235">
            <v>4110</v>
          </cell>
          <cell r="DZ235">
            <v>10211</v>
          </cell>
          <cell r="EA235">
            <v>6696</v>
          </cell>
          <cell r="EB235">
            <v>7932</v>
          </cell>
          <cell r="EC235">
            <v>17970</v>
          </cell>
          <cell r="ED235">
            <v>32557</v>
          </cell>
          <cell r="EE235">
            <v>16431</v>
          </cell>
          <cell r="EF235">
            <v>18382</v>
          </cell>
          <cell r="EG235">
            <v>9904</v>
          </cell>
          <cell r="EH235">
            <v>6091</v>
          </cell>
          <cell r="EI235">
            <v>2271</v>
          </cell>
          <cell r="EJ235">
            <v>2929</v>
          </cell>
          <cell r="EK235">
            <v>8752</v>
          </cell>
          <cell r="EL235">
            <v>20041</v>
          </cell>
          <cell r="EM235">
            <v>5453</v>
          </cell>
          <cell r="EN235">
            <v>5341</v>
          </cell>
          <cell r="EO235">
            <v>10763</v>
          </cell>
          <cell r="EP235">
            <v>25167</v>
          </cell>
          <cell r="EQ235">
            <v>9927</v>
          </cell>
          <cell r="ER235">
            <v>35090</v>
          </cell>
          <cell r="ES235">
            <v>1641</v>
          </cell>
          <cell r="ET235">
            <v>10809</v>
          </cell>
          <cell r="EU235">
            <v>12449</v>
          </cell>
          <cell r="EV235">
            <v>6517</v>
          </cell>
          <cell r="EW235">
            <v>20186</v>
          </cell>
          <cell r="EX235">
            <v>26692</v>
          </cell>
          <cell r="EY235">
            <v>13296</v>
          </cell>
          <cell r="EZ235">
            <v>22151</v>
          </cell>
          <cell r="FA235">
            <v>20038</v>
          </cell>
          <cell r="FB235">
            <v>27954</v>
          </cell>
          <cell r="FC235">
            <v>3389</v>
          </cell>
          <cell r="FD235">
            <v>7279</v>
          </cell>
          <cell r="FE235">
            <v>35528</v>
          </cell>
          <cell r="FF235">
            <v>381852</v>
          </cell>
          <cell r="FG235">
            <v>28322</v>
          </cell>
          <cell r="FH235">
            <v>258</v>
          </cell>
          <cell r="FI235">
            <v>410448</v>
          </cell>
          <cell r="FJ235">
            <v>-7.4</v>
          </cell>
          <cell r="FK235">
            <v>0</v>
          </cell>
          <cell r="FL235">
            <v>-6.3</v>
          </cell>
          <cell r="FM235">
            <v>0.6</v>
          </cell>
          <cell r="FN235">
            <v>11.3</v>
          </cell>
          <cell r="FO235">
            <v>5.8</v>
          </cell>
          <cell r="FP235">
            <v>7.8</v>
          </cell>
          <cell r="FQ235">
            <v>7.8</v>
          </cell>
          <cell r="FR235">
            <v>-9.9</v>
          </cell>
          <cell r="FS235">
            <v>6.3</v>
          </cell>
          <cell r="FT235">
            <v>-2.8</v>
          </cell>
          <cell r="FU235">
            <v>4.3</v>
          </cell>
          <cell r="FV235">
            <v>1</v>
          </cell>
          <cell r="FW235">
            <v>2.2000000000000002</v>
          </cell>
          <cell r="FX235">
            <v>-5.5</v>
          </cell>
          <cell r="FY235">
            <v>-0.6</v>
          </cell>
          <cell r="FZ235">
            <v>0.9</v>
          </cell>
          <cell r="GA235">
            <v>3</v>
          </cell>
          <cell r="GB235">
            <v>0.2</v>
          </cell>
          <cell r="GC235">
            <v>0.7</v>
          </cell>
          <cell r="GD235">
            <v>2.5</v>
          </cell>
          <cell r="GE235">
            <v>-4.5</v>
          </cell>
          <cell r="GF235">
            <v>2.4</v>
          </cell>
          <cell r="GG235">
            <v>0.7</v>
          </cell>
          <cell r="GH235">
            <v>0.6</v>
          </cell>
          <cell r="GI235">
            <v>1.1000000000000001</v>
          </cell>
          <cell r="GJ235">
            <v>1.1000000000000001</v>
          </cell>
          <cell r="GK235">
            <v>0.6</v>
          </cell>
          <cell r="GL235">
            <v>3.2</v>
          </cell>
          <cell r="GM235">
            <v>-2.2999999999999998</v>
          </cell>
          <cell r="GN235">
            <v>-1.1000000000000001</v>
          </cell>
          <cell r="GO235">
            <v>-0.3</v>
          </cell>
          <cell r="GP235">
            <v>2.9</v>
          </cell>
          <cell r="GQ235">
            <v>0.8</v>
          </cell>
          <cell r="GR235">
            <v>1.6</v>
          </cell>
          <cell r="GS235">
            <v>0.7</v>
          </cell>
          <cell r="GT235">
            <v>-0.4</v>
          </cell>
          <cell r="GU235">
            <v>0.4</v>
          </cell>
          <cell r="GV235">
            <v>-4.2</v>
          </cell>
          <cell r="GW235">
            <v>5.8</v>
          </cell>
          <cell r="GX235">
            <v>4.3</v>
          </cell>
          <cell r="GY235">
            <v>-1</v>
          </cell>
          <cell r="GZ235">
            <v>-0.3</v>
          </cell>
          <cell r="HA235">
            <v>-0.4</v>
          </cell>
          <cell r="HB235">
            <v>-0.3</v>
          </cell>
          <cell r="HC235">
            <v>-0.1</v>
          </cell>
          <cell r="HD235">
            <v>0.9</v>
          </cell>
          <cell r="HE235">
            <v>1.1000000000000001</v>
          </cell>
          <cell r="HF235">
            <v>1.8</v>
          </cell>
          <cell r="HG235">
            <v>-1.1000000000000001</v>
          </cell>
          <cell r="HH235">
            <v>0.8</v>
          </cell>
          <cell r="HI235">
            <v>0.7</v>
          </cell>
          <cell r="HJ235">
            <v>1</v>
          </cell>
          <cell r="HK235">
            <v>1</v>
          </cell>
          <cell r="HL235">
            <v>5642</v>
          </cell>
          <cell r="HM235">
            <v>1573</v>
          </cell>
          <cell r="HN235">
            <v>7224</v>
          </cell>
          <cell r="HO235">
            <v>4352</v>
          </cell>
          <cell r="HP235">
            <v>5988</v>
          </cell>
          <cell r="HQ235">
            <v>8100</v>
          </cell>
          <cell r="HR235">
            <v>4258</v>
          </cell>
          <cell r="HS235">
            <v>22894</v>
          </cell>
          <cell r="HT235">
            <v>1951</v>
          </cell>
          <cell r="HU235">
            <v>24866</v>
          </cell>
          <cell r="HV235">
            <v>6205</v>
          </cell>
          <cell r="HW235">
            <v>5130</v>
          </cell>
          <cell r="HX235">
            <v>4133</v>
          </cell>
          <cell r="HY235">
            <v>5160</v>
          </cell>
          <cell r="HZ235">
            <v>5464</v>
          </cell>
          <cell r="IA235">
            <v>26086</v>
          </cell>
          <cell r="IB235">
            <v>5820</v>
          </cell>
          <cell r="IC235">
            <v>512</v>
          </cell>
          <cell r="ID235">
            <v>3987</v>
          </cell>
          <cell r="IE235">
            <v>10325</v>
          </cell>
          <cell r="IF235">
            <v>6943</v>
          </cell>
          <cell r="IG235">
            <v>7829</v>
          </cell>
          <cell r="IH235">
            <v>18203</v>
          </cell>
          <cell r="II235">
            <v>32939</v>
          </cell>
          <cell r="IJ235">
            <v>16505</v>
          </cell>
          <cell r="IK235">
            <v>17999</v>
          </cell>
          <cell r="IL235">
            <v>9963</v>
          </cell>
          <cell r="IM235">
            <v>6216</v>
          </cell>
          <cell r="IN235">
            <v>2365</v>
          </cell>
          <cell r="IO235">
            <v>3008</v>
          </cell>
          <cell r="IP235">
            <v>8707</v>
          </cell>
          <cell r="IQ235">
            <v>20293</v>
          </cell>
        </row>
        <row r="236">
          <cell r="B236">
            <v>8296</v>
          </cell>
          <cell r="C236">
            <v>1583</v>
          </cell>
          <cell r="D236">
            <v>9880</v>
          </cell>
          <cell r="E236">
            <v>4258</v>
          </cell>
          <cell r="F236">
            <v>6006</v>
          </cell>
          <cell r="G236">
            <v>8113</v>
          </cell>
          <cell r="H236">
            <v>3969</v>
          </cell>
          <cell r="I236">
            <v>22408</v>
          </cell>
          <cell r="J236">
            <v>1931</v>
          </cell>
          <cell r="K236">
            <v>24340</v>
          </cell>
          <cell r="L236">
            <v>6302</v>
          </cell>
          <cell r="M236">
            <v>4794</v>
          </cell>
          <cell r="N236">
            <v>3852</v>
          </cell>
          <cell r="O236">
            <v>4892</v>
          </cell>
          <cell r="P236">
            <v>5438</v>
          </cell>
          <cell r="Q236">
            <v>25213</v>
          </cell>
          <cell r="R236">
            <v>5686</v>
          </cell>
          <cell r="S236">
            <v>436</v>
          </cell>
          <cell r="T236">
            <v>4172</v>
          </cell>
          <cell r="U236">
            <v>10294</v>
          </cell>
          <cell r="V236">
            <v>6761</v>
          </cell>
          <cell r="W236">
            <v>7676</v>
          </cell>
          <cell r="X236">
            <v>18207</v>
          </cell>
          <cell r="Y236">
            <v>32658</v>
          </cell>
          <cell r="Z236">
            <v>16594</v>
          </cell>
          <cell r="AA236">
            <v>18594</v>
          </cell>
          <cell r="AB236">
            <v>9955</v>
          </cell>
          <cell r="AC236">
            <v>6102</v>
          </cell>
          <cell r="AD236">
            <v>2322</v>
          </cell>
          <cell r="AE236">
            <v>2921</v>
          </cell>
          <cell r="AF236">
            <v>8687</v>
          </cell>
          <cell r="AG236">
            <v>20031</v>
          </cell>
          <cell r="AH236">
            <v>5545</v>
          </cell>
          <cell r="AI236">
            <v>5374</v>
          </cell>
          <cell r="AJ236">
            <v>11002</v>
          </cell>
          <cell r="AK236">
            <v>25394</v>
          </cell>
          <cell r="AL236">
            <v>10138</v>
          </cell>
          <cell r="AM236">
            <v>35531</v>
          </cell>
          <cell r="AN236">
            <v>1732</v>
          </cell>
          <cell r="AO236">
            <v>10864</v>
          </cell>
          <cell r="AP236">
            <v>12595</v>
          </cell>
          <cell r="AQ236">
            <v>6585</v>
          </cell>
          <cell r="AR236">
            <v>20302</v>
          </cell>
          <cell r="AS236">
            <v>26890</v>
          </cell>
          <cell r="AT236">
            <v>13358</v>
          </cell>
          <cell r="AU236">
            <v>22701</v>
          </cell>
          <cell r="AV236">
            <v>20169</v>
          </cell>
          <cell r="AW236">
            <v>28056</v>
          </cell>
          <cell r="AX236">
            <v>3444</v>
          </cell>
          <cell r="AY236">
            <v>7284</v>
          </cell>
          <cell r="AZ236">
            <v>35784</v>
          </cell>
          <cell r="BA236">
            <v>384311</v>
          </cell>
          <cell r="BB236">
            <v>28939</v>
          </cell>
          <cell r="BC236">
            <v>-18</v>
          </cell>
          <cell r="BD236">
            <v>413233</v>
          </cell>
          <cell r="BE236">
            <v>-4.7</v>
          </cell>
          <cell r="BF236">
            <v>0.4</v>
          </cell>
          <cell r="BG236">
            <v>-3.9</v>
          </cell>
          <cell r="BH236">
            <v>1.1000000000000001</v>
          </cell>
          <cell r="BI236">
            <v>6.1</v>
          </cell>
          <cell r="BJ236">
            <v>4.3</v>
          </cell>
          <cell r="BK236">
            <v>-1.8</v>
          </cell>
          <cell r="BL236">
            <v>2.7</v>
          </cell>
          <cell r="BM236">
            <v>-4</v>
          </cell>
          <cell r="BN236">
            <v>2.2000000000000002</v>
          </cell>
          <cell r="BO236">
            <v>-0.4</v>
          </cell>
          <cell r="BP236">
            <v>-1.1000000000000001</v>
          </cell>
          <cell r="BQ236">
            <v>-3.1</v>
          </cell>
          <cell r="BR236">
            <v>-0.3</v>
          </cell>
          <cell r="BS236">
            <v>-0.8</v>
          </cell>
          <cell r="BT236">
            <v>-0.9</v>
          </cell>
          <cell r="BU236">
            <v>0.1</v>
          </cell>
          <cell r="BV236">
            <v>4.7</v>
          </cell>
          <cell r="BW236">
            <v>0.9</v>
          </cell>
          <cell r="BX236">
            <v>0.6</v>
          </cell>
          <cell r="BY236">
            <v>1.1000000000000001</v>
          </cell>
          <cell r="BZ236">
            <v>-3</v>
          </cell>
          <cell r="CA236">
            <v>1.2</v>
          </cell>
          <cell r="CB236">
            <v>0.4</v>
          </cell>
          <cell r="CC236">
            <v>1</v>
          </cell>
          <cell r="CD236">
            <v>1.1000000000000001</v>
          </cell>
          <cell r="CE236">
            <v>0.8</v>
          </cell>
          <cell r="CF236">
            <v>0.3</v>
          </cell>
          <cell r="CG236">
            <v>2.4</v>
          </cell>
          <cell r="CH236">
            <v>-1.4</v>
          </cell>
          <cell r="CI236">
            <v>-0.7</v>
          </cell>
          <cell r="CJ236">
            <v>-0.1</v>
          </cell>
          <cell r="CK236">
            <v>1.9</v>
          </cell>
          <cell r="CL236">
            <v>0.6</v>
          </cell>
          <cell r="CM236">
            <v>1.6</v>
          </cell>
          <cell r="CN236">
            <v>0.9</v>
          </cell>
          <cell r="CO236">
            <v>1.4</v>
          </cell>
          <cell r="CP236">
            <v>1</v>
          </cell>
          <cell r="CQ236">
            <v>2.2999999999999998</v>
          </cell>
          <cell r="CR236">
            <v>2</v>
          </cell>
          <cell r="CS236">
            <v>2.1</v>
          </cell>
          <cell r="CT236">
            <v>0.2</v>
          </cell>
          <cell r="CU236">
            <v>0.4</v>
          </cell>
          <cell r="CV236">
            <v>0.4</v>
          </cell>
          <cell r="CW236">
            <v>0.3</v>
          </cell>
          <cell r="CX236">
            <v>1.8</v>
          </cell>
          <cell r="CY236">
            <v>0.7</v>
          </cell>
          <cell r="CZ236">
            <v>0.7</v>
          </cell>
          <cell r="DA236">
            <v>1.7</v>
          </cell>
          <cell r="DB236">
            <v>-0.5</v>
          </cell>
          <cell r="DC236">
            <v>0.8</v>
          </cell>
          <cell r="DD236">
            <v>0.7</v>
          </cell>
          <cell r="DE236">
            <v>2.1</v>
          </cell>
          <cell r="DF236">
            <v>0.8</v>
          </cell>
          <cell r="DG236">
            <v>8161</v>
          </cell>
          <cell r="DH236">
            <v>1590</v>
          </cell>
          <cell r="DI236">
            <v>9752</v>
          </cell>
          <cell r="DJ236">
            <v>4220</v>
          </cell>
          <cell r="DK236">
            <v>6023</v>
          </cell>
          <cell r="DL236">
            <v>7884</v>
          </cell>
          <cell r="DM236">
            <v>3919</v>
          </cell>
          <cell r="DN236">
            <v>22176</v>
          </cell>
          <cell r="DO236">
            <v>1928</v>
          </cell>
          <cell r="DP236">
            <v>24099</v>
          </cell>
          <cell r="DQ236">
            <v>6203</v>
          </cell>
          <cell r="DR236">
            <v>4724</v>
          </cell>
          <cell r="DS236">
            <v>3868</v>
          </cell>
          <cell r="DT236">
            <v>4867</v>
          </cell>
          <cell r="DU236">
            <v>5452</v>
          </cell>
          <cell r="DV236">
            <v>25118</v>
          </cell>
          <cell r="DW236">
            <v>5705</v>
          </cell>
          <cell r="DX236">
            <v>435</v>
          </cell>
          <cell r="DY236">
            <v>4208</v>
          </cell>
          <cell r="DZ236">
            <v>10347</v>
          </cell>
          <cell r="EA236">
            <v>6765</v>
          </cell>
          <cell r="EB236">
            <v>7630</v>
          </cell>
          <cell r="EC236">
            <v>18367</v>
          </cell>
          <cell r="ED236">
            <v>32764</v>
          </cell>
          <cell r="EE236">
            <v>16611</v>
          </cell>
          <cell r="EF236">
            <v>18586</v>
          </cell>
          <cell r="EG236">
            <v>9897</v>
          </cell>
          <cell r="EH236">
            <v>6093</v>
          </cell>
          <cell r="EI236">
            <v>2317</v>
          </cell>
          <cell r="EJ236">
            <v>2928</v>
          </cell>
          <cell r="EK236">
            <v>8677</v>
          </cell>
          <cell r="EL236">
            <v>20014</v>
          </cell>
          <cell r="EM236">
            <v>5542</v>
          </cell>
          <cell r="EN236">
            <v>5529</v>
          </cell>
          <cell r="EO236">
            <v>11084</v>
          </cell>
          <cell r="EP236">
            <v>25367</v>
          </cell>
          <cell r="EQ236">
            <v>10149</v>
          </cell>
          <cell r="ER236">
            <v>35515</v>
          </cell>
          <cell r="ES236">
            <v>1708</v>
          </cell>
          <cell r="ET236">
            <v>10926</v>
          </cell>
          <cell r="EU236">
            <v>12634</v>
          </cell>
          <cell r="EV236">
            <v>6628</v>
          </cell>
          <cell r="EW236">
            <v>20206</v>
          </cell>
          <cell r="EX236">
            <v>26844</v>
          </cell>
          <cell r="EY236">
            <v>13318</v>
          </cell>
          <cell r="EZ236">
            <v>22616</v>
          </cell>
          <cell r="FA236">
            <v>20168</v>
          </cell>
          <cell r="FB236">
            <v>28064</v>
          </cell>
          <cell r="FC236">
            <v>3456</v>
          </cell>
          <cell r="FD236">
            <v>7315</v>
          </cell>
          <cell r="FE236">
            <v>35788</v>
          </cell>
          <cell r="FF236">
            <v>383796</v>
          </cell>
          <cell r="FG236">
            <v>28880</v>
          </cell>
          <cell r="FH236">
            <v>-182</v>
          </cell>
          <cell r="FI236">
            <v>412493</v>
          </cell>
          <cell r="FJ236">
            <v>-5.6</v>
          </cell>
          <cell r="FK236">
            <v>1.2</v>
          </cell>
          <cell r="FL236">
            <v>-4.5999999999999996</v>
          </cell>
          <cell r="FM236">
            <v>-0.1</v>
          </cell>
          <cell r="FN236">
            <v>4.9000000000000004</v>
          </cell>
          <cell r="FO236">
            <v>0.1</v>
          </cell>
          <cell r="FP236">
            <v>-7.1</v>
          </cell>
          <cell r="FQ236">
            <v>-0.5</v>
          </cell>
          <cell r="FR236">
            <v>-1.6</v>
          </cell>
          <cell r="FS236">
            <v>-0.6</v>
          </cell>
          <cell r="FT236">
            <v>-1.8</v>
          </cell>
          <cell r="FU236">
            <v>-5.8</v>
          </cell>
          <cell r="FV236">
            <v>-4.2</v>
          </cell>
          <cell r="FW236">
            <v>-1.8</v>
          </cell>
          <cell r="FX236">
            <v>4.9000000000000004</v>
          </cell>
          <cell r="FY236">
            <v>-1.6</v>
          </cell>
          <cell r="FZ236">
            <v>0.3</v>
          </cell>
          <cell r="GA236">
            <v>4.8</v>
          </cell>
          <cell r="GB236">
            <v>2.4</v>
          </cell>
          <cell r="GC236">
            <v>1.3</v>
          </cell>
          <cell r="GD236">
            <v>1</v>
          </cell>
          <cell r="GE236">
            <v>-3.8</v>
          </cell>
          <cell r="GF236">
            <v>2.2000000000000002</v>
          </cell>
          <cell r="GG236">
            <v>0.6</v>
          </cell>
          <cell r="GH236">
            <v>1.1000000000000001</v>
          </cell>
          <cell r="GI236">
            <v>1.1000000000000001</v>
          </cell>
          <cell r="GJ236">
            <v>-0.1</v>
          </cell>
          <cell r="GK236">
            <v>0</v>
          </cell>
          <cell r="GL236">
            <v>2</v>
          </cell>
          <cell r="GM236">
            <v>0</v>
          </cell>
          <cell r="GN236">
            <v>-0.9</v>
          </cell>
          <cell r="GO236">
            <v>-0.1</v>
          </cell>
          <cell r="GP236">
            <v>1.6</v>
          </cell>
          <cell r="GQ236">
            <v>3.5</v>
          </cell>
          <cell r="GR236">
            <v>3</v>
          </cell>
          <cell r="GS236">
            <v>0.8</v>
          </cell>
          <cell r="GT236">
            <v>2.2000000000000002</v>
          </cell>
          <cell r="GU236">
            <v>1.2</v>
          </cell>
          <cell r="GV236">
            <v>4.0999999999999996</v>
          </cell>
          <cell r="GW236">
            <v>1.1000000000000001</v>
          </cell>
          <cell r="GX236">
            <v>1.5</v>
          </cell>
          <cell r="GY236">
            <v>1.7</v>
          </cell>
          <cell r="GZ236">
            <v>0.1</v>
          </cell>
          <cell r="HA236">
            <v>0.6</v>
          </cell>
          <cell r="HB236">
            <v>0.2</v>
          </cell>
          <cell r="HC236">
            <v>2.1</v>
          </cell>
          <cell r="HD236">
            <v>0.6</v>
          </cell>
          <cell r="HE236">
            <v>0.4</v>
          </cell>
          <cell r="HF236">
            <v>2</v>
          </cell>
          <cell r="HG236">
            <v>0.5</v>
          </cell>
          <cell r="HH236">
            <v>0.7</v>
          </cell>
          <cell r="HI236">
            <v>0.5</v>
          </cell>
          <cell r="HJ236">
            <v>2</v>
          </cell>
          <cell r="HK236">
            <v>0.5</v>
          </cell>
          <cell r="HL236">
            <v>13064</v>
          </cell>
          <cell r="HM236">
            <v>1592</v>
          </cell>
          <cell r="HN236">
            <v>14642</v>
          </cell>
          <cell r="HO236">
            <v>4225</v>
          </cell>
          <cell r="HP236">
            <v>6133</v>
          </cell>
          <cell r="HQ236">
            <v>8021</v>
          </cell>
          <cell r="HR236">
            <v>4056</v>
          </cell>
          <cell r="HS236">
            <v>22633</v>
          </cell>
          <cell r="HT236">
            <v>1955</v>
          </cell>
          <cell r="HU236">
            <v>24584</v>
          </cell>
          <cell r="HV236">
            <v>6703</v>
          </cell>
          <cell r="HW236">
            <v>4770</v>
          </cell>
          <cell r="HX236">
            <v>3995</v>
          </cell>
          <cell r="HY236">
            <v>4994</v>
          </cell>
          <cell r="HZ236">
            <v>5698</v>
          </cell>
          <cell r="IA236">
            <v>26172</v>
          </cell>
          <cell r="IB236">
            <v>5552</v>
          </cell>
          <cell r="IC236">
            <v>387</v>
          </cell>
          <cell r="ID236">
            <v>4301</v>
          </cell>
          <cell r="IE236">
            <v>10237</v>
          </cell>
          <cell r="IF236">
            <v>7052</v>
          </cell>
          <cell r="IG236">
            <v>7805</v>
          </cell>
          <cell r="IH236">
            <v>19365</v>
          </cell>
          <cell r="II236">
            <v>34238</v>
          </cell>
          <cell r="IJ236">
            <v>17236</v>
          </cell>
          <cell r="IK236">
            <v>20339</v>
          </cell>
          <cell r="IL236">
            <v>10356</v>
          </cell>
          <cell r="IM236">
            <v>6281</v>
          </cell>
          <cell r="IN236">
            <v>2389</v>
          </cell>
          <cell r="IO236">
            <v>2976</v>
          </cell>
          <cell r="IP236">
            <v>9083</v>
          </cell>
          <cell r="IQ236">
            <v>20731</v>
          </cell>
        </row>
        <row r="237">
          <cell r="B237">
            <v>8355</v>
          </cell>
          <cell r="C237">
            <v>1599</v>
          </cell>
          <cell r="D237">
            <v>9955</v>
          </cell>
          <cell r="E237">
            <v>4330</v>
          </cell>
          <cell r="F237">
            <v>6208</v>
          </cell>
          <cell r="G237">
            <v>8387</v>
          </cell>
          <cell r="H237">
            <v>3832</v>
          </cell>
          <cell r="I237">
            <v>22689</v>
          </cell>
          <cell r="J237">
            <v>1884</v>
          </cell>
          <cell r="K237">
            <v>24572</v>
          </cell>
          <cell r="L237">
            <v>6337</v>
          </cell>
          <cell r="M237">
            <v>4736</v>
          </cell>
          <cell r="N237">
            <v>3802</v>
          </cell>
          <cell r="O237">
            <v>4810</v>
          </cell>
          <cell r="P237">
            <v>5387</v>
          </cell>
          <cell r="Q237">
            <v>25058</v>
          </cell>
          <cell r="R237">
            <v>5684</v>
          </cell>
          <cell r="S237">
            <v>451</v>
          </cell>
          <cell r="T237">
            <v>4171</v>
          </cell>
          <cell r="U237">
            <v>10307</v>
          </cell>
          <cell r="V237">
            <v>6791</v>
          </cell>
          <cell r="W237">
            <v>7382</v>
          </cell>
          <cell r="X237">
            <v>18190</v>
          </cell>
          <cell r="Y237">
            <v>32474</v>
          </cell>
          <cell r="Z237">
            <v>16821</v>
          </cell>
          <cell r="AA237">
            <v>18728</v>
          </cell>
          <cell r="AB237">
            <v>10071</v>
          </cell>
          <cell r="AC237">
            <v>6079</v>
          </cell>
          <cell r="AD237">
            <v>2348</v>
          </cell>
          <cell r="AE237">
            <v>2907</v>
          </cell>
          <cell r="AF237">
            <v>8660</v>
          </cell>
          <cell r="AG237">
            <v>19995</v>
          </cell>
          <cell r="AH237">
            <v>5676</v>
          </cell>
          <cell r="AI237">
            <v>5365</v>
          </cell>
          <cell r="AJ237">
            <v>11109</v>
          </cell>
          <cell r="AK237">
            <v>25631</v>
          </cell>
          <cell r="AL237">
            <v>10309</v>
          </cell>
          <cell r="AM237">
            <v>35942</v>
          </cell>
          <cell r="AN237">
            <v>1762</v>
          </cell>
          <cell r="AO237">
            <v>10946</v>
          </cell>
          <cell r="AP237">
            <v>12707</v>
          </cell>
          <cell r="AQ237">
            <v>6585</v>
          </cell>
          <cell r="AR237">
            <v>20630</v>
          </cell>
          <cell r="AS237">
            <v>27218</v>
          </cell>
          <cell r="AT237">
            <v>13437</v>
          </cell>
          <cell r="AU237">
            <v>23002</v>
          </cell>
          <cell r="AV237">
            <v>20285</v>
          </cell>
          <cell r="AW237">
            <v>28345</v>
          </cell>
          <cell r="AX237">
            <v>3478</v>
          </cell>
          <cell r="AY237">
            <v>7263</v>
          </cell>
          <cell r="AZ237">
            <v>36031</v>
          </cell>
          <cell r="BA237">
            <v>386923</v>
          </cell>
          <cell r="BB237">
            <v>29521</v>
          </cell>
          <cell r="BC237">
            <v>10</v>
          </cell>
          <cell r="BD237">
            <v>416447</v>
          </cell>
          <cell r="BE237">
            <v>0.7</v>
          </cell>
          <cell r="BF237">
            <v>1</v>
          </cell>
          <cell r="BG237">
            <v>0.8</v>
          </cell>
          <cell r="BH237">
            <v>1.7</v>
          </cell>
          <cell r="BI237">
            <v>3.4</v>
          </cell>
          <cell r="BJ237">
            <v>3.4</v>
          </cell>
          <cell r="BK237">
            <v>-3.5</v>
          </cell>
          <cell r="BL237">
            <v>1.3</v>
          </cell>
          <cell r="BM237">
            <v>-2.4</v>
          </cell>
          <cell r="BN237">
            <v>1</v>
          </cell>
          <cell r="BO237">
            <v>0.6</v>
          </cell>
          <cell r="BP237">
            <v>-1.2</v>
          </cell>
          <cell r="BQ237">
            <v>-1.3</v>
          </cell>
          <cell r="BR237">
            <v>-1.7</v>
          </cell>
          <cell r="BS237">
            <v>-0.9</v>
          </cell>
          <cell r="BT237">
            <v>-0.6</v>
          </cell>
          <cell r="BU237">
            <v>0</v>
          </cell>
          <cell r="BV237">
            <v>3.5</v>
          </cell>
          <cell r="BW237">
            <v>0</v>
          </cell>
          <cell r="BX237">
            <v>0.1</v>
          </cell>
          <cell r="BY237">
            <v>0.4</v>
          </cell>
          <cell r="BZ237">
            <v>-3.8</v>
          </cell>
          <cell r="CA237">
            <v>-0.1</v>
          </cell>
          <cell r="CB237">
            <v>-0.6</v>
          </cell>
          <cell r="CC237">
            <v>1.4</v>
          </cell>
          <cell r="CD237">
            <v>0.7</v>
          </cell>
          <cell r="CE237">
            <v>1.2</v>
          </cell>
          <cell r="CF237">
            <v>-0.4</v>
          </cell>
          <cell r="CG237">
            <v>1.1000000000000001</v>
          </cell>
          <cell r="CH237">
            <v>-0.5</v>
          </cell>
          <cell r="CI237">
            <v>-0.3</v>
          </cell>
          <cell r="CJ237">
            <v>-0.2</v>
          </cell>
          <cell r="CK237">
            <v>2.4</v>
          </cell>
          <cell r="CL237">
            <v>-0.2</v>
          </cell>
          <cell r="CM237">
            <v>1</v>
          </cell>
          <cell r="CN237">
            <v>0.9</v>
          </cell>
          <cell r="CO237">
            <v>1.7</v>
          </cell>
          <cell r="CP237">
            <v>1.2</v>
          </cell>
          <cell r="CQ237">
            <v>1.7</v>
          </cell>
          <cell r="CR237">
            <v>0.7</v>
          </cell>
          <cell r="CS237">
            <v>0.9</v>
          </cell>
          <cell r="CT237">
            <v>0</v>
          </cell>
          <cell r="CU237">
            <v>1.6</v>
          </cell>
          <cell r="CV237">
            <v>1.2</v>
          </cell>
          <cell r="CW237">
            <v>0.6</v>
          </cell>
          <cell r="CX237">
            <v>1.3</v>
          </cell>
          <cell r="CY237">
            <v>0.6</v>
          </cell>
          <cell r="CZ237">
            <v>1</v>
          </cell>
          <cell r="DA237">
            <v>1</v>
          </cell>
          <cell r="DB237">
            <v>-0.3</v>
          </cell>
          <cell r="DC237">
            <v>0.7</v>
          </cell>
          <cell r="DD237">
            <v>0.7</v>
          </cell>
          <cell r="DE237">
            <v>2</v>
          </cell>
          <cell r="DF237">
            <v>0.8</v>
          </cell>
          <cell r="DG237">
            <v>8355</v>
          </cell>
          <cell r="DH237">
            <v>1603</v>
          </cell>
          <cell r="DI237">
            <v>9959</v>
          </cell>
          <cell r="DJ237">
            <v>4340</v>
          </cell>
          <cell r="DK237">
            <v>6320</v>
          </cell>
          <cell r="DL237">
            <v>8681</v>
          </cell>
          <cell r="DM237">
            <v>3801</v>
          </cell>
          <cell r="DN237">
            <v>22980</v>
          </cell>
          <cell r="DO237">
            <v>1910</v>
          </cell>
          <cell r="DP237">
            <v>24886</v>
          </cell>
          <cell r="DQ237">
            <v>6410</v>
          </cell>
          <cell r="DR237">
            <v>4654</v>
          </cell>
          <cell r="DS237">
            <v>3693</v>
          </cell>
          <cell r="DT237">
            <v>4860</v>
          </cell>
          <cell r="DU237">
            <v>5414</v>
          </cell>
          <cell r="DV237">
            <v>25031</v>
          </cell>
          <cell r="DW237">
            <v>5659</v>
          </cell>
          <cell r="DX237">
            <v>459</v>
          </cell>
          <cell r="DY237">
            <v>4154</v>
          </cell>
          <cell r="DZ237">
            <v>10274</v>
          </cell>
          <cell r="EA237">
            <v>6865</v>
          </cell>
          <cell r="EB237">
            <v>7373</v>
          </cell>
          <cell r="EC237">
            <v>18175</v>
          </cell>
          <cell r="ED237">
            <v>32435</v>
          </cell>
          <cell r="EE237">
            <v>16745</v>
          </cell>
          <cell r="EF237">
            <v>18765</v>
          </cell>
          <cell r="EG237">
            <v>10081</v>
          </cell>
          <cell r="EH237">
            <v>6122</v>
          </cell>
          <cell r="EI237">
            <v>2368</v>
          </cell>
          <cell r="EJ237">
            <v>2906</v>
          </cell>
          <cell r="EK237">
            <v>8577</v>
          </cell>
          <cell r="EL237">
            <v>19972</v>
          </cell>
          <cell r="EM237">
            <v>5682</v>
          </cell>
          <cell r="EN237">
            <v>5407</v>
          </cell>
          <cell r="EO237">
            <v>11101</v>
          </cell>
          <cell r="EP237">
            <v>25652</v>
          </cell>
          <cell r="EQ237">
            <v>10327</v>
          </cell>
          <cell r="ER237">
            <v>35981</v>
          </cell>
          <cell r="ES237">
            <v>1850</v>
          </cell>
          <cell r="ET237">
            <v>10685</v>
          </cell>
          <cell r="EU237">
            <v>12534</v>
          </cell>
          <cell r="EV237">
            <v>6593</v>
          </cell>
          <cell r="EW237">
            <v>20562</v>
          </cell>
          <cell r="EX237">
            <v>27162</v>
          </cell>
          <cell r="EY237">
            <v>13400</v>
          </cell>
          <cell r="EZ237">
            <v>23308</v>
          </cell>
          <cell r="FA237">
            <v>20284</v>
          </cell>
          <cell r="FB237">
            <v>28178</v>
          </cell>
          <cell r="FC237">
            <v>3473</v>
          </cell>
          <cell r="FD237">
            <v>7183</v>
          </cell>
          <cell r="FE237">
            <v>36031</v>
          </cell>
          <cell r="FF237">
            <v>387106</v>
          </cell>
          <cell r="FG237">
            <v>29484</v>
          </cell>
          <cell r="FH237">
            <v>156</v>
          </cell>
          <cell r="FI237">
            <v>416739</v>
          </cell>
          <cell r="FJ237">
            <v>2.4</v>
          </cell>
          <cell r="FK237">
            <v>0.8</v>
          </cell>
          <cell r="FL237">
            <v>2.1</v>
          </cell>
          <cell r="FM237">
            <v>2.8</v>
          </cell>
          <cell r="FN237">
            <v>4.9000000000000004</v>
          </cell>
          <cell r="FO237">
            <v>10.1</v>
          </cell>
          <cell r="FP237">
            <v>-3</v>
          </cell>
          <cell r="FQ237">
            <v>3.6</v>
          </cell>
          <cell r="FR237">
            <v>-0.9</v>
          </cell>
          <cell r="FS237">
            <v>3.3</v>
          </cell>
          <cell r="FT237">
            <v>3.3</v>
          </cell>
          <cell r="FU237">
            <v>-1.5</v>
          </cell>
          <cell r="FV237">
            <v>-4.5</v>
          </cell>
          <cell r="FW237">
            <v>-0.2</v>
          </cell>
          <cell r="FX237">
            <v>-0.7</v>
          </cell>
          <cell r="FY237">
            <v>-0.3</v>
          </cell>
          <cell r="FZ237">
            <v>-0.8</v>
          </cell>
          <cell r="GA237">
            <v>5.7</v>
          </cell>
          <cell r="GB237">
            <v>-1.3</v>
          </cell>
          <cell r="GC237">
            <v>-0.7</v>
          </cell>
          <cell r="GD237">
            <v>1.5</v>
          </cell>
          <cell r="GE237">
            <v>-3.4</v>
          </cell>
          <cell r="GF237">
            <v>-1</v>
          </cell>
          <cell r="GG237">
            <v>-1</v>
          </cell>
          <cell r="GH237">
            <v>0.8</v>
          </cell>
          <cell r="GI237">
            <v>1</v>
          </cell>
          <cell r="GJ237">
            <v>1.9</v>
          </cell>
          <cell r="GK237">
            <v>0.5</v>
          </cell>
          <cell r="GL237">
            <v>2.2000000000000002</v>
          </cell>
          <cell r="GM237">
            <v>-0.8</v>
          </cell>
          <cell r="GN237">
            <v>-1.2</v>
          </cell>
          <cell r="GO237">
            <v>-0.2</v>
          </cell>
          <cell r="GP237">
            <v>2.5</v>
          </cell>
          <cell r="GQ237">
            <v>-2.2000000000000002</v>
          </cell>
          <cell r="GR237">
            <v>0.2</v>
          </cell>
          <cell r="GS237">
            <v>1.1000000000000001</v>
          </cell>
          <cell r="GT237">
            <v>1.8</v>
          </cell>
          <cell r="GU237">
            <v>1.3</v>
          </cell>
          <cell r="GV237">
            <v>8.3000000000000007</v>
          </cell>
          <cell r="GW237">
            <v>-2.2000000000000002</v>
          </cell>
          <cell r="GX237">
            <v>-0.8</v>
          </cell>
          <cell r="GY237">
            <v>-0.5</v>
          </cell>
          <cell r="GZ237">
            <v>1.8</v>
          </cell>
          <cell r="HA237">
            <v>1.2</v>
          </cell>
          <cell r="HB237">
            <v>0.6</v>
          </cell>
          <cell r="HC237">
            <v>3.1</v>
          </cell>
          <cell r="HD237">
            <v>0.6</v>
          </cell>
          <cell r="HE237">
            <v>0.4</v>
          </cell>
          <cell r="HF237">
            <v>0.5</v>
          </cell>
          <cell r="HG237">
            <v>-1.8</v>
          </cell>
          <cell r="HH237">
            <v>0.7</v>
          </cell>
          <cell r="HI237">
            <v>0.9</v>
          </cell>
          <cell r="HJ237">
            <v>2.1</v>
          </cell>
          <cell r="HK237">
            <v>1</v>
          </cell>
          <cell r="HL237">
            <v>7793</v>
          </cell>
          <cell r="HM237">
            <v>1604</v>
          </cell>
          <cell r="HN237">
            <v>9399</v>
          </cell>
          <cell r="HO237">
            <v>4190</v>
          </cell>
          <cell r="HP237">
            <v>6170</v>
          </cell>
          <cell r="HQ237">
            <v>8116</v>
          </cell>
          <cell r="HR237">
            <v>3607</v>
          </cell>
          <cell r="HS237">
            <v>21975</v>
          </cell>
          <cell r="HT237">
            <v>1837</v>
          </cell>
          <cell r="HU237">
            <v>23807</v>
          </cell>
          <cell r="HV237">
            <v>6146</v>
          </cell>
          <cell r="HW237">
            <v>4512</v>
          </cell>
          <cell r="HX237">
            <v>3422</v>
          </cell>
          <cell r="HY237">
            <v>4454</v>
          </cell>
          <cell r="HZ237">
            <v>4914</v>
          </cell>
          <cell r="IA237">
            <v>23441</v>
          </cell>
          <cell r="IB237">
            <v>5755</v>
          </cell>
          <cell r="IC237">
            <v>384</v>
          </cell>
          <cell r="ID237">
            <v>4252</v>
          </cell>
          <cell r="IE237">
            <v>10388</v>
          </cell>
          <cell r="IF237">
            <v>6249</v>
          </cell>
          <cell r="IG237">
            <v>6965</v>
          </cell>
          <cell r="IH237">
            <v>16644</v>
          </cell>
          <cell r="II237">
            <v>29871</v>
          </cell>
          <cell r="IJ237">
            <v>15873</v>
          </cell>
          <cell r="IK237">
            <v>18086</v>
          </cell>
          <cell r="IL237">
            <v>9874</v>
          </cell>
          <cell r="IM237">
            <v>5798</v>
          </cell>
          <cell r="IN237">
            <v>2305</v>
          </cell>
          <cell r="IO237">
            <v>2784</v>
          </cell>
          <cell r="IP237">
            <v>8291</v>
          </cell>
          <cell r="IQ237">
            <v>19177</v>
          </cell>
        </row>
        <row r="238">
          <cell r="B238">
            <v>8876</v>
          </cell>
          <cell r="C238">
            <v>1634</v>
          </cell>
          <cell r="D238">
            <v>10509</v>
          </cell>
          <cell r="E238">
            <v>4398</v>
          </cell>
          <cell r="F238">
            <v>6261</v>
          </cell>
          <cell r="G238">
            <v>8535</v>
          </cell>
          <cell r="H238">
            <v>3719</v>
          </cell>
          <cell r="I238">
            <v>22783</v>
          </cell>
          <cell r="J238">
            <v>1814</v>
          </cell>
          <cell r="K238">
            <v>24593</v>
          </cell>
          <cell r="L238">
            <v>6458</v>
          </cell>
          <cell r="M238">
            <v>4691</v>
          </cell>
          <cell r="N238">
            <v>3822</v>
          </cell>
          <cell r="O238">
            <v>4654</v>
          </cell>
          <cell r="P238">
            <v>5299</v>
          </cell>
          <cell r="Q238">
            <v>24954</v>
          </cell>
          <cell r="R238">
            <v>5677</v>
          </cell>
          <cell r="S238">
            <v>456</v>
          </cell>
          <cell r="T238">
            <v>4141</v>
          </cell>
          <cell r="U238">
            <v>10275</v>
          </cell>
          <cell r="V238">
            <v>6782</v>
          </cell>
          <cell r="W238">
            <v>7067</v>
          </cell>
          <cell r="X238">
            <v>17879</v>
          </cell>
          <cell r="Y238">
            <v>31879</v>
          </cell>
          <cell r="Z238">
            <v>17132</v>
          </cell>
          <cell r="AA238">
            <v>18775</v>
          </cell>
          <cell r="AB238">
            <v>10149</v>
          </cell>
          <cell r="AC238">
            <v>6057</v>
          </cell>
          <cell r="AD238">
            <v>2347</v>
          </cell>
          <cell r="AE238">
            <v>2910</v>
          </cell>
          <cell r="AF238">
            <v>8717</v>
          </cell>
          <cell r="AG238">
            <v>20033</v>
          </cell>
          <cell r="AH238">
            <v>5829</v>
          </cell>
          <cell r="AI238">
            <v>5303</v>
          </cell>
          <cell r="AJ238">
            <v>11152</v>
          </cell>
          <cell r="AK238">
            <v>25855</v>
          </cell>
          <cell r="AL238">
            <v>10428</v>
          </cell>
          <cell r="AM238">
            <v>36285</v>
          </cell>
          <cell r="AN238">
            <v>1770</v>
          </cell>
          <cell r="AO238">
            <v>10958</v>
          </cell>
          <cell r="AP238">
            <v>12729</v>
          </cell>
          <cell r="AQ238">
            <v>6667</v>
          </cell>
          <cell r="AR238">
            <v>20992</v>
          </cell>
          <cell r="AS238">
            <v>27659</v>
          </cell>
          <cell r="AT238">
            <v>13454</v>
          </cell>
          <cell r="AU238">
            <v>23117</v>
          </cell>
          <cell r="AV238">
            <v>20378</v>
          </cell>
          <cell r="AW238">
            <v>28809</v>
          </cell>
          <cell r="AX238">
            <v>3491</v>
          </cell>
          <cell r="AY238">
            <v>7248</v>
          </cell>
          <cell r="AZ238">
            <v>36253</v>
          </cell>
          <cell r="BA238">
            <v>389046</v>
          </cell>
          <cell r="BB238">
            <v>29796</v>
          </cell>
          <cell r="BC238">
            <v>-88</v>
          </cell>
          <cell r="BD238">
            <v>418748</v>
          </cell>
          <cell r="BE238">
            <v>6.2</v>
          </cell>
          <cell r="BF238">
            <v>2.1</v>
          </cell>
          <cell r="BG238">
            <v>5.6</v>
          </cell>
          <cell r="BH238">
            <v>1.6</v>
          </cell>
          <cell r="BI238">
            <v>0.9</v>
          </cell>
          <cell r="BJ238">
            <v>1.8</v>
          </cell>
          <cell r="BK238">
            <v>-2.9</v>
          </cell>
          <cell r="BL238">
            <v>0.4</v>
          </cell>
          <cell r="BM238">
            <v>-3.7</v>
          </cell>
          <cell r="BN238">
            <v>0.1</v>
          </cell>
          <cell r="BO238">
            <v>1.9</v>
          </cell>
          <cell r="BP238">
            <v>-1</v>
          </cell>
          <cell r="BQ238">
            <v>0.5</v>
          </cell>
          <cell r="BR238">
            <v>-3.2</v>
          </cell>
          <cell r="BS238">
            <v>-1.6</v>
          </cell>
          <cell r="BT238">
            <v>-0.4</v>
          </cell>
          <cell r="BU238">
            <v>-0.1</v>
          </cell>
          <cell r="BV238">
            <v>1</v>
          </cell>
          <cell r="BW238">
            <v>-0.7</v>
          </cell>
          <cell r="BX238">
            <v>-0.3</v>
          </cell>
          <cell r="BY238">
            <v>-0.1</v>
          </cell>
          <cell r="BZ238">
            <v>-4.3</v>
          </cell>
          <cell r="CA238">
            <v>-1.7</v>
          </cell>
          <cell r="CB238">
            <v>-1.8</v>
          </cell>
          <cell r="CC238">
            <v>1.8</v>
          </cell>
          <cell r="CD238">
            <v>0.3</v>
          </cell>
          <cell r="CE238">
            <v>0.8</v>
          </cell>
          <cell r="CF238">
            <v>-0.4</v>
          </cell>
          <cell r="CG238">
            <v>0</v>
          </cell>
          <cell r="CH238">
            <v>0.1</v>
          </cell>
          <cell r="CI238">
            <v>0.7</v>
          </cell>
          <cell r="CJ238">
            <v>0.2</v>
          </cell>
          <cell r="CK238">
            <v>2.7</v>
          </cell>
          <cell r="CL238">
            <v>-1.2</v>
          </cell>
          <cell r="CM238">
            <v>0.4</v>
          </cell>
          <cell r="CN238">
            <v>0.9</v>
          </cell>
          <cell r="CO238">
            <v>1.2</v>
          </cell>
          <cell r="CP238">
            <v>1</v>
          </cell>
          <cell r="CQ238">
            <v>0.5</v>
          </cell>
          <cell r="CR238">
            <v>0.1</v>
          </cell>
          <cell r="CS238">
            <v>0.2</v>
          </cell>
          <cell r="CT238">
            <v>1.2</v>
          </cell>
          <cell r="CU238">
            <v>1.8</v>
          </cell>
          <cell r="CV238">
            <v>1.6</v>
          </cell>
          <cell r="CW238">
            <v>0.1</v>
          </cell>
          <cell r="CX238">
            <v>0.5</v>
          </cell>
          <cell r="CY238">
            <v>0.5</v>
          </cell>
          <cell r="CZ238">
            <v>1.6</v>
          </cell>
          <cell r="DA238">
            <v>0.4</v>
          </cell>
          <cell r="DB238">
            <v>-0.2</v>
          </cell>
          <cell r="DC238">
            <v>0.6</v>
          </cell>
          <cell r="DD238">
            <v>0.5</v>
          </cell>
          <cell r="DE238">
            <v>0.9</v>
          </cell>
          <cell r="DF238">
            <v>0.6</v>
          </cell>
          <cell r="DG238">
            <v>8809</v>
          </cell>
          <cell r="DH238">
            <v>1601</v>
          </cell>
          <cell r="DI238">
            <v>10410</v>
          </cell>
          <cell r="DJ238">
            <v>4438</v>
          </cell>
          <cell r="DK238">
            <v>6178</v>
          </cell>
          <cell r="DL238">
            <v>8435</v>
          </cell>
          <cell r="DM238">
            <v>3734</v>
          </cell>
          <cell r="DN238">
            <v>22597</v>
          </cell>
          <cell r="DO238">
            <v>1825</v>
          </cell>
          <cell r="DP238">
            <v>24419</v>
          </cell>
          <cell r="DQ238">
            <v>6460</v>
          </cell>
          <cell r="DR238">
            <v>4806</v>
          </cell>
          <cell r="DS238">
            <v>3851</v>
          </cell>
          <cell r="DT238">
            <v>4633</v>
          </cell>
          <cell r="DU238">
            <v>5277</v>
          </cell>
          <cell r="DV238">
            <v>25025</v>
          </cell>
          <cell r="DW238">
            <v>5689</v>
          </cell>
          <cell r="DX238">
            <v>449</v>
          </cell>
          <cell r="DY238">
            <v>4175</v>
          </cell>
          <cell r="DZ238">
            <v>10314</v>
          </cell>
          <cell r="EA238">
            <v>7044</v>
          </cell>
          <cell r="EB238">
            <v>7231</v>
          </cell>
          <cell r="EC238">
            <v>17855</v>
          </cell>
          <cell r="ED238">
            <v>32146</v>
          </cell>
          <cell r="EE238">
            <v>17184</v>
          </cell>
          <cell r="EF238">
            <v>18808</v>
          </cell>
          <cell r="EG238">
            <v>10158</v>
          </cell>
          <cell r="EH238">
            <v>6010</v>
          </cell>
          <cell r="EI238">
            <v>2336</v>
          </cell>
          <cell r="EJ238">
            <v>2902</v>
          </cell>
          <cell r="EK238">
            <v>8803</v>
          </cell>
          <cell r="EL238">
            <v>20054</v>
          </cell>
          <cell r="EM238">
            <v>5786</v>
          </cell>
          <cell r="EN238">
            <v>5336</v>
          </cell>
          <cell r="EO238">
            <v>11129</v>
          </cell>
          <cell r="EP238">
            <v>25895</v>
          </cell>
          <cell r="EQ238">
            <v>10482</v>
          </cell>
          <cell r="ER238">
            <v>36380</v>
          </cell>
          <cell r="ES238">
            <v>1736</v>
          </cell>
          <cell r="ET238">
            <v>11242</v>
          </cell>
          <cell r="EU238">
            <v>12980</v>
          </cell>
          <cell r="EV238">
            <v>6630</v>
          </cell>
          <cell r="EW238">
            <v>21216</v>
          </cell>
          <cell r="EX238">
            <v>27840</v>
          </cell>
          <cell r="EY238">
            <v>13557</v>
          </cell>
          <cell r="EZ238">
            <v>23053</v>
          </cell>
          <cell r="FA238">
            <v>20384</v>
          </cell>
          <cell r="FB238">
            <v>28865</v>
          </cell>
          <cell r="FC238">
            <v>3494</v>
          </cell>
          <cell r="FD238">
            <v>7398</v>
          </cell>
          <cell r="FE238">
            <v>36255</v>
          </cell>
          <cell r="FF238">
            <v>390017</v>
          </cell>
          <cell r="FG238">
            <v>30146</v>
          </cell>
          <cell r="FH238">
            <v>-233</v>
          </cell>
          <cell r="FI238">
            <v>419923</v>
          </cell>
          <cell r="FJ238">
            <v>5.4</v>
          </cell>
          <cell r="FK238">
            <v>-0.1</v>
          </cell>
          <cell r="FL238">
            <v>4.5</v>
          </cell>
          <cell r="FM238">
            <v>2.2999999999999998</v>
          </cell>
          <cell r="FN238">
            <v>-2.2999999999999998</v>
          </cell>
          <cell r="FO238">
            <v>-2.8</v>
          </cell>
          <cell r="FP238">
            <v>-1.8</v>
          </cell>
          <cell r="FQ238">
            <v>-1.7</v>
          </cell>
          <cell r="FR238">
            <v>-4.5</v>
          </cell>
          <cell r="FS238">
            <v>-1.9</v>
          </cell>
          <cell r="FT238">
            <v>0.8</v>
          </cell>
          <cell r="FU238">
            <v>3.3</v>
          </cell>
          <cell r="FV238">
            <v>4.3</v>
          </cell>
          <cell r="FW238">
            <v>-4.7</v>
          </cell>
          <cell r="FX238">
            <v>-2.5</v>
          </cell>
          <cell r="FY238">
            <v>0</v>
          </cell>
          <cell r="FZ238">
            <v>0.5</v>
          </cell>
          <cell r="GA238">
            <v>-2.2999999999999998</v>
          </cell>
          <cell r="GB238">
            <v>0.5</v>
          </cell>
          <cell r="GC238">
            <v>0.4</v>
          </cell>
          <cell r="GD238">
            <v>2.6</v>
          </cell>
          <cell r="GE238">
            <v>-1.9</v>
          </cell>
          <cell r="GF238">
            <v>-1.8</v>
          </cell>
          <cell r="GG238">
            <v>-0.9</v>
          </cell>
          <cell r="GH238">
            <v>2.6</v>
          </cell>
          <cell r="GI238">
            <v>0.2</v>
          </cell>
          <cell r="GJ238">
            <v>0.8</v>
          </cell>
          <cell r="GK238">
            <v>-1.8</v>
          </cell>
          <cell r="GL238">
            <v>-1.4</v>
          </cell>
          <cell r="GM238">
            <v>-0.1</v>
          </cell>
          <cell r="GN238">
            <v>2.6</v>
          </cell>
          <cell r="GO238">
            <v>0.4</v>
          </cell>
          <cell r="GP238">
            <v>1.8</v>
          </cell>
          <cell r="GQ238">
            <v>-1.3</v>
          </cell>
          <cell r="GR238">
            <v>0.2</v>
          </cell>
          <cell r="GS238">
            <v>0.9</v>
          </cell>
          <cell r="GT238">
            <v>1.5</v>
          </cell>
          <cell r="GU238">
            <v>1.1000000000000001</v>
          </cell>
          <cell r="GV238">
            <v>-6.2</v>
          </cell>
          <cell r="GW238">
            <v>5.2</v>
          </cell>
          <cell r="GX238">
            <v>3.6</v>
          </cell>
          <cell r="GY238">
            <v>0.6</v>
          </cell>
          <cell r="GZ238">
            <v>3.2</v>
          </cell>
          <cell r="HA238">
            <v>2.5</v>
          </cell>
          <cell r="HB238">
            <v>1.2</v>
          </cell>
          <cell r="HC238">
            <v>-1.1000000000000001</v>
          </cell>
          <cell r="HD238">
            <v>0.5</v>
          </cell>
          <cell r="HE238">
            <v>2.4</v>
          </cell>
          <cell r="HF238">
            <v>0.6</v>
          </cell>
          <cell r="HG238">
            <v>3</v>
          </cell>
          <cell r="HH238">
            <v>0.6</v>
          </cell>
          <cell r="HI238">
            <v>0.8</v>
          </cell>
          <cell r="HJ238">
            <v>2.2000000000000002</v>
          </cell>
          <cell r="HK238">
            <v>0.8</v>
          </cell>
          <cell r="HL238">
            <v>7474</v>
          </cell>
          <cell r="HM238">
            <v>1596</v>
          </cell>
          <cell r="HN238">
            <v>9072</v>
          </cell>
          <cell r="HO238">
            <v>4456</v>
          </cell>
          <cell r="HP238">
            <v>5975</v>
          </cell>
          <cell r="HQ238">
            <v>8637</v>
          </cell>
          <cell r="HR238">
            <v>3749</v>
          </cell>
          <cell r="HS238">
            <v>22530</v>
          </cell>
          <cell r="HT238">
            <v>1878</v>
          </cell>
          <cell r="HU238">
            <v>24398</v>
          </cell>
          <cell r="HV238">
            <v>6336</v>
          </cell>
          <cell r="HW238">
            <v>4785</v>
          </cell>
          <cell r="HX238">
            <v>3899</v>
          </cell>
          <cell r="HY238">
            <v>4710</v>
          </cell>
          <cell r="HZ238">
            <v>5265</v>
          </cell>
          <cell r="IA238">
            <v>24997</v>
          </cell>
          <cell r="IB238">
            <v>5615</v>
          </cell>
          <cell r="IC238">
            <v>475</v>
          </cell>
          <cell r="ID238">
            <v>4106</v>
          </cell>
          <cell r="IE238">
            <v>10197</v>
          </cell>
          <cell r="IF238">
            <v>7125</v>
          </cell>
          <cell r="IG238">
            <v>7566</v>
          </cell>
          <cell r="IH238">
            <v>18155</v>
          </cell>
          <cell r="II238">
            <v>32854</v>
          </cell>
          <cell r="IJ238">
            <v>17357</v>
          </cell>
          <cell r="IK238">
            <v>18117</v>
          </cell>
          <cell r="IL238">
            <v>9847</v>
          </cell>
          <cell r="IM238">
            <v>6020</v>
          </cell>
          <cell r="IN238">
            <v>2234</v>
          </cell>
          <cell r="IO238">
            <v>2898</v>
          </cell>
          <cell r="IP238">
            <v>8727</v>
          </cell>
          <cell r="IQ238">
            <v>19881</v>
          </cell>
        </row>
        <row r="239">
          <cell r="B239">
            <v>9602</v>
          </cell>
          <cell r="C239">
            <v>1672</v>
          </cell>
          <cell r="D239">
            <v>11274</v>
          </cell>
          <cell r="E239">
            <v>4447</v>
          </cell>
          <cell r="F239">
            <v>6330</v>
          </cell>
          <cell r="G239">
            <v>8639</v>
          </cell>
          <cell r="H239">
            <v>3691</v>
          </cell>
          <cell r="I239">
            <v>23036</v>
          </cell>
          <cell r="J239">
            <v>1702</v>
          </cell>
          <cell r="K239">
            <v>24737</v>
          </cell>
          <cell r="L239">
            <v>6567</v>
          </cell>
          <cell r="M239">
            <v>4674</v>
          </cell>
          <cell r="N239">
            <v>3837</v>
          </cell>
          <cell r="O239">
            <v>4505</v>
          </cell>
          <cell r="P239">
            <v>5221</v>
          </cell>
          <cell r="Q239">
            <v>24787</v>
          </cell>
          <cell r="R239">
            <v>5696</v>
          </cell>
          <cell r="S239">
            <v>450</v>
          </cell>
          <cell r="T239">
            <v>4128</v>
          </cell>
          <cell r="U239">
            <v>10274</v>
          </cell>
          <cell r="V239">
            <v>6814</v>
          </cell>
          <cell r="W239">
            <v>6828</v>
          </cell>
          <cell r="X239">
            <v>17493</v>
          </cell>
          <cell r="Y239">
            <v>31238</v>
          </cell>
          <cell r="Z239">
            <v>17477</v>
          </cell>
          <cell r="AA239">
            <v>18783</v>
          </cell>
          <cell r="AB239">
            <v>10144</v>
          </cell>
          <cell r="AC239">
            <v>6075</v>
          </cell>
          <cell r="AD239">
            <v>2339</v>
          </cell>
          <cell r="AE239">
            <v>2932</v>
          </cell>
          <cell r="AF239">
            <v>8832</v>
          </cell>
          <cell r="AG239">
            <v>20180</v>
          </cell>
          <cell r="AH239">
            <v>5964</v>
          </cell>
          <cell r="AI239">
            <v>5207</v>
          </cell>
          <cell r="AJ239">
            <v>11161</v>
          </cell>
          <cell r="AK239">
            <v>26076</v>
          </cell>
          <cell r="AL239">
            <v>10489</v>
          </cell>
          <cell r="AM239">
            <v>36566</v>
          </cell>
          <cell r="AN239">
            <v>1779</v>
          </cell>
          <cell r="AO239">
            <v>10998</v>
          </cell>
          <cell r="AP239">
            <v>12778</v>
          </cell>
          <cell r="AQ239">
            <v>6829</v>
          </cell>
          <cell r="AR239">
            <v>21283</v>
          </cell>
          <cell r="AS239">
            <v>28110</v>
          </cell>
          <cell r="AT239">
            <v>13367</v>
          </cell>
          <cell r="AU239">
            <v>23148</v>
          </cell>
          <cell r="AV239">
            <v>20465</v>
          </cell>
          <cell r="AW239">
            <v>29349</v>
          </cell>
          <cell r="AX239">
            <v>3492</v>
          </cell>
          <cell r="AY239">
            <v>7223</v>
          </cell>
          <cell r="AZ239">
            <v>36461</v>
          </cell>
          <cell r="BA239">
            <v>391091</v>
          </cell>
          <cell r="BB239">
            <v>29651</v>
          </cell>
          <cell r="BC239">
            <v>-301</v>
          </cell>
          <cell r="BD239">
            <v>420438</v>
          </cell>
          <cell r="BE239">
            <v>8.1999999999999993</v>
          </cell>
          <cell r="BF239">
            <v>2.2999999999999998</v>
          </cell>
          <cell r="BG239">
            <v>7.3</v>
          </cell>
          <cell r="BH239">
            <v>1.1000000000000001</v>
          </cell>
          <cell r="BI239">
            <v>1.1000000000000001</v>
          </cell>
          <cell r="BJ239">
            <v>1.2</v>
          </cell>
          <cell r="BK239">
            <v>-0.8</v>
          </cell>
          <cell r="BL239">
            <v>1.1000000000000001</v>
          </cell>
          <cell r="BM239">
            <v>-6.2</v>
          </cell>
          <cell r="BN239">
            <v>0.6</v>
          </cell>
          <cell r="BO239">
            <v>1.7</v>
          </cell>
          <cell r="BP239">
            <v>-0.4</v>
          </cell>
          <cell r="BQ239">
            <v>0.4</v>
          </cell>
          <cell r="BR239">
            <v>-3.2</v>
          </cell>
          <cell r="BS239">
            <v>-1.5</v>
          </cell>
          <cell r="BT239">
            <v>-0.7</v>
          </cell>
          <cell r="BU239">
            <v>0.3</v>
          </cell>
          <cell r="BV239">
            <v>-1.3</v>
          </cell>
          <cell r="BW239">
            <v>-0.3</v>
          </cell>
          <cell r="BX239">
            <v>0</v>
          </cell>
          <cell r="BY239">
            <v>0.5</v>
          </cell>
          <cell r="BZ239">
            <v>-3.4</v>
          </cell>
          <cell r="CA239">
            <v>-2.2000000000000002</v>
          </cell>
          <cell r="CB239">
            <v>-2</v>
          </cell>
          <cell r="CC239">
            <v>2</v>
          </cell>
          <cell r="CD239">
            <v>0</v>
          </cell>
          <cell r="CE239">
            <v>-0.1</v>
          </cell>
          <cell r="CF239">
            <v>0.3</v>
          </cell>
          <cell r="CG239">
            <v>-0.3</v>
          </cell>
          <cell r="CH239">
            <v>0.7</v>
          </cell>
          <cell r="CI239">
            <v>1.3</v>
          </cell>
          <cell r="CJ239">
            <v>0.7</v>
          </cell>
          <cell r="CK239">
            <v>2.2999999999999998</v>
          </cell>
          <cell r="CL239">
            <v>-1.8</v>
          </cell>
          <cell r="CM239">
            <v>0.1</v>
          </cell>
          <cell r="CN239">
            <v>0.9</v>
          </cell>
          <cell r="CO239">
            <v>0.6</v>
          </cell>
          <cell r="CP239">
            <v>0.8</v>
          </cell>
          <cell r="CQ239">
            <v>0.5</v>
          </cell>
          <cell r="CR239">
            <v>0.4</v>
          </cell>
          <cell r="CS239">
            <v>0.4</v>
          </cell>
          <cell r="CT239">
            <v>2.4</v>
          </cell>
          <cell r="CU239">
            <v>1.4</v>
          </cell>
          <cell r="CV239">
            <v>1.6</v>
          </cell>
          <cell r="CW239">
            <v>-0.6</v>
          </cell>
          <cell r="CX239">
            <v>0.1</v>
          </cell>
          <cell r="CY239">
            <v>0.4</v>
          </cell>
          <cell r="CZ239">
            <v>1.9</v>
          </cell>
          <cell r="DA239">
            <v>0</v>
          </cell>
          <cell r="DB239">
            <v>-0.3</v>
          </cell>
          <cell r="DC239">
            <v>0.6</v>
          </cell>
          <cell r="DD239">
            <v>0.5</v>
          </cell>
          <cell r="DE239">
            <v>-0.5</v>
          </cell>
          <cell r="DF239">
            <v>0.4</v>
          </cell>
          <cell r="DG239">
            <v>9637</v>
          </cell>
          <cell r="DH239">
            <v>1704</v>
          </cell>
          <cell r="DI239">
            <v>11341</v>
          </cell>
          <cell r="DJ239">
            <v>4384</v>
          </cell>
          <cell r="DK239">
            <v>6286</v>
          </cell>
          <cell r="DL239">
            <v>8561</v>
          </cell>
          <cell r="DM239">
            <v>3667</v>
          </cell>
          <cell r="DN239">
            <v>22898</v>
          </cell>
          <cell r="DO239">
            <v>1696</v>
          </cell>
          <cell r="DP239">
            <v>24594</v>
          </cell>
          <cell r="DQ239">
            <v>6486</v>
          </cell>
          <cell r="DR239">
            <v>4666</v>
          </cell>
          <cell r="DS239">
            <v>3919</v>
          </cell>
          <cell r="DT239">
            <v>4521</v>
          </cell>
          <cell r="DU239">
            <v>5233</v>
          </cell>
          <cell r="DV239">
            <v>24826</v>
          </cell>
          <cell r="DW239">
            <v>5689</v>
          </cell>
          <cell r="DX239">
            <v>458</v>
          </cell>
          <cell r="DY239">
            <v>4080</v>
          </cell>
          <cell r="DZ239">
            <v>10227</v>
          </cell>
          <cell r="EA239">
            <v>6781</v>
          </cell>
          <cell r="EB239">
            <v>6654</v>
          </cell>
          <cell r="EC239">
            <v>17588</v>
          </cell>
          <cell r="ED239">
            <v>31022</v>
          </cell>
          <cell r="EE239">
            <v>17438</v>
          </cell>
          <cell r="EF239">
            <v>18720</v>
          </cell>
          <cell r="EG239">
            <v>10246</v>
          </cell>
          <cell r="EH239">
            <v>6073</v>
          </cell>
          <cell r="EI239">
            <v>2337</v>
          </cell>
          <cell r="EJ239">
            <v>2942</v>
          </cell>
          <cell r="EK239">
            <v>8791</v>
          </cell>
          <cell r="EL239">
            <v>20142</v>
          </cell>
          <cell r="EM239">
            <v>6011</v>
          </cell>
          <cell r="EN239">
            <v>5155</v>
          </cell>
          <cell r="EO239">
            <v>11166</v>
          </cell>
          <cell r="EP239">
            <v>26017</v>
          </cell>
          <cell r="EQ239">
            <v>10451</v>
          </cell>
          <cell r="ER239">
            <v>36468</v>
          </cell>
          <cell r="ES239">
            <v>1729</v>
          </cell>
          <cell r="ET239">
            <v>10852</v>
          </cell>
          <cell r="EU239">
            <v>12582</v>
          </cell>
          <cell r="EV239">
            <v>6770</v>
          </cell>
          <cell r="EW239">
            <v>21163</v>
          </cell>
          <cell r="EX239">
            <v>27931</v>
          </cell>
          <cell r="EY239">
            <v>13413</v>
          </cell>
          <cell r="EZ239">
            <v>22929</v>
          </cell>
          <cell r="FA239">
            <v>20459</v>
          </cell>
          <cell r="FB239">
            <v>29424</v>
          </cell>
          <cell r="FC239">
            <v>3490</v>
          </cell>
          <cell r="FD239">
            <v>7032</v>
          </cell>
          <cell r="FE239">
            <v>36461</v>
          </cell>
          <cell r="FF239">
            <v>389913</v>
          </cell>
          <cell r="FG239">
            <v>29484</v>
          </cell>
          <cell r="FH239">
            <v>-312</v>
          </cell>
          <cell r="FI239">
            <v>419086</v>
          </cell>
          <cell r="FJ239">
            <v>9.4</v>
          </cell>
          <cell r="FK239">
            <v>6.5</v>
          </cell>
          <cell r="FL239">
            <v>8.9</v>
          </cell>
          <cell r="FM239">
            <v>-1.2</v>
          </cell>
          <cell r="FN239">
            <v>1.7</v>
          </cell>
          <cell r="FO239">
            <v>1.5</v>
          </cell>
          <cell r="FP239">
            <v>-1.8</v>
          </cell>
          <cell r="FQ239">
            <v>1.3</v>
          </cell>
          <cell r="FR239">
            <v>-7</v>
          </cell>
          <cell r="FS239">
            <v>0.7</v>
          </cell>
          <cell r="FT239">
            <v>0.4</v>
          </cell>
          <cell r="FU239">
            <v>-2.9</v>
          </cell>
          <cell r="FV239">
            <v>1.8</v>
          </cell>
          <cell r="FW239">
            <v>-2.4</v>
          </cell>
          <cell r="FX239">
            <v>-0.8</v>
          </cell>
          <cell r="FY239">
            <v>-0.8</v>
          </cell>
          <cell r="FZ239">
            <v>0</v>
          </cell>
          <cell r="GA239">
            <v>2</v>
          </cell>
          <cell r="GB239">
            <v>-2.2999999999999998</v>
          </cell>
          <cell r="GC239">
            <v>-0.8</v>
          </cell>
          <cell r="GD239">
            <v>-3.7</v>
          </cell>
          <cell r="GE239">
            <v>-8</v>
          </cell>
          <cell r="GF239">
            <v>-1.5</v>
          </cell>
          <cell r="GG239">
            <v>-3.5</v>
          </cell>
          <cell r="GH239">
            <v>1.5</v>
          </cell>
          <cell r="GI239">
            <v>-0.5</v>
          </cell>
          <cell r="GJ239">
            <v>0.9</v>
          </cell>
          <cell r="GK239">
            <v>1</v>
          </cell>
          <cell r="GL239">
            <v>0</v>
          </cell>
          <cell r="GM239">
            <v>1.4</v>
          </cell>
          <cell r="GN239">
            <v>-0.1</v>
          </cell>
          <cell r="GO239">
            <v>0.4</v>
          </cell>
          <cell r="GP239">
            <v>3.9</v>
          </cell>
          <cell r="GQ239">
            <v>-3.4</v>
          </cell>
          <cell r="GR239">
            <v>0.3</v>
          </cell>
          <cell r="GS239">
            <v>0.5</v>
          </cell>
          <cell r="GT239">
            <v>-0.3</v>
          </cell>
          <cell r="GU239">
            <v>0.2</v>
          </cell>
          <cell r="GV239">
            <v>-0.4</v>
          </cell>
          <cell r="GW239">
            <v>-3.5</v>
          </cell>
          <cell r="GX239">
            <v>-3.1</v>
          </cell>
          <cell r="GY239">
            <v>2.1</v>
          </cell>
          <cell r="GZ239">
            <v>-0.3</v>
          </cell>
          <cell r="HA239">
            <v>0.3</v>
          </cell>
          <cell r="HB239">
            <v>-1.1000000000000001</v>
          </cell>
          <cell r="HC239">
            <v>-0.5</v>
          </cell>
          <cell r="HD239">
            <v>0.4</v>
          </cell>
          <cell r="HE239">
            <v>1.9</v>
          </cell>
          <cell r="HF239">
            <v>-0.1</v>
          </cell>
          <cell r="HG239">
            <v>-4.9000000000000004</v>
          </cell>
          <cell r="HH239">
            <v>0.6</v>
          </cell>
          <cell r="HI239">
            <v>0</v>
          </cell>
          <cell r="HJ239">
            <v>-2.2000000000000002</v>
          </cell>
          <cell r="HK239">
            <v>-0.2</v>
          </cell>
          <cell r="HL239">
            <v>5684</v>
          </cell>
          <cell r="HM239">
            <v>1707</v>
          </cell>
          <cell r="HN239">
            <v>7390</v>
          </cell>
          <cell r="HO239">
            <v>4523</v>
          </cell>
          <cell r="HP239">
            <v>6565</v>
          </cell>
          <cell r="HQ239">
            <v>8789</v>
          </cell>
          <cell r="HR239">
            <v>3697</v>
          </cell>
          <cell r="HS239">
            <v>23575</v>
          </cell>
          <cell r="HT239">
            <v>1685</v>
          </cell>
          <cell r="HU239">
            <v>25259</v>
          </cell>
          <cell r="HV239">
            <v>6382</v>
          </cell>
          <cell r="HW239">
            <v>4767</v>
          </cell>
          <cell r="HX239">
            <v>4007</v>
          </cell>
          <cell r="HY239">
            <v>4711</v>
          </cell>
          <cell r="HZ239">
            <v>5509</v>
          </cell>
          <cell r="IA239">
            <v>25376</v>
          </cell>
          <cell r="IB239">
            <v>5826</v>
          </cell>
          <cell r="IC239">
            <v>563</v>
          </cell>
          <cell r="ID239">
            <v>3951</v>
          </cell>
          <cell r="IE239">
            <v>10339</v>
          </cell>
          <cell r="IF239">
            <v>7014</v>
          </cell>
          <cell r="IG239">
            <v>6553</v>
          </cell>
          <cell r="IH239">
            <v>17824</v>
          </cell>
          <cell r="II239">
            <v>31392</v>
          </cell>
          <cell r="IJ239">
            <v>17510</v>
          </cell>
          <cell r="IK239">
            <v>18275</v>
          </cell>
          <cell r="IL239">
            <v>10293</v>
          </cell>
          <cell r="IM239">
            <v>6206</v>
          </cell>
          <cell r="IN239">
            <v>2431</v>
          </cell>
          <cell r="IO239">
            <v>3026</v>
          </cell>
          <cell r="IP239">
            <v>8761</v>
          </cell>
          <cell r="IQ239">
            <v>20425</v>
          </cell>
        </row>
        <row r="240">
          <cell r="B240">
            <v>10208</v>
          </cell>
          <cell r="C240">
            <v>1697</v>
          </cell>
          <cell r="D240">
            <v>11905</v>
          </cell>
          <cell r="E240">
            <v>4417</v>
          </cell>
          <cell r="F240">
            <v>6531</v>
          </cell>
          <cell r="G240">
            <v>8754</v>
          </cell>
          <cell r="H240">
            <v>3689</v>
          </cell>
          <cell r="I240">
            <v>23389</v>
          </cell>
          <cell r="J240">
            <v>1592</v>
          </cell>
          <cell r="K240">
            <v>24982</v>
          </cell>
          <cell r="L240">
            <v>6594</v>
          </cell>
          <cell r="M240">
            <v>4691</v>
          </cell>
          <cell r="N240">
            <v>3800</v>
          </cell>
          <cell r="O240">
            <v>4444</v>
          </cell>
          <cell r="P240">
            <v>5171</v>
          </cell>
          <cell r="Q240">
            <v>24615</v>
          </cell>
          <cell r="R240">
            <v>5703</v>
          </cell>
          <cell r="S240">
            <v>444</v>
          </cell>
          <cell r="T240">
            <v>4163</v>
          </cell>
          <cell r="U240">
            <v>10310</v>
          </cell>
          <cell r="V240">
            <v>6896</v>
          </cell>
          <cell r="W240">
            <v>6751</v>
          </cell>
          <cell r="X240">
            <v>17317</v>
          </cell>
          <cell r="Y240">
            <v>30983</v>
          </cell>
          <cell r="Z240">
            <v>17726</v>
          </cell>
          <cell r="AA240">
            <v>18855</v>
          </cell>
          <cell r="AB240">
            <v>10125</v>
          </cell>
          <cell r="AC240">
            <v>6125</v>
          </cell>
          <cell r="AD240">
            <v>2345</v>
          </cell>
          <cell r="AE240">
            <v>2966</v>
          </cell>
          <cell r="AF240">
            <v>8930</v>
          </cell>
          <cell r="AG240">
            <v>20366</v>
          </cell>
          <cell r="AH240">
            <v>6068</v>
          </cell>
          <cell r="AI240">
            <v>5154</v>
          </cell>
          <cell r="AJ240">
            <v>11222</v>
          </cell>
          <cell r="AK240">
            <v>26333</v>
          </cell>
          <cell r="AL240">
            <v>10613</v>
          </cell>
          <cell r="AM240">
            <v>36947</v>
          </cell>
          <cell r="AN240">
            <v>1828</v>
          </cell>
          <cell r="AO240">
            <v>11080</v>
          </cell>
          <cell r="AP240">
            <v>12909</v>
          </cell>
          <cell r="AQ240">
            <v>7053</v>
          </cell>
          <cell r="AR240">
            <v>21496</v>
          </cell>
          <cell r="AS240">
            <v>28548</v>
          </cell>
          <cell r="AT240">
            <v>13293</v>
          </cell>
          <cell r="AU240">
            <v>23239</v>
          </cell>
          <cell r="AV240">
            <v>20554</v>
          </cell>
          <cell r="AW240">
            <v>29785</v>
          </cell>
          <cell r="AX240">
            <v>3484</v>
          </cell>
          <cell r="AY240">
            <v>7155</v>
          </cell>
          <cell r="AZ240">
            <v>36664</v>
          </cell>
          <cell r="BA240">
            <v>393657</v>
          </cell>
          <cell r="BB240">
            <v>29392</v>
          </cell>
          <cell r="BC240">
            <v>-827</v>
          </cell>
          <cell r="BD240">
            <v>422223</v>
          </cell>
          <cell r="BE240">
            <v>6.3</v>
          </cell>
          <cell r="BF240">
            <v>1.5</v>
          </cell>
          <cell r="BG240">
            <v>5.6</v>
          </cell>
          <cell r="BH240">
            <v>-0.7</v>
          </cell>
          <cell r="BI240">
            <v>3.2</v>
          </cell>
          <cell r="BJ240">
            <v>1.3</v>
          </cell>
          <cell r="BK240">
            <v>-0.1</v>
          </cell>
          <cell r="BL240">
            <v>1.5</v>
          </cell>
          <cell r="BM240">
            <v>-6.5</v>
          </cell>
          <cell r="BN240">
            <v>1</v>
          </cell>
          <cell r="BO240">
            <v>0.4</v>
          </cell>
          <cell r="BP240">
            <v>0.4</v>
          </cell>
          <cell r="BQ240">
            <v>-1</v>
          </cell>
          <cell r="BR240">
            <v>-1.3</v>
          </cell>
          <cell r="BS240">
            <v>-1</v>
          </cell>
          <cell r="BT240">
            <v>-0.7</v>
          </cell>
          <cell r="BU240">
            <v>0.1</v>
          </cell>
          <cell r="BV240">
            <v>-1.4</v>
          </cell>
          <cell r="BW240">
            <v>0.9</v>
          </cell>
          <cell r="BX240">
            <v>0.3</v>
          </cell>
          <cell r="BY240">
            <v>1.2</v>
          </cell>
          <cell r="BZ240">
            <v>-1.1000000000000001</v>
          </cell>
          <cell r="CA240">
            <v>-1</v>
          </cell>
          <cell r="CB240">
            <v>-0.8</v>
          </cell>
          <cell r="CC240">
            <v>1.4</v>
          </cell>
          <cell r="CD240">
            <v>0.4</v>
          </cell>
          <cell r="CE240">
            <v>-0.2</v>
          </cell>
          <cell r="CF240">
            <v>0.8</v>
          </cell>
          <cell r="CG240">
            <v>0.2</v>
          </cell>
          <cell r="CH240">
            <v>1.2</v>
          </cell>
          <cell r="CI240">
            <v>1.1000000000000001</v>
          </cell>
          <cell r="CJ240">
            <v>0.9</v>
          </cell>
          <cell r="CK240">
            <v>1.7</v>
          </cell>
          <cell r="CL240">
            <v>-1</v>
          </cell>
          <cell r="CM240">
            <v>0.5</v>
          </cell>
          <cell r="CN240">
            <v>1</v>
          </cell>
          <cell r="CO240">
            <v>1.2</v>
          </cell>
          <cell r="CP240">
            <v>1</v>
          </cell>
          <cell r="CQ240">
            <v>2.8</v>
          </cell>
          <cell r="CR240">
            <v>0.7</v>
          </cell>
          <cell r="CS240">
            <v>1</v>
          </cell>
          <cell r="CT240">
            <v>3.3</v>
          </cell>
          <cell r="CU240">
            <v>1</v>
          </cell>
          <cell r="CV240">
            <v>1.6</v>
          </cell>
          <cell r="CW240">
            <v>-0.6</v>
          </cell>
          <cell r="CX240">
            <v>0.4</v>
          </cell>
          <cell r="CY240">
            <v>0.4</v>
          </cell>
          <cell r="CZ240">
            <v>1.5</v>
          </cell>
          <cell r="DA240">
            <v>-0.2</v>
          </cell>
          <cell r="DB240">
            <v>-0.9</v>
          </cell>
          <cell r="DC240">
            <v>0.6</v>
          </cell>
          <cell r="DD240">
            <v>0.7</v>
          </cell>
          <cell r="DE240">
            <v>-0.9</v>
          </cell>
          <cell r="DF240">
            <v>0.4</v>
          </cell>
          <cell r="DG240">
            <v>10251</v>
          </cell>
          <cell r="DH240">
            <v>1693</v>
          </cell>
          <cell r="DI240">
            <v>11944</v>
          </cell>
          <cell r="DJ240">
            <v>4468</v>
          </cell>
          <cell r="DK240">
            <v>6590</v>
          </cell>
          <cell r="DL240">
            <v>8776</v>
          </cell>
          <cell r="DM240">
            <v>3698</v>
          </cell>
          <cell r="DN240">
            <v>23532</v>
          </cell>
          <cell r="DO240">
            <v>1590</v>
          </cell>
          <cell r="DP240">
            <v>25122</v>
          </cell>
          <cell r="DQ240">
            <v>6755</v>
          </cell>
          <cell r="DR240">
            <v>4585</v>
          </cell>
          <cell r="DS240">
            <v>3782</v>
          </cell>
          <cell r="DT240">
            <v>4378</v>
          </cell>
          <cell r="DU240">
            <v>5129</v>
          </cell>
          <cell r="DV240">
            <v>24629</v>
          </cell>
          <cell r="DW240">
            <v>5689</v>
          </cell>
          <cell r="DX240">
            <v>436</v>
          </cell>
          <cell r="DY240">
            <v>4168</v>
          </cell>
          <cell r="DZ240">
            <v>10292</v>
          </cell>
          <cell r="EA240">
            <v>6951</v>
          </cell>
          <cell r="EB240">
            <v>6712</v>
          </cell>
          <cell r="EC240">
            <v>17120</v>
          </cell>
          <cell r="ED240">
            <v>30783</v>
          </cell>
          <cell r="EE240">
            <v>17756</v>
          </cell>
          <cell r="EF240">
            <v>18866</v>
          </cell>
          <cell r="EG240">
            <v>9997</v>
          </cell>
          <cell r="EH240">
            <v>6131</v>
          </cell>
          <cell r="EI240">
            <v>2342</v>
          </cell>
          <cell r="EJ240">
            <v>2941</v>
          </cell>
          <cell r="EK240">
            <v>8897</v>
          </cell>
          <cell r="EL240">
            <v>20311</v>
          </cell>
          <cell r="EM240">
            <v>6091</v>
          </cell>
          <cell r="EN240">
            <v>5152</v>
          </cell>
          <cell r="EO240">
            <v>11243</v>
          </cell>
          <cell r="EP240">
            <v>26341</v>
          </cell>
          <cell r="EQ240">
            <v>10596</v>
          </cell>
          <cell r="ER240">
            <v>36937</v>
          </cell>
          <cell r="ES240">
            <v>1883</v>
          </cell>
          <cell r="ET240">
            <v>11001</v>
          </cell>
          <cell r="EU240">
            <v>12883</v>
          </cell>
          <cell r="EV240">
            <v>7203</v>
          </cell>
          <cell r="EW240">
            <v>21448</v>
          </cell>
          <cell r="EX240">
            <v>28651</v>
          </cell>
          <cell r="EY240">
            <v>13128</v>
          </cell>
          <cell r="EZ240">
            <v>23384</v>
          </cell>
          <cell r="FA240">
            <v>20552</v>
          </cell>
          <cell r="FB240">
            <v>29755</v>
          </cell>
          <cell r="FC240">
            <v>3489</v>
          </cell>
          <cell r="FD240">
            <v>7335</v>
          </cell>
          <cell r="FE240">
            <v>36662</v>
          </cell>
          <cell r="FF240">
            <v>393720</v>
          </cell>
          <cell r="FG240">
            <v>29412</v>
          </cell>
          <cell r="FH240">
            <v>-430</v>
          </cell>
          <cell r="FI240">
            <v>422701</v>
          </cell>
          <cell r="FJ240">
            <v>6.4</v>
          </cell>
          <cell r="FK240">
            <v>-0.7</v>
          </cell>
          <cell r="FL240">
            <v>5.3</v>
          </cell>
          <cell r="FM240">
            <v>1.9</v>
          </cell>
          <cell r="FN240">
            <v>4.8</v>
          </cell>
          <cell r="FO240">
            <v>2.5</v>
          </cell>
          <cell r="FP240">
            <v>0.8</v>
          </cell>
          <cell r="FQ240">
            <v>2.8</v>
          </cell>
          <cell r="FR240">
            <v>-6.2</v>
          </cell>
          <cell r="FS240">
            <v>2.1</v>
          </cell>
          <cell r="FT240">
            <v>4.0999999999999996</v>
          </cell>
          <cell r="FU240">
            <v>-1.7</v>
          </cell>
          <cell r="FV240">
            <v>-3.5</v>
          </cell>
          <cell r="FW240">
            <v>-3.2</v>
          </cell>
          <cell r="FX240">
            <v>-2</v>
          </cell>
          <cell r="FY240">
            <v>-0.8</v>
          </cell>
          <cell r="FZ240">
            <v>0</v>
          </cell>
          <cell r="GA240">
            <v>-4.8</v>
          </cell>
          <cell r="GB240">
            <v>2.2000000000000002</v>
          </cell>
          <cell r="GC240">
            <v>0.6</v>
          </cell>
          <cell r="GD240">
            <v>2.5</v>
          </cell>
          <cell r="GE240">
            <v>0.9</v>
          </cell>
          <cell r="GF240">
            <v>-2.7</v>
          </cell>
          <cell r="GG240">
            <v>-0.8</v>
          </cell>
          <cell r="GH240">
            <v>1.8</v>
          </cell>
          <cell r="GI240">
            <v>0.8</v>
          </cell>
          <cell r="GJ240">
            <v>-2.4</v>
          </cell>
          <cell r="GK240">
            <v>1</v>
          </cell>
          <cell r="GL240">
            <v>0.2</v>
          </cell>
          <cell r="GM240">
            <v>-0.1</v>
          </cell>
          <cell r="GN240">
            <v>1.2</v>
          </cell>
          <cell r="GO240">
            <v>0.8</v>
          </cell>
          <cell r="GP240">
            <v>1.3</v>
          </cell>
          <cell r="GQ240">
            <v>-0.1</v>
          </cell>
          <cell r="GR240">
            <v>0.7</v>
          </cell>
          <cell r="GS240">
            <v>1.2</v>
          </cell>
          <cell r="GT240">
            <v>1.4</v>
          </cell>
          <cell r="GU240">
            <v>1.3</v>
          </cell>
          <cell r="GV240">
            <v>8.9</v>
          </cell>
          <cell r="GW240">
            <v>1.4</v>
          </cell>
          <cell r="GX240">
            <v>2.4</v>
          </cell>
          <cell r="GY240">
            <v>6.4</v>
          </cell>
          <cell r="GZ240">
            <v>1.3</v>
          </cell>
          <cell r="HA240">
            <v>2.6</v>
          </cell>
          <cell r="HB240">
            <v>-2.1</v>
          </cell>
          <cell r="HC240">
            <v>2</v>
          </cell>
          <cell r="HD240">
            <v>0.5</v>
          </cell>
          <cell r="HE240">
            <v>1.1000000000000001</v>
          </cell>
          <cell r="HF240">
            <v>0</v>
          </cell>
          <cell r="HG240">
            <v>4.3</v>
          </cell>
          <cell r="HH240">
            <v>0.6</v>
          </cell>
          <cell r="HI240">
            <v>1</v>
          </cell>
          <cell r="HJ240">
            <v>-0.2</v>
          </cell>
          <cell r="HK240">
            <v>0.9</v>
          </cell>
          <cell r="HL240">
            <v>16023</v>
          </cell>
          <cell r="HM240">
            <v>1696</v>
          </cell>
          <cell r="HN240">
            <v>17719</v>
          </cell>
          <cell r="HO240">
            <v>4462</v>
          </cell>
          <cell r="HP240">
            <v>6705</v>
          </cell>
          <cell r="HQ240">
            <v>8935</v>
          </cell>
          <cell r="HR240">
            <v>3833</v>
          </cell>
          <cell r="HS240">
            <v>23935</v>
          </cell>
          <cell r="HT240">
            <v>1610</v>
          </cell>
          <cell r="HU240">
            <v>25545</v>
          </cell>
          <cell r="HV240">
            <v>7265</v>
          </cell>
          <cell r="HW240">
            <v>4654</v>
          </cell>
          <cell r="HX240">
            <v>3919</v>
          </cell>
          <cell r="HY240">
            <v>4480</v>
          </cell>
          <cell r="HZ240">
            <v>5330</v>
          </cell>
          <cell r="IA240">
            <v>25650</v>
          </cell>
          <cell r="IB240">
            <v>5534</v>
          </cell>
          <cell r="IC240">
            <v>385</v>
          </cell>
          <cell r="ID240">
            <v>4269</v>
          </cell>
          <cell r="IE240">
            <v>10188</v>
          </cell>
          <cell r="IF240">
            <v>7251</v>
          </cell>
          <cell r="IG240">
            <v>6869</v>
          </cell>
          <cell r="IH240">
            <v>18054</v>
          </cell>
          <cell r="II240">
            <v>32173</v>
          </cell>
          <cell r="IJ240">
            <v>18436</v>
          </cell>
          <cell r="IK240">
            <v>20756</v>
          </cell>
          <cell r="IL240">
            <v>10452</v>
          </cell>
          <cell r="IM240">
            <v>6322</v>
          </cell>
          <cell r="IN240">
            <v>2414</v>
          </cell>
          <cell r="IO240">
            <v>2992</v>
          </cell>
          <cell r="IP240">
            <v>9308</v>
          </cell>
          <cell r="IQ240">
            <v>21036</v>
          </cell>
        </row>
        <row r="241">
          <cell r="B241">
            <v>10408</v>
          </cell>
          <cell r="C241">
            <v>1694</v>
          </cell>
          <cell r="D241">
            <v>12102</v>
          </cell>
          <cell r="E241">
            <v>4331</v>
          </cell>
          <cell r="F241">
            <v>6837</v>
          </cell>
          <cell r="G241">
            <v>8840</v>
          </cell>
          <cell r="H241">
            <v>3654</v>
          </cell>
          <cell r="I241">
            <v>23673</v>
          </cell>
          <cell r="J241">
            <v>1536</v>
          </cell>
          <cell r="K241">
            <v>25209</v>
          </cell>
          <cell r="L241">
            <v>6631</v>
          </cell>
          <cell r="M241">
            <v>4744</v>
          </cell>
          <cell r="N241">
            <v>3756</v>
          </cell>
          <cell r="O241">
            <v>4512</v>
          </cell>
          <cell r="P241">
            <v>5171</v>
          </cell>
          <cell r="Q241">
            <v>24696</v>
          </cell>
          <cell r="R241">
            <v>5690</v>
          </cell>
          <cell r="S241">
            <v>442</v>
          </cell>
          <cell r="T241">
            <v>4235</v>
          </cell>
          <cell r="U241">
            <v>10366</v>
          </cell>
          <cell r="V241">
            <v>6974</v>
          </cell>
          <cell r="W241">
            <v>6887</v>
          </cell>
          <cell r="X241">
            <v>17404</v>
          </cell>
          <cell r="Y241">
            <v>31245</v>
          </cell>
          <cell r="Z241">
            <v>17808</v>
          </cell>
          <cell r="AA241">
            <v>19015</v>
          </cell>
          <cell r="AB241">
            <v>10206</v>
          </cell>
          <cell r="AC241">
            <v>6168</v>
          </cell>
          <cell r="AD241">
            <v>2366</v>
          </cell>
          <cell r="AE241">
            <v>2981</v>
          </cell>
          <cell r="AF241">
            <v>8987</v>
          </cell>
          <cell r="AG241">
            <v>20502</v>
          </cell>
          <cell r="AH241">
            <v>6131</v>
          </cell>
          <cell r="AI241">
            <v>5164</v>
          </cell>
          <cell r="AJ241">
            <v>11294</v>
          </cell>
          <cell r="AK241">
            <v>26635</v>
          </cell>
          <cell r="AL241">
            <v>10854</v>
          </cell>
          <cell r="AM241">
            <v>37489</v>
          </cell>
          <cell r="AN241">
            <v>1923</v>
          </cell>
          <cell r="AO241">
            <v>11105</v>
          </cell>
          <cell r="AP241">
            <v>13028</v>
          </cell>
          <cell r="AQ241">
            <v>7309</v>
          </cell>
          <cell r="AR241">
            <v>21666</v>
          </cell>
          <cell r="AS241">
            <v>28976</v>
          </cell>
          <cell r="AT241">
            <v>13365</v>
          </cell>
          <cell r="AU241">
            <v>23346</v>
          </cell>
          <cell r="AV241">
            <v>20654</v>
          </cell>
          <cell r="AW241">
            <v>30124</v>
          </cell>
          <cell r="AX241">
            <v>3473</v>
          </cell>
          <cell r="AY241">
            <v>7069</v>
          </cell>
          <cell r="AZ241">
            <v>36872</v>
          </cell>
          <cell r="BA241">
            <v>396829</v>
          </cell>
          <cell r="BB241">
            <v>29518</v>
          </cell>
          <cell r="BC241">
            <v>-1390</v>
          </cell>
          <cell r="BD241">
            <v>424958</v>
          </cell>
          <cell r="BE241">
            <v>2</v>
          </cell>
          <cell r="BF241">
            <v>-0.2</v>
          </cell>
          <cell r="BG241">
            <v>1.7</v>
          </cell>
          <cell r="BH241">
            <v>-1.9</v>
          </cell>
          <cell r="BI241">
            <v>4.7</v>
          </cell>
          <cell r="BJ241">
            <v>1</v>
          </cell>
          <cell r="BK241">
            <v>-1</v>
          </cell>
          <cell r="BL241">
            <v>1.2</v>
          </cell>
          <cell r="BM241">
            <v>-3.6</v>
          </cell>
          <cell r="BN241">
            <v>0.9</v>
          </cell>
          <cell r="BO241">
            <v>0.6</v>
          </cell>
          <cell r="BP241">
            <v>1.1000000000000001</v>
          </cell>
          <cell r="BQ241">
            <v>-1.2</v>
          </cell>
          <cell r="BR241">
            <v>1.5</v>
          </cell>
          <cell r="BS241">
            <v>0</v>
          </cell>
          <cell r="BT241">
            <v>0.3</v>
          </cell>
          <cell r="BU241">
            <v>-0.2</v>
          </cell>
          <cell r="BV241">
            <v>-0.5</v>
          </cell>
          <cell r="BW241">
            <v>1.7</v>
          </cell>
          <cell r="BX241">
            <v>0.5</v>
          </cell>
          <cell r="BY241">
            <v>1.1000000000000001</v>
          </cell>
          <cell r="BZ241">
            <v>2</v>
          </cell>
          <cell r="CA241">
            <v>0.5</v>
          </cell>
          <cell r="CB241">
            <v>0.8</v>
          </cell>
          <cell r="CC241">
            <v>0.5</v>
          </cell>
          <cell r="CD241">
            <v>0.8</v>
          </cell>
          <cell r="CE241">
            <v>0.8</v>
          </cell>
          <cell r="CF241">
            <v>0.7</v>
          </cell>
          <cell r="CG241">
            <v>0.9</v>
          </cell>
          <cell r="CH241">
            <v>0.5</v>
          </cell>
          <cell r="CI241">
            <v>0.6</v>
          </cell>
          <cell r="CJ241">
            <v>0.7</v>
          </cell>
          <cell r="CK241">
            <v>1</v>
          </cell>
          <cell r="CL241">
            <v>0.2</v>
          </cell>
          <cell r="CM241">
            <v>0.6</v>
          </cell>
          <cell r="CN241">
            <v>1.1000000000000001</v>
          </cell>
          <cell r="CO241">
            <v>2.2999999999999998</v>
          </cell>
          <cell r="CP241">
            <v>1.5</v>
          </cell>
          <cell r="CQ241">
            <v>5.2</v>
          </cell>
          <cell r="CR241">
            <v>0.2</v>
          </cell>
          <cell r="CS241">
            <v>0.9</v>
          </cell>
          <cell r="CT241">
            <v>3.6</v>
          </cell>
          <cell r="CU241">
            <v>0.8</v>
          </cell>
          <cell r="CV241">
            <v>1.5</v>
          </cell>
          <cell r="CW241">
            <v>0.5</v>
          </cell>
          <cell r="CX241">
            <v>0.5</v>
          </cell>
          <cell r="CY241">
            <v>0.5</v>
          </cell>
          <cell r="CZ241">
            <v>1.1000000000000001</v>
          </cell>
          <cell r="DA241">
            <v>-0.3</v>
          </cell>
          <cell r="DB241">
            <v>-1.2</v>
          </cell>
          <cell r="DC241">
            <v>0.6</v>
          </cell>
          <cell r="DD241">
            <v>0.8</v>
          </cell>
          <cell r="DE241">
            <v>0.4</v>
          </cell>
          <cell r="DF241">
            <v>0.6</v>
          </cell>
          <cell r="DG241">
            <v>10496</v>
          </cell>
          <cell r="DH241">
            <v>1687</v>
          </cell>
          <cell r="DI241">
            <v>12183</v>
          </cell>
          <cell r="DJ241">
            <v>4391</v>
          </cell>
          <cell r="DK241">
            <v>6704</v>
          </cell>
          <cell r="DL241">
            <v>8938</v>
          </cell>
          <cell r="DM241">
            <v>3651</v>
          </cell>
          <cell r="DN241">
            <v>23683</v>
          </cell>
          <cell r="DO241">
            <v>1528</v>
          </cell>
          <cell r="DP241">
            <v>25211</v>
          </cell>
          <cell r="DQ241">
            <v>6557</v>
          </cell>
          <cell r="DR241">
            <v>4799</v>
          </cell>
          <cell r="DS241">
            <v>3657</v>
          </cell>
          <cell r="DT241">
            <v>4501</v>
          </cell>
          <cell r="DU241">
            <v>4958</v>
          </cell>
          <cell r="DV241">
            <v>24472</v>
          </cell>
          <cell r="DW241">
            <v>5757</v>
          </cell>
          <cell r="DX241">
            <v>439</v>
          </cell>
          <cell r="DY241">
            <v>4251</v>
          </cell>
          <cell r="DZ241">
            <v>10447</v>
          </cell>
          <cell r="EA241">
            <v>6963</v>
          </cell>
          <cell r="EB241">
            <v>7026</v>
          </cell>
          <cell r="EC241">
            <v>17375</v>
          </cell>
          <cell r="ED241">
            <v>31364</v>
          </cell>
          <cell r="EE241">
            <v>17891</v>
          </cell>
          <cell r="EF241">
            <v>18975</v>
          </cell>
          <cell r="EG241">
            <v>10193</v>
          </cell>
          <cell r="EH241">
            <v>6195</v>
          </cell>
          <cell r="EI241">
            <v>2368</v>
          </cell>
          <cell r="EJ241">
            <v>3022</v>
          </cell>
          <cell r="EK241">
            <v>9092</v>
          </cell>
          <cell r="EL241">
            <v>20676</v>
          </cell>
          <cell r="EM241">
            <v>6060</v>
          </cell>
          <cell r="EN241">
            <v>5157</v>
          </cell>
          <cell r="EO241">
            <v>11217</v>
          </cell>
          <cell r="EP241">
            <v>26621</v>
          </cell>
          <cell r="EQ241">
            <v>10800</v>
          </cell>
          <cell r="ER241">
            <v>37421</v>
          </cell>
          <cell r="ES241">
            <v>1904</v>
          </cell>
          <cell r="ET241">
            <v>11220</v>
          </cell>
          <cell r="EU241">
            <v>13124</v>
          </cell>
          <cell r="EV241">
            <v>7204</v>
          </cell>
          <cell r="EW241">
            <v>21733</v>
          </cell>
          <cell r="EX241">
            <v>28938</v>
          </cell>
          <cell r="EY241">
            <v>13400</v>
          </cell>
          <cell r="EZ241">
            <v>23417</v>
          </cell>
          <cell r="FA241">
            <v>20654</v>
          </cell>
          <cell r="FB241">
            <v>30176</v>
          </cell>
          <cell r="FC241">
            <v>3473</v>
          </cell>
          <cell r="FD241">
            <v>7017</v>
          </cell>
          <cell r="FE241">
            <v>36870</v>
          </cell>
          <cell r="FF241">
            <v>397118</v>
          </cell>
          <cell r="FG241">
            <v>29308</v>
          </cell>
          <cell r="FH241">
            <v>-1778</v>
          </cell>
          <cell r="FI241">
            <v>424647</v>
          </cell>
          <cell r="FJ241">
            <v>2.4</v>
          </cell>
          <cell r="FK241">
            <v>-0.4</v>
          </cell>
          <cell r="FL241">
            <v>2</v>
          </cell>
          <cell r="FM241">
            <v>-1.7</v>
          </cell>
          <cell r="FN241">
            <v>1.7</v>
          </cell>
          <cell r="FO241">
            <v>1.9</v>
          </cell>
          <cell r="FP241">
            <v>-1.3</v>
          </cell>
          <cell r="FQ241">
            <v>0.6</v>
          </cell>
          <cell r="FR241">
            <v>-3.9</v>
          </cell>
          <cell r="FS241">
            <v>0.4</v>
          </cell>
          <cell r="FT241">
            <v>-2.9</v>
          </cell>
          <cell r="FU241">
            <v>4.7</v>
          </cell>
          <cell r="FV241">
            <v>-3.3</v>
          </cell>
          <cell r="FW241">
            <v>2.8</v>
          </cell>
          <cell r="FX241">
            <v>-3.3</v>
          </cell>
          <cell r="FY241">
            <v>-0.6</v>
          </cell>
          <cell r="FZ241">
            <v>1.2</v>
          </cell>
          <cell r="GA241">
            <v>0.8</v>
          </cell>
          <cell r="GB241">
            <v>2</v>
          </cell>
          <cell r="GC241">
            <v>1.5</v>
          </cell>
          <cell r="GD241">
            <v>0.2</v>
          </cell>
          <cell r="GE241">
            <v>4.7</v>
          </cell>
          <cell r="GF241">
            <v>1.5</v>
          </cell>
          <cell r="GG241">
            <v>1.9</v>
          </cell>
          <cell r="GH241">
            <v>0.8</v>
          </cell>
          <cell r="GI241">
            <v>0.6</v>
          </cell>
          <cell r="GJ241">
            <v>2</v>
          </cell>
          <cell r="GK241">
            <v>1</v>
          </cell>
          <cell r="GL241">
            <v>1.1000000000000001</v>
          </cell>
          <cell r="GM241">
            <v>2.8</v>
          </cell>
          <cell r="GN241">
            <v>2.2000000000000002</v>
          </cell>
          <cell r="GO241">
            <v>1.8</v>
          </cell>
          <cell r="GP241">
            <v>-0.5</v>
          </cell>
          <cell r="GQ241">
            <v>0.1</v>
          </cell>
          <cell r="GR241">
            <v>-0.2</v>
          </cell>
          <cell r="GS241">
            <v>1.1000000000000001</v>
          </cell>
          <cell r="GT241">
            <v>1.9</v>
          </cell>
          <cell r="GU241">
            <v>1.3</v>
          </cell>
          <cell r="GV241">
            <v>1.1000000000000001</v>
          </cell>
          <cell r="GW241">
            <v>2</v>
          </cell>
          <cell r="GX241">
            <v>1.9</v>
          </cell>
          <cell r="GY241">
            <v>0</v>
          </cell>
          <cell r="GZ241">
            <v>1.3</v>
          </cell>
          <cell r="HA241">
            <v>1</v>
          </cell>
          <cell r="HB241">
            <v>2.1</v>
          </cell>
          <cell r="HC241">
            <v>0.1</v>
          </cell>
          <cell r="HD241">
            <v>0.5</v>
          </cell>
          <cell r="HE241">
            <v>1.4</v>
          </cell>
          <cell r="HF241">
            <v>-0.4</v>
          </cell>
          <cell r="HG241">
            <v>-4.3</v>
          </cell>
          <cell r="HH241">
            <v>0.6</v>
          </cell>
          <cell r="HI241">
            <v>0.9</v>
          </cell>
          <cell r="HJ241">
            <v>-0.4</v>
          </cell>
          <cell r="HK241">
            <v>0.5</v>
          </cell>
          <cell r="HL241">
            <v>9541</v>
          </cell>
          <cell r="HM241">
            <v>1687</v>
          </cell>
          <cell r="HN241">
            <v>11228</v>
          </cell>
          <cell r="HO241">
            <v>4252</v>
          </cell>
          <cell r="HP241">
            <v>6563</v>
          </cell>
          <cell r="HQ241">
            <v>8356</v>
          </cell>
          <cell r="HR241">
            <v>3465</v>
          </cell>
          <cell r="HS241">
            <v>22636</v>
          </cell>
          <cell r="HT241">
            <v>1473</v>
          </cell>
          <cell r="HU241">
            <v>24109</v>
          </cell>
          <cell r="HV241">
            <v>6274</v>
          </cell>
          <cell r="HW241">
            <v>4654</v>
          </cell>
          <cell r="HX241">
            <v>3372</v>
          </cell>
          <cell r="HY241">
            <v>4141</v>
          </cell>
          <cell r="HZ241">
            <v>4490</v>
          </cell>
          <cell r="IA241">
            <v>22930</v>
          </cell>
          <cell r="IB241">
            <v>5811</v>
          </cell>
          <cell r="IC241">
            <v>365</v>
          </cell>
          <cell r="ID241">
            <v>4349</v>
          </cell>
          <cell r="IE241">
            <v>10524</v>
          </cell>
          <cell r="IF241">
            <v>6344</v>
          </cell>
          <cell r="IG241">
            <v>6717</v>
          </cell>
          <cell r="IH241">
            <v>15913</v>
          </cell>
          <cell r="II241">
            <v>28974</v>
          </cell>
          <cell r="IJ241">
            <v>16959</v>
          </cell>
          <cell r="IK241">
            <v>18171</v>
          </cell>
          <cell r="IL241">
            <v>9997</v>
          </cell>
          <cell r="IM241">
            <v>5866</v>
          </cell>
          <cell r="IN241">
            <v>2305</v>
          </cell>
          <cell r="IO241">
            <v>2895</v>
          </cell>
          <cell r="IP241">
            <v>8792</v>
          </cell>
          <cell r="IQ241">
            <v>19859</v>
          </cell>
        </row>
        <row r="242">
          <cell r="B242">
            <v>10238</v>
          </cell>
          <cell r="C242">
            <v>1672</v>
          </cell>
          <cell r="D242">
            <v>11798</v>
          </cell>
          <cell r="E242">
            <v>4262</v>
          </cell>
          <cell r="F242">
            <v>7041</v>
          </cell>
          <cell r="G242">
            <v>8845</v>
          </cell>
          <cell r="H242">
            <v>3543</v>
          </cell>
          <cell r="I242">
            <v>23692</v>
          </cell>
          <cell r="J242">
            <v>1544</v>
          </cell>
          <cell r="K242">
            <v>25236</v>
          </cell>
          <cell r="L242">
            <v>6730</v>
          </cell>
          <cell r="M242">
            <v>4812</v>
          </cell>
          <cell r="N242">
            <v>3764</v>
          </cell>
          <cell r="O242">
            <v>4560</v>
          </cell>
          <cell r="P242">
            <v>5214</v>
          </cell>
          <cell r="Q242">
            <v>24994</v>
          </cell>
          <cell r="R242">
            <v>5679</v>
          </cell>
          <cell r="S242">
            <v>440</v>
          </cell>
          <cell r="T242">
            <v>4297</v>
          </cell>
          <cell r="U242">
            <v>10415</v>
          </cell>
          <cell r="V242">
            <v>7005</v>
          </cell>
          <cell r="W242">
            <v>7128</v>
          </cell>
          <cell r="X242">
            <v>17613</v>
          </cell>
          <cell r="Y242">
            <v>31745</v>
          </cell>
          <cell r="Z242">
            <v>17769</v>
          </cell>
          <cell r="AA242">
            <v>19176</v>
          </cell>
          <cell r="AB242">
            <v>10383</v>
          </cell>
          <cell r="AC242">
            <v>6178</v>
          </cell>
          <cell r="AD242">
            <v>2393</v>
          </cell>
          <cell r="AE242">
            <v>2977</v>
          </cell>
          <cell r="AF242">
            <v>8969</v>
          </cell>
          <cell r="AG242">
            <v>20517</v>
          </cell>
          <cell r="AH242">
            <v>6193</v>
          </cell>
          <cell r="AI242">
            <v>5199</v>
          </cell>
          <cell r="AJ242">
            <v>11392</v>
          </cell>
          <cell r="AK242">
            <v>26878</v>
          </cell>
          <cell r="AL242">
            <v>11117</v>
          </cell>
          <cell r="AM242">
            <v>37996</v>
          </cell>
          <cell r="AN242">
            <v>2018</v>
          </cell>
          <cell r="AO242">
            <v>11074</v>
          </cell>
          <cell r="AP242">
            <v>13092</v>
          </cell>
          <cell r="AQ242">
            <v>7645</v>
          </cell>
          <cell r="AR242">
            <v>21675</v>
          </cell>
          <cell r="AS242">
            <v>29320</v>
          </cell>
          <cell r="AT242">
            <v>13533</v>
          </cell>
          <cell r="AU242">
            <v>23385</v>
          </cell>
          <cell r="AV242">
            <v>20765</v>
          </cell>
          <cell r="AW242">
            <v>30543</v>
          </cell>
          <cell r="AX242">
            <v>3486</v>
          </cell>
          <cell r="AY242">
            <v>7062</v>
          </cell>
          <cell r="AZ242">
            <v>37087</v>
          </cell>
          <cell r="BA242">
            <v>399683</v>
          </cell>
          <cell r="BB242">
            <v>30041</v>
          </cell>
          <cell r="BC242">
            <v>-1706</v>
          </cell>
          <cell r="BD242">
            <v>428013</v>
          </cell>
          <cell r="BE242">
            <v>-1.6</v>
          </cell>
          <cell r="BF242">
            <v>-1.3</v>
          </cell>
          <cell r="BG242">
            <v>-2.5</v>
          </cell>
          <cell r="BH242">
            <v>-1.6</v>
          </cell>
          <cell r="BI242">
            <v>3</v>
          </cell>
          <cell r="BJ242">
            <v>0.1</v>
          </cell>
          <cell r="BK242">
            <v>-3</v>
          </cell>
          <cell r="BL242">
            <v>0.1</v>
          </cell>
          <cell r="BM242">
            <v>0.6</v>
          </cell>
          <cell r="BN242">
            <v>0.1</v>
          </cell>
          <cell r="BO242">
            <v>1.5</v>
          </cell>
          <cell r="BP242">
            <v>1.4</v>
          </cell>
          <cell r="BQ242">
            <v>0.2</v>
          </cell>
          <cell r="BR242">
            <v>1</v>
          </cell>
          <cell r="BS242">
            <v>0.8</v>
          </cell>
          <cell r="BT242">
            <v>1.2</v>
          </cell>
          <cell r="BU242">
            <v>-0.2</v>
          </cell>
          <cell r="BV242">
            <v>-0.4</v>
          </cell>
          <cell r="BW242">
            <v>1.5</v>
          </cell>
          <cell r="BX242">
            <v>0.5</v>
          </cell>
          <cell r="BY242">
            <v>0.4</v>
          </cell>
          <cell r="BZ242">
            <v>3.5</v>
          </cell>
          <cell r="CA242">
            <v>1.2</v>
          </cell>
          <cell r="CB242">
            <v>1.6</v>
          </cell>
          <cell r="CC242">
            <v>-0.2</v>
          </cell>
          <cell r="CD242">
            <v>0.8</v>
          </cell>
          <cell r="CE242">
            <v>1.7</v>
          </cell>
          <cell r="CF242">
            <v>0.2</v>
          </cell>
          <cell r="CG242">
            <v>1.2</v>
          </cell>
          <cell r="CH242">
            <v>-0.1</v>
          </cell>
          <cell r="CI242">
            <v>-0.2</v>
          </cell>
          <cell r="CJ242">
            <v>0.1</v>
          </cell>
          <cell r="CK242">
            <v>1</v>
          </cell>
          <cell r="CL242">
            <v>0.7</v>
          </cell>
          <cell r="CM242">
            <v>0.9</v>
          </cell>
          <cell r="CN242">
            <v>0.9</v>
          </cell>
          <cell r="CO242">
            <v>2.4</v>
          </cell>
          <cell r="CP242">
            <v>1.4</v>
          </cell>
          <cell r="CQ242">
            <v>4.9000000000000004</v>
          </cell>
          <cell r="CR242">
            <v>-0.3</v>
          </cell>
          <cell r="CS242">
            <v>0.5</v>
          </cell>
          <cell r="CT242">
            <v>4.5999999999999996</v>
          </cell>
          <cell r="CU242">
            <v>0</v>
          </cell>
          <cell r="CV242">
            <v>1.2</v>
          </cell>
          <cell r="CW242">
            <v>1.3</v>
          </cell>
          <cell r="CX242">
            <v>0.2</v>
          </cell>
          <cell r="CY242">
            <v>0.5</v>
          </cell>
          <cell r="CZ242">
            <v>1.4</v>
          </cell>
          <cell r="DA242">
            <v>0.4</v>
          </cell>
          <cell r="DB242">
            <v>-0.1</v>
          </cell>
          <cell r="DC242">
            <v>0.6</v>
          </cell>
          <cell r="DD242">
            <v>0.7</v>
          </cell>
          <cell r="DE242">
            <v>1.8</v>
          </cell>
          <cell r="DF242">
            <v>0.7</v>
          </cell>
          <cell r="DG242">
            <v>10216</v>
          </cell>
          <cell r="DH242">
            <v>1685</v>
          </cell>
          <cell r="DI242">
            <v>11900</v>
          </cell>
          <cell r="DJ242">
            <v>4128</v>
          </cell>
          <cell r="DK242">
            <v>7223</v>
          </cell>
          <cell r="DL242">
            <v>8839</v>
          </cell>
          <cell r="DM242">
            <v>3617</v>
          </cell>
          <cell r="DN242">
            <v>23807</v>
          </cell>
          <cell r="DO242">
            <v>1517</v>
          </cell>
          <cell r="DP242">
            <v>25324</v>
          </cell>
          <cell r="DQ242">
            <v>6593</v>
          </cell>
          <cell r="DR242">
            <v>4893</v>
          </cell>
          <cell r="DS242">
            <v>3854</v>
          </cell>
          <cell r="DT242">
            <v>4618</v>
          </cell>
          <cell r="DU242">
            <v>5104</v>
          </cell>
          <cell r="DV242">
            <v>25063</v>
          </cell>
          <cell r="DW242">
            <v>5595</v>
          </cell>
          <cell r="DX242">
            <v>447</v>
          </cell>
          <cell r="DY242">
            <v>4286</v>
          </cell>
          <cell r="DZ242">
            <v>10328</v>
          </cell>
          <cell r="EA242">
            <v>7013</v>
          </cell>
          <cell r="EB242">
            <v>6985</v>
          </cell>
          <cell r="EC242">
            <v>17786</v>
          </cell>
          <cell r="ED242">
            <v>31784</v>
          </cell>
          <cell r="EE242">
            <v>17685</v>
          </cell>
          <cell r="EF242">
            <v>19250</v>
          </cell>
          <cell r="EG242">
            <v>10436</v>
          </cell>
          <cell r="EH242">
            <v>6159</v>
          </cell>
          <cell r="EI242">
            <v>2396</v>
          </cell>
          <cell r="EJ242">
            <v>2968</v>
          </cell>
          <cell r="EK242">
            <v>8879</v>
          </cell>
          <cell r="EL242">
            <v>20401</v>
          </cell>
          <cell r="EM242">
            <v>6269</v>
          </cell>
          <cell r="EN242">
            <v>5244</v>
          </cell>
          <cell r="EO242">
            <v>11513</v>
          </cell>
          <cell r="EP242">
            <v>26924</v>
          </cell>
          <cell r="EQ242">
            <v>11200</v>
          </cell>
          <cell r="ER242">
            <v>38124</v>
          </cell>
          <cell r="ES242">
            <v>1999</v>
          </cell>
          <cell r="ET242">
            <v>11182</v>
          </cell>
          <cell r="EU242">
            <v>13181</v>
          </cell>
          <cell r="EV242">
            <v>7629</v>
          </cell>
          <cell r="EW242">
            <v>21725</v>
          </cell>
          <cell r="EX242">
            <v>29354</v>
          </cell>
          <cell r="EY242">
            <v>13568</v>
          </cell>
          <cell r="EZ242">
            <v>23288</v>
          </cell>
          <cell r="FA242">
            <v>20763</v>
          </cell>
          <cell r="FB242">
            <v>30427</v>
          </cell>
          <cell r="FC242">
            <v>3472</v>
          </cell>
          <cell r="FD242">
            <v>6977</v>
          </cell>
          <cell r="FE242">
            <v>37086</v>
          </cell>
          <cell r="FF242">
            <v>399925</v>
          </cell>
          <cell r="FG242">
            <v>30028</v>
          </cell>
          <cell r="FH242">
            <v>-1821</v>
          </cell>
          <cell r="FI242">
            <v>428132</v>
          </cell>
          <cell r="FJ242">
            <v>-2.7</v>
          </cell>
          <cell r="FK242">
            <v>-0.1</v>
          </cell>
          <cell r="FL242">
            <v>-2.2999999999999998</v>
          </cell>
          <cell r="FM242">
            <v>-6</v>
          </cell>
          <cell r="FN242">
            <v>7.7</v>
          </cell>
          <cell r="FO242">
            <v>-1.1000000000000001</v>
          </cell>
          <cell r="FP242">
            <v>-0.9</v>
          </cell>
          <cell r="FQ242">
            <v>0.5</v>
          </cell>
          <cell r="FR242">
            <v>-0.7</v>
          </cell>
          <cell r="FS242">
            <v>0.4</v>
          </cell>
          <cell r="FT242">
            <v>0.6</v>
          </cell>
          <cell r="FU242">
            <v>2</v>
          </cell>
          <cell r="FV242">
            <v>5.4</v>
          </cell>
          <cell r="FW242">
            <v>2.6</v>
          </cell>
          <cell r="FX242">
            <v>3</v>
          </cell>
          <cell r="FY242">
            <v>2.4</v>
          </cell>
          <cell r="FZ242">
            <v>-2.8</v>
          </cell>
          <cell r="GA242">
            <v>1.8</v>
          </cell>
          <cell r="GB242">
            <v>0.8</v>
          </cell>
          <cell r="GC242">
            <v>-1.1000000000000001</v>
          </cell>
          <cell r="GD242">
            <v>0.7</v>
          </cell>
          <cell r="GE242">
            <v>-0.6</v>
          </cell>
          <cell r="GF242">
            <v>2.4</v>
          </cell>
          <cell r="GG242">
            <v>1.3</v>
          </cell>
          <cell r="GH242">
            <v>-1.2</v>
          </cell>
          <cell r="GI242">
            <v>1.4</v>
          </cell>
          <cell r="GJ242">
            <v>2.4</v>
          </cell>
          <cell r="GK242">
            <v>-0.6</v>
          </cell>
          <cell r="GL242">
            <v>1.2</v>
          </cell>
          <cell r="GM242">
            <v>-1.8</v>
          </cell>
          <cell r="GN242">
            <v>-2.2999999999999998</v>
          </cell>
          <cell r="GO242">
            <v>-1.3</v>
          </cell>
          <cell r="GP242">
            <v>3.5</v>
          </cell>
          <cell r="GQ242">
            <v>1.7</v>
          </cell>
          <cell r="GR242">
            <v>2.6</v>
          </cell>
          <cell r="GS242">
            <v>1.1000000000000001</v>
          </cell>
          <cell r="GT242">
            <v>3.7</v>
          </cell>
          <cell r="GU242">
            <v>1.9</v>
          </cell>
          <cell r="GV242">
            <v>5</v>
          </cell>
          <cell r="GW242">
            <v>-0.3</v>
          </cell>
          <cell r="GX242">
            <v>0.4</v>
          </cell>
          <cell r="GY242">
            <v>5.9</v>
          </cell>
          <cell r="GZ242">
            <v>0</v>
          </cell>
          <cell r="HA242">
            <v>1.4</v>
          </cell>
          <cell r="HB242">
            <v>1.3</v>
          </cell>
          <cell r="HC242">
            <v>-0.6</v>
          </cell>
          <cell r="HD242">
            <v>0.5</v>
          </cell>
          <cell r="HE242">
            <v>0.8</v>
          </cell>
          <cell r="HF242">
            <v>0</v>
          </cell>
          <cell r="HG242">
            <v>-0.6</v>
          </cell>
          <cell r="HH242">
            <v>0.6</v>
          </cell>
          <cell r="HI242">
            <v>0.7</v>
          </cell>
          <cell r="HJ242">
            <v>2.5</v>
          </cell>
          <cell r="HK242">
            <v>0.8</v>
          </cell>
          <cell r="HL242">
            <v>9352</v>
          </cell>
          <cell r="HM242">
            <v>1680</v>
          </cell>
          <cell r="HN242">
            <v>11032</v>
          </cell>
          <cell r="HO242">
            <v>4134</v>
          </cell>
          <cell r="HP242">
            <v>6968</v>
          </cell>
          <cell r="HQ242">
            <v>9033</v>
          </cell>
          <cell r="HR242">
            <v>3640</v>
          </cell>
          <cell r="HS242">
            <v>23775</v>
          </cell>
          <cell r="HT242">
            <v>1563</v>
          </cell>
          <cell r="HU242">
            <v>25337</v>
          </cell>
          <cell r="HV242">
            <v>6470</v>
          </cell>
          <cell r="HW242">
            <v>4869</v>
          </cell>
          <cell r="HX242">
            <v>3915</v>
          </cell>
          <cell r="HY242">
            <v>4686</v>
          </cell>
          <cell r="HZ242">
            <v>5095</v>
          </cell>
          <cell r="IA242">
            <v>25035</v>
          </cell>
          <cell r="IB242">
            <v>5559</v>
          </cell>
          <cell r="IC242">
            <v>468</v>
          </cell>
          <cell r="ID242">
            <v>4217</v>
          </cell>
          <cell r="IE242">
            <v>10243</v>
          </cell>
          <cell r="IF242">
            <v>7099</v>
          </cell>
          <cell r="IG242">
            <v>7238</v>
          </cell>
          <cell r="IH242">
            <v>18077</v>
          </cell>
          <cell r="II242">
            <v>32414</v>
          </cell>
          <cell r="IJ242">
            <v>17865</v>
          </cell>
          <cell r="IK242">
            <v>18608</v>
          </cell>
          <cell r="IL242">
            <v>10130</v>
          </cell>
          <cell r="IM242">
            <v>6163</v>
          </cell>
          <cell r="IN242">
            <v>2291</v>
          </cell>
          <cell r="IO242">
            <v>2959</v>
          </cell>
          <cell r="IP242">
            <v>8797</v>
          </cell>
          <cell r="IQ242">
            <v>20210</v>
          </cell>
        </row>
        <row r="243">
          <cell r="B243">
            <v>9669</v>
          </cell>
          <cell r="C243">
            <v>1654</v>
          </cell>
          <cell r="D243">
            <v>11344</v>
          </cell>
          <cell r="E243">
            <v>4247</v>
          </cell>
          <cell r="F243">
            <v>7123</v>
          </cell>
          <cell r="G243">
            <v>8890</v>
          </cell>
          <cell r="H243">
            <v>3395</v>
          </cell>
          <cell r="I243">
            <v>23655</v>
          </cell>
          <cell r="J243">
            <v>1577</v>
          </cell>
          <cell r="K243">
            <v>25232</v>
          </cell>
          <cell r="L243">
            <v>6883</v>
          </cell>
          <cell r="M243">
            <v>4841</v>
          </cell>
          <cell r="N243">
            <v>3784</v>
          </cell>
          <cell r="O243">
            <v>4514</v>
          </cell>
          <cell r="P243">
            <v>5270</v>
          </cell>
          <cell r="Q243">
            <v>25272</v>
          </cell>
          <cell r="R243">
            <v>5683</v>
          </cell>
          <cell r="S243">
            <v>436</v>
          </cell>
          <cell r="T243">
            <v>4322</v>
          </cell>
          <cell r="U243">
            <v>10440</v>
          </cell>
          <cell r="V243">
            <v>7031</v>
          </cell>
          <cell r="W243">
            <v>7329</v>
          </cell>
          <cell r="X243">
            <v>17750</v>
          </cell>
          <cell r="Y243">
            <v>32109</v>
          </cell>
          <cell r="Z243">
            <v>17709</v>
          </cell>
          <cell r="AA243">
            <v>19289</v>
          </cell>
          <cell r="AB243">
            <v>10559</v>
          </cell>
          <cell r="AC243">
            <v>6183</v>
          </cell>
          <cell r="AD243">
            <v>2422</v>
          </cell>
          <cell r="AE243">
            <v>2972</v>
          </cell>
          <cell r="AF243">
            <v>8885</v>
          </cell>
          <cell r="AG243">
            <v>20463</v>
          </cell>
          <cell r="AH243">
            <v>6283</v>
          </cell>
          <cell r="AI243">
            <v>5226</v>
          </cell>
          <cell r="AJ243">
            <v>11509</v>
          </cell>
          <cell r="AK243">
            <v>27040</v>
          </cell>
          <cell r="AL243">
            <v>11315</v>
          </cell>
          <cell r="AM243">
            <v>38355</v>
          </cell>
          <cell r="AN243">
            <v>2110</v>
          </cell>
          <cell r="AO243">
            <v>10971</v>
          </cell>
          <cell r="AP243">
            <v>13082</v>
          </cell>
          <cell r="AQ243">
            <v>8053</v>
          </cell>
          <cell r="AR243">
            <v>21514</v>
          </cell>
          <cell r="AS243">
            <v>29566</v>
          </cell>
          <cell r="AT243">
            <v>13648</v>
          </cell>
          <cell r="AU243">
            <v>23450</v>
          </cell>
          <cell r="AV243">
            <v>20876</v>
          </cell>
          <cell r="AW243">
            <v>31047</v>
          </cell>
          <cell r="AX243">
            <v>3520</v>
          </cell>
          <cell r="AY243">
            <v>7120</v>
          </cell>
          <cell r="AZ243">
            <v>37304</v>
          </cell>
          <cell r="BA243">
            <v>401890</v>
          </cell>
          <cell r="BB243">
            <v>30558</v>
          </cell>
          <cell r="BC243">
            <v>-1780</v>
          </cell>
          <cell r="BD243">
            <v>430665</v>
          </cell>
          <cell r="BE243">
            <v>-5.6</v>
          </cell>
          <cell r="BF243">
            <v>-1.1000000000000001</v>
          </cell>
          <cell r="BG243">
            <v>-3.8</v>
          </cell>
          <cell r="BH243">
            <v>-0.4</v>
          </cell>
          <cell r="BI243">
            <v>1.2</v>
          </cell>
          <cell r="BJ243">
            <v>0.5</v>
          </cell>
          <cell r="BK243">
            <v>-4.2</v>
          </cell>
          <cell r="BL243">
            <v>-0.2</v>
          </cell>
          <cell r="BM243">
            <v>2.1</v>
          </cell>
          <cell r="BN243">
            <v>0</v>
          </cell>
          <cell r="BO243">
            <v>2.2999999999999998</v>
          </cell>
          <cell r="BP243">
            <v>0.6</v>
          </cell>
          <cell r="BQ243">
            <v>0.5</v>
          </cell>
          <cell r="BR243">
            <v>-1</v>
          </cell>
          <cell r="BS243">
            <v>1.1000000000000001</v>
          </cell>
          <cell r="BT243">
            <v>1.1000000000000001</v>
          </cell>
          <cell r="BU243">
            <v>0.1</v>
          </cell>
          <cell r="BV243">
            <v>-0.8</v>
          </cell>
          <cell r="BW243">
            <v>0.6</v>
          </cell>
          <cell r="BX243">
            <v>0.2</v>
          </cell>
          <cell r="BY243">
            <v>0.4</v>
          </cell>
          <cell r="BZ243">
            <v>2.8</v>
          </cell>
          <cell r="CA243">
            <v>0.8</v>
          </cell>
          <cell r="CB243">
            <v>1.1000000000000001</v>
          </cell>
          <cell r="CC243">
            <v>-0.3</v>
          </cell>
          <cell r="CD243">
            <v>0.6</v>
          </cell>
          <cell r="CE243">
            <v>1.7</v>
          </cell>
          <cell r="CF243">
            <v>0.1</v>
          </cell>
          <cell r="CG243">
            <v>1.2</v>
          </cell>
          <cell r="CH243">
            <v>-0.2</v>
          </cell>
          <cell r="CI243">
            <v>-0.9</v>
          </cell>
          <cell r="CJ243">
            <v>-0.3</v>
          </cell>
          <cell r="CK243">
            <v>1.4</v>
          </cell>
          <cell r="CL243">
            <v>0.5</v>
          </cell>
          <cell r="CM243">
            <v>1</v>
          </cell>
          <cell r="CN243">
            <v>0.6</v>
          </cell>
          <cell r="CO243">
            <v>1.8</v>
          </cell>
          <cell r="CP243">
            <v>0.9</v>
          </cell>
          <cell r="CQ243">
            <v>4.5999999999999996</v>
          </cell>
          <cell r="CR243">
            <v>-0.9</v>
          </cell>
          <cell r="CS243">
            <v>-0.1</v>
          </cell>
          <cell r="CT243">
            <v>5.3</v>
          </cell>
          <cell r="CU243">
            <v>-0.7</v>
          </cell>
          <cell r="CV243">
            <v>0.8</v>
          </cell>
          <cell r="CW243">
            <v>0.8</v>
          </cell>
          <cell r="CX243">
            <v>0.3</v>
          </cell>
          <cell r="CY243">
            <v>0.5</v>
          </cell>
          <cell r="CZ243">
            <v>1.6</v>
          </cell>
          <cell r="DA243">
            <v>1</v>
          </cell>
          <cell r="DB243">
            <v>0.8</v>
          </cell>
          <cell r="DC243">
            <v>0.6</v>
          </cell>
          <cell r="DD243">
            <v>0.6</v>
          </cell>
          <cell r="DE243">
            <v>1.7</v>
          </cell>
          <cell r="DF243">
            <v>0.6</v>
          </cell>
          <cell r="DG243">
            <v>9553</v>
          </cell>
          <cell r="DH243">
            <v>1642</v>
          </cell>
          <cell r="DI243">
            <v>11195</v>
          </cell>
          <cell r="DJ243">
            <v>4288</v>
          </cell>
          <cell r="DK243">
            <v>7134</v>
          </cell>
          <cell r="DL243">
            <v>8702</v>
          </cell>
          <cell r="DM243">
            <v>3317</v>
          </cell>
          <cell r="DN243">
            <v>23441</v>
          </cell>
          <cell r="DO243">
            <v>1610</v>
          </cell>
          <cell r="DP243">
            <v>25051</v>
          </cell>
          <cell r="DQ243">
            <v>7052</v>
          </cell>
          <cell r="DR243">
            <v>4723</v>
          </cell>
          <cell r="DS243">
            <v>3766</v>
          </cell>
          <cell r="DT243">
            <v>4599</v>
          </cell>
          <cell r="DU243">
            <v>5361</v>
          </cell>
          <cell r="DV243">
            <v>25500</v>
          </cell>
          <cell r="DW243">
            <v>5717</v>
          </cell>
          <cell r="DX243">
            <v>433</v>
          </cell>
          <cell r="DY243">
            <v>4359</v>
          </cell>
          <cell r="DZ243">
            <v>10509</v>
          </cell>
          <cell r="EA243">
            <v>7014</v>
          </cell>
          <cell r="EB243">
            <v>7454</v>
          </cell>
          <cell r="EC243">
            <v>17720</v>
          </cell>
          <cell r="ED243">
            <v>32188</v>
          </cell>
          <cell r="EE243">
            <v>17722</v>
          </cell>
          <cell r="EF243">
            <v>19282</v>
          </cell>
          <cell r="EG243">
            <v>10565</v>
          </cell>
          <cell r="EH243">
            <v>6182</v>
          </cell>
          <cell r="EI243">
            <v>2417</v>
          </cell>
          <cell r="EJ243">
            <v>2943</v>
          </cell>
          <cell r="EK243">
            <v>8981</v>
          </cell>
          <cell r="EL243">
            <v>20523</v>
          </cell>
          <cell r="EM243">
            <v>6206</v>
          </cell>
          <cell r="EN243">
            <v>5173</v>
          </cell>
          <cell r="EO243">
            <v>11379</v>
          </cell>
          <cell r="EP243">
            <v>27082</v>
          </cell>
          <cell r="EQ243">
            <v>11352</v>
          </cell>
          <cell r="ER243">
            <v>38434</v>
          </cell>
          <cell r="ES243">
            <v>2147</v>
          </cell>
          <cell r="ET243">
            <v>10744</v>
          </cell>
          <cell r="EU243">
            <v>12891</v>
          </cell>
          <cell r="EV243">
            <v>8058</v>
          </cell>
          <cell r="EW243">
            <v>21556</v>
          </cell>
          <cell r="EX243">
            <v>29614</v>
          </cell>
          <cell r="EY243">
            <v>13701</v>
          </cell>
          <cell r="EZ243">
            <v>23402</v>
          </cell>
          <cell r="FA243">
            <v>20877</v>
          </cell>
          <cell r="FB243">
            <v>31057</v>
          </cell>
          <cell r="FC243">
            <v>3511</v>
          </cell>
          <cell r="FD243">
            <v>7149</v>
          </cell>
          <cell r="FE243">
            <v>37305</v>
          </cell>
          <cell r="FF243">
            <v>401855</v>
          </cell>
          <cell r="FG243">
            <v>30866</v>
          </cell>
          <cell r="FH243">
            <v>-1608</v>
          </cell>
          <cell r="FI243">
            <v>431112</v>
          </cell>
          <cell r="FJ243">
            <v>-6.5</v>
          </cell>
          <cell r="FK243">
            <v>-2.5</v>
          </cell>
          <cell r="FL243">
            <v>-5.9</v>
          </cell>
          <cell r="FM243">
            <v>3.9</v>
          </cell>
          <cell r="FN243">
            <v>-1.2</v>
          </cell>
          <cell r="FO243">
            <v>-1.6</v>
          </cell>
          <cell r="FP243">
            <v>-8.3000000000000007</v>
          </cell>
          <cell r="FQ243">
            <v>-1.5</v>
          </cell>
          <cell r="FR243">
            <v>6.1</v>
          </cell>
          <cell r="FS243">
            <v>-1.1000000000000001</v>
          </cell>
          <cell r="FT243">
            <v>7</v>
          </cell>
          <cell r="FU243">
            <v>-3.5</v>
          </cell>
          <cell r="FV243">
            <v>-2.2999999999999998</v>
          </cell>
          <cell r="FW243">
            <v>-0.4</v>
          </cell>
          <cell r="FX243">
            <v>5</v>
          </cell>
          <cell r="FY243">
            <v>1.7</v>
          </cell>
          <cell r="FZ243">
            <v>2.2000000000000002</v>
          </cell>
          <cell r="GA243">
            <v>-3.3</v>
          </cell>
          <cell r="GB243">
            <v>1.7</v>
          </cell>
          <cell r="GC243">
            <v>1.8</v>
          </cell>
          <cell r="GD243">
            <v>0</v>
          </cell>
          <cell r="GE243">
            <v>6.7</v>
          </cell>
          <cell r="GF243">
            <v>-0.4</v>
          </cell>
          <cell r="GG243">
            <v>1.3</v>
          </cell>
          <cell r="GH243">
            <v>0.2</v>
          </cell>
          <cell r="GI243">
            <v>0.2</v>
          </cell>
          <cell r="GJ243">
            <v>1.2</v>
          </cell>
          <cell r="GK243">
            <v>0.4</v>
          </cell>
          <cell r="GL243">
            <v>0.9</v>
          </cell>
          <cell r="GM243">
            <v>-0.8</v>
          </cell>
          <cell r="GN243">
            <v>1.1000000000000001</v>
          </cell>
          <cell r="GO243">
            <v>0.6</v>
          </cell>
          <cell r="GP243">
            <v>-1</v>
          </cell>
          <cell r="GQ243">
            <v>-1.4</v>
          </cell>
          <cell r="GR243">
            <v>-1.2</v>
          </cell>
          <cell r="GS243">
            <v>0.6</v>
          </cell>
          <cell r="GT243">
            <v>1.4</v>
          </cell>
          <cell r="GU243">
            <v>0.8</v>
          </cell>
          <cell r="GV243">
            <v>7.4</v>
          </cell>
          <cell r="GW243">
            <v>-3.9</v>
          </cell>
          <cell r="GX243">
            <v>-2.2000000000000002</v>
          </cell>
          <cell r="GY243">
            <v>5.6</v>
          </cell>
          <cell r="GZ243">
            <v>-0.8</v>
          </cell>
          <cell r="HA243">
            <v>0.9</v>
          </cell>
          <cell r="HB243">
            <v>1</v>
          </cell>
          <cell r="HC243">
            <v>0.5</v>
          </cell>
          <cell r="HD243">
            <v>0.6</v>
          </cell>
          <cell r="HE243">
            <v>2.1</v>
          </cell>
          <cell r="HF243">
            <v>1.1000000000000001</v>
          </cell>
          <cell r="HG243">
            <v>2.5</v>
          </cell>
          <cell r="HH243">
            <v>0.6</v>
          </cell>
          <cell r="HI243">
            <v>0.5</v>
          </cell>
          <cell r="HJ243">
            <v>2.8</v>
          </cell>
          <cell r="HK243">
            <v>0.7</v>
          </cell>
          <cell r="HL243">
            <v>6407</v>
          </cell>
          <cell r="HM243">
            <v>1644</v>
          </cell>
          <cell r="HN243">
            <v>8051</v>
          </cell>
          <cell r="HO243">
            <v>4425</v>
          </cell>
          <cell r="HP243">
            <v>7446</v>
          </cell>
          <cell r="HQ243">
            <v>8926</v>
          </cell>
          <cell r="HR243">
            <v>3341</v>
          </cell>
          <cell r="HS243">
            <v>24138</v>
          </cell>
          <cell r="HT243">
            <v>1595</v>
          </cell>
          <cell r="HU243">
            <v>25733</v>
          </cell>
          <cell r="HV243">
            <v>6948</v>
          </cell>
          <cell r="HW243">
            <v>4811</v>
          </cell>
          <cell r="HX243">
            <v>3859</v>
          </cell>
          <cell r="HY243">
            <v>4788</v>
          </cell>
          <cell r="HZ243">
            <v>5666</v>
          </cell>
          <cell r="IA243">
            <v>26072</v>
          </cell>
          <cell r="IB243">
            <v>5857</v>
          </cell>
          <cell r="IC243">
            <v>529</v>
          </cell>
          <cell r="ID243">
            <v>4223</v>
          </cell>
          <cell r="IE243">
            <v>10608</v>
          </cell>
          <cell r="IF243">
            <v>7239</v>
          </cell>
          <cell r="IG243">
            <v>7458</v>
          </cell>
          <cell r="IH243">
            <v>17959</v>
          </cell>
          <cell r="II243">
            <v>32656</v>
          </cell>
          <cell r="IJ243">
            <v>17795</v>
          </cell>
          <cell r="IK243">
            <v>18857</v>
          </cell>
          <cell r="IL243">
            <v>10610</v>
          </cell>
          <cell r="IM243">
            <v>6321</v>
          </cell>
          <cell r="IN243">
            <v>2515</v>
          </cell>
          <cell r="IO243">
            <v>3011</v>
          </cell>
          <cell r="IP243">
            <v>8947</v>
          </cell>
          <cell r="IQ243">
            <v>20795</v>
          </cell>
        </row>
        <row r="244">
          <cell r="B244">
            <v>8871</v>
          </cell>
          <cell r="C244">
            <v>1638</v>
          </cell>
          <cell r="D244">
            <v>10904</v>
          </cell>
          <cell r="E244">
            <v>4280</v>
          </cell>
          <cell r="F244">
            <v>7122</v>
          </cell>
          <cell r="G244">
            <v>8995</v>
          </cell>
          <cell r="H244">
            <v>3259</v>
          </cell>
          <cell r="I244">
            <v>23652</v>
          </cell>
          <cell r="J244">
            <v>1610</v>
          </cell>
          <cell r="K244">
            <v>25265</v>
          </cell>
          <cell r="L244">
            <v>7039</v>
          </cell>
          <cell r="M244">
            <v>4849</v>
          </cell>
          <cell r="N244">
            <v>3788</v>
          </cell>
          <cell r="O244">
            <v>4397</v>
          </cell>
          <cell r="P244">
            <v>5314</v>
          </cell>
          <cell r="Q244">
            <v>25447</v>
          </cell>
          <cell r="R244">
            <v>5696</v>
          </cell>
          <cell r="S244">
            <v>429</v>
          </cell>
          <cell r="T244">
            <v>4326</v>
          </cell>
          <cell r="U244">
            <v>10453</v>
          </cell>
          <cell r="V244">
            <v>7064</v>
          </cell>
          <cell r="W244">
            <v>7492</v>
          </cell>
          <cell r="X244">
            <v>17787</v>
          </cell>
          <cell r="Y244">
            <v>32361</v>
          </cell>
          <cell r="Z244">
            <v>17664</v>
          </cell>
          <cell r="AA244">
            <v>19370</v>
          </cell>
          <cell r="AB244">
            <v>10687</v>
          </cell>
          <cell r="AC244">
            <v>6190</v>
          </cell>
          <cell r="AD244">
            <v>2450</v>
          </cell>
          <cell r="AE244">
            <v>2971</v>
          </cell>
          <cell r="AF244">
            <v>8780</v>
          </cell>
          <cell r="AG244">
            <v>20389</v>
          </cell>
          <cell r="AH244">
            <v>6383</v>
          </cell>
          <cell r="AI244">
            <v>5253</v>
          </cell>
          <cell r="AJ244">
            <v>11640</v>
          </cell>
          <cell r="AK244">
            <v>27155</v>
          </cell>
          <cell r="AL244">
            <v>11461</v>
          </cell>
          <cell r="AM244">
            <v>38616</v>
          </cell>
          <cell r="AN244">
            <v>2201</v>
          </cell>
          <cell r="AO244">
            <v>10884</v>
          </cell>
          <cell r="AP244">
            <v>13086</v>
          </cell>
          <cell r="AQ244">
            <v>8493</v>
          </cell>
          <cell r="AR244">
            <v>21282</v>
          </cell>
          <cell r="AS244">
            <v>29773</v>
          </cell>
          <cell r="AT244">
            <v>13690</v>
          </cell>
          <cell r="AU244">
            <v>23573</v>
          </cell>
          <cell r="AV244">
            <v>20981</v>
          </cell>
          <cell r="AW244">
            <v>31563</v>
          </cell>
          <cell r="AX244">
            <v>3563</v>
          </cell>
          <cell r="AY244">
            <v>7246</v>
          </cell>
          <cell r="AZ244">
            <v>37519</v>
          </cell>
          <cell r="BA244">
            <v>403864</v>
          </cell>
          <cell r="BB244">
            <v>30961</v>
          </cell>
          <cell r="BC244">
            <v>-1831</v>
          </cell>
          <cell r="BD244">
            <v>433051</v>
          </cell>
          <cell r="BE244">
            <v>-8.1999999999999993</v>
          </cell>
          <cell r="BF244">
            <v>-1</v>
          </cell>
          <cell r="BG244">
            <v>-3.9</v>
          </cell>
          <cell r="BH244">
            <v>0.8</v>
          </cell>
          <cell r="BI244">
            <v>0</v>
          </cell>
          <cell r="BJ244">
            <v>1.2</v>
          </cell>
          <cell r="BK244">
            <v>-4</v>
          </cell>
          <cell r="BL244">
            <v>0</v>
          </cell>
          <cell r="BM244">
            <v>2.1</v>
          </cell>
          <cell r="BN244">
            <v>0.1</v>
          </cell>
          <cell r="BO244">
            <v>2.2999999999999998</v>
          </cell>
          <cell r="BP244">
            <v>0.2</v>
          </cell>
          <cell r="BQ244">
            <v>0.1</v>
          </cell>
          <cell r="BR244">
            <v>-2.6</v>
          </cell>
          <cell r="BS244">
            <v>0.8</v>
          </cell>
          <cell r="BT244">
            <v>0.7</v>
          </cell>
          <cell r="BU244">
            <v>0.2</v>
          </cell>
          <cell r="BV244">
            <v>-1.5</v>
          </cell>
          <cell r="BW244">
            <v>0.1</v>
          </cell>
          <cell r="BX244">
            <v>0.1</v>
          </cell>
          <cell r="BY244">
            <v>0.5</v>
          </cell>
          <cell r="BZ244">
            <v>2.2000000000000002</v>
          </cell>
          <cell r="CA244">
            <v>0.2</v>
          </cell>
          <cell r="CB244">
            <v>0.8</v>
          </cell>
          <cell r="CC244">
            <v>-0.3</v>
          </cell>
          <cell r="CD244">
            <v>0.4</v>
          </cell>
          <cell r="CE244">
            <v>1.2</v>
          </cell>
          <cell r="CF244">
            <v>0.1</v>
          </cell>
          <cell r="CG244">
            <v>1.2</v>
          </cell>
          <cell r="CH244">
            <v>0</v>
          </cell>
          <cell r="CI244">
            <v>-1.2</v>
          </cell>
          <cell r="CJ244">
            <v>-0.4</v>
          </cell>
          <cell r="CK244">
            <v>1.6</v>
          </cell>
          <cell r="CL244">
            <v>0.5</v>
          </cell>
          <cell r="CM244">
            <v>1.1000000000000001</v>
          </cell>
          <cell r="CN244">
            <v>0.4</v>
          </cell>
          <cell r="CO244">
            <v>1.3</v>
          </cell>
          <cell r="CP244">
            <v>0.7</v>
          </cell>
          <cell r="CQ244">
            <v>4.3</v>
          </cell>
          <cell r="CR244">
            <v>-0.8</v>
          </cell>
          <cell r="CS244">
            <v>0</v>
          </cell>
          <cell r="CT244">
            <v>5.5</v>
          </cell>
          <cell r="CU244">
            <v>-1.1000000000000001</v>
          </cell>
          <cell r="CV244">
            <v>0.7</v>
          </cell>
          <cell r="CW244">
            <v>0.3</v>
          </cell>
          <cell r="CX244">
            <v>0.5</v>
          </cell>
          <cell r="CY244">
            <v>0.5</v>
          </cell>
          <cell r="CZ244">
            <v>1.7</v>
          </cell>
          <cell r="DA244">
            <v>1.2</v>
          </cell>
          <cell r="DB244">
            <v>1.8</v>
          </cell>
          <cell r="DC244">
            <v>0.6</v>
          </cell>
          <cell r="DD244">
            <v>0.5</v>
          </cell>
          <cell r="DE244">
            <v>1.3</v>
          </cell>
          <cell r="DF244">
            <v>0.6</v>
          </cell>
          <cell r="DG244">
            <v>9253</v>
          </cell>
          <cell r="DH244">
            <v>1640</v>
          </cell>
          <cell r="DI244">
            <v>10893</v>
          </cell>
          <cell r="DJ244">
            <v>4318</v>
          </cell>
          <cell r="DK244">
            <v>7006</v>
          </cell>
          <cell r="DL244">
            <v>9184</v>
          </cell>
          <cell r="DM244">
            <v>3269</v>
          </cell>
          <cell r="DN244">
            <v>23778</v>
          </cell>
          <cell r="DO244">
            <v>1606</v>
          </cell>
          <cell r="DP244">
            <v>25384</v>
          </cell>
          <cell r="DQ244">
            <v>6991</v>
          </cell>
          <cell r="DR244">
            <v>4919</v>
          </cell>
          <cell r="DS244">
            <v>3767</v>
          </cell>
          <cell r="DT244">
            <v>4264</v>
          </cell>
          <cell r="DU244">
            <v>5292</v>
          </cell>
          <cell r="DV244">
            <v>25233</v>
          </cell>
          <cell r="DW244">
            <v>5708</v>
          </cell>
          <cell r="DX244">
            <v>428</v>
          </cell>
          <cell r="DY244">
            <v>4294</v>
          </cell>
          <cell r="DZ244">
            <v>10429</v>
          </cell>
          <cell r="EA244">
            <v>7076</v>
          </cell>
          <cell r="EB244">
            <v>7468</v>
          </cell>
          <cell r="EC244">
            <v>17736</v>
          </cell>
          <cell r="ED244">
            <v>32280</v>
          </cell>
          <cell r="EE244">
            <v>17682</v>
          </cell>
          <cell r="EF244">
            <v>19339</v>
          </cell>
          <cell r="EG244">
            <v>10667</v>
          </cell>
          <cell r="EH244">
            <v>6199</v>
          </cell>
          <cell r="EI244">
            <v>2456</v>
          </cell>
          <cell r="EJ244">
            <v>3000</v>
          </cell>
          <cell r="EK244">
            <v>8710</v>
          </cell>
          <cell r="EL244">
            <v>20366</v>
          </cell>
          <cell r="EM244">
            <v>6426</v>
          </cell>
          <cell r="EN244">
            <v>5288</v>
          </cell>
          <cell r="EO244">
            <v>11714</v>
          </cell>
          <cell r="EP244">
            <v>27081</v>
          </cell>
          <cell r="EQ244">
            <v>11379</v>
          </cell>
          <cell r="ER244">
            <v>38460</v>
          </cell>
          <cell r="ES244">
            <v>2182</v>
          </cell>
          <cell r="ET244">
            <v>11028</v>
          </cell>
          <cell r="EU244">
            <v>13210</v>
          </cell>
          <cell r="EV244">
            <v>8536</v>
          </cell>
          <cell r="EW244">
            <v>21174</v>
          </cell>
          <cell r="EX244">
            <v>29708</v>
          </cell>
          <cell r="EY244">
            <v>13623</v>
          </cell>
          <cell r="EZ244">
            <v>23682</v>
          </cell>
          <cell r="FA244">
            <v>20988</v>
          </cell>
          <cell r="FB244">
            <v>31657</v>
          </cell>
          <cell r="FC244">
            <v>3587</v>
          </cell>
          <cell r="FD244">
            <v>7287</v>
          </cell>
          <cell r="FE244">
            <v>37523</v>
          </cell>
          <cell r="FF244">
            <v>403713</v>
          </cell>
          <cell r="FG244">
            <v>30751</v>
          </cell>
          <cell r="FH244">
            <v>-1779</v>
          </cell>
          <cell r="FI244">
            <v>432685</v>
          </cell>
          <cell r="FJ244">
            <v>-3.1</v>
          </cell>
          <cell r="FK244">
            <v>-0.1</v>
          </cell>
          <cell r="FL244">
            <v>-2.7</v>
          </cell>
          <cell r="FM244">
            <v>0.7</v>
          </cell>
          <cell r="FN244">
            <v>-1.8</v>
          </cell>
          <cell r="FO244">
            <v>5.5</v>
          </cell>
          <cell r="FP244">
            <v>-1.5</v>
          </cell>
          <cell r="FQ244">
            <v>1.4</v>
          </cell>
          <cell r="FR244">
            <v>-0.2</v>
          </cell>
          <cell r="FS244">
            <v>1.3</v>
          </cell>
          <cell r="FT244">
            <v>-0.9</v>
          </cell>
          <cell r="FU244">
            <v>4.2</v>
          </cell>
          <cell r="FV244">
            <v>0</v>
          </cell>
          <cell r="FW244">
            <v>-7.3</v>
          </cell>
          <cell r="FX244">
            <v>-1.3</v>
          </cell>
          <cell r="FY244">
            <v>-1</v>
          </cell>
          <cell r="FZ244">
            <v>-0.2</v>
          </cell>
          <cell r="GA244">
            <v>-1.1000000000000001</v>
          </cell>
          <cell r="GB244">
            <v>-1.5</v>
          </cell>
          <cell r="GC244">
            <v>-0.8</v>
          </cell>
          <cell r="GD244">
            <v>0.9</v>
          </cell>
          <cell r="GE244">
            <v>0.2</v>
          </cell>
          <cell r="GF244">
            <v>0.1</v>
          </cell>
          <cell r="GG244">
            <v>0.3</v>
          </cell>
          <cell r="GH244">
            <v>-0.2</v>
          </cell>
          <cell r="GI244">
            <v>0.3</v>
          </cell>
          <cell r="GJ244">
            <v>1</v>
          </cell>
          <cell r="GK244">
            <v>0.3</v>
          </cell>
          <cell r="GL244">
            <v>1.6</v>
          </cell>
          <cell r="GM244">
            <v>1.9</v>
          </cell>
          <cell r="GN244">
            <v>-3</v>
          </cell>
          <cell r="GO244">
            <v>-0.8</v>
          </cell>
          <cell r="GP244">
            <v>3.5</v>
          </cell>
          <cell r="GQ244">
            <v>2.2000000000000002</v>
          </cell>
          <cell r="GR244">
            <v>2.9</v>
          </cell>
          <cell r="GS244">
            <v>0</v>
          </cell>
          <cell r="GT244">
            <v>0.2</v>
          </cell>
          <cell r="GU244">
            <v>0.1</v>
          </cell>
          <cell r="GV244">
            <v>1.6</v>
          </cell>
          <cell r="GW244">
            <v>2.6</v>
          </cell>
          <cell r="GX244">
            <v>2.5</v>
          </cell>
          <cell r="GY244">
            <v>5.9</v>
          </cell>
          <cell r="GZ244">
            <v>-1.8</v>
          </cell>
          <cell r="HA244">
            <v>0.3</v>
          </cell>
          <cell r="HB244">
            <v>-0.6</v>
          </cell>
          <cell r="HC244">
            <v>1.2</v>
          </cell>
          <cell r="HD244">
            <v>0.5</v>
          </cell>
          <cell r="HE244">
            <v>1.9</v>
          </cell>
          <cell r="HF244">
            <v>2.2000000000000002</v>
          </cell>
          <cell r="HG244">
            <v>1.9</v>
          </cell>
          <cell r="HH244">
            <v>0.6</v>
          </cell>
          <cell r="HI244">
            <v>0.5</v>
          </cell>
          <cell r="HJ244">
            <v>-0.4</v>
          </cell>
          <cell r="HK244">
            <v>0.4</v>
          </cell>
          <cell r="HL244">
            <v>12587</v>
          </cell>
          <cell r="HM244">
            <v>1642</v>
          </cell>
          <cell r="HN244">
            <v>14230</v>
          </cell>
          <cell r="HO244">
            <v>4312</v>
          </cell>
          <cell r="HP244">
            <v>7136</v>
          </cell>
          <cell r="HQ244">
            <v>9355</v>
          </cell>
          <cell r="HR244">
            <v>3393</v>
          </cell>
          <cell r="HS244">
            <v>24196</v>
          </cell>
          <cell r="HT244">
            <v>1626</v>
          </cell>
          <cell r="HU244">
            <v>25822</v>
          </cell>
          <cell r="HV244">
            <v>7502</v>
          </cell>
          <cell r="HW244">
            <v>4991</v>
          </cell>
          <cell r="HX244">
            <v>3912</v>
          </cell>
          <cell r="HY244">
            <v>4351</v>
          </cell>
          <cell r="HZ244">
            <v>5496</v>
          </cell>
          <cell r="IA244">
            <v>26252</v>
          </cell>
          <cell r="IB244">
            <v>5552</v>
          </cell>
          <cell r="IC244">
            <v>377</v>
          </cell>
          <cell r="ID244">
            <v>4403</v>
          </cell>
          <cell r="IE244">
            <v>10333</v>
          </cell>
          <cell r="IF244">
            <v>7378</v>
          </cell>
          <cell r="IG244">
            <v>7839</v>
          </cell>
          <cell r="IH244">
            <v>18706</v>
          </cell>
          <cell r="II244">
            <v>33923</v>
          </cell>
          <cell r="IJ244">
            <v>18365</v>
          </cell>
          <cell r="IK244">
            <v>21193</v>
          </cell>
          <cell r="IL244">
            <v>11152</v>
          </cell>
          <cell r="IM244">
            <v>6392</v>
          </cell>
          <cell r="IN244">
            <v>2533</v>
          </cell>
          <cell r="IO244">
            <v>3063</v>
          </cell>
          <cell r="IP244">
            <v>9098</v>
          </cell>
          <cell r="IQ244">
            <v>21086</v>
          </cell>
        </row>
      </sheetData>
      <sheetData sheetId="16">
        <row r="1">
          <cell r="B1" t="str">
            <v>Information media and telecommunications (J) ;  Telecommunications services ;</v>
          </cell>
          <cell r="C1" t="str">
            <v>Information media and telecommunications (J) ;  Other information and media services ;</v>
          </cell>
          <cell r="D1" t="str">
            <v>Information media and telecommunications (J) ;</v>
          </cell>
          <cell r="E1" t="str">
            <v>Financial and insurance services (K) ;  Finance ;</v>
          </cell>
          <cell r="F1" t="str">
            <v>Financial and insurance services (K) ;  Other financial and insurance services ;</v>
          </cell>
          <cell r="G1" t="str">
            <v>Financial and insurance services (K) ;</v>
          </cell>
          <cell r="H1" t="str">
            <v>Rental, hiring and real estate services (L) ;  Rental and hiring services ;</v>
          </cell>
          <cell r="I1" t="str">
            <v>Rental, hiring and real estate services (L) ;  Property operators and real estate services ;</v>
          </cell>
          <cell r="J1" t="str">
            <v>Rental, hiring and real estate services (L) ;</v>
          </cell>
          <cell r="K1" t="str">
            <v>Professional, scientific and technical services (M) ;  Computer system design and related services ;</v>
          </cell>
          <cell r="L1" t="str">
            <v>Professional, scientific and technical services (M) ;  Other professional, scientific and technical services ;</v>
          </cell>
          <cell r="M1" t="str">
            <v>Professional, scientific and technical services (M) ;</v>
          </cell>
          <cell r="N1" t="str">
            <v>Administrative and support services (N) ;</v>
          </cell>
          <cell r="O1" t="str">
            <v>Public administration and safety (O) ;</v>
          </cell>
          <cell r="P1" t="str">
            <v>Education and training (P) ;</v>
          </cell>
          <cell r="Q1" t="str">
            <v>Health care and social assistance (Q) ;</v>
          </cell>
          <cell r="R1" t="str">
            <v>Arts and recreation services (R) ;</v>
          </cell>
          <cell r="S1" t="str">
            <v>Other services (S) ;</v>
          </cell>
          <cell r="T1" t="str">
            <v>Ownership of dwellings ;</v>
          </cell>
          <cell r="U1" t="str">
            <v>Gross value added at basic prices ;</v>
          </cell>
          <cell r="V1" t="str">
            <v>Taxes less subsidies on products ;</v>
          </cell>
          <cell r="W1" t="str">
            <v>Statistical discrepancy (P) ;</v>
          </cell>
          <cell r="X1" t="str">
            <v>GROSS DOMESTIC PRODUCT ;</v>
          </cell>
          <cell r="Y1" t="str">
            <v>Agriculture, forestry and fishing (A) ;  Agriculture: Contributions to growth ;</v>
          </cell>
          <cell r="Z1" t="str">
            <v>Agriculture, forestry and fishing (A) ;  Forestry and fishing: Contributions to growth ;</v>
          </cell>
          <cell r="AA1" t="str">
            <v>Agriculture, forestry and fishing (A) ;  Contributions to growth ;</v>
          </cell>
          <cell r="AB1" t="str">
            <v>Mining (B) ;  Coal Mining: Contributions to growth ;</v>
          </cell>
          <cell r="AC1" t="str">
            <v>Mining (B) ;  Oil and gas extraction: Contributions to growth ;</v>
          </cell>
          <cell r="AD1" t="str">
            <v>Mining (B) ;  Iron ore mining: Contributions to growth ;</v>
          </cell>
          <cell r="AE1" t="str">
            <v>Mining (B) ;  Other mining: Contributions to growth ;</v>
          </cell>
          <cell r="AF1" t="str">
            <v>Mining (B) ;  Mining excluding exploration and mining support services: Contributions to growth ;</v>
          </cell>
          <cell r="AG1" t="str">
            <v>Mining (B) ;  Exploration and mining support services: Contributions to growth ;</v>
          </cell>
          <cell r="AH1" t="str">
            <v>Mining (B) ;  Contributions to growth ;</v>
          </cell>
          <cell r="AI1" t="str">
            <v>Manufacturing (C) ;  Food, beverage and tobacco products: Contributions to growth ;</v>
          </cell>
          <cell r="AJ1" t="str">
            <v>Manufacturing (C) ;  Petroleum, coal, chemical and rubber products: Contributions to growth ;</v>
          </cell>
          <cell r="AK1" t="str">
            <v>Manufacturing (C) ;  Metal products: Contributions to growth ;</v>
          </cell>
          <cell r="AL1" t="str">
            <v>Manufacturing (C) ;  Machinery and equipment: Contributions to growth ;</v>
          </cell>
          <cell r="AM1" t="str">
            <v>Manufacturing (C) ;  Other manufacturing: Contributions to growth ;</v>
          </cell>
          <cell r="AN1" t="str">
            <v>Manufacturing (C) ;  Contributions to growth ;</v>
          </cell>
          <cell r="AO1" t="str">
            <v>Electricity, gas, water and waste services (D) ;  Electricity: Contributions to growth ;</v>
          </cell>
          <cell r="AP1" t="str">
            <v>Electricity, gas, water and waste services (D) ;  Gas: Contributions to growth ;</v>
          </cell>
          <cell r="AQ1" t="str">
            <v>Electricity, gas, water and waste services (D) ;  Water supply and waste services: Contributions to growth ;</v>
          </cell>
          <cell r="AR1" t="str">
            <v>Electricity, gas, water and waste services (D) ;  Contributions to growth ;</v>
          </cell>
          <cell r="AS1" t="str">
            <v>Construction (E) ;  Building construction: Contributions to growth ;</v>
          </cell>
          <cell r="AT1" t="str">
            <v>Construction (E) ;  Heavy and civil engineering construction: Contributions to growth ;</v>
          </cell>
          <cell r="AU1" t="str">
            <v>Construction (E) ;  Construction services: Contributions to growth ;</v>
          </cell>
          <cell r="AV1" t="str">
            <v>Construction (E) ;  Contributions to growth ;</v>
          </cell>
          <cell r="AW1" t="str">
            <v>Wholesale trade (F) ;  Contributions to growth ;</v>
          </cell>
          <cell r="AX1" t="str">
            <v>Retail trade (G) ;  Contributions to growth ;</v>
          </cell>
          <cell r="AY1" t="str">
            <v>Accommodation and food services (H) ;  Contributions to growth ;</v>
          </cell>
          <cell r="AZ1" t="str">
            <v>Transport, postal and warehousing (I) ;  Road: Contributions to growth ;</v>
          </cell>
          <cell r="BA1" t="str">
            <v>Transport, postal and warehousing (I) ;  Air and space transport: Contributions to growth ;</v>
          </cell>
          <cell r="BB1" t="str">
            <v>Transport, postal and warehousing (I) ;  Rail, pipeline and other transport: Contributions to growth ;</v>
          </cell>
          <cell r="BC1" t="str">
            <v>Transport, postal and warehousing (I) ;  Transport, postal and storage services: Contributions to growth ;</v>
          </cell>
          <cell r="BD1" t="str">
            <v>Transport, postal and warehousing (I) ;  Contributions to growth ;</v>
          </cell>
          <cell r="BE1" t="str">
            <v>Information media and telecommunications (J) ;  Telecommunications services: Contributions to growth ;</v>
          </cell>
          <cell r="BF1" t="str">
            <v>Information media and telecommunications (J) ;  Other information and media services: Contributions to growth ;</v>
          </cell>
          <cell r="BG1" t="str">
            <v>Information media and telecommunications (J) ;  Contributions to growth ;</v>
          </cell>
          <cell r="BH1" t="str">
            <v>Financial and insurance services (K) ;  Finance: Contributions to growth ;</v>
          </cell>
          <cell r="BI1" t="str">
            <v>Financial and insurance services (K) ;  Other financial and insurance services: Contributions to growth ;</v>
          </cell>
          <cell r="BJ1" t="str">
            <v>Financial and insurance services (K) ;  Contributions to growth ;</v>
          </cell>
          <cell r="BK1" t="str">
            <v>Rental, hiring and real estate services (L) ;  Rental and hiring services: Contributions to growth ;</v>
          </cell>
          <cell r="BL1" t="str">
            <v>Rental, hiring and real estate services (L) ;  Property operators and real estate services: Contributions to growth ;</v>
          </cell>
          <cell r="BM1" t="str">
            <v>Rental, hiring and real estate services (L) ;  Contributions to growth ;</v>
          </cell>
          <cell r="BN1" t="str">
            <v>Professional, scientific and technical services (M) ;  Computer system design and related services: Contributions to growth ;</v>
          </cell>
          <cell r="BO1" t="str">
            <v>Professional, scientific and technical services (M) ;  Other professional, scientific and technical services: Contributions to growth ;</v>
          </cell>
          <cell r="BP1" t="str">
            <v>Professional, scientific and technical services (M) ;  Contributions to growth ;</v>
          </cell>
          <cell r="BQ1" t="str">
            <v>Administrative and support services (N) ;  Contributions to growth ;</v>
          </cell>
          <cell r="BR1" t="str">
            <v>Public administration and safety (O) ;  Contributions to growth ;</v>
          </cell>
          <cell r="BS1" t="str">
            <v>Education and training (P) ;  Contributions to growth ;</v>
          </cell>
          <cell r="BT1" t="str">
            <v>Health care and social assistance (Q) ;  Contributions to growth ;</v>
          </cell>
          <cell r="BU1" t="str">
            <v>Arts and recreation services (R) ;  Contributions to growth ;</v>
          </cell>
          <cell r="BV1" t="str">
            <v>Other services (S) ;  Contributions to growth ;</v>
          </cell>
          <cell r="BW1" t="str">
            <v>Ownership of dwellings ;  Contributions to growth ;</v>
          </cell>
          <cell r="BX1" t="str">
            <v>Gross value added at basic prices: Contributions to growth ;</v>
          </cell>
          <cell r="BY1" t="str">
            <v>Taxes less subsidies on products: Contributions to growth ;</v>
          </cell>
          <cell r="BZ1" t="str">
            <v>GROSS DOMESTIC PRODUCT: Contributions to growth ;</v>
          </cell>
          <cell r="CA1" t="str">
            <v>Agriculture, forestry and fishing (A) ;  Revision to percentage changes ;</v>
          </cell>
          <cell r="CB1" t="str">
            <v>Mining (B) ;  Revision to percentage changes ;</v>
          </cell>
          <cell r="CC1" t="str">
            <v>Manufacturing (C) ;  Revision to percentage changes ;</v>
          </cell>
          <cell r="CD1" t="str">
            <v>Electricity, gas, water and waste services (D) ;  Revision to percentage changes ;</v>
          </cell>
          <cell r="CE1" t="str">
            <v>Construction (E) ;  Revision to percentage changes ;</v>
          </cell>
          <cell r="CF1" t="str">
            <v>Wholesale trade (F) ;  Revision to percentage changes ;</v>
          </cell>
          <cell r="CG1" t="str">
            <v>Retail trade (G) ;  Revision to percentage changes ;</v>
          </cell>
          <cell r="CH1" t="str">
            <v>Accommodation and food services (H) ;  Revision to percentage changes ;</v>
          </cell>
          <cell r="CI1" t="str">
            <v>Transport, postal and warehousing (I) ;  Revision to percentage changes ;</v>
          </cell>
          <cell r="CJ1" t="str">
            <v>Information media and telecommunications (J) ;  Revision to percentage changes ;</v>
          </cell>
          <cell r="CK1" t="str">
            <v>Financial and insurance services (K) ;  Revision to percentage changes ;</v>
          </cell>
          <cell r="CL1" t="str">
            <v>Rental, hiring and real estate services (L) ;  Revision to percentage changes ;</v>
          </cell>
          <cell r="CM1" t="str">
            <v>Professional, scientific and technical services (M) ;  Revision to percentage changes ;</v>
          </cell>
          <cell r="CN1" t="str">
            <v>Administrative and support services (N) ;  Revision to percentage changes ;</v>
          </cell>
          <cell r="CO1" t="str">
            <v>Public administration and safety (O) ;  Revision to percentage changes ;</v>
          </cell>
          <cell r="CP1" t="str">
            <v>Education and training (P) ;  Revision to percentage changes ;</v>
          </cell>
          <cell r="CQ1" t="str">
            <v>Health care and social assistance (Q) ;  Revision to percentage changes ;</v>
          </cell>
          <cell r="CR1" t="str">
            <v>Arts and recreation services (R) ;  Revision to percentage changes ;</v>
          </cell>
          <cell r="CS1" t="str">
            <v>Other services (S) ;  Revision to percentage changes ;</v>
          </cell>
          <cell r="CT1" t="str">
            <v>Ownership of dwellings ;  GROSS DOMESTIC PRODUCT: Revision to percentage changes ;</v>
          </cell>
          <cell r="CU1" t="str">
            <v>Gross value added at basic prices: Revision to percentage changes ;</v>
          </cell>
          <cell r="CV1" t="str">
            <v>Taxes less subsidies on products: Revision to percentage changes ;</v>
          </cell>
          <cell r="CW1" t="str">
            <v>GROSS DOMESTIC PRODUCT: Revision to percentage changes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Index Points</v>
          </cell>
          <cell r="Z2" t="str">
            <v>Index Points</v>
          </cell>
          <cell r="AA2" t="str">
            <v>Index Points</v>
          </cell>
          <cell r="AB2" t="str">
            <v>Index Points</v>
          </cell>
          <cell r="AC2" t="str">
            <v>Index Points</v>
          </cell>
          <cell r="AD2" t="str">
            <v>Index Points</v>
          </cell>
          <cell r="AE2" t="str">
            <v>Index Points</v>
          </cell>
          <cell r="AF2" t="str">
            <v>Index Points</v>
          </cell>
          <cell r="AG2" t="str">
            <v>Index Points</v>
          </cell>
          <cell r="AH2" t="str">
            <v>Index Points</v>
          </cell>
          <cell r="AI2" t="str">
            <v>Index Points</v>
          </cell>
          <cell r="AJ2" t="str">
            <v>Index Points</v>
          </cell>
          <cell r="AK2" t="str">
            <v>Index Points</v>
          </cell>
          <cell r="AL2" t="str">
            <v>Index Points</v>
          </cell>
          <cell r="AM2" t="str">
            <v>Index Points</v>
          </cell>
          <cell r="AN2" t="str">
            <v>Index Points</v>
          </cell>
          <cell r="AO2" t="str">
            <v>Index Points</v>
          </cell>
          <cell r="AP2" t="str">
            <v>Index Points</v>
          </cell>
          <cell r="AQ2" t="str">
            <v>Index Points</v>
          </cell>
          <cell r="AR2" t="str">
            <v>Index Points</v>
          </cell>
          <cell r="AS2" t="str">
            <v>Index Points</v>
          </cell>
          <cell r="AT2" t="str">
            <v>Index Points</v>
          </cell>
          <cell r="AU2" t="str">
            <v>Index Points</v>
          </cell>
          <cell r="AV2" t="str">
            <v>Index Points</v>
          </cell>
          <cell r="AW2" t="str">
            <v>Index Points</v>
          </cell>
          <cell r="AX2" t="str">
            <v>Index Points</v>
          </cell>
          <cell r="AY2" t="str">
            <v>Index Points</v>
          </cell>
          <cell r="AZ2" t="str">
            <v>Index Points</v>
          </cell>
          <cell r="BA2" t="str">
            <v>Index Points</v>
          </cell>
          <cell r="BB2" t="str">
            <v>Index Points</v>
          </cell>
          <cell r="BC2" t="str">
            <v>Index Points</v>
          </cell>
          <cell r="BD2" t="str">
            <v>Index Points</v>
          </cell>
          <cell r="BE2" t="str">
            <v>Index Points</v>
          </cell>
          <cell r="BF2" t="str">
            <v>Index Points</v>
          </cell>
          <cell r="BG2" t="str">
            <v>Index Points</v>
          </cell>
          <cell r="BH2" t="str">
            <v>Index Points</v>
          </cell>
          <cell r="BI2" t="str">
            <v>Index Points</v>
          </cell>
          <cell r="BJ2" t="str">
            <v>Index Points</v>
          </cell>
          <cell r="BK2" t="str">
            <v>Index Points</v>
          </cell>
          <cell r="BL2" t="str">
            <v>Index Points</v>
          </cell>
          <cell r="BM2" t="str">
            <v>Index Points</v>
          </cell>
          <cell r="BN2" t="str">
            <v>Index Points</v>
          </cell>
          <cell r="BO2" t="str">
            <v>Index Points</v>
          </cell>
          <cell r="BP2" t="str">
            <v>Index Points</v>
          </cell>
          <cell r="BQ2" t="str">
            <v>Index Points</v>
          </cell>
          <cell r="BR2" t="str">
            <v>Index Points</v>
          </cell>
          <cell r="BS2" t="str">
            <v>Index Points</v>
          </cell>
          <cell r="BT2" t="str">
            <v>Index Points</v>
          </cell>
          <cell r="BU2" t="str">
            <v>Index Points</v>
          </cell>
          <cell r="BV2" t="str">
            <v>Index Points</v>
          </cell>
          <cell r="BW2" t="str">
            <v>Index Points</v>
          </cell>
          <cell r="BX2" t="str">
            <v>Index Points</v>
          </cell>
          <cell r="BY2" t="str">
            <v>Index Points</v>
          </cell>
          <cell r="BZ2" t="str">
            <v>Index Points</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Seasonally Adjusted</v>
          </cell>
          <cell r="BW3" t="str">
            <v>Seasonally Adjusted</v>
          </cell>
          <cell r="BX3" t="str">
            <v>Seasonally Adjusted</v>
          </cell>
          <cell r="BY3" t="str">
            <v>Seasonally Adjusted</v>
          </cell>
          <cell r="BZ3" t="str">
            <v>Seasonally Adjusted</v>
          </cell>
          <cell r="CA3" t="str">
            <v>Seasonally Adjusted</v>
          </cell>
          <cell r="CB3" t="str">
            <v>Seasonally Adjusted</v>
          </cell>
          <cell r="CC3" t="str">
            <v>Seasonally Adjusted</v>
          </cell>
          <cell r="CD3" t="str">
            <v>Seasonally Adjusted</v>
          </cell>
          <cell r="CE3" t="str">
            <v>Seasonally Adjusted</v>
          </cell>
          <cell r="CF3" t="str">
            <v>Seasonally Adjusted</v>
          </cell>
          <cell r="CG3" t="str">
            <v>Seasonally Adjusted</v>
          </cell>
          <cell r="CH3" t="str">
            <v>Seasonally Adjusted</v>
          </cell>
          <cell r="CI3" t="str">
            <v>Seasonally Adjusted</v>
          </cell>
          <cell r="CJ3" t="str">
            <v>Seasonally Adjusted</v>
          </cell>
          <cell r="CK3" t="str">
            <v>Seasonally Adjusted</v>
          </cell>
          <cell r="CL3" t="str">
            <v>Seasonally Adjusted</v>
          </cell>
          <cell r="CM3" t="str">
            <v>Seasonally Adjusted</v>
          </cell>
          <cell r="CN3" t="str">
            <v>Seasonally Adjusted</v>
          </cell>
          <cell r="CO3" t="str">
            <v>Seasonally Adjusted</v>
          </cell>
          <cell r="CP3" t="str">
            <v>Seasonally Adjusted</v>
          </cell>
          <cell r="CQ3" t="str">
            <v>Seasonally Adjusted</v>
          </cell>
          <cell r="CR3" t="str">
            <v>Seasonally Adjusted</v>
          </cell>
          <cell r="CS3" t="str">
            <v>Seasonally Adjusted</v>
          </cell>
          <cell r="CT3" t="str">
            <v>Seasonally Adjusted</v>
          </cell>
          <cell r="CU3" t="str">
            <v>Seasonally Adjusted</v>
          </cell>
          <cell r="CV3" t="str">
            <v>Seasonally Adjusted</v>
          </cell>
          <cell r="CW3" t="str">
            <v>Seasonally Adjusted</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row>
        <row r="7">
          <cell r="B7">
            <v>34578</v>
          </cell>
          <cell r="C7">
            <v>34578</v>
          </cell>
          <cell r="D7">
            <v>27273</v>
          </cell>
          <cell r="E7">
            <v>34578</v>
          </cell>
          <cell r="F7">
            <v>34578</v>
          </cell>
          <cell r="G7">
            <v>27273</v>
          </cell>
          <cell r="H7">
            <v>34578</v>
          </cell>
          <cell r="I7">
            <v>34578</v>
          </cell>
          <cell r="J7">
            <v>27273</v>
          </cell>
          <cell r="K7">
            <v>34578</v>
          </cell>
          <cell r="L7">
            <v>34578</v>
          </cell>
          <cell r="M7">
            <v>27273</v>
          </cell>
          <cell r="N7">
            <v>27273</v>
          </cell>
          <cell r="O7">
            <v>27273</v>
          </cell>
          <cell r="P7">
            <v>27273</v>
          </cell>
          <cell r="Q7">
            <v>27273</v>
          </cell>
          <cell r="R7">
            <v>27273</v>
          </cell>
          <cell r="S7">
            <v>27273</v>
          </cell>
          <cell r="T7">
            <v>27273</v>
          </cell>
          <cell r="U7">
            <v>27273</v>
          </cell>
          <cell r="V7">
            <v>27273</v>
          </cell>
          <cell r="W7">
            <v>21794</v>
          </cell>
          <cell r="X7">
            <v>21794</v>
          </cell>
          <cell r="Y7">
            <v>27364</v>
          </cell>
          <cell r="Z7">
            <v>27364</v>
          </cell>
          <cell r="AA7">
            <v>27364</v>
          </cell>
          <cell r="AB7">
            <v>31382</v>
          </cell>
          <cell r="AC7">
            <v>31382</v>
          </cell>
          <cell r="AD7">
            <v>31382</v>
          </cell>
          <cell r="AE7">
            <v>31382</v>
          </cell>
          <cell r="AF7">
            <v>27364</v>
          </cell>
          <cell r="AG7">
            <v>31382</v>
          </cell>
          <cell r="AH7">
            <v>27364</v>
          </cell>
          <cell r="AI7">
            <v>28460</v>
          </cell>
          <cell r="AJ7">
            <v>28460</v>
          </cell>
          <cell r="AK7">
            <v>28460</v>
          </cell>
          <cell r="AL7">
            <v>28460</v>
          </cell>
          <cell r="AM7">
            <v>31747</v>
          </cell>
          <cell r="AN7">
            <v>27364</v>
          </cell>
          <cell r="AO7">
            <v>27364</v>
          </cell>
          <cell r="AP7">
            <v>27364</v>
          </cell>
          <cell r="AQ7">
            <v>27364</v>
          </cell>
          <cell r="AR7">
            <v>27364</v>
          </cell>
          <cell r="AS7">
            <v>34669</v>
          </cell>
          <cell r="AT7">
            <v>34669</v>
          </cell>
          <cell r="AU7">
            <v>34669</v>
          </cell>
          <cell r="AV7">
            <v>27364</v>
          </cell>
          <cell r="AW7">
            <v>27364</v>
          </cell>
          <cell r="AX7">
            <v>27364</v>
          </cell>
          <cell r="AY7">
            <v>27364</v>
          </cell>
          <cell r="AZ7">
            <v>27364</v>
          </cell>
          <cell r="BA7">
            <v>27364</v>
          </cell>
          <cell r="BB7">
            <v>27364</v>
          </cell>
          <cell r="BC7">
            <v>27364</v>
          </cell>
          <cell r="BD7">
            <v>27364</v>
          </cell>
          <cell r="BE7">
            <v>34669</v>
          </cell>
          <cell r="BF7">
            <v>34669</v>
          </cell>
          <cell r="BG7">
            <v>27364</v>
          </cell>
          <cell r="BH7">
            <v>34669</v>
          </cell>
          <cell r="BI7">
            <v>34669</v>
          </cell>
          <cell r="BJ7">
            <v>27364</v>
          </cell>
          <cell r="BK7">
            <v>34669</v>
          </cell>
          <cell r="BL7">
            <v>34669</v>
          </cell>
          <cell r="BM7">
            <v>27364</v>
          </cell>
          <cell r="BN7">
            <v>34669</v>
          </cell>
          <cell r="BO7">
            <v>34669</v>
          </cell>
          <cell r="BP7">
            <v>27364</v>
          </cell>
          <cell r="BQ7">
            <v>27364</v>
          </cell>
          <cell r="BR7">
            <v>27364</v>
          </cell>
          <cell r="BS7">
            <v>27364</v>
          </cell>
          <cell r="BT7">
            <v>27364</v>
          </cell>
          <cell r="BU7">
            <v>27364</v>
          </cell>
          <cell r="BV7">
            <v>27364</v>
          </cell>
          <cell r="BW7">
            <v>27364</v>
          </cell>
          <cell r="BX7">
            <v>27364</v>
          </cell>
          <cell r="BY7">
            <v>27364</v>
          </cell>
          <cell r="BZ7">
            <v>22160</v>
          </cell>
          <cell r="CA7">
            <v>27364</v>
          </cell>
          <cell r="CB7">
            <v>27364</v>
          </cell>
          <cell r="CC7">
            <v>27364</v>
          </cell>
          <cell r="CD7">
            <v>27364</v>
          </cell>
          <cell r="CE7">
            <v>27364</v>
          </cell>
          <cell r="CF7">
            <v>27364</v>
          </cell>
          <cell r="CG7">
            <v>27364</v>
          </cell>
          <cell r="CH7">
            <v>27364</v>
          </cell>
          <cell r="CI7">
            <v>27364</v>
          </cell>
          <cell r="CJ7">
            <v>27364</v>
          </cell>
          <cell r="CK7">
            <v>27364</v>
          </cell>
          <cell r="CL7">
            <v>27364</v>
          </cell>
          <cell r="CM7">
            <v>27364</v>
          </cell>
          <cell r="CN7">
            <v>27364</v>
          </cell>
          <cell r="CO7">
            <v>27364</v>
          </cell>
          <cell r="CP7">
            <v>27364</v>
          </cell>
          <cell r="CQ7">
            <v>27364</v>
          </cell>
          <cell r="CR7">
            <v>27364</v>
          </cell>
          <cell r="CS7">
            <v>27364</v>
          </cell>
          <cell r="CT7">
            <v>27364</v>
          </cell>
          <cell r="CU7">
            <v>27364</v>
          </cell>
          <cell r="CV7">
            <v>27364</v>
          </cell>
          <cell r="CW7">
            <v>21885</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42979</v>
          </cell>
          <cell r="CB8">
            <v>42979</v>
          </cell>
          <cell r="CC8">
            <v>42979</v>
          </cell>
          <cell r="CD8">
            <v>42979</v>
          </cell>
          <cell r="CE8">
            <v>42979</v>
          </cell>
          <cell r="CF8">
            <v>42979</v>
          </cell>
          <cell r="CG8">
            <v>42979</v>
          </cell>
          <cell r="CH8">
            <v>42979</v>
          </cell>
          <cell r="CI8">
            <v>42979</v>
          </cell>
          <cell r="CJ8">
            <v>42979</v>
          </cell>
          <cell r="CK8">
            <v>42979</v>
          </cell>
          <cell r="CL8">
            <v>42979</v>
          </cell>
          <cell r="CM8">
            <v>42979</v>
          </cell>
          <cell r="CN8">
            <v>42979</v>
          </cell>
          <cell r="CO8">
            <v>42979</v>
          </cell>
          <cell r="CP8">
            <v>42979</v>
          </cell>
          <cell r="CQ8">
            <v>42979</v>
          </cell>
          <cell r="CR8">
            <v>42979</v>
          </cell>
          <cell r="CS8">
            <v>42979</v>
          </cell>
          <cell r="CT8">
            <v>42979</v>
          </cell>
          <cell r="CU8">
            <v>42979</v>
          </cell>
          <cell r="CV8">
            <v>42979</v>
          </cell>
          <cell r="CW8">
            <v>42979</v>
          </cell>
        </row>
        <row r="9">
          <cell r="B9">
            <v>94</v>
          </cell>
          <cell r="C9">
            <v>94</v>
          </cell>
          <cell r="D9">
            <v>174</v>
          </cell>
          <cell r="E9">
            <v>94</v>
          </cell>
          <cell r="F9">
            <v>94</v>
          </cell>
          <cell r="G9">
            <v>174</v>
          </cell>
          <cell r="H9">
            <v>94</v>
          </cell>
          <cell r="I9">
            <v>94</v>
          </cell>
          <cell r="J9">
            <v>174</v>
          </cell>
          <cell r="K9">
            <v>94</v>
          </cell>
          <cell r="L9">
            <v>94</v>
          </cell>
          <cell r="M9">
            <v>174</v>
          </cell>
          <cell r="N9">
            <v>174</v>
          </cell>
          <cell r="O9">
            <v>174</v>
          </cell>
          <cell r="P9">
            <v>174</v>
          </cell>
          <cell r="Q9">
            <v>174</v>
          </cell>
          <cell r="R9">
            <v>174</v>
          </cell>
          <cell r="S9">
            <v>174</v>
          </cell>
          <cell r="T9">
            <v>174</v>
          </cell>
          <cell r="U9">
            <v>174</v>
          </cell>
          <cell r="V9">
            <v>174</v>
          </cell>
          <cell r="W9">
            <v>234</v>
          </cell>
          <cell r="X9">
            <v>234</v>
          </cell>
          <cell r="Y9">
            <v>173</v>
          </cell>
          <cell r="Z9">
            <v>173</v>
          </cell>
          <cell r="AA9">
            <v>173</v>
          </cell>
          <cell r="AB9">
            <v>129</v>
          </cell>
          <cell r="AC9">
            <v>129</v>
          </cell>
          <cell r="AD9">
            <v>129</v>
          </cell>
          <cell r="AE9">
            <v>129</v>
          </cell>
          <cell r="AF9">
            <v>173</v>
          </cell>
          <cell r="AG9">
            <v>129</v>
          </cell>
          <cell r="AH9">
            <v>173</v>
          </cell>
          <cell r="AI9">
            <v>161</v>
          </cell>
          <cell r="AJ9">
            <v>161</v>
          </cell>
          <cell r="AK9">
            <v>161</v>
          </cell>
          <cell r="AL9">
            <v>161</v>
          </cell>
          <cell r="AM9">
            <v>125</v>
          </cell>
          <cell r="AN9">
            <v>173</v>
          </cell>
          <cell r="AO9">
            <v>173</v>
          </cell>
          <cell r="AP9">
            <v>173</v>
          </cell>
          <cell r="AQ9">
            <v>173</v>
          </cell>
          <cell r="AR9">
            <v>173</v>
          </cell>
          <cell r="AS9">
            <v>93</v>
          </cell>
          <cell r="AT9">
            <v>93</v>
          </cell>
          <cell r="AU9">
            <v>93</v>
          </cell>
          <cell r="AV9">
            <v>173</v>
          </cell>
          <cell r="AW9">
            <v>173</v>
          </cell>
          <cell r="AX9">
            <v>173</v>
          </cell>
          <cell r="AY9">
            <v>173</v>
          </cell>
          <cell r="AZ9">
            <v>173</v>
          </cell>
          <cell r="BA9">
            <v>173</v>
          </cell>
          <cell r="BB9">
            <v>173</v>
          </cell>
          <cell r="BC9">
            <v>173</v>
          </cell>
          <cell r="BD9">
            <v>173</v>
          </cell>
          <cell r="BE9">
            <v>93</v>
          </cell>
          <cell r="BF9">
            <v>93</v>
          </cell>
          <cell r="BG9">
            <v>173</v>
          </cell>
          <cell r="BH9">
            <v>93</v>
          </cell>
          <cell r="BI9">
            <v>93</v>
          </cell>
          <cell r="BJ9">
            <v>173</v>
          </cell>
          <cell r="BK9">
            <v>93</v>
          </cell>
          <cell r="BL9">
            <v>93</v>
          </cell>
          <cell r="BM9">
            <v>173</v>
          </cell>
          <cell r="BN9">
            <v>93</v>
          </cell>
          <cell r="BO9">
            <v>93</v>
          </cell>
          <cell r="BP9">
            <v>173</v>
          </cell>
          <cell r="BQ9">
            <v>173</v>
          </cell>
          <cell r="BR9">
            <v>173</v>
          </cell>
          <cell r="BS9">
            <v>173</v>
          </cell>
          <cell r="BT9">
            <v>173</v>
          </cell>
          <cell r="BU9">
            <v>173</v>
          </cell>
          <cell r="BV9">
            <v>173</v>
          </cell>
          <cell r="BW9">
            <v>173</v>
          </cell>
          <cell r="BX9">
            <v>173</v>
          </cell>
          <cell r="BY9">
            <v>173</v>
          </cell>
          <cell r="BZ9">
            <v>230</v>
          </cell>
          <cell r="CA9">
            <v>172</v>
          </cell>
          <cell r="CB9">
            <v>172</v>
          </cell>
          <cell r="CC9">
            <v>172</v>
          </cell>
          <cell r="CD9">
            <v>172</v>
          </cell>
          <cell r="CE9">
            <v>172</v>
          </cell>
          <cell r="CF9">
            <v>172</v>
          </cell>
          <cell r="CG9">
            <v>172</v>
          </cell>
          <cell r="CH9">
            <v>172</v>
          </cell>
          <cell r="CI9">
            <v>172</v>
          </cell>
          <cell r="CJ9">
            <v>172</v>
          </cell>
          <cell r="CK9">
            <v>172</v>
          </cell>
          <cell r="CL9">
            <v>172</v>
          </cell>
          <cell r="CM9">
            <v>172</v>
          </cell>
          <cell r="CN9">
            <v>172</v>
          </cell>
          <cell r="CO9">
            <v>172</v>
          </cell>
          <cell r="CP9">
            <v>172</v>
          </cell>
          <cell r="CQ9">
            <v>172</v>
          </cell>
          <cell r="CR9">
            <v>172</v>
          </cell>
          <cell r="CS9">
            <v>172</v>
          </cell>
          <cell r="CT9">
            <v>172</v>
          </cell>
          <cell r="CU9">
            <v>172</v>
          </cell>
          <cell r="CV9">
            <v>172</v>
          </cell>
          <cell r="CW9">
            <v>232</v>
          </cell>
        </row>
        <row r="10">
          <cell r="B10" t="str">
            <v>A85231770X</v>
          </cell>
          <cell r="C10" t="str">
            <v>A85231771A</v>
          </cell>
          <cell r="D10" t="str">
            <v>A2716269L</v>
          </cell>
          <cell r="E10" t="str">
            <v>A85231772C</v>
          </cell>
          <cell r="F10" t="str">
            <v>A85231773F</v>
          </cell>
          <cell r="G10" t="str">
            <v>A2716270W</v>
          </cell>
          <cell r="H10" t="str">
            <v>A85231774J</v>
          </cell>
          <cell r="I10" t="str">
            <v>A85231775K</v>
          </cell>
          <cell r="J10" t="str">
            <v>A2716271X</v>
          </cell>
          <cell r="K10" t="str">
            <v>A85231776L</v>
          </cell>
          <cell r="L10" t="str">
            <v>A85231777R</v>
          </cell>
          <cell r="M10" t="str">
            <v>A2716272A</v>
          </cell>
          <cell r="N10" t="str">
            <v>A2716273C</v>
          </cell>
          <cell r="O10" t="str">
            <v>A2716274F</v>
          </cell>
          <cell r="P10" t="str">
            <v>A2716275J</v>
          </cell>
          <cell r="Q10" t="str">
            <v>A2716276K</v>
          </cell>
          <cell r="R10" t="str">
            <v>A2716277L</v>
          </cell>
          <cell r="S10" t="str">
            <v>A2716278R</v>
          </cell>
          <cell r="T10" t="str">
            <v>A2529213W</v>
          </cell>
          <cell r="U10" t="str">
            <v>A2302356K</v>
          </cell>
          <cell r="V10" t="str">
            <v>A2323348A</v>
          </cell>
          <cell r="W10" t="str">
            <v>A2302358R</v>
          </cell>
          <cell r="X10" t="str">
            <v>A2302459A</v>
          </cell>
          <cell r="Y10" t="str">
            <v>A2716121T</v>
          </cell>
          <cell r="Z10" t="str">
            <v>A2716122V</v>
          </cell>
          <cell r="AA10" t="str">
            <v>A2716120R</v>
          </cell>
          <cell r="AB10" t="str">
            <v>A3606072V</v>
          </cell>
          <cell r="AC10" t="str">
            <v>A3606073W</v>
          </cell>
          <cell r="AD10" t="str">
            <v>A83722622A</v>
          </cell>
          <cell r="AE10" t="str">
            <v>A83722613X</v>
          </cell>
          <cell r="AF10" t="str">
            <v>A2716125A</v>
          </cell>
          <cell r="AG10" t="str">
            <v>A2716124X</v>
          </cell>
          <cell r="AH10" t="str">
            <v>A2716123W</v>
          </cell>
          <cell r="AI10" t="str">
            <v>A2716127F</v>
          </cell>
          <cell r="AJ10" t="str">
            <v>A2716131W</v>
          </cell>
          <cell r="AK10" t="str">
            <v>A2716128J</v>
          </cell>
          <cell r="AL10" t="str">
            <v>A2716129K</v>
          </cell>
          <cell r="AM10" t="str">
            <v>A85231730F</v>
          </cell>
          <cell r="AN10" t="str">
            <v>A2716126C</v>
          </cell>
          <cell r="AO10" t="str">
            <v>A2716136J</v>
          </cell>
          <cell r="AP10" t="str">
            <v>A2716137K</v>
          </cell>
          <cell r="AQ10" t="str">
            <v>A2716138L</v>
          </cell>
          <cell r="AR10" t="str">
            <v>A2716135F</v>
          </cell>
          <cell r="AS10" t="str">
            <v>A85231731J</v>
          </cell>
          <cell r="AT10" t="str">
            <v>A85231732K</v>
          </cell>
          <cell r="AU10" t="str">
            <v>A85231733L</v>
          </cell>
          <cell r="AV10" t="str">
            <v>A2716139R</v>
          </cell>
          <cell r="AW10" t="str">
            <v>A2716140X</v>
          </cell>
          <cell r="AX10" t="str">
            <v>A2716141A</v>
          </cell>
          <cell r="AY10" t="str">
            <v>A2716142C</v>
          </cell>
          <cell r="AZ10" t="str">
            <v>A3348494J</v>
          </cell>
          <cell r="BA10" t="str">
            <v>A2716144J</v>
          </cell>
          <cell r="BB10" t="str">
            <v>A3348495K</v>
          </cell>
          <cell r="BC10" t="str">
            <v>A2716147R</v>
          </cell>
          <cell r="BD10" t="str">
            <v>A2716143F</v>
          </cell>
          <cell r="BE10" t="str">
            <v>A85231734R</v>
          </cell>
          <cell r="BF10" t="str">
            <v>A85231735T</v>
          </cell>
          <cell r="BG10" t="str">
            <v>A2716148T</v>
          </cell>
          <cell r="BH10" t="str">
            <v>A85231736V</v>
          </cell>
          <cell r="BI10" t="str">
            <v>A85231737W</v>
          </cell>
          <cell r="BJ10" t="str">
            <v>A2716149V</v>
          </cell>
          <cell r="BK10" t="str">
            <v>A85231738X</v>
          </cell>
          <cell r="BL10" t="str">
            <v>A85231739A</v>
          </cell>
          <cell r="BM10" t="str">
            <v>A2716150C</v>
          </cell>
          <cell r="BN10" t="str">
            <v>A85231740K</v>
          </cell>
          <cell r="BO10" t="str">
            <v>A85231741L</v>
          </cell>
          <cell r="BP10" t="str">
            <v>A2716151F</v>
          </cell>
          <cell r="BQ10" t="str">
            <v>A2716152J</v>
          </cell>
          <cell r="BR10" t="str">
            <v>A2716584L</v>
          </cell>
          <cell r="BS10" t="str">
            <v>A2716153K</v>
          </cell>
          <cell r="BT10" t="str">
            <v>A2716154L</v>
          </cell>
          <cell r="BU10" t="str">
            <v>A2716155R</v>
          </cell>
          <cell r="BV10" t="str">
            <v>A2716156T</v>
          </cell>
          <cell r="BW10" t="str">
            <v>A2529214X</v>
          </cell>
          <cell r="BX10" t="str">
            <v>A2302397F</v>
          </cell>
          <cell r="BY10" t="str">
            <v>A2323352T</v>
          </cell>
          <cell r="BZ10" t="str">
            <v>A2304030W</v>
          </cell>
          <cell r="CA10" t="str">
            <v>A2716003C</v>
          </cell>
          <cell r="CB10" t="str">
            <v>A2716004F</v>
          </cell>
          <cell r="CC10" t="str">
            <v>A2716005J</v>
          </cell>
          <cell r="CD10" t="str">
            <v>A2716006K</v>
          </cell>
          <cell r="CE10" t="str">
            <v>A2716007L</v>
          </cell>
          <cell r="CF10" t="str">
            <v>A2716008R</v>
          </cell>
          <cell r="CG10" t="str">
            <v>A2716009T</v>
          </cell>
          <cell r="CH10" t="str">
            <v>A2716010A</v>
          </cell>
          <cell r="CI10" t="str">
            <v>A2716011C</v>
          </cell>
          <cell r="CJ10" t="str">
            <v>A2716012F</v>
          </cell>
          <cell r="CK10" t="str">
            <v>A2716013J</v>
          </cell>
          <cell r="CL10" t="str">
            <v>A2716014K</v>
          </cell>
          <cell r="CM10" t="str">
            <v>A2716015L</v>
          </cell>
          <cell r="CN10" t="str">
            <v>A2716016R</v>
          </cell>
          <cell r="CO10" t="str">
            <v>A2716017T</v>
          </cell>
          <cell r="CP10" t="str">
            <v>A2716018V</v>
          </cell>
          <cell r="CQ10" t="str">
            <v>A2716019W</v>
          </cell>
          <cell r="CR10" t="str">
            <v>A2716020F</v>
          </cell>
          <cell r="CS10" t="str">
            <v>A2716021J</v>
          </cell>
          <cell r="CT10" t="str">
            <v>A2529212V</v>
          </cell>
          <cell r="CU10" t="str">
            <v>A2302694A</v>
          </cell>
          <cell r="CV10" t="str">
            <v>A2323349C</v>
          </cell>
          <cell r="CW10" t="str">
            <v>A2302642X</v>
          </cell>
        </row>
        <row r="11">
          <cell r="W11">
            <v>589</v>
          </cell>
          <cell r="X11">
            <v>58750</v>
          </cell>
        </row>
        <row r="12">
          <cell r="W12">
            <v>706</v>
          </cell>
          <cell r="X12">
            <v>66839</v>
          </cell>
          <cell r="CW12">
            <v>0</v>
          </cell>
        </row>
        <row r="13">
          <cell r="W13">
            <v>644</v>
          </cell>
          <cell r="X13">
            <v>58584</v>
          </cell>
          <cell r="CW13">
            <v>0</v>
          </cell>
        </row>
        <row r="14">
          <cell r="W14">
            <v>628</v>
          </cell>
          <cell r="X14">
            <v>60669</v>
          </cell>
          <cell r="CW14">
            <v>0</v>
          </cell>
        </row>
        <row r="15">
          <cell r="W15">
            <v>696</v>
          </cell>
          <cell r="X15">
            <v>61890</v>
          </cell>
          <cell r="BZ15">
            <v>0.2</v>
          </cell>
          <cell r="CW15">
            <v>0</v>
          </cell>
        </row>
        <row r="16">
          <cell r="W16">
            <v>308</v>
          </cell>
          <cell r="X16">
            <v>68669</v>
          </cell>
          <cell r="BZ16">
            <v>-0.2</v>
          </cell>
          <cell r="CW16">
            <v>0</v>
          </cell>
        </row>
        <row r="17">
          <cell r="W17">
            <v>637</v>
          </cell>
          <cell r="X17">
            <v>60611</v>
          </cell>
          <cell r="BZ17">
            <v>0.3</v>
          </cell>
          <cell r="CW17">
            <v>0</v>
          </cell>
        </row>
        <row r="18">
          <cell r="W18">
            <v>1444</v>
          </cell>
          <cell r="X18">
            <v>59758</v>
          </cell>
          <cell r="BZ18">
            <v>-1.1000000000000001</v>
          </cell>
          <cell r="CW18">
            <v>0</v>
          </cell>
        </row>
        <row r="19">
          <cell r="W19">
            <v>1743</v>
          </cell>
          <cell r="X19">
            <v>60879</v>
          </cell>
          <cell r="BZ19">
            <v>-0.7</v>
          </cell>
          <cell r="CW19">
            <v>0</v>
          </cell>
        </row>
        <row r="20">
          <cell r="W20">
            <v>1533</v>
          </cell>
          <cell r="X20">
            <v>68666</v>
          </cell>
          <cell r="BZ20">
            <v>1.1000000000000001</v>
          </cell>
          <cell r="CW20">
            <v>0</v>
          </cell>
        </row>
        <row r="21">
          <cell r="W21">
            <v>1200</v>
          </cell>
          <cell r="X21">
            <v>61475</v>
          </cell>
          <cell r="BZ21">
            <v>2.8</v>
          </cell>
          <cell r="CW21">
            <v>0</v>
          </cell>
        </row>
        <row r="22">
          <cell r="W22">
            <v>1315</v>
          </cell>
          <cell r="X22">
            <v>63159</v>
          </cell>
          <cell r="BZ22">
            <v>1.9</v>
          </cell>
          <cell r="CW22">
            <v>0</v>
          </cell>
        </row>
        <row r="23">
          <cell r="W23">
            <v>1184</v>
          </cell>
          <cell r="X23">
            <v>64887</v>
          </cell>
          <cell r="BZ23">
            <v>0.8</v>
          </cell>
          <cell r="CW23">
            <v>0</v>
          </cell>
        </row>
        <row r="24">
          <cell r="W24">
            <v>561</v>
          </cell>
          <cell r="X24">
            <v>74052</v>
          </cell>
          <cell r="BZ24">
            <v>1.8</v>
          </cell>
          <cell r="CW24">
            <v>0</v>
          </cell>
        </row>
        <row r="25">
          <cell r="W25">
            <v>414</v>
          </cell>
          <cell r="X25">
            <v>65531</v>
          </cell>
          <cell r="BZ25">
            <v>2.2999999999999998</v>
          </cell>
          <cell r="CW25">
            <v>0</v>
          </cell>
        </row>
        <row r="26">
          <cell r="W26">
            <v>1149</v>
          </cell>
          <cell r="X26">
            <v>65506</v>
          </cell>
          <cell r="BZ26">
            <v>-1.3</v>
          </cell>
          <cell r="CW26">
            <v>0</v>
          </cell>
        </row>
        <row r="27">
          <cell r="W27">
            <v>1448</v>
          </cell>
          <cell r="X27">
            <v>69403</v>
          </cell>
          <cell r="BZ27">
            <v>4.0999999999999996</v>
          </cell>
          <cell r="CW27">
            <v>0</v>
          </cell>
        </row>
        <row r="28">
          <cell r="W28">
            <v>1373</v>
          </cell>
          <cell r="X28">
            <v>79320</v>
          </cell>
          <cell r="BZ28">
            <v>2.2000000000000002</v>
          </cell>
          <cell r="CW28">
            <v>0</v>
          </cell>
        </row>
        <row r="29">
          <cell r="W29">
            <v>1255</v>
          </cell>
          <cell r="X29">
            <v>68789</v>
          </cell>
          <cell r="BZ29">
            <v>-0.2</v>
          </cell>
          <cell r="CW29">
            <v>0</v>
          </cell>
        </row>
        <row r="30">
          <cell r="W30">
            <v>1659</v>
          </cell>
          <cell r="X30">
            <v>71305</v>
          </cell>
          <cell r="BZ30">
            <v>2.5</v>
          </cell>
          <cell r="CW30">
            <v>0</v>
          </cell>
        </row>
        <row r="31">
          <cell r="W31">
            <v>1881</v>
          </cell>
          <cell r="X31">
            <v>73272</v>
          </cell>
          <cell r="BZ31">
            <v>0.6</v>
          </cell>
          <cell r="CW31">
            <v>0</v>
          </cell>
        </row>
        <row r="32">
          <cell r="W32">
            <v>1015</v>
          </cell>
          <cell r="X32">
            <v>83740</v>
          </cell>
          <cell r="BZ32">
            <v>2.8</v>
          </cell>
          <cell r="CW32">
            <v>0</v>
          </cell>
        </row>
        <row r="33">
          <cell r="W33">
            <v>1124</v>
          </cell>
          <cell r="X33">
            <v>73504</v>
          </cell>
          <cell r="BZ33">
            <v>0.8</v>
          </cell>
          <cell r="CW33">
            <v>0</v>
          </cell>
        </row>
        <row r="34">
          <cell r="W34">
            <v>1696</v>
          </cell>
          <cell r="X34">
            <v>75581</v>
          </cell>
          <cell r="BZ34">
            <v>1.6</v>
          </cell>
          <cell r="CW34">
            <v>0</v>
          </cell>
        </row>
        <row r="35">
          <cell r="W35">
            <v>1922</v>
          </cell>
          <cell r="X35">
            <v>76981</v>
          </cell>
          <cell r="BZ35">
            <v>-0.3</v>
          </cell>
          <cell r="CW35">
            <v>0</v>
          </cell>
        </row>
        <row r="36">
          <cell r="W36">
            <v>1513</v>
          </cell>
          <cell r="X36">
            <v>85955</v>
          </cell>
          <cell r="BZ36">
            <v>0.2</v>
          </cell>
          <cell r="CW36">
            <v>-0.1</v>
          </cell>
        </row>
        <row r="37">
          <cell r="W37">
            <v>1351</v>
          </cell>
          <cell r="X37">
            <v>73782</v>
          </cell>
          <cell r="BZ37">
            <v>-0.3</v>
          </cell>
          <cell r="CW37">
            <v>0</v>
          </cell>
        </row>
        <row r="38">
          <cell r="W38">
            <v>1558</v>
          </cell>
          <cell r="X38">
            <v>76672</v>
          </cell>
          <cell r="BZ38">
            <v>1.4</v>
          </cell>
          <cell r="CW38">
            <v>0</v>
          </cell>
        </row>
        <row r="39">
          <cell r="W39">
            <v>1614</v>
          </cell>
          <cell r="X39">
            <v>79759</v>
          </cell>
          <cell r="BZ39">
            <v>2.8</v>
          </cell>
          <cell r="CW39">
            <v>0</v>
          </cell>
        </row>
        <row r="40">
          <cell r="W40">
            <v>594</v>
          </cell>
          <cell r="X40">
            <v>90952</v>
          </cell>
          <cell r="BZ40">
            <v>0.7</v>
          </cell>
          <cell r="CW40">
            <v>0.1</v>
          </cell>
        </row>
        <row r="41">
          <cell r="W41">
            <v>702</v>
          </cell>
          <cell r="X41">
            <v>81518</v>
          </cell>
          <cell r="BZ41">
            <v>3.9</v>
          </cell>
          <cell r="CW41">
            <v>0</v>
          </cell>
        </row>
        <row r="42">
          <cell r="W42">
            <v>1212</v>
          </cell>
          <cell r="X42">
            <v>80914</v>
          </cell>
          <cell r="BZ42">
            <v>-0.1</v>
          </cell>
          <cell r="CW42">
            <v>0</v>
          </cell>
        </row>
        <row r="43">
          <cell r="W43">
            <v>1665</v>
          </cell>
          <cell r="X43">
            <v>84738</v>
          </cell>
          <cell r="BZ43">
            <v>1.9</v>
          </cell>
          <cell r="CW43">
            <v>0</v>
          </cell>
        </row>
        <row r="44">
          <cell r="W44">
            <v>1356</v>
          </cell>
          <cell r="X44">
            <v>97091</v>
          </cell>
          <cell r="BZ44">
            <v>0.9</v>
          </cell>
          <cell r="CW44">
            <v>0</v>
          </cell>
        </row>
        <row r="45">
          <cell r="W45">
            <v>1872</v>
          </cell>
          <cell r="X45">
            <v>81904</v>
          </cell>
          <cell r="BZ45">
            <v>-0.9</v>
          </cell>
          <cell r="CW45">
            <v>0</v>
          </cell>
        </row>
        <row r="46">
          <cell r="W46">
            <v>1603</v>
          </cell>
          <cell r="X46">
            <v>86385</v>
          </cell>
          <cell r="BZ46">
            <v>3.8</v>
          </cell>
          <cell r="CW46">
            <v>-0.1</v>
          </cell>
        </row>
        <row r="47">
          <cell r="W47">
            <v>1352</v>
          </cell>
          <cell r="X47">
            <v>89188</v>
          </cell>
          <cell r="BZ47">
            <v>1.3</v>
          </cell>
          <cell r="CW47">
            <v>0</v>
          </cell>
        </row>
        <row r="48">
          <cell r="W48">
            <v>6</v>
          </cell>
          <cell r="X48">
            <v>105160</v>
          </cell>
          <cell r="BZ48">
            <v>3.7</v>
          </cell>
          <cell r="CW48">
            <v>0</v>
          </cell>
        </row>
        <row r="49">
          <cell r="W49">
            <v>241</v>
          </cell>
          <cell r="X49">
            <v>89229</v>
          </cell>
          <cell r="BZ49">
            <v>-0.7</v>
          </cell>
          <cell r="CW49">
            <v>0</v>
          </cell>
        </row>
        <row r="50">
          <cell r="W50">
            <v>418</v>
          </cell>
          <cell r="X50">
            <v>91206</v>
          </cell>
          <cell r="BZ50">
            <v>2</v>
          </cell>
          <cell r="CW50">
            <v>0</v>
          </cell>
        </row>
        <row r="51">
          <cell r="W51">
            <v>814</v>
          </cell>
          <cell r="X51">
            <v>95464</v>
          </cell>
          <cell r="BZ51">
            <v>1.7</v>
          </cell>
          <cell r="CW51">
            <v>0</v>
          </cell>
        </row>
        <row r="52">
          <cell r="W52">
            <v>611</v>
          </cell>
          <cell r="X52">
            <v>109271</v>
          </cell>
          <cell r="BZ52">
            <v>2.2000000000000002</v>
          </cell>
          <cell r="CW52">
            <v>-0.1</v>
          </cell>
        </row>
        <row r="53">
          <cell r="W53">
            <v>19</v>
          </cell>
          <cell r="X53">
            <v>97325</v>
          </cell>
          <cell r="BZ53">
            <v>2</v>
          </cell>
          <cell r="CW53">
            <v>-0.1</v>
          </cell>
        </row>
        <row r="54">
          <cell r="W54">
            <v>444</v>
          </cell>
          <cell r="X54">
            <v>99602</v>
          </cell>
          <cell r="BZ54">
            <v>1.8</v>
          </cell>
          <cell r="CW54">
            <v>-0.2</v>
          </cell>
        </row>
        <row r="55">
          <cell r="W55">
            <v>681</v>
          </cell>
          <cell r="X55">
            <v>101854</v>
          </cell>
          <cell r="BZ55">
            <v>-0.5</v>
          </cell>
          <cell r="CW55">
            <v>-0.3</v>
          </cell>
        </row>
        <row r="56">
          <cell r="W56">
            <v>518</v>
          </cell>
          <cell r="X56">
            <v>113177</v>
          </cell>
          <cell r="BZ56">
            <v>2.1</v>
          </cell>
          <cell r="CW56">
            <v>1.6</v>
          </cell>
        </row>
        <row r="57">
          <cell r="W57">
            <v>232</v>
          </cell>
          <cell r="X57">
            <v>100502</v>
          </cell>
          <cell r="BZ57">
            <v>-0.3</v>
          </cell>
          <cell r="CW57">
            <v>-1.5</v>
          </cell>
        </row>
        <row r="58">
          <cell r="W58">
            <v>1075</v>
          </cell>
          <cell r="X58">
            <v>102211</v>
          </cell>
          <cell r="BZ58">
            <v>0.5</v>
          </cell>
          <cell r="CW58">
            <v>0.1</v>
          </cell>
        </row>
        <row r="59">
          <cell r="W59">
            <v>1069</v>
          </cell>
          <cell r="X59">
            <v>106240</v>
          </cell>
          <cell r="BZ59">
            <v>3.3</v>
          </cell>
          <cell r="CW59">
            <v>0.2</v>
          </cell>
        </row>
        <row r="60">
          <cell r="W60">
            <v>1244</v>
          </cell>
          <cell r="X60">
            <v>119020</v>
          </cell>
          <cell r="BZ60">
            <v>-0.2</v>
          </cell>
          <cell r="CW60">
            <v>0.1</v>
          </cell>
        </row>
        <row r="61">
          <cell r="W61">
            <v>1090</v>
          </cell>
          <cell r="X61">
            <v>102802</v>
          </cell>
          <cell r="BZ61">
            <v>-1.1000000000000001</v>
          </cell>
          <cell r="CW61">
            <v>0.1</v>
          </cell>
        </row>
        <row r="62">
          <cell r="W62">
            <v>1877</v>
          </cell>
          <cell r="X62">
            <v>106027</v>
          </cell>
          <cell r="BZ62">
            <v>2.2000000000000002</v>
          </cell>
          <cell r="CW62">
            <v>0</v>
          </cell>
        </row>
        <row r="63">
          <cell r="W63">
            <v>2791</v>
          </cell>
          <cell r="X63">
            <v>107474</v>
          </cell>
          <cell r="BZ63">
            <v>-0.5</v>
          </cell>
          <cell r="CW63">
            <v>0</v>
          </cell>
        </row>
        <row r="64">
          <cell r="W64">
            <v>2838</v>
          </cell>
          <cell r="X64">
            <v>121415</v>
          </cell>
          <cell r="BZ64">
            <v>1</v>
          </cell>
          <cell r="CW64">
            <v>-0.1</v>
          </cell>
        </row>
        <row r="65">
          <cell r="W65">
            <v>1931</v>
          </cell>
          <cell r="X65">
            <v>106750</v>
          </cell>
          <cell r="BZ65">
            <v>2.6</v>
          </cell>
          <cell r="CW65">
            <v>0</v>
          </cell>
        </row>
        <row r="66">
          <cell r="W66">
            <v>1245</v>
          </cell>
          <cell r="X66">
            <v>109794</v>
          </cell>
          <cell r="BZ66">
            <v>0.2</v>
          </cell>
          <cell r="CW66">
            <v>0</v>
          </cell>
        </row>
        <row r="67">
          <cell r="W67">
            <v>511</v>
          </cell>
          <cell r="X67">
            <v>111288</v>
          </cell>
          <cell r="BZ67">
            <v>1</v>
          </cell>
          <cell r="CW67">
            <v>0</v>
          </cell>
        </row>
        <row r="68">
          <cell r="W68">
            <v>-1326</v>
          </cell>
          <cell r="X68">
            <v>128941</v>
          </cell>
          <cell r="BZ68">
            <v>2.5</v>
          </cell>
          <cell r="CW68">
            <v>0</v>
          </cell>
        </row>
        <row r="69">
          <cell r="W69">
            <v>-1914</v>
          </cell>
          <cell r="X69">
            <v>112239</v>
          </cell>
          <cell r="BZ69">
            <v>0</v>
          </cell>
          <cell r="CW69">
            <v>0</v>
          </cell>
        </row>
        <row r="70">
          <cell r="W70">
            <v>-784</v>
          </cell>
          <cell r="X70">
            <v>111245</v>
          </cell>
          <cell r="BZ70">
            <v>-2</v>
          </cell>
          <cell r="CW70">
            <v>0</v>
          </cell>
        </row>
        <row r="71">
          <cell r="D71">
            <v>1124</v>
          </cell>
          <cell r="G71">
            <v>5291</v>
          </cell>
          <cell r="J71">
            <v>2684</v>
          </cell>
          <cell r="M71">
            <v>4217</v>
          </cell>
          <cell r="N71">
            <v>2689</v>
          </cell>
          <cell r="O71">
            <v>7786</v>
          </cell>
          <cell r="P71">
            <v>5803</v>
          </cell>
          <cell r="Q71">
            <v>4956</v>
          </cell>
          <cell r="R71">
            <v>779</v>
          </cell>
          <cell r="S71">
            <v>2907</v>
          </cell>
          <cell r="T71">
            <v>10323</v>
          </cell>
          <cell r="U71">
            <v>105299</v>
          </cell>
          <cell r="V71">
            <v>10810</v>
          </cell>
          <cell r="W71">
            <v>-515</v>
          </cell>
          <cell r="X71">
            <v>112918</v>
          </cell>
          <cell r="BZ71">
            <v>1.2</v>
          </cell>
          <cell r="CW71">
            <v>0</v>
          </cell>
        </row>
        <row r="72">
          <cell r="D72">
            <v>1100</v>
          </cell>
          <cell r="G72">
            <v>5219</v>
          </cell>
          <cell r="J72">
            <v>2622</v>
          </cell>
          <cell r="M72">
            <v>4120</v>
          </cell>
          <cell r="N72">
            <v>2627</v>
          </cell>
          <cell r="O72">
            <v>7864</v>
          </cell>
          <cell r="P72">
            <v>6169</v>
          </cell>
          <cell r="Q72">
            <v>5291</v>
          </cell>
          <cell r="R72">
            <v>844</v>
          </cell>
          <cell r="S72">
            <v>2873</v>
          </cell>
          <cell r="T72">
            <v>10457</v>
          </cell>
          <cell r="U72">
            <v>111980</v>
          </cell>
          <cell r="V72">
            <v>11943</v>
          </cell>
          <cell r="W72">
            <v>-277</v>
          </cell>
          <cell r="X72">
            <v>127781</v>
          </cell>
          <cell r="Y72">
            <v>0.6</v>
          </cell>
          <cell r="Z72">
            <v>0</v>
          </cell>
          <cell r="AA72">
            <v>0.6</v>
          </cell>
          <cell r="AF72">
            <v>0.3</v>
          </cell>
          <cell r="AH72">
            <v>0.4</v>
          </cell>
          <cell r="AN72">
            <v>-0.6</v>
          </cell>
          <cell r="AO72">
            <v>0</v>
          </cell>
          <cell r="AP72">
            <v>0</v>
          </cell>
          <cell r="AQ72">
            <v>0</v>
          </cell>
          <cell r="AR72">
            <v>0</v>
          </cell>
          <cell r="AV72">
            <v>0.1</v>
          </cell>
          <cell r="AW72">
            <v>0.1</v>
          </cell>
          <cell r="AX72">
            <v>-0.1</v>
          </cell>
          <cell r="AY72">
            <v>0</v>
          </cell>
          <cell r="AZ72">
            <v>-0.1</v>
          </cell>
          <cell r="BA72">
            <v>0</v>
          </cell>
          <cell r="BB72">
            <v>0</v>
          </cell>
          <cell r="BC72">
            <v>0</v>
          </cell>
          <cell r="BD72">
            <v>-0.2</v>
          </cell>
          <cell r="BG72">
            <v>0</v>
          </cell>
          <cell r="BJ72">
            <v>0</v>
          </cell>
          <cell r="BM72">
            <v>0</v>
          </cell>
          <cell r="BP72">
            <v>0</v>
          </cell>
          <cell r="BQ72">
            <v>0</v>
          </cell>
          <cell r="BR72">
            <v>0.1</v>
          </cell>
          <cell r="BS72">
            <v>0.2</v>
          </cell>
          <cell r="BT72">
            <v>0.1</v>
          </cell>
          <cell r="BU72">
            <v>0</v>
          </cell>
          <cell r="BV72">
            <v>0</v>
          </cell>
          <cell r="BW72">
            <v>0.1</v>
          </cell>
          <cell r="BX72">
            <v>0.4</v>
          </cell>
          <cell r="BY72">
            <v>0.6</v>
          </cell>
          <cell r="BZ72">
            <v>0.1</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row>
        <row r="73">
          <cell r="D73">
            <v>999</v>
          </cell>
          <cell r="G73">
            <v>5207</v>
          </cell>
          <cell r="J73">
            <v>2580</v>
          </cell>
          <cell r="M73">
            <v>4053</v>
          </cell>
          <cell r="N73">
            <v>2584</v>
          </cell>
          <cell r="O73">
            <v>8025</v>
          </cell>
          <cell r="P73">
            <v>6219</v>
          </cell>
          <cell r="Q73">
            <v>5297</v>
          </cell>
          <cell r="R73">
            <v>839</v>
          </cell>
          <cell r="S73">
            <v>2815</v>
          </cell>
          <cell r="T73">
            <v>10576</v>
          </cell>
          <cell r="U73">
            <v>102798</v>
          </cell>
          <cell r="V73">
            <v>11024</v>
          </cell>
          <cell r="W73">
            <v>333</v>
          </cell>
          <cell r="X73">
            <v>111085</v>
          </cell>
          <cell r="Y73">
            <v>-0.1</v>
          </cell>
          <cell r="Z73">
            <v>0</v>
          </cell>
          <cell r="AA73">
            <v>-0.1</v>
          </cell>
          <cell r="AF73">
            <v>0</v>
          </cell>
          <cell r="AH73">
            <v>0</v>
          </cell>
          <cell r="AN73">
            <v>-1.4</v>
          </cell>
          <cell r="AO73">
            <v>0</v>
          </cell>
          <cell r="AP73">
            <v>0</v>
          </cell>
          <cell r="AQ73">
            <v>0.1</v>
          </cell>
          <cell r="AR73">
            <v>0</v>
          </cell>
          <cell r="AV73">
            <v>0.1</v>
          </cell>
          <cell r="AW73">
            <v>-0.2</v>
          </cell>
          <cell r="AX73">
            <v>0.1</v>
          </cell>
          <cell r="AY73">
            <v>0.1</v>
          </cell>
          <cell r="AZ73">
            <v>-0.1</v>
          </cell>
          <cell r="BA73">
            <v>0</v>
          </cell>
          <cell r="BB73">
            <v>0</v>
          </cell>
          <cell r="BC73">
            <v>0</v>
          </cell>
          <cell r="BD73">
            <v>-0.1</v>
          </cell>
          <cell r="BG73">
            <v>0</v>
          </cell>
          <cell r="BJ73">
            <v>0</v>
          </cell>
          <cell r="BM73">
            <v>0</v>
          </cell>
          <cell r="BP73">
            <v>-0.1</v>
          </cell>
          <cell r="BQ73">
            <v>0</v>
          </cell>
          <cell r="BR73">
            <v>0.1</v>
          </cell>
          <cell r="BS73">
            <v>0.1</v>
          </cell>
          <cell r="BT73">
            <v>0.1</v>
          </cell>
          <cell r="BU73">
            <v>0</v>
          </cell>
          <cell r="BV73">
            <v>0</v>
          </cell>
          <cell r="BW73">
            <v>0.1</v>
          </cell>
          <cell r="BX73">
            <v>-1.9</v>
          </cell>
          <cell r="BY73">
            <v>-0.3</v>
          </cell>
          <cell r="BZ73">
            <v>0.4</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row>
        <row r="74">
          <cell r="D74">
            <v>1022</v>
          </cell>
          <cell r="G74">
            <v>5177</v>
          </cell>
          <cell r="J74">
            <v>2568</v>
          </cell>
          <cell r="M74">
            <v>4035</v>
          </cell>
          <cell r="N74">
            <v>2573</v>
          </cell>
          <cell r="O74">
            <v>8307</v>
          </cell>
          <cell r="P74">
            <v>5781</v>
          </cell>
          <cell r="Q74">
            <v>4738</v>
          </cell>
          <cell r="R74">
            <v>874</v>
          </cell>
          <cell r="S74">
            <v>2876</v>
          </cell>
          <cell r="T74">
            <v>10706</v>
          </cell>
          <cell r="U74">
            <v>101932</v>
          </cell>
          <cell r="V74">
            <v>10828</v>
          </cell>
          <cell r="W74">
            <v>1691</v>
          </cell>
          <cell r="X74">
            <v>118188</v>
          </cell>
          <cell r="Y74">
            <v>0.1</v>
          </cell>
          <cell r="Z74">
            <v>0</v>
          </cell>
          <cell r="AA74">
            <v>0.1</v>
          </cell>
          <cell r="AF74">
            <v>-0.1</v>
          </cell>
          <cell r="AH74">
            <v>-0.1</v>
          </cell>
          <cell r="AN74">
            <v>0</v>
          </cell>
          <cell r="AO74">
            <v>0.1</v>
          </cell>
          <cell r="AP74">
            <v>0</v>
          </cell>
          <cell r="AQ74">
            <v>0</v>
          </cell>
          <cell r="AR74">
            <v>0.1</v>
          </cell>
          <cell r="AV74">
            <v>-0.3</v>
          </cell>
          <cell r="AW74">
            <v>0</v>
          </cell>
          <cell r="AX74">
            <v>0</v>
          </cell>
          <cell r="AY74">
            <v>0</v>
          </cell>
          <cell r="AZ74">
            <v>0.1</v>
          </cell>
          <cell r="BA74">
            <v>0</v>
          </cell>
          <cell r="BB74">
            <v>0</v>
          </cell>
          <cell r="BC74">
            <v>0</v>
          </cell>
          <cell r="BD74">
            <v>0.1</v>
          </cell>
          <cell r="BG74">
            <v>0</v>
          </cell>
          <cell r="BJ74">
            <v>0</v>
          </cell>
          <cell r="BM74">
            <v>0</v>
          </cell>
          <cell r="BP74">
            <v>0</v>
          </cell>
          <cell r="BQ74">
            <v>0</v>
          </cell>
          <cell r="BR74">
            <v>0.2</v>
          </cell>
          <cell r="BS74">
            <v>0</v>
          </cell>
          <cell r="BT74">
            <v>0</v>
          </cell>
          <cell r="BU74">
            <v>0</v>
          </cell>
          <cell r="BV74">
            <v>0</v>
          </cell>
          <cell r="BW74">
            <v>0.1</v>
          </cell>
          <cell r="BX74">
            <v>0.4</v>
          </cell>
          <cell r="BY74">
            <v>-0.1</v>
          </cell>
          <cell r="BZ74">
            <v>3.1</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-0.1</v>
          </cell>
        </row>
        <row r="75">
          <cell r="D75">
            <v>1058</v>
          </cell>
          <cell r="G75">
            <v>5202</v>
          </cell>
          <cell r="J75">
            <v>2592</v>
          </cell>
          <cell r="M75">
            <v>4072</v>
          </cell>
          <cell r="N75">
            <v>2596</v>
          </cell>
          <cell r="O75">
            <v>8436</v>
          </cell>
          <cell r="P75">
            <v>6303</v>
          </cell>
          <cell r="Q75">
            <v>5177</v>
          </cell>
          <cell r="R75">
            <v>861</v>
          </cell>
          <cell r="S75">
            <v>2949</v>
          </cell>
          <cell r="T75">
            <v>10804</v>
          </cell>
          <cell r="U75">
            <v>105190</v>
          </cell>
          <cell r="V75">
            <v>10965</v>
          </cell>
          <cell r="W75">
            <v>1795</v>
          </cell>
          <cell r="X75">
            <v>116271</v>
          </cell>
          <cell r="Y75">
            <v>0</v>
          </cell>
          <cell r="Z75">
            <v>0</v>
          </cell>
          <cell r="AA75">
            <v>0</v>
          </cell>
          <cell r="AF75">
            <v>-0.3</v>
          </cell>
          <cell r="AH75">
            <v>-0.3</v>
          </cell>
          <cell r="AN75">
            <v>0.6</v>
          </cell>
          <cell r="AO75">
            <v>0</v>
          </cell>
          <cell r="AP75">
            <v>0</v>
          </cell>
          <cell r="AQ75">
            <v>0</v>
          </cell>
          <cell r="AR75">
            <v>-0.1</v>
          </cell>
          <cell r="AV75">
            <v>0.6</v>
          </cell>
          <cell r="AW75">
            <v>0.1</v>
          </cell>
          <cell r="AX75">
            <v>-0.1</v>
          </cell>
          <cell r="AY75">
            <v>-0.1</v>
          </cell>
          <cell r="AZ75">
            <v>0</v>
          </cell>
          <cell r="BA75">
            <v>0</v>
          </cell>
          <cell r="BB75">
            <v>0</v>
          </cell>
          <cell r="BC75">
            <v>-0.1</v>
          </cell>
          <cell r="BD75">
            <v>-0.1</v>
          </cell>
          <cell r="BG75">
            <v>0</v>
          </cell>
          <cell r="BJ75">
            <v>0</v>
          </cell>
          <cell r="BM75">
            <v>0</v>
          </cell>
          <cell r="BP75">
            <v>0</v>
          </cell>
          <cell r="BQ75">
            <v>0</v>
          </cell>
          <cell r="BR75">
            <v>0.1</v>
          </cell>
          <cell r="BS75">
            <v>0</v>
          </cell>
          <cell r="BT75">
            <v>0</v>
          </cell>
          <cell r="BU75">
            <v>0</v>
          </cell>
          <cell r="BV75">
            <v>0</v>
          </cell>
          <cell r="BW75">
            <v>0.1</v>
          </cell>
          <cell r="BX75">
            <v>1.2</v>
          </cell>
          <cell r="BY75">
            <v>-0.2</v>
          </cell>
          <cell r="BZ75">
            <v>-1.1000000000000001</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row>
        <row r="76">
          <cell r="D76">
            <v>1019</v>
          </cell>
          <cell r="G76">
            <v>5145</v>
          </cell>
          <cell r="J76">
            <v>2567</v>
          </cell>
          <cell r="M76">
            <v>4033</v>
          </cell>
          <cell r="N76">
            <v>2571</v>
          </cell>
          <cell r="O76">
            <v>8445</v>
          </cell>
          <cell r="P76">
            <v>6535</v>
          </cell>
          <cell r="Q76">
            <v>5430</v>
          </cell>
          <cell r="R76">
            <v>872</v>
          </cell>
          <cell r="S76">
            <v>2994</v>
          </cell>
          <cell r="T76">
            <v>10917</v>
          </cell>
          <cell r="U76">
            <v>113893</v>
          </cell>
          <cell r="V76">
            <v>11342</v>
          </cell>
          <cell r="W76">
            <v>2288</v>
          </cell>
          <cell r="X76">
            <v>130161</v>
          </cell>
          <cell r="Y76">
            <v>0</v>
          </cell>
          <cell r="Z76">
            <v>0</v>
          </cell>
          <cell r="AA76">
            <v>0</v>
          </cell>
          <cell r="AF76">
            <v>0.1</v>
          </cell>
          <cell r="AH76">
            <v>0.2</v>
          </cell>
          <cell r="AN76">
            <v>0.4</v>
          </cell>
          <cell r="AO76">
            <v>0.1</v>
          </cell>
          <cell r="AP76">
            <v>0</v>
          </cell>
          <cell r="AQ76">
            <v>0</v>
          </cell>
          <cell r="AR76">
            <v>0.1</v>
          </cell>
          <cell r="AV76">
            <v>-0.1</v>
          </cell>
          <cell r="AW76">
            <v>0</v>
          </cell>
          <cell r="AX76">
            <v>-0.1</v>
          </cell>
          <cell r="AY76">
            <v>-0.1</v>
          </cell>
          <cell r="AZ76">
            <v>0</v>
          </cell>
          <cell r="BA76">
            <v>0</v>
          </cell>
          <cell r="BB76">
            <v>0</v>
          </cell>
          <cell r="BC76">
            <v>0</v>
          </cell>
          <cell r="BD76">
            <v>0</v>
          </cell>
          <cell r="BG76">
            <v>0</v>
          </cell>
          <cell r="BJ76">
            <v>0</v>
          </cell>
          <cell r="BM76">
            <v>0</v>
          </cell>
          <cell r="BP76">
            <v>0</v>
          </cell>
          <cell r="BQ76">
            <v>0</v>
          </cell>
          <cell r="BR76">
            <v>0</v>
          </cell>
          <cell r="BS76">
            <v>0.1</v>
          </cell>
          <cell r="BT76">
            <v>0.1</v>
          </cell>
          <cell r="BU76">
            <v>0</v>
          </cell>
          <cell r="BV76">
            <v>0</v>
          </cell>
          <cell r="BW76">
            <v>0.1</v>
          </cell>
          <cell r="BX76">
            <v>1</v>
          </cell>
          <cell r="BY76">
            <v>0</v>
          </cell>
          <cell r="BZ76">
            <v>-1.4</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0.1</v>
          </cell>
        </row>
        <row r="77">
          <cell r="D77">
            <v>946</v>
          </cell>
          <cell r="G77">
            <v>5186</v>
          </cell>
          <cell r="J77">
            <v>2578</v>
          </cell>
          <cell r="M77">
            <v>4050</v>
          </cell>
          <cell r="N77">
            <v>2582</v>
          </cell>
          <cell r="O77">
            <v>8417</v>
          </cell>
          <cell r="P77">
            <v>6540</v>
          </cell>
          <cell r="Q77">
            <v>5388</v>
          </cell>
          <cell r="R77">
            <v>898</v>
          </cell>
          <cell r="S77">
            <v>2952</v>
          </cell>
          <cell r="T77">
            <v>11026</v>
          </cell>
          <cell r="U77">
            <v>104475</v>
          </cell>
          <cell r="V77">
            <v>11044</v>
          </cell>
          <cell r="W77">
            <v>2155</v>
          </cell>
          <cell r="X77">
            <v>115824</v>
          </cell>
          <cell r="Y77">
            <v>0.1</v>
          </cell>
          <cell r="Z77">
            <v>0</v>
          </cell>
          <cell r="AA77">
            <v>0.1</v>
          </cell>
          <cell r="AF77">
            <v>0.1</v>
          </cell>
          <cell r="AH77">
            <v>0.1</v>
          </cell>
          <cell r="AN77">
            <v>-0.7</v>
          </cell>
          <cell r="AO77">
            <v>0</v>
          </cell>
          <cell r="AP77">
            <v>0</v>
          </cell>
          <cell r="AQ77">
            <v>0</v>
          </cell>
          <cell r="AR77">
            <v>0.1</v>
          </cell>
          <cell r="AV77">
            <v>-0.1</v>
          </cell>
          <cell r="AW77">
            <v>-0.1</v>
          </cell>
          <cell r="AX77">
            <v>0.1</v>
          </cell>
          <cell r="AY77">
            <v>0</v>
          </cell>
          <cell r="AZ77">
            <v>0</v>
          </cell>
          <cell r="BA77">
            <v>0</v>
          </cell>
          <cell r="BB77">
            <v>0</v>
          </cell>
          <cell r="BC77">
            <v>0</v>
          </cell>
          <cell r="BD77">
            <v>0</v>
          </cell>
          <cell r="BG77">
            <v>0</v>
          </cell>
          <cell r="BJ77">
            <v>0</v>
          </cell>
          <cell r="BM77">
            <v>0</v>
          </cell>
          <cell r="BP77">
            <v>0</v>
          </cell>
          <cell r="BQ77">
            <v>0</v>
          </cell>
          <cell r="BR77">
            <v>0</v>
          </cell>
          <cell r="BS77">
            <v>0.1</v>
          </cell>
          <cell r="BT77">
            <v>0</v>
          </cell>
          <cell r="BU77">
            <v>0</v>
          </cell>
          <cell r="BV77">
            <v>0</v>
          </cell>
          <cell r="BW77">
            <v>0.1</v>
          </cell>
          <cell r="BX77">
            <v>-0.6</v>
          </cell>
          <cell r="BY77">
            <v>0.2</v>
          </cell>
          <cell r="BZ77">
            <v>4.4000000000000004</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row>
        <row r="78">
          <cell r="D78">
            <v>981</v>
          </cell>
          <cell r="G78">
            <v>5198</v>
          </cell>
          <cell r="J78">
            <v>2590</v>
          </cell>
          <cell r="M78">
            <v>4069</v>
          </cell>
          <cell r="N78">
            <v>2595</v>
          </cell>
          <cell r="O78">
            <v>8390</v>
          </cell>
          <cell r="P78">
            <v>6025</v>
          </cell>
          <cell r="Q78">
            <v>4902</v>
          </cell>
          <cell r="R78">
            <v>907</v>
          </cell>
          <cell r="S78">
            <v>2930</v>
          </cell>
          <cell r="T78">
            <v>11149</v>
          </cell>
          <cell r="U78">
            <v>106127</v>
          </cell>
          <cell r="V78">
            <v>11078</v>
          </cell>
          <cell r="W78">
            <v>2061</v>
          </cell>
          <cell r="X78">
            <v>119876</v>
          </cell>
          <cell r="Y78">
            <v>0.3</v>
          </cell>
          <cell r="Z78">
            <v>0</v>
          </cell>
          <cell r="AA78">
            <v>0.3</v>
          </cell>
          <cell r="AF78">
            <v>0.1</v>
          </cell>
          <cell r="AH78">
            <v>0.1</v>
          </cell>
          <cell r="AN78">
            <v>0.3</v>
          </cell>
          <cell r="AO78">
            <v>0</v>
          </cell>
          <cell r="AP78">
            <v>0</v>
          </cell>
          <cell r="AQ78">
            <v>0.1</v>
          </cell>
          <cell r="AR78">
            <v>0.1</v>
          </cell>
          <cell r="AV78">
            <v>0.2</v>
          </cell>
          <cell r="AW78">
            <v>0.1</v>
          </cell>
          <cell r="AX78">
            <v>0</v>
          </cell>
          <cell r="AY78">
            <v>0</v>
          </cell>
          <cell r="AZ78">
            <v>0</v>
          </cell>
          <cell r="BA78">
            <v>0</v>
          </cell>
          <cell r="BB78">
            <v>0</v>
          </cell>
          <cell r="BC78">
            <v>0.2</v>
          </cell>
          <cell r="BD78">
            <v>0.2</v>
          </cell>
          <cell r="BG78">
            <v>0</v>
          </cell>
          <cell r="BJ78">
            <v>0</v>
          </cell>
          <cell r="BM78">
            <v>0</v>
          </cell>
          <cell r="BP78">
            <v>0</v>
          </cell>
          <cell r="BQ78">
            <v>0</v>
          </cell>
          <cell r="BR78">
            <v>0</v>
          </cell>
          <cell r="BS78">
            <v>-0.1</v>
          </cell>
          <cell r="BT78">
            <v>0</v>
          </cell>
          <cell r="BU78">
            <v>0</v>
          </cell>
          <cell r="BV78">
            <v>0</v>
          </cell>
          <cell r="BW78">
            <v>0.1</v>
          </cell>
          <cell r="BX78">
            <v>1.8</v>
          </cell>
          <cell r="BY78">
            <v>0.1</v>
          </cell>
          <cell r="BZ78">
            <v>0.5</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0.2</v>
          </cell>
        </row>
        <row r="79">
          <cell r="D79">
            <v>1017</v>
          </cell>
          <cell r="G79">
            <v>5301</v>
          </cell>
          <cell r="J79">
            <v>2640</v>
          </cell>
          <cell r="M79">
            <v>4148</v>
          </cell>
          <cell r="N79">
            <v>2645</v>
          </cell>
          <cell r="O79">
            <v>8431</v>
          </cell>
          <cell r="P79">
            <v>6589</v>
          </cell>
          <cell r="Q79">
            <v>5384</v>
          </cell>
          <cell r="R79">
            <v>888</v>
          </cell>
          <cell r="S79">
            <v>2901</v>
          </cell>
          <cell r="T79">
            <v>11293</v>
          </cell>
          <cell r="U79">
            <v>110653</v>
          </cell>
          <cell r="V79">
            <v>11787</v>
          </cell>
          <cell r="W79">
            <v>2424</v>
          </cell>
          <cell r="X79">
            <v>122461</v>
          </cell>
          <cell r="Y79">
            <v>-0.1</v>
          </cell>
          <cell r="Z79">
            <v>0</v>
          </cell>
          <cell r="AA79">
            <v>-0.1</v>
          </cell>
          <cell r="AF79">
            <v>0.2</v>
          </cell>
          <cell r="AH79">
            <v>0.2</v>
          </cell>
          <cell r="AN79">
            <v>0.2</v>
          </cell>
          <cell r="AO79">
            <v>0</v>
          </cell>
          <cell r="AP79">
            <v>0</v>
          </cell>
          <cell r="AQ79">
            <v>0</v>
          </cell>
          <cell r="AR79">
            <v>0.1</v>
          </cell>
          <cell r="AV79">
            <v>0.3</v>
          </cell>
          <cell r="AW79">
            <v>0.2</v>
          </cell>
          <cell r="AX79">
            <v>0</v>
          </cell>
          <cell r="AY79">
            <v>0.1</v>
          </cell>
          <cell r="AZ79">
            <v>0</v>
          </cell>
          <cell r="BA79">
            <v>0</v>
          </cell>
          <cell r="BB79">
            <v>0</v>
          </cell>
          <cell r="BC79">
            <v>-0.1</v>
          </cell>
          <cell r="BD79">
            <v>0</v>
          </cell>
          <cell r="BG79">
            <v>0</v>
          </cell>
          <cell r="BJ79">
            <v>0.1</v>
          </cell>
          <cell r="BM79">
            <v>0</v>
          </cell>
          <cell r="BP79">
            <v>0</v>
          </cell>
          <cell r="BQ79">
            <v>0</v>
          </cell>
          <cell r="BR79">
            <v>0</v>
          </cell>
          <cell r="BS79">
            <v>0.1</v>
          </cell>
          <cell r="BT79">
            <v>0</v>
          </cell>
          <cell r="BU79">
            <v>0</v>
          </cell>
          <cell r="BV79">
            <v>0</v>
          </cell>
          <cell r="BW79">
            <v>0.1</v>
          </cell>
          <cell r="BX79">
            <v>1.3</v>
          </cell>
          <cell r="BY79">
            <v>0.3</v>
          </cell>
          <cell r="BZ79">
            <v>0.7</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-0.1</v>
          </cell>
        </row>
        <row r="80">
          <cell r="D80">
            <v>1068</v>
          </cell>
          <cell r="G80">
            <v>5221</v>
          </cell>
          <cell r="J80">
            <v>2598</v>
          </cell>
          <cell r="M80">
            <v>4081</v>
          </cell>
          <cell r="N80">
            <v>2602</v>
          </cell>
          <cell r="O80">
            <v>8408</v>
          </cell>
          <cell r="P80">
            <v>6768</v>
          </cell>
          <cell r="Q80">
            <v>5579</v>
          </cell>
          <cell r="R80">
            <v>911</v>
          </cell>
          <cell r="S80">
            <v>2909</v>
          </cell>
          <cell r="T80">
            <v>11458</v>
          </cell>
          <cell r="U80">
            <v>117911</v>
          </cell>
          <cell r="V80">
            <v>11884</v>
          </cell>
          <cell r="W80">
            <v>1861</v>
          </cell>
          <cell r="X80">
            <v>135802</v>
          </cell>
          <cell r="Y80">
            <v>-0.1</v>
          </cell>
          <cell r="Z80">
            <v>0</v>
          </cell>
          <cell r="AA80">
            <v>-0.1</v>
          </cell>
          <cell r="AF80">
            <v>-0.3</v>
          </cell>
          <cell r="AH80">
            <v>-0.3</v>
          </cell>
          <cell r="AN80">
            <v>0.2</v>
          </cell>
          <cell r="AO80">
            <v>0</v>
          </cell>
          <cell r="AP80">
            <v>0</v>
          </cell>
          <cell r="AQ80">
            <v>0</v>
          </cell>
          <cell r="AR80">
            <v>0.1</v>
          </cell>
          <cell r="AV80">
            <v>0.1</v>
          </cell>
          <cell r="AW80">
            <v>0</v>
          </cell>
          <cell r="AX80">
            <v>0.1</v>
          </cell>
          <cell r="AY80">
            <v>0</v>
          </cell>
          <cell r="AZ80">
            <v>0.1</v>
          </cell>
          <cell r="BA80">
            <v>0</v>
          </cell>
          <cell r="BB80">
            <v>0</v>
          </cell>
          <cell r="BC80">
            <v>0.1</v>
          </cell>
          <cell r="BD80">
            <v>0.1</v>
          </cell>
          <cell r="BG80">
            <v>0</v>
          </cell>
          <cell r="BJ80">
            <v>0</v>
          </cell>
          <cell r="BM80">
            <v>0</v>
          </cell>
          <cell r="BP80">
            <v>0</v>
          </cell>
          <cell r="BQ80">
            <v>0</v>
          </cell>
          <cell r="BR80">
            <v>0</v>
          </cell>
          <cell r="BS80">
            <v>0.1</v>
          </cell>
          <cell r="BT80">
            <v>0</v>
          </cell>
          <cell r="BU80">
            <v>0</v>
          </cell>
          <cell r="BV80">
            <v>0</v>
          </cell>
          <cell r="BW80">
            <v>0.1</v>
          </cell>
          <cell r="BX80">
            <v>0.5</v>
          </cell>
          <cell r="BY80">
            <v>-0.3</v>
          </cell>
          <cell r="BZ80">
            <v>0.9</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row>
        <row r="81">
          <cell r="D81">
            <v>1035</v>
          </cell>
          <cell r="G81">
            <v>5257</v>
          </cell>
          <cell r="J81">
            <v>2596</v>
          </cell>
          <cell r="M81">
            <v>4078</v>
          </cell>
          <cell r="N81">
            <v>2600</v>
          </cell>
          <cell r="O81">
            <v>8445</v>
          </cell>
          <cell r="P81">
            <v>6735</v>
          </cell>
          <cell r="Q81">
            <v>5516</v>
          </cell>
          <cell r="R81">
            <v>907</v>
          </cell>
          <cell r="S81">
            <v>2856</v>
          </cell>
          <cell r="T81">
            <v>11623</v>
          </cell>
          <cell r="U81">
            <v>107944</v>
          </cell>
          <cell r="V81">
            <v>11629</v>
          </cell>
          <cell r="W81">
            <v>935</v>
          </cell>
          <cell r="X81">
            <v>117728</v>
          </cell>
          <cell r="Y81">
            <v>0.2</v>
          </cell>
          <cell r="Z81">
            <v>0</v>
          </cell>
          <cell r="AA81">
            <v>0.2</v>
          </cell>
          <cell r="AF81">
            <v>0.2</v>
          </cell>
          <cell r="AH81">
            <v>0.3</v>
          </cell>
          <cell r="AN81">
            <v>-0.1</v>
          </cell>
          <cell r="AO81">
            <v>0</v>
          </cell>
          <cell r="AP81">
            <v>0</v>
          </cell>
          <cell r="AQ81">
            <v>0</v>
          </cell>
          <cell r="AR81">
            <v>0</v>
          </cell>
          <cell r="AV81">
            <v>0</v>
          </cell>
          <cell r="AW81">
            <v>-0.2</v>
          </cell>
          <cell r="AX81">
            <v>-0.1</v>
          </cell>
          <cell r="AY81">
            <v>0</v>
          </cell>
          <cell r="AZ81">
            <v>0.1</v>
          </cell>
          <cell r="BA81">
            <v>0</v>
          </cell>
          <cell r="BB81">
            <v>0</v>
          </cell>
          <cell r="BC81">
            <v>0</v>
          </cell>
          <cell r="BD81">
            <v>0.2</v>
          </cell>
          <cell r="BG81">
            <v>0</v>
          </cell>
          <cell r="BJ81">
            <v>0</v>
          </cell>
          <cell r="BM81">
            <v>0</v>
          </cell>
          <cell r="BP81">
            <v>0</v>
          </cell>
          <cell r="BQ81">
            <v>0</v>
          </cell>
          <cell r="BR81">
            <v>0</v>
          </cell>
          <cell r="BS81">
            <v>0.1</v>
          </cell>
          <cell r="BT81">
            <v>0</v>
          </cell>
          <cell r="BU81">
            <v>0</v>
          </cell>
          <cell r="BV81">
            <v>0</v>
          </cell>
          <cell r="BW81">
            <v>0.1</v>
          </cell>
          <cell r="BX81">
            <v>0.3</v>
          </cell>
          <cell r="BY81">
            <v>0.3</v>
          </cell>
          <cell r="BZ81">
            <v>-0.5</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row>
        <row r="82">
          <cell r="D82">
            <v>1066</v>
          </cell>
          <cell r="G82">
            <v>5266</v>
          </cell>
          <cell r="J82">
            <v>2598</v>
          </cell>
          <cell r="M82">
            <v>4081</v>
          </cell>
          <cell r="N82">
            <v>2602</v>
          </cell>
          <cell r="O82">
            <v>8500</v>
          </cell>
          <cell r="P82">
            <v>6219</v>
          </cell>
          <cell r="Q82">
            <v>5010</v>
          </cell>
          <cell r="R82">
            <v>902</v>
          </cell>
          <cell r="S82">
            <v>2890</v>
          </cell>
          <cell r="T82">
            <v>11781</v>
          </cell>
          <cell r="U82">
            <v>108782</v>
          </cell>
          <cell r="V82">
            <v>11422</v>
          </cell>
          <cell r="W82">
            <v>1242</v>
          </cell>
          <cell r="X82">
            <v>123486</v>
          </cell>
          <cell r="Y82">
            <v>0</v>
          </cell>
          <cell r="Z82">
            <v>0</v>
          </cell>
          <cell r="AA82">
            <v>0</v>
          </cell>
          <cell r="AF82">
            <v>0</v>
          </cell>
          <cell r="AH82">
            <v>0</v>
          </cell>
          <cell r="AN82">
            <v>0.1</v>
          </cell>
          <cell r="AO82">
            <v>0</v>
          </cell>
          <cell r="AP82">
            <v>0</v>
          </cell>
          <cell r="AQ82">
            <v>0</v>
          </cell>
          <cell r="AR82">
            <v>0</v>
          </cell>
          <cell r="AV82">
            <v>0.1</v>
          </cell>
          <cell r="AW82">
            <v>0</v>
          </cell>
          <cell r="AX82">
            <v>0</v>
          </cell>
          <cell r="AY82">
            <v>0.1</v>
          </cell>
          <cell r="AZ82">
            <v>0</v>
          </cell>
          <cell r="BA82">
            <v>0</v>
          </cell>
          <cell r="BB82">
            <v>0</v>
          </cell>
          <cell r="BC82">
            <v>0</v>
          </cell>
          <cell r="BD82">
            <v>-0.1</v>
          </cell>
          <cell r="BG82">
            <v>0</v>
          </cell>
          <cell r="BJ82">
            <v>0</v>
          </cell>
          <cell r="BM82">
            <v>0</v>
          </cell>
          <cell r="BP82">
            <v>0</v>
          </cell>
          <cell r="BQ82">
            <v>0</v>
          </cell>
          <cell r="BR82">
            <v>0</v>
          </cell>
          <cell r="BS82">
            <v>-0.1</v>
          </cell>
          <cell r="BT82">
            <v>0</v>
          </cell>
          <cell r="BU82">
            <v>0</v>
          </cell>
          <cell r="BV82">
            <v>0</v>
          </cell>
          <cell r="BW82">
            <v>0.1</v>
          </cell>
          <cell r="BX82">
            <v>0.4</v>
          </cell>
          <cell r="BY82">
            <v>-0.1</v>
          </cell>
          <cell r="BZ82">
            <v>1.4</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row>
        <row r="83">
          <cell r="D83">
            <v>1090</v>
          </cell>
          <cell r="G83">
            <v>5360</v>
          </cell>
          <cell r="J83">
            <v>2649</v>
          </cell>
          <cell r="M83">
            <v>4162</v>
          </cell>
          <cell r="N83">
            <v>2654</v>
          </cell>
          <cell r="O83">
            <v>8556</v>
          </cell>
          <cell r="P83">
            <v>6876</v>
          </cell>
          <cell r="Q83">
            <v>5592</v>
          </cell>
          <cell r="R83">
            <v>883</v>
          </cell>
          <cell r="S83">
            <v>2908</v>
          </cell>
          <cell r="T83">
            <v>11950</v>
          </cell>
          <cell r="U83">
            <v>112602</v>
          </cell>
          <cell r="V83">
            <v>11663</v>
          </cell>
          <cell r="W83">
            <v>1420</v>
          </cell>
          <cell r="X83">
            <v>124436</v>
          </cell>
          <cell r="Y83">
            <v>-0.1</v>
          </cell>
          <cell r="Z83">
            <v>0</v>
          </cell>
          <cell r="AA83">
            <v>-0.1</v>
          </cell>
          <cell r="AF83">
            <v>0.1</v>
          </cell>
          <cell r="AH83">
            <v>0.1</v>
          </cell>
          <cell r="AN83">
            <v>-0.2</v>
          </cell>
          <cell r="AO83">
            <v>0</v>
          </cell>
          <cell r="AP83">
            <v>0</v>
          </cell>
          <cell r="AQ83">
            <v>0</v>
          </cell>
          <cell r="AR83">
            <v>0</v>
          </cell>
          <cell r="AV83">
            <v>-0.2</v>
          </cell>
          <cell r="AW83">
            <v>0</v>
          </cell>
          <cell r="AX83">
            <v>0</v>
          </cell>
          <cell r="AY83">
            <v>0</v>
          </cell>
          <cell r="AZ83">
            <v>0</v>
          </cell>
          <cell r="BA83">
            <v>0</v>
          </cell>
          <cell r="BB83">
            <v>0</v>
          </cell>
          <cell r="BC83">
            <v>0.2</v>
          </cell>
          <cell r="BD83">
            <v>0.2</v>
          </cell>
          <cell r="BG83">
            <v>0</v>
          </cell>
          <cell r="BJ83">
            <v>0.1</v>
          </cell>
          <cell r="BM83">
            <v>0</v>
          </cell>
          <cell r="BP83">
            <v>0</v>
          </cell>
          <cell r="BQ83">
            <v>0</v>
          </cell>
          <cell r="BR83">
            <v>0</v>
          </cell>
          <cell r="BS83">
            <v>0.1</v>
          </cell>
          <cell r="BT83">
            <v>0.1</v>
          </cell>
          <cell r="BU83">
            <v>0</v>
          </cell>
          <cell r="BV83">
            <v>0</v>
          </cell>
          <cell r="BW83">
            <v>0.1</v>
          </cell>
          <cell r="BX83">
            <v>0</v>
          </cell>
          <cell r="BY83">
            <v>-0.1</v>
          </cell>
          <cell r="BZ83">
            <v>-0.5</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-0.1</v>
          </cell>
        </row>
        <row r="84">
          <cell r="D84">
            <v>1124</v>
          </cell>
          <cell r="G84">
            <v>5267</v>
          </cell>
          <cell r="J84">
            <v>2602</v>
          </cell>
          <cell r="M84">
            <v>4087</v>
          </cell>
          <cell r="N84">
            <v>2606</v>
          </cell>
          <cell r="O84">
            <v>8547</v>
          </cell>
          <cell r="P84">
            <v>7163</v>
          </cell>
          <cell r="Q84">
            <v>5868</v>
          </cell>
          <cell r="R84">
            <v>939</v>
          </cell>
          <cell r="S84">
            <v>2907</v>
          </cell>
          <cell r="T84">
            <v>12115</v>
          </cell>
          <cell r="U84">
            <v>118753</v>
          </cell>
          <cell r="V84">
            <v>12111</v>
          </cell>
          <cell r="W84">
            <v>816</v>
          </cell>
          <cell r="X84">
            <v>135654</v>
          </cell>
          <cell r="Y84">
            <v>0</v>
          </cell>
          <cell r="Z84">
            <v>0</v>
          </cell>
          <cell r="AA84">
            <v>0</v>
          </cell>
          <cell r="AF84">
            <v>-0.2</v>
          </cell>
          <cell r="AH84">
            <v>-0.2</v>
          </cell>
          <cell r="AI84">
            <v>0</v>
          </cell>
          <cell r="AJ84">
            <v>-0.1</v>
          </cell>
          <cell r="AK84">
            <v>-0.1</v>
          </cell>
          <cell r="AL84">
            <v>0</v>
          </cell>
          <cell r="AN84">
            <v>-0.1</v>
          </cell>
          <cell r="AO84">
            <v>0</v>
          </cell>
          <cell r="AP84">
            <v>0</v>
          </cell>
          <cell r="AQ84">
            <v>0.1</v>
          </cell>
          <cell r="AR84">
            <v>0</v>
          </cell>
          <cell r="AV84">
            <v>-0.2</v>
          </cell>
          <cell r="AW84">
            <v>0</v>
          </cell>
          <cell r="AX84">
            <v>0</v>
          </cell>
          <cell r="AY84">
            <v>0.1</v>
          </cell>
          <cell r="AZ84">
            <v>0.1</v>
          </cell>
          <cell r="BA84">
            <v>0</v>
          </cell>
          <cell r="BB84">
            <v>0</v>
          </cell>
          <cell r="BC84">
            <v>0</v>
          </cell>
          <cell r="BD84">
            <v>0.1</v>
          </cell>
          <cell r="BG84">
            <v>0</v>
          </cell>
          <cell r="BJ84">
            <v>0</v>
          </cell>
          <cell r="BM84">
            <v>0</v>
          </cell>
          <cell r="BP84">
            <v>0</v>
          </cell>
          <cell r="BQ84">
            <v>0</v>
          </cell>
          <cell r="BR84">
            <v>0</v>
          </cell>
          <cell r="BS84">
            <v>0.2</v>
          </cell>
          <cell r="BT84">
            <v>0.1</v>
          </cell>
          <cell r="BU84">
            <v>0</v>
          </cell>
          <cell r="BV84">
            <v>0</v>
          </cell>
          <cell r="BW84">
            <v>0.1</v>
          </cell>
          <cell r="BX84">
            <v>-0.2</v>
          </cell>
          <cell r="BY84">
            <v>0</v>
          </cell>
          <cell r="BZ84">
            <v>-0.3</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row>
        <row r="85">
          <cell r="D85">
            <v>1098</v>
          </cell>
          <cell r="G85">
            <v>5355</v>
          </cell>
          <cell r="J85">
            <v>2640</v>
          </cell>
          <cell r="M85">
            <v>4147</v>
          </cell>
          <cell r="N85">
            <v>2644</v>
          </cell>
          <cell r="O85">
            <v>8597</v>
          </cell>
          <cell r="P85">
            <v>7191</v>
          </cell>
          <cell r="Q85">
            <v>5854</v>
          </cell>
          <cell r="R85">
            <v>935</v>
          </cell>
          <cell r="S85">
            <v>2846</v>
          </cell>
          <cell r="T85">
            <v>12273</v>
          </cell>
          <cell r="U85">
            <v>107429</v>
          </cell>
          <cell r="V85">
            <v>11377</v>
          </cell>
          <cell r="W85">
            <v>979</v>
          </cell>
          <cell r="X85">
            <v>118780</v>
          </cell>
          <cell r="Y85">
            <v>-0.1</v>
          </cell>
          <cell r="Z85">
            <v>0</v>
          </cell>
          <cell r="AA85">
            <v>-0.1</v>
          </cell>
          <cell r="AF85">
            <v>0.1</v>
          </cell>
          <cell r="AH85">
            <v>0.1</v>
          </cell>
          <cell r="AI85">
            <v>0</v>
          </cell>
          <cell r="AJ85">
            <v>0.1</v>
          </cell>
          <cell r="AK85">
            <v>0.1</v>
          </cell>
          <cell r="AL85">
            <v>-0.1</v>
          </cell>
          <cell r="AN85">
            <v>0</v>
          </cell>
          <cell r="AO85">
            <v>0</v>
          </cell>
          <cell r="AP85">
            <v>0</v>
          </cell>
          <cell r="AQ85">
            <v>-0.2</v>
          </cell>
          <cell r="AR85">
            <v>-0.1</v>
          </cell>
          <cell r="AV85">
            <v>0.3</v>
          </cell>
          <cell r="AW85">
            <v>-0.2</v>
          </cell>
          <cell r="AX85">
            <v>0</v>
          </cell>
          <cell r="AY85">
            <v>0</v>
          </cell>
          <cell r="AZ85">
            <v>0.1</v>
          </cell>
          <cell r="BA85">
            <v>0</v>
          </cell>
          <cell r="BB85">
            <v>0</v>
          </cell>
          <cell r="BC85">
            <v>-0.1</v>
          </cell>
          <cell r="BD85">
            <v>0.1</v>
          </cell>
          <cell r="BG85">
            <v>0</v>
          </cell>
          <cell r="BJ85">
            <v>0</v>
          </cell>
          <cell r="BM85">
            <v>0</v>
          </cell>
          <cell r="BP85">
            <v>0</v>
          </cell>
          <cell r="BQ85">
            <v>0</v>
          </cell>
          <cell r="BR85">
            <v>0</v>
          </cell>
          <cell r="BS85">
            <v>0.2</v>
          </cell>
          <cell r="BT85">
            <v>0.1</v>
          </cell>
          <cell r="BU85">
            <v>0</v>
          </cell>
          <cell r="BV85">
            <v>0</v>
          </cell>
          <cell r="BW85">
            <v>0.1</v>
          </cell>
          <cell r="BX85">
            <v>0.7</v>
          </cell>
          <cell r="BY85">
            <v>0</v>
          </cell>
          <cell r="BZ85">
            <v>0.7</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row>
        <row r="86">
          <cell r="D86">
            <v>1133</v>
          </cell>
          <cell r="G86">
            <v>5321</v>
          </cell>
          <cell r="J86">
            <v>2618</v>
          </cell>
          <cell r="M86">
            <v>4113</v>
          </cell>
          <cell r="N86">
            <v>2622</v>
          </cell>
          <cell r="O86">
            <v>8643</v>
          </cell>
          <cell r="P86">
            <v>7243</v>
          </cell>
          <cell r="Q86">
            <v>5808</v>
          </cell>
          <cell r="R86">
            <v>961</v>
          </cell>
          <cell r="S86">
            <v>2900</v>
          </cell>
          <cell r="T86">
            <v>12428</v>
          </cell>
          <cell r="U86">
            <v>111908</v>
          </cell>
          <cell r="V86">
            <v>11467</v>
          </cell>
          <cell r="W86">
            <v>1069</v>
          </cell>
          <cell r="X86">
            <v>125086</v>
          </cell>
          <cell r="Y86">
            <v>-0.1</v>
          </cell>
          <cell r="Z86">
            <v>0</v>
          </cell>
          <cell r="AA86">
            <v>-0.1</v>
          </cell>
          <cell r="AF86">
            <v>0</v>
          </cell>
          <cell r="AH86">
            <v>0</v>
          </cell>
          <cell r="AI86">
            <v>0</v>
          </cell>
          <cell r="AJ86">
            <v>0.1</v>
          </cell>
          <cell r="AK86">
            <v>0</v>
          </cell>
          <cell r="AL86">
            <v>0.1</v>
          </cell>
          <cell r="AN86">
            <v>0.3</v>
          </cell>
          <cell r="AO86">
            <v>0</v>
          </cell>
          <cell r="AP86">
            <v>0</v>
          </cell>
          <cell r="AQ86">
            <v>0.1</v>
          </cell>
          <cell r="AR86">
            <v>0.1</v>
          </cell>
          <cell r="AV86">
            <v>0</v>
          </cell>
          <cell r="AW86">
            <v>0.1</v>
          </cell>
          <cell r="AX86">
            <v>0.1</v>
          </cell>
          <cell r="AY86">
            <v>0</v>
          </cell>
          <cell r="AZ86">
            <v>0.1</v>
          </cell>
          <cell r="BA86">
            <v>0</v>
          </cell>
          <cell r="BB86">
            <v>0</v>
          </cell>
          <cell r="BC86">
            <v>0</v>
          </cell>
          <cell r="BD86">
            <v>0.2</v>
          </cell>
          <cell r="BG86">
            <v>0</v>
          </cell>
          <cell r="BJ86">
            <v>0</v>
          </cell>
          <cell r="BM86">
            <v>0</v>
          </cell>
          <cell r="BP86">
            <v>0</v>
          </cell>
          <cell r="BQ86">
            <v>0</v>
          </cell>
          <cell r="BR86">
            <v>0</v>
          </cell>
          <cell r="BS86">
            <v>0.4</v>
          </cell>
          <cell r="BT86">
            <v>0.1</v>
          </cell>
          <cell r="BU86">
            <v>0</v>
          </cell>
          <cell r="BV86">
            <v>0</v>
          </cell>
          <cell r="BW86">
            <v>0.1</v>
          </cell>
          <cell r="BX86">
            <v>1.4</v>
          </cell>
          <cell r="BY86">
            <v>0.2</v>
          </cell>
          <cell r="BZ86">
            <v>0.9</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0.1</v>
          </cell>
        </row>
        <row r="87">
          <cell r="D87">
            <v>1173</v>
          </cell>
          <cell r="G87">
            <v>5404</v>
          </cell>
          <cell r="J87">
            <v>2667</v>
          </cell>
          <cell r="M87">
            <v>4189</v>
          </cell>
          <cell r="N87">
            <v>2671</v>
          </cell>
          <cell r="O87">
            <v>8837</v>
          </cell>
          <cell r="P87">
            <v>7722</v>
          </cell>
          <cell r="Q87">
            <v>6180</v>
          </cell>
          <cell r="R87">
            <v>937</v>
          </cell>
          <cell r="S87">
            <v>2932</v>
          </cell>
          <cell r="T87">
            <v>12582</v>
          </cell>
          <cell r="U87">
            <v>115850</v>
          </cell>
          <cell r="V87">
            <v>11963</v>
          </cell>
          <cell r="W87">
            <v>1558</v>
          </cell>
          <cell r="X87">
            <v>125976</v>
          </cell>
          <cell r="Y87">
            <v>0.9</v>
          </cell>
          <cell r="Z87">
            <v>0</v>
          </cell>
          <cell r="AA87">
            <v>0.9</v>
          </cell>
          <cell r="AF87">
            <v>0</v>
          </cell>
          <cell r="AH87">
            <v>0</v>
          </cell>
          <cell r="AI87">
            <v>0</v>
          </cell>
          <cell r="AJ87">
            <v>0.1</v>
          </cell>
          <cell r="AK87">
            <v>0</v>
          </cell>
          <cell r="AL87">
            <v>-0.1</v>
          </cell>
          <cell r="AN87">
            <v>0</v>
          </cell>
          <cell r="AO87">
            <v>0</v>
          </cell>
          <cell r="AP87">
            <v>0</v>
          </cell>
          <cell r="AQ87">
            <v>0</v>
          </cell>
          <cell r="AR87">
            <v>0</v>
          </cell>
          <cell r="AV87">
            <v>-0.1</v>
          </cell>
          <cell r="AW87">
            <v>0.1</v>
          </cell>
          <cell r="AX87">
            <v>0</v>
          </cell>
          <cell r="AY87">
            <v>0</v>
          </cell>
          <cell r="AZ87">
            <v>0</v>
          </cell>
          <cell r="BA87">
            <v>0</v>
          </cell>
          <cell r="BB87">
            <v>0</v>
          </cell>
          <cell r="BC87">
            <v>0</v>
          </cell>
          <cell r="BD87">
            <v>-0.1</v>
          </cell>
          <cell r="BG87">
            <v>0</v>
          </cell>
          <cell r="BJ87">
            <v>0.1</v>
          </cell>
          <cell r="BM87">
            <v>0</v>
          </cell>
          <cell r="BP87">
            <v>0</v>
          </cell>
          <cell r="BQ87">
            <v>0</v>
          </cell>
          <cell r="BR87">
            <v>0.1</v>
          </cell>
          <cell r="BS87">
            <v>-0.1</v>
          </cell>
          <cell r="BT87">
            <v>0.1</v>
          </cell>
          <cell r="BU87">
            <v>0</v>
          </cell>
          <cell r="BV87">
            <v>0</v>
          </cell>
          <cell r="BW87">
            <v>0.1</v>
          </cell>
          <cell r="BX87">
            <v>1.7</v>
          </cell>
          <cell r="BY87">
            <v>0.1</v>
          </cell>
          <cell r="BZ87">
            <v>1.4</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-0.1</v>
          </cell>
        </row>
        <row r="88">
          <cell r="D88">
            <v>1214</v>
          </cell>
          <cell r="G88">
            <v>5414</v>
          </cell>
          <cell r="J88">
            <v>2669</v>
          </cell>
          <cell r="M88">
            <v>4193</v>
          </cell>
          <cell r="N88">
            <v>2674</v>
          </cell>
          <cell r="O88">
            <v>8777</v>
          </cell>
          <cell r="P88">
            <v>7703</v>
          </cell>
          <cell r="Q88">
            <v>6206</v>
          </cell>
          <cell r="R88">
            <v>977</v>
          </cell>
          <cell r="S88">
            <v>2998</v>
          </cell>
          <cell r="T88">
            <v>12758</v>
          </cell>
          <cell r="U88">
            <v>124795</v>
          </cell>
          <cell r="V88">
            <v>12411</v>
          </cell>
          <cell r="W88">
            <v>1568</v>
          </cell>
          <cell r="X88">
            <v>141576</v>
          </cell>
          <cell r="Y88">
            <v>0.2</v>
          </cell>
          <cell r="Z88">
            <v>0</v>
          </cell>
          <cell r="AA88">
            <v>0.2</v>
          </cell>
          <cell r="AF88">
            <v>0</v>
          </cell>
          <cell r="AH88">
            <v>0</v>
          </cell>
          <cell r="AI88">
            <v>0</v>
          </cell>
          <cell r="AJ88">
            <v>0</v>
          </cell>
          <cell r="AK88">
            <v>0.1</v>
          </cell>
          <cell r="AL88">
            <v>0</v>
          </cell>
          <cell r="AN88">
            <v>0.2</v>
          </cell>
          <cell r="AO88">
            <v>0</v>
          </cell>
          <cell r="AP88">
            <v>0</v>
          </cell>
          <cell r="AQ88">
            <v>0</v>
          </cell>
          <cell r="AR88">
            <v>0</v>
          </cell>
          <cell r="AV88">
            <v>0.2</v>
          </cell>
          <cell r="AW88">
            <v>0.1</v>
          </cell>
          <cell r="AX88">
            <v>0</v>
          </cell>
          <cell r="AY88">
            <v>-0.2</v>
          </cell>
          <cell r="AZ88">
            <v>0</v>
          </cell>
          <cell r="BA88">
            <v>0</v>
          </cell>
          <cell r="BB88">
            <v>0</v>
          </cell>
          <cell r="BC88">
            <v>0.1</v>
          </cell>
          <cell r="BD88">
            <v>0</v>
          </cell>
          <cell r="BG88">
            <v>0</v>
          </cell>
          <cell r="BJ88">
            <v>0.1</v>
          </cell>
          <cell r="BM88">
            <v>0</v>
          </cell>
          <cell r="BP88">
            <v>0.1</v>
          </cell>
          <cell r="BQ88">
            <v>0</v>
          </cell>
          <cell r="BR88">
            <v>0</v>
          </cell>
          <cell r="BS88">
            <v>-0.1</v>
          </cell>
          <cell r="BT88">
            <v>0</v>
          </cell>
          <cell r="BU88">
            <v>0</v>
          </cell>
          <cell r="BV88">
            <v>0</v>
          </cell>
          <cell r="BW88">
            <v>0.1</v>
          </cell>
          <cell r="BX88">
            <v>1.3</v>
          </cell>
          <cell r="BY88">
            <v>-0.1</v>
          </cell>
          <cell r="BZ88">
            <v>0.8</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row>
        <row r="89">
          <cell r="D89">
            <v>1191</v>
          </cell>
          <cell r="G89">
            <v>5632</v>
          </cell>
          <cell r="J89">
            <v>2779</v>
          </cell>
          <cell r="M89">
            <v>4366</v>
          </cell>
          <cell r="N89">
            <v>2784</v>
          </cell>
          <cell r="O89">
            <v>8768</v>
          </cell>
          <cell r="P89">
            <v>7699</v>
          </cell>
          <cell r="Q89">
            <v>6230</v>
          </cell>
          <cell r="R89">
            <v>969</v>
          </cell>
          <cell r="S89">
            <v>2961</v>
          </cell>
          <cell r="T89">
            <v>12920</v>
          </cell>
          <cell r="U89">
            <v>116338</v>
          </cell>
          <cell r="V89">
            <v>11736</v>
          </cell>
          <cell r="W89">
            <v>1293</v>
          </cell>
          <cell r="X89">
            <v>128250</v>
          </cell>
          <cell r="Y89">
            <v>-0.2</v>
          </cell>
          <cell r="Z89">
            <v>0</v>
          </cell>
          <cell r="AA89">
            <v>-0.2</v>
          </cell>
          <cell r="AF89">
            <v>0</v>
          </cell>
          <cell r="AH89">
            <v>0</v>
          </cell>
          <cell r="AI89">
            <v>0</v>
          </cell>
          <cell r="AJ89">
            <v>0</v>
          </cell>
          <cell r="AK89">
            <v>0.1</v>
          </cell>
          <cell r="AL89">
            <v>0.1</v>
          </cell>
          <cell r="AN89">
            <v>0.2</v>
          </cell>
          <cell r="AO89">
            <v>0</v>
          </cell>
          <cell r="AP89">
            <v>0</v>
          </cell>
          <cell r="AQ89">
            <v>0.1</v>
          </cell>
          <cell r="AR89">
            <v>0.1</v>
          </cell>
          <cell r="AV89">
            <v>0.1</v>
          </cell>
          <cell r="AW89">
            <v>-0.1</v>
          </cell>
          <cell r="AX89">
            <v>0</v>
          </cell>
          <cell r="AY89">
            <v>0</v>
          </cell>
          <cell r="AZ89">
            <v>-0.1</v>
          </cell>
          <cell r="BA89">
            <v>0</v>
          </cell>
          <cell r="BB89">
            <v>0</v>
          </cell>
          <cell r="BC89">
            <v>-0.1</v>
          </cell>
          <cell r="BD89">
            <v>-0.2</v>
          </cell>
          <cell r="BG89">
            <v>0</v>
          </cell>
          <cell r="BJ89">
            <v>0.1</v>
          </cell>
          <cell r="BM89">
            <v>0.1</v>
          </cell>
          <cell r="BP89">
            <v>0.1</v>
          </cell>
          <cell r="BQ89">
            <v>0.1</v>
          </cell>
          <cell r="BR89">
            <v>0</v>
          </cell>
          <cell r="BS89">
            <v>0.3</v>
          </cell>
          <cell r="BT89">
            <v>0</v>
          </cell>
          <cell r="BU89">
            <v>0</v>
          </cell>
          <cell r="BV89">
            <v>0</v>
          </cell>
          <cell r="BW89">
            <v>0.1</v>
          </cell>
          <cell r="BX89">
            <v>0.5</v>
          </cell>
          <cell r="BY89">
            <v>0.1</v>
          </cell>
          <cell r="BZ89">
            <v>2.8</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0.1</v>
          </cell>
        </row>
        <row r="90">
          <cell r="D90">
            <v>1228</v>
          </cell>
          <cell r="G90">
            <v>5695</v>
          </cell>
          <cell r="J90">
            <v>2826</v>
          </cell>
          <cell r="M90">
            <v>4439</v>
          </cell>
          <cell r="N90">
            <v>2830</v>
          </cell>
          <cell r="O90">
            <v>8883</v>
          </cell>
          <cell r="P90">
            <v>7666</v>
          </cell>
          <cell r="Q90">
            <v>6090</v>
          </cell>
          <cell r="R90">
            <v>981</v>
          </cell>
          <cell r="S90">
            <v>2933</v>
          </cell>
          <cell r="T90">
            <v>13085</v>
          </cell>
          <cell r="U90">
            <v>116347</v>
          </cell>
          <cell r="V90">
            <v>11863</v>
          </cell>
          <cell r="W90">
            <v>1909</v>
          </cell>
          <cell r="X90">
            <v>128532</v>
          </cell>
          <cell r="Y90">
            <v>-0.3</v>
          </cell>
          <cell r="Z90">
            <v>0</v>
          </cell>
          <cell r="AA90">
            <v>-0.3</v>
          </cell>
          <cell r="AF90">
            <v>0.1</v>
          </cell>
          <cell r="AH90">
            <v>0.1</v>
          </cell>
          <cell r="AI90">
            <v>0</v>
          </cell>
          <cell r="AJ90">
            <v>0</v>
          </cell>
          <cell r="AK90">
            <v>0</v>
          </cell>
          <cell r="AL90">
            <v>0.1</v>
          </cell>
          <cell r="AN90">
            <v>0.1</v>
          </cell>
          <cell r="AO90">
            <v>0</v>
          </cell>
          <cell r="AP90">
            <v>0</v>
          </cell>
          <cell r="AQ90">
            <v>0</v>
          </cell>
          <cell r="AR90">
            <v>0</v>
          </cell>
          <cell r="AV90">
            <v>0.1</v>
          </cell>
          <cell r="AW90">
            <v>0.1</v>
          </cell>
          <cell r="AX90">
            <v>0</v>
          </cell>
          <cell r="AY90">
            <v>0</v>
          </cell>
          <cell r="AZ90">
            <v>0</v>
          </cell>
          <cell r="BA90">
            <v>0</v>
          </cell>
          <cell r="BB90">
            <v>0</v>
          </cell>
          <cell r="BC90">
            <v>0.1</v>
          </cell>
          <cell r="BD90">
            <v>0</v>
          </cell>
          <cell r="BG90">
            <v>0</v>
          </cell>
          <cell r="BJ90">
            <v>0.1</v>
          </cell>
          <cell r="BM90">
            <v>0</v>
          </cell>
          <cell r="BP90">
            <v>0.1</v>
          </cell>
          <cell r="BQ90">
            <v>0</v>
          </cell>
          <cell r="BR90">
            <v>0</v>
          </cell>
          <cell r="BS90">
            <v>0.2</v>
          </cell>
          <cell r="BT90">
            <v>0</v>
          </cell>
          <cell r="BU90">
            <v>0</v>
          </cell>
          <cell r="BV90">
            <v>0</v>
          </cell>
          <cell r="BW90">
            <v>0.1</v>
          </cell>
          <cell r="BX90">
            <v>0.7</v>
          </cell>
          <cell r="BY90">
            <v>0.2</v>
          </cell>
          <cell r="BZ90">
            <v>-1.6</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row>
        <row r="91">
          <cell r="D91">
            <v>1256</v>
          </cell>
          <cell r="G91">
            <v>5772</v>
          </cell>
          <cell r="J91">
            <v>2854</v>
          </cell>
          <cell r="M91">
            <v>4484</v>
          </cell>
          <cell r="N91">
            <v>2859</v>
          </cell>
          <cell r="O91">
            <v>8809</v>
          </cell>
          <cell r="P91">
            <v>8524</v>
          </cell>
          <cell r="Q91">
            <v>6351</v>
          </cell>
          <cell r="R91">
            <v>958</v>
          </cell>
          <cell r="S91">
            <v>2917</v>
          </cell>
          <cell r="T91">
            <v>13246</v>
          </cell>
          <cell r="U91">
            <v>120343</v>
          </cell>
          <cell r="V91">
            <v>12061</v>
          </cell>
          <cell r="W91">
            <v>2457</v>
          </cell>
          <cell r="X91">
            <v>130312</v>
          </cell>
          <cell r="Y91">
            <v>-0.2</v>
          </cell>
          <cell r="Z91">
            <v>0</v>
          </cell>
          <cell r="AA91">
            <v>-0.2</v>
          </cell>
          <cell r="AF91">
            <v>0</v>
          </cell>
          <cell r="AH91">
            <v>0.1</v>
          </cell>
          <cell r="AI91">
            <v>0.1</v>
          </cell>
          <cell r="AJ91">
            <v>-0.1</v>
          </cell>
          <cell r="AK91">
            <v>0.1</v>
          </cell>
          <cell r="AL91">
            <v>0.1</v>
          </cell>
          <cell r="AN91">
            <v>0.3</v>
          </cell>
          <cell r="AO91">
            <v>0</v>
          </cell>
          <cell r="AP91">
            <v>0</v>
          </cell>
          <cell r="AQ91">
            <v>0</v>
          </cell>
          <cell r="AR91">
            <v>0.1</v>
          </cell>
          <cell r="AV91">
            <v>0</v>
          </cell>
          <cell r="AW91">
            <v>0</v>
          </cell>
          <cell r="AX91">
            <v>0.1</v>
          </cell>
          <cell r="AY91">
            <v>0</v>
          </cell>
          <cell r="AZ91">
            <v>0</v>
          </cell>
          <cell r="BA91">
            <v>0</v>
          </cell>
          <cell r="BB91">
            <v>0.1</v>
          </cell>
          <cell r="BC91">
            <v>0</v>
          </cell>
          <cell r="BD91">
            <v>-0.1</v>
          </cell>
          <cell r="BG91">
            <v>0</v>
          </cell>
          <cell r="BJ91">
            <v>0.1</v>
          </cell>
          <cell r="BM91">
            <v>0</v>
          </cell>
          <cell r="BP91">
            <v>0</v>
          </cell>
          <cell r="BQ91">
            <v>0</v>
          </cell>
          <cell r="BR91">
            <v>-0.1</v>
          </cell>
          <cell r="BS91">
            <v>0.1</v>
          </cell>
          <cell r="BT91">
            <v>0</v>
          </cell>
          <cell r="BU91">
            <v>0</v>
          </cell>
          <cell r="BV91">
            <v>0</v>
          </cell>
          <cell r="BW91">
            <v>0.1</v>
          </cell>
          <cell r="BX91">
            <v>0.4</v>
          </cell>
          <cell r="BY91">
            <v>-0.1</v>
          </cell>
          <cell r="BZ91">
            <v>0.9</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row>
        <row r="92">
          <cell r="D92">
            <v>1315</v>
          </cell>
          <cell r="G92">
            <v>5864</v>
          </cell>
          <cell r="J92">
            <v>2820</v>
          </cell>
          <cell r="M92">
            <v>4430</v>
          </cell>
          <cell r="N92">
            <v>2824</v>
          </cell>
          <cell r="O92">
            <v>8653</v>
          </cell>
          <cell r="P92">
            <v>8740</v>
          </cell>
          <cell r="Q92">
            <v>6387</v>
          </cell>
          <cell r="R92">
            <v>993</v>
          </cell>
          <cell r="S92">
            <v>3007</v>
          </cell>
          <cell r="T92">
            <v>13422</v>
          </cell>
          <cell r="U92">
            <v>130465</v>
          </cell>
          <cell r="V92">
            <v>12932</v>
          </cell>
          <cell r="W92">
            <v>1418</v>
          </cell>
          <cell r="X92">
            <v>147755</v>
          </cell>
          <cell r="Y92">
            <v>0</v>
          </cell>
          <cell r="Z92">
            <v>0</v>
          </cell>
          <cell r="AA92">
            <v>0</v>
          </cell>
          <cell r="AF92">
            <v>0</v>
          </cell>
          <cell r="AH92">
            <v>-0.1</v>
          </cell>
          <cell r="AI92">
            <v>-0.1</v>
          </cell>
          <cell r="AJ92">
            <v>0.2</v>
          </cell>
          <cell r="AK92">
            <v>-0.1</v>
          </cell>
          <cell r="AL92">
            <v>0</v>
          </cell>
          <cell r="AN92">
            <v>-0.1</v>
          </cell>
          <cell r="AO92">
            <v>0</v>
          </cell>
          <cell r="AP92">
            <v>0</v>
          </cell>
          <cell r="AQ92">
            <v>0</v>
          </cell>
          <cell r="AR92">
            <v>0.1</v>
          </cell>
          <cell r="AV92">
            <v>0</v>
          </cell>
          <cell r="AW92">
            <v>0.2</v>
          </cell>
          <cell r="AX92">
            <v>0</v>
          </cell>
          <cell r="AY92">
            <v>0</v>
          </cell>
          <cell r="AZ92">
            <v>0.3</v>
          </cell>
          <cell r="BA92">
            <v>0</v>
          </cell>
          <cell r="BB92">
            <v>0</v>
          </cell>
          <cell r="BC92">
            <v>0.1</v>
          </cell>
          <cell r="BD92">
            <v>0.6</v>
          </cell>
          <cell r="BG92">
            <v>0</v>
          </cell>
          <cell r="BJ92">
            <v>0.1</v>
          </cell>
          <cell r="BM92">
            <v>0</v>
          </cell>
          <cell r="BP92">
            <v>0</v>
          </cell>
          <cell r="BQ92">
            <v>0</v>
          </cell>
          <cell r="BR92">
            <v>-0.1</v>
          </cell>
          <cell r="BS92">
            <v>0.1</v>
          </cell>
          <cell r="BT92">
            <v>0.1</v>
          </cell>
          <cell r="BU92">
            <v>0</v>
          </cell>
          <cell r="BV92">
            <v>0.1</v>
          </cell>
          <cell r="BW92">
            <v>0.1</v>
          </cell>
          <cell r="BX92">
            <v>1.3</v>
          </cell>
          <cell r="BY92">
            <v>0.1</v>
          </cell>
          <cell r="BZ92">
            <v>1.9</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row>
        <row r="93">
          <cell r="D93">
            <v>1280</v>
          </cell>
          <cell r="G93">
            <v>6049</v>
          </cell>
          <cell r="J93">
            <v>2876</v>
          </cell>
          <cell r="M93">
            <v>4518</v>
          </cell>
          <cell r="N93">
            <v>2881</v>
          </cell>
          <cell r="O93">
            <v>8597</v>
          </cell>
          <cell r="P93">
            <v>8357</v>
          </cell>
          <cell r="Q93">
            <v>6298</v>
          </cell>
          <cell r="R93">
            <v>1021</v>
          </cell>
          <cell r="S93">
            <v>3057</v>
          </cell>
          <cell r="T93">
            <v>13605</v>
          </cell>
          <cell r="U93">
            <v>116345</v>
          </cell>
          <cell r="V93">
            <v>11793</v>
          </cell>
          <cell r="W93">
            <v>1959</v>
          </cell>
          <cell r="X93">
            <v>128501</v>
          </cell>
          <cell r="Y93">
            <v>-0.2</v>
          </cell>
          <cell r="Z93">
            <v>0</v>
          </cell>
          <cell r="AA93">
            <v>-0.2</v>
          </cell>
          <cell r="AF93">
            <v>-0.2</v>
          </cell>
          <cell r="AH93">
            <v>-0.3</v>
          </cell>
          <cell r="AI93">
            <v>0.1</v>
          </cell>
          <cell r="AJ93">
            <v>-0.1</v>
          </cell>
          <cell r="AK93">
            <v>0.2</v>
          </cell>
          <cell r="AL93">
            <v>0</v>
          </cell>
          <cell r="AN93">
            <v>0.3</v>
          </cell>
          <cell r="AO93">
            <v>0</v>
          </cell>
          <cell r="AP93">
            <v>0</v>
          </cell>
          <cell r="AQ93">
            <v>0</v>
          </cell>
          <cell r="AR93">
            <v>0</v>
          </cell>
          <cell r="AV93">
            <v>0</v>
          </cell>
          <cell r="AW93">
            <v>0</v>
          </cell>
          <cell r="AX93">
            <v>0.1</v>
          </cell>
          <cell r="AY93">
            <v>0</v>
          </cell>
          <cell r="AZ93">
            <v>-0.2</v>
          </cell>
          <cell r="BA93">
            <v>0</v>
          </cell>
          <cell r="BB93">
            <v>0</v>
          </cell>
          <cell r="BC93">
            <v>0</v>
          </cell>
          <cell r="BD93">
            <v>-0.5</v>
          </cell>
          <cell r="BG93">
            <v>0</v>
          </cell>
          <cell r="BJ93">
            <v>0</v>
          </cell>
          <cell r="BM93">
            <v>0</v>
          </cell>
          <cell r="BP93">
            <v>0</v>
          </cell>
          <cell r="BQ93">
            <v>0</v>
          </cell>
          <cell r="BR93">
            <v>0</v>
          </cell>
          <cell r="BS93">
            <v>0.1</v>
          </cell>
          <cell r="BT93">
            <v>-0.1</v>
          </cell>
          <cell r="BU93">
            <v>0</v>
          </cell>
          <cell r="BV93">
            <v>0.1</v>
          </cell>
          <cell r="BW93">
            <v>0.1</v>
          </cell>
          <cell r="BX93">
            <v>-0.4</v>
          </cell>
          <cell r="BY93">
            <v>-0.2</v>
          </cell>
          <cell r="BZ93">
            <v>0.4</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row>
        <row r="94">
          <cell r="D94">
            <v>1315</v>
          </cell>
          <cell r="G94">
            <v>5951</v>
          </cell>
          <cell r="J94">
            <v>3001</v>
          </cell>
          <cell r="M94">
            <v>4714</v>
          </cell>
          <cell r="N94">
            <v>3006</v>
          </cell>
          <cell r="O94">
            <v>8828</v>
          </cell>
          <cell r="P94">
            <v>8000</v>
          </cell>
          <cell r="Q94">
            <v>6259</v>
          </cell>
          <cell r="R94">
            <v>995</v>
          </cell>
          <cell r="S94">
            <v>3088</v>
          </cell>
          <cell r="T94">
            <v>13788</v>
          </cell>
          <cell r="U94">
            <v>118156</v>
          </cell>
          <cell r="V94">
            <v>11341</v>
          </cell>
          <cell r="W94">
            <v>2322</v>
          </cell>
          <cell r="X94">
            <v>133675</v>
          </cell>
          <cell r="Y94">
            <v>0.2</v>
          </cell>
          <cell r="Z94">
            <v>0</v>
          </cell>
          <cell r="AA94">
            <v>0.2</v>
          </cell>
          <cell r="AF94">
            <v>-0.1</v>
          </cell>
          <cell r="AH94">
            <v>-0.1</v>
          </cell>
          <cell r="AI94">
            <v>0.1</v>
          </cell>
          <cell r="AJ94">
            <v>-0.1</v>
          </cell>
          <cell r="AK94">
            <v>-0.2</v>
          </cell>
          <cell r="AL94">
            <v>-0.1</v>
          </cell>
          <cell r="AN94">
            <v>-0.3</v>
          </cell>
          <cell r="AO94">
            <v>0</v>
          </cell>
          <cell r="AP94">
            <v>0</v>
          </cell>
          <cell r="AQ94">
            <v>0</v>
          </cell>
          <cell r="AR94">
            <v>0</v>
          </cell>
          <cell r="AV94">
            <v>0.1</v>
          </cell>
          <cell r="AW94">
            <v>-0.1</v>
          </cell>
          <cell r="AX94">
            <v>0</v>
          </cell>
          <cell r="AY94">
            <v>0</v>
          </cell>
          <cell r="AZ94">
            <v>0.1</v>
          </cell>
          <cell r="BA94">
            <v>0</v>
          </cell>
          <cell r="BB94">
            <v>0</v>
          </cell>
          <cell r="BC94">
            <v>-0.1</v>
          </cell>
          <cell r="BD94">
            <v>0.1</v>
          </cell>
          <cell r="BG94">
            <v>0</v>
          </cell>
          <cell r="BJ94">
            <v>0</v>
          </cell>
          <cell r="BM94">
            <v>0.1</v>
          </cell>
          <cell r="BP94">
            <v>0.2</v>
          </cell>
          <cell r="BQ94">
            <v>0.1</v>
          </cell>
          <cell r="BR94">
            <v>0.1</v>
          </cell>
          <cell r="BS94">
            <v>-0.1</v>
          </cell>
          <cell r="BT94">
            <v>0.1</v>
          </cell>
          <cell r="BU94">
            <v>0</v>
          </cell>
          <cell r="BV94">
            <v>0</v>
          </cell>
          <cell r="BW94">
            <v>0.1</v>
          </cell>
          <cell r="BX94">
            <v>0</v>
          </cell>
          <cell r="BY94">
            <v>-0.3</v>
          </cell>
          <cell r="BZ94">
            <v>0.3</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row>
        <row r="95">
          <cell r="D95">
            <v>1384</v>
          </cell>
          <cell r="G95">
            <v>5835</v>
          </cell>
          <cell r="J95">
            <v>2996</v>
          </cell>
          <cell r="M95">
            <v>4707</v>
          </cell>
          <cell r="N95">
            <v>3001</v>
          </cell>
          <cell r="O95">
            <v>8939</v>
          </cell>
          <cell r="P95">
            <v>9052</v>
          </cell>
          <cell r="Q95">
            <v>6559</v>
          </cell>
          <cell r="R95">
            <v>1002</v>
          </cell>
          <cell r="S95">
            <v>3123</v>
          </cell>
          <cell r="T95">
            <v>13963</v>
          </cell>
          <cell r="U95">
            <v>124344</v>
          </cell>
          <cell r="V95">
            <v>12396</v>
          </cell>
          <cell r="W95">
            <v>3176</v>
          </cell>
          <cell r="X95">
            <v>135194</v>
          </cell>
          <cell r="Y95">
            <v>-0.4</v>
          </cell>
          <cell r="Z95">
            <v>0</v>
          </cell>
          <cell r="AA95">
            <v>-0.4</v>
          </cell>
          <cell r="AF95">
            <v>0.2</v>
          </cell>
          <cell r="AH95">
            <v>0.3</v>
          </cell>
          <cell r="AI95">
            <v>0</v>
          </cell>
          <cell r="AJ95">
            <v>0</v>
          </cell>
          <cell r="AK95">
            <v>0</v>
          </cell>
          <cell r="AL95">
            <v>0</v>
          </cell>
          <cell r="AN95">
            <v>0.1</v>
          </cell>
          <cell r="AO95">
            <v>0</v>
          </cell>
          <cell r="AP95">
            <v>0</v>
          </cell>
          <cell r="AQ95">
            <v>0</v>
          </cell>
          <cell r="AR95">
            <v>0.1</v>
          </cell>
          <cell r="AV95">
            <v>0.4</v>
          </cell>
          <cell r="AW95">
            <v>0.1</v>
          </cell>
          <cell r="AX95">
            <v>0.2</v>
          </cell>
          <cell r="AY95">
            <v>0</v>
          </cell>
          <cell r="AZ95">
            <v>0.2</v>
          </cell>
          <cell r="BA95">
            <v>0</v>
          </cell>
          <cell r="BB95">
            <v>0</v>
          </cell>
          <cell r="BC95">
            <v>0.1</v>
          </cell>
          <cell r="BD95">
            <v>0.3</v>
          </cell>
          <cell r="BG95">
            <v>0</v>
          </cell>
          <cell r="BJ95">
            <v>-0.1</v>
          </cell>
          <cell r="BM95">
            <v>0</v>
          </cell>
          <cell r="BP95">
            <v>0</v>
          </cell>
          <cell r="BQ95">
            <v>0</v>
          </cell>
          <cell r="BR95">
            <v>0</v>
          </cell>
          <cell r="BS95">
            <v>0.2</v>
          </cell>
          <cell r="BT95">
            <v>0</v>
          </cell>
          <cell r="BU95">
            <v>0</v>
          </cell>
          <cell r="BV95">
            <v>0</v>
          </cell>
          <cell r="BW95">
            <v>0.1</v>
          </cell>
          <cell r="BX95">
            <v>1.5</v>
          </cell>
          <cell r="BY95">
            <v>0.6</v>
          </cell>
          <cell r="BZ95">
            <v>0.5</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row>
        <row r="96">
          <cell r="D96">
            <v>1456</v>
          </cell>
          <cell r="G96">
            <v>6105</v>
          </cell>
          <cell r="J96">
            <v>3047</v>
          </cell>
          <cell r="M96">
            <v>4786</v>
          </cell>
          <cell r="N96">
            <v>3052</v>
          </cell>
          <cell r="O96">
            <v>9119</v>
          </cell>
          <cell r="P96">
            <v>9149</v>
          </cell>
          <cell r="Q96">
            <v>6455</v>
          </cell>
          <cell r="R96">
            <v>1028</v>
          </cell>
          <cell r="S96">
            <v>3119</v>
          </cell>
          <cell r="T96">
            <v>14153</v>
          </cell>
          <cell r="U96">
            <v>133051</v>
          </cell>
          <cell r="V96">
            <v>12699</v>
          </cell>
          <cell r="W96">
            <v>3537</v>
          </cell>
          <cell r="X96">
            <v>152000</v>
          </cell>
          <cell r="Y96">
            <v>-0.1</v>
          </cell>
          <cell r="Z96">
            <v>0</v>
          </cell>
          <cell r="AA96">
            <v>-0.1</v>
          </cell>
          <cell r="AF96">
            <v>0</v>
          </cell>
          <cell r="AH96">
            <v>0</v>
          </cell>
          <cell r="AI96">
            <v>0.1</v>
          </cell>
          <cell r="AJ96">
            <v>0</v>
          </cell>
          <cell r="AK96">
            <v>0.1</v>
          </cell>
          <cell r="AL96">
            <v>0</v>
          </cell>
          <cell r="AN96">
            <v>0.4</v>
          </cell>
          <cell r="AO96">
            <v>0.1</v>
          </cell>
          <cell r="AP96">
            <v>0</v>
          </cell>
          <cell r="AQ96">
            <v>0</v>
          </cell>
          <cell r="AR96">
            <v>0.1</v>
          </cell>
          <cell r="AV96">
            <v>0.1</v>
          </cell>
          <cell r="AW96">
            <v>0</v>
          </cell>
          <cell r="AX96">
            <v>0.1</v>
          </cell>
          <cell r="AY96">
            <v>0</v>
          </cell>
          <cell r="AZ96">
            <v>0</v>
          </cell>
          <cell r="BA96">
            <v>0</v>
          </cell>
          <cell r="BB96">
            <v>0</v>
          </cell>
          <cell r="BC96">
            <v>0</v>
          </cell>
          <cell r="BD96">
            <v>0</v>
          </cell>
          <cell r="BG96">
            <v>0</v>
          </cell>
          <cell r="BJ96">
            <v>0.3</v>
          </cell>
          <cell r="BM96">
            <v>0.1</v>
          </cell>
          <cell r="BP96">
            <v>0.1</v>
          </cell>
          <cell r="BQ96">
            <v>0.1</v>
          </cell>
          <cell r="BR96">
            <v>0.2</v>
          </cell>
          <cell r="BS96">
            <v>0.1</v>
          </cell>
          <cell r="BT96">
            <v>0</v>
          </cell>
          <cell r="BU96">
            <v>0</v>
          </cell>
          <cell r="BV96">
            <v>0</v>
          </cell>
          <cell r="BW96">
            <v>0.1</v>
          </cell>
          <cell r="BX96">
            <v>1.5</v>
          </cell>
          <cell r="BY96">
            <v>-0.4</v>
          </cell>
          <cell r="BZ96">
            <v>1.7</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row>
        <row r="97">
          <cell r="D97">
            <v>1410</v>
          </cell>
          <cell r="G97">
            <v>6512</v>
          </cell>
          <cell r="J97">
            <v>3164</v>
          </cell>
          <cell r="M97">
            <v>4970</v>
          </cell>
          <cell r="N97">
            <v>3169</v>
          </cell>
          <cell r="O97">
            <v>9105</v>
          </cell>
          <cell r="P97">
            <v>8469</v>
          </cell>
          <cell r="Q97">
            <v>6604</v>
          </cell>
          <cell r="R97">
            <v>1025</v>
          </cell>
          <cell r="S97">
            <v>3071</v>
          </cell>
          <cell r="T97">
            <v>14353</v>
          </cell>
          <cell r="U97">
            <v>120542</v>
          </cell>
          <cell r="V97">
            <v>12264</v>
          </cell>
          <cell r="W97">
            <v>2115</v>
          </cell>
          <cell r="X97">
            <v>130909</v>
          </cell>
          <cell r="Y97">
            <v>-0.1</v>
          </cell>
          <cell r="Z97">
            <v>0</v>
          </cell>
          <cell r="AA97">
            <v>-0.1</v>
          </cell>
          <cell r="AF97">
            <v>0.2</v>
          </cell>
          <cell r="AH97">
            <v>0.2</v>
          </cell>
          <cell r="AI97">
            <v>-0.1</v>
          </cell>
          <cell r="AJ97">
            <v>0.1</v>
          </cell>
          <cell r="AK97">
            <v>0</v>
          </cell>
          <cell r="AL97">
            <v>0</v>
          </cell>
          <cell r="AN97">
            <v>0</v>
          </cell>
          <cell r="AO97">
            <v>0</v>
          </cell>
          <cell r="AP97">
            <v>0</v>
          </cell>
          <cell r="AQ97">
            <v>-0.1</v>
          </cell>
          <cell r="AR97">
            <v>0</v>
          </cell>
          <cell r="AV97">
            <v>-0.1</v>
          </cell>
          <cell r="AW97">
            <v>-0.1</v>
          </cell>
          <cell r="AX97">
            <v>0</v>
          </cell>
          <cell r="AY97">
            <v>0</v>
          </cell>
          <cell r="AZ97">
            <v>0</v>
          </cell>
          <cell r="BA97">
            <v>0</v>
          </cell>
          <cell r="BB97">
            <v>0</v>
          </cell>
          <cell r="BC97">
            <v>0</v>
          </cell>
          <cell r="BD97">
            <v>-0.1</v>
          </cell>
          <cell r="BG97">
            <v>0</v>
          </cell>
          <cell r="BJ97">
            <v>0.2</v>
          </cell>
          <cell r="BM97">
            <v>0.1</v>
          </cell>
          <cell r="BP97">
            <v>0.1</v>
          </cell>
          <cell r="BQ97">
            <v>0.1</v>
          </cell>
          <cell r="BR97">
            <v>0.1</v>
          </cell>
          <cell r="BS97">
            <v>-0.1</v>
          </cell>
          <cell r="BT97">
            <v>0.1</v>
          </cell>
          <cell r="BU97">
            <v>0</v>
          </cell>
          <cell r="BV97">
            <v>0</v>
          </cell>
          <cell r="BW97">
            <v>0.1</v>
          </cell>
          <cell r="BX97">
            <v>0.3</v>
          </cell>
          <cell r="BY97">
            <v>0.4</v>
          </cell>
          <cell r="BZ97">
            <v>0.4</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row>
        <row r="98">
          <cell r="D98">
            <v>1467</v>
          </cell>
          <cell r="G98">
            <v>6540</v>
          </cell>
          <cell r="J98">
            <v>3205</v>
          </cell>
          <cell r="M98">
            <v>5035</v>
          </cell>
          <cell r="N98">
            <v>3210</v>
          </cell>
          <cell r="O98">
            <v>9183</v>
          </cell>
          <cell r="P98">
            <v>8360</v>
          </cell>
          <cell r="Q98">
            <v>6339</v>
          </cell>
          <cell r="R98">
            <v>1039</v>
          </cell>
          <cell r="S98">
            <v>3121</v>
          </cell>
          <cell r="T98">
            <v>14536</v>
          </cell>
          <cell r="U98">
            <v>123759</v>
          </cell>
          <cell r="V98">
            <v>12020</v>
          </cell>
          <cell r="W98">
            <v>1933</v>
          </cell>
          <cell r="X98">
            <v>140172</v>
          </cell>
          <cell r="Y98">
            <v>0.1</v>
          </cell>
          <cell r="Z98">
            <v>0</v>
          </cell>
          <cell r="AA98">
            <v>0.1</v>
          </cell>
          <cell r="AF98">
            <v>-0.1</v>
          </cell>
          <cell r="AH98">
            <v>-0.2</v>
          </cell>
          <cell r="AI98">
            <v>-0.1</v>
          </cell>
          <cell r="AJ98">
            <v>0</v>
          </cell>
          <cell r="AK98">
            <v>0</v>
          </cell>
          <cell r="AL98">
            <v>0.1</v>
          </cell>
          <cell r="AN98">
            <v>-0.1</v>
          </cell>
          <cell r="AO98">
            <v>0</v>
          </cell>
          <cell r="AP98">
            <v>0</v>
          </cell>
          <cell r="AQ98">
            <v>0</v>
          </cell>
          <cell r="AR98">
            <v>0</v>
          </cell>
          <cell r="AV98">
            <v>-0.1</v>
          </cell>
          <cell r="AW98">
            <v>0</v>
          </cell>
          <cell r="AX98">
            <v>0.1</v>
          </cell>
          <cell r="AY98">
            <v>0</v>
          </cell>
          <cell r="AZ98">
            <v>0.1</v>
          </cell>
          <cell r="BA98">
            <v>0</v>
          </cell>
          <cell r="BB98">
            <v>0</v>
          </cell>
          <cell r="BC98">
            <v>-0.1</v>
          </cell>
          <cell r="BD98">
            <v>0</v>
          </cell>
          <cell r="BG98">
            <v>0</v>
          </cell>
          <cell r="BJ98">
            <v>0.1</v>
          </cell>
          <cell r="BM98">
            <v>0</v>
          </cell>
          <cell r="BP98">
            <v>0.1</v>
          </cell>
          <cell r="BQ98">
            <v>0</v>
          </cell>
          <cell r="BR98">
            <v>0</v>
          </cell>
          <cell r="BS98">
            <v>0</v>
          </cell>
          <cell r="BT98">
            <v>0</v>
          </cell>
          <cell r="BU98">
            <v>0</v>
          </cell>
          <cell r="BV98">
            <v>0</v>
          </cell>
          <cell r="BW98">
            <v>0.1</v>
          </cell>
          <cell r="BX98">
            <v>0.4</v>
          </cell>
          <cell r="BY98">
            <v>-0.1</v>
          </cell>
          <cell r="BZ98">
            <v>1.5</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-0.1</v>
          </cell>
        </row>
        <row r="99">
          <cell r="D99">
            <v>1534</v>
          </cell>
          <cell r="G99">
            <v>6348</v>
          </cell>
          <cell r="J99">
            <v>3295</v>
          </cell>
          <cell r="M99">
            <v>5176</v>
          </cell>
          <cell r="N99">
            <v>3301</v>
          </cell>
          <cell r="O99">
            <v>9557</v>
          </cell>
          <cell r="P99">
            <v>9133</v>
          </cell>
          <cell r="Q99">
            <v>6577</v>
          </cell>
          <cell r="R99">
            <v>1074</v>
          </cell>
          <cell r="S99">
            <v>3154</v>
          </cell>
          <cell r="T99">
            <v>14740</v>
          </cell>
          <cell r="U99">
            <v>128803</v>
          </cell>
          <cell r="V99">
            <v>12415</v>
          </cell>
          <cell r="W99">
            <v>1307</v>
          </cell>
          <cell r="X99">
            <v>142314</v>
          </cell>
          <cell r="Y99">
            <v>0.4</v>
          </cell>
          <cell r="Z99">
            <v>0</v>
          </cell>
          <cell r="AA99">
            <v>0.4</v>
          </cell>
          <cell r="AF99">
            <v>-0.1</v>
          </cell>
          <cell r="AH99">
            <v>-0.2</v>
          </cell>
          <cell r="AI99">
            <v>0.1</v>
          </cell>
          <cell r="AJ99">
            <v>0</v>
          </cell>
          <cell r="AK99">
            <v>0</v>
          </cell>
          <cell r="AL99">
            <v>0</v>
          </cell>
          <cell r="AN99">
            <v>0.2</v>
          </cell>
          <cell r="AO99">
            <v>0</v>
          </cell>
          <cell r="AP99">
            <v>0</v>
          </cell>
          <cell r="AQ99">
            <v>0</v>
          </cell>
          <cell r="AR99">
            <v>0.1</v>
          </cell>
          <cell r="AV99">
            <v>0.5</v>
          </cell>
          <cell r="AW99">
            <v>0.1</v>
          </cell>
          <cell r="AX99">
            <v>0</v>
          </cell>
          <cell r="AY99">
            <v>0</v>
          </cell>
          <cell r="AZ99">
            <v>0</v>
          </cell>
          <cell r="BA99">
            <v>0</v>
          </cell>
          <cell r="BB99">
            <v>0</v>
          </cell>
          <cell r="BC99">
            <v>-0.1</v>
          </cell>
          <cell r="BD99">
            <v>-0.1</v>
          </cell>
          <cell r="BG99">
            <v>0</v>
          </cell>
          <cell r="BJ99">
            <v>-0.1</v>
          </cell>
          <cell r="BM99">
            <v>0</v>
          </cell>
          <cell r="BP99">
            <v>0.1</v>
          </cell>
          <cell r="BQ99">
            <v>0</v>
          </cell>
          <cell r="BR99">
            <v>0.2</v>
          </cell>
          <cell r="BS99">
            <v>0</v>
          </cell>
          <cell r="BT99">
            <v>0</v>
          </cell>
          <cell r="BU99">
            <v>0</v>
          </cell>
          <cell r="BV99">
            <v>0</v>
          </cell>
          <cell r="BW99">
            <v>0.1</v>
          </cell>
          <cell r="BX99">
            <v>1.5</v>
          </cell>
          <cell r="BY99">
            <v>0.1</v>
          </cell>
          <cell r="BZ99">
            <v>2</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row>
        <row r="100">
          <cell r="D100">
            <v>1584</v>
          </cell>
          <cell r="G100">
            <v>5940</v>
          </cell>
          <cell r="J100">
            <v>3337</v>
          </cell>
          <cell r="M100">
            <v>5242</v>
          </cell>
          <cell r="N100">
            <v>3342</v>
          </cell>
          <cell r="O100">
            <v>9229</v>
          </cell>
          <cell r="P100">
            <v>9250</v>
          </cell>
          <cell r="Q100">
            <v>6539</v>
          </cell>
          <cell r="R100">
            <v>1100</v>
          </cell>
          <cell r="S100">
            <v>3165</v>
          </cell>
          <cell r="T100">
            <v>14789</v>
          </cell>
          <cell r="U100">
            <v>139396</v>
          </cell>
          <cell r="V100">
            <v>13818</v>
          </cell>
          <cell r="W100">
            <v>-498</v>
          </cell>
          <cell r="X100">
            <v>158949</v>
          </cell>
          <cell r="Y100">
            <v>0.1</v>
          </cell>
          <cell r="Z100">
            <v>0</v>
          </cell>
          <cell r="AA100">
            <v>0.1</v>
          </cell>
          <cell r="AF100">
            <v>0.2</v>
          </cell>
          <cell r="AH100">
            <v>0.2</v>
          </cell>
          <cell r="AI100">
            <v>0.1</v>
          </cell>
          <cell r="AJ100">
            <v>0.1</v>
          </cell>
          <cell r="AK100">
            <v>-0.1</v>
          </cell>
          <cell r="AL100">
            <v>0</v>
          </cell>
          <cell r="AN100">
            <v>0.2</v>
          </cell>
          <cell r="AO100">
            <v>0</v>
          </cell>
          <cell r="AP100">
            <v>0</v>
          </cell>
          <cell r="AQ100">
            <v>0</v>
          </cell>
          <cell r="AR100">
            <v>0</v>
          </cell>
          <cell r="AV100">
            <v>0</v>
          </cell>
          <cell r="AW100">
            <v>0.1</v>
          </cell>
          <cell r="AX100">
            <v>0</v>
          </cell>
          <cell r="AY100">
            <v>0</v>
          </cell>
          <cell r="AZ100">
            <v>0</v>
          </cell>
          <cell r="BA100">
            <v>0</v>
          </cell>
          <cell r="BB100">
            <v>0</v>
          </cell>
          <cell r="BC100">
            <v>0.1</v>
          </cell>
          <cell r="BD100">
            <v>0.1</v>
          </cell>
          <cell r="BG100">
            <v>0</v>
          </cell>
          <cell r="BJ100">
            <v>-0.2</v>
          </cell>
          <cell r="BM100">
            <v>0.1</v>
          </cell>
          <cell r="BP100">
            <v>0.1</v>
          </cell>
          <cell r="BQ100">
            <v>0.1</v>
          </cell>
          <cell r="BR100">
            <v>-0.2</v>
          </cell>
          <cell r="BS100">
            <v>0.1</v>
          </cell>
          <cell r="BT100">
            <v>0</v>
          </cell>
          <cell r="BU100">
            <v>0</v>
          </cell>
          <cell r="BV100">
            <v>0</v>
          </cell>
          <cell r="BW100">
            <v>0</v>
          </cell>
          <cell r="BX100">
            <v>1</v>
          </cell>
          <cell r="BY100">
            <v>0.4</v>
          </cell>
          <cell r="BZ100">
            <v>-0.4</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row>
        <row r="101">
          <cell r="D101">
            <v>1510</v>
          </cell>
          <cell r="G101">
            <v>6446</v>
          </cell>
          <cell r="J101">
            <v>3479</v>
          </cell>
          <cell r="M101">
            <v>5465</v>
          </cell>
          <cell r="N101">
            <v>3485</v>
          </cell>
          <cell r="O101">
            <v>9202</v>
          </cell>
          <cell r="P101">
            <v>8433</v>
          </cell>
          <cell r="Q101">
            <v>6759</v>
          </cell>
          <cell r="R101">
            <v>1105</v>
          </cell>
          <cell r="S101">
            <v>3167</v>
          </cell>
          <cell r="T101">
            <v>14880</v>
          </cell>
          <cell r="U101">
            <v>124842</v>
          </cell>
          <cell r="V101">
            <v>12641</v>
          </cell>
          <cell r="W101">
            <v>-796</v>
          </cell>
          <cell r="X101">
            <v>133807</v>
          </cell>
          <cell r="Y101">
            <v>0.1</v>
          </cell>
          <cell r="Z101">
            <v>0</v>
          </cell>
          <cell r="AA101">
            <v>0.1</v>
          </cell>
          <cell r="AF101">
            <v>-0.1</v>
          </cell>
          <cell r="AH101">
            <v>-0.1</v>
          </cell>
          <cell r="AI101">
            <v>0</v>
          </cell>
          <cell r="AJ101">
            <v>-0.1</v>
          </cell>
          <cell r="AK101">
            <v>0</v>
          </cell>
          <cell r="AL101">
            <v>0</v>
          </cell>
          <cell r="AN101">
            <v>-0.1</v>
          </cell>
          <cell r="AO101">
            <v>0</v>
          </cell>
          <cell r="AP101">
            <v>0</v>
          </cell>
          <cell r="AQ101">
            <v>0.1</v>
          </cell>
          <cell r="AR101">
            <v>0.1</v>
          </cell>
          <cell r="AV101">
            <v>0.1</v>
          </cell>
          <cell r="AW101">
            <v>0.1</v>
          </cell>
          <cell r="AX101">
            <v>0</v>
          </cell>
          <cell r="AY101">
            <v>0</v>
          </cell>
          <cell r="AZ101">
            <v>0</v>
          </cell>
          <cell r="BA101">
            <v>0</v>
          </cell>
          <cell r="BB101">
            <v>0</v>
          </cell>
          <cell r="BC101">
            <v>0.1</v>
          </cell>
          <cell r="BD101">
            <v>0.1</v>
          </cell>
          <cell r="BG101">
            <v>0</v>
          </cell>
          <cell r="BJ101">
            <v>0.2</v>
          </cell>
          <cell r="BM101">
            <v>0.1</v>
          </cell>
          <cell r="BP101">
            <v>0.1</v>
          </cell>
          <cell r="BQ101">
            <v>0.1</v>
          </cell>
          <cell r="BR101">
            <v>0.1</v>
          </cell>
          <cell r="BS101">
            <v>-0.1</v>
          </cell>
          <cell r="BT101">
            <v>0.2</v>
          </cell>
          <cell r="BU101">
            <v>0</v>
          </cell>
          <cell r="BV101">
            <v>0</v>
          </cell>
          <cell r="BW101">
            <v>0.1</v>
          </cell>
          <cell r="BX101">
            <v>0.8</v>
          </cell>
          <cell r="BY101">
            <v>-0.1</v>
          </cell>
          <cell r="BZ101">
            <v>-0.8</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row>
        <row r="102">
          <cell r="D102">
            <v>1544</v>
          </cell>
          <cell r="G102">
            <v>6390</v>
          </cell>
          <cell r="J102">
            <v>3379</v>
          </cell>
          <cell r="M102">
            <v>5308</v>
          </cell>
          <cell r="N102">
            <v>3385</v>
          </cell>
          <cell r="O102">
            <v>9100</v>
          </cell>
          <cell r="P102">
            <v>8448</v>
          </cell>
          <cell r="Q102">
            <v>6510</v>
          </cell>
          <cell r="R102">
            <v>1062</v>
          </cell>
          <cell r="S102">
            <v>3188</v>
          </cell>
          <cell r="T102">
            <v>14965</v>
          </cell>
          <cell r="U102">
            <v>128174</v>
          </cell>
          <cell r="V102">
            <v>12676</v>
          </cell>
          <cell r="W102">
            <v>48</v>
          </cell>
          <cell r="X102">
            <v>141789</v>
          </cell>
          <cell r="Y102">
            <v>0</v>
          </cell>
          <cell r="Z102">
            <v>0</v>
          </cell>
          <cell r="AA102">
            <v>0</v>
          </cell>
          <cell r="AF102">
            <v>0.2</v>
          </cell>
          <cell r="AH102">
            <v>0.3</v>
          </cell>
          <cell r="AI102">
            <v>0.1</v>
          </cell>
          <cell r="AJ102">
            <v>0.1</v>
          </cell>
          <cell r="AK102">
            <v>0</v>
          </cell>
          <cell r="AL102">
            <v>0</v>
          </cell>
          <cell r="AN102">
            <v>0</v>
          </cell>
          <cell r="AO102">
            <v>0</v>
          </cell>
          <cell r="AP102">
            <v>0</v>
          </cell>
          <cell r="AQ102">
            <v>0.1</v>
          </cell>
          <cell r="AR102">
            <v>0.1</v>
          </cell>
          <cell r="AV102">
            <v>-0.4</v>
          </cell>
          <cell r="AW102">
            <v>-0.1</v>
          </cell>
          <cell r="AX102">
            <v>0.1</v>
          </cell>
          <cell r="AY102">
            <v>0</v>
          </cell>
          <cell r="AZ102">
            <v>0</v>
          </cell>
          <cell r="BA102">
            <v>0</v>
          </cell>
          <cell r="BB102">
            <v>0</v>
          </cell>
          <cell r="BC102">
            <v>0.1</v>
          </cell>
          <cell r="BD102">
            <v>0.1</v>
          </cell>
          <cell r="BG102">
            <v>0</v>
          </cell>
          <cell r="BJ102">
            <v>0</v>
          </cell>
          <cell r="BM102">
            <v>-0.1</v>
          </cell>
          <cell r="BP102">
            <v>-0.1</v>
          </cell>
          <cell r="BQ102">
            <v>-0.1</v>
          </cell>
          <cell r="BR102">
            <v>-0.1</v>
          </cell>
          <cell r="BS102">
            <v>0</v>
          </cell>
          <cell r="BT102">
            <v>0</v>
          </cell>
          <cell r="BU102">
            <v>0</v>
          </cell>
          <cell r="BV102">
            <v>0</v>
          </cell>
          <cell r="BW102">
            <v>0.1</v>
          </cell>
          <cell r="BX102">
            <v>0.2</v>
          </cell>
          <cell r="BY102">
            <v>0.1</v>
          </cell>
          <cell r="BZ102">
            <v>1</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0.1</v>
          </cell>
        </row>
        <row r="103">
          <cell r="D103">
            <v>1586</v>
          </cell>
          <cell r="G103">
            <v>6378</v>
          </cell>
          <cell r="J103">
            <v>3452</v>
          </cell>
          <cell r="M103">
            <v>5423</v>
          </cell>
          <cell r="N103">
            <v>3458</v>
          </cell>
          <cell r="O103">
            <v>9054</v>
          </cell>
          <cell r="P103">
            <v>9174</v>
          </cell>
          <cell r="Q103">
            <v>6953</v>
          </cell>
          <cell r="R103">
            <v>1079</v>
          </cell>
          <cell r="S103">
            <v>3257</v>
          </cell>
          <cell r="T103">
            <v>15056</v>
          </cell>
          <cell r="U103">
            <v>130244</v>
          </cell>
          <cell r="V103">
            <v>12189</v>
          </cell>
          <cell r="W103">
            <v>1501</v>
          </cell>
          <cell r="X103">
            <v>141269</v>
          </cell>
          <cell r="Y103">
            <v>-0.6</v>
          </cell>
          <cell r="Z103">
            <v>0</v>
          </cell>
          <cell r="AA103">
            <v>-0.6</v>
          </cell>
          <cell r="AF103">
            <v>-0.2</v>
          </cell>
          <cell r="AH103">
            <v>-0.2</v>
          </cell>
          <cell r="AI103">
            <v>0</v>
          </cell>
          <cell r="AJ103">
            <v>-0.1</v>
          </cell>
          <cell r="AK103">
            <v>-0.1</v>
          </cell>
          <cell r="AL103">
            <v>0</v>
          </cell>
          <cell r="AN103">
            <v>-0.3</v>
          </cell>
          <cell r="AO103">
            <v>0</v>
          </cell>
          <cell r="AP103">
            <v>0</v>
          </cell>
          <cell r="AQ103">
            <v>0</v>
          </cell>
          <cell r="AR103">
            <v>0</v>
          </cell>
          <cell r="AV103">
            <v>-0.1</v>
          </cell>
          <cell r="AW103">
            <v>-0.2</v>
          </cell>
          <cell r="AX103">
            <v>-0.1</v>
          </cell>
          <cell r="AY103">
            <v>0</v>
          </cell>
          <cell r="AZ103">
            <v>-0.1</v>
          </cell>
          <cell r="BA103">
            <v>0</v>
          </cell>
          <cell r="BB103">
            <v>0</v>
          </cell>
          <cell r="BC103">
            <v>-0.2</v>
          </cell>
          <cell r="BD103">
            <v>-0.3</v>
          </cell>
          <cell r="BG103">
            <v>0</v>
          </cell>
          <cell r="BJ103">
            <v>0</v>
          </cell>
          <cell r="BM103">
            <v>0</v>
          </cell>
          <cell r="BP103">
            <v>0</v>
          </cell>
          <cell r="BQ103">
            <v>0</v>
          </cell>
          <cell r="BR103">
            <v>-0.1</v>
          </cell>
          <cell r="BS103">
            <v>-0.1</v>
          </cell>
          <cell r="BT103">
            <v>0.1</v>
          </cell>
          <cell r="BU103">
            <v>0</v>
          </cell>
          <cell r="BV103">
            <v>0</v>
          </cell>
          <cell r="BW103">
            <v>0.1</v>
          </cell>
          <cell r="BX103">
            <v>-1.9</v>
          </cell>
          <cell r="BY103">
            <v>-0.5</v>
          </cell>
          <cell r="BZ103">
            <v>-0.7</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row>
        <row r="104">
          <cell r="D104">
            <v>1693</v>
          </cell>
          <cell r="G104">
            <v>6169</v>
          </cell>
          <cell r="J104">
            <v>3290</v>
          </cell>
          <cell r="M104">
            <v>5169</v>
          </cell>
          <cell r="N104">
            <v>3296</v>
          </cell>
          <cell r="O104">
            <v>9229</v>
          </cell>
          <cell r="P104">
            <v>8951</v>
          </cell>
          <cell r="Q104">
            <v>6883</v>
          </cell>
          <cell r="R104">
            <v>1107</v>
          </cell>
          <cell r="S104">
            <v>3263</v>
          </cell>
          <cell r="T104">
            <v>15144</v>
          </cell>
          <cell r="U104">
            <v>131947</v>
          </cell>
          <cell r="V104">
            <v>12899</v>
          </cell>
          <cell r="W104">
            <v>2173</v>
          </cell>
          <cell r="X104">
            <v>153439</v>
          </cell>
          <cell r="Y104">
            <v>-0.1</v>
          </cell>
          <cell r="Z104">
            <v>0</v>
          </cell>
          <cell r="AA104">
            <v>-0.1</v>
          </cell>
          <cell r="AF104">
            <v>0.1</v>
          </cell>
          <cell r="AH104">
            <v>0.1</v>
          </cell>
          <cell r="AI104">
            <v>-0.1</v>
          </cell>
          <cell r="AJ104">
            <v>-0.1</v>
          </cell>
          <cell r="AK104">
            <v>-0.3</v>
          </cell>
          <cell r="AL104">
            <v>-0.4</v>
          </cell>
          <cell r="AN104">
            <v>-1</v>
          </cell>
          <cell r="AO104">
            <v>0</v>
          </cell>
          <cell r="AP104">
            <v>0</v>
          </cell>
          <cell r="AQ104">
            <v>0</v>
          </cell>
          <cell r="AR104">
            <v>0</v>
          </cell>
          <cell r="AV104">
            <v>-0.5</v>
          </cell>
          <cell r="AW104">
            <v>-0.1</v>
          </cell>
          <cell r="AX104">
            <v>0.1</v>
          </cell>
          <cell r="AY104">
            <v>0</v>
          </cell>
          <cell r="AZ104">
            <v>0</v>
          </cell>
          <cell r="BA104">
            <v>0</v>
          </cell>
          <cell r="BB104">
            <v>0</v>
          </cell>
          <cell r="BC104">
            <v>-0.1</v>
          </cell>
          <cell r="BD104">
            <v>-0.1</v>
          </cell>
          <cell r="BG104">
            <v>0</v>
          </cell>
          <cell r="BJ104">
            <v>-0.1</v>
          </cell>
          <cell r="BM104">
            <v>-0.1</v>
          </cell>
          <cell r="BP104">
            <v>-0.1</v>
          </cell>
          <cell r="BQ104">
            <v>-0.1</v>
          </cell>
          <cell r="BR104">
            <v>0.1</v>
          </cell>
          <cell r="BS104">
            <v>-0.1</v>
          </cell>
          <cell r="BT104">
            <v>0</v>
          </cell>
          <cell r="BU104">
            <v>0</v>
          </cell>
          <cell r="BV104">
            <v>0</v>
          </cell>
          <cell r="BW104">
            <v>0.1</v>
          </cell>
          <cell r="BX104">
            <v>-2.2999999999999998</v>
          </cell>
          <cell r="BY104">
            <v>-0.1</v>
          </cell>
          <cell r="BZ104">
            <v>-1.6</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row>
        <row r="105">
          <cell r="D105">
            <v>1576</v>
          </cell>
          <cell r="G105">
            <v>6454</v>
          </cell>
          <cell r="J105">
            <v>3238</v>
          </cell>
          <cell r="M105">
            <v>5087</v>
          </cell>
          <cell r="N105">
            <v>3244</v>
          </cell>
          <cell r="O105">
            <v>9155</v>
          </cell>
          <cell r="P105">
            <v>8216</v>
          </cell>
          <cell r="Q105">
            <v>6771</v>
          </cell>
          <cell r="R105">
            <v>1112</v>
          </cell>
          <cell r="S105">
            <v>3188</v>
          </cell>
          <cell r="T105">
            <v>15225</v>
          </cell>
          <cell r="U105">
            <v>118248</v>
          </cell>
          <cell r="V105">
            <v>11393</v>
          </cell>
          <cell r="W105">
            <v>1959</v>
          </cell>
          <cell r="X105">
            <v>131153</v>
          </cell>
          <cell r="Y105">
            <v>-0.1</v>
          </cell>
          <cell r="Z105">
            <v>0</v>
          </cell>
          <cell r="AA105">
            <v>-0.1</v>
          </cell>
          <cell r="AF105">
            <v>0</v>
          </cell>
          <cell r="AH105">
            <v>0</v>
          </cell>
          <cell r="AI105">
            <v>0</v>
          </cell>
          <cell r="AJ105">
            <v>-0.1</v>
          </cell>
          <cell r="AK105">
            <v>0</v>
          </cell>
          <cell r="AL105">
            <v>-0.1</v>
          </cell>
          <cell r="AN105">
            <v>-0.3</v>
          </cell>
          <cell r="AO105">
            <v>0</v>
          </cell>
          <cell r="AP105">
            <v>0</v>
          </cell>
          <cell r="AQ105">
            <v>-0.1</v>
          </cell>
          <cell r="AR105">
            <v>-0.1</v>
          </cell>
          <cell r="AV105">
            <v>-0.3</v>
          </cell>
          <cell r="AW105">
            <v>-0.3</v>
          </cell>
          <cell r="AX105">
            <v>0</v>
          </cell>
          <cell r="AY105">
            <v>0</v>
          </cell>
          <cell r="AZ105">
            <v>0.1</v>
          </cell>
          <cell r="BA105">
            <v>0</v>
          </cell>
          <cell r="BB105">
            <v>0</v>
          </cell>
          <cell r="BC105">
            <v>0</v>
          </cell>
          <cell r="BD105">
            <v>0.2</v>
          </cell>
          <cell r="BG105">
            <v>0</v>
          </cell>
          <cell r="BJ105">
            <v>0</v>
          </cell>
          <cell r="BM105">
            <v>-0.1</v>
          </cell>
          <cell r="BP105">
            <v>-0.1</v>
          </cell>
          <cell r="BQ105">
            <v>-0.1</v>
          </cell>
          <cell r="BR105">
            <v>0</v>
          </cell>
          <cell r="BS105">
            <v>0</v>
          </cell>
          <cell r="BT105">
            <v>-0.1</v>
          </cell>
          <cell r="BU105">
            <v>0</v>
          </cell>
          <cell r="BV105">
            <v>0</v>
          </cell>
          <cell r="BW105">
            <v>0.1</v>
          </cell>
          <cell r="BX105">
            <v>-1.2</v>
          </cell>
          <cell r="BY105">
            <v>-0.4</v>
          </cell>
          <cell r="BZ105">
            <v>-1</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row>
        <row r="106">
          <cell r="D106">
            <v>1589</v>
          </cell>
          <cell r="G106">
            <v>6515</v>
          </cell>
          <cell r="J106">
            <v>3335</v>
          </cell>
          <cell r="M106">
            <v>5239</v>
          </cell>
          <cell r="N106">
            <v>3340</v>
          </cell>
          <cell r="O106">
            <v>9363</v>
          </cell>
          <cell r="P106">
            <v>8283</v>
          </cell>
          <cell r="Q106">
            <v>6632</v>
          </cell>
          <cell r="R106">
            <v>1081</v>
          </cell>
          <cell r="S106">
            <v>3191</v>
          </cell>
          <cell r="T106">
            <v>15288</v>
          </cell>
          <cell r="U106">
            <v>122876</v>
          </cell>
          <cell r="V106">
            <v>11720</v>
          </cell>
          <cell r="W106">
            <v>2773</v>
          </cell>
          <cell r="X106">
            <v>138188</v>
          </cell>
          <cell r="Y106">
            <v>-0.1</v>
          </cell>
          <cell r="Z106">
            <v>0</v>
          </cell>
          <cell r="AA106">
            <v>-0.1</v>
          </cell>
          <cell r="AF106">
            <v>0.1</v>
          </cell>
          <cell r="AH106">
            <v>0.2</v>
          </cell>
          <cell r="AI106">
            <v>0</v>
          </cell>
          <cell r="AJ106">
            <v>0.1</v>
          </cell>
          <cell r="AK106">
            <v>0.2</v>
          </cell>
          <cell r="AL106">
            <v>0</v>
          </cell>
          <cell r="AN106">
            <v>0.4</v>
          </cell>
          <cell r="AO106">
            <v>0</v>
          </cell>
          <cell r="AP106">
            <v>0</v>
          </cell>
          <cell r="AQ106">
            <v>0</v>
          </cell>
          <cell r="AR106">
            <v>0</v>
          </cell>
          <cell r="AV106">
            <v>0</v>
          </cell>
          <cell r="AW106">
            <v>0</v>
          </cell>
          <cell r="AX106">
            <v>0</v>
          </cell>
          <cell r="AY106">
            <v>0.1</v>
          </cell>
          <cell r="AZ106">
            <v>0</v>
          </cell>
          <cell r="BA106">
            <v>0</v>
          </cell>
          <cell r="BB106">
            <v>0</v>
          </cell>
          <cell r="BC106">
            <v>0</v>
          </cell>
          <cell r="BD106">
            <v>-0.1</v>
          </cell>
          <cell r="BG106">
            <v>0</v>
          </cell>
          <cell r="BJ106">
            <v>0.1</v>
          </cell>
          <cell r="BM106">
            <v>0.1</v>
          </cell>
          <cell r="BP106">
            <v>0.1</v>
          </cell>
          <cell r="BQ106">
            <v>0.1</v>
          </cell>
          <cell r="BR106">
            <v>0.1</v>
          </cell>
          <cell r="BS106">
            <v>0</v>
          </cell>
          <cell r="BT106">
            <v>0</v>
          </cell>
          <cell r="BU106">
            <v>0</v>
          </cell>
          <cell r="BV106">
            <v>0</v>
          </cell>
          <cell r="BW106">
            <v>0</v>
          </cell>
          <cell r="BX106">
            <v>1</v>
          </cell>
          <cell r="BY106">
            <v>0.3</v>
          </cell>
          <cell r="BZ106">
            <v>-0.2</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row>
        <row r="107">
          <cell r="D107">
            <v>1640</v>
          </cell>
          <cell r="G107">
            <v>6589</v>
          </cell>
          <cell r="J107">
            <v>3297</v>
          </cell>
          <cell r="M107">
            <v>5180</v>
          </cell>
          <cell r="N107">
            <v>3303</v>
          </cell>
          <cell r="O107">
            <v>9801</v>
          </cell>
          <cell r="P107">
            <v>9349</v>
          </cell>
          <cell r="Q107">
            <v>7051</v>
          </cell>
          <cell r="R107">
            <v>1112</v>
          </cell>
          <cell r="S107">
            <v>3267</v>
          </cell>
          <cell r="T107">
            <v>15368</v>
          </cell>
          <cell r="U107">
            <v>127857</v>
          </cell>
          <cell r="V107">
            <v>12399</v>
          </cell>
          <cell r="W107">
            <v>2032</v>
          </cell>
          <cell r="X107">
            <v>140178</v>
          </cell>
          <cell r="Y107">
            <v>1.5</v>
          </cell>
          <cell r="Z107">
            <v>0</v>
          </cell>
          <cell r="AA107">
            <v>1.5</v>
          </cell>
          <cell r="AF107">
            <v>0</v>
          </cell>
          <cell r="AH107">
            <v>0</v>
          </cell>
          <cell r="AI107">
            <v>0</v>
          </cell>
          <cell r="AJ107">
            <v>0</v>
          </cell>
          <cell r="AK107">
            <v>0</v>
          </cell>
          <cell r="AL107">
            <v>0.1</v>
          </cell>
          <cell r="AN107">
            <v>-0.1</v>
          </cell>
          <cell r="AO107">
            <v>0</v>
          </cell>
          <cell r="AP107">
            <v>0</v>
          </cell>
          <cell r="AQ107">
            <v>0</v>
          </cell>
          <cell r="AR107">
            <v>0.1</v>
          </cell>
          <cell r="AV107">
            <v>-0.1</v>
          </cell>
          <cell r="AW107">
            <v>0.2</v>
          </cell>
          <cell r="AX107">
            <v>0</v>
          </cell>
          <cell r="AY107">
            <v>0</v>
          </cell>
          <cell r="AZ107">
            <v>-0.1</v>
          </cell>
          <cell r="BA107">
            <v>0</v>
          </cell>
          <cell r="BB107">
            <v>0</v>
          </cell>
          <cell r="BC107">
            <v>0</v>
          </cell>
          <cell r="BD107">
            <v>0</v>
          </cell>
          <cell r="BG107">
            <v>0</v>
          </cell>
          <cell r="BJ107">
            <v>0.1</v>
          </cell>
          <cell r="BM107">
            <v>-0.1</v>
          </cell>
          <cell r="BP107">
            <v>-0.1</v>
          </cell>
          <cell r="BQ107">
            <v>-0.1</v>
          </cell>
          <cell r="BR107">
            <v>0.3</v>
          </cell>
          <cell r="BS107">
            <v>0.2</v>
          </cell>
          <cell r="BT107">
            <v>0.1</v>
          </cell>
          <cell r="BU107">
            <v>0</v>
          </cell>
          <cell r="BV107">
            <v>0</v>
          </cell>
          <cell r="BW107">
            <v>0.1</v>
          </cell>
          <cell r="BX107">
            <v>2.5</v>
          </cell>
          <cell r="BY107">
            <v>0.3</v>
          </cell>
          <cell r="BZ107">
            <v>2.8</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row>
        <row r="108">
          <cell r="D108">
            <v>1800</v>
          </cell>
          <cell r="G108">
            <v>6545</v>
          </cell>
          <cell r="J108">
            <v>3313</v>
          </cell>
          <cell r="M108">
            <v>5205</v>
          </cell>
          <cell r="N108">
            <v>3319</v>
          </cell>
          <cell r="O108">
            <v>9875</v>
          </cell>
          <cell r="P108">
            <v>9153</v>
          </cell>
          <cell r="Q108">
            <v>7148</v>
          </cell>
          <cell r="R108">
            <v>1153</v>
          </cell>
          <cell r="S108">
            <v>3307</v>
          </cell>
          <cell r="T108">
            <v>15452</v>
          </cell>
          <cell r="U108">
            <v>140406</v>
          </cell>
          <cell r="V108">
            <v>13364</v>
          </cell>
          <cell r="W108">
            <v>750</v>
          </cell>
          <cell r="X108">
            <v>159706</v>
          </cell>
          <cell r="Y108">
            <v>-0.1</v>
          </cell>
          <cell r="Z108">
            <v>0</v>
          </cell>
          <cell r="AA108">
            <v>-0.1</v>
          </cell>
          <cell r="AF108">
            <v>0</v>
          </cell>
          <cell r="AH108">
            <v>0</v>
          </cell>
          <cell r="AI108">
            <v>0</v>
          </cell>
          <cell r="AJ108">
            <v>0.1</v>
          </cell>
          <cell r="AK108">
            <v>0</v>
          </cell>
          <cell r="AL108">
            <v>0</v>
          </cell>
          <cell r="AN108">
            <v>0.2</v>
          </cell>
          <cell r="AO108">
            <v>0.1</v>
          </cell>
          <cell r="AP108">
            <v>0</v>
          </cell>
          <cell r="AQ108">
            <v>0</v>
          </cell>
          <cell r="AR108">
            <v>0.1</v>
          </cell>
          <cell r="AV108">
            <v>0.4</v>
          </cell>
          <cell r="AW108">
            <v>0.1</v>
          </cell>
          <cell r="AX108">
            <v>0.1</v>
          </cell>
          <cell r="AY108">
            <v>0</v>
          </cell>
          <cell r="AZ108">
            <v>0</v>
          </cell>
          <cell r="BA108">
            <v>0</v>
          </cell>
          <cell r="BB108">
            <v>0.1</v>
          </cell>
          <cell r="BC108">
            <v>0.2</v>
          </cell>
          <cell r="BD108">
            <v>0.1</v>
          </cell>
          <cell r="BG108">
            <v>0</v>
          </cell>
          <cell r="BJ108">
            <v>0.1</v>
          </cell>
          <cell r="BM108">
            <v>0.1</v>
          </cell>
          <cell r="BP108">
            <v>0.1</v>
          </cell>
          <cell r="BQ108">
            <v>0.1</v>
          </cell>
          <cell r="BR108">
            <v>0.1</v>
          </cell>
          <cell r="BS108">
            <v>-0.1</v>
          </cell>
          <cell r="BT108">
            <v>0.1</v>
          </cell>
          <cell r="BU108">
            <v>0</v>
          </cell>
          <cell r="BV108">
            <v>0</v>
          </cell>
          <cell r="BW108">
            <v>0.1</v>
          </cell>
          <cell r="BX108">
            <v>1.6</v>
          </cell>
          <cell r="BY108">
            <v>0.1</v>
          </cell>
          <cell r="BZ108">
            <v>1.7</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row>
        <row r="109">
          <cell r="D109">
            <v>1680</v>
          </cell>
          <cell r="G109">
            <v>6786</v>
          </cell>
          <cell r="J109">
            <v>3356</v>
          </cell>
          <cell r="M109">
            <v>5273</v>
          </cell>
          <cell r="N109">
            <v>3362</v>
          </cell>
          <cell r="O109">
            <v>9930</v>
          </cell>
          <cell r="P109">
            <v>8493</v>
          </cell>
          <cell r="Q109">
            <v>7126</v>
          </cell>
          <cell r="R109">
            <v>1195</v>
          </cell>
          <cell r="S109">
            <v>3260</v>
          </cell>
          <cell r="T109">
            <v>15537</v>
          </cell>
          <cell r="U109">
            <v>128246</v>
          </cell>
          <cell r="V109">
            <v>12821</v>
          </cell>
          <cell r="W109">
            <v>2209</v>
          </cell>
          <cell r="X109">
            <v>142107</v>
          </cell>
          <cell r="Y109">
            <v>-0.1</v>
          </cell>
          <cell r="Z109">
            <v>0</v>
          </cell>
          <cell r="AA109">
            <v>-0.1</v>
          </cell>
          <cell r="AF109">
            <v>0.2</v>
          </cell>
          <cell r="AH109">
            <v>0.2</v>
          </cell>
          <cell r="AI109">
            <v>0.1</v>
          </cell>
          <cell r="AJ109">
            <v>0.2</v>
          </cell>
          <cell r="AK109">
            <v>0.1</v>
          </cell>
          <cell r="AL109">
            <v>0</v>
          </cell>
          <cell r="AN109">
            <v>0.3</v>
          </cell>
          <cell r="AO109">
            <v>0</v>
          </cell>
          <cell r="AP109">
            <v>0</v>
          </cell>
          <cell r="AQ109">
            <v>0</v>
          </cell>
          <cell r="AR109">
            <v>0.1</v>
          </cell>
          <cell r="AV109">
            <v>-0.1</v>
          </cell>
          <cell r="AW109">
            <v>0.1</v>
          </cell>
          <cell r="AX109">
            <v>0.1</v>
          </cell>
          <cell r="AY109">
            <v>-0.1</v>
          </cell>
          <cell r="AZ109">
            <v>0.1</v>
          </cell>
          <cell r="BA109">
            <v>0</v>
          </cell>
          <cell r="BB109">
            <v>0.1</v>
          </cell>
          <cell r="BC109">
            <v>0.1</v>
          </cell>
          <cell r="BD109">
            <v>0.4</v>
          </cell>
          <cell r="BG109">
            <v>0</v>
          </cell>
          <cell r="BJ109">
            <v>0</v>
          </cell>
          <cell r="BM109">
            <v>0</v>
          </cell>
          <cell r="BP109">
            <v>0</v>
          </cell>
          <cell r="BQ109">
            <v>0</v>
          </cell>
          <cell r="BR109">
            <v>0.1</v>
          </cell>
          <cell r="BS109">
            <v>0.1</v>
          </cell>
          <cell r="BT109">
            <v>0</v>
          </cell>
          <cell r="BU109">
            <v>0</v>
          </cell>
          <cell r="BV109">
            <v>0</v>
          </cell>
          <cell r="BW109">
            <v>0.1</v>
          </cell>
          <cell r="BX109">
            <v>1.4</v>
          </cell>
          <cell r="BY109">
            <v>0.4</v>
          </cell>
          <cell r="BZ109">
            <v>2.5</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row>
        <row r="110">
          <cell r="D110">
            <v>1708</v>
          </cell>
          <cell r="G110">
            <v>6590</v>
          </cell>
          <cell r="J110">
            <v>3430</v>
          </cell>
          <cell r="M110">
            <v>5388</v>
          </cell>
          <cell r="N110">
            <v>3435</v>
          </cell>
          <cell r="O110">
            <v>10249</v>
          </cell>
          <cell r="P110">
            <v>9009</v>
          </cell>
          <cell r="Q110">
            <v>7119</v>
          </cell>
          <cell r="R110">
            <v>1197</v>
          </cell>
          <cell r="S110">
            <v>3212</v>
          </cell>
          <cell r="T110">
            <v>15623</v>
          </cell>
          <cell r="U110">
            <v>131480</v>
          </cell>
          <cell r="V110">
            <v>12727</v>
          </cell>
          <cell r="W110">
            <v>1528</v>
          </cell>
          <cell r="X110">
            <v>147899</v>
          </cell>
          <cell r="Y110">
            <v>0.1</v>
          </cell>
          <cell r="Z110">
            <v>0</v>
          </cell>
          <cell r="AA110">
            <v>0.1</v>
          </cell>
          <cell r="AF110">
            <v>0.1</v>
          </cell>
          <cell r="AH110">
            <v>0.1</v>
          </cell>
          <cell r="AI110">
            <v>0.1</v>
          </cell>
          <cell r="AJ110">
            <v>-0.3</v>
          </cell>
          <cell r="AK110">
            <v>0.1</v>
          </cell>
          <cell r="AL110">
            <v>0</v>
          </cell>
          <cell r="AN110">
            <v>-0.1</v>
          </cell>
          <cell r="AO110">
            <v>0</v>
          </cell>
          <cell r="AP110">
            <v>0</v>
          </cell>
          <cell r="AQ110">
            <v>0.1</v>
          </cell>
          <cell r="AR110">
            <v>0.1</v>
          </cell>
          <cell r="AV110">
            <v>0.4</v>
          </cell>
          <cell r="AW110">
            <v>0</v>
          </cell>
          <cell r="AX110">
            <v>0</v>
          </cell>
          <cell r="AY110">
            <v>0</v>
          </cell>
          <cell r="AZ110">
            <v>-0.1</v>
          </cell>
          <cell r="BA110">
            <v>0</v>
          </cell>
          <cell r="BB110">
            <v>0</v>
          </cell>
          <cell r="BC110">
            <v>0.1</v>
          </cell>
          <cell r="BD110">
            <v>0</v>
          </cell>
          <cell r="BG110">
            <v>0</v>
          </cell>
          <cell r="BJ110">
            <v>-0.1</v>
          </cell>
          <cell r="BM110">
            <v>0.1</v>
          </cell>
          <cell r="BP110">
            <v>0.1</v>
          </cell>
          <cell r="BQ110">
            <v>0.1</v>
          </cell>
          <cell r="BR110">
            <v>0.2</v>
          </cell>
          <cell r="BS110">
            <v>0.3</v>
          </cell>
          <cell r="BT110">
            <v>0.1</v>
          </cell>
          <cell r="BU110">
            <v>0</v>
          </cell>
          <cell r="BV110">
            <v>0</v>
          </cell>
          <cell r="BW110">
            <v>0.1</v>
          </cell>
          <cell r="BX110">
            <v>1.4</v>
          </cell>
          <cell r="BY110">
            <v>0</v>
          </cell>
          <cell r="BZ110">
            <v>1.2</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0.1</v>
          </cell>
        </row>
        <row r="111">
          <cell r="D111">
            <v>1766</v>
          </cell>
          <cell r="G111">
            <v>6769</v>
          </cell>
          <cell r="J111">
            <v>3663</v>
          </cell>
          <cell r="M111">
            <v>5751</v>
          </cell>
          <cell r="N111">
            <v>3667</v>
          </cell>
          <cell r="O111">
            <v>10401</v>
          </cell>
          <cell r="P111">
            <v>9641</v>
          </cell>
          <cell r="Q111">
            <v>7479</v>
          </cell>
          <cell r="R111">
            <v>1230</v>
          </cell>
          <cell r="S111">
            <v>3218</v>
          </cell>
          <cell r="T111">
            <v>15662</v>
          </cell>
          <cell r="U111">
            <v>137476</v>
          </cell>
          <cell r="V111">
            <v>13661</v>
          </cell>
          <cell r="W111">
            <v>1747</v>
          </cell>
          <cell r="X111">
            <v>148381</v>
          </cell>
          <cell r="Y111">
            <v>-0.1</v>
          </cell>
          <cell r="Z111">
            <v>0</v>
          </cell>
          <cell r="AA111">
            <v>-0.1</v>
          </cell>
          <cell r="AF111">
            <v>0</v>
          </cell>
          <cell r="AH111">
            <v>0.1</v>
          </cell>
          <cell r="AI111">
            <v>0</v>
          </cell>
          <cell r="AJ111">
            <v>0.2</v>
          </cell>
          <cell r="AK111">
            <v>0</v>
          </cell>
          <cell r="AL111">
            <v>0.1</v>
          </cell>
          <cell r="AN111">
            <v>0.5</v>
          </cell>
          <cell r="AO111">
            <v>0.1</v>
          </cell>
          <cell r="AP111">
            <v>0</v>
          </cell>
          <cell r="AQ111">
            <v>0</v>
          </cell>
          <cell r="AR111">
            <v>0.1</v>
          </cell>
          <cell r="AV111">
            <v>-0.1</v>
          </cell>
          <cell r="AW111">
            <v>0.2</v>
          </cell>
          <cell r="AX111">
            <v>0.1</v>
          </cell>
          <cell r="AY111">
            <v>0</v>
          </cell>
          <cell r="AZ111">
            <v>0.1</v>
          </cell>
          <cell r="BA111">
            <v>0</v>
          </cell>
          <cell r="BB111">
            <v>0</v>
          </cell>
          <cell r="BC111">
            <v>0</v>
          </cell>
          <cell r="BD111">
            <v>0.1</v>
          </cell>
          <cell r="BG111">
            <v>0</v>
          </cell>
          <cell r="BJ111">
            <v>0.2</v>
          </cell>
          <cell r="BM111">
            <v>0.1</v>
          </cell>
          <cell r="BP111">
            <v>0.2</v>
          </cell>
          <cell r="BQ111">
            <v>0.1</v>
          </cell>
          <cell r="BR111">
            <v>0.1</v>
          </cell>
          <cell r="BS111">
            <v>0</v>
          </cell>
          <cell r="BT111">
            <v>0.1</v>
          </cell>
          <cell r="BU111">
            <v>0</v>
          </cell>
          <cell r="BV111">
            <v>0</v>
          </cell>
          <cell r="BW111">
            <v>0</v>
          </cell>
          <cell r="BX111">
            <v>1.7</v>
          </cell>
          <cell r="BY111">
            <v>0.4</v>
          </cell>
          <cell r="BZ111">
            <v>0.9</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row>
        <row r="112">
          <cell r="D112">
            <v>1926</v>
          </cell>
          <cell r="G112">
            <v>6767</v>
          </cell>
          <cell r="J112">
            <v>3602</v>
          </cell>
          <cell r="M112">
            <v>5657</v>
          </cell>
          <cell r="N112">
            <v>3606</v>
          </cell>
          <cell r="O112">
            <v>10227</v>
          </cell>
          <cell r="P112">
            <v>9501</v>
          </cell>
          <cell r="Q112">
            <v>7501</v>
          </cell>
          <cell r="R112">
            <v>1265</v>
          </cell>
          <cell r="S112">
            <v>3363</v>
          </cell>
          <cell r="T112">
            <v>15748</v>
          </cell>
          <cell r="U112">
            <v>147519</v>
          </cell>
          <cell r="V112">
            <v>14397</v>
          </cell>
          <cell r="W112">
            <v>1606</v>
          </cell>
          <cell r="X112">
            <v>168093</v>
          </cell>
          <cell r="Y112">
            <v>0.1</v>
          </cell>
          <cell r="Z112">
            <v>0</v>
          </cell>
          <cell r="AA112">
            <v>0.1</v>
          </cell>
          <cell r="AF112">
            <v>0</v>
          </cell>
          <cell r="AH112">
            <v>0</v>
          </cell>
          <cell r="AI112">
            <v>-0.2</v>
          </cell>
          <cell r="AJ112">
            <v>-0.1</v>
          </cell>
          <cell r="AK112">
            <v>0</v>
          </cell>
          <cell r="AL112">
            <v>0</v>
          </cell>
          <cell r="AN112">
            <v>-0.5</v>
          </cell>
          <cell r="AO112">
            <v>0</v>
          </cell>
          <cell r="AP112">
            <v>0</v>
          </cell>
          <cell r="AQ112">
            <v>0.1</v>
          </cell>
          <cell r="AR112">
            <v>0</v>
          </cell>
          <cell r="AV112">
            <v>0.2</v>
          </cell>
          <cell r="AW112">
            <v>0</v>
          </cell>
          <cell r="AX112">
            <v>0.1</v>
          </cell>
          <cell r="AY112">
            <v>0</v>
          </cell>
          <cell r="AZ112">
            <v>0</v>
          </cell>
          <cell r="BA112">
            <v>0</v>
          </cell>
          <cell r="BB112">
            <v>0</v>
          </cell>
          <cell r="BC112">
            <v>0</v>
          </cell>
          <cell r="BD112">
            <v>0</v>
          </cell>
          <cell r="BG112">
            <v>0</v>
          </cell>
          <cell r="BJ112">
            <v>0</v>
          </cell>
          <cell r="BM112">
            <v>0</v>
          </cell>
          <cell r="BP112">
            <v>0</v>
          </cell>
          <cell r="BQ112">
            <v>0</v>
          </cell>
          <cell r="BR112">
            <v>0</v>
          </cell>
          <cell r="BS112">
            <v>0</v>
          </cell>
          <cell r="BT112">
            <v>0.1</v>
          </cell>
          <cell r="BU112">
            <v>0</v>
          </cell>
          <cell r="BV112">
            <v>0</v>
          </cell>
          <cell r="BW112">
            <v>0.1</v>
          </cell>
          <cell r="BX112">
            <v>0.3</v>
          </cell>
          <cell r="BY112">
            <v>-0.1</v>
          </cell>
          <cell r="BZ112">
            <v>0.7</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row>
        <row r="113">
          <cell r="D113">
            <v>1814</v>
          </cell>
          <cell r="G113">
            <v>7120</v>
          </cell>
          <cell r="J113">
            <v>3740</v>
          </cell>
          <cell r="M113">
            <v>5875</v>
          </cell>
          <cell r="N113">
            <v>3746</v>
          </cell>
          <cell r="O113">
            <v>10254</v>
          </cell>
          <cell r="P113">
            <v>8832</v>
          </cell>
          <cell r="Q113">
            <v>7559</v>
          </cell>
          <cell r="R113">
            <v>1289</v>
          </cell>
          <cell r="S113">
            <v>3227</v>
          </cell>
          <cell r="T113">
            <v>15931</v>
          </cell>
          <cell r="U113">
            <v>134023</v>
          </cell>
          <cell r="V113">
            <v>13645</v>
          </cell>
          <cell r="W113">
            <v>1609</v>
          </cell>
          <cell r="X113">
            <v>147075</v>
          </cell>
          <cell r="Y113">
            <v>0.1</v>
          </cell>
          <cell r="Z113">
            <v>0</v>
          </cell>
          <cell r="AA113">
            <v>0.1</v>
          </cell>
          <cell r="AF113">
            <v>0.1</v>
          </cell>
          <cell r="AH113">
            <v>0.1</v>
          </cell>
          <cell r="AI113">
            <v>0.1</v>
          </cell>
          <cell r="AJ113">
            <v>0.1</v>
          </cell>
          <cell r="AK113">
            <v>0</v>
          </cell>
          <cell r="AL113">
            <v>0</v>
          </cell>
          <cell r="AN113">
            <v>0.4</v>
          </cell>
          <cell r="AO113">
            <v>0.1</v>
          </cell>
          <cell r="AP113">
            <v>0</v>
          </cell>
          <cell r="AQ113">
            <v>0</v>
          </cell>
          <cell r="AR113">
            <v>0.1</v>
          </cell>
          <cell r="AV113">
            <v>0.2</v>
          </cell>
          <cell r="AW113">
            <v>0.1</v>
          </cell>
          <cell r="AX113">
            <v>0.1</v>
          </cell>
          <cell r="AY113">
            <v>0.1</v>
          </cell>
          <cell r="AZ113">
            <v>0</v>
          </cell>
          <cell r="BA113">
            <v>0</v>
          </cell>
          <cell r="BB113">
            <v>0</v>
          </cell>
          <cell r="BC113">
            <v>0</v>
          </cell>
          <cell r="BD113">
            <v>0</v>
          </cell>
          <cell r="BG113">
            <v>0</v>
          </cell>
          <cell r="BJ113">
            <v>0.2</v>
          </cell>
          <cell r="BM113">
            <v>0</v>
          </cell>
          <cell r="BP113">
            <v>0</v>
          </cell>
          <cell r="BQ113">
            <v>0</v>
          </cell>
          <cell r="BR113">
            <v>0</v>
          </cell>
          <cell r="BS113">
            <v>0</v>
          </cell>
          <cell r="BT113">
            <v>0.1</v>
          </cell>
          <cell r="BU113">
            <v>0</v>
          </cell>
          <cell r="BV113">
            <v>0</v>
          </cell>
          <cell r="BW113">
            <v>0.1</v>
          </cell>
          <cell r="BX113">
            <v>1.6</v>
          </cell>
          <cell r="BY113">
            <v>0.3</v>
          </cell>
          <cell r="BZ113">
            <v>1.2</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-0.3</v>
          </cell>
        </row>
        <row r="114">
          <cell r="D114">
            <v>1851</v>
          </cell>
          <cell r="G114">
            <v>7307</v>
          </cell>
          <cell r="J114">
            <v>3713</v>
          </cell>
          <cell r="M114">
            <v>5838</v>
          </cell>
          <cell r="N114">
            <v>3723</v>
          </cell>
          <cell r="O114">
            <v>10384</v>
          </cell>
          <cell r="P114">
            <v>9184</v>
          </cell>
          <cell r="Q114">
            <v>7708</v>
          </cell>
          <cell r="R114">
            <v>1273</v>
          </cell>
          <cell r="S114">
            <v>3329</v>
          </cell>
          <cell r="T114">
            <v>16073</v>
          </cell>
          <cell r="U114">
            <v>139563</v>
          </cell>
          <cell r="V114">
            <v>13696</v>
          </cell>
          <cell r="W114">
            <v>2396</v>
          </cell>
          <cell r="X114">
            <v>157305</v>
          </cell>
          <cell r="Y114">
            <v>0</v>
          </cell>
          <cell r="Z114">
            <v>0</v>
          </cell>
          <cell r="AA114">
            <v>0</v>
          </cell>
          <cell r="AF114">
            <v>0.3</v>
          </cell>
          <cell r="AH114">
            <v>0.4</v>
          </cell>
          <cell r="AI114">
            <v>0.1</v>
          </cell>
          <cell r="AJ114">
            <v>0.1</v>
          </cell>
          <cell r="AK114">
            <v>0.1</v>
          </cell>
          <cell r="AL114">
            <v>0</v>
          </cell>
          <cell r="AN114">
            <v>0.4</v>
          </cell>
          <cell r="AO114">
            <v>0</v>
          </cell>
          <cell r="AP114">
            <v>0</v>
          </cell>
          <cell r="AQ114">
            <v>0</v>
          </cell>
          <cell r="AR114">
            <v>0</v>
          </cell>
          <cell r="AV114">
            <v>-0.2</v>
          </cell>
          <cell r="AW114">
            <v>0</v>
          </cell>
          <cell r="AX114">
            <v>0</v>
          </cell>
          <cell r="AY114">
            <v>0</v>
          </cell>
          <cell r="AZ114">
            <v>0</v>
          </cell>
          <cell r="BA114">
            <v>0</v>
          </cell>
          <cell r="BB114">
            <v>0.1</v>
          </cell>
          <cell r="BC114">
            <v>0</v>
          </cell>
          <cell r="BD114">
            <v>0.1</v>
          </cell>
          <cell r="BG114">
            <v>0</v>
          </cell>
          <cell r="BJ114">
            <v>0.1</v>
          </cell>
          <cell r="BM114">
            <v>0</v>
          </cell>
          <cell r="BP114">
            <v>0.1</v>
          </cell>
          <cell r="BQ114">
            <v>0</v>
          </cell>
          <cell r="BR114">
            <v>0.1</v>
          </cell>
          <cell r="BS114">
            <v>-0.1</v>
          </cell>
          <cell r="BT114">
            <v>0</v>
          </cell>
          <cell r="BU114">
            <v>0</v>
          </cell>
          <cell r="BV114">
            <v>0</v>
          </cell>
          <cell r="BW114">
            <v>0.1</v>
          </cell>
          <cell r="BX114">
            <v>1.1000000000000001</v>
          </cell>
          <cell r="BY114">
            <v>0.1</v>
          </cell>
          <cell r="BZ114">
            <v>2.2000000000000002</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row>
        <row r="115">
          <cell r="D115">
            <v>1928</v>
          </cell>
          <cell r="G115">
            <v>7297</v>
          </cell>
          <cell r="J115">
            <v>3877</v>
          </cell>
          <cell r="M115">
            <v>6095</v>
          </cell>
          <cell r="N115">
            <v>3887</v>
          </cell>
          <cell r="O115">
            <v>10584</v>
          </cell>
          <cell r="P115">
            <v>9837</v>
          </cell>
          <cell r="Q115">
            <v>7837</v>
          </cell>
          <cell r="R115">
            <v>1276</v>
          </cell>
          <cell r="S115">
            <v>3424</v>
          </cell>
          <cell r="T115">
            <v>16222</v>
          </cell>
          <cell r="U115">
            <v>144357</v>
          </cell>
          <cell r="V115">
            <v>14431</v>
          </cell>
          <cell r="W115">
            <v>713</v>
          </cell>
          <cell r="X115">
            <v>159148</v>
          </cell>
          <cell r="Y115">
            <v>-0.1</v>
          </cell>
          <cell r="Z115">
            <v>0</v>
          </cell>
          <cell r="AA115">
            <v>-0.2</v>
          </cell>
          <cell r="AF115">
            <v>0.2</v>
          </cell>
          <cell r="AH115">
            <v>0.3</v>
          </cell>
          <cell r="AI115">
            <v>-0.1</v>
          </cell>
          <cell r="AJ115">
            <v>0</v>
          </cell>
          <cell r="AK115">
            <v>0</v>
          </cell>
          <cell r="AL115">
            <v>-0.1</v>
          </cell>
          <cell r="AN115">
            <v>-0.1</v>
          </cell>
          <cell r="AO115">
            <v>0</v>
          </cell>
          <cell r="AP115">
            <v>0</v>
          </cell>
          <cell r="AQ115">
            <v>0</v>
          </cell>
          <cell r="AR115">
            <v>0.1</v>
          </cell>
          <cell r="AV115">
            <v>0.4</v>
          </cell>
          <cell r="AW115">
            <v>-0.1</v>
          </cell>
          <cell r="AX115">
            <v>0</v>
          </cell>
          <cell r="AY115">
            <v>0</v>
          </cell>
          <cell r="AZ115">
            <v>0.1</v>
          </cell>
          <cell r="BA115">
            <v>0</v>
          </cell>
          <cell r="BB115">
            <v>0</v>
          </cell>
          <cell r="BC115">
            <v>0</v>
          </cell>
          <cell r="BD115">
            <v>0.1</v>
          </cell>
          <cell r="BG115">
            <v>0.1</v>
          </cell>
          <cell r="BJ115">
            <v>0</v>
          </cell>
          <cell r="BM115">
            <v>0.1</v>
          </cell>
          <cell r="BP115">
            <v>0.1</v>
          </cell>
          <cell r="BQ115">
            <v>0.1</v>
          </cell>
          <cell r="BR115">
            <v>0.1</v>
          </cell>
          <cell r="BS115">
            <v>0.2</v>
          </cell>
          <cell r="BT115">
            <v>0.1</v>
          </cell>
          <cell r="BU115">
            <v>0</v>
          </cell>
          <cell r="BV115">
            <v>0</v>
          </cell>
          <cell r="BW115">
            <v>0.1</v>
          </cell>
          <cell r="BX115">
            <v>1.5</v>
          </cell>
          <cell r="BY115">
            <v>0.1</v>
          </cell>
          <cell r="BZ115">
            <v>1.5</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0.1</v>
          </cell>
        </row>
        <row r="116">
          <cell r="D116">
            <v>2109</v>
          </cell>
          <cell r="G116">
            <v>7530</v>
          </cell>
          <cell r="J116">
            <v>3950</v>
          </cell>
          <cell r="M116">
            <v>6210</v>
          </cell>
          <cell r="N116">
            <v>3961</v>
          </cell>
          <cell r="O116">
            <v>10587</v>
          </cell>
          <cell r="P116">
            <v>10022</v>
          </cell>
          <cell r="Q116">
            <v>7882</v>
          </cell>
          <cell r="R116">
            <v>1324</v>
          </cell>
          <cell r="S116">
            <v>3546</v>
          </cell>
          <cell r="T116">
            <v>16386</v>
          </cell>
          <cell r="U116">
            <v>155490</v>
          </cell>
          <cell r="V116">
            <v>14819</v>
          </cell>
          <cell r="W116">
            <v>4332</v>
          </cell>
          <cell r="X116">
            <v>174333</v>
          </cell>
          <cell r="Y116">
            <v>-0.2</v>
          </cell>
          <cell r="Z116">
            <v>0</v>
          </cell>
          <cell r="AA116">
            <v>-0.2</v>
          </cell>
          <cell r="AB116">
            <v>0</v>
          </cell>
          <cell r="AC116">
            <v>0</v>
          </cell>
          <cell r="AD116">
            <v>-0.1</v>
          </cell>
          <cell r="AE116">
            <v>0</v>
          </cell>
          <cell r="AF116">
            <v>-0.2</v>
          </cell>
          <cell r="AG116">
            <v>-0.3</v>
          </cell>
          <cell r="AH116">
            <v>-0.2</v>
          </cell>
          <cell r="AI116">
            <v>0</v>
          </cell>
          <cell r="AJ116">
            <v>0</v>
          </cell>
          <cell r="AK116">
            <v>0</v>
          </cell>
          <cell r="AL116">
            <v>0.1</v>
          </cell>
          <cell r="AN116">
            <v>0</v>
          </cell>
          <cell r="AO116">
            <v>0</v>
          </cell>
          <cell r="AP116">
            <v>0</v>
          </cell>
          <cell r="AQ116">
            <v>0</v>
          </cell>
          <cell r="AR116">
            <v>0</v>
          </cell>
          <cell r="AV116">
            <v>0</v>
          </cell>
          <cell r="AW116">
            <v>0.1</v>
          </cell>
          <cell r="AX116">
            <v>0.1</v>
          </cell>
          <cell r="AY116">
            <v>0</v>
          </cell>
          <cell r="AZ116">
            <v>0.1</v>
          </cell>
          <cell r="BA116">
            <v>0</v>
          </cell>
          <cell r="BB116">
            <v>0</v>
          </cell>
          <cell r="BC116">
            <v>0</v>
          </cell>
          <cell r="BD116">
            <v>0.1</v>
          </cell>
          <cell r="BG116">
            <v>0</v>
          </cell>
          <cell r="BJ116">
            <v>0.1</v>
          </cell>
          <cell r="BM116">
            <v>0.1</v>
          </cell>
          <cell r="BP116">
            <v>0.2</v>
          </cell>
          <cell r="BQ116">
            <v>0.1</v>
          </cell>
          <cell r="BR116">
            <v>0.1</v>
          </cell>
          <cell r="BS116">
            <v>0.3</v>
          </cell>
          <cell r="BT116">
            <v>0.1</v>
          </cell>
          <cell r="BU116">
            <v>0</v>
          </cell>
          <cell r="BV116">
            <v>0</v>
          </cell>
          <cell r="BW116">
            <v>0.1</v>
          </cell>
          <cell r="BX116">
            <v>0.5</v>
          </cell>
          <cell r="BY116">
            <v>0</v>
          </cell>
          <cell r="BZ116">
            <v>-0.3</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row>
        <row r="117">
          <cell r="D117">
            <v>1887</v>
          </cell>
          <cell r="G117">
            <v>8010</v>
          </cell>
          <cell r="J117">
            <v>4141</v>
          </cell>
          <cell r="M117">
            <v>6510</v>
          </cell>
          <cell r="N117">
            <v>4153</v>
          </cell>
          <cell r="O117">
            <v>10822</v>
          </cell>
          <cell r="P117">
            <v>9447</v>
          </cell>
          <cell r="Q117">
            <v>7906</v>
          </cell>
          <cell r="R117">
            <v>1336</v>
          </cell>
          <cell r="S117">
            <v>3419</v>
          </cell>
          <cell r="T117">
            <v>16539</v>
          </cell>
          <cell r="U117">
            <v>138913</v>
          </cell>
          <cell r="V117">
            <v>13743</v>
          </cell>
          <cell r="W117">
            <v>1322</v>
          </cell>
          <cell r="X117">
            <v>153636</v>
          </cell>
          <cell r="Y117">
            <v>0.2</v>
          </cell>
          <cell r="Z117">
            <v>0</v>
          </cell>
          <cell r="AA117">
            <v>0.2</v>
          </cell>
          <cell r="AB117">
            <v>0.1</v>
          </cell>
          <cell r="AC117">
            <v>-0.2</v>
          </cell>
          <cell r="AD117">
            <v>0</v>
          </cell>
          <cell r="AE117">
            <v>0</v>
          </cell>
          <cell r="AF117">
            <v>-0.1</v>
          </cell>
          <cell r="AG117">
            <v>0.2</v>
          </cell>
          <cell r="AH117">
            <v>0</v>
          </cell>
          <cell r="AI117">
            <v>0</v>
          </cell>
          <cell r="AJ117">
            <v>-0.1</v>
          </cell>
          <cell r="AK117">
            <v>0</v>
          </cell>
          <cell r="AL117">
            <v>-0.1</v>
          </cell>
          <cell r="AN117">
            <v>-0.2</v>
          </cell>
          <cell r="AO117">
            <v>0</v>
          </cell>
          <cell r="AP117">
            <v>0</v>
          </cell>
          <cell r="AQ117">
            <v>0.1</v>
          </cell>
          <cell r="AR117">
            <v>0.1</v>
          </cell>
          <cell r="AV117">
            <v>-0.1</v>
          </cell>
          <cell r="AW117">
            <v>0</v>
          </cell>
          <cell r="AX117">
            <v>-0.2</v>
          </cell>
          <cell r="AY117">
            <v>0</v>
          </cell>
          <cell r="AZ117">
            <v>-0.1</v>
          </cell>
          <cell r="BA117">
            <v>0</v>
          </cell>
          <cell r="BB117">
            <v>0</v>
          </cell>
          <cell r="BC117">
            <v>0</v>
          </cell>
          <cell r="BD117">
            <v>-0.1</v>
          </cell>
          <cell r="BG117">
            <v>0</v>
          </cell>
          <cell r="BJ117">
            <v>0.3</v>
          </cell>
          <cell r="BM117">
            <v>0</v>
          </cell>
          <cell r="BP117">
            <v>0.1</v>
          </cell>
          <cell r="BQ117">
            <v>0</v>
          </cell>
          <cell r="BR117">
            <v>0.1</v>
          </cell>
          <cell r="BS117">
            <v>-0.4</v>
          </cell>
          <cell r="BT117">
            <v>0.1</v>
          </cell>
          <cell r="BU117">
            <v>0</v>
          </cell>
          <cell r="BV117">
            <v>0</v>
          </cell>
          <cell r="BW117">
            <v>0.1</v>
          </cell>
          <cell r="BX117">
            <v>0.1</v>
          </cell>
          <cell r="BY117">
            <v>-0.1</v>
          </cell>
          <cell r="BZ117">
            <v>0.6</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-0.1</v>
          </cell>
        </row>
        <row r="118">
          <cell r="D118">
            <v>2060</v>
          </cell>
          <cell r="G118">
            <v>8493</v>
          </cell>
          <cell r="J118">
            <v>4036</v>
          </cell>
          <cell r="M118">
            <v>6344</v>
          </cell>
          <cell r="N118">
            <v>4047</v>
          </cell>
          <cell r="O118">
            <v>10942</v>
          </cell>
          <cell r="P118">
            <v>9780</v>
          </cell>
          <cell r="Q118">
            <v>8064</v>
          </cell>
          <cell r="R118">
            <v>1341</v>
          </cell>
          <cell r="S118">
            <v>3516</v>
          </cell>
          <cell r="T118">
            <v>16680</v>
          </cell>
          <cell r="U118">
            <v>142211</v>
          </cell>
          <cell r="V118">
            <v>12865</v>
          </cell>
          <cell r="W118">
            <v>3955</v>
          </cell>
          <cell r="X118">
            <v>158801</v>
          </cell>
          <cell r="Y118">
            <v>-0.1</v>
          </cell>
          <cell r="Z118">
            <v>0</v>
          </cell>
          <cell r="AA118">
            <v>-0.1</v>
          </cell>
          <cell r="AB118">
            <v>0</v>
          </cell>
          <cell r="AC118">
            <v>-0.3</v>
          </cell>
          <cell r="AD118">
            <v>0</v>
          </cell>
          <cell r="AE118">
            <v>0</v>
          </cell>
          <cell r="AF118">
            <v>-0.3</v>
          </cell>
          <cell r="AG118">
            <v>-0.2</v>
          </cell>
          <cell r="AH118">
            <v>-0.4</v>
          </cell>
          <cell r="AI118">
            <v>0.1</v>
          </cell>
          <cell r="AJ118">
            <v>-0.1</v>
          </cell>
          <cell r="AK118">
            <v>0</v>
          </cell>
          <cell r="AL118">
            <v>-0.1</v>
          </cell>
          <cell r="AN118">
            <v>-0.1</v>
          </cell>
          <cell r="AO118">
            <v>0.1</v>
          </cell>
          <cell r="AP118">
            <v>0</v>
          </cell>
          <cell r="AQ118">
            <v>0</v>
          </cell>
          <cell r="AR118">
            <v>0.1</v>
          </cell>
          <cell r="AV118">
            <v>0</v>
          </cell>
          <cell r="AW118">
            <v>-0.1</v>
          </cell>
          <cell r="AX118">
            <v>0.1</v>
          </cell>
          <cell r="AY118">
            <v>0</v>
          </cell>
          <cell r="AZ118">
            <v>0</v>
          </cell>
          <cell r="BA118">
            <v>0</v>
          </cell>
          <cell r="BB118">
            <v>0</v>
          </cell>
          <cell r="BC118">
            <v>0</v>
          </cell>
          <cell r="BD118">
            <v>0.1</v>
          </cell>
          <cell r="BG118">
            <v>0</v>
          </cell>
          <cell r="BJ118">
            <v>0.3</v>
          </cell>
          <cell r="BM118">
            <v>0</v>
          </cell>
          <cell r="BP118">
            <v>0</v>
          </cell>
          <cell r="BQ118">
            <v>0</v>
          </cell>
          <cell r="BR118">
            <v>0.1</v>
          </cell>
          <cell r="BS118">
            <v>0.2</v>
          </cell>
          <cell r="BT118">
            <v>0</v>
          </cell>
          <cell r="BU118">
            <v>0</v>
          </cell>
          <cell r="BV118">
            <v>0</v>
          </cell>
          <cell r="BW118">
            <v>0.1</v>
          </cell>
          <cell r="BX118">
            <v>-0.4</v>
          </cell>
          <cell r="BY118">
            <v>-0.4</v>
          </cell>
          <cell r="BZ118">
            <v>-0.2</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row>
        <row r="119">
          <cell r="D119">
            <v>2093</v>
          </cell>
          <cell r="G119">
            <v>8887</v>
          </cell>
          <cell r="J119">
            <v>4239</v>
          </cell>
          <cell r="M119">
            <v>6676</v>
          </cell>
          <cell r="N119">
            <v>4261</v>
          </cell>
          <cell r="O119">
            <v>11079</v>
          </cell>
          <cell r="P119">
            <v>10390</v>
          </cell>
          <cell r="Q119">
            <v>8071</v>
          </cell>
          <cell r="R119">
            <v>1314</v>
          </cell>
          <cell r="S119">
            <v>3585</v>
          </cell>
          <cell r="T119">
            <v>16812</v>
          </cell>
          <cell r="U119">
            <v>146235</v>
          </cell>
          <cell r="V119">
            <v>13527</v>
          </cell>
          <cell r="W119">
            <v>126</v>
          </cell>
          <cell r="X119">
            <v>159612</v>
          </cell>
          <cell r="Y119">
            <v>0</v>
          </cell>
          <cell r="Z119">
            <v>0</v>
          </cell>
          <cell r="AA119">
            <v>0</v>
          </cell>
          <cell r="AB119">
            <v>0</v>
          </cell>
          <cell r="AC119">
            <v>0.1</v>
          </cell>
          <cell r="AD119">
            <v>0</v>
          </cell>
          <cell r="AE119">
            <v>0.1</v>
          </cell>
          <cell r="AF119">
            <v>-0.1</v>
          </cell>
          <cell r="AG119">
            <v>-0.2</v>
          </cell>
          <cell r="AH119">
            <v>-0.2</v>
          </cell>
          <cell r="AI119">
            <v>0.1</v>
          </cell>
          <cell r="AJ119">
            <v>0.1</v>
          </cell>
          <cell r="AK119">
            <v>0.1</v>
          </cell>
          <cell r="AL119">
            <v>0.2</v>
          </cell>
          <cell r="AN119">
            <v>0.4</v>
          </cell>
          <cell r="AO119">
            <v>0</v>
          </cell>
          <cell r="AP119">
            <v>0</v>
          </cell>
          <cell r="AQ119">
            <v>-0.1</v>
          </cell>
          <cell r="AR119">
            <v>0</v>
          </cell>
          <cell r="AV119">
            <v>-0.1</v>
          </cell>
          <cell r="AW119">
            <v>0.1</v>
          </cell>
          <cell r="AX119">
            <v>0</v>
          </cell>
          <cell r="AY119">
            <v>0</v>
          </cell>
          <cell r="AZ119">
            <v>0</v>
          </cell>
          <cell r="BA119">
            <v>0</v>
          </cell>
          <cell r="BB119">
            <v>0</v>
          </cell>
          <cell r="BC119">
            <v>0</v>
          </cell>
          <cell r="BD119">
            <v>0</v>
          </cell>
          <cell r="BG119">
            <v>0</v>
          </cell>
          <cell r="BJ119">
            <v>0.3</v>
          </cell>
          <cell r="BM119">
            <v>0.1</v>
          </cell>
          <cell r="BP119">
            <v>0.1</v>
          </cell>
          <cell r="BQ119">
            <v>0.1</v>
          </cell>
          <cell r="BR119">
            <v>0</v>
          </cell>
          <cell r="BS119">
            <v>0.4</v>
          </cell>
          <cell r="BT119">
            <v>0</v>
          </cell>
          <cell r="BU119">
            <v>0</v>
          </cell>
          <cell r="BV119">
            <v>0</v>
          </cell>
          <cell r="BW119">
            <v>0.1</v>
          </cell>
          <cell r="BX119">
            <v>0.8</v>
          </cell>
          <cell r="BY119">
            <v>0</v>
          </cell>
          <cell r="BZ119">
            <v>0.3</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row>
        <row r="120">
          <cell r="D120">
            <v>2225</v>
          </cell>
          <cell r="G120">
            <v>9529</v>
          </cell>
          <cell r="J120">
            <v>4249</v>
          </cell>
          <cell r="M120">
            <v>6668</v>
          </cell>
          <cell r="N120">
            <v>4252</v>
          </cell>
          <cell r="O120">
            <v>10851</v>
          </cell>
          <cell r="P120">
            <v>10370</v>
          </cell>
          <cell r="Q120">
            <v>8039</v>
          </cell>
          <cell r="R120">
            <v>1340</v>
          </cell>
          <cell r="S120">
            <v>3675</v>
          </cell>
          <cell r="T120">
            <v>16948</v>
          </cell>
          <cell r="U120">
            <v>155367</v>
          </cell>
          <cell r="V120">
            <v>14223</v>
          </cell>
          <cell r="W120">
            <v>6680</v>
          </cell>
          <cell r="X120">
            <v>175969</v>
          </cell>
          <cell r="Y120">
            <v>0.1</v>
          </cell>
          <cell r="Z120">
            <v>0</v>
          </cell>
          <cell r="AA120">
            <v>0.1</v>
          </cell>
          <cell r="AB120">
            <v>0</v>
          </cell>
          <cell r="AC120">
            <v>0.3</v>
          </cell>
          <cell r="AD120">
            <v>0.1</v>
          </cell>
          <cell r="AE120">
            <v>0</v>
          </cell>
          <cell r="AF120">
            <v>0.2</v>
          </cell>
          <cell r="AG120">
            <v>-0.1</v>
          </cell>
          <cell r="AH120">
            <v>0.3</v>
          </cell>
          <cell r="AI120">
            <v>0</v>
          </cell>
          <cell r="AJ120">
            <v>0.1</v>
          </cell>
          <cell r="AK120">
            <v>0</v>
          </cell>
          <cell r="AL120">
            <v>-0.2</v>
          </cell>
          <cell r="AM120">
            <v>0.1</v>
          </cell>
          <cell r="AN120">
            <v>-0.1</v>
          </cell>
          <cell r="AO120">
            <v>0</v>
          </cell>
          <cell r="AP120">
            <v>0</v>
          </cell>
          <cell r="AQ120">
            <v>-0.1</v>
          </cell>
          <cell r="AR120">
            <v>0</v>
          </cell>
          <cell r="AV120">
            <v>-0.1</v>
          </cell>
          <cell r="AW120">
            <v>-0.1</v>
          </cell>
          <cell r="AX120">
            <v>-0.1</v>
          </cell>
          <cell r="AY120">
            <v>0</v>
          </cell>
          <cell r="AZ120">
            <v>0</v>
          </cell>
          <cell r="BA120">
            <v>0</v>
          </cell>
          <cell r="BB120">
            <v>0</v>
          </cell>
          <cell r="BC120">
            <v>0</v>
          </cell>
          <cell r="BD120">
            <v>0.1</v>
          </cell>
          <cell r="BG120">
            <v>0</v>
          </cell>
          <cell r="BJ120">
            <v>0.4</v>
          </cell>
          <cell r="BM120">
            <v>0.1</v>
          </cell>
          <cell r="BP120">
            <v>0.1</v>
          </cell>
          <cell r="BQ120">
            <v>0.1</v>
          </cell>
          <cell r="BR120">
            <v>0</v>
          </cell>
          <cell r="BS120">
            <v>0</v>
          </cell>
          <cell r="BT120">
            <v>0</v>
          </cell>
          <cell r="BU120">
            <v>0</v>
          </cell>
          <cell r="BV120">
            <v>0</v>
          </cell>
          <cell r="BW120">
            <v>0.1</v>
          </cell>
          <cell r="BX120">
            <v>0.2</v>
          </cell>
          <cell r="BY120">
            <v>0.2</v>
          </cell>
          <cell r="BZ120">
            <v>1.7</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0.1</v>
          </cell>
        </row>
        <row r="121">
          <cell r="D121">
            <v>2043</v>
          </cell>
          <cell r="G121">
            <v>9953</v>
          </cell>
          <cell r="J121">
            <v>4334</v>
          </cell>
          <cell r="M121">
            <v>6748</v>
          </cell>
          <cell r="N121">
            <v>4293</v>
          </cell>
          <cell r="O121">
            <v>11061</v>
          </cell>
          <cell r="P121">
            <v>9635</v>
          </cell>
          <cell r="Q121">
            <v>8021</v>
          </cell>
          <cell r="R121">
            <v>1321</v>
          </cell>
          <cell r="S121">
            <v>3539</v>
          </cell>
          <cell r="T121">
            <v>17083</v>
          </cell>
          <cell r="U121">
            <v>142717</v>
          </cell>
          <cell r="V121">
            <v>13433</v>
          </cell>
          <cell r="W121">
            <v>3672</v>
          </cell>
          <cell r="X121">
            <v>159516</v>
          </cell>
          <cell r="Y121">
            <v>-0.1</v>
          </cell>
          <cell r="Z121">
            <v>0</v>
          </cell>
          <cell r="AA121">
            <v>-0.1</v>
          </cell>
          <cell r="AB121">
            <v>0.1</v>
          </cell>
          <cell r="AC121">
            <v>-0.1</v>
          </cell>
          <cell r="AD121">
            <v>0</v>
          </cell>
          <cell r="AE121">
            <v>0.1</v>
          </cell>
          <cell r="AF121">
            <v>0.1</v>
          </cell>
          <cell r="AG121">
            <v>0</v>
          </cell>
          <cell r="AH121">
            <v>0.1</v>
          </cell>
          <cell r="AI121">
            <v>-0.1</v>
          </cell>
          <cell r="AJ121">
            <v>0</v>
          </cell>
          <cell r="AK121">
            <v>0.1</v>
          </cell>
          <cell r="AL121">
            <v>0.1</v>
          </cell>
          <cell r="AM121">
            <v>0</v>
          </cell>
          <cell r="AN121">
            <v>0.1</v>
          </cell>
          <cell r="AO121">
            <v>0</v>
          </cell>
          <cell r="AP121">
            <v>0</v>
          </cell>
          <cell r="AQ121">
            <v>0.1</v>
          </cell>
          <cell r="AR121">
            <v>0.1</v>
          </cell>
          <cell r="AV121">
            <v>0</v>
          </cell>
          <cell r="AW121">
            <v>0</v>
          </cell>
          <cell r="AX121">
            <v>0</v>
          </cell>
          <cell r="AY121">
            <v>0</v>
          </cell>
          <cell r="AZ121">
            <v>0</v>
          </cell>
          <cell r="BA121">
            <v>0</v>
          </cell>
          <cell r="BB121">
            <v>0</v>
          </cell>
          <cell r="BC121">
            <v>0</v>
          </cell>
          <cell r="BD121">
            <v>0</v>
          </cell>
          <cell r="BG121">
            <v>0</v>
          </cell>
          <cell r="BJ121">
            <v>0.2</v>
          </cell>
          <cell r="BM121">
            <v>0</v>
          </cell>
          <cell r="BP121">
            <v>-0.1</v>
          </cell>
          <cell r="BQ121">
            <v>-0.1</v>
          </cell>
          <cell r="BR121">
            <v>0.1</v>
          </cell>
          <cell r="BS121">
            <v>-0.5</v>
          </cell>
          <cell r="BT121">
            <v>0</v>
          </cell>
          <cell r="BU121">
            <v>0</v>
          </cell>
          <cell r="BV121">
            <v>0</v>
          </cell>
          <cell r="BW121">
            <v>0.1</v>
          </cell>
          <cell r="BX121">
            <v>1.3</v>
          </cell>
          <cell r="BY121">
            <v>0</v>
          </cell>
          <cell r="BZ121">
            <v>1</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row>
        <row r="122">
          <cell r="D122">
            <v>2228</v>
          </cell>
          <cell r="G122">
            <v>10485</v>
          </cell>
          <cell r="J122">
            <v>4480</v>
          </cell>
          <cell r="M122">
            <v>6888</v>
          </cell>
          <cell r="N122">
            <v>4366</v>
          </cell>
          <cell r="O122">
            <v>11203</v>
          </cell>
          <cell r="P122">
            <v>10422</v>
          </cell>
          <cell r="Q122">
            <v>8352</v>
          </cell>
          <cell r="R122">
            <v>1326</v>
          </cell>
          <cell r="S122">
            <v>3607</v>
          </cell>
          <cell r="T122">
            <v>17216</v>
          </cell>
          <cell r="U122">
            <v>148554</v>
          </cell>
          <cell r="V122">
            <v>13690</v>
          </cell>
          <cell r="W122">
            <v>5375</v>
          </cell>
          <cell r="X122">
            <v>167318</v>
          </cell>
          <cell r="Y122">
            <v>0.1</v>
          </cell>
          <cell r="Z122">
            <v>0</v>
          </cell>
          <cell r="AA122">
            <v>0.1</v>
          </cell>
          <cell r="AB122">
            <v>0</v>
          </cell>
          <cell r="AC122">
            <v>0.1</v>
          </cell>
          <cell r="AD122">
            <v>0</v>
          </cell>
          <cell r="AE122">
            <v>0</v>
          </cell>
          <cell r="AF122">
            <v>0.1</v>
          </cell>
          <cell r="AG122">
            <v>0.1</v>
          </cell>
          <cell r="AH122">
            <v>0.1</v>
          </cell>
          <cell r="AI122">
            <v>0.2</v>
          </cell>
          <cell r="AJ122">
            <v>0.1</v>
          </cell>
          <cell r="AK122">
            <v>0</v>
          </cell>
          <cell r="AL122">
            <v>0</v>
          </cell>
          <cell r="AM122">
            <v>0.1</v>
          </cell>
          <cell r="AN122">
            <v>0.4</v>
          </cell>
          <cell r="AO122">
            <v>0.1</v>
          </cell>
          <cell r="AP122">
            <v>0</v>
          </cell>
          <cell r="AQ122">
            <v>0</v>
          </cell>
          <cell r="AR122">
            <v>0.1</v>
          </cell>
          <cell r="AV122">
            <v>0.2</v>
          </cell>
          <cell r="AW122">
            <v>0.1</v>
          </cell>
          <cell r="AX122">
            <v>0</v>
          </cell>
          <cell r="AY122">
            <v>0</v>
          </cell>
          <cell r="AZ122">
            <v>0</v>
          </cell>
          <cell r="BA122">
            <v>0</v>
          </cell>
          <cell r="BB122">
            <v>0</v>
          </cell>
          <cell r="BC122">
            <v>0</v>
          </cell>
          <cell r="BD122">
            <v>0</v>
          </cell>
          <cell r="BG122">
            <v>0.1</v>
          </cell>
          <cell r="BJ122">
            <v>0.3</v>
          </cell>
          <cell r="BM122">
            <v>0.2</v>
          </cell>
          <cell r="BP122">
            <v>0.2</v>
          </cell>
          <cell r="BQ122">
            <v>0.1</v>
          </cell>
          <cell r="BR122">
            <v>0.1</v>
          </cell>
          <cell r="BS122">
            <v>0.5</v>
          </cell>
          <cell r="BT122">
            <v>0.1</v>
          </cell>
          <cell r="BU122">
            <v>0</v>
          </cell>
          <cell r="BV122">
            <v>0</v>
          </cell>
          <cell r="BW122">
            <v>0.1</v>
          </cell>
          <cell r="BX122">
            <v>1.4</v>
          </cell>
          <cell r="BY122">
            <v>0.3</v>
          </cell>
          <cell r="BZ122">
            <v>1.5</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row>
        <row r="123">
          <cell r="D123">
            <v>2263</v>
          </cell>
          <cell r="G123">
            <v>11007</v>
          </cell>
          <cell r="J123">
            <v>4767</v>
          </cell>
          <cell r="M123">
            <v>7191</v>
          </cell>
          <cell r="N123">
            <v>4528</v>
          </cell>
          <cell r="O123">
            <v>11503</v>
          </cell>
          <cell r="P123">
            <v>10449</v>
          </cell>
          <cell r="Q123">
            <v>8619</v>
          </cell>
          <cell r="R123">
            <v>1348</v>
          </cell>
          <cell r="S123">
            <v>3653</v>
          </cell>
          <cell r="T123">
            <v>17336</v>
          </cell>
          <cell r="U123">
            <v>154774</v>
          </cell>
          <cell r="V123">
            <v>14444</v>
          </cell>
          <cell r="W123">
            <v>1657</v>
          </cell>
          <cell r="X123">
            <v>170550</v>
          </cell>
          <cell r="Y123">
            <v>-0.2</v>
          </cell>
          <cell r="Z123">
            <v>0.1</v>
          </cell>
          <cell r="AA123">
            <v>-0.1</v>
          </cell>
          <cell r="AB123">
            <v>-0.1</v>
          </cell>
          <cell r="AC123">
            <v>0</v>
          </cell>
          <cell r="AD123">
            <v>0</v>
          </cell>
          <cell r="AE123">
            <v>0</v>
          </cell>
          <cell r="AF123">
            <v>0</v>
          </cell>
          <cell r="AG123">
            <v>0.1</v>
          </cell>
          <cell r="AH123">
            <v>0</v>
          </cell>
          <cell r="AI123">
            <v>0</v>
          </cell>
          <cell r="AJ123">
            <v>0.1</v>
          </cell>
          <cell r="AK123">
            <v>0</v>
          </cell>
          <cell r="AL123">
            <v>0</v>
          </cell>
          <cell r="AM123">
            <v>0</v>
          </cell>
          <cell r="AN123">
            <v>0.1</v>
          </cell>
          <cell r="AO123">
            <v>0</v>
          </cell>
          <cell r="AP123">
            <v>0</v>
          </cell>
          <cell r="AQ123">
            <v>0</v>
          </cell>
          <cell r="AR123">
            <v>0.1</v>
          </cell>
          <cell r="AV123">
            <v>0.1</v>
          </cell>
          <cell r="AW123">
            <v>0.1</v>
          </cell>
          <cell r="AX123">
            <v>0.1</v>
          </cell>
          <cell r="AY123">
            <v>0.1</v>
          </cell>
          <cell r="AZ123">
            <v>0</v>
          </cell>
          <cell r="BA123">
            <v>0</v>
          </cell>
          <cell r="BB123">
            <v>0</v>
          </cell>
          <cell r="BC123">
            <v>0</v>
          </cell>
          <cell r="BD123">
            <v>0.1</v>
          </cell>
          <cell r="BG123">
            <v>0</v>
          </cell>
          <cell r="BJ123">
            <v>0.4</v>
          </cell>
          <cell r="BM123">
            <v>0.1</v>
          </cell>
          <cell r="BP123">
            <v>0.1</v>
          </cell>
          <cell r="BQ123">
            <v>0.1</v>
          </cell>
          <cell r="BR123">
            <v>0.2</v>
          </cell>
          <cell r="BS123">
            <v>0</v>
          </cell>
          <cell r="BT123">
            <v>0.2</v>
          </cell>
          <cell r="BU123">
            <v>0</v>
          </cell>
          <cell r="BV123">
            <v>0</v>
          </cell>
          <cell r="BW123">
            <v>0.1</v>
          </cell>
          <cell r="BX123">
            <v>1.6</v>
          </cell>
          <cell r="BY123">
            <v>0.1</v>
          </cell>
          <cell r="BZ123">
            <v>1.8</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row>
        <row r="124">
          <cell r="D124">
            <v>2413</v>
          </cell>
          <cell r="G124">
            <v>11394</v>
          </cell>
          <cell r="J124">
            <v>4585</v>
          </cell>
          <cell r="M124">
            <v>6865</v>
          </cell>
          <cell r="N124">
            <v>4313</v>
          </cell>
          <cell r="O124">
            <v>11483</v>
          </cell>
          <cell r="P124">
            <v>10489</v>
          </cell>
          <cell r="Q124">
            <v>8594</v>
          </cell>
          <cell r="R124">
            <v>1377</v>
          </cell>
          <cell r="S124">
            <v>3806</v>
          </cell>
          <cell r="T124">
            <v>17473</v>
          </cell>
          <cell r="U124">
            <v>165743</v>
          </cell>
          <cell r="V124">
            <v>14642</v>
          </cell>
          <cell r="W124">
            <v>6508</v>
          </cell>
          <cell r="X124">
            <v>186629</v>
          </cell>
          <cell r="Y124">
            <v>0.2</v>
          </cell>
          <cell r="Z124">
            <v>0</v>
          </cell>
          <cell r="AA124">
            <v>0.1</v>
          </cell>
          <cell r="AB124">
            <v>0.2</v>
          </cell>
          <cell r="AC124">
            <v>-0.1</v>
          </cell>
          <cell r="AD124">
            <v>0</v>
          </cell>
          <cell r="AE124">
            <v>0.1</v>
          </cell>
          <cell r="AF124">
            <v>0.5</v>
          </cell>
          <cell r="AG124">
            <v>0.1</v>
          </cell>
          <cell r="AH124">
            <v>0.5</v>
          </cell>
          <cell r="AI124">
            <v>0</v>
          </cell>
          <cell r="AJ124">
            <v>0.1</v>
          </cell>
          <cell r="AK124">
            <v>0.1</v>
          </cell>
          <cell r="AL124">
            <v>0</v>
          </cell>
          <cell r="AM124">
            <v>0.1</v>
          </cell>
          <cell r="AN124">
            <v>0.3</v>
          </cell>
          <cell r="AO124">
            <v>0</v>
          </cell>
          <cell r="AP124">
            <v>0</v>
          </cell>
          <cell r="AQ124">
            <v>0</v>
          </cell>
          <cell r="AR124">
            <v>0.1</v>
          </cell>
          <cell r="AV124">
            <v>0.3</v>
          </cell>
          <cell r="AW124">
            <v>0.1</v>
          </cell>
          <cell r="AX124">
            <v>0</v>
          </cell>
          <cell r="AY124">
            <v>0.1</v>
          </cell>
          <cell r="AZ124">
            <v>0</v>
          </cell>
          <cell r="BA124">
            <v>0</v>
          </cell>
          <cell r="BB124">
            <v>0</v>
          </cell>
          <cell r="BC124">
            <v>0.1</v>
          </cell>
          <cell r="BD124">
            <v>0.1</v>
          </cell>
          <cell r="BG124">
            <v>0</v>
          </cell>
          <cell r="BJ124">
            <v>0.2</v>
          </cell>
          <cell r="BM124">
            <v>-0.1</v>
          </cell>
          <cell r="BP124">
            <v>-0.1</v>
          </cell>
          <cell r="BQ124">
            <v>-0.1</v>
          </cell>
          <cell r="BR124">
            <v>0.1</v>
          </cell>
          <cell r="BS124">
            <v>0</v>
          </cell>
          <cell r="BT124">
            <v>0</v>
          </cell>
          <cell r="BU124">
            <v>0</v>
          </cell>
          <cell r="BV124">
            <v>0.1</v>
          </cell>
          <cell r="BW124">
            <v>0.1</v>
          </cell>
          <cell r="BX124">
            <v>2.2999999999999998</v>
          </cell>
          <cell r="BY124">
            <v>-0.1</v>
          </cell>
          <cell r="BZ124">
            <v>2</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row>
        <row r="125">
          <cell r="D125">
            <v>2307</v>
          </cell>
          <cell r="G125">
            <v>11435</v>
          </cell>
          <cell r="J125">
            <v>4889</v>
          </cell>
          <cell r="M125">
            <v>7343</v>
          </cell>
          <cell r="N125">
            <v>4619</v>
          </cell>
          <cell r="O125">
            <v>11825</v>
          </cell>
          <cell r="P125">
            <v>10525</v>
          </cell>
          <cell r="Q125">
            <v>8596</v>
          </cell>
          <cell r="R125">
            <v>1375</v>
          </cell>
          <cell r="S125">
            <v>3681</v>
          </cell>
          <cell r="T125">
            <v>17625</v>
          </cell>
          <cell r="U125">
            <v>153504</v>
          </cell>
          <cell r="V125">
            <v>14330</v>
          </cell>
          <cell r="W125">
            <v>938</v>
          </cell>
          <cell r="X125">
            <v>168456</v>
          </cell>
          <cell r="Y125">
            <v>0</v>
          </cell>
          <cell r="Z125">
            <v>0</v>
          </cell>
          <cell r="AA125">
            <v>0</v>
          </cell>
          <cell r="AB125">
            <v>-0.1</v>
          </cell>
          <cell r="AC125">
            <v>0</v>
          </cell>
          <cell r="AD125">
            <v>0</v>
          </cell>
          <cell r="AE125">
            <v>0</v>
          </cell>
          <cell r="AF125">
            <v>-0.1</v>
          </cell>
          <cell r="AG125">
            <v>-0.1</v>
          </cell>
          <cell r="AH125">
            <v>-0.1</v>
          </cell>
          <cell r="AI125">
            <v>0</v>
          </cell>
          <cell r="AJ125">
            <v>0.1</v>
          </cell>
          <cell r="AK125">
            <v>0</v>
          </cell>
          <cell r="AL125">
            <v>0</v>
          </cell>
          <cell r="AM125">
            <v>0</v>
          </cell>
          <cell r="AN125">
            <v>0.2</v>
          </cell>
          <cell r="AO125">
            <v>0</v>
          </cell>
          <cell r="AP125">
            <v>0</v>
          </cell>
          <cell r="AQ125">
            <v>0</v>
          </cell>
          <cell r="AR125">
            <v>0</v>
          </cell>
          <cell r="AV125">
            <v>0.1</v>
          </cell>
          <cell r="AW125">
            <v>0.1</v>
          </cell>
          <cell r="AX125">
            <v>0</v>
          </cell>
          <cell r="AY125">
            <v>0</v>
          </cell>
          <cell r="AZ125">
            <v>0</v>
          </cell>
          <cell r="BA125">
            <v>0</v>
          </cell>
          <cell r="BB125">
            <v>0</v>
          </cell>
          <cell r="BC125">
            <v>0</v>
          </cell>
          <cell r="BD125">
            <v>0</v>
          </cell>
          <cell r="BG125">
            <v>0.1</v>
          </cell>
          <cell r="BJ125">
            <v>0</v>
          </cell>
          <cell r="BM125">
            <v>0.1</v>
          </cell>
          <cell r="BP125">
            <v>0.2</v>
          </cell>
          <cell r="BQ125">
            <v>0.1</v>
          </cell>
          <cell r="BR125">
            <v>0.1</v>
          </cell>
          <cell r="BS125">
            <v>0</v>
          </cell>
          <cell r="BT125">
            <v>0</v>
          </cell>
          <cell r="BU125">
            <v>0</v>
          </cell>
          <cell r="BV125">
            <v>0</v>
          </cell>
          <cell r="BW125">
            <v>0.1</v>
          </cell>
          <cell r="BX125">
            <v>1</v>
          </cell>
          <cell r="BY125">
            <v>0.3</v>
          </cell>
          <cell r="BZ125">
            <v>0.5</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row>
        <row r="126">
          <cell r="D126">
            <v>2362</v>
          </cell>
          <cell r="G126">
            <v>11350</v>
          </cell>
          <cell r="J126">
            <v>4792</v>
          </cell>
          <cell r="M126">
            <v>7302</v>
          </cell>
          <cell r="N126">
            <v>4617</v>
          </cell>
          <cell r="O126">
            <v>11820</v>
          </cell>
          <cell r="P126">
            <v>10559</v>
          </cell>
          <cell r="Q126">
            <v>8851</v>
          </cell>
          <cell r="R126">
            <v>1411</v>
          </cell>
          <cell r="S126">
            <v>3759</v>
          </cell>
          <cell r="T126">
            <v>17790</v>
          </cell>
          <cell r="U126">
            <v>158129</v>
          </cell>
          <cell r="V126">
            <v>14392</v>
          </cell>
          <cell r="W126">
            <v>2569</v>
          </cell>
          <cell r="X126">
            <v>174801</v>
          </cell>
          <cell r="Y126">
            <v>-0.5</v>
          </cell>
          <cell r="Z126">
            <v>0</v>
          </cell>
          <cell r="AA126">
            <v>-0.4</v>
          </cell>
          <cell r="AB126">
            <v>-0.1</v>
          </cell>
          <cell r="AC126">
            <v>0</v>
          </cell>
          <cell r="AD126">
            <v>0</v>
          </cell>
          <cell r="AE126">
            <v>0</v>
          </cell>
          <cell r="AF126">
            <v>0</v>
          </cell>
          <cell r="AG126">
            <v>0.1</v>
          </cell>
          <cell r="AH126">
            <v>0</v>
          </cell>
          <cell r="AI126">
            <v>0</v>
          </cell>
          <cell r="AJ126">
            <v>-0.2</v>
          </cell>
          <cell r="AK126">
            <v>-0.1</v>
          </cell>
          <cell r="AL126">
            <v>0.1</v>
          </cell>
          <cell r="AM126">
            <v>0</v>
          </cell>
          <cell r="AN126">
            <v>-0.1</v>
          </cell>
          <cell r="AO126">
            <v>0</v>
          </cell>
          <cell r="AP126">
            <v>0</v>
          </cell>
          <cell r="AQ126">
            <v>0</v>
          </cell>
          <cell r="AR126">
            <v>0</v>
          </cell>
          <cell r="AV126">
            <v>0.1</v>
          </cell>
          <cell r="AW126">
            <v>0.1</v>
          </cell>
          <cell r="AX126">
            <v>0</v>
          </cell>
          <cell r="AY126">
            <v>0</v>
          </cell>
          <cell r="AZ126">
            <v>0</v>
          </cell>
          <cell r="BA126">
            <v>0</v>
          </cell>
          <cell r="BB126">
            <v>0</v>
          </cell>
          <cell r="BC126">
            <v>0</v>
          </cell>
          <cell r="BD126">
            <v>0</v>
          </cell>
          <cell r="BG126">
            <v>0</v>
          </cell>
          <cell r="BJ126">
            <v>0</v>
          </cell>
          <cell r="BM126">
            <v>0</v>
          </cell>
          <cell r="BP126">
            <v>0.1</v>
          </cell>
          <cell r="BQ126">
            <v>0.1</v>
          </cell>
          <cell r="BR126">
            <v>0</v>
          </cell>
          <cell r="BS126">
            <v>0</v>
          </cell>
          <cell r="BT126">
            <v>0.1</v>
          </cell>
          <cell r="BU126">
            <v>0</v>
          </cell>
          <cell r="BV126">
            <v>0</v>
          </cell>
          <cell r="BW126">
            <v>0.1</v>
          </cell>
          <cell r="BX126">
            <v>0.5</v>
          </cell>
          <cell r="BY126">
            <v>0.1</v>
          </cell>
          <cell r="BZ126">
            <v>0.1</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row>
        <row r="127">
          <cell r="D127">
            <v>2537</v>
          </cell>
          <cell r="G127">
            <v>10715</v>
          </cell>
          <cell r="J127">
            <v>4791</v>
          </cell>
          <cell r="M127">
            <v>7485</v>
          </cell>
          <cell r="N127">
            <v>4780</v>
          </cell>
          <cell r="O127">
            <v>11882</v>
          </cell>
          <cell r="P127">
            <v>10522</v>
          </cell>
          <cell r="Q127">
            <v>9142</v>
          </cell>
          <cell r="R127">
            <v>1458</v>
          </cell>
          <cell r="S127">
            <v>3840</v>
          </cell>
          <cell r="T127">
            <v>17961</v>
          </cell>
          <cell r="U127">
            <v>163967</v>
          </cell>
          <cell r="V127">
            <v>15197</v>
          </cell>
          <cell r="W127">
            <v>-1747</v>
          </cell>
          <cell r="X127">
            <v>177103</v>
          </cell>
          <cell r="Y127">
            <v>0.3</v>
          </cell>
          <cell r="Z127">
            <v>0.1</v>
          </cell>
          <cell r="AA127">
            <v>0.3</v>
          </cell>
          <cell r="AB127">
            <v>0</v>
          </cell>
          <cell r="AC127">
            <v>0</v>
          </cell>
          <cell r="AD127">
            <v>0</v>
          </cell>
          <cell r="AE127">
            <v>0</v>
          </cell>
          <cell r="AF127">
            <v>0</v>
          </cell>
          <cell r="AG127">
            <v>0</v>
          </cell>
          <cell r="AH127">
            <v>0</v>
          </cell>
          <cell r="AI127">
            <v>0</v>
          </cell>
          <cell r="AJ127">
            <v>0</v>
          </cell>
          <cell r="AK127">
            <v>0</v>
          </cell>
          <cell r="AL127">
            <v>0</v>
          </cell>
          <cell r="AM127">
            <v>0.1</v>
          </cell>
          <cell r="AN127">
            <v>0.2</v>
          </cell>
          <cell r="AO127">
            <v>0</v>
          </cell>
          <cell r="AP127">
            <v>0</v>
          </cell>
          <cell r="AQ127">
            <v>0</v>
          </cell>
          <cell r="AR127">
            <v>0</v>
          </cell>
          <cell r="AV127">
            <v>0.2</v>
          </cell>
          <cell r="AW127">
            <v>0.1</v>
          </cell>
          <cell r="AX127">
            <v>0</v>
          </cell>
          <cell r="AY127">
            <v>0.1</v>
          </cell>
          <cell r="AZ127">
            <v>0</v>
          </cell>
          <cell r="BA127">
            <v>0</v>
          </cell>
          <cell r="BB127">
            <v>0</v>
          </cell>
          <cell r="BC127">
            <v>0.1</v>
          </cell>
          <cell r="BD127">
            <v>0.1</v>
          </cell>
          <cell r="BG127">
            <v>0.1</v>
          </cell>
          <cell r="BJ127">
            <v>-0.3</v>
          </cell>
          <cell r="BM127">
            <v>0</v>
          </cell>
          <cell r="BP127">
            <v>0</v>
          </cell>
          <cell r="BQ127">
            <v>0.1</v>
          </cell>
          <cell r="BR127">
            <v>0</v>
          </cell>
          <cell r="BS127">
            <v>0</v>
          </cell>
          <cell r="BT127">
            <v>0.2</v>
          </cell>
          <cell r="BU127">
            <v>0</v>
          </cell>
          <cell r="BV127">
            <v>0</v>
          </cell>
          <cell r="BW127">
            <v>0.1</v>
          </cell>
          <cell r="BX127">
            <v>1.2</v>
          </cell>
          <cell r="BY127">
            <v>0.1</v>
          </cell>
          <cell r="BZ127">
            <v>0.8</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row>
        <row r="128">
          <cell r="D128">
            <v>2639</v>
          </cell>
          <cell r="G128">
            <v>10660</v>
          </cell>
          <cell r="J128">
            <v>4719</v>
          </cell>
          <cell r="M128">
            <v>7488</v>
          </cell>
          <cell r="N128">
            <v>4797</v>
          </cell>
          <cell r="O128">
            <v>11818</v>
          </cell>
          <cell r="P128">
            <v>10567</v>
          </cell>
          <cell r="Q128">
            <v>9115</v>
          </cell>
          <cell r="R128">
            <v>1447</v>
          </cell>
          <cell r="S128">
            <v>3949</v>
          </cell>
          <cell r="T128">
            <v>18130</v>
          </cell>
          <cell r="U128">
            <v>174249</v>
          </cell>
          <cell r="V128">
            <v>15686</v>
          </cell>
          <cell r="W128">
            <v>3359</v>
          </cell>
          <cell r="X128">
            <v>192978</v>
          </cell>
          <cell r="Y128">
            <v>0.2</v>
          </cell>
          <cell r="Z128">
            <v>0</v>
          </cell>
          <cell r="AA128">
            <v>0.1</v>
          </cell>
          <cell r="AB128">
            <v>0.1</v>
          </cell>
          <cell r="AC128">
            <v>-0.1</v>
          </cell>
          <cell r="AD128">
            <v>0</v>
          </cell>
          <cell r="AE128">
            <v>0.1</v>
          </cell>
          <cell r="AF128">
            <v>0.2</v>
          </cell>
          <cell r="AG128">
            <v>0</v>
          </cell>
          <cell r="AH128">
            <v>0.2</v>
          </cell>
          <cell r="AI128">
            <v>0.1</v>
          </cell>
          <cell r="AJ128">
            <v>0</v>
          </cell>
          <cell r="AK128">
            <v>0.2</v>
          </cell>
          <cell r="AL128">
            <v>0.1</v>
          </cell>
          <cell r="AM128">
            <v>0.1</v>
          </cell>
          <cell r="AN128">
            <v>0.6</v>
          </cell>
          <cell r="AO128">
            <v>0.1</v>
          </cell>
          <cell r="AP128">
            <v>0</v>
          </cell>
          <cell r="AQ128">
            <v>0</v>
          </cell>
          <cell r="AR128">
            <v>0.1</v>
          </cell>
          <cell r="AV128">
            <v>0.1</v>
          </cell>
          <cell r="AW128">
            <v>0.1</v>
          </cell>
          <cell r="AX128">
            <v>0.1</v>
          </cell>
          <cell r="AY128">
            <v>-0.1</v>
          </cell>
          <cell r="AZ128">
            <v>0.1</v>
          </cell>
          <cell r="BA128">
            <v>0</v>
          </cell>
          <cell r="BB128">
            <v>0</v>
          </cell>
          <cell r="BC128">
            <v>0</v>
          </cell>
          <cell r="BD128">
            <v>0.1</v>
          </cell>
          <cell r="BG128">
            <v>0</v>
          </cell>
          <cell r="BJ128">
            <v>0</v>
          </cell>
          <cell r="BM128">
            <v>0</v>
          </cell>
          <cell r="BP128">
            <v>0.1</v>
          </cell>
          <cell r="BQ128">
            <v>0.1</v>
          </cell>
          <cell r="BR128">
            <v>0.1</v>
          </cell>
          <cell r="BS128">
            <v>0</v>
          </cell>
          <cell r="BT128">
            <v>0</v>
          </cell>
          <cell r="BU128">
            <v>0</v>
          </cell>
          <cell r="BV128">
            <v>0</v>
          </cell>
          <cell r="BW128">
            <v>0.1</v>
          </cell>
          <cell r="BX128">
            <v>1.7</v>
          </cell>
          <cell r="BY128">
            <v>0.1</v>
          </cell>
          <cell r="BZ128">
            <v>1.5</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row>
        <row r="129">
          <cell r="D129">
            <v>2306</v>
          </cell>
          <cell r="G129">
            <v>10854</v>
          </cell>
          <cell r="J129">
            <v>4933</v>
          </cell>
          <cell r="M129">
            <v>7876</v>
          </cell>
          <cell r="N129">
            <v>5036</v>
          </cell>
          <cell r="O129">
            <v>11811</v>
          </cell>
          <cell r="P129">
            <v>10679</v>
          </cell>
          <cell r="Q129">
            <v>9385</v>
          </cell>
          <cell r="R129">
            <v>1464</v>
          </cell>
          <cell r="S129">
            <v>3912</v>
          </cell>
          <cell r="T129">
            <v>18305</v>
          </cell>
          <cell r="U129">
            <v>159918</v>
          </cell>
          <cell r="V129">
            <v>15355</v>
          </cell>
          <cell r="W129">
            <v>-921</v>
          </cell>
          <cell r="X129">
            <v>174014</v>
          </cell>
          <cell r="Y129">
            <v>-0.1</v>
          </cell>
          <cell r="Z129">
            <v>0</v>
          </cell>
          <cell r="AA129">
            <v>-0.1</v>
          </cell>
          <cell r="AB129">
            <v>0</v>
          </cell>
          <cell r="AC129">
            <v>0</v>
          </cell>
          <cell r="AD129">
            <v>0</v>
          </cell>
          <cell r="AE129">
            <v>0</v>
          </cell>
          <cell r="AF129">
            <v>0</v>
          </cell>
          <cell r="AG129">
            <v>0</v>
          </cell>
          <cell r="AH129">
            <v>-0.1</v>
          </cell>
          <cell r="AI129">
            <v>0</v>
          </cell>
          <cell r="AJ129">
            <v>0.1</v>
          </cell>
          <cell r="AK129">
            <v>0</v>
          </cell>
          <cell r="AL129">
            <v>0</v>
          </cell>
          <cell r="AM129">
            <v>-0.1</v>
          </cell>
          <cell r="AN129">
            <v>-0.2</v>
          </cell>
          <cell r="AO129">
            <v>0.1</v>
          </cell>
          <cell r="AP129">
            <v>0</v>
          </cell>
          <cell r="AQ129">
            <v>0</v>
          </cell>
          <cell r="AR129">
            <v>0.1</v>
          </cell>
          <cell r="AV129">
            <v>0.3</v>
          </cell>
          <cell r="AW129">
            <v>0.1</v>
          </cell>
          <cell r="AX129">
            <v>0</v>
          </cell>
          <cell r="AY129">
            <v>0.2</v>
          </cell>
          <cell r="AZ129">
            <v>-0.1</v>
          </cell>
          <cell r="BA129">
            <v>0</v>
          </cell>
          <cell r="BB129">
            <v>0.1</v>
          </cell>
          <cell r="BC129">
            <v>0</v>
          </cell>
          <cell r="BD129">
            <v>0</v>
          </cell>
          <cell r="BG129">
            <v>-0.1</v>
          </cell>
          <cell r="BJ129">
            <v>0.1</v>
          </cell>
          <cell r="BM129">
            <v>0</v>
          </cell>
          <cell r="BP129">
            <v>0.1</v>
          </cell>
          <cell r="BQ129">
            <v>0</v>
          </cell>
          <cell r="BR129">
            <v>-0.1</v>
          </cell>
          <cell r="BS129">
            <v>0.1</v>
          </cell>
          <cell r="BT129">
            <v>0.2</v>
          </cell>
          <cell r="BU129">
            <v>0</v>
          </cell>
          <cell r="BV129">
            <v>0.1</v>
          </cell>
          <cell r="BW129">
            <v>0.1</v>
          </cell>
          <cell r="BX129">
            <v>0.5</v>
          </cell>
          <cell r="BY129">
            <v>0.3</v>
          </cell>
          <cell r="BZ129">
            <v>1.1000000000000001</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row>
        <row r="130">
          <cell r="D130">
            <v>2632</v>
          </cell>
          <cell r="G130">
            <v>11034</v>
          </cell>
          <cell r="J130">
            <v>4937</v>
          </cell>
          <cell r="M130">
            <v>7862</v>
          </cell>
          <cell r="N130">
            <v>4989</v>
          </cell>
          <cell r="O130">
            <v>11729</v>
          </cell>
          <cell r="P130">
            <v>10855</v>
          </cell>
          <cell r="Q130">
            <v>9397</v>
          </cell>
          <cell r="R130">
            <v>1437</v>
          </cell>
          <cell r="S130">
            <v>4032</v>
          </cell>
          <cell r="T130">
            <v>18485</v>
          </cell>
          <cell r="U130">
            <v>166533</v>
          </cell>
          <cell r="V130">
            <v>15756</v>
          </cell>
          <cell r="W130">
            <v>1493</v>
          </cell>
          <cell r="X130">
            <v>183432</v>
          </cell>
          <cell r="Y130">
            <v>0</v>
          </cell>
          <cell r="Z130">
            <v>0</v>
          </cell>
          <cell r="AA130">
            <v>0</v>
          </cell>
          <cell r="AB130">
            <v>0</v>
          </cell>
          <cell r="AC130">
            <v>0</v>
          </cell>
          <cell r="AD130">
            <v>0</v>
          </cell>
          <cell r="AE130">
            <v>0.1</v>
          </cell>
          <cell r="AF130">
            <v>0.1</v>
          </cell>
          <cell r="AG130">
            <v>-0.1</v>
          </cell>
          <cell r="AH130">
            <v>0</v>
          </cell>
          <cell r="AI130">
            <v>-0.1</v>
          </cell>
          <cell r="AJ130">
            <v>0.1</v>
          </cell>
          <cell r="AK130">
            <v>-0.1</v>
          </cell>
          <cell r="AL130">
            <v>0.2</v>
          </cell>
          <cell r="AM130">
            <v>0.2</v>
          </cell>
          <cell r="AN130">
            <v>0.2</v>
          </cell>
          <cell r="AO130">
            <v>0</v>
          </cell>
          <cell r="AP130">
            <v>0</v>
          </cell>
          <cell r="AQ130">
            <v>0</v>
          </cell>
          <cell r="AR130">
            <v>0</v>
          </cell>
          <cell r="AV130">
            <v>0.2</v>
          </cell>
          <cell r="AW130">
            <v>0.1</v>
          </cell>
          <cell r="AX130">
            <v>0</v>
          </cell>
          <cell r="AY130">
            <v>0</v>
          </cell>
          <cell r="AZ130">
            <v>0</v>
          </cell>
          <cell r="BA130">
            <v>0</v>
          </cell>
          <cell r="BB130">
            <v>0</v>
          </cell>
          <cell r="BC130">
            <v>0</v>
          </cell>
          <cell r="BD130">
            <v>0</v>
          </cell>
          <cell r="BG130">
            <v>0.1</v>
          </cell>
          <cell r="BJ130">
            <v>0.1</v>
          </cell>
          <cell r="BM130">
            <v>0.1</v>
          </cell>
          <cell r="BP130">
            <v>0.1</v>
          </cell>
          <cell r="BQ130">
            <v>0</v>
          </cell>
          <cell r="BR130">
            <v>0</v>
          </cell>
          <cell r="BS130">
            <v>0.1</v>
          </cell>
          <cell r="BT130">
            <v>-0.1</v>
          </cell>
          <cell r="BU130">
            <v>0</v>
          </cell>
          <cell r="BV130">
            <v>0</v>
          </cell>
          <cell r="BW130">
            <v>0.1</v>
          </cell>
          <cell r="BX130">
            <v>1.5</v>
          </cell>
          <cell r="BY130">
            <v>0.3</v>
          </cell>
          <cell r="BZ130">
            <v>2.1</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row>
        <row r="131">
          <cell r="D131">
            <v>2767</v>
          </cell>
          <cell r="G131">
            <v>11427</v>
          </cell>
          <cell r="J131">
            <v>5168</v>
          </cell>
          <cell r="M131">
            <v>8145</v>
          </cell>
          <cell r="N131">
            <v>5094</v>
          </cell>
          <cell r="O131">
            <v>11621</v>
          </cell>
          <cell r="P131">
            <v>11171</v>
          </cell>
          <cell r="Q131">
            <v>9320</v>
          </cell>
          <cell r="R131">
            <v>1466</v>
          </cell>
          <cell r="S131">
            <v>4177</v>
          </cell>
          <cell r="T131">
            <v>18677</v>
          </cell>
          <cell r="U131">
            <v>171960</v>
          </cell>
          <cell r="V131">
            <v>16205</v>
          </cell>
          <cell r="W131">
            <v>-1006</v>
          </cell>
          <cell r="X131">
            <v>186804</v>
          </cell>
          <cell r="Y131">
            <v>0.3</v>
          </cell>
          <cell r="Z131">
            <v>0</v>
          </cell>
          <cell r="AA131">
            <v>0.3</v>
          </cell>
          <cell r="AB131">
            <v>0.1</v>
          </cell>
          <cell r="AC131">
            <v>0.1</v>
          </cell>
          <cell r="AD131">
            <v>0</v>
          </cell>
          <cell r="AE131">
            <v>0</v>
          </cell>
          <cell r="AF131">
            <v>0.2</v>
          </cell>
          <cell r="AG131">
            <v>-0.1</v>
          </cell>
          <cell r="AH131">
            <v>0.2</v>
          </cell>
          <cell r="AI131">
            <v>0.1</v>
          </cell>
          <cell r="AJ131">
            <v>-0.2</v>
          </cell>
          <cell r="AK131">
            <v>0</v>
          </cell>
          <cell r="AL131">
            <v>-0.1</v>
          </cell>
          <cell r="AM131">
            <v>0</v>
          </cell>
          <cell r="AN131">
            <v>-0.3</v>
          </cell>
          <cell r="AO131">
            <v>0.1</v>
          </cell>
          <cell r="AP131">
            <v>0</v>
          </cell>
          <cell r="AQ131">
            <v>0</v>
          </cell>
          <cell r="AR131">
            <v>0.1</v>
          </cell>
          <cell r="AV131">
            <v>0.1</v>
          </cell>
          <cell r="AW131">
            <v>0</v>
          </cell>
          <cell r="AX131">
            <v>0</v>
          </cell>
          <cell r="AY131">
            <v>0</v>
          </cell>
          <cell r="AZ131">
            <v>0.1</v>
          </cell>
          <cell r="BA131">
            <v>-0.1</v>
          </cell>
          <cell r="BB131">
            <v>0</v>
          </cell>
          <cell r="BC131">
            <v>0</v>
          </cell>
          <cell r="BD131">
            <v>0</v>
          </cell>
          <cell r="BG131">
            <v>0.1</v>
          </cell>
          <cell r="BJ131">
            <v>0.3</v>
          </cell>
          <cell r="BM131">
            <v>0.1</v>
          </cell>
          <cell r="BP131">
            <v>0.1</v>
          </cell>
          <cell r="BQ131">
            <v>0</v>
          </cell>
          <cell r="BR131">
            <v>-0.1</v>
          </cell>
          <cell r="BS131">
            <v>0.2</v>
          </cell>
          <cell r="BT131">
            <v>-0.1</v>
          </cell>
          <cell r="BU131">
            <v>0</v>
          </cell>
          <cell r="BV131">
            <v>0.1</v>
          </cell>
          <cell r="BW131">
            <v>0.1</v>
          </cell>
          <cell r="BX131">
            <v>1.1000000000000001</v>
          </cell>
          <cell r="BY131">
            <v>-0.1</v>
          </cell>
          <cell r="BZ131">
            <v>0.8</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row>
        <row r="132">
          <cell r="D132">
            <v>2926</v>
          </cell>
          <cell r="G132">
            <v>11696</v>
          </cell>
          <cell r="J132">
            <v>5244</v>
          </cell>
          <cell r="M132">
            <v>8190</v>
          </cell>
          <cell r="N132">
            <v>5086</v>
          </cell>
          <cell r="O132">
            <v>11391</v>
          </cell>
          <cell r="P132">
            <v>11346</v>
          </cell>
          <cell r="Q132">
            <v>9378</v>
          </cell>
          <cell r="R132">
            <v>1469</v>
          </cell>
          <cell r="S132">
            <v>4247</v>
          </cell>
          <cell r="T132">
            <v>18855</v>
          </cell>
          <cell r="U132">
            <v>181446</v>
          </cell>
          <cell r="V132">
            <v>16559</v>
          </cell>
          <cell r="W132">
            <v>2578</v>
          </cell>
          <cell r="X132">
            <v>200292</v>
          </cell>
          <cell r="Y132">
            <v>0</v>
          </cell>
          <cell r="Z132">
            <v>0</v>
          </cell>
          <cell r="AA132">
            <v>0</v>
          </cell>
          <cell r="AB132">
            <v>-0.1</v>
          </cell>
          <cell r="AC132">
            <v>0.1</v>
          </cell>
          <cell r="AD132">
            <v>0</v>
          </cell>
          <cell r="AE132">
            <v>0</v>
          </cell>
          <cell r="AF132">
            <v>0</v>
          </cell>
          <cell r="AG132">
            <v>0</v>
          </cell>
          <cell r="AH132">
            <v>0</v>
          </cell>
          <cell r="AI132">
            <v>0</v>
          </cell>
          <cell r="AJ132">
            <v>-0.1</v>
          </cell>
          <cell r="AK132">
            <v>0</v>
          </cell>
          <cell r="AL132">
            <v>0</v>
          </cell>
          <cell r="AM132">
            <v>0</v>
          </cell>
          <cell r="AN132">
            <v>-0.1</v>
          </cell>
          <cell r="AO132">
            <v>0</v>
          </cell>
          <cell r="AP132">
            <v>0</v>
          </cell>
          <cell r="AQ132">
            <v>0</v>
          </cell>
          <cell r="AR132">
            <v>0</v>
          </cell>
          <cell r="AV132">
            <v>-0.2</v>
          </cell>
          <cell r="AW132">
            <v>-0.1</v>
          </cell>
          <cell r="AX132">
            <v>0</v>
          </cell>
          <cell r="AY132">
            <v>0</v>
          </cell>
          <cell r="AZ132">
            <v>0</v>
          </cell>
          <cell r="BA132">
            <v>0</v>
          </cell>
          <cell r="BB132">
            <v>0</v>
          </cell>
          <cell r="BC132">
            <v>0</v>
          </cell>
          <cell r="BD132">
            <v>0</v>
          </cell>
          <cell r="BG132">
            <v>0</v>
          </cell>
          <cell r="BJ132">
            <v>0.1</v>
          </cell>
          <cell r="BM132">
            <v>0.1</v>
          </cell>
          <cell r="BP132">
            <v>0.1</v>
          </cell>
          <cell r="BQ132">
            <v>0.1</v>
          </cell>
          <cell r="BR132">
            <v>0</v>
          </cell>
          <cell r="BS132">
            <v>0.1</v>
          </cell>
          <cell r="BT132">
            <v>0.1</v>
          </cell>
          <cell r="BU132">
            <v>0</v>
          </cell>
          <cell r="BV132">
            <v>0</v>
          </cell>
          <cell r="BW132">
            <v>0.1</v>
          </cell>
          <cell r="BX132">
            <v>0.2</v>
          </cell>
          <cell r="BY132">
            <v>0</v>
          </cell>
          <cell r="BZ132">
            <v>-0.3</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row>
        <row r="133">
          <cell r="D133">
            <v>2673</v>
          </cell>
          <cell r="G133">
            <v>11872</v>
          </cell>
          <cell r="J133">
            <v>5426</v>
          </cell>
          <cell r="M133">
            <v>8406</v>
          </cell>
          <cell r="N133">
            <v>5219</v>
          </cell>
          <cell r="O133">
            <v>11625</v>
          </cell>
          <cell r="P133">
            <v>11445</v>
          </cell>
          <cell r="Q133">
            <v>9508</v>
          </cell>
          <cell r="R133">
            <v>1488</v>
          </cell>
          <cell r="S133">
            <v>4181</v>
          </cell>
          <cell r="T133">
            <v>19019</v>
          </cell>
          <cell r="U133">
            <v>167344</v>
          </cell>
          <cell r="V133">
            <v>15493</v>
          </cell>
          <cell r="W133">
            <v>-2365</v>
          </cell>
          <cell r="X133">
            <v>180157</v>
          </cell>
          <cell r="Y133">
            <v>-0.1</v>
          </cell>
          <cell r="Z133">
            <v>0</v>
          </cell>
          <cell r="AA133">
            <v>-0.1</v>
          </cell>
          <cell r="AB133">
            <v>0</v>
          </cell>
          <cell r="AC133">
            <v>0.1</v>
          </cell>
          <cell r="AD133">
            <v>0</v>
          </cell>
          <cell r="AE133">
            <v>0.1</v>
          </cell>
          <cell r="AF133">
            <v>0.3</v>
          </cell>
          <cell r="AG133">
            <v>0.2</v>
          </cell>
          <cell r="AH133">
            <v>0.4</v>
          </cell>
          <cell r="AI133">
            <v>0.1</v>
          </cell>
          <cell r="AJ133">
            <v>0.1</v>
          </cell>
          <cell r="AK133">
            <v>0</v>
          </cell>
          <cell r="AL133">
            <v>0</v>
          </cell>
          <cell r="AM133">
            <v>0</v>
          </cell>
          <cell r="AN133">
            <v>0.1</v>
          </cell>
          <cell r="AO133">
            <v>0</v>
          </cell>
          <cell r="AP133">
            <v>0</v>
          </cell>
          <cell r="AQ133">
            <v>0</v>
          </cell>
          <cell r="AR133">
            <v>0</v>
          </cell>
          <cell r="AV133">
            <v>-0.1</v>
          </cell>
          <cell r="AW133">
            <v>0</v>
          </cell>
          <cell r="AX133">
            <v>0.1</v>
          </cell>
          <cell r="AY133">
            <v>0.1</v>
          </cell>
          <cell r="AZ133">
            <v>0</v>
          </cell>
          <cell r="BA133">
            <v>0.1</v>
          </cell>
          <cell r="BB133">
            <v>0</v>
          </cell>
          <cell r="BC133">
            <v>0.1</v>
          </cell>
          <cell r="BD133">
            <v>0.2</v>
          </cell>
          <cell r="BG133">
            <v>0</v>
          </cell>
          <cell r="BJ133">
            <v>0.1</v>
          </cell>
          <cell r="BM133">
            <v>0</v>
          </cell>
          <cell r="BP133">
            <v>0</v>
          </cell>
          <cell r="BQ133">
            <v>0</v>
          </cell>
          <cell r="BR133">
            <v>0</v>
          </cell>
          <cell r="BS133">
            <v>0.1</v>
          </cell>
          <cell r="BT133">
            <v>0.1</v>
          </cell>
          <cell r="BU133">
            <v>0</v>
          </cell>
          <cell r="BV133">
            <v>0</v>
          </cell>
          <cell r="BW133">
            <v>0.1</v>
          </cell>
          <cell r="BX133">
            <v>1.1000000000000001</v>
          </cell>
          <cell r="BY133">
            <v>-0.1</v>
          </cell>
          <cell r="BZ133">
            <v>0.8</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row>
        <row r="134">
          <cell r="D134">
            <v>2938</v>
          </cell>
          <cell r="G134">
            <v>11719</v>
          </cell>
          <cell r="J134">
            <v>5328</v>
          </cell>
          <cell r="M134">
            <v>8194</v>
          </cell>
          <cell r="N134">
            <v>5124</v>
          </cell>
          <cell r="O134">
            <v>11681</v>
          </cell>
          <cell r="P134">
            <v>11468</v>
          </cell>
          <cell r="Q134">
            <v>9780</v>
          </cell>
          <cell r="R134">
            <v>1486</v>
          </cell>
          <cell r="S134">
            <v>4227</v>
          </cell>
          <cell r="T134">
            <v>19172</v>
          </cell>
          <cell r="U134">
            <v>171023</v>
          </cell>
          <cell r="V134">
            <v>15509</v>
          </cell>
          <cell r="W134">
            <v>-48</v>
          </cell>
          <cell r="X134">
            <v>186210</v>
          </cell>
          <cell r="Y134">
            <v>0</v>
          </cell>
          <cell r="Z134">
            <v>0</v>
          </cell>
          <cell r="AA134">
            <v>0</v>
          </cell>
          <cell r="AB134">
            <v>0</v>
          </cell>
          <cell r="AC134">
            <v>0</v>
          </cell>
          <cell r="AD134">
            <v>0</v>
          </cell>
          <cell r="AE134">
            <v>0.1</v>
          </cell>
          <cell r="AF134">
            <v>0.1</v>
          </cell>
          <cell r="AG134">
            <v>-0.2</v>
          </cell>
          <cell r="AH134">
            <v>0.1</v>
          </cell>
          <cell r="AI134">
            <v>-0.1</v>
          </cell>
          <cell r="AJ134">
            <v>-0.1</v>
          </cell>
          <cell r="AK134">
            <v>0</v>
          </cell>
          <cell r="AL134">
            <v>0</v>
          </cell>
          <cell r="AM134">
            <v>0</v>
          </cell>
          <cell r="AN134">
            <v>-0.1</v>
          </cell>
          <cell r="AO134">
            <v>0</v>
          </cell>
          <cell r="AP134">
            <v>0</v>
          </cell>
          <cell r="AQ134">
            <v>0</v>
          </cell>
          <cell r="AR134">
            <v>0</v>
          </cell>
          <cell r="AV134">
            <v>-0.3</v>
          </cell>
          <cell r="AW134">
            <v>-0.1</v>
          </cell>
          <cell r="AX134">
            <v>0</v>
          </cell>
          <cell r="AY134">
            <v>0</v>
          </cell>
          <cell r="AZ134">
            <v>0</v>
          </cell>
          <cell r="BA134">
            <v>0</v>
          </cell>
          <cell r="BB134">
            <v>0</v>
          </cell>
          <cell r="BC134">
            <v>0</v>
          </cell>
          <cell r="BD134">
            <v>0</v>
          </cell>
          <cell r="BG134">
            <v>0.1</v>
          </cell>
          <cell r="BJ134">
            <v>-0.1</v>
          </cell>
          <cell r="BM134">
            <v>0</v>
          </cell>
          <cell r="BP134">
            <v>0</v>
          </cell>
          <cell r="BQ134">
            <v>0</v>
          </cell>
          <cell r="BR134">
            <v>0</v>
          </cell>
          <cell r="BS134">
            <v>0</v>
          </cell>
          <cell r="BT134">
            <v>0.1</v>
          </cell>
          <cell r="BU134">
            <v>0</v>
          </cell>
          <cell r="BV134">
            <v>0</v>
          </cell>
          <cell r="BW134">
            <v>0.1</v>
          </cell>
          <cell r="BX134">
            <v>-0.1</v>
          </cell>
          <cell r="BY134">
            <v>0</v>
          </cell>
          <cell r="BZ134">
            <v>0.1</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row>
        <row r="135">
          <cell r="D135">
            <v>2888</v>
          </cell>
          <cell r="G135">
            <v>11614</v>
          </cell>
          <cell r="J135">
            <v>5322</v>
          </cell>
          <cell r="M135">
            <v>8094</v>
          </cell>
          <cell r="N135">
            <v>5152</v>
          </cell>
          <cell r="O135">
            <v>11659</v>
          </cell>
          <cell r="P135">
            <v>11403</v>
          </cell>
          <cell r="Q135">
            <v>9877</v>
          </cell>
          <cell r="R135">
            <v>1494</v>
          </cell>
          <cell r="S135">
            <v>4267</v>
          </cell>
          <cell r="T135">
            <v>19318</v>
          </cell>
          <cell r="U135">
            <v>173885</v>
          </cell>
          <cell r="V135">
            <v>15500</v>
          </cell>
          <cell r="W135">
            <v>-2003</v>
          </cell>
          <cell r="X135">
            <v>187109</v>
          </cell>
          <cell r="Y135">
            <v>0.2</v>
          </cell>
          <cell r="Z135">
            <v>0</v>
          </cell>
          <cell r="AA135">
            <v>0.2</v>
          </cell>
          <cell r="AB135">
            <v>0</v>
          </cell>
          <cell r="AC135">
            <v>-0.1</v>
          </cell>
          <cell r="AD135">
            <v>0</v>
          </cell>
          <cell r="AE135">
            <v>0</v>
          </cell>
          <cell r="AF135">
            <v>0</v>
          </cell>
          <cell r="AG135">
            <v>0.1</v>
          </cell>
          <cell r="AH135">
            <v>0</v>
          </cell>
          <cell r="AI135">
            <v>0.1</v>
          </cell>
          <cell r="AJ135">
            <v>0.1</v>
          </cell>
          <cell r="AK135">
            <v>-0.1</v>
          </cell>
          <cell r="AL135">
            <v>0</v>
          </cell>
          <cell r="AM135">
            <v>-0.1</v>
          </cell>
          <cell r="AN135">
            <v>-0.1</v>
          </cell>
          <cell r="AO135">
            <v>0</v>
          </cell>
          <cell r="AP135">
            <v>0</v>
          </cell>
          <cell r="AQ135">
            <v>0</v>
          </cell>
          <cell r="AR135">
            <v>0</v>
          </cell>
          <cell r="AV135">
            <v>0.2</v>
          </cell>
          <cell r="AW135">
            <v>-0.1</v>
          </cell>
          <cell r="AX135">
            <v>0</v>
          </cell>
          <cell r="AY135">
            <v>0</v>
          </cell>
          <cell r="AZ135">
            <v>0</v>
          </cell>
          <cell r="BA135">
            <v>0</v>
          </cell>
          <cell r="BB135">
            <v>0</v>
          </cell>
          <cell r="BC135">
            <v>0</v>
          </cell>
          <cell r="BD135">
            <v>0</v>
          </cell>
          <cell r="BG135">
            <v>0</v>
          </cell>
          <cell r="BJ135">
            <v>0</v>
          </cell>
          <cell r="BM135">
            <v>0</v>
          </cell>
          <cell r="BP135">
            <v>-0.1</v>
          </cell>
          <cell r="BQ135">
            <v>0</v>
          </cell>
          <cell r="BR135">
            <v>0</v>
          </cell>
          <cell r="BS135">
            <v>0</v>
          </cell>
          <cell r="BT135">
            <v>0</v>
          </cell>
          <cell r="BU135">
            <v>0</v>
          </cell>
          <cell r="BV135">
            <v>0</v>
          </cell>
          <cell r="BW135">
            <v>0.1</v>
          </cell>
          <cell r="BX135">
            <v>0.1</v>
          </cell>
          <cell r="BY135">
            <v>-0.3</v>
          </cell>
          <cell r="BZ135">
            <v>-0.6</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row>
        <row r="136">
          <cell r="D136">
            <v>3042</v>
          </cell>
          <cell r="G136">
            <v>11384</v>
          </cell>
          <cell r="J136">
            <v>5339</v>
          </cell>
          <cell r="M136">
            <v>8131</v>
          </cell>
          <cell r="N136">
            <v>5220</v>
          </cell>
          <cell r="O136">
            <v>11593</v>
          </cell>
          <cell r="P136">
            <v>11425</v>
          </cell>
          <cell r="Q136">
            <v>9839</v>
          </cell>
          <cell r="R136">
            <v>1498</v>
          </cell>
          <cell r="S136">
            <v>4338</v>
          </cell>
          <cell r="T136">
            <v>19467</v>
          </cell>
          <cell r="U136">
            <v>182677</v>
          </cell>
          <cell r="V136">
            <v>16465</v>
          </cell>
          <cell r="W136">
            <v>2391</v>
          </cell>
          <cell r="X136">
            <v>201227</v>
          </cell>
          <cell r="Y136">
            <v>0.1</v>
          </cell>
          <cell r="Z136">
            <v>0</v>
          </cell>
          <cell r="AA136">
            <v>0.1</v>
          </cell>
          <cell r="AB136">
            <v>0</v>
          </cell>
          <cell r="AC136">
            <v>0</v>
          </cell>
          <cell r="AD136">
            <v>0</v>
          </cell>
          <cell r="AE136">
            <v>0.1</v>
          </cell>
          <cell r="AF136">
            <v>0.1</v>
          </cell>
          <cell r="AG136">
            <v>-0.2</v>
          </cell>
          <cell r="AH136">
            <v>0</v>
          </cell>
          <cell r="AI136">
            <v>0</v>
          </cell>
          <cell r="AJ136">
            <v>0.1</v>
          </cell>
          <cell r="AK136">
            <v>0</v>
          </cell>
          <cell r="AL136">
            <v>0</v>
          </cell>
          <cell r="AM136">
            <v>-0.1</v>
          </cell>
          <cell r="AN136">
            <v>0</v>
          </cell>
          <cell r="AO136">
            <v>0</v>
          </cell>
          <cell r="AP136">
            <v>0</v>
          </cell>
          <cell r="AQ136">
            <v>0.1</v>
          </cell>
          <cell r="AR136">
            <v>0</v>
          </cell>
          <cell r="AV136">
            <v>-0.1</v>
          </cell>
          <cell r="AW136">
            <v>-0.1</v>
          </cell>
          <cell r="AX136">
            <v>-0.1</v>
          </cell>
          <cell r="AY136">
            <v>-0.1</v>
          </cell>
          <cell r="AZ136">
            <v>0</v>
          </cell>
          <cell r="BA136">
            <v>0</v>
          </cell>
          <cell r="BB136">
            <v>0</v>
          </cell>
          <cell r="BC136">
            <v>0</v>
          </cell>
          <cell r="BD136">
            <v>-0.1</v>
          </cell>
          <cell r="BG136">
            <v>0</v>
          </cell>
          <cell r="BJ136">
            <v>-0.1</v>
          </cell>
          <cell r="BM136">
            <v>0.1</v>
          </cell>
          <cell r="BP136">
            <v>0.1</v>
          </cell>
          <cell r="BQ136">
            <v>0.1</v>
          </cell>
          <cell r="BR136">
            <v>0</v>
          </cell>
          <cell r="BS136">
            <v>0</v>
          </cell>
          <cell r="BT136">
            <v>0.1</v>
          </cell>
          <cell r="BU136">
            <v>0</v>
          </cell>
          <cell r="BV136">
            <v>0</v>
          </cell>
          <cell r="BW136">
            <v>0.1</v>
          </cell>
          <cell r="BX136">
            <v>-0.1</v>
          </cell>
          <cell r="BY136">
            <v>0.3</v>
          </cell>
          <cell r="BZ136">
            <v>0.6</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row>
        <row r="137">
          <cell r="D137">
            <v>2914</v>
          </cell>
          <cell r="G137">
            <v>11581</v>
          </cell>
          <cell r="J137">
            <v>5426</v>
          </cell>
          <cell r="M137">
            <v>8378</v>
          </cell>
          <cell r="N137">
            <v>5383</v>
          </cell>
          <cell r="O137">
            <v>11893</v>
          </cell>
          <cell r="P137">
            <v>11459</v>
          </cell>
          <cell r="Q137">
            <v>10009</v>
          </cell>
          <cell r="R137">
            <v>1497</v>
          </cell>
          <cell r="S137">
            <v>4214</v>
          </cell>
          <cell r="T137">
            <v>19610</v>
          </cell>
          <cell r="U137">
            <v>166429</v>
          </cell>
          <cell r="V137">
            <v>15271</v>
          </cell>
          <cell r="W137">
            <v>-2577</v>
          </cell>
          <cell r="X137">
            <v>178825</v>
          </cell>
          <cell r="Y137">
            <v>-0.2</v>
          </cell>
          <cell r="Z137">
            <v>0</v>
          </cell>
          <cell r="AA137">
            <v>-0.2</v>
          </cell>
          <cell r="AB137">
            <v>0</v>
          </cell>
          <cell r="AC137">
            <v>0</v>
          </cell>
          <cell r="AD137">
            <v>0</v>
          </cell>
          <cell r="AE137">
            <v>-0.1</v>
          </cell>
          <cell r="AF137">
            <v>-0.1</v>
          </cell>
          <cell r="AG137">
            <v>0</v>
          </cell>
          <cell r="AH137">
            <v>-0.1</v>
          </cell>
          <cell r="AI137">
            <v>0</v>
          </cell>
          <cell r="AJ137">
            <v>-0.3</v>
          </cell>
          <cell r="AK137">
            <v>0.1</v>
          </cell>
          <cell r="AL137">
            <v>-0.1</v>
          </cell>
          <cell r="AM137">
            <v>0</v>
          </cell>
          <cell r="AN137">
            <v>-0.2</v>
          </cell>
          <cell r="AO137">
            <v>0</v>
          </cell>
          <cell r="AP137">
            <v>0</v>
          </cell>
          <cell r="AQ137">
            <v>0</v>
          </cell>
          <cell r="AR137">
            <v>0</v>
          </cell>
          <cell r="AV137">
            <v>-0.3</v>
          </cell>
          <cell r="AW137">
            <v>-0.1</v>
          </cell>
          <cell r="AX137">
            <v>0</v>
          </cell>
          <cell r="AY137">
            <v>0</v>
          </cell>
          <cell r="AZ137">
            <v>0</v>
          </cell>
          <cell r="BA137">
            <v>0</v>
          </cell>
          <cell r="BB137">
            <v>0</v>
          </cell>
          <cell r="BC137">
            <v>0</v>
          </cell>
          <cell r="BD137">
            <v>0</v>
          </cell>
          <cell r="BG137">
            <v>0.1</v>
          </cell>
          <cell r="BJ137">
            <v>0.1</v>
          </cell>
          <cell r="BM137">
            <v>0</v>
          </cell>
          <cell r="BP137">
            <v>0</v>
          </cell>
          <cell r="BQ137">
            <v>0</v>
          </cell>
          <cell r="BR137">
            <v>0.1</v>
          </cell>
          <cell r="BS137">
            <v>0</v>
          </cell>
          <cell r="BT137">
            <v>0.1</v>
          </cell>
          <cell r="BU137">
            <v>0</v>
          </cell>
          <cell r="BV137">
            <v>0</v>
          </cell>
          <cell r="BW137">
            <v>0.1</v>
          </cell>
          <cell r="BX137">
            <v>-0.8</v>
          </cell>
          <cell r="BY137">
            <v>-0.1</v>
          </cell>
          <cell r="BZ137">
            <v>-1.3</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row>
        <row r="138">
          <cell r="D138">
            <v>3083</v>
          </cell>
          <cell r="G138">
            <v>11754</v>
          </cell>
          <cell r="J138">
            <v>5328</v>
          </cell>
          <cell r="M138">
            <v>8439</v>
          </cell>
          <cell r="N138">
            <v>5389</v>
          </cell>
          <cell r="O138">
            <v>11934</v>
          </cell>
          <cell r="P138">
            <v>11504</v>
          </cell>
          <cell r="Q138">
            <v>10202</v>
          </cell>
          <cell r="R138">
            <v>1518</v>
          </cell>
          <cell r="S138">
            <v>4184</v>
          </cell>
          <cell r="T138">
            <v>19746</v>
          </cell>
          <cell r="U138">
            <v>170472</v>
          </cell>
          <cell r="V138">
            <v>14933</v>
          </cell>
          <cell r="W138">
            <v>-1754</v>
          </cell>
          <cell r="X138">
            <v>183380</v>
          </cell>
          <cell r="Y138">
            <v>0.1</v>
          </cell>
          <cell r="Z138">
            <v>0</v>
          </cell>
          <cell r="AA138">
            <v>0.1</v>
          </cell>
          <cell r="AB138">
            <v>0.1</v>
          </cell>
          <cell r="AC138">
            <v>-0.1</v>
          </cell>
          <cell r="AD138">
            <v>0</v>
          </cell>
          <cell r="AE138">
            <v>0</v>
          </cell>
          <cell r="AF138">
            <v>0.1</v>
          </cell>
          <cell r="AG138">
            <v>0</v>
          </cell>
          <cell r="AH138">
            <v>0.1</v>
          </cell>
          <cell r="AI138">
            <v>-0.1</v>
          </cell>
          <cell r="AJ138">
            <v>0.3</v>
          </cell>
          <cell r="AK138">
            <v>-0.1</v>
          </cell>
          <cell r="AL138">
            <v>0.1</v>
          </cell>
          <cell r="AM138">
            <v>-0.1</v>
          </cell>
          <cell r="AN138">
            <v>-0.1</v>
          </cell>
          <cell r="AO138">
            <v>0</v>
          </cell>
          <cell r="AP138">
            <v>0</v>
          </cell>
          <cell r="AQ138">
            <v>0</v>
          </cell>
          <cell r="AR138">
            <v>0</v>
          </cell>
          <cell r="AV138">
            <v>-0.2</v>
          </cell>
          <cell r="AW138">
            <v>0</v>
          </cell>
          <cell r="AX138">
            <v>0</v>
          </cell>
          <cell r="AY138">
            <v>0</v>
          </cell>
          <cell r="AZ138">
            <v>0</v>
          </cell>
          <cell r="BA138">
            <v>0</v>
          </cell>
          <cell r="BB138">
            <v>0</v>
          </cell>
          <cell r="BC138">
            <v>0</v>
          </cell>
          <cell r="BD138">
            <v>0.1</v>
          </cell>
          <cell r="BG138">
            <v>0</v>
          </cell>
          <cell r="BJ138">
            <v>0.1</v>
          </cell>
          <cell r="BM138">
            <v>0</v>
          </cell>
          <cell r="BP138">
            <v>0.1</v>
          </cell>
          <cell r="BQ138">
            <v>0.1</v>
          </cell>
          <cell r="BR138">
            <v>0</v>
          </cell>
          <cell r="BS138">
            <v>0</v>
          </cell>
          <cell r="BT138">
            <v>0</v>
          </cell>
          <cell r="BU138">
            <v>0</v>
          </cell>
          <cell r="BV138">
            <v>0</v>
          </cell>
          <cell r="BW138">
            <v>0.1</v>
          </cell>
          <cell r="BX138">
            <v>0</v>
          </cell>
          <cell r="BY138">
            <v>-0.2</v>
          </cell>
          <cell r="BZ138">
            <v>-0.2</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row>
        <row r="139">
          <cell r="D139">
            <v>3154</v>
          </cell>
          <cell r="G139">
            <v>11932</v>
          </cell>
          <cell r="J139">
            <v>5287</v>
          </cell>
          <cell r="M139">
            <v>8705</v>
          </cell>
          <cell r="N139">
            <v>5478</v>
          </cell>
          <cell r="O139">
            <v>12208</v>
          </cell>
          <cell r="P139">
            <v>11477</v>
          </cell>
          <cell r="Q139">
            <v>10431</v>
          </cell>
          <cell r="R139">
            <v>1516</v>
          </cell>
          <cell r="S139">
            <v>4241</v>
          </cell>
          <cell r="T139">
            <v>19869</v>
          </cell>
          <cell r="U139">
            <v>172528</v>
          </cell>
          <cell r="V139">
            <v>15586</v>
          </cell>
          <cell r="W139">
            <v>-1574</v>
          </cell>
          <cell r="X139">
            <v>186248</v>
          </cell>
          <cell r="Y139">
            <v>-0.2</v>
          </cell>
          <cell r="Z139">
            <v>0</v>
          </cell>
          <cell r="AA139">
            <v>-0.2</v>
          </cell>
          <cell r="AB139">
            <v>0</v>
          </cell>
          <cell r="AC139">
            <v>0</v>
          </cell>
          <cell r="AD139">
            <v>0</v>
          </cell>
          <cell r="AE139">
            <v>0.1</v>
          </cell>
          <cell r="AF139">
            <v>0.1</v>
          </cell>
          <cell r="AG139">
            <v>-0.1</v>
          </cell>
          <cell r="AH139">
            <v>0.1</v>
          </cell>
          <cell r="AI139">
            <v>0</v>
          </cell>
          <cell r="AJ139">
            <v>0</v>
          </cell>
          <cell r="AK139">
            <v>0</v>
          </cell>
          <cell r="AL139">
            <v>0</v>
          </cell>
          <cell r="AM139">
            <v>0.1</v>
          </cell>
          <cell r="AN139">
            <v>0</v>
          </cell>
          <cell r="AO139">
            <v>0</v>
          </cell>
          <cell r="AP139">
            <v>0</v>
          </cell>
          <cell r="AQ139">
            <v>0</v>
          </cell>
          <cell r="AR139">
            <v>0</v>
          </cell>
          <cell r="AV139">
            <v>-0.2</v>
          </cell>
          <cell r="AW139">
            <v>0</v>
          </cell>
          <cell r="AX139">
            <v>0.1</v>
          </cell>
          <cell r="AY139">
            <v>0</v>
          </cell>
          <cell r="AZ139">
            <v>0</v>
          </cell>
          <cell r="BA139">
            <v>0</v>
          </cell>
          <cell r="BB139">
            <v>0</v>
          </cell>
          <cell r="BC139">
            <v>0</v>
          </cell>
          <cell r="BD139">
            <v>0.1</v>
          </cell>
          <cell r="BG139">
            <v>0</v>
          </cell>
          <cell r="BJ139">
            <v>0.1</v>
          </cell>
          <cell r="BM139">
            <v>-0.1</v>
          </cell>
          <cell r="BP139">
            <v>0.1</v>
          </cell>
          <cell r="BQ139">
            <v>0</v>
          </cell>
          <cell r="BR139">
            <v>0.2</v>
          </cell>
          <cell r="BS139">
            <v>0</v>
          </cell>
          <cell r="BT139">
            <v>0.1</v>
          </cell>
          <cell r="BU139">
            <v>0</v>
          </cell>
          <cell r="BV139">
            <v>0</v>
          </cell>
          <cell r="BW139">
            <v>0.1</v>
          </cell>
          <cell r="BX139">
            <v>-0.2</v>
          </cell>
          <cell r="BY139">
            <v>0.1</v>
          </cell>
          <cell r="BZ139">
            <v>0.5</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0.1</v>
          </cell>
        </row>
        <row r="140">
          <cell r="D140">
            <v>3284</v>
          </cell>
          <cell r="G140">
            <v>12112</v>
          </cell>
          <cell r="J140">
            <v>5051</v>
          </cell>
          <cell r="M140">
            <v>8432</v>
          </cell>
          <cell r="N140">
            <v>5297</v>
          </cell>
          <cell r="O140">
            <v>12191</v>
          </cell>
          <cell r="P140">
            <v>11522</v>
          </cell>
          <cell r="Q140">
            <v>10051</v>
          </cell>
          <cell r="R140">
            <v>1540</v>
          </cell>
          <cell r="S140">
            <v>4242</v>
          </cell>
          <cell r="T140">
            <v>20008</v>
          </cell>
          <cell r="U140">
            <v>178339</v>
          </cell>
          <cell r="V140">
            <v>16077</v>
          </cell>
          <cell r="W140">
            <v>2298</v>
          </cell>
          <cell r="X140">
            <v>196416</v>
          </cell>
          <cell r="Y140">
            <v>-0.2</v>
          </cell>
          <cell r="Z140">
            <v>0</v>
          </cell>
          <cell r="AA140">
            <v>-0.2</v>
          </cell>
          <cell r="AB140">
            <v>0</v>
          </cell>
          <cell r="AC140">
            <v>0</v>
          </cell>
          <cell r="AD140">
            <v>0.1</v>
          </cell>
          <cell r="AE140">
            <v>0</v>
          </cell>
          <cell r="AF140">
            <v>0.1</v>
          </cell>
          <cell r="AG140">
            <v>0.1</v>
          </cell>
          <cell r="AH140">
            <v>0.2</v>
          </cell>
          <cell r="AI140">
            <v>0</v>
          </cell>
          <cell r="AJ140">
            <v>-0.1</v>
          </cell>
          <cell r="AK140">
            <v>0</v>
          </cell>
          <cell r="AL140">
            <v>0</v>
          </cell>
          <cell r="AM140">
            <v>0</v>
          </cell>
          <cell r="AN140">
            <v>-0.1</v>
          </cell>
          <cell r="AO140">
            <v>0</v>
          </cell>
          <cell r="AP140">
            <v>0</v>
          </cell>
          <cell r="AQ140">
            <v>0</v>
          </cell>
          <cell r="AR140">
            <v>0</v>
          </cell>
          <cell r="AV140">
            <v>0</v>
          </cell>
          <cell r="AW140">
            <v>0</v>
          </cell>
          <cell r="AX140">
            <v>0</v>
          </cell>
          <cell r="AY140">
            <v>0</v>
          </cell>
          <cell r="AZ140">
            <v>0</v>
          </cell>
          <cell r="BA140">
            <v>0</v>
          </cell>
          <cell r="BB140">
            <v>0</v>
          </cell>
          <cell r="BC140">
            <v>0</v>
          </cell>
          <cell r="BD140">
            <v>0</v>
          </cell>
          <cell r="BG140">
            <v>0</v>
          </cell>
          <cell r="BJ140">
            <v>0.1</v>
          </cell>
          <cell r="BM140">
            <v>0</v>
          </cell>
          <cell r="BP140">
            <v>0</v>
          </cell>
          <cell r="BQ140">
            <v>0</v>
          </cell>
          <cell r="BR140">
            <v>0.1</v>
          </cell>
          <cell r="BS140">
            <v>0</v>
          </cell>
          <cell r="BT140">
            <v>-0.1</v>
          </cell>
          <cell r="BU140">
            <v>0</v>
          </cell>
          <cell r="BV140">
            <v>0</v>
          </cell>
          <cell r="BW140">
            <v>0.1</v>
          </cell>
          <cell r="BX140">
            <v>-0.3</v>
          </cell>
          <cell r="BY140">
            <v>0</v>
          </cell>
          <cell r="BZ140">
            <v>0.1</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row>
        <row r="141">
          <cell r="D141">
            <v>3086</v>
          </cell>
          <cell r="G141">
            <v>12130</v>
          </cell>
          <cell r="J141">
            <v>5306</v>
          </cell>
          <cell r="M141">
            <v>8786</v>
          </cell>
          <cell r="N141">
            <v>5565</v>
          </cell>
          <cell r="O141">
            <v>12327</v>
          </cell>
          <cell r="P141">
            <v>11651</v>
          </cell>
          <cell r="Q141">
            <v>10105</v>
          </cell>
          <cell r="R141">
            <v>1527</v>
          </cell>
          <cell r="S141">
            <v>4121</v>
          </cell>
          <cell r="T141">
            <v>20158</v>
          </cell>
          <cell r="U141">
            <v>168322</v>
          </cell>
          <cell r="V141">
            <v>15138</v>
          </cell>
          <cell r="W141">
            <v>-751</v>
          </cell>
          <cell r="X141">
            <v>182431</v>
          </cell>
          <cell r="Y141">
            <v>0.4</v>
          </cell>
          <cell r="Z141">
            <v>0</v>
          </cell>
          <cell r="AA141">
            <v>0.4</v>
          </cell>
          <cell r="AB141">
            <v>0</v>
          </cell>
          <cell r="AC141">
            <v>0</v>
          </cell>
          <cell r="AD141">
            <v>-0.1</v>
          </cell>
          <cell r="AE141">
            <v>0</v>
          </cell>
          <cell r="AF141">
            <v>0</v>
          </cell>
          <cell r="AG141">
            <v>-0.1</v>
          </cell>
          <cell r="AH141">
            <v>-0.1</v>
          </cell>
          <cell r="AI141">
            <v>0.1</v>
          </cell>
          <cell r="AJ141">
            <v>-0.2</v>
          </cell>
          <cell r="AK141">
            <v>0</v>
          </cell>
          <cell r="AL141">
            <v>-0.1</v>
          </cell>
          <cell r="AM141">
            <v>0</v>
          </cell>
          <cell r="AN141">
            <v>-0.1</v>
          </cell>
          <cell r="AO141">
            <v>0</v>
          </cell>
          <cell r="AP141">
            <v>0</v>
          </cell>
          <cell r="AQ141">
            <v>0</v>
          </cell>
          <cell r="AR141">
            <v>0</v>
          </cell>
          <cell r="AV141">
            <v>0.1</v>
          </cell>
          <cell r="AW141">
            <v>0.1</v>
          </cell>
          <cell r="AX141">
            <v>0</v>
          </cell>
          <cell r="AY141">
            <v>0</v>
          </cell>
          <cell r="AZ141">
            <v>0.1</v>
          </cell>
          <cell r="BA141">
            <v>0</v>
          </cell>
          <cell r="BB141">
            <v>0</v>
          </cell>
          <cell r="BC141">
            <v>-0.1</v>
          </cell>
          <cell r="BD141">
            <v>0</v>
          </cell>
          <cell r="BG141">
            <v>0</v>
          </cell>
          <cell r="BJ141">
            <v>0</v>
          </cell>
          <cell r="BM141">
            <v>0</v>
          </cell>
          <cell r="BP141">
            <v>0</v>
          </cell>
          <cell r="BQ141">
            <v>0</v>
          </cell>
          <cell r="BR141">
            <v>0</v>
          </cell>
          <cell r="BS141">
            <v>0.1</v>
          </cell>
          <cell r="BT141">
            <v>0</v>
          </cell>
          <cell r="BU141">
            <v>0</v>
          </cell>
          <cell r="BV141">
            <v>0</v>
          </cell>
          <cell r="BW141">
            <v>0.1</v>
          </cell>
          <cell r="BX141">
            <v>1.1000000000000001</v>
          </cell>
          <cell r="BY141">
            <v>0</v>
          </cell>
          <cell r="BZ141">
            <v>0.8</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row>
        <row r="142">
          <cell r="D142">
            <v>3264</v>
          </cell>
          <cell r="G142">
            <v>12456</v>
          </cell>
          <cell r="J142">
            <v>5361</v>
          </cell>
          <cell r="M142">
            <v>8596</v>
          </cell>
          <cell r="N142">
            <v>5552</v>
          </cell>
          <cell r="O142">
            <v>12391</v>
          </cell>
          <cell r="P142">
            <v>11863</v>
          </cell>
          <cell r="Q142">
            <v>10155</v>
          </cell>
          <cell r="R142">
            <v>1565</v>
          </cell>
          <cell r="S142">
            <v>4201</v>
          </cell>
          <cell r="T142">
            <v>20318</v>
          </cell>
          <cell r="U142">
            <v>172884</v>
          </cell>
          <cell r="V142">
            <v>15337</v>
          </cell>
          <cell r="W142">
            <v>821</v>
          </cell>
          <cell r="X142">
            <v>188764</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V142">
            <v>0</v>
          </cell>
          <cell r="AW142">
            <v>-0.1</v>
          </cell>
          <cell r="AX142">
            <v>0</v>
          </cell>
          <cell r="AY142">
            <v>0</v>
          </cell>
          <cell r="AZ142">
            <v>-0.1</v>
          </cell>
          <cell r="BA142">
            <v>0</v>
          </cell>
          <cell r="BB142">
            <v>0</v>
          </cell>
          <cell r="BC142">
            <v>0</v>
          </cell>
          <cell r="BD142">
            <v>-0.1</v>
          </cell>
          <cell r="BG142">
            <v>0</v>
          </cell>
          <cell r="BJ142">
            <v>0.2</v>
          </cell>
          <cell r="BM142">
            <v>0.1</v>
          </cell>
          <cell r="BP142">
            <v>0</v>
          </cell>
          <cell r="BQ142">
            <v>0</v>
          </cell>
          <cell r="BR142">
            <v>0</v>
          </cell>
          <cell r="BS142">
            <v>0.1</v>
          </cell>
          <cell r="BT142">
            <v>0</v>
          </cell>
          <cell r="BU142">
            <v>0</v>
          </cell>
          <cell r="BV142">
            <v>0</v>
          </cell>
          <cell r="BW142">
            <v>0.1</v>
          </cell>
          <cell r="BX142">
            <v>0.3</v>
          </cell>
          <cell r="BY142">
            <v>0.1</v>
          </cell>
          <cell r="BZ142">
            <v>0.7</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row>
        <row r="143">
          <cell r="D143">
            <v>3429</v>
          </cell>
          <cell r="G143">
            <v>12382</v>
          </cell>
          <cell r="J143">
            <v>5635</v>
          </cell>
          <cell r="M143">
            <v>8545</v>
          </cell>
          <cell r="N143">
            <v>5697</v>
          </cell>
          <cell r="O143">
            <v>12366</v>
          </cell>
          <cell r="P143">
            <v>12252</v>
          </cell>
          <cell r="Q143">
            <v>10161</v>
          </cell>
          <cell r="R143">
            <v>1539</v>
          </cell>
          <cell r="S143">
            <v>4282</v>
          </cell>
          <cell r="T143">
            <v>20477</v>
          </cell>
          <cell r="U143">
            <v>175317</v>
          </cell>
          <cell r="V143">
            <v>15914</v>
          </cell>
          <cell r="W143">
            <v>566</v>
          </cell>
          <cell r="X143">
            <v>191496</v>
          </cell>
          <cell r="Y143">
            <v>0</v>
          </cell>
          <cell r="Z143">
            <v>0</v>
          </cell>
          <cell r="AA143">
            <v>-0.1</v>
          </cell>
          <cell r="AB143">
            <v>0</v>
          </cell>
          <cell r="AC143">
            <v>0</v>
          </cell>
          <cell r="AD143">
            <v>0</v>
          </cell>
          <cell r="AE143">
            <v>0</v>
          </cell>
          <cell r="AF143">
            <v>0</v>
          </cell>
          <cell r="AG143">
            <v>0.1</v>
          </cell>
          <cell r="AH143">
            <v>0</v>
          </cell>
          <cell r="AI143">
            <v>-0.1</v>
          </cell>
          <cell r="AJ143">
            <v>0.1</v>
          </cell>
          <cell r="AK143">
            <v>-0.1</v>
          </cell>
          <cell r="AL143">
            <v>0.1</v>
          </cell>
          <cell r="AM143">
            <v>0</v>
          </cell>
          <cell r="AN143">
            <v>0</v>
          </cell>
          <cell r="AO143">
            <v>0</v>
          </cell>
          <cell r="AP143">
            <v>0</v>
          </cell>
          <cell r="AQ143">
            <v>0</v>
          </cell>
          <cell r="AR143">
            <v>0.1</v>
          </cell>
          <cell r="AV143">
            <v>0.1</v>
          </cell>
          <cell r="AW143">
            <v>0</v>
          </cell>
          <cell r="AX143">
            <v>0</v>
          </cell>
          <cell r="AY143">
            <v>0</v>
          </cell>
          <cell r="AZ143">
            <v>0</v>
          </cell>
          <cell r="BA143">
            <v>0</v>
          </cell>
          <cell r="BB143">
            <v>0</v>
          </cell>
          <cell r="BC143">
            <v>0</v>
          </cell>
          <cell r="BD143">
            <v>-0.1</v>
          </cell>
          <cell r="BG143">
            <v>0.1</v>
          </cell>
          <cell r="BJ143">
            <v>0</v>
          </cell>
          <cell r="BM143">
            <v>0.1</v>
          </cell>
          <cell r="BP143">
            <v>-0.1</v>
          </cell>
          <cell r="BQ143">
            <v>0</v>
          </cell>
          <cell r="BR143">
            <v>0</v>
          </cell>
          <cell r="BS143">
            <v>0.2</v>
          </cell>
          <cell r="BT143">
            <v>0</v>
          </cell>
          <cell r="BU143">
            <v>0</v>
          </cell>
          <cell r="BV143">
            <v>0</v>
          </cell>
          <cell r="BW143">
            <v>0.1</v>
          </cell>
          <cell r="BX143">
            <v>0.4</v>
          </cell>
          <cell r="BY143">
            <v>0.1</v>
          </cell>
          <cell r="BZ143">
            <v>1</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row>
        <row r="144">
          <cell r="D144">
            <v>3606</v>
          </cell>
          <cell r="G144">
            <v>12468</v>
          </cell>
          <cell r="J144">
            <v>5613</v>
          </cell>
          <cell r="M144">
            <v>8183</v>
          </cell>
          <cell r="N144">
            <v>5577</v>
          </cell>
          <cell r="O144">
            <v>12377</v>
          </cell>
          <cell r="P144">
            <v>12464</v>
          </cell>
          <cell r="Q144">
            <v>10137</v>
          </cell>
          <cell r="R144">
            <v>1557</v>
          </cell>
          <cell r="S144">
            <v>4351</v>
          </cell>
          <cell r="T144">
            <v>20642</v>
          </cell>
          <cell r="U144">
            <v>185148</v>
          </cell>
          <cell r="V144">
            <v>16575</v>
          </cell>
          <cell r="W144">
            <v>3203</v>
          </cell>
          <cell r="X144">
            <v>204624</v>
          </cell>
          <cell r="Y144">
            <v>0</v>
          </cell>
          <cell r="Z144">
            <v>0</v>
          </cell>
          <cell r="AA144">
            <v>0</v>
          </cell>
          <cell r="AB144">
            <v>0</v>
          </cell>
          <cell r="AC144">
            <v>0</v>
          </cell>
          <cell r="AD144">
            <v>0</v>
          </cell>
          <cell r="AE144">
            <v>0</v>
          </cell>
          <cell r="AF144">
            <v>0</v>
          </cell>
          <cell r="AG144">
            <v>0.1</v>
          </cell>
          <cell r="AH144">
            <v>0.1</v>
          </cell>
          <cell r="AI144">
            <v>0.1</v>
          </cell>
          <cell r="AJ144">
            <v>0</v>
          </cell>
          <cell r="AK144">
            <v>0.1</v>
          </cell>
          <cell r="AL144">
            <v>0</v>
          </cell>
          <cell r="AM144">
            <v>0.1</v>
          </cell>
          <cell r="AN144">
            <v>0.3</v>
          </cell>
          <cell r="AO144">
            <v>0</v>
          </cell>
          <cell r="AP144">
            <v>0</v>
          </cell>
          <cell r="AQ144">
            <v>-0.1</v>
          </cell>
          <cell r="AR144">
            <v>-0.1</v>
          </cell>
          <cell r="AV144">
            <v>0.2</v>
          </cell>
          <cell r="AW144">
            <v>0</v>
          </cell>
          <cell r="AX144">
            <v>0</v>
          </cell>
          <cell r="AY144">
            <v>0</v>
          </cell>
          <cell r="AZ144">
            <v>0</v>
          </cell>
          <cell r="BA144">
            <v>0</v>
          </cell>
          <cell r="BB144">
            <v>0</v>
          </cell>
          <cell r="BC144">
            <v>0.1</v>
          </cell>
          <cell r="BD144">
            <v>0.2</v>
          </cell>
          <cell r="BG144">
            <v>0.1</v>
          </cell>
          <cell r="BJ144">
            <v>0.1</v>
          </cell>
          <cell r="BM144">
            <v>0.1</v>
          </cell>
          <cell r="BP144">
            <v>0</v>
          </cell>
          <cell r="BQ144">
            <v>0</v>
          </cell>
          <cell r="BR144">
            <v>0.1</v>
          </cell>
          <cell r="BS144">
            <v>0.1</v>
          </cell>
          <cell r="BT144">
            <v>0.1</v>
          </cell>
          <cell r="BU144">
            <v>0</v>
          </cell>
          <cell r="BV144">
            <v>0</v>
          </cell>
          <cell r="BW144">
            <v>0.1</v>
          </cell>
          <cell r="BX144">
            <v>1.6</v>
          </cell>
          <cell r="BY144">
            <v>0</v>
          </cell>
          <cell r="BZ144">
            <v>2.1</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row>
        <row r="145">
          <cell r="D145">
            <v>3482</v>
          </cell>
          <cell r="G145">
            <v>12720</v>
          </cell>
          <cell r="J145">
            <v>5852</v>
          </cell>
          <cell r="M145">
            <v>8357</v>
          </cell>
          <cell r="N145">
            <v>5761</v>
          </cell>
          <cell r="O145">
            <v>12735</v>
          </cell>
          <cell r="P145">
            <v>12585</v>
          </cell>
          <cell r="Q145">
            <v>10332</v>
          </cell>
          <cell r="R145">
            <v>1551</v>
          </cell>
          <cell r="S145">
            <v>4233</v>
          </cell>
          <cell r="T145">
            <v>20816</v>
          </cell>
          <cell r="U145">
            <v>175412</v>
          </cell>
          <cell r="V145">
            <v>15636</v>
          </cell>
          <cell r="W145">
            <v>1223</v>
          </cell>
          <cell r="X145">
            <v>191989</v>
          </cell>
          <cell r="Y145">
            <v>0.5</v>
          </cell>
          <cell r="Z145">
            <v>0</v>
          </cell>
          <cell r="AA145">
            <v>0.5</v>
          </cell>
          <cell r="AB145">
            <v>0</v>
          </cell>
          <cell r="AC145">
            <v>-0.1</v>
          </cell>
          <cell r="AD145">
            <v>0</v>
          </cell>
          <cell r="AE145">
            <v>0</v>
          </cell>
          <cell r="AF145">
            <v>0</v>
          </cell>
          <cell r="AG145">
            <v>-0.1</v>
          </cell>
          <cell r="AH145">
            <v>-0.1</v>
          </cell>
          <cell r="AI145">
            <v>-0.1</v>
          </cell>
          <cell r="AJ145">
            <v>0.1</v>
          </cell>
          <cell r="AK145">
            <v>0.1</v>
          </cell>
          <cell r="AL145">
            <v>0</v>
          </cell>
          <cell r="AM145">
            <v>0</v>
          </cell>
          <cell r="AN145">
            <v>0.1</v>
          </cell>
          <cell r="AO145">
            <v>0</v>
          </cell>
          <cell r="AP145">
            <v>0</v>
          </cell>
          <cell r="AQ145">
            <v>0.1</v>
          </cell>
          <cell r="AR145">
            <v>0.1</v>
          </cell>
          <cell r="AV145">
            <v>0.2</v>
          </cell>
          <cell r="AW145">
            <v>0</v>
          </cell>
          <cell r="AX145">
            <v>0</v>
          </cell>
          <cell r="AY145">
            <v>0</v>
          </cell>
          <cell r="AZ145">
            <v>0</v>
          </cell>
          <cell r="BA145">
            <v>0</v>
          </cell>
          <cell r="BB145">
            <v>0</v>
          </cell>
          <cell r="BC145">
            <v>0</v>
          </cell>
          <cell r="BD145">
            <v>0</v>
          </cell>
          <cell r="BG145">
            <v>0.1</v>
          </cell>
          <cell r="BJ145">
            <v>0.1</v>
          </cell>
          <cell r="BM145">
            <v>0</v>
          </cell>
          <cell r="BP145">
            <v>-0.1</v>
          </cell>
          <cell r="BQ145">
            <v>0</v>
          </cell>
          <cell r="BR145">
            <v>0.1</v>
          </cell>
          <cell r="BS145">
            <v>0.1</v>
          </cell>
          <cell r="BT145">
            <v>0</v>
          </cell>
          <cell r="BU145">
            <v>0</v>
          </cell>
          <cell r="BV145">
            <v>0</v>
          </cell>
          <cell r="BW145">
            <v>0.1</v>
          </cell>
          <cell r="BX145">
            <v>1.5</v>
          </cell>
          <cell r="BY145">
            <v>0.1</v>
          </cell>
          <cell r="BZ145">
            <v>0.7</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row>
        <row r="146">
          <cell r="D146">
            <v>3766</v>
          </cell>
          <cell r="G146">
            <v>13060</v>
          </cell>
          <cell r="J146">
            <v>5752</v>
          </cell>
          <cell r="M146">
            <v>8215</v>
          </cell>
          <cell r="N146">
            <v>5659</v>
          </cell>
          <cell r="O146">
            <v>12839</v>
          </cell>
          <cell r="P146">
            <v>12613</v>
          </cell>
          <cell r="Q146">
            <v>10948</v>
          </cell>
          <cell r="R146">
            <v>1582</v>
          </cell>
          <cell r="S146">
            <v>4254</v>
          </cell>
          <cell r="T146">
            <v>20999</v>
          </cell>
          <cell r="U146">
            <v>180357</v>
          </cell>
          <cell r="V146">
            <v>15828</v>
          </cell>
          <cell r="W146">
            <v>285</v>
          </cell>
          <cell r="X146">
            <v>196195</v>
          </cell>
          <cell r="Y146">
            <v>-0.6</v>
          </cell>
          <cell r="Z146">
            <v>0</v>
          </cell>
          <cell r="AA146">
            <v>-0.5</v>
          </cell>
          <cell r="AB146">
            <v>0</v>
          </cell>
          <cell r="AC146">
            <v>0.1</v>
          </cell>
          <cell r="AD146">
            <v>0</v>
          </cell>
          <cell r="AE146">
            <v>0</v>
          </cell>
          <cell r="AF146">
            <v>0.1</v>
          </cell>
          <cell r="AG146">
            <v>0.1</v>
          </cell>
          <cell r="AH146">
            <v>0.1</v>
          </cell>
          <cell r="AI146">
            <v>0.1</v>
          </cell>
          <cell r="AJ146">
            <v>-0.1</v>
          </cell>
          <cell r="AK146">
            <v>0</v>
          </cell>
          <cell r="AL146">
            <v>0</v>
          </cell>
          <cell r="AM146">
            <v>0.1</v>
          </cell>
          <cell r="AN146">
            <v>0.1</v>
          </cell>
          <cell r="AO146">
            <v>0</v>
          </cell>
          <cell r="AP146">
            <v>0</v>
          </cell>
          <cell r="AQ146">
            <v>0.1</v>
          </cell>
          <cell r="AR146">
            <v>0.1</v>
          </cell>
          <cell r="AV146">
            <v>0.1</v>
          </cell>
          <cell r="AW146">
            <v>0</v>
          </cell>
          <cell r="AX146">
            <v>0.1</v>
          </cell>
          <cell r="AY146">
            <v>0</v>
          </cell>
          <cell r="AZ146">
            <v>0</v>
          </cell>
          <cell r="BA146">
            <v>0</v>
          </cell>
          <cell r="BB146">
            <v>0</v>
          </cell>
          <cell r="BC146">
            <v>0</v>
          </cell>
          <cell r="BD146">
            <v>0.1</v>
          </cell>
          <cell r="BG146">
            <v>0.1</v>
          </cell>
          <cell r="BJ146">
            <v>0.2</v>
          </cell>
          <cell r="BM146">
            <v>0</v>
          </cell>
          <cell r="BP146">
            <v>0</v>
          </cell>
          <cell r="BQ146">
            <v>0</v>
          </cell>
          <cell r="BR146">
            <v>0</v>
          </cell>
          <cell r="BS146">
            <v>0</v>
          </cell>
          <cell r="BT146">
            <v>0.1</v>
          </cell>
          <cell r="BU146">
            <v>0</v>
          </cell>
          <cell r="BV146">
            <v>0</v>
          </cell>
          <cell r="BW146">
            <v>0.1</v>
          </cell>
          <cell r="BX146">
            <v>0.3</v>
          </cell>
          <cell r="BY146">
            <v>0</v>
          </cell>
          <cell r="BZ146">
            <v>0.5</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row>
        <row r="147">
          <cell r="D147">
            <v>3838</v>
          </cell>
          <cell r="G147">
            <v>13755</v>
          </cell>
          <cell r="J147">
            <v>5772</v>
          </cell>
          <cell r="M147">
            <v>8415</v>
          </cell>
          <cell r="N147">
            <v>5719</v>
          </cell>
          <cell r="O147">
            <v>12900</v>
          </cell>
          <cell r="P147">
            <v>12552</v>
          </cell>
          <cell r="Q147">
            <v>11524</v>
          </cell>
          <cell r="R147">
            <v>1556</v>
          </cell>
          <cell r="S147">
            <v>4293</v>
          </cell>
          <cell r="T147">
            <v>21177</v>
          </cell>
          <cell r="U147">
            <v>183254</v>
          </cell>
          <cell r="V147">
            <v>16268</v>
          </cell>
          <cell r="W147">
            <v>-1612</v>
          </cell>
          <cell r="X147">
            <v>197613</v>
          </cell>
          <cell r="Y147">
            <v>0.1</v>
          </cell>
          <cell r="Z147">
            <v>0</v>
          </cell>
          <cell r="AA147">
            <v>0.1</v>
          </cell>
          <cell r="AB147">
            <v>0</v>
          </cell>
          <cell r="AC147">
            <v>-0.1</v>
          </cell>
          <cell r="AD147">
            <v>0</v>
          </cell>
          <cell r="AE147">
            <v>0</v>
          </cell>
          <cell r="AF147">
            <v>0</v>
          </cell>
          <cell r="AG147">
            <v>0</v>
          </cell>
          <cell r="AH147">
            <v>0</v>
          </cell>
          <cell r="AI147">
            <v>0</v>
          </cell>
          <cell r="AJ147">
            <v>0</v>
          </cell>
          <cell r="AK147">
            <v>0</v>
          </cell>
          <cell r="AL147">
            <v>0</v>
          </cell>
          <cell r="AM147">
            <v>0</v>
          </cell>
          <cell r="AN147">
            <v>-0.1</v>
          </cell>
          <cell r="AO147">
            <v>0</v>
          </cell>
          <cell r="AP147">
            <v>0</v>
          </cell>
          <cell r="AQ147">
            <v>0</v>
          </cell>
          <cell r="AR147">
            <v>-0.1</v>
          </cell>
          <cell r="AV147">
            <v>0</v>
          </cell>
          <cell r="AW147">
            <v>0.1</v>
          </cell>
          <cell r="AX147">
            <v>0</v>
          </cell>
          <cell r="AY147">
            <v>0</v>
          </cell>
          <cell r="AZ147">
            <v>0</v>
          </cell>
          <cell r="BA147">
            <v>0</v>
          </cell>
          <cell r="BB147">
            <v>0</v>
          </cell>
          <cell r="BC147">
            <v>0</v>
          </cell>
          <cell r="BD147">
            <v>0.1</v>
          </cell>
          <cell r="BG147">
            <v>0</v>
          </cell>
          <cell r="BJ147">
            <v>0.3</v>
          </cell>
          <cell r="BM147">
            <v>0</v>
          </cell>
          <cell r="BP147">
            <v>0</v>
          </cell>
          <cell r="BQ147">
            <v>0</v>
          </cell>
          <cell r="BR147">
            <v>0</v>
          </cell>
          <cell r="BS147">
            <v>0</v>
          </cell>
          <cell r="BT147">
            <v>0.1</v>
          </cell>
          <cell r="BU147">
            <v>0</v>
          </cell>
          <cell r="BV147">
            <v>0</v>
          </cell>
          <cell r="BW147">
            <v>0.1</v>
          </cell>
          <cell r="BX147">
            <v>0.6</v>
          </cell>
          <cell r="BY147">
            <v>0.1</v>
          </cell>
          <cell r="BZ147">
            <v>0.1</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row>
        <row r="148">
          <cell r="D148">
            <v>3981</v>
          </cell>
          <cell r="G148">
            <v>14151</v>
          </cell>
          <cell r="J148">
            <v>5588</v>
          </cell>
          <cell r="M148">
            <v>8331</v>
          </cell>
          <cell r="N148">
            <v>5592</v>
          </cell>
          <cell r="O148">
            <v>12712</v>
          </cell>
          <cell r="P148">
            <v>12581</v>
          </cell>
          <cell r="Q148">
            <v>10523</v>
          </cell>
          <cell r="R148">
            <v>1605</v>
          </cell>
          <cell r="S148">
            <v>4380</v>
          </cell>
          <cell r="T148">
            <v>21365</v>
          </cell>
          <cell r="U148">
            <v>192910</v>
          </cell>
          <cell r="V148">
            <v>17255</v>
          </cell>
          <cell r="W148">
            <v>3046</v>
          </cell>
          <cell r="X148">
            <v>212890</v>
          </cell>
          <cell r="Y148">
            <v>0.3</v>
          </cell>
          <cell r="Z148">
            <v>0</v>
          </cell>
          <cell r="AA148">
            <v>0.3</v>
          </cell>
          <cell r="AB148">
            <v>0</v>
          </cell>
          <cell r="AC148">
            <v>-0.1</v>
          </cell>
          <cell r="AD148">
            <v>0</v>
          </cell>
          <cell r="AE148">
            <v>0</v>
          </cell>
          <cell r="AF148">
            <v>-0.1</v>
          </cell>
          <cell r="AG148">
            <v>0</v>
          </cell>
          <cell r="AH148">
            <v>-0.1</v>
          </cell>
          <cell r="AI148">
            <v>0</v>
          </cell>
          <cell r="AJ148">
            <v>0.1</v>
          </cell>
          <cell r="AK148">
            <v>0.1</v>
          </cell>
          <cell r="AL148">
            <v>0.1</v>
          </cell>
          <cell r="AM148">
            <v>0.1</v>
          </cell>
          <cell r="AN148">
            <v>0.3</v>
          </cell>
          <cell r="AO148">
            <v>0.1</v>
          </cell>
          <cell r="AP148">
            <v>0</v>
          </cell>
          <cell r="AQ148">
            <v>0</v>
          </cell>
          <cell r="AR148">
            <v>0.1</v>
          </cell>
          <cell r="AV148">
            <v>-0.1</v>
          </cell>
          <cell r="AW148">
            <v>0.1</v>
          </cell>
          <cell r="AX148">
            <v>0.1</v>
          </cell>
          <cell r="AY148">
            <v>0.1</v>
          </cell>
          <cell r="AZ148">
            <v>0</v>
          </cell>
          <cell r="BA148">
            <v>0</v>
          </cell>
          <cell r="BB148">
            <v>0</v>
          </cell>
          <cell r="BC148">
            <v>0</v>
          </cell>
          <cell r="BD148">
            <v>0.1</v>
          </cell>
          <cell r="BG148">
            <v>0</v>
          </cell>
          <cell r="BJ148">
            <v>0.2</v>
          </cell>
          <cell r="BM148">
            <v>0</v>
          </cell>
          <cell r="BP148">
            <v>0.1</v>
          </cell>
          <cell r="BQ148">
            <v>0</v>
          </cell>
          <cell r="BR148">
            <v>0</v>
          </cell>
          <cell r="BS148">
            <v>0</v>
          </cell>
          <cell r="BT148">
            <v>0</v>
          </cell>
          <cell r="BU148">
            <v>0</v>
          </cell>
          <cell r="BV148">
            <v>0</v>
          </cell>
          <cell r="BW148">
            <v>0.1</v>
          </cell>
          <cell r="BX148">
            <v>0.9</v>
          </cell>
          <cell r="BY148">
            <v>0.2</v>
          </cell>
          <cell r="BZ148">
            <v>1.8</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row>
        <row r="149">
          <cell r="D149">
            <v>3774</v>
          </cell>
          <cell r="G149">
            <v>14228</v>
          </cell>
          <cell r="J149">
            <v>6056</v>
          </cell>
          <cell r="M149">
            <v>9278</v>
          </cell>
          <cell r="N149">
            <v>6149</v>
          </cell>
          <cell r="O149">
            <v>13271</v>
          </cell>
          <cell r="P149">
            <v>12606</v>
          </cell>
          <cell r="Q149">
            <v>10282</v>
          </cell>
          <cell r="R149">
            <v>1605</v>
          </cell>
          <cell r="S149">
            <v>4256</v>
          </cell>
          <cell r="T149">
            <v>21571</v>
          </cell>
          <cell r="U149">
            <v>181851</v>
          </cell>
          <cell r="V149">
            <v>16478</v>
          </cell>
          <cell r="W149">
            <v>713</v>
          </cell>
          <cell r="X149">
            <v>198729</v>
          </cell>
          <cell r="Y149">
            <v>0.1</v>
          </cell>
          <cell r="Z149">
            <v>0</v>
          </cell>
          <cell r="AA149">
            <v>0</v>
          </cell>
          <cell r="AB149">
            <v>0</v>
          </cell>
          <cell r="AC149">
            <v>0.2</v>
          </cell>
          <cell r="AD149">
            <v>0</v>
          </cell>
          <cell r="AE149">
            <v>0</v>
          </cell>
          <cell r="AF149">
            <v>0.2</v>
          </cell>
          <cell r="AG149">
            <v>0.1</v>
          </cell>
          <cell r="AH149">
            <v>0.3</v>
          </cell>
          <cell r="AI149">
            <v>0</v>
          </cell>
          <cell r="AJ149">
            <v>0</v>
          </cell>
          <cell r="AK149">
            <v>0</v>
          </cell>
          <cell r="AL149">
            <v>0.1</v>
          </cell>
          <cell r="AM149">
            <v>0.1</v>
          </cell>
          <cell r="AN149">
            <v>0.1</v>
          </cell>
          <cell r="AO149">
            <v>-0.1</v>
          </cell>
          <cell r="AP149">
            <v>0</v>
          </cell>
          <cell r="AQ149">
            <v>0</v>
          </cell>
          <cell r="AR149">
            <v>0</v>
          </cell>
          <cell r="AV149">
            <v>0.2</v>
          </cell>
          <cell r="AW149">
            <v>0.1</v>
          </cell>
          <cell r="AX149">
            <v>0</v>
          </cell>
          <cell r="AY149">
            <v>0.1</v>
          </cell>
          <cell r="AZ149">
            <v>0</v>
          </cell>
          <cell r="BA149">
            <v>0</v>
          </cell>
          <cell r="BB149">
            <v>-0.1</v>
          </cell>
          <cell r="BC149">
            <v>0</v>
          </cell>
          <cell r="BD149">
            <v>0</v>
          </cell>
          <cell r="BG149">
            <v>0</v>
          </cell>
          <cell r="BJ149">
            <v>0</v>
          </cell>
          <cell r="BM149">
            <v>0.1</v>
          </cell>
          <cell r="BP149">
            <v>0.3</v>
          </cell>
          <cell r="BQ149">
            <v>0.2</v>
          </cell>
          <cell r="BR149">
            <v>0.1</v>
          </cell>
          <cell r="BS149">
            <v>0</v>
          </cell>
          <cell r="BT149">
            <v>-0.1</v>
          </cell>
          <cell r="BU149">
            <v>0</v>
          </cell>
          <cell r="BV149">
            <v>0</v>
          </cell>
          <cell r="BW149">
            <v>0.1</v>
          </cell>
          <cell r="BX149">
            <v>1.6</v>
          </cell>
          <cell r="BY149">
            <v>0.2</v>
          </cell>
          <cell r="BZ149">
            <v>1.7</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-0.3</v>
          </cell>
        </row>
        <row r="150">
          <cell r="D150">
            <v>4008</v>
          </cell>
          <cell r="G150">
            <v>14203</v>
          </cell>
          <cell r="J150">
            <v>6059</v>
          </cell>
          <cell r="M150">
            <v>9579</v>
          </cell>
          <cell r="N150">
            <v>6270</v>
          </cell>
          <cell r="O150">
            <v>13531</v>
          </cell>
          <cell r="P150">
            <v>12628</v>
          </cell>
          <cell r="Q150">
            <v>10879</v>
          </cell>
          <cell r="R150">
            <v>1610</v>
          </cell>
          <cell r="S150">
            <v>4343</v>
          </cell>
          <cell r="T150">
            <v>21795</v>
          </cell>
          <cell r="U150">
            <v>188132</v>
          </cell>
          <cell r="V150">
            <v>16940</v>
          </cell>
          <cell r="W150">
            <v>1511</v>
          </cell>
          <cell r="X150">
            <v>206276</v>
          </cell>
          <cell r="Y150">
            <v>-0.2</v>
          </cell>
          <cell r="Z150">
            <v>0</v>
          </cell>
          <cell r="AA150">
            <v>-0.2</v>
          </cell>
          <cell r="AB150">
            <v>0</v>
          </cell>
          <cell r="AC150">
            <v>0</v>
          </cell>
          <cell r="AD150">
            <v>0</v>
          </cell>
          <cell r="AE150">
            <v>0</v>
          </cell>
          <cell r="AF150">
            <v>0</v>
          </cell>
          <cell r="AG150">
            <v>-0.1</v>
          </cell>
          <cell r="AH150">
            <v>0</v>
          </cell>
          <cell r="AI150">
            <v>0.1</v>
          </cell>
          <cell r="AJ150">
            <v>0</v>
          </cell>
          <cell r="AK150">
            <v>0</v>
          </cell>
          <cell r="AL150">
            <v>0</v>
          </cell>
          <cell r="AM150">
            <v>0</v>
          </cell>
          <cell r="AN150">
            <v>0.1</v>
          </cell>
          <cell r="AO150">
            <v>0</v>
          </cell>
          <cell r="AP150">
            <v>0</v>
          </cell>
          <cell r="AQ150">
            <v>0</v>
          </cell>
          <cell r="AR150">
            <v>0</v>
          </cell>
          <cell r="AV150">
            <v>0.3</v>
          </cell>
          <cell r="AW150">
            <v>0.1</v>
          </cell>
          <cell r="AX150">
            <v>0</v>
          </cell>
          <cell r="AY150">
            <v>0.1</v>
          </cell>
          <cell r="AZ150">
            <v>0.1</v>
          </cell>
          <cell r="BA150">
            <v>0</v>
          </cell>
          <cell r="BB150">
            <v>0</v>
          </cell>
          <cell r="BC150">
            <v>0</v>
          </cell>
          <cell r="BD150">
            <v>0.1</v>
          </cell>
          <cell r="BG150">
            <v>0</v>
          </cell>
          <cell r="BJ150">
            <v>0</v>
          </cell>
          <cell r="BM150">
            <v>0.1</v>
          </cell>
          <cell r="BP150">
            <v>0.2</v>
          </cell>
          <cell r="BQ150">
            <v>0.1</v>
          </cell>
          <cell r="BR150">
            <v>0.1</v>
          </cell>
          <cell r="BS150">
            <v>0</v>
          </cell>
          <cell r="BT150">
            <v>0.1</v>
          </cell>
          <cell r="BU150">
            <v>0</v>
          </cell>
          <cell r="BV150">
            <v>0</v>
          </cell>
          <cell r="BW150">
            <v>0.1</v>
          </cell>
          <cell r="BX150">
            <v>1</v>
          </cell>
          <cell r="BY150">
            <v>0.1</v>
          </cell>
          <cell r="BZ150">
            <v>1.2</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0.3</v>
          </cell>
        </row>
        <row r="151">
          <cell r="B151">
            <v>1949</v>
          </cell>
          <cell r="C151">
            <v>2359</v>
          </cell>
          <cell r="D151">
            <v>4262</v>
          </cell>
          <cell r="E151">
            <v>7328</v>
          </cell>
          <cell r="F151">
            <v>7997</v>
          </cell>
          <cell r="G151">
            <v>14004</v>
          </cell>
          <cell r="H151">
            <v>1093</v>
          </cell>
          <cell r="I151">
            <v>5223</v>
          </cell>
          <cell r="J151">
            <v>6371</v>
          </cell>
          <cell r="K151">
            <v>1105</v>
          </cell>
          <cell r="L151">
            <v>10848</v>
          </cell>
          <cell r="M151">
            <v>10421</v>
          </cell>
          <cell r="N151">
            <v>6737</v>
          </cell>
          <cell r="O151">
            <v>14031</v>
          </cell>
          <cell r="P151">
            <v>12622</v>
          </cell>
          <cell r="Q151">
            <v>11911</v>
          </cell>
          <cell r="R151">
            <v>1649</v>
          </cell>
          <cell r="S151">
            <v>4471</v>
          </cell>
          <cell r="T151">
            <v>22060</v>
          </cell>
          <cell r="U151">
            <v>194055</v>
          </cell>
          <cell r="V151">
            <v>18198</v>
          </cell>
          <cell r="W151">
            <v>-1271</v>
          </cell>
          <cell r="X151">
            <v>210657</v>
          </cell>
          <cell r="Y151">
            <v>-0.3</v>
          </cell>
          <cell r="Z151">
            <v>0</v>
          </cell>
          <cell r="AA151">
            <v>-0.3</v>
          </cell>
          <cell r="AB151">
            <v>0</v>
          </cell>
          <cell r="AC151">
            <v>0.1</v>
          </cell>
          <cell r="AD151">
            <v>0</v>
          </cell>
          <cell r="AE151">
            <v>-0.1</v>
          </cell>
          <cell r="AF151">
            <v>0.1</v>
          </cell>
          <cell r="AG151">
            <v>0.1</v>
          </cell>
          <cell r="AH151">
            <v>0.2</v>
          </cell>
          <cell r="AI151">
            <v>0</v>
          </cell>
          <cell r="AJ151">
            <v>0</v>
          </cell>
          <cell r="AK151">
            <v>0</v>
          </cell>
          <cell r="AL151">
            <v>0</v>
          </cell>
          <cell r="AM151">
            <v>0.1</v>
          </cell>
          <cell r="AN151">
            <v>0.1</v>
          </cell>
          <cell r="AO151">
            <v>0</v>
          </cell>
          <cell r="AP151">
            <v>0</v>
          </cell>
          <cell r="AQ151">
            <v>0</v>
          </cell>
          <cell r="AR151">
            <v>0.1</v>
          </cell>
          <cell r="AV151">
            <v>0</v>
          </cell>
          <cell r="AW151">
            <v>0.1</v>
          </cell>
          <cell r="AX151">
            <v>0</v>
          </cell>
          <cell r="AY151">
            <v>0.1</v>
          </cell>
          <cell r="AZ151">
            <v>0</v>
          </cell>
          <cell r="BA151">
            <v>0</v>
          </cell>
          <cell r="BB151">
            <v>0</v>
          </cell>
          <cell r="BC151">
            <v>0.1</v>
          </cell>
          <cell r="BD151">
            <v>0.1</v>
          </cell>
          <cell r="BG151">
            <v>0.1</v>
          </cell>
          <cell r="BJ151">
            <v>-0.1</v>
          </cell>
          <cell r="BM151">
            <v>0.1</v>
          </cell>
          <cell r="BP151">
            <v>0.3</v>
          </cell>
          <cell r="BQ151">
            <v>0.2</v>
          </cell>
          <cell r="BR151">
            <v>0.3</v>
          </cell>
          <cell r="BS151">
            <v>0</v>
          </cell>
          <cell r="BT151">
            <v>0.2</v>
          </cell>
          <cell r="BU151">
            <v>0</v>
          </cell>
          <cell r="BV151">
            <v>0</v>
          </cell>
          <cell r="BW151">
            <v>0.1</v>
          </cell>
          <cell r="BX151">
            <v>1.4</v>
          </cell>
          <cell r="BY151">
            <v>0.5</v>
          </cell>
          <cell r="BZ151">
            <v>0.8</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-0.1</v>
          </cell>
        </row>
        <row r="152">
          <cell r="B152">
            <v>2015</v>
          </cell>
          <cell r="C152">
            <v>2484</v>
          </cell>
          <cell r="D152">
            <v>4403</v>
          </cell>
          <cell r="E152">
            <v>7366</v>
          </cell>
          <cell r="F152">
            <v>7822</v>
          </cell>
          <cell r="G152">
            <v>13818</v>
          </cell>
          <cell r="H152">
            <v>1036</v>
          </cell>
          <cell r="I152">
            <v>4951</v>
          </cell>
          <cell r="J152">
            <v>6062</v>
          </cell>
          <cell r="K152">
            <v>1048</v>
          </cell>
          <cell r="L152">
            <v>10270</v>
          </cell>
          <cell r="M152">
            <v>10150</v>
          </cell>
          <cell r="N152">
            <v>6495</v>
          </cell>
          <cell r="O152">
            <v>13345</v>
          </cell>
          <cell r="P152">
            <v>12640</v>
          </cell>
          <cell r="Q152">
            <v>10944</v>
          </cell>
          <cell r="R152">
            <v>1696</v>
          </cell>
          <cell r="S152">
            <v>4622</v>
          </cell>
          <cell r="T152">
            <v>22262</v>
          </cell>
          <cell r="U152">
            <v>199463</v>
          </cell>
          <cell r="V152">
            <v>18793</v>
          </cell>
          <cell r="W152">
            <v>2917</v>
          </cell>
          <cell r="X152">
            <v>220851</v>
          </cell>
          <cell r="Y152">
            <v>-0.2</v>
          </cell>
          <cell r="Z152">
            <v>0</v>
          </cell>
          <cell r="AA152">
            <v>-0.2</v>
          </cell>
          <cell r="AB152">
            <v>0</v>
          </cell>
          <cell r="AC152">
            <v>0</v>
          </cell>
          <cell r="AD152">
            <v>0</v>
          </cell>
          <cell r="AE152">
            <v>0</v>
          </cell>
          <cell r="AF152">
            <v>0</v>
          </cell>
          <cell r="AG152">
            <v>0</v>
          </cell>
          <cell r="AH152">
            <v>0</v>
          </cell>
          <cell r="AI152">
            <v>0</v>
          </cell>
          <cell r="AJ152">
            <v>-0.1</v>
          </cell>
          <cell r="AK152">
            <v>0</v>
          </cell>
          <cell r="AL152">
            <v>0</v>
          </cell>
          <cell r="AM152">
            <v>0</v>
          </cell>
          <cell r="AN152">
            <v>-0.1</v>
          </cell>
          <cell r="AO152">
            <v>0</v>
          </cell>
          <cell r="AP152">
            <v>0</v>
          </cell>
          <cell r="AQ152">
            <v>0</v>
          </cell>
          <cell r="AR152">
            <v>0</v>
          </cell>
          <cell r="AS152">
            <v>0</v>
          </cell>
          <cell r="AT152">
            <v>0.2</v>
          </cell>
          <cell r="AU152">
            <v>0.1</v>
          </cell>
          <cell r="AV152">
            <v>0.1</v>
          </cell>
          <cell r="AW152">
            <v>0.1</v>
          </cell>
          <cell r="AX152">
            <v>0</v>
          </cell>
          <cell r="AY152">
            <v>0</v>
          </cell>
          <cell r="AZ152">
            <v>0</v>
          </cell>
          <cell r="BA152">
            <v>0</v>
          </cell>
          <cell r="BB152">
            <v>0</v>
          </cell>
          <cell r="BC152">
            <v>0</v>
          </cell>
          <cell r="BD152">
            <v>0.1</v>
          </cell>
          <cell r="BE152">
            <v>0</v>
          </cell>
          <cell r="BF152">
            <v>0</v>
          </cell>
          <cell r="BG152">
            <v>0</v>
          </cell>
          <cell r="BH152">
            <v>0</v>
          </cell>
          <cell r="BI152">
            <v>-0.1</v>
          </cell>
          <cell r="BJ152">
            <v>-0.1</v>
          </cell>
          <cell r="BK152">
            <v>0</v>
          </cell>
          <cell r="BL152">
            <v>0</v>
          </cell>
          <cell r="BM152">
            <v>0</v>
          </cell>
          <cell r="BN152">
            <v>0</v>
          </cell>
          <cell r="BO152">
            <v>-0.1</v>
          </cell>
          <cell r="BP152">
            <v>0.1</v>
          </cell>
          <cell r="BQ152">
            <v>0</v>
          </cell>
          <cell r="BR152">
            <v>-0.2</v>
          </cell>
          <cell r="BS152">
            <v>0</v>
          </cell>
          <cell r="BT152">
            <v>0</v>
          </cell>
          <cell r="BU152">
            <v>0</v>
          </cell>
          <cell r="BV152">
            <v>0</v>
          </cell>
          <cell r="BW152">
            <v>0.1</v>
          </cell>
          <cell r="BX152">
            <v>0</v>
          </cell>
          <cell r="BY152">
            <v>-0.1</v>
          </cell>
          <cell r="BZ152">
            <v>0.9</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-0.1</v>
          </cell>
        </row>
        <row r="153">
          <cell r="B153">
            <v>2010</v>
          </cell>
          <cell r="C153">
            <v>2241</v>
          </cell>
          <cell r="D153">
            <v>4248</v>
          </cell>
          <cell r="E153">
            <v>7354</v>
          </cell>
          <cell r="F153">
            <v>7747</v>
          </cell>
          <cell r="G153">
            <v>13682</v>
          </cell>
          <cell r="H153">
            <v>1106</v>
          </cell>
          <cell r="I153">
            <v>5296</v>
          </cell>
          <cell r="J153">
            <v>6497</v>
          </cell>
          <cell r="K153">
            <v>1124</v>
          </cell>
          <cell r="L153">
            <v>10922</v>
          </cell>
          <cell r="M153">
            <v>10986</v>
          </cell>
          <cell r="N153">
            <v>6986</v>
          </cell>
          <cell r="O153">
            <v>13582</v>
          </cell>
          <cell r="P153">
            <v>12681</v>
          </cell>
          <cell r="Q153">
            <v>10965</v>
          </cell>
          <cell r="R153">
            <v>1698</v>
          </cell>
          <cell r="S153">
            <v>4602</v>
          </cell>
          <cell r="T153">
            <v>22408</v>
          </cell>
          <cell r="U153">
            <v>187616</v>
          </cell>
          <cell r="V153">
            <v>17720</v>
          </cell>
          <cell r="W153">
            <v>-810</v>
          </cell>
          <cell r="X153">
            <v>204236</v>
          </cell>
          <cell r="Y153">
            <v>-0.2</v>
          </cell>
          <cell r="Z153">
            <v>0</v>
          </cell>
          <cell r="AA153">
            <v>-0.2</v>
          </cell>
          <cell r="AB153">
            <v>0</v>
          </cell>
          <cell r="AC153">
            <v>0</v>
          </cell>
          <cell r="AD153">
            <v>0</v>
          </cell>
          <cell r="AE153">
            <v>0</v>
          </cell>
          <cell r="AF153">
            <v>0</v>
          </cell>
          <cell r="AG153">
            <v>0</v>
          </cell>
          <cell r="AH153">
            <v>0</v>
          </cell>
          <cell r="AI153">
            <v>-0.1</v>
          </cell>
          <cell r="AJ153">
            <v>0</v>
          </cell>
          <cell r="AK153">
            <v>0</v>
          </cell>
          <cell r="AL153">
            <v>0</v>
          </cell>
          <cell r="AM153">
            <v>0</v>
          </cell>
          <cell r="AN153">
            <v>-0.1</v>
          </cell>
          <cell r="AO153">
            <v>0</v>
          </cell>
          <cell r="AP153">
            <v>0</v>
          </cell>
          <cell r="AQ153">
            <v>0</v>
          </cell>
          <cell r="AR153">
            <v>-0.1</v>
          </cell>
          <cell r="AS153">
            <v>0</v>
          </cell>
          <cell r="AT153">
            <v>-0.1</v>
          </cell>
          <cell r="AU153">
            <v>-0.1</v>
          </cell>
          <cell r="AV153">
            <v>-0.2</v>
          </cell>
          <cell r="AW153">
            <v>0.1</v>
          </cell>
          <cell r="AX153">
            <v>0.1</v>
          </cell>
          <cell r="AY153">
            <v>0</v>
          </cell>
          <cell r="AZ153">
            <v>0</v>
          </cell>
          <cell r="BA153">
            <v>0</v>
          </cell>
          <cell r="BB153">
            <v>0</v>
          </cell>
          <cell r="BC153">
            <v>0</v>
          </cell>
          <cell r="BD153">
            <v>0</v>
          </cell>
          <cell r="BE153">
            <v>0</v>
          </cell>
          <cell r="BF153">
            <v>0</v>
          </cell>
          <cell r="BG153">
            <v>0.1</v>
          </cell>
          <cell r="BH153">
            <v>0</v>
          </cell>
          <cell r="BI153">
            <v>0</v>
          </cell>
          <cell r="BJ153">
            <v>-0.1</v>
          </cell>
          <cell r="BK153">
            <v>0</v>
          </cell>
          <cell r="BL153">
            <v>0.1</v>
          </cell>
          <cell r="BM153">
            <v>0.1</v>
          </cell>
          <cell r="BN153">
            <v>0</v>
          </cell>
          <cell r="BO153">
            <v>0.1</v>
          </cell>
          <cell r="BP153">
            <v>0.2</v>
          </cell>
          <cell r="BQ153">
            <v>0.1</v>
          </cell>
          <cell r="BR153">
            <v>0</v>
          </cell>
          <cell r="BS153">
            <v>0</v>
          </cell>
          <cell r="BT153">
            <v>0.1</v>
          </cell>
          <cell r="BU153">
            <v>0</v>
          </cell>
          <cell r="BV153">
            <v>0</v>
          </cell>
          <cell r="BW153">
            <v>0.1</v>
          </cell>
          <cell r="BX153">
            <v>0.2</v>
          </cell>
          <cell r="BY153">
            <v>0.1</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-0.1</v>
          </cell>
        </row>
        <row r="154">
          <cell r="B154">
            <v>2163</v>
          </cell>
          <cell r="C154">
            <v>2410</v>
          </cell>
          <cell r="D154">
            <v>4534</v>
          </cell>
          <cell r="E154">
            <v>7389</v>
          </cell>
          <cell r="F154">
            <v>7951</v>
          </cell>
          <cell r="G154">
            <v>13817</v>
          </cell>
          <cell r="H154">
            <v>1091</v>
          </cell>
          <cell r="I154">
            <v>5235</v>
          </cell>
          <cell r="J154">
            <v>6421</v>
          </cell>
          <cell r="K154">
            <v>1117</v>
          </cell>
          <cell r="L154">
            <v>10682</v>
          </cell>
          <cell r="M154">
            <v>10816</v>
          </cell>
          <cell r="N154">
            <v>6859</v>
          </cell>
          <cell r="O154">
            <v>13641</v>
          </cell>
          <cell r="P154">
            <v>12742</v>
          </cell>
          <cell r="Q154">
            <v>11288</v>
          </cell>
          <cell r="R154">
            <v>1688</v>
          </cell>
          <cell r="S154">
            <v>4661</v>
          </cell>
          <cell r="T154">
            <v>22498</v>
          </cell>
          <cell r="U154">
            <v>193876</v>
          </cell>
          <cell r="V154">
            <v>18241</v>
          </cell>
          <cell r="W154">
            <v>-837</v>
          </cell>
          <cell r="X154">
            <v>210997</v>
          </cell>
          <cell r="Y154">
            <v>0.4</v>
          </cell>
          <cell r="Z154">
            <v>0</v>
          </cell>
          <cell r="AA154">
            <v>0.3</v>
          </cell>
          <cell r="AB154">
            <v>0</v>
          </cell>
          <cell r="AC154">
            <v>0</v>
          </cell>
          <cell r="AD154">
            <v>0</v>
          </cell>
          <cell r="AE154">
            <v>0</v>
          </cell>
          <cell r="AF154">
            <v>0</v>
          </cell>
          <cell r="AG154">
            <v>0.1</v>
          </cell>
          <cell r="AH154">
            <v>0.1</v>
          </cell>
          <cell r="AI154">
            <v>0</v>
          </cell>
          <cell r="AJ154">
            <v>0.1</v>
          </cell>
          <cell r="AK154">
            <v>0</v>
          </cell>
          <cell r="AL154">
            <v>0</v>
          </cell>
          <cell r="AM154">
            <v>0</v>
          </cell>
          <cell r="AN154">
            <v>0.1</v>
          </cell>
          <cell r="AO154">
            <v>0</v>
          </cell>
          <cell r="AP154">
            <v>0</v>
          </cell>
          <cell r="AQ154">
            <v>0</v>
          </cell>
          <cell r="AR154">
            <v>0</v>
          </cell>
          <cell r="AS154">
            <v>0</v>
          </cell>
          <cell r="AT154">
            <v>0</v>
          </cell>
          <cell r="AU154">
            <v>0.1</v>
          </cell>
          <cell r="AV154">
            <v>0.1</v>
          </cell>
          <cell r="AW154">
            <v>0.1</v>
          </cell>
          <cell r="AX154">
            <v>0.1</v>
          </cell>
          <cell r="AY154">
            <v>0</v>
          </cell>
          <cell r="AZ154">
            <v>0</v>
          </cell>
          <cell r="BA154">
            <v>0</v>
          </cell>
          <cell r="BB154">
            <v>0</v>
          </cell>
          <cell r="BC154">
            <v>0.1</v>
          </cell>
          <cell r="BD154">
            <v>0.1</v>
          </cell>
          <cell r="BE154">
            <v>0.1</v>
          </cell>
          <cell r="BF154">
            <v>0.1</v>
          </cell>
          <cell r="BG154">
            <v>0</v>
          </cell>
          <cell r="BH154">
            <v>0</v>
          </cell>
          <cell r="BI154">
            <v>0.1</v>
          </cell>
          <cell r="BJ154">
            <v>0.1</v>
          </cell>
          <cell r="BK154">
            <v>0</v>
          </cell>
          <cell r="BL154">
            <v>0</v>
          </cell>
          <cell r="BM154">
            <v>0</v>
          </cell>
          <cell r="BN154">
            <v>0</v>
          </cell>
          <cell r="BO154">
            <v>0</v>
          </cell>
          <cell r="BP154">
            <v>0</v>
          </cell>
          <cell r="BQ154">
            <v>0</v>
          </cell>
          <cell r="BR154">
            <v>0</v>
          </cell>
          <cell r="BS154">
            <v>0</v>
          </cell>
          <cell r="BT154">
            <v>-0.1</v>
          </cell>
          <cell r="BU154">
            <v>0</v>
          </cell>
          <cell r="BV154">
            <v>0</v>
          </cell>
          <cell r="BW154">
            <v>0</v>
          </cell>
          <cell r="BX154">
            <v>1</v>
          </cell>
          <cell r="BY154">
            <v>0.1</v>
          </cell>
          <cell r="BZ154">
            <v>0.3</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-0.1</v>
          </cell>
        </row>
        <row r="155">
          <cell r="B155">
            <v>2167</v>
          </cell>
          <cell r="C155">
            <v>2421</v>
          </cell>
          <cell r="D155">
            <v>4538</v>
          </cell>
          <cell r="E155">
            <v>7436</v>
          </cell>
          <cell r="F155">
            <v>8078</v>
          </cell>
          <cell r="G155">
            <v>14011</v>
          </cell>
          <cell r="H155">
            <v>1117</v>
          </cell>
          <cell r="I155">
            <v>5398</v>
          </cell>
          <cell r="J155">
            <v>6597</v>
          </cell>
          <cell r="K155">
            <v>1161</v>
          </cell>
          <cell r="L155">
            <v>10835</v>
          </cell>
          <cell r="M155">
            <v>10935</v>
          </cell>
          <cell r="N155">
            <v>6953</v>
          </cell>
          <cell r="O155">
            <v>13680</v>
          </cell>
          <cell r="P155">
            <v>12801</v>
          </cell>
          <cell r="Q155">
            <v>12242</v>
          </cell>
          <cell r="R155">
            <v>1649</v>
          </cell>
          <cell r="S155">
            <v>4710</v>
          </cell>
          <cell r="T155">
            <v>22532</v>
          </cell>
          <cell r="U155">
            <v>198901</v>
          </cell>
          <cell r="V155">
            <v>18279</v>
          </cell>
          <cell r="W155">
            <v>-879</v>
          </cell>
          <cell r="X155">
            <v>216030</v>
          </cell>
          <cell r="Y155">
            <v>0.3</v>
          </cell>
          <cell r="Z155">
            <v>0</v>
          </cell>
          <cell r="AA155">
            <v>0.4</v>
          </cell>
          <cell r="AB155">
            <v>0</v>
          </cell>
          <cell r="AC155">
            <v>0</v>
          </cell>
          <cell r="AD155">
            <v>0</v>
          </cell>
          <cell r="AE155">
            <v>0.1</v>
          </cell>
          <cell r="AF155">
            <v>0.2</v>
          </cell>
          <cell r="AG155">
            <v>0.1</v>
          </cell>
          <cell r="AH155">
            <v>0.2</v>
          </cell>
          <cell r="AI155">
            <v>0.1</v>
          </cell>
          <cell r="AJ155">
            <v>-0.1</v>
          </cell>
          <cell r="AK155">
            <v>0</v>
          </cell>
          <cell r="AL155">
            <v>0</v>
          </cell>
          <cell r="AM155">
            <v>0</v>
          </cell>
          <cell r="AN155">
            <v>0.1</v>
          </cell>
          <cell r="AO155">
            <v>0</v>
          </cell>
          <cell r="AP155">
            <v>0</v>
          </cell>
          <cell r="AQ155">
            <v>0</v>
          </cell>
          <cell r="AR155">
            <v>0.1</v>
          </cell>
          <cell r="AS155">
            <v>0</v>
          </cell>
          <cell r="AT155">
            <v>0.1</v>
          </cell>
          <cell r="AU155">
            <v>0.1</v>
          </cell>
          <cell r="AV155">
            <v>0.1</v>
          </cell>
          <cell r="AW155">
            <v>0.1</v>
          </cell>
          <cell r="AX155">
            <v>0</v>
          </cell>
          <cell r="AY155">
            <v>0</v>
          </cell>
          <cell r="AZ155">
            <v>0.1</v>
          </cell>
          <cell r="BA155">
            <v>0</v>
          </cell>
          <cell r="BB155">
            <v>0</v>
          </cell>
          <cell r="BC155">
            <v>0.1</v>
          </cell>
          <cell r="BD155">
            <v>0.1</v>
          </cell>
          <cell r="BE155">
            <v>0</v>
          </cell>
          <cell r="BF155">
            <v>0</v>
          </cell>
          <cell r="BG155">
            <v>0</v>
          </cell>
          <cell r="BH155">
            <v>0</v>
          </cell>
          <cell r="BI155">
            <v>0</v>
          </cell>
          <cell r="BJ155">
            <v>0.1</v>
          </cell>
          <cell r="BK155">
            <v>0</v>
          </cell>
          <cell r="BL155">
            <v>0</v>
          </cell>
          <cell r="BM155">
            <v>0</v>
          </cell>
          <cell r="BN155">
            <v>0</v>
          </cell>
          <cell r="BO155">
            <v>0</v>
          </cell>
          <cell r="BP155">
            <v>-0.1</v>
          </cell>
          <cell r="BQ155">
            <v>0</v>
          </cell>
          <cell r="BR155">
            <v>0</v>
          </cell>
          <cell r="BS155">
            <v>0</v>
          </cell>
          <cell r="BT155">
            <v>0.1</v>
          </cell>
          <cell r="BU155">
            <v>0</v>
          </cell>
          <cell r="BV155">
            <v>0</v>
          </cell>
          <cell r="BW155">
            <v>0</v>
          </cell>
          <cell r="BX155">
            <v>1.4</v>
          </cell>
          <cell r="BY155">
            <v>-0.1</v>
          </cell>
          <cell r="BZ155">
            <v>2.2999999999999998</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0.1</v>
          </cell>
        </row>
        <row r="156">
          <cell r="B156">
            <v>2159</v>
          </cell>
          <cell r="C156">
            <v>2568</v>
          </cell>
          <cell r="D156">
            <v>4668</v>
          </cell>
          <cell r="E156">
            <v>7612</v>
          </cell>
          <cell r="F156">
            <v>8213</v>
          </cell>
          <cell r="G156">
            <v>14340</v>
          </cell>
          <cell r="H156">
            <v>1087</v>
          </cell>
          <cell r="I156">
            <v>5267</v>
          </cell>
          <cell r="J156">
            <v>6427</v>
          </cell>
          <cell r="K156">
            <v>1141</v>
          </cell>
          <cell r="L156">
            <v>10448</v>
          </cell>
          <cell r="M156">
            <v>10524</v>
          </cell>
          <cell r="N156">
            <v>6674</v>
          </cell>
          <cell r="O156">
            <v>13684</v>
          </cell>
          <cell r="P156">
            <v>12864</v>
          </cell>
          <cell r="Q156">
            <v>11501</v>
          </cell>
          <cell r="R156">
            <v>1676</v>
          </cell>
          <cell r="S156">
            <v>4828</v>
          </cell>
          <cell r="T156">
            <v>22650</v>
          </cell>
          <cell r="U156">
            <v>210038</v>
          </cell>
          <cell r="V156">
            <v>19563</v>
          </cell>
          <cell r="W156">
            <v>1769</v>
          </cell>
          <cell r="X156">
            <v>231040</v>
          </cell>
          <cell r="Y156">
            <v>0.1</v>
          </cell>
          <cell r="Z156">
            <v>0</v>
          </cell>
          <cell r="AA156">
            <v>0.1</v>
          </cell>
          <cell r="AB156">
            <v>0</v>
          </cell>
          <cell r="AC156">
            <v>0</v>
          </cell>
          <cell r="AD156">
            <v>0</v>
          </cell>
          <cell r="AE156">
            <v>0</v>
          </cell>
          <cell r="AF156">
            <v>0</v>
          </cell>
          <cell r="AG156">
            <v>0</v>
          </cell>
          <cell r="AH156">
            <v>0</v>
          </cell>
          <cell r="AI156">
            <v>0</v>
          </cell>
          <cell r="AJ156">
            <v>0.1</v>
          </cell>
          <cell r="AK156">
            <v>0</v>
          </cell>
          <cell r="AL156">
            <v>0.1</v>
          </cell>
          <cell r="AM156">
            <v>-0.1</v>
          </cell>
          <cell r="AN156">
            <v>0.2</v>
          </cell>
          <cell r="AO156">
            <v>0</v>
          </cell>
          <cell r="AP156">
            <v>0</v>
          </cell>
          <cell r="AQ156">
            <v>0</v>
          </cell>
          <cell r="AR156">
            <v>0</v>
          </cell>
          <cell r="AS156">
            <v>-0.1</v>
          </cell>
          <cell r="AT156">
            <v>0</v>
          </cell>
          <cell r="AU156">
            <v>0</v>
          </cell>
          <cell r="AV156">
            <v>0.1</v>
          </cell>
          <cell r="AW156">
            <v>0.1</v>
          </cell>
          <cell r="AX156">
            <v>0</v>
          </cell>
          <cell r="AY156">
            <v>0</v>
          </cell>
          <cell r="AZ156">
            <v>0</v>
          </cell>
          <cell r="BA156">
            <v>0</v>
          </cell>
          <cell r="BB156">
            <v>0</v>
          </cell>
          <cell r="BC156">
            <v>0</v>
          </cell>
          <cell r="BD156">
            <v>0.1</v>
          </cell>
          <cell r="BE156">
            <v>0</v>
          </cell>
          <cell r="BF156">
            <v>0</v>
          </cell>
          <cell r="BG156">
            <v>0</v>
          </cell>
          <cell r="BH156">
            <v>0.1</v>
          </cell>
          <cell r="BI156">
            <v>0.1</v>
          </cell>
          <cell r="BJ156">
            <v>0.2</v>
          </cell>
          <cell r="BK156">
            <v>0</v>
          </cell>
          <cell r="BL156">
            <v>0</v>
          </cell>
          <cell r="BM156">
            <v>0.1</v>
          </cell>
          <cell r="BN156">
            <v>0</v>
          </cell>
          <cell r="BO156">
            <v>0</v>
          </cell>
          <cell r="BP156">
            <v>0</v>
          </cell>
          <cell r="BQ156">
            <v>0</v>
          </cell>
          <cell r="BR156">
            <v>0.1</v>
          </cell>
          <cell r="BS156">
            <v>0</v>
          </cell>
          <cell r="BT156">
            <v>0.1</v>
          </cell>
          <cell r="BU156">
            <v>0</v>
          </cell>
          <cell r="BV156">
            <v>0</v>
          </cell>
          <cell r="BW156">
            <v>0.1</v>
          </cell>
          <cell r="BX156">
            <v>1.1000000000000001</v>
          </cell>
          <cell r="BY156">
            <v>0.1</v>
          </cell>
          <cell r="BZ156">
            <v>0.1</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row>
        <row r="157">
          <cell r="B157">
            <v>2110</v>
          </cell>
          <cell r="C157">
            <v>2399</v>
          </cell>
          <cell r="D157">
            <v>4479</v>
          </cell>
          <cell r="E157">
            <v>7763</v>
          </cell>
          <cell r="F157">
            <v>8310</v>
          </cell>
          <cell r="G157">
            <v>14602</v>
          </cell>
          <cell r="H157">
            <v>1118</v>
          </cell>
          <cell r="I157">
            <v>5413</v>
          </cell>
          <cell r="J157">
            <v>6603</v>
          </cell>
          <cell r="K157">
            <v>1180</v>
          </cell>
          <cell r="L157">
            <v>10653</v>
          </cell>
          <cell r="M157">
            <v>10729</v>
          </cell>
          <cell r="N157">
            <v>6755</v>
          </cell>
          <cell r="O157">
            <v>13905</v>
          </cell>
          <cell r="P157">
            <v>12955</v>
          </cell>
          <cell r="Q157">
            <v>11511</v>
          </cell>
          <cell r="R157">
            <v>1684</v>
          </cell>
          <cell r="S157">
            <v>4815</v>
          </cell>
          <cell r="T157">
            <v>22842</v>
          </cell>
          <cell r="U157">
            <v>196543</v>
          </cell>
          <cell r="V157">
            <v>18166</v>
          </cell>
          <cell r="W157">
            <v>-2006</v>
          </cell>
          <cell r="X157">
            <v>212406</v>
          </cell>
          <cell r="Y157">
            <v>0</v>
          </cell>
          <cell r="Z157">
            <v>0</v>
          </cell>
          <cell r="AA157">
            <v>0</v>
          </cell>
          <cell r="AB157">
            <v>0</v>
          </cell>
          <cell r="AC157">
            <v>0.1</v>
          </cell>
          <cell r="AD157">
            <v>0</v>
          </cell>
          <cell r="AE157">
            <v>0.1</v>
          </cell>
          <cell r="AF157">
            <v>0.2</v>
          </cell>
          <cell r="AG157">
            <v>0</v>
          </cell>
          <cell r="AH157">
            <v>0.2</v>
          </cell>
          <cell r="AI157">
            <v>0.1</v>
          </cell>
          <cell r="AJ157">
            <v>0.2</v>
          </cell>
          <cell r="AK157">
            <v>0.1</v>
          </cell>
          <cell r="AL157">
            <v>0</v>
          </cell>
          <cell r="AM157">
            <v>0</v>
          </cell>
          <cell r="AN157">
            <v>0.2</v>
          </cell>
          <cell r="AO157">
            <v>0</v>
          </cell>
          <cell r="AP157">
            <v>0</v>
          </cell>
          <cell r="AQ157">
            <v>0</v>
          </cell>
          <cell r="AR157">
            <v>0</v>
          </cell>
          <cell r="AS157">
            <v>-0.1</v>
          </cell>
          <cell r="AT157">
            <v>0</v>
          </cell>
          <cell r="AU157">
            <v>-0.1</v>
          </cell>
          <cell r="AV157">
            <v>-0.1</v>
          </cell>
          <cell r="AW157">
            <v>0.1</v>
          </cell>
          <cell r="AX157">
            <v>0</v>
          </cell>
          <cell r="AY157">
            <v>0</v>
          </cell>
          <cell r="AZ157">
            <v>0</v>
          </cell>
          <cell r="BA157">
            <v>0</v>
          </cell>
          <cell r="BB157">
            <v>0</v>
          </cell>
          <cell r="BC157">
            <v>0</v>
          </cell>
          <cell r="BD157">
            <v>0.1</v>
          </cell>
          <cell r="BE157">
            <v>0</v>
          </cell>
          <cell r="BF157">
            <v>0</v>
          </cell>
          <cell r="BG157">
            <v>0</v>
          </cell>
          <cell r="BH157">
            <v>0.1</v>
          </cell>
          <cell r="BI157">
            <v>0.1</v>
          </cell>
          <cell r="BJ157">
            <v>0.1</v>
          </cell>
          <cell r="BK157">
            <v>0</v>
          </cell>
          <cell r="BL157">
            <v>0</v>
          </cell>
          <cell r="BM157">
            <v>0</v>
          </cell>
          <cell r="BN157">
            <v>0</v>
          </cell>
          <cell r="BO157">
            <v>-0.1</v>
          </cell>
          <cell r="BP157">
            <v>-0.1</v>
          </cell>
          <cell r="BQ157">
            <v>-0.1</v>
          </cell>
          <cell r="BR157">
            <v>0.2</v>
          </cell>
          <cell r="BS157">
            <v>0</v>
          </cell>
          <cell r="BT157">
            <v>0.1</v>
          </cell>
          <cell r="BU157">
            <v>0</v>
          </cell>
          <cell r="BV157">
            <v>0</v>
          </cell>
          <cell r="BW157">
            <v>0.1</v>
          </cell>
          <cell r="BX157">
            <v>1.1000000000000001</v>
          </cell>
          <cell r="BY157">
            <v>0.1</v>
          </cell>
          <cell r="BZ157">
            <v>1.7</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0.2</v>
          </cell>
        </row>
        <row r="158">
          <cell r="B158">
            <v>2233</v>
          </cell>
          <cell r="C158">
            <v>2515</v>
          </cell>
          <cell r="D158">
            <v>4722</v>
          </cell>
          <cell r="E158">
            <v>7810</v>
          </cell>
          <cell r="F158">
            <v>8384</v>
          </cell>
          <cell r="G158">
            <v>14698</v>
          </cell>
          <cell r="H158">
            <v>1131</v>
          </cell>
          <cell r="I158">
            <v>5454</v>
          </cell>
          <cell r="J158">
            <v>6660</v>
          </cell>
          <cell r="K158">
            <v>1196</v>
          </cell>
          <cell r="L158">
            <v>10694</v>
          </cell>
          <cell r="M158">
            <v>10790</v>
          </cell>
          <cell r="N158">
            <v>6712</v>
          </cell>
          <cell r="O158">
            <v>13512</v>
          </cell>
          <cell r="P158">
            <v>13076</v>
          </cell>
          <cell r="Q158">
            <v>12309</v>
          </cell>
          <cell r="R158">
            <v>1688</v>
          </cell>
          <cell r="S158">
            <v>4866</v>
          </cell>
          <cell r="T158">
            <v>23110</v>
          </cell>
          <cell r="U158">
            <v>200721</v>
          </cell>
          <cell r="V158">
            <v>18569</v>
          </cell>
          <cell r="W158">
            <v>1116</v>
          </cell>
          <cell r="X158">
            <v>220107</v>
          </cell>
          <cell r="Y158">
            <v>0</v>
          </cell>
          <cell r="Z158">
            <v>0</v>
          </cell>
          <cell r="AA158">
            <v>-0.1</v>
          </cell>
          <cell r="AB158">
            <v>0</v>
          </cell>
          <cell r="AC158">
            <v>0.1</v>
          </cell>
          <cell r="AD158">
            <v>0</v>
          </cell>
          <cell r="AE158">
            <v>0</v>
          </cell>
          <cell r="AF158">
            <v>0.1</v>
          </cell>
          <cell r="AG158">
            <v>0</v>
          </cell>
          <cell r="AH158">
            <v>0.1</v>
          </cell>
          <cell r="AI158">
            <v>-0.1</v>
          </cell>
          <cell r="AJ158">
            <v>0</v>
          </cell>
          <cell r="AK158">
            <v>-0.1</v>
          </cell>
          <cell r="AL158">
            <v>0</v>
          </cell>
          <cell r="AM158">
            <v>0</v>
          </cell>
          <cell r="AN158">
            <v>-0.2</v>
          </cell>
          <cell r="AO158">
            <v>0</v>
          </cell>
          <cell r="AP158">
            <v>0</v>
          </cell>
          <cell r="AQ158">
            <v>0</v>
          </cell>
          <cell r="AR158">
            <v>0</v>
          </cell>
          <cell r="AS158">
            <v>0</v>
          </cell>
          <cell r="AT158">
            <v>0.1</v>
          </cell>
          <cell r="AU158">
            <v>0.1</v>
          </cell>
          <cell r="AV158">
            <v>0.2</v>
          </cell>
          <cell r="AW158">
            <v>-0.1</v>
          </cell>
          <cell r="AX158">
            <v>0.1</v>
          </cell>
          <cell r="AY158">
            <v>0</v>
          </cell>
          <cell r="AZ158">
            <v>0</v>
          </cell>
          <cell r="BA158">
            <v>0</v>
          </cell>
          <cell r="BB158">
            <v>0</v>
          </cell>
          <cell r="BC158">
            <v>0</v>
          </cell>
          <cell r="BD158">
            <v>0</v>
          </cell>
          <cell r="BE158">
            <v>0.1</v>
          </cell>
          <cell r="BF158">
            <v>0</v>
          </cell>
          <cell r="BG158">
            <v>0.1</v>
          </cell>
          <cell r="BH158">
            <v>0</v>
          </cell>
          <cell r="BI158">
            <v>0</v>
          </cell>
          <cell r="BJ158">
            <v>0</v>
          </cell>
          <cell r="BK158">
            <v>0</v>
          </cell>
          <cell r="BL158">
            <v>0.1</v>
          </cell>
          <cell r="BM158">
            <v>0.1</v>
          </cell>
          <cell r="BN158">
            <v>0</v>
          </cell>
          <cell r="BO158">
            <v>0.1</v>
          </cell>
          <cell r="BP158">
            <v>0.1</v>
          </cell>
          <cell r="BQ158">
            <v>0</v>
          </cell>
          <cell r="BR158">
            <v>-0.4</v>
          </cell>
          <cell r="BS158">
            <v>0.1</v>
          </cell>
          <cell r="BT158">
            <v>0.1</v>
          </cell>
          <cell r="BU158">
            <v>0</v>
          </cell>
          <cell r="BV158">
            <v>0</v>
          </cell>
          <cell r="BW158">
            <v>0.1</v>
          </cell>
          <cell r="BX158">
            <v>0.1</v>
          </cell>
          <cell r="BY158">
            <v>0</v>
          </cell>
          <cell r="BZ158">
            <v>0.7</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-0.1</v>
          </cell>
        </row>
        <row r="159">
          <cell r="B159">
            <v>2286</v>
          </cell>
          <cell r="C159">
            <v>2557</v>
          </cell>
          <cell r="D159">
            <v>4811</v>
          </cell>
          <cell r="E159">
            <v>7979</v>
          </cell>
          <cell r="F159">
            <v>8556</v>
          </cell>
          <cell r="G159">
            <v>14986</v>
          </cell>
          <cell r="H159">
            <v>1166</v>
          </cell>
          <cell r="I159">
            <v>5573</v>
          </cell>
          <cell r="J159">
            <v>6826</v>
          </cell>
          <cell r="K159">
            <v>1233</v>
          </cell>
          <cell r="L159">
            <v>10962</v>
          </cell>
          <cell r="M159">
            <v>11122</v>
          </cell>
          <cell r="N159">
            <v>6794</v>
          </cell>
          <cell r="O159">
            <v>13733</v>
          </cell>
          <cell r="P159">
            <v>13246</v>
          </cell>
          <cell r="Q159">
            <v>13062</v>
          </cell>
          <cell r="R159">
            <v>1694</v>
          </cell>
          <cell r="S159">
            <v>5001</v>
          </cell>
          <cell r="T159">
            <v>23443</v>
          </cell>
          <cell r="U159">
            <v>205629</v>
          </cell>
          <cell r="V159">
            <v>18758</v>
          </cell>
          <cell r="W159">
            <v>-1898</v>
          </cell>
          <cell r="X159">
            <v>222194</v>
          </cell>
          <cell r="Y159">
            <v>0.2</v>
          </cell>
          <cell r="Z159">
            <v>0.1</v>
          </cell>
          <cell r="AA159">
            <v>0.2</v>
          </cell>
          <cell r="AB159">
            <v>0</v>
          </cell>
          <cell r="AC159">
            <v>0</v>
          </cell>
          <cell r="AD159">
            <v>0</v>
          </cell>
          <cell r="AE159">
            <v>-0.1</v>
          </cell>
          <cell r="AF159">
            <v>-0.1</v>
          </cell>
          <cell r="AG159">
            <v>0</v>
          </cell>
          <cell r="AH159">
            <v>-0.1</v>
          </cell>
          <cell r="AI159">
            <v>0</v>
          </cell>
          <cell r="AJ159">
            <v>-0.1</v>
          </cell>
          <cell r="AK159">
            <v>0.1</v>
          </cell>
          <cell r="AL159">
            <v>0</v>
          </cell>
          <cell r="AM159">
            <v>0</v>
          </cell>
          <cell r="AN159">
            <v>0.2</v>
          </cell>
          <cell r="AO159">
            <v>0</v>
          </cell>
          <cell r="AP159">
            <v>0</v>
          </cell>
          <cell r="AQ159">
            <v>0</v>
          </cell>
          <cell r="AR159">
            <v>0</v>
          </cell>
          <cell r="AS159">
            <v>0</v>
          </cell>
          <cell r="AT159">
            <v>0</v>
          </cell>
          <cell r="AU159">
            <v>0.1</v>
          </cell>
          <cell r="AV159">
            <v>0.1</v>
          </cell>
          <cell r="AW159">
            <v>0.1</v>
          </cell>
          <cell r="AX159">
            <v>0.1</v>
          </cell>
          <cell r="AY159">
            <v>0</v>
          </cell>
          <cell r="AZ159">
            <v>0</v>
          </cell>
          <cell r="BA159">
            <v>0</v>
          </cell>
          <cell r="BB159">
            <v>0</v>
          </cell>
          <cell r="BC159">
            <v>0</v>
          </cell>
          <cell r="BD159">
            <v>0</v>
          </cell>
          <cell r="BE159">
            <v>0</v>
          </cell>
          <cell r="BF159">
            <v>0</v>
          </cell>
          <cell r="BG159">
            <v>0</v>
          </cell>
          <cell r="BH159">
            <v>0.1</v>
          </cell>
          <cell r="BI159">
            <v>0.1</v>
          </cell>
          <cell r="BJ159">
            <v>0.1</v>
          </cell>
          <cell r="BK159">
            <v>0</v>
          </cell>
          <cell r="BL159">
            <v>0</v>
          </cell>
          <cell r="BM159">
            <v>0</v>
          </cell>
          <cell r="BN159">
            <v>0</v>
          </cell>
          <cell r="BO159">
            <v>0</v>
          </cell>
          <cell r="BP159">
            <v>0.1</v>
          </cell>
          <cell r="BQ159">
            <v>0</v>
          </cell>
          <cell r="BR159">
            <v>0.2</v>
          </cell>
          <cell r="BS159">
            <v>0.1</v>
          </cell>
          <cell r="BT159">
            <v>-0.1</v>
          </cell>
          <cell r="BU159">
            <v>0</v>
          </cell>
          <cell r="BV159">
            <v>0</v>
          </cell>
          <cell r="BW159">
            <v>0.2</v>
          </cell>
          <cell r="BX159">
            <v>1.4</v>
          </cell>
          <cell r="BY159">
            <v>0</v>
          </cell>
          <cell r="BZ159">
            <v>0.8</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row>
        <row r="160">
          <cell r="B160">
            <v>2343</v>
          </cell>
          <cell r="C160">
            <v>2754</v>
          </cell>
          <cell r="D160">
            <v>5034</v>
          </cell>
          <cell r="E160">
            <v>8179</v>
          </cell>
          <cell r="F160">
            <v>8451</v>
          </cell>
          <cell r="G160">
            <v>15210</v>
          </cell>
          <cell r="H160">
            <v>1130</v>
          </cell>
          <cell r="I160">
            <v>5418</v>
          </cell>
          <cell r="J160">
            <v>6630</v>
          </cell>
          <cell r="K160">
            <v>1207</v>
          </cell>
          <cell r="L160">
            <v>10629</v>
          </cell>
          <cell r="M160">
            <v>10811</v>
          </cell>
          <cell r="N160">
            <v>6558</v>
          </cell>
          <cell r="O160">
            <v>14044</v>
          </cell>
          <cell r="P160">
            <v>13372</v>
          </cell>
          <cell r="Q160">
            <v>12001</v>
          </cell>
          <cell r="R160">
            <v>1735</v>
          </cell>
          <cell r="S160">
            <v>5101</v>
          </cell>
          <cell r="T160">
            <v>23735</v>
          </cell>
          <cell r="U160">
            <v>219990</v>
          </cell>
          <cell r="V160">
            <v>20017</v>
          </cell>
          <cell r="W160">
            <v>2749</v>
          </cell>
          <cell r="X160">
            <v>242443</v>
          </cell>
          <cell r="Y160">
            <v>0.3</v>
          </cell>
          <cell r="Z160">
            <v>0</v>
          </cell>
          <cell r="AA160">
            <v>0.3</v>
          </cell>
          <cell r="AB160">
            <v>0</v>
          </cell>
          <cell r="AC160">
            <v>0</v>
          </cell>
          <cell r="AD160">
            <v>0</v>
          </cell>
          <cell r="AE160">
            <v>0</v>
          </cell>
          <cell r="AF160">
            <v>0</v>
          </cell>
          <cell r="AG160">
            <v>0</v>
          </cell>
          <cell r="AH160">
            <v>0</v>
          </cell>
          <cell r="AI160">
            <v>0.1</v>
          </cell>
          <cell r="AJ160">
            <v>0.2</v>
          </cell>
          <cell r="AK160">
            <v>0</v>
          </cell>
          <cell r="AL160">
            <v>-0.1</v>
          </cell>
          <cell r="AM160">
            <v>0.1</v>
          </cell>
          <cell r="AN160">
            <v>0.1</v>
          </cell>
          <cell r="AO160">
            <v>0</v>
          </cell>
          <cell r="AP160">
            <v>0</v>
          </cell>
          <cell r="AQ160">
            <v>0</v>
          </cell>
          <cell r="AR160">
            <v>0</v>
          </cell>
          <cell r="AS160">
            <v>0</v>
          </cell>
          <cell r="AT160">
            <v>-0.1</v>
          </cell>
          <cell r="AU160">
            <v>-0.1</v>
          </cell>
          <cell r="AV160">
            <v>-0.2</v>
          </cell>
          <cell r="AW160">
            <v>0.1</v>
          </cell>
          <cell r="AX160">
            <v>0</v>
          </cell>
          <cell r="AY160">
            <v>0.1</v>
          </cell>
          <cell r="AZ160">
            <v>0.1</v>
          </cell>
          <cell r="BA160">
            <v>0</v>
          </cell>
          <cell r="BB160">
            <v>0</v>
          </cell>
          <cell r="BC160">
            <v>0</v>
          </cell>
          <cell r="BD160">
            <v>0.1</v>
          </cell>
          <cell r="BE160">
            <v>0</v>
          </cell>
          <cell r="BF160">
            <v>0</v>
          </cell>
          <cell r="BG160">
            <v>0.1</v>
          </cell>
          <cell r="BH160">
            <v>0.1</v>
          </cell>
          <cell r="BI160">
            <v>0</v>
          </cell>
          <cell r="BJ160">
            <v>0.1</v>
          </cell>
          <cell r="BK160">
            <v>0</v>
          </cell>
          <cell r="BL160">
            <v>0</v>
          </cell>
          <cell r="BM160">
            <v>0</v>
          </cell>
          <cell r="BN160">
            <v>0</v>
          </cell>
          <cell r="BO160">
            <v>0</v>
          </cell>
          <cell r="BP160">
            <v>0.1</v>
          </cell>
          <cell r="BQ160">
            <v>0</v>
          </cell>
          <cell r="BR160">
            <v>0</v>
          </cell>
          <cell r="BS160">
            <v>0.1</v>
          </cell>
          <cell r="BT160">
            <v>0</v>
          </cell>
          <cell r="BU160">
            <v>0</v>
          </cell>
          <cell r="BV160">
            <v>0</v>
          </cell>
          <cell r="BW160">
            <v>0.1</v>
          </cell>
          <cell r="BX160">
            <v>1.1000000000000001</v>
          </cell>
          <cell r="BY160">
            <v>0.1</v>
          </cell>
          <cell r="BZ160">
            <v>0.9</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0.1</v>
          </cell>
        </row>
        <row r="161">
          <cell r="B161">
            <v>2268</v>
          </cell>
          <cell r="C161">
            <v>2564</v>
          </cell>
          <cell r="D161">
            <v>4792</v>
          </cell>
          <cell r="E161">
            <v>8491</v>
          </cell>
          <cell r="F161">
            <v>8155</v>
          </cell>
          <cell r="G161">
            <v>15495</v>
          </cell>
          <cell r="H161">
            <v>1202</v>
          </cell>
          <cell r="I161">
            <v>5846</v>
          </cell>
          <cell r="J161">
            <v>7125</v>
          </cell>
          <cell r="K161">
            <v>1311</v>
          </cell>
          <cell r="L161">
            <v>11390</v>
          </cell>
          <cell r="M161">
            <v>11625</v>
          </cell>
          <cell r="N161">
            <v>7067</v>
          </cell>
          <cell r="O161">
            <v>14920</v>
          </cell>
          <cell r="P161">
            <v>13479</v>
          </cell>
          <cell r="Q161">
            <v>11579</v>
          </cell>
          <cell r="R161">
            <v>1716</v>
          </cell>
          <cell r="S161">
            <v>5052</v>
          </cell>
          <cell r="T161">
            <v>23976</v>
          </cell>
          <cell r="U161">
            <v>203112</v>
          </cell>
          <cell r="V161">
            <v>18019</v>
          </cell>
          <cell r="W161">
            <v>-2312</v>
          </cell>
          <cell r="X161">
            <v>218551</v>
          </cell>
          <cell r="Y161">
            <v>-0.5</v>
          </cell>
          <cell r="Z161">
            <v>0</v>
          </cell>
          <cell r="AA161">
            <v>-0.5</v>
          </cell>
          <cell r="AB161">
            <v>0</v>
          </cell>
          <cell r="AC161">
            <v>0</v>
          </cell>
          <cell r="AD161">
            <v>0</v>
          </cell>
          <cell r="AE161">
            <v>-0.1</v>
          </cell>
          <cell r="AF161">
            <v>-0.1</v>
          </cell>
          <cell r="AG161">
            <v>0</v>
          </cell>
          <cell r="AH161">
            <v>-0.2</v>
          </cell>
          <cell r="AI161">
            <v>-0.1</v>
          </cell>
          <cell r="AJ161">
            <v>-0.1</v>
          </cell>
          <cell r="AK161">
            <v>-0.1</v>
          </cell>
          <cell r="AL161">
            <v>0.1</v>
          </cell>
          <cell r="AM161">
            <v>0</v>
          </cell>
          <cell r="AN161">
            <v>-0.1</v>
          </cell>
          <cell r="AO161">
            <v>0</v>
          </cell>
          <cell r="AP161">
            <v>0</v>
          </cell>
          <cell r="AQ161">
            <v>0</v>
          </cell>
          <cell r="AR161">
            <v>0</v>
          </cell>
          <cell r="AS161">
            <v>0.1</v>
          </cell>
          <cell r="AT161">
            <v>0</v>
          </cell>
          <cell r="AU161">
            <v>0</v>
          </cell>
          <cell r="AV161">
            <v>0.1</v>
          </cell>
          <cell r="AW161">
            <v>0</v>
          </cell>
          <cell r="AX161">
            <v>0.1</v>
          </cell>
          <cell r="AY161">
            <v>0.1</v>
          </cell>
          <cell r="AZ161">
            <v>-0.1</v>
          </cell>
          <cell r="BA161">
            <v>0</v>
          </cell>
          <cell r="BB161">
            <v>0</v>
          </cell>
          <cell r="BC161">
            <v>0</v>
          </cell>
          <cell r="BD161">
            <v>0</v>
          </cell>
          <cell r="BE161">
            <v>0</v>
          </cell>
          <cell r="BF161">
            <v>0</v>
          </cell>
          <cell r="BG161">
            <v>0</v>
          </cell>
          <cell r="BH161">
            <v>0.1</v>
          </cell>
          <cell r="BI161">
            <v>-0.1</v>
          </cell>
          <cell r="BJ161">
            <v>0.1</v>
          </cell>
          <cell r="BK161">
            <v>0</v>
          </cell>
          <cell r="BL161">
            <v>0.1</v>
          </cell>
          <cell r="BM161">
            <v>0.1</v>
          </cell>
          <cell r="BN161">
            <v>0</v>
          </cell>
          <cell r="BO161">
            <v>0.2</v>
          </cell>
          <cell r="BP161">
            <v>0.2</v>
          </cell>
          <cell r="BQ161">
            <v>0.1</v>
          </cell>
          <cell r="BR161">
            <v>0.4</v>
          </cell>
          <cell r="BS161">
            <v>0</v>
          </cell>
          <cell r="BT161">
            <v>-0.1</v>
          </cell>
          <cell r="BU161">
            <v>0</v>
          </cell>
          <cell r="BV161">
            <v>0</v>
          </cell>
          <cell r="BW161">
            <v>0.1</v>
          </cell>
          <cell r="BX161">
            <v>0.3</v>
          </cell>
          <cell r="BY161">
            <v>-0.1</v>
          </cell>
          <cell r="BZ161">
            <v>0.6</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row>
        <row r="162">
          <cell r="B162">
            <v>2463</v>
          </cell>
          <cell r="C162">
            <v>2692</v>
          </cell>
          <cell r="D162">
            <v>5129</v>
          </cell>
          <cell r="E162">
            <v>8887</v>
          </cell>
          <cell r="F162">
            <v>7929</v>
          </cell>
          <cell r="G162">
            <v>15921</v>
          </cell>
          <cell r="H162">
            <v>1179</v>
          </cell>
          <cell r="I162">
            <v>5888</v>
          </cell>
          <cell r="J162">
            <v>7123</v>
          </cell>
          <cell r="K162">
            <v>1327</v>
          </cell>
          <cell r="L162">
            <v>11340</v>
          </cell>
          <cell r="M162">
            <v>11627</v>
          </cell>
          <cell r="N162">
            <v>7154</v>
          </cell>
          <cell r="O162">
            <v>14432</v>
          </cell>
          <cell r="P162">
            <v>13567</v>
          </cell>
          <cell r="Q162">
            <v>12303</v>
          </cell>
          <cell r="R162">
            <v>1734</v>
          </cell>
          <cell r="S162">
            <v>5102</v>
          </cell>
          <cell r="T162">
            <v>24166</v>
          </cell>
          <cell r="U162">
            <v>210555</v>
          </cell>
          <cell r="V162">
            <v>19592</v>
          </cell>
          <cell r="W162">
            <v>1461</v>
          </cell>
          <cell r="X162">
            <v>231285</v>
          </cell>
          <cell r="Y162">
            <v>0.2</v>
          </cell>
          <cell r="Z162">
            <v>0</v>
          </cell>
          <cell r="AA162">
            <v>0.2</v>
          </cell>
          <cell r="AB162">
            <v>0.1</v>
          </cell>
          <cell r="AC162">
            <v>0.1</v>
          </cell>
          <cell r="AD162">
            <v>0</v>
          </cell>
          <cell r="AE162">
            <v>0</v>
          </cell>
          <cell r="AF162">
            <v>0.1</v>
          </cell>
          <cell r="AG162">
            <v>0</v>
          </cell>
          <cell r="AH162">
            <v>0.1</v>
          </cell>
          <cell r="AI162">
            <v>0</v>
          </cell>
          <cell r="AJ162">
            <v>0</v>
          </cell>
          <cell r="AK162">
            <v>0</v>
          </cell>
          <cell r="AL162">
            <v>0</v>
          </cell>
          <cell r="AM162">
            <v>0.1</v>
          </cell>
          <cell r="AN162">
            <v>0.1</v>
          </cell>
          <cell r="AO162">
            <v>0.1</v>
          </cell>
          <cell r="AP162">
            <v>0</v>
          </cell>
          <cell r="AQ162">
            <v>0</v>
          </cell>
          <cell r="AR162">
            <v>0.1</v>
          </cell>
          <cell r="AS162">
            <v>-0.1</v>
          </cell>
          <cell r="AT162">
            <v>0.1</v>
          </cell>
          <cell r="AU162">
            <v>0</v>
          </cell>
          <cell r="AV162">
            <v>0.1</v>
          </cell>
          <cell r="AW162">
            <v>0.2</v>
          </cell>
          <cell r="AX162">
            <v>0</v>
          </cell>
          <cell r="AY162">
            <v>0</v>
          </cell>
          <cell r="AZ162">
            <v>0</v>
          </cell>
          <cell r="BA162">
            <v>0</v>
          </cell>
          <cell r="BB162">
            <v>0</v>
          </cell>
          <cell r="BC162">
            <v>0</v>
          </cell>
          <cell r="BD162">
            <v>0.1</v>
          </cell>
          <cell r="BE162">
            <v>0.1</v>
          </cell>
          <cell r="BF162">
            <v>0</v>
          </cell>
          <cell r="BG162">
            <v>0.1</v>
          </cell>
          <cell r="BH162">
            <v>0.2</v>
          </cell>
          <cell r="BI162">
            <v>-0.1</v>
          </cell>
          <cell r="BJ162">
            <v>0.2</v>
          </cell>
          <cell r="BK162">
            <v>0</v>
          </cell>
          <cell r="BL162">
            <v>0</v>
          </cell>
          <cell r="BM162">
            <v>0</v>
          </cell>
          <cell r="BN162">
            <v>0</v>
          </cell>
          <cell r="BO162">
            <v>0</v>
          </cell>
          <cell r="BP162">
            <v>0</v>
          </cell>
          <cell r="BQ162">
            <v>0.1</v>
          </cell>
          <cell r="BR162">
            <v>-0.2</v>
          </cell>
          <cell r="BS162">
            <v>0</v>
          </cell>
          <cell r="BT162">
            <v>0.4</v>
          </cell>
          <cell r="BU162">
            <v>0</v>
          </cell>
          <cell r="BV162">
            <v>0</v>
          </cell>
          <cell r="BW162">
            <v>0.1</v>
          </cell>
          <cell r="BX162">
            <v>1.8</v>
          </cell>
          <cell r="BY162">
            <v>0.5</v>
          </cell>
          <cell r="BZ162">
            <v>3</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row>
        <row r="163">
          <cell r="B163">
            <v>2519</v>
          </cell>
          <cell r="C163">
            <v>2823</v>
          </cell>
          <cell r="D163">
            <v>5305</v>
          </cell>
          <cell r="E163">
            <v>9326</v>
          </cell>
          <cell r="F163">
            <v>7369</v>
          </cell>
          <cell r="G163">
            <v>16220</v>
          </cell>
          <cell r="H163">
            <v>1190</v>
          </cell>
          <cell r="I163">
            <v>6187</v>
          </cell>
          <cell r="J163">
            <v>7402</v>
          </cell>
          <cell r="K163">
            <v>1404</v>
          </cell>
          <cell r="L163">
            <v>11692</v>
          </cell>
          <cell r="M163">
            <v>12072</v>
          </cell>
          <cell r="N163">
            <v>7600</v>
          </cell>
          <cell r="O163">
            <v>13801</v>
          </cell>
          <cell r="P163">
            <v>13616</v>
          </cell>
          <cell r="Q163">
            <v>13333</v>
          </cell>
          <cell r="R163">
            <v>1761</v>
          </cell>
          <cell r="S163">
            <v>5171</v>
          </cell>
          <cell r="T163">
            <v>24282</v>
          </cell>
          <cell r="U163">
            <v>215624</v>
          </cell>
          <cell r="V163">
            <v>20249</v>
          </cell>
          <cell r="W163">
            <v>-2262</v>
          </cell>
          <cell r="X163">
            <v>233279</v>
          </cell>
          <cell r="Y163">
            <v>-0.1</v>
          </cell>
          <cell r="Z163">
            <v>0</v>
          </cell>
          <cell r="AA163">
            <v>-0.1</v>
          </cell>
          <cell r="AB163">
            <v>0</v>
          </cell>
          <cell r="AC163">
            <v>0.1</v>
          </cell>
          <cell r="AD163">
            <v>0</v>
          </cell>
          <cell r="AE163">
            <v>0</v>
          </cell>
          <cell r="AF163">
            <v>0.1</v>
          </cell>
          <cell r="AG163">
            <v>-0.1</v>
          </cell>
          <cell r="AH163">
            <v>0</v>
          </cell>
          <cell r="AI163">
            <v>0.2</v>
          </cell>
          <cell r="AJ163">
            <v>0</v>
          </cell>
          <cell r="AK163">
            <v>0</v>
          </cell>
          <cell r="AL163">
            <v>0</v>
          </cell>
          <cell r="AM163">
            <v>-0.1</v>
          </cell>
          <cell r="AN163">
            <v>0.2</v>
          </cell>
          <cell r="AO163">
            <v>0</v>
          </cell>
          <cell r="AP163">
            <v>0</v>
          </cell>
          <cell r="AQ163">
            <v>0</v>
          </cell>
          <cell r="AR163">
            <v>0</v>
          </cell>
          <cell r="AS163">
            <v>0.1</v>
          </cell>
          <cell r="AT163">
            <v>0</v>
          </cell>
          <cell r="AU163">
            <v>0</v>
          </cell>
          <cell r="AV163">
            <v>0.1</v>
          </cell>
          <cell r="AW163">
            <v>0.1</v>
          </cell>
          <cell r="AX163">
            <v>0.1</v>
          </cell>
          <cell r="AY163">
            <v>0</v>
          </cell>
          <cell r="AZ163">
            <v>0</v>
          </cell>
          <cell r="BA163">
            <v>0</v>
          </cell>
          <cell r="BB163">
            <v>0</v>
          </cell>
          <cell r="BC163">
            <v>0</v>
          </cell>
          <cell r="BD163">
            <v>0</v>
          </cell>
          <cell r="BE163">
            <v>0</v>
          </cell>
          <cell r="BF163">
            <v>0</v>
          </cell>
          <cell r="BG163">
            <v>0.1</v>
          </cell>
          <cell r="BH163">
            <v>0.2</v>
          </cell>
          <cell r="BI163">
            <v>-0.2</v>
          </cell>
          <cell r="BJ163">
            <v>0.1</v>
          </cell>
          <cell r="BK163">
            <v>0</v>
          </cell>
          <cell r="BL163">
            <v>0.1</v>
          </cell>
          <cell r="BM163">
            <v>0.1</v>
          </cell>
          <cell r="BN163">
            <v>0</v>
          </cell>
          <cell r="BO163">
            <v>0.1</v>
          </cell>
          <cell r="BP163">
            <v>0.1</v>
          </cell>
          <cell r="BQ163">
            <v>0.1</v>
          </cell>
          <cell r="BR163">
            <v>-0.2</v>
          </cell>
          <cell r="BS163">
            <v>0</v>
          </cell>
          <cell r="BT163">
            <v>-0.5</v>
          </cell>
          <cell r="BU163">
            <v>0</v>
          </cell>
          <cell r="BV163">
            <v>0</v>
          </cell>
          <cell r="BW163">
            <v>0.1</v>
          </cell>
          <cell r="BX163">
            <v>0.3</v>
          </cell>
          <cell r="BY163">
            <v>0.2</v>
          </cell>
          <cell r="BZ163">
            <v>0.1</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row>
        <row r="164">
          <cell r="B164">
            <v>2561</v>
          </cell>
          <cell r="C164">
            <v>3028</v>
          </cell>
          <cell r="D164">
            <v>5523</v>
          </cell>
          <cell r="E164">
            <v>9667</v>
          </cell>
          <cell r="F164">
            <v>6886</v>
          </cell>
          <cell r="G164">
            <v>16404</v>
          </cell>
          <cell r="H164">
            <v>1105</v>
          </cell>
          <cell r="I164">
            <v>5910</v>
          </cell>
          <cell r="J164">
            <v>7018</v>
          </cell>
          <cell r="K164">
            <v>1359</v>
          </cell>
          <cell r="L164">
            <v>11114</v>
          </cell>
          <cell r="M164">
            <v>11531</v>
          </cell>
          <cell r="N164">
            <v>7371</v>
          </cell>
          <cell r="O164">
            <v>14288</v>
          </cell>
          <cell r="P164">
            <v>13701</v>
          </cell>
          <cell r="Q164">
            <v>12602</v>
          </cell>
          <cell r="R164">
            <v>1818</v>
          </cell>
          <cell r="S164">
            <v>5213</v>
          </cell>
          <cell r="T164">
            <v>24409</v>
          </cell>
          <cell r="U164">
            <v>226936</v>
          </cell>
          <cell r="V164">
            <v>21488</v>
          </cell>
          <cell r="W164">
            <v>3221</v>
          </cell>
          <cell r="X164">
            <v>251298</v>
          </cell>
          <cell r="Y164">
            <v>0.1</v>
          </cell>
          <cell r="Z164">
            <v>0</v>
          </cell>
          <cell r="AA164">
            <v>0.1</v>
          </cell>
          <cell r="AB164">
            <v>0</v>
          </cell>
          <cell r="AC164">
            <v>0</v>
          </cell>
          <cell r="AD164">
            <v>0</v>
          </cell>
          <cell r="AE164">
            <v>0.1</v>
          </cell>
          <cell r="AF164">
            <v>0.1</v>
          </cell>
          <cell r="AG164">
            <v>0.1</v>
          </cell>
          <cell r="AH164">
            <v>0.2</v>
          </cell>
          <cell r="AI164">
            <v>0</v>
          </cell>
          <cell r="AJ164">
            <v>0</v>
          </cell>
          <cell r="AK164">
            <v>0</v>
          </cell>
          <cell r="AL164">
            <v>0</v>
          </cell>
          <cell r="AM164">
            <v>0</v>
          </cell>
          <cell r="AN164">
            <v>0</v>
          </cell>
          <cell r="AO164">
            <v>0</v>
          </cell>
          <cell r="AP164">
            <v>0</v>
          </cell>
          <cell r="AQ164">
            <v>0</v>
          </cell>
          <cell r="AR164">
            <v>0.1</v>
          </cell>
          <cell r="AS164">
            <v>0.1</v>
          </cell>
          <cell r="AT164">
            <v>0.1</v>
          </cell>
          <cell r="AU164">
            <v>0.1</v>
          </cell>
          <cell r="AV164">
            <v>0.3</v>
          </cell>
          <cell r="AW164">
            <v>-0.1</v>
          </cell>
          <cell r="AX164">
            <v>0</v>
          </cell>
          <cell r="AY164">
            <v>0</v>
          </cell>
          <cell r="AZ164">
            <v>0</v>
          </cell>
          <cell r="BA164">
            <v>0</v>
          </cell>
          <cell r="BB164">
            <v>0</v>
          </cell>
          <cell r="BC164">
            <v>0</v>
          </cell>
          <cell r="BD164">
            <v>0</v>
          </cell>
          <cell r="BE164">
            <v>0</v>
          </cell>
          <cell r="BF164">
            <v>0</v>
          </cell>
          <cell r="BG164">
            <v>0</v>
          </cell>
          <cell r="BH164">
            <v>0.1</v>
          </cell>
          <cell r="BI164">
            <v>-0.2</v>
          </cell>
          <cell r="BJ164">
            <v>0.1</v>
          </cell>
          <cell r="BK164">
            <v>0</v>
          </cell>
          <cell r="BL164">
            <v>0</v>
          </cell>
          <cell r="BM164">
            <v>-0.1</v>
          </cell>
          <cell r="BN164">
            <v>0</v>
          </cell>
          <cell r="BO164">
            <v>-0.1</v>
          </cell>
          <cell r="BP164">
            <v>-0.1</v>
          </cell>
          <cell r="BQ164">
            <v>0</v>
          </cell>
          <cell r="BR164">
            <v>0.2</v>
          </cell>
          <cell r="BS164">
            <v>0</v>
          </cell>
          <cell r="BT164">
            <v>0.7</v>
          </cell>
          <cell r="BU164">
            <v>0</v>
          </cell>
          <cell r="BV164">
            <v>0</v>
          </cell>
          <cell r="BW164">
            <v>0.1</v>
          </cell>
          <cell r="BX164">
            <v>1.7</v>
          </cell>
          <cell r="BY164">
            <v>0.1</v>
          </cell>
          <cell r="BZ164">
            <v>1.4</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row>
        <row r="165">
          <cell r="B165">
            <v>2485</v>
          </cell>
          <cell r="C165">
            <v>2695</v>
          </cell>
          <cell r="D165">
            <v>5155</v>
          </cell>
          <cell r="E165">
            <v>9914</v>
          </cell>
          <cell r="F165">
            <v>6718</v>
          </cell>
          <cell r="G165">
            <v>16635</v>
          </cell>
          <cell r="H165">
            <v>1105</v>
          </cell>
          <cell r="I165">
            <v>5997</v>
          </cell>
          <cell r="J165">
            <v>7094</v>
          </cell>
          <cell r="K165">
            <v>1407</v>
          </cell>
          <cell r="L165">
            <v>11361</v>
          </cell>
          <cell r="M165">
            <v>11828</v>
          </cell>
          <cell r="N165">
            <v>7619</v>
          </cell>
          <cell r="O165">
            <v>14679</v>
          </cell>
          <cell r="P165">
            <v>13803</v>
          </cell>
          <cell r="Q165">
            <v>12059</v>
          </cell>
          <cell r="R165">
            <v>1813</v>
          </cell>
          <cell r="S165">
            <v>5114</v>
          </cell>
          <cell r="T165">
            <v>24540</v>
          </cell>
          <cell r="U165">
            <v>213257</v>
          </cell>
          <cell r="V165">
            <v>19590</v>
          </cell>
          <cell r="W165">
            <v>-455</v>
          </cell>
          <cell r="X165">
            <v>232093</v>
          </cell>
          <cell r="Y165">
            <v>-0.1</v>
          </cell>
          <cell r="Z165">
            <v>0</v>
          </cell>
          <cell r="AA165">
            <v>-0.1</v>
          </cell>
          <cell r="AB165">
            <v>0</v>
          </cell>
          <cell r="AC165">
            <v>-0.1</v>
          </cell>
          <cell r="AD165">
            <v>0</v>
          </cell>
          <cell r="AE165">
            <v>0</v>
          </cell>
          <cell r="AF165">
            <v>-0.1</v>
          </cell>
          <cell r="AG165">
            <v>0.1</v>
          </cell>
          <cell r="AH165">
            <v>0</v>
          </cell>
          <cell r="AI165">
            <v>0</v>
          </cell>
          <cell r="AJ165">
            <v>0</v>
          </cell>
          <cell r="AK165">
            <v>0.1</v>
          </cell>
          <cell r="AL165">
            <v>0</v>
          </cell>
          <cell r="AM165">
            <v>-0.1</v>
          </cell>
          <cell r="AN165">
            <v>0</v>
          </cell>
          <cell r="AO165">
            <v>0</v>
          </cell>
          <cell r="AP165">
            <v>0</v>
          </cell>
          <cell r="AQ165">
            <v>0</v>
          </cell>
          <cell r="AR165">
            <v>0</v>
          </cell>
          <cell r="AS165">
            <v>0.1</v>
          </cell>
          <cell r="AT165">
            <v>0.2</v>
          </cell>
          <cell r="AU165">
            <v>0.2</v>
          </cell>
          <cell r="AV165">
            <v>0.4</v>
          </cell>
          <cell r="AW165">
            <v>0</v>
          </cell>
          <cell r="AX165">
            <v>0</v>
          </cell>
          <cell r="AY165">
            <v>-0.1</v>
          </cell>
          <cell r="AZ165">
            <v>0</v>
          </cell>
          <cell r="BA165">
            <v>0</v>
          </cell>
          <cell r="BB165">
            <v>0</v>
          </cell>
          <cell r="BC165">
            <v>0</v>
          </cell>
          <cell r="BD165">
            <v>0</v>
          </cell>
          <cell r="BE165">
            <v>0</v>
          </cell>
          <cell r="BF165">
            <v>0</v>
          </cell>
          <cell r="BG165">
            <v>-0.1</v>
          </cell>
          <cell r="BH165">
            <v>0.1</v>
          </cell>
          <cell r="BI165">
            <v>-0.1</v>
          </cell>
          <cell r="BJ165">
            <v>0.1</v>
          </cell>
          <cell r="BK165">
            <v>0</v>
          </cell>
          <cell r="BL165">
            <v>0</v>
          </cell>
          <cell r="BM165">
            <v>0</v>
          </cell>
          <cell r="BN165">
            <v>0</v>
          </cell>
          <cell r="BO165">
            <v>0</v>
          </cell>
          <cell r="BP165">
            <v>0</v>
          </cell>
          <cell r="BQ165">
            <v>0</v>
          </cell>
          <cell r="BR165">
            <v>0.1</v>
          </cell>
          <cell r="BS165">
            <v>0</v>
          </cell>
          <cell r="BT165">
            <v>-0.1</v>
          </cell>
          <cell r="BU165">
            <v>0</v>
          </cell>
          <cell r="BV165">
            <v>0</v>
          </cell>
          <cell r="BW165">
            <v>0.1</v>
          </cell>
          <cell r="BX165">
            <v>0.5</v>
          </cell>
          <cell r="BY165">
            <v>0</v>
          </cell>
          <cell r="BZ165">
            <v>0.8</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row>
        <row r="166">
          <cell r="B166">
            <v>2637</v>
          </cell>
          <cell r="C166">
            <v>2827</v>
          </cell>
          <cell r="D166">
            <v>5443</v>
          </cell>
          <cell r="E166">
            <v>10103</v>
          </cell>
          <cell r="F166">
            <v>6748</v>
          </cell>
          <cell r="G166">
            <v>16899</v>
          </cell>
          <cell r="H166">
            <v>1111</v>
          </cell>
          <cell r="I166">
            <v>6027</v>
          </cell>
          <cell r="J166">
            <v>7129</v>
          </cell>
          <cell r="K166">
            <v>1455</v>
          </cell>
          <cell r="L166">
            <v>11650</v>
          </cell>
          <cell r="M166">
            <v>12155</v>
          </cell>
          <cell r="N166">
            <v>7827</v>
          </cell>
          <cell r="O166">
            <v>14083</v>
          </cell>
          <cell r="P166">
            <v>13920</v>
          </cell>
          <cell r="Q166">
            <v>12647</v>
          </cell>
          <cell r="R166">
            <v>1843</v>
          </cell>
          <cell r="S166">
            <v>5205</v>
          </cell>
          <cell r="T166">
            <v>24677</v>
          </cell>
          <cell r="U166">
            <v>219564</v>
          </cell>
          <cell r="V166">
            <v>20939</v>
          </cell>
          <cell r="W166">
            <v>-504</v>
          </cell>
          <cell r="X166">
            <v>239655</v>
          </cell>
          <cell r="Y166">
            <v>0.2</v>
          </cell>
          <cell r="Z166">
            <v>0</v>
          </cell>
          <cell r="AA166">
            <v>0.2</v>
          </cell>
          <cell r="AB166">
            <v>0</v>
          </cell>
          <cell r="AC166">
            <v>0.1</v>
          </cell>
          <cell r="AD166">
            <v>0</v>
          </cell>
          <cell r="AE166">
            <v>0</v>
          </cell>
          <cell r="AF166">
            <v>0</v>
          </cell>
          <cell r="AG166">
            <v>0.1</v>
          </cell>
          <cell r="AH166">
            <v>0.1</v>
          </cell>
          <cell r="AI166">
            <v>0</v>
          </cell>
          <cell r="AJ166">
            <v>0.1</v>
          </cell>
          <cell r="AK166">
            <v>0</v>
          </cell>
          <cell r="AL166">
            <v>0</v>
          </cell>
          <cell r="AM166">
            <v>0.1</v>
          </cell>
          <cell r="AN166">
            <v>0.1</v>
          </cell>
          <cell r="AO166">
            <v>0</v>
          </cell>
          <cell r="AP166">
            <v>0</v>
          </cell>
          <cell r="AQ166">
            <v>0</v>
          </cell>
          <cell r="AR166">
            <v>0</v>
          </cell>
          <cell r="AS166">
            <v>0</v>
          </cell>
          <cell r="AT166">
            <v>-0.1</v>
          </cell>
          <cell r="AU166">
            <v>0</v>
          </cell>
          <cell r="AV166">
            <v>-0.1</v>
          </cell>
          <cell r="AW166">
            <v>0.1</v>
          </cell>
          <cell r="AX166">
            <v>0.1</v>
          </cell>
          <cell r="AY166">
            <v>0.1</v>
          </cell>
          <cell r="AZ166">
            <v>0</v>
          </cell>
          <cell r="BA166">
            <v>0</v>
          </cell>
          <cell r="BB166">
            <v>0</v>
          </cell>
          <cell r="BC166">
            <v>0</v>
          </cell>
          <cell r="BD166">
            <v>0.1</v>
          </cell>
          <cell r="BE166">
            <v>0.1</v>
          </cell>
          <cell r="BF166">
            <v>0</v>
          </cell>
          <cell r="BG166">
            <v>0.1</v>
          </cell>
          <cell r="BH166">
            <v>0.1</v>
          </cell>
          <cell r="BI166">
            <v>0</v>
          </cell>
          <cell r="BJ166">
            <v>0.1</v>
          </cell>
          <cell r="BK166">
            <v>0</v>
          </cell>
          <cell r="BL166">
            <v>0</v>
          </cell>
          <cell r="BM166">
            <v>0</v>
          </cell>
          <cell r="BN166">
            <v>0</v>
          </cell>
          <cell r="BO166">
            <v>0.1</v>
          </cell>
          <cell r="BP166">
            <v>0.1</v>
          </cell>
          <cell r="BQ166">
            <v>0.1</v>
          </cell>
          <cell r="BR166">
            <v>-0.3</v>
          </cell>
          <cell r="BS166">
            <v>0</v>
          </cell>
          <cell r="BT166">
            <v>0</v>
          </cell>
          <cell r="BU166">
            <v>0</v>
          </cell>
          <cell r="BV166">
            <v>0</v>
          </cell>
          <cell r="BW166">
            <v>0.1</v>
          </cell>
          <cell r="BX166">
            <v>1</v>
          </cell>
          <cell r="BY166">
            <v>0.3</v>
          </cell>
          <cell r="BZ166">
            <v>0.9</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row>
        <row r="167">
          <cell r="B167">
            <v>2672</v>
          </cell>
          <cell r="C167">
            <v>2841</v>
          </cell>
          <cell r="D167">
            <v>5497</v>
          </cell>
          <cell r="E167">
            <v>10481</v>
          </cell>
          <cell r="F167">
            <v>6968</v>
          </cell>
          <cell r="G167">
            <v>17487</v>
          </cell>
          <cell r="H167">
            <v>1137</v>
          </cell>
          <cell r="I167">
            <v>6072</v>
          </cell>
          <cell r="J167">
            <v>7213</v>
          </cell>
          <cell r="K167">
            <v>1527</v>
          </cell>
          <cell r="L167">
            <v>12188</v>
          </cell>
          <cell r="M167">
            <v>12726</v>
          </cell>
          <cell r="N167">
            <v>8111</v>
          </cell>
          <cell r="O167">
            <v>14221</v>
          </cell>
          <cell r="P167">
            <v>14094</v>
          </cell>
          <cell r="Q167">
            <v>13584</v>
          </cell>
          <cell r="R167">
            <v>1877</v>
          </cell>
          <cell r="S167">
            <v>5286</v>
          </cell>
          <cell r="T167">
            <v>24816</v>
          </cell>
          <cell r="U167">
            <v>225591</v>
          </cell>
          <cell r="V167">
            <v>21142</v>
          </cell>
          <cell r="W167">
            <v>-894</v>
          </cell>
          <cell r="X167">
            <v>245506</v>
          </cell>
          <cell r="Y167">
            <v>0.2</v>
          </cell>
          <cell r="Z167">
            <v>0</v>
          </cell>
          <cell r="AA167">
            <v>0.2</v>
          </cell>
          <cell r="AB167">
            <v>0</v>
          </cell>
          <cell r="AC167">
            <v>0</v>
          </cell>
          <cell r="AD167">
            <v>0</v>
          </cell>
          <cell r="AE167">
            <v>0.1</v>
          </cell>
          <cell r="AF167">
            <v>0.1</v>
          </cell>
          <cell r="AG167">
            <v>-0.2</v>
          </cell>
          <cell r="AH167">
            <v>-0.1</v>
          </cell>
          <cell r="AI167">
            <v>0.1</v>
          </cell>
          <cell r="AJ167">
            <v>0</v>
          </cell>
          <cell r="AK167">
            <v>0</v>
          </cell>
          <cell r="AL167">
            <v>0</v>
          </cell>
          <cell r="AM167">
            <v>0</v>
          </cell>
          <cell r="AN167">
            <v>0.1</v>
          </cell>
          <cell r="AO167">
            <v>0</v>
          </cell>
          <cell r="AP167">
            <v>0</v>
          </cell>
          <cell r="AQ167">
            <v>0</v>
          </cell>
          <cell r="AR167">
            <v>0</v>
          </cell>
          <cell r="AS167">
            <v>0</v>
          </cell>
          <cell r="AT167">
            <v>0</v>
          </cell>
          <cell r="AU167">
            <v>0.2</v>
          </cell>
          <cell r="AV167">
            <v>0.2</v>
          </cell>
          <cell r="AW167">
            <v>0</v>
          </cell>
          <cell r="AX167">
            <v>0.1</v>
          </cell>
          <cell r="AY167">
            <v>0.1</v>
          </cell>
          <cell r="AZ167">
            <v>0.1</v>
          </cell>
          <cell r="BA167">
            <v>0</v>
          </cell>
          <cell r="BB167">
            <v>0</v>
          </cell>
          <cell r="BC167">
            <v>0.1</v>
          </cell>
          <cell r="BD167">
            <v>0.1</v>
          </cell>
          <cell r="BE167">
            <v>0</v>
          </cell>
          <cell r="BF167">
            <v>0</v>
          </cell>
          <cell r="BG167">
            <v>0</v>
          </cell>
          <cell r="BH167">
            <v>0.2</v>
          </cell>
          <cell r="BI167">
            <v>0.1</v>
          </cell>
          <cell r="BJ167">
            <v>0.3</v>
          </cell>
          <cell r="BK167">
            <v>0</v>
          </cell>
          <cell r="BL167">
            <v>0</v>
          </cell>
          <cell r="BM167">
            <v>0</v>
          </cell>
          <cell r="BN167">
            <v>0</v>
          </cell>
          <cell r="BO167">
            <v>0.1</v>
          </cell>
          <cell r="BP167">
            <v>0.2</v>
          </cell>
          <cell r="BQ167">
            <v>0.1</v>
          </cell>
          <cell r="BR167">
            <v>0.1</v>
          </cell>
          <cell r="BS167">
            <v>0.1</v>
          </cell>
          <cell r="BT167">
            <v>0</v>
          </cell>
          <cell r="BU167">
            <v>0</v>
          </cell>
          <cell r="BV167">
            <v>0</v>
          </cell>
          <cell r="BW167">
            <v>0</v>
          </cell>
          <cell r="BX167">
            <v>1.5</v>
          </cell>
          <cell r="BY167">
            <v>0</v>
          </cell>
          <cell r="BZ167">
            <v>1.9</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row>
        <row r="168">
          <cell r="B168">
            <v>2817</v>
          </cell>
          <cell r="C168">
            <v>3137</v>
          </cell>
          <cell r="D168">
            <v>5911</v>
          </cell>
          <cell r="E168">
            <v>10659</v>
          </cell>
          <cell r="F168">
            <v>7258</v>
          </cell>
          <cell r="G168">
            <v>17884</v>
          </cell>
          <cell r="H168">
            <v>1132</v>
          </cell>
          <cell r="I168">
            <v>5982</v>
          </cell>
          <cell r="J168">
            <v>7126</v>
          </cell>
          <cell r="K168">
            <v>1550</v>
          </cell>
          <cell r="L168">
            <v>12260</v>
          </cell>
          <cell r="M168">
            <v>12832</v>
          </cell>
          <cell r="N168">
            <v>8143</v>
          </cell>
          <cell r="O168">
            <v>14384</v>
          </cell>
          <cell r="P168">
            <v>14214</v>
          </cell>
          <cell r="Q168">
            <v>12498</v>
          </cell>
          <cell r="R168">
            <v>1957</v>
          </cell>
          <cell r="S168">
            <v>5362</v>
          </cell>
          <cell r="T168">
            <v>24957</v>
          </cell>
          <cell r="U168">
            <v>238512</v>
          </cell>
          <cell r="V168">
            <v>22303</v>
          </cell>
          <cell r="W168">
            <v>3378</v>
          </cell>
          <cell r="X168">
            <v>263845</v>
          </cell>
          <cell r="Y168">
            <v>0.2</v>
          </cell>
          <cell r="Z168">
            <v>0</v>
          </cell>
          <cell r="AA168">
            <v>0.2</v>
          </cell>
          <cell r="AB168">
            <v>0.1</v>
          </cell>
          <cell r="AC168">
            <v>-0.3</v>
          </cell>
          <cell r="AD168">
            <v>0</v>
          </cell>
          <cell r="AE168">
            <v>0</v>
          </cell>
          <cell r="AF168">
            <v>-0.2</v>
          </cell>
          <cell r="AG168">
            <v>0.1</v>
          </cell>
          <cell r="AH168">
            <v>-0.1</v>
          </cell>
          <cell r="AI168">
            <v>0</v>
          </cell>
          <cell r="AJ168">
            <v>0</v>
          </cell>
          <cell r="AK168">
            <v>0</v>
          </cell>
          <cell r="AL168">
            <v>0.1</v>
          </cell>
          <cell r="AM168">
            <v>0</v>
          </cell>
          <cell r="AN168">
            <v>0.1</v>
          </cell>
          <cell r="AO168">
            <v>0</v>
          </cell>
          <cell r="AP168">
            <v>0</v>
          </cell>
          <cell r="AQ168">
            <v>0</v>
          </cell>
          <cell r="AR168">
            <v>0</v>
          </cell>
          <cell r="AS168">
            <v>0.1</v>
          </cell>
          <cell r="AT168">
            <v>0</v>
          </cell>
          <cell r="AU168">
            <v>0.1</v>
          </cell>
          <cell r="AV168">
            <v>0.3</v>
          </cell>
          <cell r="AW168">
            <v>0.1</v>
          </cell>
          <cell r="AX168">
            <v>0</v>
          </cell>
          <cell r="AY168">
            <v>0.1</v>
          </cell>
          <cell r="AZ168">
            <v>0</v>
          </cell>
          <cell r="BA168">
            <v>0</v>
          </cell>
          <cell r="BB168">
            <v>0</v>
          </cell>
          <cell r="BC168">
            <v>0</v>
          </cell>
          <cell r="BD168">
            <v>0</v>
          </cell>
          <cell r="BE168">
            <v>0.1</v>
          </cell>
          <cell r="BF168">
            <v>0.1</v>
          </cell>
          <cell r="BG168">
            <v>0.1</v>
          </cell>
          <cell r="BH168">
            <v>0.1</v>
          </cell>
          <cell r="BI168">
            <v>0.1</v>
          </cell>
          <cell r="BJ168">
            <v>0.2</v>
          </cell>
          <cell r="BK168">
            <v>0</v>
          </cell>
          <cell r="BL168">
            <v>0</v>
          </cell>
          <cell r="BM168">
            <v>0.1</v>
          </cell>
          <cell r="BN168">
            <v>0</v>
          </cell>
          <cell r="BO168">
            <v>0.2</v>
          </cell>
          <cell r="BP168">
            <v>0.2</v>
          </cell>
          <cell r="BQ168">
            <v>0.1</v>
          </cell>
          <cell r="BR168">
            <v>0.2</v>
          </cell>
          <cell r="BS168">
            <v>0</v>
          </cell>
          <cell r="BT168">
            <v>-0.1</v>
          </cell>
          <cell r="BU168">
            <v>0</v>
          </cell>
          <cell r="BV168">
            <v>0</v>
          </cell>
          <cell r="BW168">
            <v>0.1</v>
          </cell>
          <cell r="BX168">
            <v>1.6</v>
          </cell>
          <cell r="BY168">
            <v>0</v>
          </cell>
          <cell r="BZ168">
            <v>1.5</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row>
        <row r="169">
          <cell r="B169">
            <v>2804</v>
          </cell>
          <cell r="C169">
            <v>2962</v>
          </cell>
          <cell r="D169">
            <v>5755</v>
          </cell>
          <cell r="E169">
            <v>10906</v>
          </cell>
          <cell r="F169">
            <v>7485</v>
          </cell>
          <cell r="G169">
            <v>18333</v>
          </cell>
          <cell r="H169">
            <v>1164</v>
          </cell>
          <cell r="I169">
            <v>6118</v>
          </cell>
          <cell r="J169">
            <v>7298</v>
          </cell>
          <cell r="K169">
            <v>1619</v>
          </cell>
          <cell r="L169">
            <v>12601</v>
          </cell>
          <cell r="M169">
            <v>13246</v>
          </cell>
          <cell r="N169">
            <v>8401</v>
          </cell>
          <cell r="O169">
            <v>15507</v>
          </cell>
          <cell r="P169">
            <v>14303</v>
          </cell>
          <cell r="Q169">
            <v>12638</v>
          </cell>
          <cell r="R169">
            <v>1917</v>
          </cell>
          <cell r="S169">
            <v>5307</v>
          </cell>
          <cell r="T169">
            <v>25132</v>
          </cell>
          <cell r="U169">
            <v>225329</v>
          </cell>
          <cell r="V169">
            <v>20936</v>
          </cell>
          <cell r="W169">
            <v>-1563</v>
          </cell>
          <cell r="X169">
            <v>244376</v>
          </cell>
          <cell r="Y169">
            <v>-0.3</v>
          </cell>
          <cell r="Z169">
            <v>0</v>
          </cell>
          <cell r="AA169">
            <v>-0.3</v>
          </cell>
          <cell r="AB169">
            <v>0.1</v>
          </cell>
          <cell r="AC169">
            <v>0.1</v>
          </cell>
          <cell r="AD169">
            <v>0</v>
          </cell>
          <cell r="AE169">
            <v>0</v>
          </cell>
          <cell r="AF169">
            <v>0.2</v>
          </cell>
          <cell r="AG169">
            <v>0</v>
          </cell>
          <cell r="AH169">
            <v>0.2</v>
          </cell>
          <cell r="AI169">
            <v>0</v>
          </cell>
          <cell r="AJ169">
            <v>0.1</v>
          </cell>
          <cell r="AK169">
            <v>0</v>
          </cell>
          <cell r="AL169">
            <v>-0.1</v>
          </cell>
          <cell r="AM169">
            <v>0.1</v>
          </cell>
          <cell r="AN169">
            <v>0.1</v>
          </cell>
          <cell r="AO169">
            <v>0</v>
          </cell>
          <cell r="AP169">
            <v>0</v>
          </cell>
          <cell r="AQ169">
            <v>0</v>
          </cell>
          <cell r="AR169">
            <v>0</v>
          </cell>
          <cell r="AS169">
            <v>0</v>
          </cell>
          <cell r="AT169">
            <v>0</v>
          </cell>
          <cell r="AU169">
            <v>-0.1</v>
          </cell>
          <cell r="AV169">
            <v>0</v>
          </cell>
          <cell r="AW169">
            <v>0</v>
          </cell>
          <cell r="AX169">
            <v>0.1</v>
          </cell>
          <cell r="AY169">
            <v>0.1</v>
          </cell>
          <cell r="AZ169">
            <v>-0.1</v>
          </cell>
          <cell r="BA169">
            <v>0</v>
          </cell>
          <cell r="BB169">
            <v>0</v>
          </cell>
          <cell r="BC169">
            <v>-0.1</v>
          </cell>
          <cell r="BD169">
            <v>-0.1</v>
          </cell>
          <cell r="BE169">
            <v>0</v>
          </cell>
          <cell r="BF169">
            <v>0</v>
          </cell>
          <cell r="BG169">
            <v>0</v>
          </cell>
          <cell r="BH169">
            <v>0.1</v>
          </cell>
          <cell r="BI169">
            <v>0.1</v>
          </cell>
          <cell r="BJ169">
            <v>0.2</v>
          </cell>
          <cell r="BK169">
            <v>0</v>
          </cell>
          <cell r="BL169">
            <v>0</v>
          </cell>
          <cell r="BM169">
            <v>0</v>
          </cell>
          <cell r="BN169">
            <v>0</v>
          </cell>
          <cell r="BO169">
            <v>0.1</v>
          </cell>
          <cell r="BP169">
            <v>0.1</v>
          </cell>
          <cell r="BQ169">
            <v>0.1</v>
          </cell>
          <cell r="BR169">
            <v>0.2</v>
          </cell>
          <cell r="BS169">
            <v>0</v>
          </cell>
          <cell r="BT169">
            <v>0.1</v>
          </cell>
          <cell r="BU169">
            <v>0</v>
          </cell>
          <cell r="BV169">
            <v>0</v>
          </cell>
          <cell r="BW169">
            <v>0.1</v>
          </cell>
          <cell r="BX169">
            <v>0.8</v>
          </cell>
          <cell r="BY169">
            <v>0.2</v>
          </cell>
          <cell r="BZ169">
            <v>0.7</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row>
        <row r="170">
          <cell r="B170">
            <v>2829</v>
          </cell>
          <cell r="C170">
            <v>2958</v>
          </cell>
          <cell r="D170">
            <v>5782</v>
          </cell>
          <cell r="E170">
            <v>11038</v>
          </cell>
          <cell r="F170">
            <v>7727</v>
          </cell>
          <cell r="G170">
            <v>18654</v>
          </cell>
          <cell r="H170">
            <v>1199</v>
          </cell>
          <cell r="I170">
            <v>6305</v>
          </cell>
          <cell r="J170">
            <v>7520</v>
          </cell>
          <cell r="K170">
            <v>1689</v>
          </cell>
          <cell r="L170">
            <v>12835</v>
          </cell>
          <cell r="M170">
            <v>13580</v>
          </cell>
          <cell r="N170">
            <v>8642</v>
          </cell>
          <cell r="O170">
            <v>15822</v>
          </cell>
          <cell r="P170">
            <v>14362</v>
          </cell>
          <cell r="Q170">
            <v>13202</v>
          </cell>
          <cell r="R170">
            <v>1927</v>
          </cell>
          <cell r="S170">
            <v>5501</v>
          </cell>
          <cell r="T170">
            <v>25342</v>
          </cell>
          <cell r="U170">
            <v>230460</v>
          </cell>
          <cell r="V170">
            <v>21381</v>
          </cell>
          <cell r="W170">
            <v>-920</v>
          </cell>
          <cell r="X170">
            <v>250586</v>
          </cell>
          <cell r="Y170">
            <v>0</v>
          </cell>
          <cell r="Z170">
            <v>0</v>
          </cell>
          <cell r="AA170">
            <v>0.1</v>
          </cell>
          <cell r="AB170">
            <v>0</v>
          </cell>
          <cell r="AC170">
            <v>0</v>
          </cell>
          <cell r="AD170">
            <v>0</v>
          </cell>
          <cell r="AE170">
            <v>0</v>
          </cell>
          <cell r="AF170">
            <v>0</v>
          </cell>
          <cell r="AG170">
            <v>0</v>
          </cell>
          <cell r="AH170">
            <v>-0.1</v>
          </cell>
          <cell r="AI170">
            <v>0</v>
          </cell>
          <cell r="AJ170">
            <v>0</v>
          </cell>
          <cell r="AK170">
            <v>0</v>
          </cell>
          <cell r="AL170">
            <v>-0.1</v>
          </cell>
          <cell r="AM170">
            <v>-0.1</v>
          </cell>
          <cell r="AN170">
            <v>-0.3</v>
          </cell>
          <cell r="AO170">
            <v>0</v>
          </cell>
          <cell r="AP170">
            <v>0</v>
          </cell>
          <cell r="AQ170">
            <v>0</v>
          </cell>
          <cell r="AR170">
            <v>0</v>
          </cell>
          <cell r="AS170">
            <v>0.1</v>
          </cell>
          <cell r="AT170">
            <v>0.1</v>
          </cell>
          <cell r="AU170">
            <v>-0.1</v>
          </cell>
          <cell r="AV170">
            <v>0.1</v>
          </cell>
          <cell r="AW170">
            <v>0</v>
          </cell>
          <cell r="AX170">
            <v>0</v>
          </cell>
          <cell r="AY170">
            <v>0.1</v>
          </cell>
          <cell r="AZ170">
            <v>0</v>
          </cell>
          <cell r="BA170">
            <v>0</v>
          </cell>
          <cell r="BB170">
            <v>0</v>
          </cell>
          <cell r="BC170">
            <v>0.1</v>
          </cell>
          <cell r="BD170">
            <v>0.1</v>
          </cell>
          <cell r="BE170">
            <v>0</v>
          </cell>
          <cell r="BF170">
            <v>0</v>
          </cell>
          <cell r="BG170">
            <v>0</v>
          </cell>
          <cell r="BH170">
            <v>0</v>
          </cell>
          <cell r="BI170">
            <v>0.1</v>
          </cell>
          <cell r="BJ170">
            <v>0.1</v>
          </cell>
          <cell r="BK170">
            <v>0</v>
          </cell>
          <cell r="BL170">
            <v>0.1</v>
          </cell>
          <cell r="BM170">
            <v>0.1</v>
          </cell>
          <cell r="BN170">
            <v>0</v>
          </cell>
          <cell r="BO170">
            <v>0.1</v>
          </cell>
          <cell r="BP170">
            <v>0.1</v>
          </cell>
          <cell r="BQ170">
            <v>0.1</v>
          </cell>
          <cell r="BR170">
            <v>0.1</v>
          </cell>
          <cell r="BS170">
            <v>0</v>
          </cell>
          <cell r="BT170">
            <v>0</v>
          </cell>
          <cell r="BU170">
            <v>0</v>
          </cell>
          <cell r="BV170">
            <v>0.1</v>
          </cell>
          <cell r="BW170">
            <v>0.1</v>
          </cell>
          <cell r="BX170">
            <v>0.5</v>
          </cell>
          <cell r="BY170">
            <v>0</v>
          </cell>
          <cell r="BZ170">
            <v>0.4</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row>
        <row r="171">
          <cell r="B171">
            <v>2744</v>
          </cell>
          <cell r="C171">
            <v>3048</v>
          </cell>
          <cell r="D171">
            <v>5761</v>
          </cell>
          <cell r="E171">
            <v>11102</v>
          </cell>
          <cell r="F171">
            <v>7756</v>
          </cell>
          <cell r="G171">
            <v>18765</v>
          </cell>
          <cell r="H171">
            <v>1221</v>
          </cell>
          <cell r="I171">
            <v>6489</v>
          </cell>
          <cell r="J171">
            <v>7719</v>
          </cell>
          <cell r="K171">
            <v>1751</v>
          </cell>
          <cell r="L171">
            <v>12800</v>
          </cell>
          <cell r="M171">
            <v>13691</v>
          </cell>
          <cell r="N171">
            <v>8790</v>
          </cell>
          <cell r="O171">
            <v>15269</v>
          </cell>
          <cell r="P171">
            <v>14379</v>
          </cell>
          <cell r="Q171">
            <v>14119</v>
          </cell>
          <cell r="R171">
            <v>1972</v>
          </cell>
          <cell r="S171">
            <v>5648</v>
          </cell>
          <cell r="T171">
            <v>25585</v>
          </cell>
          <cell r="U171">
            <v>236167</v>
          </cell>
          <cell r="V171">
            <v>21895</v>
          </cell>
          <cell r="W171">
            <v>-1903</v>
          </cell>
          <cell r="X171">
            <v>255833</v>
          </cell>
          <cell r="Y171">
            <v>0.3</v>
          </cell>
          <cell r="Z171">
            <v>0</v>
          </cell>
          <cell r="AA171">
            <v>0.3</v>
          </cell>
          <cell r="AB171">
            <v>0</v>
          </cell>
          <cell r="AC171">
            <v>0</v>
          </cell>
          <cell r="AD171">
            <v>0.1</v>
          </cell>
          <cell r="AE171">
            <v>0</v>
          </cell>
          <cell r="AF171">
            <v>0.1</v>
          </cell>
          <cell r="AG171">
            <v>0</v>
          </cell>
          <cell r="AH171">
            <v>0.1</v>
          </cell>
          <cell r="AI171">
            <v>-0.1</v>
          </cell>
          <cell r="AJ171">
            <v>0.1</v>
          </cell>
          <cell r="AK171">
            <v>0</v>
          </cell>
          <cell r="AL171">
            <v>0.1</v>
          </cell>
          <cell r="AM171">
            <v>0</v>
          </cell>
          <cell r="AN171">
            <v>0</v>
          </cell>
          <cell r="AO171">
            <v>0</v>
          </cell>
          <cell r="AP171">
            <v>0</v>
          </cell>
          <cell r="AQ171">
            <v>0</v>
          </cell>
          <cell r="AR171">
            <v>0</v>
          </cell>
          <cell r="AS171">
            <v>0.1</v>
          </cell>
          <cell r="AT171">
            <v>0.1</v>
          </cell>
          <cell r="AU171">
            <v>0</v>
          </cell>
          <cell r="AV171">
            <v>0.2</v>
          </cell>
          <cell r="AW171">
            <v>0.1</v>
          </cell>
          <cell r="AX171">
            <v>0</v>
          </cell>
          <cell r="AY171">
            <v>0</v>
          </cell>
          <cell r="AZ171">
            <v>0.1</v>
          </cell>
          <cell r="BA171">
            <v>0</v>
          </cell>
          <cell r="BB171">
            <v>0</v>
          </cell>
          <cell r="BC171">
            <v>0</v>
          </cell>
          <cell r="BD171">
            <v>0.1</v>
          </cell>
          <cell r="BE171">
            <v>0</v>
          </cell>
          <cell r="BF171">
            <v>0</v>
          </cell>
          <cell r="BG171">
            <v>0</v>
          </cell>
          <cell r="BH171">
            <v>0</v>
          </cell>
          <cell r="BI171">
            <v>0</v>
          </cell>
          <cell r="BJ171">
            <v>0.1</v>
          </cell>
          <cell r="BK171">
            <v>0</v>
          </cell>
          <cell r="BL171">
            <v>0</v>
          </cell>
          <cell r="BM171">
            <v>0</v>
          </cell>
          <cell r="BN171">
            <v>0</v>
          </cell>
          <cell r="BO171">
            <v>-0.1</v>
          </cell>
          <cell r="BP171">
            <v>0</v>
          </cell>
          <cell r="BQ171">
            <v>0</v>
          </cell>
          <cell r="BR171">
            <v>-0.1</v>
          </cell>
          <cell r="BS171">
            <v>0</v>
          </cell>
          <cell r="BT171">
            <v>0.1</v>
          </cell>
          <cell r="BU171">
            <v>0</v>
          </cell>
          <cell r="BV171">
            <v>0</v>
          </cell>
          <cell r="BW171">
            <v>0.1</v>
          </cell>
          <cell r="BX171">
            <v>0.9</v>
          </cell>
          <cell r="BY171">
            <v>0.1</v>
          </cell>
          <cell r="BZ171">
            <v>1.2</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row>
        <row r="172">
          <cell r="B172">
            <v>2899</v>
          </cell>
          <cell r="C172">
            <v>3136</v>
          </cell>
          <cell r="D172">
            <v>6012</v>
          </cell>
          <cell r="E172">
            <v>11437</v>
          </cell>
          <cell r="F172">
            <v>7942</v>
          </cell>
          <cell r="G172">
            <v>19297</v>
          </cell>
          <cell r="H172">
            <v>1209</v>
          </cell>
          <cell r="I172">
            <v>6438</v>
          </cell>
          <cell r="J172">
            <v>7655</v>
          </cell>
          <cell r="K172">
            <v>1759</v>
          </cell>
          <cell r="L172">
            <v>12568</v>
          </cell>
          <cell r="M172">
            <v>13533</v>
          </cell>
          <cell r="N172">
            <v>8704</v>
          </cell>
          <cell r="O172">
            <v>15392</v>
          </cell>
          <cell r="P172">
            <v>14439</v>
          </cell>
          <cell r="Q172">
            <v>13330</v>
          </cell>
          <cell r="R172">
            <v>1982</v>
          </cell>
          <cell r="S172">
            <v>5594</v>
          </cell>
          <cell r="T172">
            <v>25833</v>
          </cell>
          <cell r="U172">
            <v>246007</v>
          </cell>
          <cell r="V172">
            <v>23293</v>
          </cell>
          <cell r="W172">
            <v>1682</v>
          </cell>
          <cell r="X172">
            <v>270608</v>
          </cell>
          <cell r="Y172">
            <v>-0.1</v>
          </cell>
          <cell r="Z172">
            <v>0</v>
          </cell>
          <cell r="AA172">
            <v>-0.1</v>
          </cell>
          <cell r="AB172">
            <v>0</v>
          </cell>
          <cell r="AC172">
            <v>0.1</v>
          </cell>
          <cell r="AD172">
            <v>0</v>
          </cell>
          <cell r="AE172">
            <v>0</v>
          </cell>
          <cell r="AF172">
            <v>0</v>
          </cell>
          <cell r="AG172">
            <v>-0.1</v>
          </cell>
          <cell r="AH172">
            <v>0</v>
          </cell>
          <cell r="AI172">
            <v>0</v>
          </cell>
          <cell r="AJ172">
            <v>0.1</v>
          </cell>
          <cell r="AK172">
            <v>0</v>
          </cell>
          <cell r="AL172">
            <v>0</v>
          </cell>
          <cell r="AM172">
            <v>0.1</v>
          </cell>
          <cell r="AN172">
            <v>0.1</v>
          </cell>
          <cell r="AO172">
            <v>0</v>
          </cell>
          <cell r="AP172">
            <v>0</v>
          </cell>
          <cell r="AQ172">
            <v>0</v>
          </cell>
          <cell r="AR172">
            <v>0</v>
          </cell>
          <cell r="AS172">
            <v>0</v>
          </cell>
          <cell r="AT172">
            <v>0.1</v>
          </cell>
          <cell r="AU172">
            <v>0</v>
          </cell>
          <cell r="AV172">
            <v>0.1</v>
          </cell>
          <cell r="AW172">
            <v>0.1</v>
          </cell>
          <cell r="AX172">
            <v>0.1</v>
          </cell>
          <cell r="AY172">
            <v>0.1</v>
          </cell>
          <cell r="AZ172">
            <v>0</v>
          </cell>
          <cell r="BA172">
            <v>0</v>
          </cell>
          <cell r="BB172">
            <v>0</v>
          </cell>
          <cell r="BC172">
            <v>0.1</v>
          </cell>
          <cell r="BD172">
            <v>0.1</v>
          </cell>
          <cell r="BE172">
            <v>0</v>
          </cell>
          <cell r="BF172">
            <v>0</v>
          </cell>
          <cell r="BG172">
            <v>0</v>
          </cell>
          <cell r="BH172">
            <v>0.1</v>
          </cell>
          <cell r="BI172">
            <v>0.1</v>
          </cell>
          <cell r="BJ172">
            <v>0.2</v>
          </cell>
          <cell r="BK172">
            <v>0</v>
          </cell>
          <cell r="BL172">
            <v>0.1</v>
          </cell>
          <cell r="BM172">
            <v>0.1</v>
          </cell>
          <cell r="BN172">
            <v>0</v>
          </cell>
          <cell r="BO172">
            <v>0</v>
          </cell>
          <cell r="BP172">
            <v>0.1</v>
          </cell>
          <cell r="BQ172">
            <v>0.1</v>
          </cell>
          <cell r="BR172">
            <v>0.1</v>
          </cell>
          <cell r="BS172">
            <v>0</v>
          </cell>
          <cell r="BT172">
            <v>0.1</v>
          </cell>
          <cell r="BU172">
            <v>0</v>
          </cell>
          <cell r="BV172">
            <v>0</v>
          </cell>
          <cell r="BW172">
            <v>0.1</v>
          </cell>
          <cell r="BX172">
            <v>1.1000000000000001</v>
          </cell>
          <cell r="BY172">
            <v>0</v>
          </cell>
          <cell r="BZ172">
            <v>1.7</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row>
        <row r="173">
          <cell r="B173">
            <v>2923</v>
          </cell>
          <cell r="C173">
            <v>2899</v>
          </cell>
          <cell r="D173">
            <v>5837</v>
          </cell>
          <cell r="E173">
            <v>11395</v>
          </cell>
          <cell r="F173">
            <v>7931</v>
          </cell>
          <cell r="G173">
            <v>19229</v>
          </cell>
          <cell r="H173">
            <v>1200</v>
          </cell>
          <cell r="I173">
            <v>6380</v>
          </cell>
          <cell r="J173">
            <v>7587</v>
          </cell>
          <cell r="K173">
            <v>1780</v>
          </cell>
          <cell r="L173">
            <v>12567</v>
          </cell>
          <cell r="M173">
            <v>13579</v>
          </cell>
          <cell r="N173">
            <v>8707</v>
          </cell>
          <cell r="O173">
            <v>15311</v>
          </cell>
          <cell r="P173">
            <v>14503</v>
          </cell>
          <cell r="Q173">
            <v>13368</v>
          </cell>
          <cell r="R173">
            <v>1987</v>
          </cell>
          <cell r="S173">
            <v>5452</v>
          </cell>
          <cell r="T173">
            <v>26092</v>
          </cell>
          <cell r="U173">
            <v>234437</v>
          </cell>
          <cell r="V173">
            <v>21253</v>
          </cell>
          <cell r="W173">
            <v>-496</v>
          </cell>
          <cell r="X173">
            <v>254897</v>
          </cell>
          <cell r="Y173">
            <v>0.1</v>
          </cell>
          <cell r="Z173">
            <v>0</v>
          </cell>
          <cell r="AA173">
            <v>0.1</v>
          </cell>
          <cell r="AB173">
            <v>0</v>
          </cell>
          <cell r="AC173">
            <v>0.1</v>
          </cell>
          <cell r="AD173">
            <v>0</v>
          </cell>
          <cell r="AE173">
            <v>0</v>
          </cell>
          <cell r="AF173">
            <v>0.1</v>
          </cell>
          <cell r="AG173">
            <v>0</v>
          </cell>
          <cell r="AH173">
            <v>0.1</v>
          </cell>
          <cell r="AI173">
            <v>0.1</v>
          </cell>
          <cell r="AJ173">
            <v>0</v>
          </cell>
          <cell r="AK173">
            <v>0.1</v>
          </cell>
          <cell r="AL173">
            <v>0</v>
          </cell>
          <cell r="AM173">
            <v>0.2</v>
          </cell>
          <cell r="AN173">
            <v>0.4</v>
          </cell>
          <cell r="AO173">
            <v>0</v>
          </cell>
          <cell r="AP173">
            <v>0</v>
          </cell>
          <cell r="AQ173">
            <v>0</v>
          </cell>
          <cell r="AR173">
            <v>0</v>
          </cell>
          <cell r="AS173">
            <v>0.1</v>
          </cell>
          <cell r="AT173">
            <v>0</v>
          </cell>
          <cell r="AU173">
            <v>0.1</v>
          </cell>
          <cell r="AV173">
            <v>0.1</v>
          </cell>
          <cell r="AW173">
            <v>0</v>
          </cell>
          <cell r="AX173">
            <v>-0.1</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-0.1</v>
          </cell>
          <cell r="BN173">
            <v>0</v>
          </cell>
          <cell r="BO173">
            <v>0</v>
          </cell>
          <cell r="BP173">
            <v>0</v>
          </cell>
          <cell r="BQ173">
            <v>0</v>
          </cell>
          <cell r="BR173">
            <v>0</v>
          </cell>
          <cell r="BS173">
            <v>0</v>
          </cell>
          <cell r="BT173">
            <v>0.1</v>
          </cell>
          <cell r="BU173">
            <v>0</v>
          </cell>
          <cell r="BV173">
            <v>0</v>
          </cell>
          <cell r="BW173">
            <v>0.1</v>
          </cell>
          <cell r="BX173">
            <v>1</v>
          </cell>
          <cell r="BY173">
            <v>0</v>
          </cell>
          <cell r="BZ173">
            <v>0.4</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row>
        <row r="174">
          <cell r="B174">
            <v>2931</v>
          </cell>
          <cell r="C174">
            <v>3186</v>
          </cell>
          <cell r="D174">
            <v>6084</v>
          </cell>
          <cell r="E174">
            <v>11689</v>
          </cell>
          <cell r="F174">
            <v>7882</v>
          </cell>
          <cell r="G174">
            <v>19548</v>
          </cell>
          <cell r="H174">
            <v>1208</v>
          </cell>
          <cell r="I174">
            <v>6400</v>
          </cell>
          <cell r="J174">
            <v>7618</v>
          </cell>
          <cell r="K174">
            <v>1840</v>
          </cell>
          <cell r="L174">
            <v>12978</v>
          </cell>
          <cell r="M174">
            <v>14028</v>
          </cell>
          <cell r="N174">
            <v>8921</v>
          </cell>
          <cell r="O174">
            <v>15289</v>
          </cell>
          <cell r="P174">
            <v>14570</v>
          </cell>
          <cell r="Q174">
            <v>13826</v>
          </cell>
          <cell r="R174">
            <v>2043</v>
          </cell>
          <cell r="S174">
            <v>5388</v>
          </cell>
          <cell r="T174">
            <v>26365</v>
          </cell>
          <cell r="U174">
            <v>240397</v>
          </cell>
          <cell r="V174">
            <v>21795</v>
          </cell>
          <cell r="W174">
            <v>716</v>
          </cell>
          <cell r="X174">
            <v>262578</v>
          </cell>
          <cell r="Y174">
            <v>-0.1</v>
          </cell>
          <cell r="Z174">
            <v>0</v>
          </cell>
          <cell r="AA174">
            <v>-0.1</v>
          </cell>
          <cell r="AB174">
            <v>0.1</v>
          </cell>
          <cell r="AC174">
            <v>0</v>
          </cell>
          <cell r="AD174">
            <v>0</v>
          </cell>
          <cell r="AE174">
            <v>0.1</v>
          </cell>
          <cell r="AF174">
            <v>0.1</v>
          </cell>
          <cell r="AG174">
            <v>0.1</v>
          </cell>
          <cell r="AH174">
            <v>0.2</v>
          </cell>
          <cell r="AI174">
            <v>0</v>
          </cell>
          <cell r="AJ174">
            <v>-0.2</v>
          </cell>
          <cell r="AK174">
            <v>-0.1</v>
          </cell>
          <cell r="AL174">
            <v>0.1</v>
          </cell>
          <cell r="AM174">
            <v>0</v>
          </cell>
          <cell r="AN174">
            <v>-0.2</v>
          </cell>
          <cell r="AO174">
            <v>0</v>
          </cell>
          <cell r="AP174">
            <v>0</v>
          </cell>
          <cell r="AQ174">
            <v>0</v>
          </cell>
          <cell r="AR174">
            <v>0</v>
          </cell>
          <cell r="AS174">
            <v>0.1</v>
          </cell>
          <cell r="AT174">
            <v>-0.2</v>
          </cell>
          <cell r="AU174">
            <v>0.1</v>
          </cell>
          <cell r="AV174">
            <v>0.1</v>
          </cell>
          <cell r="AW174">
            <v>0</v>
          </cell>
          <cell r="AX174">
            <v>0.1</v>
          </cell>
          <cell r="AY174">
            <v>0</v>
          </cell>
          <cell r="AZ174">
            <v>0</v>
          </cell>
          <cell r="BA174">
            <v>0</v>
          </cell>
          <cell r="BB174">
            <v>0</v>
          </cell>
          <cell r="BC174">
            <v>0</v>
          </cell>
          <cell r="BD174">
            <v>0.1</v>
          </cell>
          <cell r="BE174">
            <v>0</v>
          </cell>
          <cell r="BF174">
            <v>0.1</v>
          </cell>
          <cell r="BG174">
            <v>0.1</v>
          </cell>
          <cell r="BH174">
            <v>0.1</v>
          </cell>
          <cell r="BI174">
            <v>0</v>
          </cell>
          <cell r="BJ174">
            <v>0.1</v>
          </cell>
          <cell r="BK174">
            <v>0</v>
          </cell>
          <cell r="BL174">
            <v>0</v>
          </cell>
          <cell r="BM174">
            <v>0</v>
          </cell>
          <cell r="BN174">
            <v>0</v>
          </cell>
          <cell r="BO174">
            <v>0.1</v>
          </cell>
          <cell r="BP174">
            <v>0.1</v>
          </cell>
          <cell r="BQ174">
            <v>0.1</v>
          </cell>
          <cell r="BR174">
            <v>-0.1</v>
          </cell>
          <cell r="BS174">
            <v>0</v>
          </cell>
          <cell r="BT174">
            <v>0</v>
          </cell>
          <cell r="BU174">
            <v>0</v>
          </cell>
          <cell r="BV174">
            <v>0</v>
          </cell>
          <cell r="BW174">
            <v>0.1</v>
          </cell>
          <cell r="BX174">
            <v>0.6</v>
          </cell>
          <cell r="BY174">
            <v>0</v>
          </cell>
          <cell r="BZ174">
            <v>0.9</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row>
        <row r="175">
          <cell r="B175">
            <v>2963</v>
          </cell>
          <cell r="C175">
            <v>3236</v>
          </cell>
          <cell r="D175">
            <v>6161</v>
          </cell>
          <cell r="E175">
            <v>11526</v>
          </cell>
          <cell r="F175">
            <v>7534</v>
          </cell>
          <cell r="G175">
            <v>19109</v>
          </cell>
          <cell r="H175">
            <v>1238</v>
          </cell>
          <cell r="I175">
            <v>6513</v>
          </cell>
          <cell r="J175">
            <v>7765</v>
          </cell>
          <cell r="K175">
            <v>1958</v>
          </cell>
          <cell r="L175">
            <v>13925</v>
          </cell>
          <cell r="M175">
            <v>15015</v>
          </cell>
          <cell r="N175">
            <v>9411</v>
          </cell>
          <cell r="O175">
            <v>15399</v>
          </cell>
          <cell r="P175">
            <v>14639</v>
          </cell>
          <cell r="Q175">
            <v>14567</v>
          </cell>
          <cell r="R175">
            <v>2435</v>
          </cell>
          <cell r="S175">
            <v>5679</v>
          </cell>
          <cell r="T175">
            <v>26643</v>
          </cell>
          <cell r="U175">
            <v>243063</v>
          </cell>
          <cell r="V175">
            <v>21829</v>
          </cell>
          <cell r="W175">
            <v>-220</v>
          </cell>
          <cell r="X175">
            <v>264347</v>
          </cell>
          <cell r="Y175">
            <v>0.2</v>
          </cell>
          <cell r="Z175">
            <v>0</v>
          </cell>
          <cell r="AA175">
            <v>0.2</v>
          </cell>
          <cell r="AB175">
            <v>0.1</v>
          </cell>
          <cell r="AC175">
            <v>-0.1</v>
          </cell>
          <cell r="AD175">
            <v>0</v>
          </cell>
          <cell r="AE175">
            <v>0</v>
          </cell>
          <cell r="AF175">
            <v>0</v>
          </cell>
          <cell r="AG175">
            <v>0</v>
          </cell>
          <cell r="AH175">
            <v>0</v>
          </cell>
          <cell r="AI175">
            <v>0</v>
          </cell>
          <cell r="AJ175">
            <v>0.2</v>
          </cell>
          <cell r="AK175">
            <v>0</v>
          </cell>
          <cell r="AL175">
            <v>0</v>
          </cell>
          <cell r="AM175">
            <v>-0.1</v>
          </cell>
          <cell r="AN175">
            <v>0.2</v>
          </cell>
          <cell r="AO175">
            <v>0</v>
          </cell>
          <cell r="AP175">
            <v>0</v>
          </cell>
          <cell r="AQ175">
            <v>0</v>
          </cell>
          <cell r="AR175">
            <v>0</v>
          </cell>
          <cell r="AS175">
            <v>-0.4</v>
          </cell>
          <cell r="AT175">
            <v>-0.1</v>
          </cell>
          <cell r="AU175">
            <v>-0.3</v>
          </cell>
          <cell r="AV175">
            <v>-0.8</v>
          </cell>
          <cell r="AW175">
            <v>0</v>
          </cell>
          <cell r="AX175">
            <v>0</v>
          </cell>
          <cell r="AY175">
            <v>0</v>
          </cell>
          <cell r="AZ175">
            <v>0</v>
          </cell>
          <cell r="BA175">
            <v>0</v>
          </cell>
          <cell r="BB175">
            <v>0.1</v>
          </cell>
          <cell r="BC175">
            <v>0</v>
          </cell>
          <cell r="BD175">
            <v>0</v>
          </cell>
          <cell r="BE175">
            <v>0</v>
          </cell>
          <cell r="BF175">
            <v>0</v>
          </cell>
          <cell r="BG175">
            <v>0</v>
          </cell>
          <cell r="BH175">
            <v>0</v>
          </cell>
          <cell r="BI175">
            <v>-0.1</v>
          </cell>
          <cell r="BJ175">
            <v>-0.1</v>
          </cell>
          <cell r="BK175">
            <v>0</v>
          </cell>
          <cell r="BL175">
            <v>0</v>
          </cell>
          <cell r="BM175">
            <v>0</v>
          </cell>
          <cell r="BN175">
            <v>0</v>
          </cell>
          <cell r="BO175">
            <v>0.3</v>
          </cell>
          <cell r="BP175">
            <v>0.3</v>
          </cell>
          <cell r="BQ175">
            <v>0.1</v>
          </cell>
          <cell r="BR175">
            <v>0.1</v>
          </cell>
          <cell r="BS175">
            <v>0</v>
          </cell>
          <cell r="BT175">
            <v>0</v>
          </cell>
          <cell r="BU175">
            <v>0.1</v>
          </cell>
          <cell r="BV175">
            <v>0.1</v>
          </cell>
          <cell r="BW175">
            <v>0.1</v>
          </cell>
          <cell r="BX175">
            <v>0.3</v>
          </cell>
          <cell r="BY175">
            <v>-0.1</v>
          </cell>
          <cell r="BZ175">
            <v>0.2</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row>
        <row r="176">
          <cell r="B176">
            <v>3043</v>
          </cell>
          <cell r="C176">
            <v>3430</v>
          </cell>
          <cell r="D176">
            <v>6420</v>
          </cell>
          <cell r="E176">
            <v>11593</v>
          </cell>
          <cell r="F176">
            <v>7564</v>
          </cell>
          <cell r="G176">
            <v>19212</v>
          </cell>
          <cell r="H176">
            <v>1190</v>
          </cell>
          <cell r="I176">
            <v>6248</v>
          </cell>
          <cell r="J176">
            <v>7453</v>
          </cell>
          <cell r="K176">
            <v>1955</v>
          </cell>
          <cell r="L176">
            <v>13844</v>
          </cell>
          <cell r="M176">
            <v>14945</v>
          </cell>
          <cell r="N176">
            <v>9287</v>
          </cell>
          <cell r="O176">
            <v>15168</v>
          </cell>
          <cell r="P176">
            <v>14705</v>
          </cell>
          <cell r="Q176">
            <v>13698</v>
          </cell>
          <cell r="R176">
            <v>2108</v>
          </cell>
          <cell r="S176">
            <v>5859</v>
          </cell>
          <cell r="T176">
            <v>26884</v>
          </cell>
          <cell r="U176">
            <v>251053</v>
          </cell>
          <cell r="V176">
            <v>22115</v>
          </cell>
          <cell r="W176">
            <v>1503</v>
          </cell>
          <cell r="X176">
            <v>274422</v>
          </cell>
          <cell r="Y176">
            <v>0</v>
          </cell>
          <cell r="Z176">
            <v>0</v>
          </cell>
          <cell r="AA176">
            <v>-0.1</v>
          </cell>
          <cell r="AB176">
            <v>0</v>
          </cell>
          <cell r="AC176">
            <v>0</v>
          </cell>
          <cell r="AD176">
            <v>0</v>
          </cell>
          <cell r="AE176">
            <v>0</v>
          </cell>
          <cell r="AF176">
            <v>0</v>
          </cell>
          <cell r="AG176">
            <v>0</v>
          </cell>
          <cell r="AH176">
            <v>0</v>
          </cell>
          <cell r="AI176">
            <v>0</v>
          </cell>
          <cell r="AJ176">
            <v>-0.1</v>
          </cell>
          <cell r="AK176">
            <v>0.1</v>
          </cell>
          <cell r="AL176">
            <v>0</v>
          </cell>
          <cell r="AM176">
            <v>-0.1</v>
          </cell>
          <cell r="AN176">
            <v>0</v>
          </cell>
          <cell r="AO176">
            <v>0</v>
          </cell>
          <cell r="AP176">
            <v>0</v>
          </cell>
          <cell r="AQ176">
            <v>0</v>
          </cell>
          <cell r="AR176">
            <v>0</v>
          </cell>
          <cell r="AS176">
            <v>-0.2</v>
          </cell>
          <cell r="AT176">
            <v>-0.2</v>
          </cell>
          <cell r="AU176">
            <v>-0.3</v>
          </cell>
          <cell r="AV176">
            <v>-0.6</v>
          </cell>
          <cell r="AW176">
            <v>-0.1</v>
          </cell>
          <cell r="AX176">
            <v>0.1</v>
          </cell>
          <cell r="AY176">
            <v>0.1</v>
          </cell>
          <cell r="AZ176">
            <v>-0.1</v>
          </cell>
          <cell r="BA176">
            <v>0</v>
          </cell>
          <cell r="BB176">
            <v>0</v>
          </cell>
          <cell r="BC176">
            <v>0.1</v>
          </cell>
          <cell r="BD176">
            <v>0</v>
          </cell>
          <cell r="BE176">
            <v>0</v>
          </cell>
          <cell r="BF176">
            <v>0</v>
          </cell>
          <cell r="BG176">
            <v>0</v>
          </cell>
          <cell r="BH176">
            <v>0</v>
          </cell>
          <cell r="BI176">
            <v>0</v>
          </cell>
          <cell r="BJ176">
            <v>0</v>
          </cell>
          <cell r="BK176">
            <v>0</v>
          </cell>
          <cell r="BL176">
            <v>0</v>
          </cell>
          <cell r="BM176">
            <v>0</v>
          </cell>
          <cell r="BN176">
            <v>0</v>
          </cell>
          <cell r="BO176">
            <v>0.1</v>
          </cell>
          <cell r="BP176">
            <v>0.1</v>
          </cell>
          <cell r="BQ176">
            <v>0</v>
          </cell>
          <cell r="BR176">
            <v>0.1</v>
          </cell>
          <cell r="BS176">
            <v>0</v>
          </cell>
          <cell r="BT176">
            <v>0.1</v>
          </cell>
          <cell r="BU176">
            <v>-0.1</v>
          </cell>
          <cell r="BV176">
            <v>0.1</v>
          </cell>
          <cell r="BW176">
            <v>0.1</v>
          </cell>
          <cell r="BX176">
            <v>-0.2</v>
          </cell>
          <cell r="BY176">
            <v>-0.4</v>
          </cell>
          <cell r="BZ176">
            <v>-0.4</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row>
        <row r="177">
          <cell r="B177">
            <v>2986</v>
          </cell>
          <cell r="C177">
            <v>2912</v>
          </cell>
          <cell r="D177">
            <v>5937</v>
          </cell>
          <cell r="E177">
            <v>11881</v>
          </cell>
          <cell r="F177">
            <v>7673</v>
          </cell>
          <cell r="G177">
            <v>19629</v>
          </cell>
          <cell r="H177">
            <v>1176</v>
          </cell>
          <cell r="I177">
            <v>6199</v>
          </cell>
          <cell r="J177">
            <v>7389</v>
          </cell>
          <cell r="K177">
            <v>2020</v>
          </cell>
          <cell r="L177">
            <v>14042</v>
          </cell>
          <cell r="M177">
            <v>15238</v>
          </cell>
          <cell r="N177">
            <v>9435</v>
          </cell>
          <cell r="O177">
            <v>16332</v>
          </cell>
          <cell r="P177">
            <v>14780</v>
          </cell>
          <cell r="Q177">
            <v>14342</v>
          </cell>
          <cell r="R177">
            <v>1828</v>
          </cell>
          <cell r="S177">
            <v>5837</v>
          </cell>
          <cell r="T177">
            <v>27056</v>
          </cell>
          <cell r="U177">
            <v>239509</v>
          </cell>
          <cell r="V177">
            <v>20979</v>
          </cell>
          <cell r="W177">
            <v>-866</v>
          </cell>
          <cell r="X177">
            <v>259349</v>
          </cell>
          <cell r="Y177">
            <v>0</v>
          </cell>
          <cell r="Z177">
            <v>0</v>
          </cell>
          <cell r="AA177">
            <v>-0.1</v>
          </cell>
          <cell r="AB177">
            <v>0</v>
          </cell>
          <cell r="AC177">
            <v>0</v>
          </cell>
          <cell r="AD177">
            <v>0</v>
          </cell>
          <cell r="AE177">
            <v>0.1</v>
          </cell>
          <cell r="AF177">
            <v>0.1</v>
          </cell>
          <cell r="AG177">
            <v>0.1</v>
          </cell>
          <cell r="AH177">
            <v>0.1</v>
          </cell>
          <cell r="AI177">
            <v>0</v>
          </cell>
          <cell r="AJ177">
            <v>0</v>
          </cell>
          <cell r="AK177">
            <v>-0.1</v>
          </cell>
          <cell r="AL177">
            <v>0</v>
          </cell>
          <cell r="AM177">
            <v>0</v>
          </cell>
          <cell r="AN177">
            <v>-0.2</v>
          </cell>
          <cell r="AO177">
            <v>0</v>
          </cell>
          <cell r="AP177">
            <v>0</v>
          </cell>
          <cell r="AQ177">
            <v>0</v>
          </cell>
          <cell r="AR177">
            <v>0</v>
          </cell>
          <cell r="AS177">
            <v>0.1</v>
          </cell>
          <cell r="AT177">
            <v>0</v>
          </cell>
          <cell r="AU177">
            <v>0.1</v>
          </cell>
          <cell r="AV177">
            <v>0.1</v>
          </cell>
          <cell r="AW177">
            <v>0</v>
          </cell>
          <cell r="AX177">
            <v>0.1</v>
          </cell>
          <cell r="AY177">
            <v>0</v>
          </cell>
          <cell r="AZ177">
            <v>0</v>
          </cell>
          <cell r="BA177">
            <v>0</v>
          </cell>
          <cell r="BB177">
            <v>-0.1</v>
          </cell>
          <cell r="BC177">
            <v>-0.1</v>
          </cell>
          <cell r="BD177">
            <v>-0.1</v>
          </cell>
          <cell r="BE177">
            <v>0</v>
          </cell>
          <cell r="BF177">
            <v>-0.1</v>
          </cell>
          <cell r="BG177">
            <v>-0.1</v>
          </cell>
          <cell r="BH177">
            <v>0.1</v>
          </cell>
          <cell r="BI177">
            <v>0.1</v>
          </cell>
          <cell r="BJ177">
            <v>0.2</v>
          </cell>
          <cell r="BK177">
            <v>0</v>
          </cell>
          <cell r="BL177">
            <v>0</v>
          </cell>
          <cell r="BM177">
            <v>0</v>
          </cell>
          <cell r="BN177">
            <v>0</v>
          </cell>
          <cell r="BO177">
            <v>0.1</v>
          </cell>
          <cell r="BP177">
            <v>0.1</v>
          </cell>
          <cell r="BQ177">
            <v>0</v>
          </cell>
          <cell r="BR177">
            <v>0.2</v>
          </cell>
          <cell r="BS177">
            <v>0</v>
          </cell>
          <cell r="BT177">
            <v>0.3</v>
          </cell>
          <cell r="BU177">
            <v>-0.1</v>
          </cell>
          <cell r="BV177">
            <v>0</v>
          </cell>
          <cell r="BW177">
            <v>0.1</v>
          </cell>
          <cell r="BX177">
            <v>0.6</v>
          </cell>
          <cell r="BY177">
            <v>0.4</v>
          </cell>
          <cell r="BZ177">
            <v>1</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row>
        <row r="178">
          <cell r="B178">
            <v>2915</v>
          </cell>
          <cell r="C178">
            <v>3161</v>
          </cell>
          <cell r="D178">
            <v>6050</v>
          </cell>
          <cell r="E178">
            <v>11890</v>
          </cell>
          <cell r="F178">
            <v>8050</v>
          </cell>
          <cell r="G178">
            <v>19914</v>
          </cell>
          <cell r="H178">
            <v>1175</v>
          </cell>
          <cell r="I178">
            <v>6251</v>
          </cell>
          <cell r="J178">
            <v>7435</v>
          </cell>
          <cell r="K178">
            <v>2119</v>
          </cell>
          <cell r="L178">
            <v>14268</v>
          </cell>
          <cell r="M178">
            <v>15627</v>
          </cell>
          <cell r="N178">
            <v>9691</v>
          </cell>
          <cell r="O178">
            <v>15755</v>
          </cell>
          <cell r="P178">
            <v>14865</v>
          </cell>
          <cell r="Q178">
            <v>14749</v>
          </cell>
          <cell r="R178">
            <v>1973</v>
          </cell>
          <cell r="S178">
            <v>5887</v>
          </cell>
          <cell r="T178">
            <v>27158</v>
          </cell>
          <cell r="U178">
            <v>245358</v>
          </cell>
          <cell r="V178">
            <v>21296</v>
          </cell>
          <cell r="W178">
            <v>-417</v>
          </cell>
          <cell r="X178">
            <v>265978</v>
          </cell>
          <cell r="Y178">
            <v>0.2</v>
          </cell>
          <cell r="Z178">
            <v>0</v>
          </cell>
          <cell r="AA178">
            <v>0.2</v>
          </cell>
          <cell r="AB178">
            <v>0</v>
          </cell>
          <cell r="AC178">
            <v>0</v>
          </cell>
          <cell r="AD178">
            <v>0</v>
          </cell>
          <cell r="AE178">
            <v>0</v>
          </cell>
          <cell r="AF178">
            <v>0</v>
          </cell>
          <cell r="AG178">
            <v>0</v>
          </cell>
          <cell r="AH178">
            <v>0</v>
          </cell>
          <cell r="AI178">
            <v>0</v>
          </cell>
          <cell r="AJ178">
            <v>0.2</v>
          </cell>
          <cell r="AK178">
            <v>0</v>
          </cell>
          <cell r="AL178">
            <v>0</v>
          </cell>
          <cell r="AM178">
            <v>0</v>
          </cell>
          <cell r="AN178">
            <v>0.1</v>
          </cell>
          <cell r="AO178">
            <v>0</v>
          </cell>
          <cell r="AP178">
            <v>0</v>
          </cell>
          <cell r="AQ178">
            <v>0</v>
          </cell>
          <cell r="AR178">
            <v>0</v>
          </cell>
          <cell r="AS178">
            <v>0</v>
          </cell>
          <cell r="AT178">
            <v>0.1</v>
          </cell>
          <cell r="AU178">
            <v>0.2</v>
          </cell>
          <cell r="AV178">
            <v>0.3</v>
          </cell>
          <cell r="AW178">
            <v>0</v>
          </cell>
          <cell r="AX178">
            <v>0.1</v>
          </cell>
          <cell r="AY178">
            <v>0</v>
          </cell>
          <cell r="AZ178">
            <v>0.1</v>
          </cell>
          <cell r="BA178">
            <v>0</v>
          </cell>
          <cell r="BB178">
            <v>0.1</v>
          </cell>
          <cell r="BC178">
            <v>0.1</v>
          </cell>
          <cell r="BD178">
            <v>0.3</v>
          </cell>
          <cell r="BE178">
            <v>0</v>
          </cell>
          <cell r="BF178">
            <v>0.1</v>
          </cell>
          <cell r="BG178">
            <v>0</v>
          </cell>
          <cell r="BH178">
            <v>0</v>
          </cell>
          <cell r="BI178">
            <v>0.1</v>
          </cell>
          <cell r="BJ178">
            <v>0.1</v>
          </cell>
          <cell r="BK178">
            <v>0</v>
          </cell>
          <cell r="BL178">
            <v>0</v>
          </cell>
          <cell r="BM178">
            <v>0</v>
          </cell>
          <cell r="BN178">
            <v>0</v>
          </cell>
          <cell r="BO178">
            <v>0.1</v>
          </cell>
          <cell r="BP178">
            <v>0.1</v>
          </cell>
          <cell r="BQ178">
            <v>0.1</v>
          </cell>
          <cell r="BR178">
            <v>-0.1</v>
          </cell>
          <cell r="BS178">
            <v>0</v>
          </cell>
          <cell r="BT178">
            <v>0</v>
          </cell>
          <cell r="BU178">
            <v>0.1</v>
          </cell>
          <cell r="BV178">
            <v>0</v>
          </cell>
          <cell r="BW178">
            <v>0</v>
          </cell>
          <cell r="BX178">
            <v>1.3</v>
          </cell>
          <cell r="BY178">
            <v>-0.1</v>
          </cell>
          <cell r="BZ178">
            <v>0.8</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row>
        <row r="179">
          <cell r="B179">
            <v>3056</v>
          </cell>
          <cell r="C179">
            <v>3332</v>
          </cell>
          <cell r="D179">
            <v>6361</v>
          </cell>
          <cell r="E179">
            <v>11991</v>
          </cell>
          <cell r="F179">
            <v>8391</v>
          </cell>
          <cell r="G179">
            <v>20287</v>
          </cell>
          <cell r="H179">
            <v>1166</v>
          </cell>
          <cell r="I179">
            <v>6311</v>
          </cell>
          <cell r="J179">
            <v>7478</v>
          </cell>
          <cell r="K179">
            <v>2228</v>
          </cell>
          <cell r="L179">
            <v>14328</v>
          </cell>
          <cell r="M179">
            <v>15911</v>
          </cell>
          <cell r="N179">
            <v>9918</v>
          </cell>
          <cell r="O179">
            <v>16180</v>
          </cell>
          <cell r="P179">
            <v>14965</v>
          </cell>
          <cell r="Q179">
            <v>15534</v>
          </cell>
          <cell r="R179">
            <v>2120</v>
          </cell>
          <cell r="S179">
            <v>5726</v>
          </cell>
          <cell r="T179">
            <v>27163</v>
          </cell>
          <cell r="U179">
            <v>248771</v>
          </cell>
          <cell r="V179">
            <v>21510</v>
          </cell>
          <cell r="W179">
            <v>801</v>
          </cell>
          <cell r="X179">
            <v>270812</v>
          </cell>
          <cell r="Y179">
            <v>0.1</v>
          </cell>
          <cell r="Z179">
            <v>0</v>
          </cell>
          <cell r="AA179">
            <v>0.1</v>
          </cell>
          <cell r="AB179">
            <v>0</v>
          </cell>
          <cell r="AC179">
            <v>0</v>
          </cell>
          <cell r="AD179">
            <v>0</v>
          </cell>
          <cell r="AE179">
            <v>0</v>
          </cell>
          <cell r="AF179">
            <v>-0.1</v>
          </cell>
          <cell r="AG179">
            <v>0.1</v>
          </cell>
          <cell r="AH179">
            <v>0</v>
          </cell>
          <cell r="AI179">
            <v>0</v>
          </cell>
          <cell r="AJ179">
            <v>-0.1</v>
          </cell>
          <cell r="AK179">
            <v>0.1</v>
          </cell>
          <cell r="AL179">
            <v>0</v>
          </cell>
          <cell r="AM179">
            <v>0</v>
          </cell>
          <cell r="AN179">
            <v>0</v>
          </cell>
          <cell r="AO179">
            <v>0</v>
          </cell>
          <cell r="AP179">
            <v>0</v>
          </cell>
          <cell r="AQ179">
            <v>0</v>
          </cell>
          <cell r="AR179">
            <v>0</v>
          </cell>
          <cell r="AS179">
            <v>0.1</v>
          </cell>
          <cell r="AT179">
            <v>0</v>
          </cell>
          <cell r="AU179">
            <v>0</v>
          </cell>
          <cell r="AV179">
            <v>0.1</v>
          </cell>
          <cell r="AW179">
            <v>-0.1</v>
          </cell>
          <cell r="AX179">
            <v>0</v>
          </cell>
          <cell r="AY179">
            <v>0</v>
          </cell>
          <cell r="AZ179">
            <v>-0.1</v>
          </cell>
          <cell r="BA179">
            <v>0</v>
          </cell>
          <cell r="BB179">
            <v>0</v>
          </cell>
          <cell r="BC179">
            <v>0</v>
          </cell>
          <cell r="BD179">
            <v>-0.1</v>
          </cell>
          <cell r="BE179">
            <v>0</v>
          </cell>
          <cell r="BF179">
            <v>0</v>
          </cell>
          <cell r="BG179">
            <v>0.1</v>
          </cell>
          <cell r="BH179">
            <v>0.1</v>
          </cell>
          <cell r="BI179">
            <v>0.1</v>
          </cell>
          <cell r="BJ179">
            <v>0.2</v>
          </cell>
          <cell r="BK179">
            <v>0</v>
          </cell>
          <cell r="BL179">
            <v>0</v>
          </cell>
          <cell r="BM179">
            <v>0</v>
          </cell>
          <cell r="BN179">
            <v>0</v>
          </cell>
          <cell r="BO179">
            <v>0</v>
          </cell>
          <cell r="BP179">
            <v>0.1</v>
          </cell>
          <cell r="BQ179">
            <v>0.1</v>
          </cell>
          <cell r="BR179">
            <v>0.2</v>
          </cell>
          <cell r="BS179">
            <v>0</v>
          </cell>
          <cell r="BT179">
            <v>0</v>
          </cell>
          <cell r="BU179">
            <v>0</v>
          </cell>
          <cell r="BV179">
            <v>-0.1</v>
          </cell>
          <cell r="BW179">
            <v>0</v>
          </cell>
          <cell r="BX179">
            <v>0.6</v>
          </cell>
          <cell r="BY179">
            <v>0</v>
          </cell>
          <cell r="BZ179">
            <v>1.2</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row>
        <row r="180">
          <cell r="B180">
            <v>3060</v>
          </cell>
          <cell r="C180">
            <v>3389</v>
          </cell>
          <cell r="D180">
            <v>6420</v>
          </cell>
          <cell r="E180">
            <v>11842</v>
          </cell>
          <cell r="F180">
            <v>9024</v>
          </cell>
          <cell r="G180">
            <v>20535</v>
          </cell>
          <cell r="H180">
            <v>1337</v>
          </cell>
          <cell r="I180">
            <v>7024</v>
          </cell>
          <cell r="J180">
            <v>8379</v>
          </cell>
          <cell r="K180">
            <v>2327</v>
          </cell>
          <cell r="L180">
            <v>14420</v>
          </cell>
          <cell r="M180">
            <v>16193</v>
          </cell>
          <cell r="N180">
            <v>10288</v>
          </cell>
          <cell r="O180">
            <v>15948</v>
          </cell>
          <cell r="P180">
            <v>15051</v>
          </cell>
          <cell r="Q180">
            <v>15068</v>
          </cell>
          <cell r="R180">
            <v>2183</v>
          </cell>
          <cell r="S180">
            <v>6029</v>
          </cell>
          <cell r="T180">
            <v>27205</v>
          </cell>
          <cell r="U180">
            <v>263645</v>
          </cell>
          <cell r="V180">
            <v>23851</v>
          </cell>
          <cell r="W180">
            <v>477</v>
          </cell>
          <cell r="X180">
            <v>287703</v>
          </cell>
          <cell r="Y180">
            <v>-0.1</v>
          </cell>
          <cell r="Z180">
            <v>0</v>
          </cell>
          <cell r="AA180">
            <v>-0.1</v>
          </cell>
          <cell r="AB180">
            <v>-0.1</v>
          </cell>
          <cell r="AC180">
            <v>0</v>
          </cell>
          <cell r="AD180">
            <v>0</v>
          </cell>
          <cell r="AE180">
            <v>0</v>
          </cell>
          <cell r="AF180">
            <v>0</v>
          </cell>
          <cell r="AG180">
            <v>-0.1</v>
          </cell>
          <cell r="AH180">
            <v>-0.1</v>
          </cell>
          <cell r="AI180">
            <v>0</v>
          </cell>
          <cell r="AJ180">
            <v>0</v>
          </cell>
          <cell r="AK180">
            <v>0.1</v>
          </cell>
          <cell r="AL180">
            <v>0</v>
          </cell>
          <cell r="AM180">
            <v>0.2</v>
          </cell>
          <cell r="AN180">
            <v>0.2</v>
          </cell>
          <cell r="AO180">
            <v>0.1</v>
          </cell>
          <cell r="AP180">
            <v>0</v>
          </cell>
          <cell r="AQ180">
            <v>0.1</v>
          </cell>
          <cell r="AR180">
            <v>0.1</v>
          </cell>
          <cell r="AS180">
            <v>0.1</v>
          </cell>
          <cell r="AT180">
            <v>0</v>
          </cell>
          <cell r="AU180">
            <v>0</v>
          </cell>
          <cell r="AV180">
            <v>0.2</v>
          </cell>
          <cell r="AW180">
            <v>0.2</v>
          </cell>
          <cell r="AX180">
            <v>0.1</v>
          </cell>
          <cell r="AY180">
            <v>-0.1</v>
          </cell>
          <cell r="AZ180">
            <v>0</v>
          </cell>
          <cell r="BA180">
            <v>0</v>
          </cell>
          <cell r="BB180">
            <v>0</v>
          </cell>
          <cell r="BC180">
            <v>0</v>
          </cell>
          <cell r="BD180">
            <v>0</v>
          </cell>
          <cell r="BE180">
            <v>0</v>
          </cell>
          <cell r="BF180">
            <v>0</v>
          </cell>
          <cell r="BG180">
            <v>0</v>
          </cell>
          <cell r="BH180">
            <v>-0.1</v>
          </cell>
          <cell r="BI180">
            <v>0.2</v>
          </cell>
          <cell r="BJ180">
            <v>0.1</v>
          </cell>
          <cell r="BK180">
            <v>0</v>
          </cell>
          <cell r="BL180">
            <v>0.1</v>
          </cell>
          <cell r="BM180">
            <v>0.2</v>
          </cell>
          <cell r="BN180">
            <v>0</v>
          </cell>
          <cell r="BO180">
            <v>-0.1</v>
          </cell>
          <cell r="BP180">
            <v>0</v>
          </cell>
          <cell r="BQ180">
            <v>0</v>
          </cell>
          <cell r="BR180">
            <v>0</v>
          </cell>
          <cell r="BS180">
            <v>0</v>
          </cell>
          <cell r="BT180">
            <v>0.2</v>
          </cell>
          <cell r="BU180">
            <v>0</v>
          </cell>
          <cell r="BV180">
            <v>0</v>
          </cell>
          <cell r="BW180">
            <v>0</v>
          </cell>
          <cell r="BX180">
            <v>1</v>
          </cell>
          <cell r="BY180">
            <v>0.3</v>
          </cell>
          <cell r="BZ180">
            <v>1.2</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row>
        <row r="181">
          <cell r="B181">
            <v>3071</v>
          </cell>
          <cell r="C181">
            <v>3156</v>
          </cell>
          <cell r="D181">
            <v>6219</v>
          </cell>
          <cell r="E181">
            <v>11703</v>
          </cell>
          <cell r="F181">
            <v>9464</v>
          </cell>
          <cell r="G181">
            <v>20653</v>
          </cell>
          <cell r="H181">
            <v>1198</v>
          </cell>
          <cell r="I181">
            <v>6472</v>
          </cell>
          <cell r="J181">
            <v>7673</v>
          </cell>
          <cell r="K181">
            <v>2235</v>
          </cell>
          <cell r="L181">
            <v>13325</v>
          </cell>
          <cell r="M181">
            <v>15137</v>
          </cell>
          <cell r="N181">
            <v>9605</v>
          </cell>
          <cell r="O181">
            <v>16898</v>
          </cell>
          <cell r="P181">
            <v>15130</v>
          </cell>
          <cell r="Q181">
            <v>14628</v>
          </cell>
          <cell r="R181">
            <v>2090</v>
          </cell>
          <cell r="S181">
            <v>5719</v>
          </cell>
          <cell r="T181">
            <v>27268</v>
          </cell>
          <cell r="U181">
            <v>249024</v>
          </cell>
          <cell r="V181">
            <v>21832</v>
          </cell>
          <cell r="W181">
            <v>-2183</v>
          </cell>
          <cell r="X181">
            <v>268368</v>
          </cell>
          <cell r="Y181">
            <v>0.1</v>
          </cell>
          <cell r="Z181">
            <v>0</v>
          </cell>
          <cell r="AA181">
            <v>0.1</v>
          </cell>
          <cell r="AB181">
            <v>0</v>
          </cell>
          <cell r="AC181">
            <v>0</v>
          </cell>
          <cell r="AD181">
            <v>0</v>
          </cell>
          <cell r="AE181">
            <v>0</v>
          </cell>
          <cell r="AF181">
            <v>0.1</v>
          </cell>
          <cell r="AG181">
            <v>0.1</v>
          </cell>
          <cell r="AH181">
            <v>0.1</v>
          </cell>
          <cell r="AI181">
            <v>0.1</v>
          </cell>
          <cell r="AJ181">
            <v>0.1</v>
          </cell>
          <cell r="AK181">
            <v>0</v>
          </cell>
          <cell r="AL181">
            <v>0</v>
          </cell>
          <cell r="AM181">
            <v>0</v>
          </cell>
          <cell r="AN181">
            <v>0.1</v>
          </cell>
          <cell r="AO181">
            <v>-0.1</v>
          </cell>
          <cell r="AP181">
            <v>0</v>
          </cell>
          <cell r="AQ181">
            <v>0</v>
          </cell>
          <cell r="AR181">
            <v>-0.1</v>
          </cell>
          <cell r="AS181">
            <v>0.1</v>
          </cell>
          <cell r="AT181">
            <v>0.2</v>
          </cell>
          <cell r="AU181">
            <v>0.1</v>
          </cell>
          <cell r="AV181">
            <v>0.4</v>
          </cell>
          <cell r="AW181">
            <v>-0.1</v>
          </cell>
          <cell r="AX181">
            <v>0.1</v>
          </cell>
          <cell r="AY181">
            <v>0.1</v>
          </cell>
          <cell r="AZ181">
            <v>0</v>
          </cell>
          <cell r="BA181">
            <v>0</v>
          </cell>
          <cell r="BB181">
            <v>0.1</v>
          </cell>
          <cell r="BC181">
            <v>0.1</v>
          </cell>
          <cell r="BD181">
            <v>0.2</v>
          </cell>
          <cell r="BE181">
            <v>0</v>
          </cell>
          <cell r="BF181">
            <v>0</v>
          </cell>
          <cell r="BG181">
            <v>0.1</v>
          </cell>
          <cell r="BH181">
            <v>0</v>
          </cell>
          <cell r="BI181">
            <v>0.2</v>
          </cell>
          <cell r="BJ181">
            <v>0.1</v>
          </cell>
          <cell r="BK181">
            <v>0</v>
          </cell>
          <cell r="BL181">
            <v>0</v>
          </cell>
          <cell r="BM181">
            <v>0</v>
          </cell>
          <cell r="BN181">
            <v>0</v>
          </cell>
          <cell r="BO181">
            <v>0</v>
          </cell>
          <cell r="BP181">
            <v>0.1</v>
          </cell>
          <cell r="BQ181">
            <v>0.1</v>
          </cell>
          <cell r="BR181">
            <v>0.3</v>
          </cell>
          <cell r="BS181">
            <v>0</v>
          </cell>
          <cell r="BT181">
            <v>0</v>
          </cell>
          <cell r="BU181">
            <v>0</v>
          </cell>
          <cell r="BV181">
            <v>0</v>
          </cell>
          <cell r="BW181">
            <v>0</v>
          </cell>
          <cell r="BX181">
            <v>1.5</v>
          </cell>
          <cell r="BY181">
            <v>0.1</v>
          </cell>
          <cell r="BZ181">
            <v>0.7</v>
          </cell>
          <cell r="CA181">
            <v>0</v>
          </cell>
          <cell r="CB181">
            <v>0</v>
          </cell>
          <cell r="CC181">
            <v>0</v>
          </cell>
          <cell r="CD181">
            <v>0</v>
          </cell>
          <cell r="CE181">
            <v>0</v>
          </cell>
          <cell r="CF181">
            <v>0</v>
          </cell>
          <cell r="CG181">
            <v>0</v>
          </cell>
          <cell r="CH181">
            <v>0</v>
          </cell>
          <cell r="CI181">
            <v>0</v>
          </cell>
          <cell r="CJ181">
            <v>0</v>
          </cell>
          <cell r="CK181">
            <v>0</v>
          </cell>
          <cell r="CL181">
            <v>0.1</v>
          </cell>
          <cell r="CM181">
            <v>0</v>
          </cell>
          <cell r="CN181">
            <v>0</v>
          </cell>
          <cell r="CO181">
            <v>0</v>
          </cell>
          <cell r="CP181">
            <v>0</v>
          </cell>
          <cell r="CQ181">
            <v>0</v>
          </cell>
          <cell r="CR181">
            <v>0</v>
          </cell>
          <cell r="CS181">
            <v>0</v>
          </cell>
          <cell r="CT181">
            <v>0</v>
          </cell>
          <cell r="CU181">
            <v>0</v>
          </cell>
          <cell r="CV181">
            <v>0</v>
          </cell>
          <cell r="CW181">
            <v>0</v>
          </cell>
        </row>
        <row r="182">
          <cell r="B182">
            <v>3081</v>
          </cell>
          <cell r="C182">
            <v>3310</v>
          </cell>
          <cell r="D182">
            <v>6366</v>
          </cell>
          <cell r="E182">
            <v>12229</v>
          </cell>
          <cell r="F182">
            <v>9666</v>
          </cell>
          <cell r="G182">
            <v>21444</v>
          </cell>
          <cell r="H182">
            <v>1195</v>
          </cell>
          <cell r="I182">
            <v>6585</v>
          </cell>
          <cell r="J182">
            <v>7773</v>
          </cell>
          <cell r="K182">
            <v>2502</v>
          </cell>
          <cell r="L182">
            <v>14449</v>
          </cell>
          <cell r="M182">
            <v>16567</v>
          </cell>
          <cell r="N182">
            <v>10333</v>
          </cell>
          <cell r="O182">
            <v>16521</v>
          </cell>
          <cell r="P182">
            <v>15200</v>
          </cell>
          <cell r="Q182">
            <v>15571</v>
          </cell>
          <cell r="R182">
            <v>2008</v>
          </cell>
          <cell r="S182">
            <v>6061</v>
          </cell>
          <cell r="T182">
            <v>27352</v>
          </cell>
          <cell r="U182">
            <v>256552</v>
          </cell>
          <cell r="V182">
            <v>22645</v>
          </cell>
          <cell r="W182">
            <v>905</v>
          </cell>
          <cell r="X182">
            <v>279809</v>
          </cell>
          <cell r="Y182">
            <v>-0.3</v>
          </cell>
          <cell r="Z182">
            <v>0</v>
          </cell>
          <cell r="AA182">
            <v>-0.3</v>
          </cell>
          <cell r="AB182">
            <v>0</v>
          </cell>
          <cell r="AC182">
            <v>0</v>
          </cell>
          <cell r="AD182">
            <v>0</v>
          </cell>
          <cell r="AE182">
            <v>0</v>
          </cell>
          <cell r="AF182">
            <v>0</v>
          </cell>
          <cell r="AG182">
            <v>-0.1</v>
          </cell>
          <cell r="AH182">
            <v>-0.1</v>
          </cell>
          <cell r="AI182">
            <v>0</v>
          </cell>
          <cell r="AJ182">
            <v>0.1</v>
          </cell>
          <cell r="AK182">
            <v>-0.1</v>
          </cell>
          <cell r="AL182">
            <v>0.1</v>
          </cell>
          <cell r="AM182">
            <v>0</v>
          </cell>
          <cell r="AN182">
            <v>0.1</v>
          </cell>
          <cell r="AO182">
            <v>0</v>
          </cell>
          <cell r="AP182">
            <v>0</v>
          </cell>
          <cell r="AQ182">
            <v>0</v>
          </cell>
          <cell r="AR182">
            <v>0</v>
          </cell>
          <cell r="AS182">
            <v>0.1</v>
          </cell>
          <cell r="AT182">
            <v>0</v>
          </cell>
          <cell r="AU182">
            <v>0.4</v>
          </cell>
          <cell r="AV182">
            <v>0.5</v>
          </cell>
          <cell r="AW182">
            <v>0.2</v>
          </cell>
          <cell r="AX182">
            <v>0.1</v>
          </cell>
          <cell r="AY182">
            <v>0.1</v>
          </cell>
          <cell r="AZ182">
            <v>0</v>
          </cell>
          <cell r="BA182">
            <v>0</v>
          </cell>
          <cell r="BB182">
            <v>0.1</v>
          </cell>
          <cell r="BC182">
            <v>0</v>
          </cell>
          <cell r="BD182">
            <v>0.1</v>
          </cell>
          <cell r="BE182">
            <v>0</v>
          </cell>
          <cell r="BF182">
            <v>0</v>
          </cell>
          <cell r="BG182">
            <v>0</v>
          </cell>
          <cell r="BH182">
            <v>0.2</v>
          </cell>
          <cell r="BI182">
            <v>0</v>
          </cell>
          <cell r="BJ182">
            <v>0.2</v>
          </cell>
          <cell r="BK182">
            <v>0</v>
          </cell>
          <cell r="BL182">
            <v>0</v>
          </cell>
          <cell r="BM182">
            <v>0</v>
          </cell>
          <cell r="BN182">
            <v>0</v>
          </cell>
          <cell r="BO182">
            <v>0</v>
          </cell>
          <cell r="BP182">
            <v>0.1</v>
          </cell>
          <cell r="BQ182">
            <v>0</v>
          </cell>
          <cell r="BR182">
            <v>-0.2</v>
          </cell>
          <cell r="BS182">
            <v>0</v>
          </cell>
          <cell r="BT182">
            <v>0.1</v>
          </cell>
          <cell r="BU182">
            <v>0</v>
          </cell>
          <cell r="BV182">
            <v>0</v>
          </cell>
          <cell r="BW182">
            <v>0</v>
          </cell>
          <cell r="BX182">
            <v>0.9</v>
          </cell>
          <cell r="BY182">
            <v>0.1</v>
          </cell>
          <cell r="BZ182">
            <v>1.8</v>
          </cell>
          <cell r="CA182">
            <v>0</v>
          </cell>
          <cell r="CB182">
            <v>0</v>
          </cell>
          <cell r="CC182">
            <v>0</v>
          </cell>
          <cell r="CD182">
            <v>0</v>
          </cell>
          <cell r="CE182">
            <v>0</v>
          </cell>
          <cell r="CF182">
            <v>0</v>
          </cell>
          <cell r="CG182">
            <v>0</v>
          </cell>
          <cell r="CH182">
            <v>0</v>
          </cell>
          <cell r="CI182">
            <v>0</v>
          </cell>
          <cell r="CJ182">
            <v>0</v>
          </cell>
          <cell r="CK182">
            <v>0</v>
          </cell>
          <cell r="CL182">
            <v>-0.1</v>
          </cell>
          <cell r="CM182">
            <v>0</v>
          </cell>
          <cell r="CN182">
            <v>0</v>
          </cell>
          <cell r="CO182">
            <v>0</v>
          </cell>
          <cell r="CP182">
            <v>0</v>
          </cell>
          <cell r="CQ182">
            <v>0</v>
          </cell>
          <cell r="CR182">
            <v>0</v>
          </cell>
          <cell r="CS182">
            <v>0</v>
          </cell>
          <cell r="CT182">
            <v>0</v>
          </cell>
          <cell r="CU182">
            <v>0</v>
          </cell>
          <cell r="CV182">
            <v>0</v>
          </cell>
          <cell r="CW182">
            <v>0</v>
          </cell>
        </row>
        <row r="183">
          <cell r="B183">
            <v>3251</v>
          </cell>
          <cell r="C183">
            <v>3486</v>
          </cell>
          <cell r="D183">
            <v>6709</v>
          </cell>
          <cell r="E183">
            <v>12013</v>
          </cell>
          <cell r="F183">
            <v>9831</v>
          </cell>
          <cell r="G183">
            <v>21317</v>
          </cell>
          <cell r="H183">
            <v>1276</v>
          </cell>
          <cell r="I183">
            <v>6980</v>
          </cell>
          <cell r="J183">
            <v>8251</v>
          </cell>
          <cell r="K183">
            <v>2507</v>
          </cell>
          <cell r="L183">
            <v>14241</v>
          </cell>
          <cell r="M183">
            <v>16403</v>
          </cell>
          <cell r="N183">
            <v>10283</v>
          </cell>
          <cell r="O183">
            <v>15854</v>
          </cell>
          <cell r="P183">
            <v>15273</v>
          </cell>
          <cell r="Q183">
            <v>16494</v>
          </cell>
          <cell r="R183">
            <v>2123</v>
          </cell>
          <cell r="S183">
            <v>5935</v>
          </cell>
          <cell r="T183">
            <v>27460</v>
          </cell>
          <cell r="U183">
            <v>261283</v>
          </cell>
          <cell r="V183">
            <v>23594</v>
          </cell>
          <cell r="W183">
            <v>-1907</v>
          </cell>
          <cell r="X183">
            <v>282711</v>
          </cell>
          <cell r="Y183">
            <v>-0.3</v>
          </cell>
          <cell r="Z183">
            <v>-0.1</v>
          </cell>
          <cell r="AA183">
            <v>-0.4</v>
          </cell>
          <cell r="AB183">
            <v>0</v>
          </cell>
          <cell r="AC183">
            <v>0</v>
          </cell>
          <cell r="AD183">
            <v>0.1</v>
          </cell>
          <cell r="AE183">
            <v>0</v>
          </cell>
          <cell r="AF183">
            <v>0</v>
          </cell>
          <cell r="AG183">
            <v>0.1</v>
          </cell>
          <cell r="AH183">
            <v>0.1</v>
          </cell>
          <cell r="AI183">
            <v>0</v>
          </cell>
          <cell r="AJ183">
            <v>0</v>
          </cell>
          <cell r="AK183">
            <v>0</v>
          </cell>
          <cell r="AL183">
            <v>-0.1</v>
          </cell>
          <cell r="AM183">
            <v>0</v>
          </cell>
          <cell r="AN183">
            <v>0</v>
          </cell>
          <cell r="AO183">
            <v>0</v>
          </cell>
          <cell r="AP183">
            <v>0</v>
          </cell>
          <cell r="AQ183">
            <v>0.1</v>
          </cell>
          <cell r="AR183">
            <v>0.1</v>
          </cell>
          <cell r="AS183">
            <v>0.1</v>
          </cell>
          <cell r="AT183">
            <v>0.1</v>
          </cell>
          <cell r="AU183">
            <v>-0.1</v>
          </cell>
          <cell r="AV183">
            <v>0</v>
          </cell>
          <cell r="AW183">
            <v>0.1</v>
          </cell>
          <cell r="AX183">
            <v>0</v>
          </cell>
          <cell r="AY183">
            <v>0</v>
          </cell>
          <cell r="AZ183">
            <v>0.1</v>
          </cell>
          <cell r="BA183">
            <v>0</v>
          </cell>
          <cell r="BB183">
            <v>0</v>
          </cell>
          <cell r="BC183">
            <v>0.1</v>
          </cell>
          <cell r="BD183">
            <v>0.3</v>
          </cell>
          <cell r="BE183">
            <v>0</v>
          </cell>
          <cell r="BF183">
            <v>0</v>
          </cell>
          <cell r="BG183">
            <v>0.1</v>
          </cell>
          <cell r="BH183">
            <v>-0.1</v>
          </cell>
          <cell r="BI183">
            <v>0</v>
          </cell>
          <cell r="BJ183">
            <v>-0.1</v>
          </cell>
          <cell r="BK183">
            <v>0</v>
          </cell>
          <cell r="BL183">
            <v>0.1</v>
          </cell>
          <cell r="BM183">
            <v>0.1</v>
          </cell>
          <cell r="BN183">
            <v>0</v>
          </cell>
          <cell r="BO183">
            <v>0</v>
          </cell>
          <cell r="BP183">
            <v>0</v>
          </cell>
          <cell r="BQ183">
            <v>0.1</v>
          </cell>
          <cell r="BR183">
            <v>-0.2</v>
          </cell>
          <cell r="BS183">
            <v>0</v>
          </cell>
          <cell r="BT183">
            <v>0.1</v>
          </cell>
          <cell r="BU183">
            <v>0</v>
          </cell>
          <cell r="BV183">
            <v>0</v>
          </cell>
          <cell r="BW183">
            <v>0</v>
          </cell>
          <cell r="BX183">
            <v>0.3</v>
          </cell>
          <cell r="BY183">
            <v>0.2</v>
          </cell>
          <cell r="BZ183">
            <v>0.3</v>
          </cell>
          <cell r="CA183">
            <v>0</v>
          </cell>
          <cell r="CB183">
            <v>0</v>
          </cell>
          <cell r="CC183">
            <v>0</v>
          </cell>
          <cell r="CD183">
            <v>0</v>
          </cell>
          <cell r="CE183">
            <v>0</v>
          </cell>
          <cell r="CF183">
            <v>0</v>
          </cell>
          <cell r="CG183">
            <v>0</v>
          </cell>
          <cell r="CH183">
            <v>0</v>
          </cell>
          <cell r="CI183">
            <v>0</v>
          </cell>
          <cell r="CJ183">
            <v>0</v>
          </cell>
          <cell r="CK183">
            <v>0</v>
          </cell>
          <cell r="CL183">
            <v>0.1</v>
          </cell>
          <cell r="CM183">
            <v>0</v>
          </cell>
          <cell r="CN183">
            <v>0</v>
          </cell>
          <cell r="CO183">
            <v>0</v>
          </cell>
          <cell r="CP183">
            <v>0</v>
          </cell>
          <cell r="CQ183">
            <v>0</v>
          </cell>
          <cell r="CR183">
            <v>0</v>
          </cell>
          <cell r="CS183">
            <v>0</v>
          </cell>
          <cell r="CT183">
            <v>0</v>
          </cell>
          <cell r="CU183">
            <v>0</v>
          </cell>
          <cell r="CV183">
            <v>0</v>
          </cell>
          <cell r="CW183">
            <v>-0.1</v>
          </cell>
        </row>
        <row r="184">
          <cell r="B184">
            <v>3319</v>
          </cell>
          <cell r="C184">
            <v>3526</v>
          </cell>
          <cell r="D184">
            <v>6823</v>
          </cell>
          <cell r="E184">
            <v>12138</v>
          </cell>
          <cell r="F184">
            <v>9487</v>
          </cell>
          <cell r="G184">
            <v>21218</v>
          </cell>
          <cell r="H184">
            <v>1397</v>
          </cell>
          <cell r="I184">
            <v>7545</v>
          </cell>
          <cell r="J184">
            <v>8944</v>
          </cell>
          <cell r="K184">
            <v>2477</v>
          </cell>
          <cell r="L184">
            <v>14031</v>
          </cell>
          <cell r="M184">
            <v>16173</v>
          </cell>
          <cell r="N184">
            <v>10254</v>
          </cell>
          <cell r="O184">
            <v>16397</v>
          </cell>
          <cell r="P184">
            <v>15345</v>
          </cell>
          <cell r="Q184">
            <v>15534</v>
          </cell>
          <cell r="R184">
            <v>2234</v>
          </cell>
          <cell r="S184">
            <v>6257</v>
          </cell>
          <cell r="T184">
            <v>27561</v>
          </cell>
          <cell r="U184">
            <v>270945</v>
          </cell>
          <cell r="V184">
            <v>25277</v>
          </cell>
          <cell r="W184">
            <v>1471</v>
          </cell>
          <cell r="X184">
            <v>297457</v>
          </cell>
          <cell r="Y184">
            <v>-0.2</v>
          </cell>
          <cell r="Z184">
            <v>0</v>
          </cell>
          <cell r="AA184">
            <v>-0.1</v>
          </cell>
          <cell r="AB184">
            <v>0</v>
          </cell>
          <cell r="AC184">
            <v>0</v>
          </cell>
          <cell r="AD184">
            <v>0</v>
          </cell>
          <cell r="AE184">
            <v>0</v>
          </cell>
          <cell r="AF184">
            <v>0</v>
          </cell>
          <cell r="AG184">
            <v>0.1</v>
          </cell>
          <cell r="AH184">
            <v>0</v>
          </cell>
          <cell r="AI184">
            <v>0</v>
          </cell>
          <cell r="AJ184">
            <v>0</v>
          </cell>
          <cell r="AK184">
            <v>0.1</v>
          </cell>
          <cell r="AL184">
            <v>0.1</v>
          </cell>
          <cell r="AM184">
            <v>0</v>
          </cell>
          <cell r="AN184">
            <v>0.1</v>
          </cell>
          <cell r="AO184">
            <v>0</v>
          </cell>
          <cell r="AP184">
            <v>0</v>
          </cell>
          <cell r="AQ184">
            <v>0</v>
          </cell>
          <cell r="AR184">
            <v>0</v>
          </cell>
          <cell r="AS184">
            <v>0</v>
          </cell>
          <cell r="AT184">
            <v>0</v>
          </cell>
          <cell r="AU184">
            <v>0.4</v>
          </cell>
          <cell r="AV184">
            <v>0.5</v>
          </cell>
          <cell r="AW184">
            <v>0</v>
          </cell>
          <cell r="AX184">
            <v>0</v>
          </cell>
          <cell r="AY184">
            <v>0</v>
          </cell>
          <cell r="AZ184">
            <v>0</v>
          </cell>
          <cell r="BA184">
            <v>0</v>
          </cell>
          <cell r="BB184">
            <v>-0.1</v>
          </cell>
          <cell r="BC184">
            <v>-0.1</v>
          </cell>
          <cell r="BD184">
            <v>-0.1</v>
          </cell>
          <cell r="BE184">
            <v>0</v>
          </cell>
          <cell r="BF184">
            <v>0</v>
          </cell>
          <cell r="BG184">
            <v>0</v>
          </cell>
          <cell r="BH184">
            <v>0</v>
          </cell>
          <cell r="BI184">
            <v>-0.1</v>
          </cell>
          <cell r="BJ184">
            <v>0</v>
          </cell>
          <cell r="BK184">
            <v>0</v>
          </cell>
          <cell r="BL184">
            <v>0.1</v>
          </cell>
          <cell r="BM184">
            <v>0.1</v>
          </cell>
          <cell r="BN184">
            <v>0</v>
          </cell>
          <cell r="BO184">
            <v>-0.2</v>
          </cell>
          <cell r="BP184">
            <v>-0.2</v>
          </cell>
          <cell r="BQ184">
            <v>-0.1</v>
          </cell>
          <cell r="BR184">
            <v>0.2</v>
          </cell>
          <cell r="BS184">
            <v>0</v>
          </cell>
          <cell r="BT184">
            <v>0</v>
          </cell>
          <cell r="BU184">
            <v>0</v>
          </cell>
          <cell r="BV184">
            <v>0</v>
          </cell>
          <cell r="BW184">
            <v>0</v>
          </cell>
          <cell r="BX184">
            <v>0.6</v>
          </cell>
          <cell r="BY184">
            <v>0</v>
          </cell>
          <cell r="BZ184">
            <v>0.7</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row>
        <row r="185">
          <cell r="B185">
            <v>3269</v>
          </cell>
          <cell r="C185">
            <v>3417</v>
          </cell>
          <cell r="D185">
            <v>6675</v>
          </cell>
          <cell r="E185">
            <v>12159</v>
          </cell>
          <cell r="F185">
            <v>9403</v>
          </cell>
          <cell r="G185">
            <v>21185</v>
          </cell>
          <cell r="H185">
            <v>1325</v>
          </cell>
          <cell r="I185">
            <v>7070</v>
          </cell>
          <cell r="J185">
            <v>8404</v>
          </cell>
          <cell r="K185">
            <v>2346</v>
          </cell>
          <cell r="L185">
            <v>13219</v>
          </cell>
          <cell r="M185">
            <v>15260</v>
          </cell>
          <cell r="N185">
            <v>9569</v>
          </cell>
          <cell r="O185">
            <v>16723</v>
          </cell>
          <cell r="P185">
            <v>15416</v>
          </cell>
          <cell r="Q185">
            <v>15298</v>
          </cell>
          <cell r="R185">
            <v>2124</v>
          </cell>
          <cell r="S185">
            <v>6021</v>
          </cell>
          <cell r="T185">
            <v>27688</v>
          </cell>
          <cell r="U185">
            <v>253801</v>
          </cell>
          <cell r="V185">
            <v>22426</v>
          </cell>
          <cell r="W185">
            <v>-1207</v>
          </cell>
          <cell r="X185">
            <v>274740</v>
          </cell>
          <cell r="Y185">
            <v>-0.2</v>
          </cell>
          <cell r="Z185">
            <v>0</v>
          </cell>
          <cell r="AA185">
            <v>-0.2</v>
          </cell>
          <cell r="AB185">
            <v>0</v>
          </cell>
          <cell r="AC185">
            <v>-0.1</v>
          </cell>
          <cell r="AD185">
            <v>0.1</v>
          </cell>
          <cell r="AE185">
            <v>0</v>
          </cell>
          <cell r="AF185">
            <v>0</v>
          </cell>
          <cell r="AG185">
            <v>-0.1</v>
          </cell>
          <cell r="AH185">
            <v>-0.1</v>
          </cell>
          <cell r="AI185">
            <v>0</v>
          </cell>
          <cell r="AJ185">
            <v>0.2</v>
          </cell>
          <cell r="AK185">
            <v>0</v>
          </cell>
          <cell r="AL185">
            <v>0.1</v>
          </cell>
          <cell r="AM185">
            <v>0</v>
          </cell>
          <cell r="AN185">
            <v>0.2</v>
          </cell>
          <cell r="AO185">
            <v>-0.1</v>
          </cell>
          <cell r="AP185">
            <v>0</v>
          </cell>
          <cell r="AQ185">
            <v>-0.1</v>
          </cell>
          <cell r="AR185">
            <v>-0.1</v>
          </cell>
          <cell r="AS185">
            <v>0</v>
          </cell>
          <cell r="AT185">
            <v>0</v>
          </cell>
          <cell r="AU185">
            <v>-0.3</v>
          </cell>
          <cell r="AV185">
            <v>-0.2</v>
          </cell>
          <cell r="AW185">
            <v>0</v>
          </cell>
          <cell r="AX185">
            <v>0</v>
          </cell>
          <cell r="AY185">
            <v>-0.1</v>
          </cell>
          <cell r="AZ185">
            <v>-0.1</v>
          </cell>
          <cell r="BA185">
            <v>0</v>
          </cell>
          <cell r="BB185">
            <v>0</v>
          </cell>
          <cell r="BC185">
            <v>-0.1</v>
          </cell>
          <cell r="BD185">
            <v>-0.1</v>
          </cell>
          <cell r="BE185">
            <v>0</v>
          </cell>
          <cell r="BF185">
            <v>0.1</v>
          </cell>
          <cell r="BG185">
            <v>0.1</v>
          </cell>
          <cell r="BH185">
            <v>0</v>
          </cell>
          <cell r="BI185">
            <v>0.1</v>
          </cell>
          <cell r="BJ185">
            <v>0.1</v>
          </cell>
          <cell r="BK185">
            <v>0</v>
          </cell>
          <cell r="BL185">
            <v>0</v>
          </cell>
          <cell r="BM185">
            <v>0</v>
          </cell>
          <cell r="BN185">
            <v>0</v>
          </cell>
          <cell r="BO185">
            <v>0.1</v>
          </cell>
          <cell r="BP185">
            <v>0.1</v>
          </cell>
          <cell r="BQ185">
            <v>0</v>
          </cell>
          <cell r="BR185">
            <v>0.2</v>
          </cell>
          <cell r="BS185">
            <v>0</v>
          </cell>
          <cell r="BT185">
            <v>0.1</v>
          </cell>
          <cell r="BU185">
            <v>0</v>
          </cell>
          <cell r="BV185">
            <v>0</v>
          </cell>
          <cell r="BW185">
            <v>0</v>
          </cell>
          <cell r="BX185">
            <v>0.2</v>
          </cell>
          <cell r="BY185">
            <v>-0.1</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row>
        <row r="186">
          <cell r="B186">
            <v>3271</v>
          </cell>
          <cell r="C186">
            <v>3465</v>
          </cell>
          <cell r="D186">
            <v>6719</v>
          </cell>
          <cell r="E186">
            <v>12376</v>
          </cell>
          <cell r="F186">
            <v>10077</v>
          </cell>
          <cell r="G186">
            <v>21932</v>
          </cell>
          <cell r="H186">
            <v>1268</v>
          </cell>
          <cell r="I186">
            <v>6775</v>
          </cell>
          <cell r="J186">
            <v>8051</v>
          </cell>
          <cell r="K186">
            <v>2621</v>
          </cell>
          <cell r="L186">
            <v>14749</v>
          </cell>
          <cell r="M186">
            <v>17033</v>
          </cell>
          <cell r="N186">
            <v>10221</v>
          </cell>
          <cell r="O186">
            <v>16180</v>
          </cell>
          <cell r="P186">
            <v>15487</v>
          </cell>
          <cell r="Q186">
            <v>16023</v>
          </cell>
          <cell r="R186">
            <v>2260</v>
          </cell>
          <cell r="S186">
            <v>6416</v>
          </cell>
          <cell r="T186">
            <v>27844</v>
          </cell>
          <cell r="U186">
            <v>260359</v>
          </cell>
          <cell r="V186">
            <v>23132</v>
          </cell>
          <cell r="W186">
            <v>1643</v>
          </cell>
          <cell r="X186">
            <v>284828</v>
          </cell>
          <cell r="Y186">
            <v>0</v>
          </cell>
          <cell r="Z186">
            <v>0</v>
          </cell>
          <cell r="AA186">
            <v>0.1</v>
          </cell>
          <cell r="AB186">
            <v>0</v>
          </cell>
          <cell r="AC186">
            <v>0</v>
          </cell>
          <cell r="AD186">
            <v>0</v>
          </cell>
          <cell r="AE186">
            <v>0.1</v>
          </cell>
          <cell r="AF186">
            <v>0</v>
          </cell>
          <cell r="AG186">
            <v>0</v>
          </cell>
          <cell r="AH186">
            <v>-0.1</v>
          </cell>
          <cell r="AI186">
            <v>-0.1</v>
          </cell>
          <cell r="AJ186">
            <v>-0.3</v>
          </cell>
          <cell r="AK186">
            <v>0.1</v>
          </cell>
          <cell r="AL186">
            <v>0.1</v>
          </cell>
          <cell r="AM186">
            <v>0</v>
          </cell>
          <cell r="AN186">
            <v>-0.1</v>
          </cell>
          <cell r="AO186">
            <v>0</v>
          </cell>
          <cell r="AP186">
            <v>0</v>
          </cell>
          <cell r="AQ186">
            <v>0</v>
          </cell>
          <cell r="AR186">
            <v>0</v>
          </cell>
          <cell r="AS186">
            <v>-0.1</v>
          </cell>
          <cell r="AT186">
            <v>0</v>
          </cell>
          <cell r="AU186">
            <v>0.3</v>
          </cell>
          <cell r="AV186">
            <v>0.2</v>
          </cell>
          <cell r="AW186">
            <v>0</v>
          </cell>
          <cell r="AX186">
            <v>0.1</v>
          </cell>
          <cell r="AY186">
            <v>0</v>
          </cell>
          <cell r="AZ186">
            <v>0</v>
          </cell>
          <cell r="BA186">
            <v>0</v>
          </cell>
          <cell r="BB186">
            <v>0</v>
          </cell>
          <cell r="BC186">
            <v>-0.1</v>
          </cell>
          <cell r="BD186">
            <v>-0.1</v>
          </cell>
          <cell r="BE186">
            <v>0</v>
          </cell>
          <cell r="BF186">
            <v>-0.1</v>
          </cell>
          <cell r="BG186">
            <v>0</v>
          </cell>
          <cell r="BH186">
            <v>0.1</v>
          </cell>
          <cell r="BI186">
            <v>0.1</v>
          </cell>
          <cell r="BJ186">
            <v>0.1</v>
          </cell>
          <cell r="BK186">
            <v>0</v>
          </cell>
          <cell r="BL186">
            <v>-0.1</v>
          </cell>
          <cell r="BM186">
            <v>-0.2</v>
          </cell>
          <cell r="BN186">
            <v>0</v>
          </cell>
          <cell r="BO186">
            <v>0.2</v>
          </cell>
          <cell r="BP186">
            <v>0.2</v>
          </cell>
          <cell r="BQ186">
            <v>0</v>
          </cell>
          <cell r="BR186">
            <v>-0.1</v>
          </cell>
          <cell r="BS186">
            <v>0</v>
          </cell>
          <cell r="BT186">
            <v>0.1</v>
          </cell>
          <cell r="BU186">
            <v>0</v>
          </cell>
          <cell r="BV186">
            <v>0</v>
          </cell>
          <cell r="BW186">
            <v>0.1</v>
          </cell>
          <cell r="BX186">
            <v>0.3</v>
          </cell>
          <cell r="BY186">
            <v>0.1</v>
          </cell>
          <cell r="BZ186">
            <v>0.3</v>
          </cell>
          <cell r="CA186">
            <v>0</v>
          </cell>
          <cell r="CB186">
            <v>0</v>
          </cell>
          <cell r="CC186">
            <v>0</v>
          </cell>
          <cell r="CD186">
            <v>0</v>
          </cell>
          <cell r="CE186">
            <v>0</v>
          </cell>
          <cell r="CF186">
            <v>0</v>
          </cell>
          <cell r="CG186">
            <v>0</v>
          </cell>
          <cell r="CH186">
            <v>0</v>
          </cell>
          <cell r="CI186">
            <v>0</v>
          </cell>
          <cell r="CJ186">
            <v>0</v>
          </cell>
          <cell r="CK186">
            <v>0</v>
          </cell>
          <cell r="CL186">
            <v>-0.1</v>
          </cell>
          <cell r="CM186">
            <v>0</v>
          </cell>
          <cell r="CN186">
            <v>0</v>
          </cell>
          <cell r="CO186">
            <v>0</v>
          </cell>
          <cell r="CP186">
            <v>0</v>
          </cell>
          <cell r="CQ186">
            <v>0</v>
          </cell>
          <cell r="CR186">
            <v>0</v>
          </cell>
          <cell r="CS186">
            <v>0</v>
          </cell>
          <cell r="CT186">
            <v>0</v>
          </cell>
          <cell r="CU186">
            <v>0</v>
          </cell>
          <cell r="CV186">
            <v>0</v>
          </cell>
          <cell r="CW186">
            <v>0</v>
          </cell>
        </row>
        <row r="187">
          <cell r="B187">
            <v>3449</v>
          </cell>
          <cell r="C187">
            <v>3562</v>
          </cell>
          <cell r="D187">
            <v>7004</v>
          </cell>
          <cell r="E187">
            <v>12457</v>
          </cell>
          <cell r="F187">
            <v>10597</v>
          </cell>
          <cell r="G187">
            <v>22397</v>
          </cell>
          <cell r="H187">
            <v>1307</v>
          </cell>
          <cell r="I187">
            <v>6829</v>
          </cell>
          <cell r="J187">
            <v>8158</v>
          </cell>
          <cell r="K187">
            <v>2620</v>
          </cell>
          <cell r="L187">
            <v>14846</v>
          </cell>
          <cell r="M187">
            <v>17112</v>
          </cell>
          <cell r="N187">
            <v>10095</v>
          </cell>
          <cell r="O187">
            <v>15601</v>
          </cell>
          <cell r="P187">
            <v>15557</v>
          </cell>
          <cell r="Q187">
            <v>16954</v>
          </cell>
          <cell r="R187">
            <v>2305</v>
          </cell>
          <cell r="S187">
            <v>6409</v>
          </cell>
          <cell r="T187">
            <v>28012</v>
          </cell>
          <cell r="U187">
            <v>264959</v>
          </cell>
          <cell r="V187">
            <v>24129</v>
          </cell>
          <cell r="W187">
            <v>471</v>
          </cell>
          <cell r="X187">
            <v>289322</v>
          </cell>
          <cell r="Y187">
            <v>0.4</v>
          </cell>
          <cell r="Z187">
            <v>0</v>
          </cell>
          <cell r="AA187">
            <v>0.4</v>
          </cell>
          <cell r="AB187">
            <v>0</v>
          </cell>
          <cell r="AC187">
            <v>0</v>
          </cell>
          <cell r="AD187">
            <v>-0.1</v>
          </cell>
          <cell r="AE187">
            <v>-0.1</v>
          </cell>
          <cell r="AF187">
            <v>0</v>
          </cell>
          <cell r="AG187">
            <v>-0.1</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0.1</v>
          </cell>
          <cell r="AV187">
            <v>0.1</v>
          </cell>
          <cell r="AW187">
            <v>0.1</v>
          </cell>
          <cell r="AX187">
            <v>0.1</v>
          </cell>
          <cell r="AY187">
            <v>0.1</v>
          </cell>
          <cell r="AZ187">
            <v>0.1</v>
          </cell>
          <cell r="BA187">
            <v>0</v>
          </cell>
          <cell r="BB187">
            <v>0</v>
          </cell>
          <cell r="BC187">
            <v>0</v>
          </cell>
          <cell r="BD187">
            <v>0.1</v>
          </cell>
          <cell r="BE187">
            <v>0</v>
          </cell>
          <cell r="BF187">
            <v>0</v>
          </cell>
          <cell r="BG187">
            <v>0</v>
          </cell>
          <cell r="BH187">
            <v>0</v>
          </cell>
          <cell r="BI187">
            <v>0.2</v>
          </cell>
          <cell r="BJ187">
            <v>0.2</v>
          </cell>
          <cell r="BK187">
            <v>0</v>
          </cell>
          <cell r="BL187">
            <v>0</v>
          </cell>
          <cell r="BM187">
            <v>0</v>
          </cell>
          <cell r="BN187">
            <v>0</v>
          </cell>
          <cell r="BO187">
            <v>0.1</v>
          </cell>
          <cell r="BP187">
            <v>0.1</v>
          </cell>
          <cell r="BQ187">
            <v>0</v>
          </cell>
          <cell r="BR187">
            <v>-0.1</v>
          </cell>
          <cell r="BS187">
            <v>0</v>
          </cell>
          <cell r="BT187">
            <v>0.1</v>
          </cell>
          <cell r="BU187">
            <v>0</v>
          </cell>
          <cell r="BV187">
            <v>0</v>
          </cell>
          <cell r="BW187">
            <v>0.1</v>
          </cell>
          <cell r="BX187">
            <v>1.2</v>
          </cell>
          <cell r="BY187">
            <v>0.2</v>
          </cell>
          <cell r="BZ187">
            <v>1.6</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row>
        <row r="188">
          <cell r="B188">
            <v>3362</v>
          </cell>
          <cell r="C188">
            <v>3838</v>
          </cell>
          <cell r="D188">
            <v>7141</v>
          </cell>
          <cell r="E188">
            <v>12656</v>
          </cell>
          <cell r="F188">
            <v>10857</v>
          </cell>
          <cell r="G188">
            <v>22817</v>
          </cell>
          <cell r="H188">
            <v>1383</v>
          </cell>
          <cell r="I188">
            <v>7378</v>
          </cell>
          <cell r="J188">
            <v>8772</v>
          </cell>
          <cell r="K188">
            <v>2691</v>
          </cell>
          <cell r="L188">
            <v>15403</v>
          </cell>
          <cell r="M188">
            <v>17702</v>
          </cell>
          <cell r="N188">
            <v>10438</v>
          </cell>
          <cell r="O188">
            <v>16529</v>
          </cell>
          <cell r="P188">
            <v>15632</v>
          </cell>
          <cell r="Q188">
            <v>16275</v>
          </cell>
          <cell r="R188">
            <v>2454</v>
          </cell>
          <cell r="S188">
            <v>6554</v>
          </cell>
          <cell r="T188">
            <v>28242</v>
          </cell>
          <cell r="U188">
            <v>283698</v>
          </cell>
          <cell r="V188">
            <v>26265</v>
          </cell>
          <cell r="W188">
            <v>552</v>
          </cell>
          <cell r="X188">
            <v>310300</v>
          </cell>
          <cell r="Y188">
            <v>0.3</v>
          </cell>
          <cell r="Z188">
            <v>0</v>
          </cell>
          <cell r="AA188">
            <v>0.3</v>
          </cell>
          <cell r="AB188">
            <v>0</v>
          </cell>
          <cell r="AC188">
            <v>-0.1</v>
          </cell>
          <cell r="AD188">
            <v>0</v>
          </cell>
          <cell r="AE188">
            <v>0</v>
          </cell>
          <cell r="AF188">
            <v>-0.1</v>
          </cell>
          <cell r="AG188">
            <v>0</v>
          </cell>
          <cell r="AH188">
            <v>-0.1</v>
          </cell>
          <cell r="AI188">
            <v>0.1</v>
          </cell>
          <cell r="AJ188">
            <v>0.1</v>
          </cell>
          <cell r="AK188">
            <v>0</v>
          </cell>
          <cell r="AL188">
            <v>0</v>
          </cell>
          <cell r="AM188">
            <v>0</v>
          </cell>
          <cell r="AN188">
            <v>0.1</v>
          </cell>
          <cell r="AO188">
            <v>0</v>
          </cell>
          <cell r="AP188">
            <v>0</v>
          </cell>
          <cell r="AQ188">
            <v>0</v>
          </cell>
          <cell r="AR188">
            <v>0</v>
          </cell>
          <cell r="AS188">
            <v>0.1</v>
          </cell>
          <cell r="AT188">
            <v>0.1</v>
          </cell>
          <cell r="AU188">
            <v>0</v>
          </cell>
          <cell r="AV188">
            <v>0.1</v>
          </cell>
          <cell r="AW188">
            <v>0</v>
          </cell>
          <cell r="AX188">
            <v>0.1</v>
          </cell>
          <cell r="AY188">
            <v>0</v>
          </cell>
          <cell r="AZ188">
            <v>0</v>
          </cell>
          <cell r="BA188">
            <v>0</v>
          </cell>
          <cell r="BB188">
            <v>0</v>
          </cell>
          <cell r="BC188">
            <v>0.1</v>
          </cell>
          <cell r="BD188">
            <v>0.2</v>
          </cell>
          <cell r="BE188">
            <v>0</v>
          </cell>
          <cell r="BF188">
            <v>0</v>
          </cell>
          <cell r="BG188">
            <v>0</v>
          </cell>
          <cell r="BH188">
            <v>0.1</v>
          </cell>
          <cell r="BI188">
            <v>0.1</v>
          </cell>
          <cell r="BJ188">
            <v>0.1</v>
          </cell>
          <cell r="BK188">
            <v>0</v>
          </cell>
          <cell r="BL188">
            <v>0.1</v>
          </cell>
          <cell r="BM188">
            <v>0.1</v>
          </cell>
          <cell r="BN188">
            <v>0</v>
          </cell>
          <cell r="BO188">
            <v>0.1</v>
          </cell>
          <cell r="BP188">
            <v>0.1</v>
          </cell>
          <cell r="BQ188">
            <v>0</v>
          </cell>
          <cell r="BR188">
            <v>0.2</v>
          </cell>
          <cell r="BS188">
            <v>0</v>
          </cell>
          <cell r="BT188">
            <v>0</v>
          </cell>
          <cell r="BU188">
            <v>0</v>
          </cell>
          <cell r="BV188">
            <v>0</v>
          </cell>
          <cell r="BW188">
            <v>0.1</v>
          </cell>
          <cell r="BX188">
            <v>1.6</v>
          </cell>
          <cell r="BY188">
            <v>0.1</v>
          </cell>
          <cell r="BZ188">
            <v>1.8</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row>
        <row r="189">
          <cell r="B189">
            <v>3361</v>
          </cell>
          <cell r="C189">
            <v>3436</v>
          </cell>
          <cell r="D189">
            <v>6799</v>
          </cell>
          <cell r="E189">
            <v>12857</v>
          </cell>
          <cell r="F189">
            <v>10216</v>
          </cell>
          <cell r="G189">
            <v>22603</v>
          </cell>
          <cell r="H189">
            <v>1282</v>
          </cell>
          <cell r="I189">
            <v>6878</v>
          </cell>
          <cell r="J189">
            <v>8167</v>
          </cell>
          <cell r="K189">
            <v>2384</v>
          </cell>
          <cell r="L189">
            <v>13945</v>
          </cell>
          <cell r="M189">
            <v>15926</v>
          </cell>
          <cell r="N189">
            <v>9460</v>
          </cell>
          <cell r="O189">
            <v>16959</v>
          </cell>
          <cell r="P189">
            <v>15709</v>
          </cell>
          <cell r="Q189">
            <v>16162</v>
          </cell>
          <cell r="R189">
            <v>2193</v>
          </cell>
          <cell r="S189">
            <v>6206</v>
          </cell>
          <cell r="T189">
            <v>28532</v>
          </cell>
          <cell r="U189">
            <v>265697</v>
          </cell>
          <cell r="V189">
            <v>23452</v>
          </cell>
          <cell r="W189">
            <v>-1661</v>
          </cell>
          <cell r="X189">
            <v>287157</v>
          </cell>
          <cell r="Y189">
            <v>0.2</v>
          </cell>
          <cell r="Z189">
            <v>0</v>
          </cell>
          <cell r="AA189">
            <v>0.2</v>
          </cell>
          <cell r="AB189">
            <v>0</v>
          </cell>
          <cell r="AC189">
            <v>0</v>
          </cell>
          <cell r="AD189">
            <v>0</v>
          </cell>
          <cell r="AE189">
            <v>0</v>
          </cell>
          <cell r="AF189">
            <v>0</v>
          </cell>
          <cell r="AG189">
            <v>0</v>
          </cell>
          <cell r="AH189">
            <v>0</v>
          </cell>
          <cell r="AI189">
            <v>0</v>
          </cell>
          <cell r="AJ189">
            <v>0</v>
          </cell>
          <cell r="AK189">
            <v>0</v>
          </cell>
          <cell r="AL189">
            <v>0</v>
          </cell>
          <cell r="AM189">
            <v>0.1</v>
          </cell>
          <cell r="AN189">
            <v>0.1</v>
          </cell>
          <cell r="AO189">
            <v>0</v>
          </cell>
          <cell r="AP189">
            <v>0</v>
          </cell>
          <cell r="AQ189">
            <v>0</v>
          </cell>
          <cell r="AR189">
            <v>0.1</v>
          </cell>
          <cell r="AS189">
            <v>0.1</v>
          </cell>
          <cell r="AT189">
            <v>0.1</v>
          </cell>
          <cell r="AU189">
            <v>0</v>
          </cell>
          <cell r="AV189">
            <v>0.1</v>
          </cell>
          <cell r="AW189">
            <v>0.2</v>
          </cell>
          <cell r="AX189">
            <v>0</v>
          </cell>
          <cell r="AY189">
            <v>0</v>
          </cell>
          <cell r="AZ189">
            <v>0.1</v>
          </cell>
          <cell r="BA189">
            <v>0</v>
          </cell>
          <cell r="BB189">
            <v>0</v>
          </cell>
          <cell r="BC189">
            <v>0.1</v>
          </cell>
          <cell r="BD189">
            <v>0.2</v>
          </cell>
          <cell r="BE189">
            <v>0</v>
          </cell>
          <cell r="BF189">
            <v>0</v>
          </cell>
          <cell r="BG189">
            <v>0</v>
          </cell>
          <cell r="BH189">
            <v>0.1</v>
          </cell>
          <cell r="BI189">
            <v>0</v>
          </cell>
          <cell r="BJ189">
            <v>0.1</v>
          </cell>
          <cell r="BK189">
            <v>0</v>
          </cell>
          <cell r="BL189">
            <v>0</v>
          </cell>
          <cell r="BM189">
            <v>0</v>
          </cell>
          <cell r="BN189">
            <v>0</v>
          </cell>
          <cell r="BO189">
            <v>0</v>
          </cell>
          <cell r="BP189">
            <v>-0.1</v>
          </cell>
          <cell r="BQ189">
            <v>0</v>
          </cell>
          <cell r="BR189">
            <v>0</v>
          </cell>
          <cell r="BS189">
            <v>0</v>
          </cell>
          <cell r="BT189">
            <v>0.1</v>
          </cell>
          <cell r="BU189">
            <v>-0.1</v>
          </cell>
          <cell r="BV189">
            <v>0</v>
          </cell>
          <cell r="BW189">
            <v>0.1</v>
          </cell>
          <cell r="BX189">
            <v>1.1000000000000001</v>
          </cell>
          <cell r="BY189">
            <v>0</v>
          </cell>
          <cell r="BZ189">
            <v>0.9</v>
          </cell>
          <cell r="CA189">
            <v>0</v>
          </cell>
          <cell r="CB189">
            <v>0</v>
          </cell>
          <cell r="CC189">
            <v>0</v>
          </cell>
          <cell r="CD189">
            <v>0</v>
          </cell>
          <cell r="CE189">
            <v>0</v>
          </cell>
          <cell r="CF189">
            <v>0</v>
          </cell>
          <cell r="CG189">
            <v>0</v>
          </cell>
          <cell r="CH189">
            <v>0</v>
          </cell>
          <cell r="CI189">
            <v>0</v>
          </cell>
          <cell r="CJ189">
            <v>0</v>
          </cell>
          <cell r="CK189">
            <v>0</v>
          </cell>
          <cell r="CL189">
            <v>0.2</v>
          </cell>
          <cell r="CM189">
            <v>0</v>
          </cell>
          <cell r="CN189">
            <v>0</v>
          </cell>
          <cell r="CO189">
            <v>0</v>
          </cell>
          <cell r="CP189">
            <v>0</v>
          </cell>
          <cell r="CQ189">
            <v>0</v>
          </cell>
          <cell r="CR189">
            <v>0</v>
          </cell>
          <cell r="CS189">
            <v>0</v>
          </cell>
          <cell r="CT189">
            <v>0</v>
          </cell>
          <cell r="CU189">
            <v>0</v>
          </cell>
          <cell r="CV189">
            <v>0</v>
          </cell>
          <cell r="CW189">
            <v>0</v>
          </cell>
        </row>
        <row r="190">
          <cell r="B190">
            <v>3407</v>
          </cell>
          <cell r="C190">
            <v>3766</v>
          </cell>
          <cell r="D190">
            <v>7136</v>
          </cell>
          <cell r="E190">
            <v>13133</v>
          </cell>
          <cell r="F190">
            <v>10998</v>
          </cell>
          <cell r="G190">
            <v>23478</v>
          </cell>
          <cell r="H190">
            <v>1345</v>
          </cell>
          <cell r="I190">
            <v>7486</v>
          </cell>
          <cell r="J190">
            <v>8815</v>
          </cell>
          <cell r="K190">
            <v>2547</v>
          </cell>
          <cell r="L190">
            <v>15192</v>
          </cell>
          <cell r="M190">
            <v>17254</v>
          </cell>
          <cell r="N190">
            <v>10326</v>
          </cell>
          <cell r="O190">
            <v>17367</v>
          </cell>
          <cell r="P190">
            <v>15787</v>
          </cell>
          <cell r="Q190">
            <v>16803</v>
          </cell>
          <cell r="R190">
            <v>2405</v>
          </cell>
          <cell r="S190">
            <v>6548</v>
          </cell>
          <cell r="T190">
            <v>28886</v>
          </cell>
          <cell r="U190">
            <v>274263</v>
          </cell>
          <cell r="V190">
            <v>24023</v>
          </cell>
          <cell r="W190">
            <v>638</v>
          </cell>
          <cell r="X190">
            <v>298557</v>
          </cell>
          <cell r="Y190">
            <v>0</v>
          </cell>
          <cell r="Z190">
            <v>0</v>
          </cell>
          <cell r="AA190">
            <v>-0.1</v>
          </cell>
          <cell r="AB190">
            <v>0</v>
          </cell>
          <cell r="AC190">
            <v>0</v>
          </cell>
          <cell r="AD190">
            <v>0</v>
          </cell>
          <cell r="AE190">
            <v>0</v>
          </cell>
          <cell r="AF190">
            <v>0</v>
          </cell>
          <cell r="AG190">
            <v>0.1</v>
          </cell>
          <cell r="AH190">
            <v>0</v>
          </cell>
          <cell r="AI190">
            <v>0</v>
          </cell>
          <cell r="AJ190">
            <v>0</v>
          </cell>
          <cell r="AK190">
            <v>0</v>
          </cell>
          <cell r="AL190">
            <v>0</v>
          </cell>
          <cell r="AM190">
            <v>0</v>
          </cell>
          <cell r="AN190">
            <v>-0.1</v>
          </cell>
          <cell r="AO190">
            <v>0</v>
          </cell>
          <cell r="AP190">
            <v>0</v>
          </cell>
          <cell r="AQ190">
            <v>0</v>
          </cell>
          <cell r="AR190">
            <v>0</v>
          </cell>
          <cell r="AS190">
            <v>0</v>
          </cell>
          <cell r="AT190">
            <v>0</v>
          </cell>
          <cell r="AU190">
            <v>0</v>
          </cell>
          <cell r="AV190">
            <v>0</v>
          </cell>
          <cell r="AW190">
            <v>0</v>
          </cell>
          <cell r="AX190">
            <v>0.1</v>
          </cell>
          <cell r="AY190">
            <v>0.1</v>
          </cell>
          <cell r="AZ190">
            <v>0</v>
          </cell>
          <cell r="BA190">
            <v>0</v>
          </cell>
          <cell r="BB190">
            <v>0</v>
          </cell>
          <cell r="BC190">
            <v>0</v>
          </cell>
          <cell r="BD190">
            <v>0.1</v>
          </cell>
          <cell r="BE190">
            <v>0</v>
          </cell>
          <cell r="BF190">
            <v>0</v>
          </cell>
          <cell r="BG190">
            <v>0.1</v>
          </cell>
          <cell r="BH190">
            <v>0.1</v>
          </cell>
          <cell r="BI190">
            <v>0.1</v>
          </cell>
          <cell r="BJ190">
            <v>0.2</v>
          </cell>
          <cell r="BK190">
            <v>0</v>
          </cell>
          <cell r="BL190">
            <v>0.2</v>
          </cell>
          <cell r="BM190">
            <v>0.2</v>
          </cell>
          <cell r="BN190">
            <v>0</v>
          </cell>
          <cell r="BO190">
            <v>0</v>
          </cell>
          <cell r="BP190">
            <v>0</v>
          </cell>
          <cell r="BQ190">
            <v>0</v>
          </cell>
          <cell r="BR190">
            <v>0.1</v>
          </cell>
          <cell r="BS190">
            <v>0</v>
          </cell>
          <cell r="BT190">
            <v>0.1</v>
          </cell>
          <cell r="BU190">
            <v>0.1</v>
          </cell>
          <cell r="BV190">
            <v>0</v>
          </cell>
          <cell r="BW190">
            <v>0.1</v>
          </cell>
          <cell r="BX190">
            <v>0.8</v>
          </cell>
          <cell r="BY190">
            <v>0</v>
          </cell>
          <cell r="BZ190">
            <v>0.7</v>
          </cell>
          <cell r="CA190">
            <v>0</v>
          </cell>
          <cell r="CB190">
            <v>0</v>
          </cell>
          <cell r="CC190">
            <v>0</v>
          </cell>
          <cell r="CD190">
            <v>0</v>
          </cell>
          <cell r="CE190">
            <v>0</v>
          </cell>
          <cell r="CF190">
            <v>0</v>
          </cell>
          <cell r="CG190">
            <v>0</v>
          </cell>
          <cell r="CH190">
            <v>0</v>
          </cell>
          <cell r="CI190">
            <v>0</v>
          </cell>
          <cell r="CJ190">
            <v>0</v>
          </cell>
          <cell r="CK190">
            <v>0</v>
          </cell>
          <cell r="CL190">
            <v>-0.1</v>
          </cell>
          <cell r="CM190">
            <v>0</v>
          </cell>
          <cell r="CN190">
            <v>0</v>
          </cell>
          <cell r="CO190">
            <v>0</v>
          </cell>
          <cell r="CP190">
            <v>0</v>
          </cell>
          <cell r="CQ190">
            <v>0</v>
          </cell>
          <cell r="CR190">
            <v>0</v>
          </cell>
          <cell r="CS190">
            <v>0</v>
          </cell>
          <cell r="CT190">
            <v>0</v>
          </cell>
          <cell r="CU190">
            <v>0</v>
          </cell>
          <cell r="CV190">
            <v>0</v>
          </cell>
          <cell r="CW190">
            <v>0</v>
          </cell>
        </row>
        <row r="191">
          <cell r="B191">
            <v>3476</v>
          </cell>
          <cell r="C191">
            <v>3817</v>
          </cell>
          <cell r="D191">
            <v>7261</v>
          </cell>
          <cell r="E191">
            <v>13561</v>
          </cell>
          <cell r="F191">
            <v>10747</v>
          </cell>
          <cell r="G191">
            <v>23778</v>
          </cell>
          <cell r="H191">
            <v>1294</v>
          </cell>
          <cell r="I191">
            <v>7184</v>
          </cell>
          <cell r="J191">
            <v>8463</v>
          </cell>
          <cell r="K191">
            <v>2598</v>
          </cell>
          <cell r="L191">
            <v>15249</v>
          </cell>
          <cell r="M191">
            <v>17398</v>
          </cell>
          <cell r="N191">
            <v>10393</v>
          </cell>
          <cell r="O191">
            <v>16374</v>
          </cell>
          <cell r="P191">
            <v>15865</v>
          </cell>
          <cell r="Q191">
            <v>17645</v>
          </cell>
          <cell r="R191">
            <v>2481</v>
          </cell>
          <cell r="S191">
            <v>6369</v>
          </cell>
          <cell r="T191">
            <v>29291</v>
          </cell>
          <cell r="U191">
            <v>277276</v>
          </cell>
          <cell r="V191">
            <v>24671</v>
          </cell>
          <cell r="W191">
            <v>106</v>
          </cell>
          <cell r="X191">
            <v>301722</v>
          </cell>
          <cell r="Y191">
            <v>-0.1</v>
          </cell>
          <cell r="Z191">
            <v>0.1</v>
          </cell>
          <cell r="AA191">
            <v>0</v>
          </cell>
          <cell r="AB191">
            <v>0</v>
          </cell>
          <cell r="AC191">
            <v>0</v>
          </cell>
          <cell r="AD191">
            <v>0.1</v>
          </cell>
          <cell r="AE191">
            <v>0</v>
          </cell>
          <cell r="AF191">
            <v>0.1</v>
          </cell>
          <cell r="AG191">
            <v>0</v>
          </cell>
          <cell r="AH191">
            <v>0.1</v>
          </cell>
          <cell r="AI191">
            <v>0</v>
          </cell>
          <cell r="AJ191">
            <v>0.1</v>
          </cell>
          <cell r="AK191">
            <v>0</v>
          </cell>
          <cell r="AL191">
            <v>-0.1</v>
          </cell>
          <cell r="AM191">
            <v>0</v>
          </cell>
          <cell r="AN191">
            <v>-0.1</v>
          </cell>
          <cell r="AO191">
            <v>0</v>
          </cell>
          <cell r="AP191">
            <v>0</v>
          </cell>
          <cell r="AQ191">
            <v>0</v>
          </cell>
          <cell r="AR191">
            <v>0</v>
          </cell>
          <cell r="AS191">
            <v>0</v>
          </cell>
          <cell r="AT191">
            <v>0.1</v>
          </cell>
          <cell r="AU191">
            <v>-0.1</v>
          </cell>
          <cell r="AV191">
            <v>0</v>
          </cell>
          <cell r="AW191">
            <v>0</v>
          </cell>
          <cell r="AX191">
            <v>0.1</v>
          </cell>
          <cell r="AY191">
            <v>0.1</v>
          </cell>
          <cell r="AZ191">
            <v>0</v>
          </cell>
          <cell r="BA191">
            <v>0</v>
          </cell>
          <cell r="BB191">
            <v>-0.1</v>
          </cell>
          <cell r="BC191">
            <v>0</v>
          </cell>
          <cell r="BD191">
            <v>0</v>
          </cell>
          <cell r="BE191">
            <v>0</v>
          </cell>
          <cell r="BF191">
            <v>0</v>
          </cell>
          <cell r="BG191">
            <v>0</v>
          </cell>
          <cell r="BH191">
            <v>0.1</v>
          </cell>
          <cell r="BI191">
            <v>-0.1</v>
          </cell>
          <cell r="BJ191">
            <v>0.1</v>
          </cell>
          <cell r="BK191">
            <v>0</v>
          </cell>
          <cell r="BL191">
            <v>-0.1</v>
          </cell>
          <cell r="BM191">
            <v>-0.2</v>
          </cell>
          <cell r="BN191">
            <v>0</v>
          </cell>
          <cell r="BO191">
            <v>0</v>
          </cell>
          <cell r="BP191">
            <v>0.1</v>
          </cell>
          <cell r="BQ191">
            <v>0.1</v>
          </cell>
          <cell r="BR191">
            <v>-0.3</v>
          </cell>
          <cell r="BS191">
            <v>0</v>
          </cell>
          <cell r="BT191">
            <v>0</v>
          </cell>
          <cell r="BU191">
            <v>0</v>
          </cell>
          <cell r="BV191">
            <v>0</v>
          </cell>
          <cell r="BW191">
            <v>0.1</v>
          </cell>
          <cell r="BX191">
            <v>0.2</v>
          </cell>
          <cell r="BY191">
            <v>0.1</v>
          </cell>
          <cell r="BZ191">
            <v>0.7</v>
          </cell>
          <cell r="CA191">
            <v>0</v>
          </cell>
          <cell r="CB191">
            <v>0</v>
          </cell>
          <cell r="CC191">
            <v>0</v>
          </cell>
          <cell r="CD191">
            <v>0</v>
          </cell>
          <cell r="CE191">
            <v>0</v>
          </cell>
          <cell r="CF191">
            <v>0</v>
          </cell>
          <cell r="CG191">
            <v>0</v>
          </cell>
          <cell r="CH191">
            <v>0</v>
          </cell>
          <cell r="CI191">
            <v>0</v>
          </cell>
          <cell r="CJ191">
            <v>0</v>
          </cell>
          <cell r="CK191">
            <v>0</v>
          </cell>
          <cell r="CL191">
            <v>0.1</v>
          </cell>
          <cell r="CM191">
            <v>0</v>
          </cell>
          <cell r="CN191">
            <v>0</v>
          </cell>
          <cell r="CO191">
            <v>0</v>
          </cell>
          <cell r="CP191">
            <v>0</v>
          </cell>
          <cell r="CQ191">
            <v>0</v>
          </cell>
          <cell r="CR191">
            <v>0</v>
          </cell>
          <cell r="CS191">
            <v>0</v>
          </cell>
          <cell r="CT191">
            <v>0</v>
          </cell>
          <cell r="CU191">
            <v>0</v>
          </cell>
          <cell r="CV191">
            <v>0</v>
          </cell>
          <cell r="CW191">
            <v>0</v>
          </cell>
        </row>
        <row r="192">
          <cell r="B192">
            <v>3506</v>
          </cell>
          <cell r="C192">
            <v>4035</v>
          </cell>
          <cell r="D192">
            <v>7494</v>
          </cell>
          <cell r="E192">
            <v>13800</v>
          </cell>
          <cell r="F192">
            <v>10650</v>
          </cell>
          <cell r="G192">
            <v>23979</v>
          </cell>
          <cell r="H192">
            <v>1326</v>
          </cell>
          <cell r="I192">
            <v>7197</v>
          </cell>
          <cell r="J192">
            <v>8524</v>
          </cell>
          <cell r="K192">
            <v>2671</v>
          </cell>
          <cell r="L192">
            <v>15521</v>
          </cell>
          <cell r="M192">
            <v>17760</v>
          </cell>
          <cell r="N192">
            <v>10704</v>
          </cell>
          <cell r="O192">
            <v>17480</v>
          </cell>
          <cell r="P192">
            <v>15932</v>
          </cell>
          <cell r="Q192">
            <v>17314</v>
          </cell>
          <cell r="R192">
            <v>2484</v>
          </cell>
          <cell r="S192">
            <v>6437</v>
          </cell>
          <cell r="T192">
            <v>29661</v>
          </cell>
          <cell r="U192">
            <v>290892</v>
          </cell>
          <cell r="V192">
            <v>26540</v>
          </cell>
          <cell r="W192">
            <v>1633</v>
          </cell>
          <cell r="X192">
            <v>318803</v>
          </cell>
          <cell r="Y192">
            <v>0</v>
          </cell>
          <cell r="Z192">
            <v>0</v>
          </cell>
          <cell r="AA192">
            <v>0</v>
          </cell>
          <cell r="AB192">
            <v>0</v>
          </cell>
          <cell r="AC192">
            <v>0</v>
          </cell>
          <cell r="AD192">
            <v>0</v>
          </cell>
          <cell r="AE192">
            <v>0</v>
          </cell>
          <cell r="AF192">
            <v>0</v>
          </cell>
          <cell r="AG192">
            <v>0</v>
          </cell>
          <cell r="AH192">
            <v>0</v>
          </cell>
          <cell r="AI192">
            <v>0</v>
          </cell>
          <cell r="AJ192">
            <v>-0.1</v>
          </cell>
          <cell r="AK192">
            <v>0</v>
          </cell>
          <cell r="AL192">
            <v>0</v>
          </cell>
          <cell r="AM192">
            <v>-0.1</v>
          </cell>
          <cell r="AN192">
            <v>0</v>
          </cell>
          <cell r="AO192">
            <v>0</v>
          </cell>
          <cell r="AP192">
            <v>0</v>
          </cell>
          <cell r="AQ192">
            <v>0</v>
          </cell>
          <cell r="AR192">
            <v>-0.1</v>
          </cell>
          <cell r="AS192">
            <v>0.1</v>
          </cell>
          <cell r="AT192">
            <v>0</v>
          </cell>
          <cell r="AU192">
            <v>0</v>
          </cell>
          <cell r="AV192">
            <v>0.1</v>
          </cell>
          <cell r="AW192">
            <v>0</v>
          </cell>
          <cell r="AX192">
            <v>0</v>
          </cell>
          <cell r="AY192">
            <v>-0.1</v>
          </cell>
          <cell r="AZ192">
            <v>0.1</v>
          </cell>
          <cell r="BA192">
            <v>0</v>
          </cell>
          <cell r="BB192">
            <v>0.1</v>
          </cell>
          <cell r="BC192">
            <v>0</v>
          </cell>
          <cell r="BD192">
            <v>0.1</v>
          </cell>
          <cell r="BE192">
            <v>0</v>
          </cell>
          <cell r="BF192">
            <v>0</v>
          </cell>
          <cell r="BG192">
            <v>0</v>
          </cell>
          <cell r="BH192">
            <v>0.1</v>
          </cell>
          <cell r="BI192">
            <v>0</v>
          </cell>
          <cell r="BJ192">
            <v>0.1</v>
          </cell>
          <cell r="BK192">
            <v>0</v>
          </cell>
          <cell r="BL192">
            <v>-0.1</v>
          </cell>
          <cell r="BM192">
            <v>-0.1</v>
          </cell>
          <cell r="BN192">
            <v>0</v>
          </cell>
          <cell r="BO192">
            <v>0</v>
          </cell>
          <cell r="BP192">
            <v>0</v>
          </cell>
          <cell r="BQ192">
            <v>0</v>
          </cell>
          <cell r="BR192">
            <v>0.4</v>
          </cell>
          <cell r="BS192">
            <v>0</v>
          </cell>
          <cell r="BT192">
            <v>0.1</v>
          </cell>
          <cell r="BU192">
            <v>0</v>
          </cell>
          <cell r="BV192">
            <v>0</v>
          </cell>
          <cell r="BW192">
            <v>0.1</v>
          </cell>
          <cell r="BX192">
            <v>0.7</v>
          </cell>
          <cell r="BY192">
            <v>0</v>
          </cell>
          <cell r="BZ192">
            <v>0.7</v>
          </cell>
          <cell r="CA192">
            <v>0</v>
          </cell>
          <cell r="CB192">
            <v>0</v>
          </cell>
          <cell r="CC192">
            <v>0</v>
          </cell>
          <cell r="CD192">
            <v>0</v>
          </cell>
          <cell r="CE192">
            <v>0</v>
          </cell>
          <cell r="CF192">
            <v>0</v>
          </cell>
          <cell r="CG192">
            <v>0</v>
          </cell>
          <cell r="CH192">
            <v>0</v>
          </cell>
          <cell r="CI192">
            <v>0</v>
          </cell>
          <cell r="CJ192">
            <v>0</v>
          </cell>
          <cell r="CK192">
            <v>0</v>
          </cell>
          <cell r="CL192">
            <v>-0.1</v>
          </cell>
          <cell r="CM192">
            <v>0</v>
          </cell>
          <cell r="CN192">
            <v>0</v>
          </cell>
          <cell r="CO192">
            <v>0</v>
          </cell>
          <cell r="CP192">
            <v>0</v>
          </cell>
          <cell r="CQ192">
            <v>0</v>
          </cell>
          <cell r="CR192">
            <v>0</v>
          </cell>
          <cell r="CS192">
            <v>0</v>
          </cell>
          <cell r="CT192">
            <v>0</v>
          </cell>
          <cell r="CU192">
            <v>0</v>
          </cell>
          <cell r="CV192">
            <v>0</v>
          </cell>
          <cell r="CW192">
            <v>0</v>
          </cell>
        </row>
        <row r="193">
          <cell r="B193">
            <v>3385</v>
          </cell>
          <cell r="C193">
            <v>3433</v>
          </cell>
          <cell r="D193">
            <v>6811</v>
          </cell>
          <cell r="E193">
            <v>13921</v>
          </cell>
          <cell r="F193">
            <v>9852</v>
          </cell>
          <cell r="G193">
            <v>23471</v>
          </cell>
          <cell r="H193">
            <v>1230</v>
          </cell>
          <cell r="I193">
            <v>6984</v>
          </cell>
          <cell r="J193">
            <v>8189</v>
          </cell>
          <cell r="K193">
            <v>2495</v>
          </cell>
          <cell r="L193">
            <v>14238</v>
          </cell>
          <cell r="M193">
            <v>16377</v>
          </cell>
          <cell r="N193">
            <v>9952</v>
          </cell>
          <cell r="O193">
            <v>17414</v>
          </cell>
          <cell r="P193">
            <v>15988</v>
          </cell>
          <cell r="Q193">
            <v>16468</v>
          </cell>
          <cell r="R193">
            <v>2450</v>
          </cell>
          <cell r="S193">
            <v>6090</v>
          </cell>
          <cell r="T193">
            <v>29973</v>
          </cell>
          <cell r="U193">
            <v>272160</v>
          </cell>
          <cell r="V193">
            <v>23936</v>
          </cell>
          <cell r="W193">
            <v>-334</v>
          </cell>
          <cell r="X193">
            <v>295398</v>
          </cell>
          <cell r="Y193">
            <v>0.1</v>
          </cell>
          <cell r="Z193">
            <v>0</v>
          </cell>
          <cell r="AA193">
            <v>0</v>
          </cell>
          <cell r="AB193">
            <v>0</v>
          </cell>
          <cell r="AC193">
            <v>0.1</v>
          </cell>
          <cell r="AD193">
            <v>0.1</v>
          </cell>
          <cell r="AE193">
            <v>0</v>
          </cell>
          <cell r="AF193">
            <v>0.1</v>
          </cell>
          <cell r="AG193">
            <v>0</v>
          </cell>
          <cell r="AH193">
            <v>0.1</v>
          </cell>
          <cell r="AI193">
            <v>0</v>
          </cell>
          <cell r="AJ193">
            <v>-0.1</v>
          </cell>
          <cell r="AK193">
            <v>0</v>
          </cell>
          <cell r="AL193">
            <v>0.1</v>
          </cell>
          <cell r="AM193">
            <v>0</v>
          </cell>
          <cell r="AN193">
            <v>0</v>
          </cell>
          <cell r="AO193">
            <v>0</v>
          </cell>
          <cell r="AP193">
            <v>0</v>
          </cell>
          <cell r="AQ193">
            <v>0</v>
          </cell>
          <cell r="AR193">
            <v>0</v>
          </cell>
          <cell r="AS193">
            <v>0</v>
          </cell>
          <cell r="AT193">
            <v>0.1</v>
          </cell>
          <cell r="AU193">
            <v>0</v>
          </cell>
          <cell r="AV193">
            <v>0.1</v>
          </cell>
          <cell r="AW193">
            <v>0</v>
          </cell>
          <cell r="AX193">
            <v>0</v>
          </cell>
          <cell r="AY193">
            <v>0</v>
          </cell>
          <cell r="AZ193">
            <v>0</v>
          </cell>
          <cell r="BA193">
            <v>0</v>
          </cell>
          <cell r="BB193">
            <v>0</v>
          </cell>
          <cell r="BC193">
            <v>0</v>
          </cell>
          <cell r="BD193">
            <v>0</v>
          </cell>
          <cell r="BE193">
            <v>0</v>
          </cell>
          <cell r="BF193">
            <v>0</v>
          </cell>
          <cell r="BG193">
            <v>0</v>
          </cell>
          <cell r="BH193">
            <v>0.1</v>
          </cell>
          <cell r="BI193">
            <v>0</v>
          </cell>
          <cell r="BJ193">
            <v>0</v>
          </cell>
          <cell r="BK193">
            <v>0</v>
          </cell>
          <cell r="BL193">
            <v>0.1</v>
          </cell>
          <cell r="BM193">
            <v>0.1</v>
          </cell>
          <cell r="BN193">
            <v>0</v>
          </cell>
          <cell r="BO193">
            <v>0.1</v>
          </cell>
          <cell r="BP193">
            <v>0.1</v>
          </cell>
          <cell r="BQ193">
            <v>0.1</v>
          </cell>
          <cell r="BR193">
            <v>0</v>
          </cell>
          <cell r="BS193">
            <v>0</v>
          </cell>
          <cell r="BT193">
            <v>-0.1</v>
          </cell>
          <cell r="BU193">
            <v>0</v>
          </cell>
          <cell r="BV193">
            <v>0</v>
          </cell>
          <cell r="BW193">
            <v>0.1</v>
          </cell>
          <cell r="BX193">
            <v>0.7</v>
          </cell>
          <cell r="BY193">
            <v>0.1</v>
          </cell>
          <cell r="BZ193">
            <v>0.7</v>
          </cell>
          <cell r="CA193">
            <v>0</v>
          </cell>
          <cell r="CB193">
            <v>0</v>
          </cell>
          <cell r="CC193">
            <v>0</v>
          </cell>
          <cell r="CD193">
            <v>0</v>
          </cell>
          <cell r="CE193">
            <v>0</v>
          </cell>
          <cell r="CF193">
            <v>0</v>
          </cell>
          <cell r="CG193">
            <v>0</v>
          </cell>
          <cell r="CH193">
            <v>0</v>
          </cell>
          <cell r="CI193">
            <v>0</v>
          </cell>
          <cell r="CJ193">
            <v>0</v>
          </cell>
          <cell r="CK193">
            <v>0</v>
          </cell>
          <cell r="CL193">
            <v>0.2</v>
          </cell>
          <cell r="CM193">
            <v>0</v>
          </cell>
          <cell r="CN193">
            <v>0</v>
          </cell>
          <cell r="CO193">
            <v>0</v>
          </cell>
          <cell r="CP193">
            <v>0</v>
          </cell>
          <cell r="CQ193">
            <v>0</v>
          </cell>
          <cell r="CR193">
            <v>0</v>
          </cell>
          <cell r="CS193">
            <v>0</v>
          </cell>
          <cell r="CT193">
            <v>0</v>
          </cell>
          <cell r="CU193">
            <v>0</v>
          </cell>
          <cell r="CV193">
            <v>0</v>
          </cell>
          <cell r="CW193">
            <v>0</v>
          </cell>
        </row>
        <row r="194">
          <cell r="B194">
            <v>3535</v>
          </cell>
          <cell r="C194">
            <v>3788</v>
          </cell>
          <cell r="D194">
            <v>7298</v>
          </cell>
          <cell r="E194">
            <v>14046</v>
          </cell>
          <cell r="F194">
            <v>11159</v>
          </cell>
          <cell r="G194">
            <v>24679</v>
          </cell>
          <cell r="H194">
            <v>1418</v>
          </cell>
          <cell r="I194">
            <v>7535</v>
          </cell>
          <cell r="J194">
            <v>8972</v>
          </cell>
          <cell r="K194">
            <v>2681</v>
          </cell>
          <cell r="L194">
            <v>15288</v>
          </cell>
          <cell r="M194">
            <v>17583</v>
          </cell>
          <cell r="N194">
            <v>10973</v>
          </cell>
          <cell r="O194">
            <v>17524</v>
          </cell>
          <cell r="P194">
            <v>16034</v>
          </cell>
          <cell r="Q194">
            <v>17781</v>
          </cell>
          <cell r="R194">
            <v>2447</v>
          </cell>
          <cell r="S194">
            <v>6316</v>
          </cell>
          <cell r="T194">
            <v>30226</v>
          </cell>
          <cell r="U194">
            <v>284218</v>
          </cell>
          <cell r="V194">
            <v>24717</v>
          </cell>
          <cell r="W194">
            <v>-1404</v>
          </cell>
          <cell r="X194">
            <v>307230</v>
          </cell>
          <cell r="Y194">
            <v>0.2</v>
          </cell>
          <cell r="Z194">
            <v>0</v>
          </cell>
          <cell r="AA194">
            <v>0.2</v>
          </cell>
          <cell r="AB194">
            <v>0</v>
          </cell>
          <cell r="AC194">
            <v>0.2</v>
          </cell>
          <cell r="AD194">
            <v>0</v>
          </cell>
          <cell r="AE194">
            <v>-0.1</v>
          </cell>
          <cell r="AF194">
            <v>0.2</v>
          </cell>
          <cell r="AG194">
            <v>0</v>
          </cell>
          <cell r="AH194">
            <v>0.2</v>
          </cell>
          <cell r="AI194">
            <v>0.1</v>
          </cell>
          <cell r="AJ194">
            <v>0</v>
          </cell>
          <cell r="AK194">
            <v>-0.1</v>
          </cell>
          <cell r="AL194">
            <v>0</v>
          </cell>
          <cell r="AM194">
            <v>0</v>
          </cell>
          <cell r="AN194">
            <v>0</v>
          </cell>
          <cell r="AO194">
            <v>0</v>
          </cell>
          <cell r="AP194">
            <v>0</v>
          </cell>
          <cell r="AQ194">
            <v>0</v>
          </cell>
          <cell r="AR194">
            <v>0.1</v>
          </cell>
          <cell r="AS194">
            <v>0.1</v>
          </cell>
          <cell r="AT194">
            <v>0</v>
          </cell>
          <cell r="AU194">
            <v>0.2</v>
          </cell>
          <cell r="AV194">
            <v>0.3</v>
          </cell>
          <cell r="AW194">
            <v>0.1</v>
          </cell>
          <cell r="AX194">
            <v>0</v>
          </cell>
          <cell r="AY194">
            <v>0</v>
          </cell>
          <cell r="AZ194">
            <v>0</v>
          </cell>
          <cell r="BA194">
            <v>0</v>
          </cell>
          <cell r="BB194">
            <v>0</v>
          </cell>
          <cell r="BC194">
            <v>0</v>
          </cell>
          <cell r="BD194">
            <v>0</v>
          </cell>
          <cell r="BE194">
            <v>0</v>
          </cell>
          <cell r="BF194">
            <v>0</v>
          </cell>
          <cell r="BG194">
            <v>0.1</v>
          </cell>
          <cell r="BH194">
            <v>0</v>
          </cell>
          <cell r="BI194">
            <v>0.1</v>
          </cell>
          <cell r="BJ194">
            <v>0.1</v>
          </cell>
          <cell r="BK194">
            <v>0</v>
          </cell>
          <cell r="BL194">
            <v>0.1</v>
          </cell>
          <cell r="BM194">
            <v>0.2</v>
          </cell>
          <cell r="BN194">
            <v>0</v>
          </cell>
          <cell r="BO194">
            <v>0</v>
          </cell>
          <cell r="BP194">
            <v>-0.1</v>
          </cell>
          <cell r="BQ194">
            <v>0.1</v>
          </cell>
          <cell r="BR194">
            <v>0.1</v>
          </cell>
          <cell r="BS194">
            <v>0</v>
          </cell>
          <cell r="BT194">
            <v>0.2</v>
          </cell>
          <cell r="BU194">
            <v>0</v>
          </cell>
          <cell r="BV194">
            <v>0</v>
          </cell>
          <cell r="BW194">
            <v>0.1</v>
          </cell>
          <cell r="BX194">
            <v>1.5</v>
          </cell>
          <cell r="BY194">
            <v>0.1</v>
          </cell>
          <cell r="BZ194">
            <v>0.5</v>
          </cell>
          <cell r="CA194">
            <v>0</v>
          </cell>
          <cell r="CB194">
            <v>0</v>
          </cell>
          <cell r="CC194">
            <v>0</v>
          </cell>
          <cell r="CD194">
            <v>0</v>
          </cell>
          <cell r="CE194">
            <v>0</v>
          </cell>
          <cell r="CF194">
            <v>0</v>
          </cell>
          <cell r="CG194">
            <v>0</v>
          </cell>
          <cell r="CH194">
            <v>0</v>
          </cell>
          <cell r="CI194">
            <v>0</v>
          </cell>
          <cell r="CJ194">
            <v>0</v>
          </cell>
          <cell r="CK194">
            <v>0</v>
          </cell>
          <cell r="CL194">
            <v>-0.2</v>
          </cell>
          <cell r="CM194">
            <v>0</v>
          </cell>
          <cell r="CN194">
            <v>0</v>
          </cell>
          <cell r="CO194">
            <v>0</v>
          </cell>
          <cell r="CP194">
            <v>0</v>
          </cell>
          <cell r="CQ194">
            <v>0</v>
          </cell>
          <cell r="CR194">
            <v>0</v>
          </cell>
          <cell r="CS194">
            <v>0</v>
          </cell>
          <cell r="CT194">
            <v>0</v>
          </cell>
          <cell r="CU194">
            <v>0</v>
          </cell>
          <cell r="CV194">
            <v>0</v>
          </cell>
          <cell r="CW194">
            <v>0</v>
          </cell>
        </row>
        <row r="195">
          <cell r="B195">
            <v>3532</v>
          </cell>
          <cell r="C195">
            <v>4008</v>
          </cell>
          <cell r="D195">
            <v>7495</v>
          </cell>
          <cell r="E195">
            <v>14102</v>
          </cell>
          <cell r="F195">
            <v>10982</v>
          </cell>
          <cell r="G195">
            <v>24581</v>
          </cell>
          <cell r="H195">
            <v>1366</v>
          </cell>
          <cell r="I195">
            <v>7778</v>
          </cell>
          <cell r="J195">
            <v>9122</v>
          </cell>
          <cell r="K195">
            <v>2682</v>
          </cell>
          <cell r="L195">
            <v>15302</v>
          </cell>
          <cell r="M195">
            <v>17590</v>
          </cell>
          <cell r="N195">
            <v>10903</v>
          </cell>
          <cell r="O195">
            <v>17583</v>
          </cell>
          <cell r="P195">
            <v>16066</v>
          </cell>
          <cell r="Q195">
            <v>18509</v>
          </cell>
          <cell r="R195">
            <v>2510</v>
          </cell>
          <cell r="S195">
            <v>6333</v>
          </cell>
          <cell r="T195">
            <v>30416</v>
          </cell>
          <cell r="U195">
            <v>286710</v>
          </cell>
          <cell r="V195">
            <v>25185</v>
          </cell>
          <cell r="W195">
            <v>-766</v>
          </cell>
          <cell r="X195">
            <v>310823</v>
          </cell>
          <cell r="Y195">
            <v>-0.1</v>
          </cell>
          <cell r="Z195">
            <v>0</v>
          </cell>
          <cell r="AA195">
            <v>-0.1</v>
          </cell>
          <cell r="AB195">
            <v>0</v>
          </cell>
          <cell r="AC195">
            <v>0</v>
          </cell>
          <cell r="AD195">
            <v>0</v>
          </cell>
          <cell r="AE195">
            <v>0</v>
          </cell>
          <cell r="AF195">
            <v>-0.1</v>
          </cell>
          <cell r="AG195">
            <v>0</v>
          </cell>
          <cell r="AH195">
            <v>-0.1</v>
          </cell>
          <cell r="AI195">
            <v>-0.1</v>
          </cell>
          <cell r="AJ195">
            <v>0</v>
          </cell>
          <cell r="AK195">
            <v>0</v>
          </cell>
          <cell r="AL195">
            <v>0.1</v>
          </cell>
          <cell r="AM195">
            <v>0</v>
          </cell>
          <cell r="AN195">
            <v>0.1</v>
          </cell>
          <cell r="AO195">
            <v>0</v>
          </cell>
          <cell r="AP195">
            <v>0</v>
          </cell>
          <cell r="AQ195">
            <v>0</v>
          </cell>
          <cell r="AR195">
            <v>-0.1</v>
          </cell>
          <cell r="AS195">
            <v>0</v>
          </cell>
          <cell r="AT195">
            <v>0</v>
          </cell>
          <cell r="AU195">
            <v>0.1</v>
          </cell>
          <cell r="AV195">
            <v>0.1</v>
          </cell>
          <cell r="AW195">
            <v>0</v>
          </cell>
          <cell r="AX195">
            <v>0</v>
          </cell>
          <cell r="AY195">
            <v>0</v>
          </cell>
          <cell r="AZ195">
            <v>0</v>
          </cell>
          <cell r="BA195">
            <v>0</v>
          </cell>
          <cell r="BB195">
            <v>0</v>
          </cell>
          <cell r="BC195">
            <v>0</v>
          </cell>
          <cell r="BD195">
            <v>0</v>
          </cell>
          <cell r="BE195">
            <v>0</v>
          </cell>
          <cell r="BF195">
            <v>0.1</v>
          </cell>
          <cell r="BG195">
            <v>0</v>
          </cell>
          <cell r="BH195">
            <v>0</v>
          </cell>
          <cell r="BI195">
            <v>0.1</v>
          </cell>
          <cell r="BJ195">
            <v>0.1</v>
          </cell>
          <cell r="BK195">
            <v>0</v>
          </cell>
          <cell r="BL195">
            <v>0</v>
          </cell>
          <cell r="BM195">
            <v>0</v>
          </cell>
          <cell r="BN195">
            <v>0</v>
          </cell>
          <cell r="BO195">
            <v>0</v>
          </cell>
          <cell r="BP195">
            <v>0</v>
          </cell>
          <cell r="BQ195">
            <v>0</v>
          </cell>
          <cell r="BR195">
            <v>-0.1</v>
          </cell>
          <cell r="BS195">
            <v>0</v>
          </cell>
          <cell r="BT195">
            <v>0</v>
          </cell>
          <cell r="BU195">
            <v>0</v>
          </cell>
          <cell r="BV195">
            <v>0</v>
          </cell>
          <cell r="BW195">
            <v>0.1</v>
          </cell>
          <cell r="BX195">
            <v>0.1</v>
          </cell>
          <cell r="BY195">
            <v>0</v>
          </cell>
          <cell r="BZ195">
            <v>1</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row>
        <row r="196">
          <cell r="B196">
            <v>3671</v>
          </cell>
          <cell r="C196">
            <v>4258</v>
          </cell>
          <cell r="D196">
            <v>7871</v>
          </cell>
          <cell r="E196">
            <v>14418</v>
          </cell>
          <cell r="F196">
            <v>11012</v>
          </cell>
          <cell r="G196">
            <v>24956</v>
          </cell>
          <cell r="H196">
            <v>1481</v>
          </cell>
          <cell r="I196">
            <v>7894</v>
          </cell>
          <cell r="J196">
            <v>9389</v>
          </cell>
          <cell r="K196">
            <v>2788</v>
          </cell>
          <cell r="L196">
            <v>16014</v>
          </cell>
          <cell r="M196">
            <v>18375</v>
          </cell>
          <cell r="N196">
            <v>11536</v>
          </cell>
          <cell r="O196">
            <v>17153</v>
          </cell>
          <cell r="P196">
            <v>16113</v>
          </cell>
          <cell r="Q196">
            <v>18005</v>
          </cell>
          <cell r="R196">
            <v>2543</v>
          </cell>
          <cell r="S196">
            <v>6368</v>
          </cell>
          <cell r="T196">
            <v>30595</v>
          </cell>
          <cell r="U196">
            <v>299533</v>
          </cell>
          <cell r="V196">
            <v>27339</v>
          </cell>
          <cell r="W196">
            <v>2372</v>
          </cell>
          <cell r="X196">
            <v>328874</v>
          </cell>
          <cell r="Y196">
            <v>0.2</v>
          </cell>
          <cell r="Z196">
            <v>0</v>
          </cell>
          <cell r="AA196">
            <v>0.2</v>
          </cell>
          <cell r="AB196">
            <v>0</v>
          </cell>
          <cell r="AC196">
            <v>0</v>
          </cell>
          <cell r="AD196">
            <v>0</v>
          </cell>
          <cell r="AE196">
            <v>0</v>
          </cell>
          <cell r="AF196">
            <v>0.1</v>
          </cell>
          <cell r="AG196">
            <v>0</v>
          </cell>
          <cell r="AH196">
            <v>0.1</v>
          </cell>
          <cell r="AI196">
            <v>0</v>
          </cell>
          <cell r="AJ196">
            <v>-0.1</v>
          </cell>
          <cell r="AK196">
            <v>0</v>
          </cell>
          <cell r="AL196">
            <v>0</v>
          </cell>
          <cell r="AM196">
            <v>0</v>
          </cell>
          <cell r="AN196">
            <v>-0.2</v>
          </cell>
          <cell r="AO196">
            <v>0.1</v>
          </cell>
          <cell r="AP196">
            <v>0</v>
          </cell>
          <cell r="AQ196">
            <v>0</v>
          </cell>
          <cell r="AR196">
            <v>0.1</v>
          </cell>
          <cell r="AS196">
            <v>-0.1</v>
          </cell>
          <cell r="AT196">
            <v>0</v>
          </cell>
          <cell r="AU196">
            <v>0.1</v>
          </cell>
          <cell r="AV196">
            <v>0.1</v>
          </cell>
          <cell r="AW196">
            <v>0</v>
          </cell>
          <cell r="AX196">
            <v>0</v>
          </cell>
          <cell r="AY196">
            <v>0</v>
          </cell>
          <cell r="AZ196">
            <v>0</v>
          </cell>
          <cell r="BA196">
            <v>0</v>
          </cell>
          <cell r="BB196">
            <v>0</v>
          </cell>
          <cell r="BC196">
            <v>0</v>
          </cell>
          <cell r="BD196">
            <v>0</v>
          </cell>
          <cell r="BE196">
            <v>0</v>
          </cell>
          <cell r="BF196">
            <v>0</v>
          </cell>
          <cell r="BG196">
            <v>0</v>
          </cell>
          <cell r="BH196">
            <v>0.1</v>
          </cell>
          <cell r="BI196">
            <v>0</v>
          </cell>
          <cell r="BJ196">
            <v>0.1</v>
          </cell>
          <cell r="BK196">
            <v>0</v>
          </cell>
          <cell r="BL196">
            <v>0</v>
          </cell>
          <cell r="BM196">
            <v>0</v>
          </cell>
          <cell r="BN196">
            <v>0</v>
          </cell>
          <cell r="BO196">
            <v>0.1</v>
          </cell>
          <cell r="BP196">
            <v>0.1</v>
          </cell>
          <cell r="BQ196">
            <v>0.1</v>
          </cell>
          <cell r="BR196">
            <v>0</v>
          </cell>
          <cell r="BS196">
            <v>0</v>
          </cell>
          <cell r="BT196">
            <v>0.1</v>
          </cell>
          <cell r="BU196">
            <v>0</v>
          </cell>
          <cell r="BV196">
            <v>0</v>
          </cell>
          <cell r="BW196">
            <v>0.1</v>
          </cell>
          <cell r="BX196">
            <v>0.6</v>
          </cell>
          <cell r="BY196">
            <v>0.1</v>
          </cell>
          <cell r="BZ196">
            <v>1</v>
          </cell>
          <cell r="CA196">
            <v>0</v>
          </cell>
          <cell r="CB196">
            <v>0</v>
          </cell>
          <cell r="CC196">
            <v>0</v>
          </cell>
          <cell r="CD196">
            <v>0</v>
          </cell>
          <cell r="CE196">
            <v>0</v>
          </cell>
          <cell r="CF196">
            <v>0</v>
          </cell>
          <cell r="CG196">
            <v>0</v>
          </cell>
          <cell r="CH196">
            <v>0</v>
          </cell>
          <cell r="CI196">
            <v>0</v>
          </cell>
          <cell r="CJ196">
            <v>0</v>
          </cell>
          <cell r="CK196">
            <v>0</v>
          </cell>
          <cell r="CL196">
            <v>-0.2</v>
          </cell>
          <cell r="CM196">
            <v>0</v>
          </cell>
          <cell r="CN196">
            <v>0</v>
          </cell>
          <cell r="CO196">
            <v>0</v>
          </cell>
          <cell r="CP196">
            <v>0</v>
          </cell>
          <cell r="CQ196">
            <v>0</v>
          </cell>
          <cell r="CR196">
            <v>0</v>
          </cell>
          <cell r="CS196">
            <v>0</v>
          </cell>
          <cell r="CT196">
            <v>0</v>
          </cell>
          <cell r="CU196">
            <v>0</v>
          </cell>
          <cell r="CV196">
            <v>0</v>
          </cell>
          <cell r="CW196">
            <v>0.1</v>
          </cell>
        </row>
        <row r="197">
          <cell r="B197">
            <v>3580</v>
          </cell>
          <cell r="C197">
            <v>3598</v>
          </cell>
          <cell r="D197">
            <v>7180</v>
          </cell>
          <cell r="E197">
            <v>14850</v>
          </cell>
          <cell r="F197">
            <v>10305</v>
          </cell>
          <cell r="G197">
            <v>24841</v>
          </cell>
          <cell r="H197">
            <v>1269</v>
          </cell>
          <cell r="I197">
            <v>7248</v>
          </cell>
          <cell r="J197">
            <v>8490</v>
          </cell>
          <cell r="K197">
            <v>2542</v>
          </cell>
          <cell r="L197">
            <v>14928</v>
          </cell>
          <cell r="M197">
            <v>17042</v>
          </cell>
          <cell r="N197">
            <v>10596</v>
          </cell>
          <cell r="O197">
            <v>17475</v>
          </cell>
          <cell r="P197">
            <v>16182</v>
          </cell>
          <cell r="Q197">
            <v>17675</v>
          </cell>
          <cell r="R197">
            <v>2417</v>
          </cell>
          <cell r="S197">
            <v>6074</v>
          </cell>
          <cell r="T197">
            <v>30739</v>
          </cell>
          <cell r="U197">
            <v>280308</v>
          </cell>
          <cell r="V197">
            <v>24539</v>
          </cell>
          <cell r="W197">
            <v>-1610</v>
          </cell>
          <cell r="X197">
            <v>302927</v>
          </cell>
          <cell r="Y197">
            <v>-0.1</v>
          </cell>
          <cell r="Z197">
            <v>0</v>
          </cell>
          <cell r="AA197">
            <v>-0.1</v>
          </cell>
          <cell r="AB197">
            <v>0</v>
          </cell>
          <cell r="AC197">
            <v>-0.1</v>
          </cell>
          <cell r="AD197">
            <v>0</v>
          </cell>
          <cell r="AE197">
            <v>0</v>
          </cell>
          <cell r="AF197">
            <v>-0.2</v>
          </cell>
          <cell r="AG197">
            <v>0</v>
          </cell>
          <cell r="AH197">
            <v>-0.2</v>
          </cell>
          <cell r="AI197">
            <v>0</v>
          </cell>
          <cell r="AJ197">
            <v>0</v>
          </cell>
          <cell r="AK197">
            <v>0.1</v>
          </cell>
          <cell r="AL197">
            <v>-0.1</v>
          </cell>
          <cell r="AM197">
            <v>0</v>
          </cell>
          <cell r="AN197">
            <v>0</v>
          </cell>
          <cell r="AO197">
            <v>0</v>
          </cell>
          <cell r="AP197">
            <v>0</v>
          </cell>
          <cell r="AQ197">
            <v>0</v>
          </cell>
          <cell r="AR197">
            <v>0</v>
          </cell>
          <cell r="AS197">
            <v>0</v>
          </cell>
          <cell r="AT197">
            <v>0</v>
          </cell>
          <cell r="AU197">
            <v>0.2</v>
          </cell>
          <cell r="AV197">
            <v>0.2</v>
          </cell>
          <cell r="AW197">
            <v>0</v>
          </cell>
          <cell r="AX197">
            <v>0.1</v>
          </cell>
          <cell r="AY197">
            <v>0</v>
          </cell>
          <cell r="AZ197">
            <v>0</v>
          </cell>
          <cell r="BA197">
            <v>0</v>
          </cell>
          <cell r="BB197">
            <v>0.1</v>
          </cell>
          <cell r="BC197">
            <v>0</v>
          </cell>
          <cell r="BD197">
            <v>0.1</v>
          </cell>
          <cell r="BE197">
            <v>0</v>
          </cell>
          <cell r="BF197">
            <v>0</v>
          </cell>
          <cell r="BG197">
            <v>0</v>
          </cell>
          <cell r="BH197">
            <v>0.1</v>
          </cell>
          <cell r="BI197">
            <v>0</v>
          </cell>
          <cell r="BJ197">
            <v>0.2</v>
          </cell>
          <cell r="BK197">
            <v>0</v>
          </cell>
          <cell r="BL197">
            <v>0</v>
          </cell>
          <cell r="BM197">
            <v>-0.1</v>
          </cell>
          <cell r="BN197">
            <v>0</v>
          </cell>
          <cell r="BO197">
            <v>0.2</v>
          </cell>
          <cell r="BP197">
            <v>0.2</v>
          </cell>
          <cell r="BQ197">
            <v>0.1</v>
          </cell>
          <cell r="BR197">
            <v>-0.1</v>
          </cell>
          <cell r="BS197">
            <v>0</v>
          </cell>
          <cell r="BT197">
            <v>0.1</v>
          </cell>
          <cell r="BU197">
            <v>0</v>
          </cell>
          <cell r="BV197">
            <v>0</v>
          </cell>
          <cell r="BW197">
            <v>0</v>
          </cell>
          <cell r="BX197">
            <v>0.4</v>
          </cell>
          <cell r="BY197">
            <v>0</v>
          </cell>
          <cell r="BZ197">
            <v>0.3</v>
          </cell>
          <cell r="CA197">
            <v>0</v>
          </cell>
          <cell r="CB197">
            <v>0</v>
          </cell>
          <cell r="CC197">
            <v>0</v>
          </cell>
          <cell r="CD197">
            <v>0</v>
          </cell>
          <cell r="CE197">
            <v>0</v>
          </cell>
          <cell r="CF197">
            <v>0</v>
          </cell>
          <cell r="CG197">
            <v>0</v>
          </cell>
          <cell r="CH197">
            <v>0</v>
          </cell>
          <cell r="CI197">
            <v>0</v>
          </cell>
          <cell r="CJ197">
            <v>0</v>
          </cell>
          <cell r="CK197">
            <v>0</v>
          </cell>
          <cell r="CL197">
            <v>0.4</v>
          </cell>
          <cell r="CM197">
            <v>0</v>
          </cell>
          <cell r="CN197">
            <v>0</v>
          </cell>
          <cell r="CO197">
            <v>0</v>
          </cell>
          <cell r="CP197">
            <v>0</v>
          </cell>
          <cell r="CQ197">
            <v>0</v>
          </cell>
          <cell r="CR197">
            <v>0</v>
          </cell>
          <cell r="CS197">
            <v>0</v>
          </cell>
          <cell r="CT197">
            <v>0</v>
          </cell>
          <cell r="CU197">
            <v>0</v>
          </cell>
          <cell r="CV197">
            <v>0</v>
          </cell>
          <cell r="CW197">
            <v>0</v>
          </cell>
        </row>
        <row r="198">
          <cell r="B198">
            <v>3592</v>
          </cell>
          <cell r="C198">
            <v>3888</v>
          </cell>
          <cell r="D198">
            <v>7454</v>
          </cell>
          <cell r="E198">
            <v>15445</v>
          </cell>
          <cell r="F198">
            <v>10825</v>
          </cell>
          <cell r="G198">
            <v>25934</v>
          </cell>
          <cell r="H198">
            <v>1375</v>
          </cell>
          <cell r="I198">
            <v>7366</v>
          </cell>
          <cell r="J198">
            <v>8746</v>
          </cell>
          <cell r="K198">
            <v>2763</v>
          </cell>
          <cell r="L198">
            <v>16508</v>
          </cell>
          <cell r="M198">
            <v>18775</v>
          </cell>
          <cell r="N198">
            <v>11610</v>
          </cell>
          <cell r="O198">
            <v>17966</v>
          </cell>
          <cell r="P198">
            <v>16274</v>
          </cell>
          <cell r="Q198">
            <v>18219</v>
          </cell>
          <cell r="R198">
            <v>2527</v>
          </cell>
          <cell r="S198">
            <v>6317</v>
          </cell>
          <cell r="T198">
            <v>30849</v>
          </cell>
          <cell r="U198">
            <v>290374</v>
          </cell>
          <cell r="V198">
            <v>25125</v>
          </cell>
          <cell r="W198">
            <v>4</v>
          </cell>
          <cell r="X198">
            <v>315195</v>
          </cell>
          <cell r="Y198">
            <v>-0.1</v>
          </cell>
          <cell r="Z198">
            <v>0</v>
          </cell>
          <cell r="AA198">
            <v>-0.1</v>
          </cell>
          <cell r="AB198">
            <v>0</v>
          </cell>
          <cell r="AC198">
            <v>0</v>
          </cell>
          <cell r="AD198">
            <v>0</v>
          </cell>
          <cell r="AE198">
            <v>0</v>
          </cell>
          <cell r="AF198">
            <v>0.1</v>
          </cell>
          <cell r="AG198">
            <v>0</v>
          </cell>
          <cell r="AH198">
            <v>0.1</v>
          </cell>
          <cell r="AI198">
            <v>0</v>
          </cell>
          <cell r="AJ198">
            <v>0</v>
          </cell>
          <cell r="AK198">
            <v>0.1</v>
          </cell>
          <cell r="AL198">
            <v>0</v>
          </cell>
          <cell r="AM198">
            <v>0</v>
          </cell>
          <cell r="AN198">
            <v>0.1</v>
          </cell>
          <cell r="AO198">
            <v>0</v>
          </cell>
          <cell r="AP198">
            <v>0</v>
          </cell>
          <cell r="AQ198">
            <v>0</v>
          </cell>
          <cell r="AR198">
            <v>0</v>
          </cell>
          <cell r="AS198">
            <v>0.1</v>
          </cell>
          <cell r="AT198">
            <v>0.1</v>
          </cell>
          <cell r="AU198">
            <v>-0.1</v>
          </cell>
          <cell r="AV198">
            <v>0.1</v>
          </cell>
          <cell r="AW198">
            <v>-0.1</v>
          </cell>
          <cell r="AX198">
            <v>0.1</v>
          </cell>
          <cell r="AY198">
            <v>0</v>
          </cell>
          <cell r="AZ198">
            <v>0</v>
          </cell>
          <cell r="BA198">
            <v>0</v>
          </cell>
          <cell r="BB198">
            <v>0</v>
          </cell>
          <cell r="BC198">
            <v>0</v>
          </cell>
          <cell r="BD198">
            <v>0.1</v>
          </cell>
          <cell r="BE198">
            <v>0</v>
          </cell>
          <cell r="BF198">
            <v>0</v>
          </cell>
          <cell r="BG198">
            <v>0</v>
          </cell>
          <cell r="BH198">
            <v>0.2</v>
          </cell>
          <cell r="BI198">
            <v>-0.2</v>
          </cell>
          <cell r="BJ198">
            <v>0.1</v>
          </cell>
          <cell r="BK198">
            <v>0</v>
          </cell>
          <cell r="BL198">
            <v>0</v>
          </cell>
          <cell r="BM198">
            <v>0</v>
          </cell>
          <cell r="BN198">
            <v>0</v>
          </cell>
          <cell r="BO198">
            <v>0.1</v>
          </cell>
          <cell r="BP198">
            <v>0.1</v>
          </cell>
          <cell r="BQ198">
            <v>0</v>
          </cell>
          <cell r="BR198">
            <v>0.2</v>
          </cell>
          <cell r="BS198">
            <v>0</v>
          </cell>
          <cell r="BT198">
            <v>0</v>
          </cell>
          <cell r="BU198">
            <v>0</v>
          </cell>
          <cell r="BV198">
            <v>0</v>
          </cell>
          <cell r="BW198">
            <v>0</v>
          </cell>
          <cell r="BX198">
            <v>0.7</v>
          </cell>
          <cell r="BY198">
            <v>0</v>
          </cell>
          <cell r="BZ198">
            <v>0.2</v>
          </cell>
          <cell r="CA198">
            <v>0</v>
          </cell>
          <cell r="CB198">
            <v>0</v>
          </cell>
          <cell r="CC198">
            <v>0</v>
          </cell>
          <cell r="CD198">
            <v>0</v>
          </cell>
          <cell r="CE198">
            <v>0</v>
          </cell>
          <cell r="CF198">
            <v>0</v>
          </cell>
          <cell r="CG198">
            <v>0</v>
          </cell>
          <cell r="CH198">
            <v>0</v>
          </cell>
          <cell r="CI198">
            <v>0</v>
          </cell>
          <cell r="CJ198">
            <v>0</v>
          </cell>
          <cell r="CK198">
            <v>0</v>
          </cell>
          <cell r="CL198">
            <v>-0.3</v>
          </cell>
          <cell r="CM198">
            <v>0</v>
          </cell>
          <cell r="CN198">
            <v>0</v>
          </cell>
          <cell r="CO198">
            <v>0</v>
          </cell>
          <cell r="CP198">
            <v>0</v>
          </cell>
          <cell r="CQ198">
            <v>0</v>
          </cell>
          <cell r="CR198">
            <v>0</v>
          </cell>
          <cell r="CS198">
            <v>0</v>
          </cell>
          <cell r="CT198">
            <v>0</v>
          </cell>
          <cell r="CU198">
            <v>0</v>
          </cell>
          <cell r="CV198">
            <v>0</v>
          </cell>
          <cell r="CW198">
            <v>0</v>
          </cell>
        </row>
        <row r="199">
          <cell r="B199">
            <v>3669</v>
          </cell>
          <cell r="C199">
            <v>3960</v>
          </cell>
          <cell r="D199">
            <v>7604</v>
          </cell>
          <cell r="E199">
            <v>16276</v>
          </cell>
          <cell r="F199">
            <v>10384</v>
          </cell>
          <cell r="G199">
            <v>26458</v>
          </cell>
          <cell r="H199">
            <v>1278</v>
          </cell>
          <cell r="I199">
            <v>7148</v>
          </cell>
          <cell r="J199">
            <v>8415</v>
          </cell>
          <cell r="K199">
            <v>2605</v>
          </cell>
          <cell r="L199">
            <v>16568</v>
          </cell>
          <cell r="M199">
            <v>18592</v>
          </cell>
          <cell r="N199">
            <v>11487</v>
          </cell>
          <cell r="O199">
            <v>19262</v>
          </cell>
          <cell r="P199">
            <v>16377</v>
          </cell>
          <cell r="Q199">
            <v>19397</v>
          </cell>
          <cell r="R199">
            <v>2576</v>
          </cell>
          <cell r="S199">
            <v>6132</v>
          </cell>
          <cell r="T199">
            <v>30936</v>
          </cell>
          <cell r="U199">
            <v>297104</v>
          </cell>
          <cell r="V199">
            <v>25825</v>
          </cell>
          <cell r="W199">
            <v>-1719</v>
          </cell>
          <cell r="X199">
            <v>320897</v>
          </cell>
          <cell r="Y199">
            <v>-0.2</v>
          </cell>
          <cell r="Z199">
            <v>0</v>
          </cell>
          <cell r="AA199">
            <v>-0.3</v>
          </cell>
          <cell r="AB199">
            <v>0</v>
          </cell>
          <cell r="AC199">
            <v>0.2</v>
          </cell>
          <cell r="AD199">
            <v>0</v>
          </cell>
          <cell r="AE199">
            <v>0</v>
          </cell>
          <cell r="AF199">
            <v>0.3</v>
          </cell>
          <cell r="AG199">
            <v>0</v>
          </cell>
          <cell r="AH199">
            <v>0.4</v>
          </cell>
          <cell r="AI199">
            <v>0.1</v>
          </cell>
          <cell r="AJ199">
            <v>-0.2</v>
          </cell>
          <cell r="AK199">
            <v>0</v>
          </cell>
          <cell r="AL199">
            <v>0</v>
          </cell>
          <cell r="AM199">
            <v>0</v>
          </cell>
          <cell r="AN199">
            <v>0</v>
          </cell>
          <cell r="AO199">
            <v>0</v>
          </cell>
          <cell r="AP199">
            <v>0</v>
          </cell>
          <cell r="AQ199">
            <v>0</v>
          </cell>
          <cell r="AR199">
            <v>0</v>
          </cell>
          <cell r="AS199">
            <v>0</v>
          </cell>
          <cell r="AT199">
            <v>-0.1</v>
          </cell>
          <cell r="AU199">
            <v>-0.1</v>
          </cell>
          <cell r="AV199">
            <v>-0.2</v>
          </cell>
          <cell r="AW199">
            <v>0.1</v>
          </cell>
          <cell r="AX199">
            <v>0.1</v>
          </cell>
          <cell r="AY199">
            <v>0</v>
          </cell>
          <cell r="AZ199">
            <v>0.1</v>
          </cell>
          <cell r="BA199">
            <v>0</v>
          </cell>
          <cell r="BB199">
            <v>-0.1</v>
          </cell>
          <cell r="BC199">
            <v>0</v>
          </cell>
          <cell r="BD199">
            <v>0</v>
          </cell>
          <cell r="BE199">
            <v>0</v>
          </cell>
          <cell r="BF199">
            <v>0</v>
          </cell>
          <cell r="BG199">
            <v>0</v>
          </cell>
          <cell r="BH199">
            <v>0.3</v>
          </cell>
          <cell r="BI199">
            <v>0</v>
          </cell>
          <cell r="BJ199">
            <v>0.3</v>
          </cell>
          <cell r="BK199">
            <v>0</v>
          </cell>
          <cell r="BL199">
            <v>-0.1</v>
          </cell>
          <cell r="BM199">
            <v>-0.1</v>
          </cell>
          <cell r="BN199">
            <v>0</v>
          </cell>
          <cell r="BO199">
            <v>0</v>
          </cell>
          <cell r="BP199">
            <v>-0.1</v>
          </cell>
          <cell r="BQ199">
            <v>0</v>
          </cell>
          <cell r="BR199">
            <v>0.3</v>
          </cell>
          <cell r="BS199">
            <v>0</v>
          </cell>
          <cell r="BT199">
            <v>0.1</v>
          </cell>
          <cell r="BU199">
            <v>0</v>
          </cell>
          <cell r="BV199">
            <v>0</v>
          </cell>
          <cell r="BW199">
            <v>0</v>
          </cell>
          <cell r="BX199">
            <v>0.9</v>
          </cell>
          <cell r="BY199">
            <v>0.1</v>
          </cell>
          <cell r="BZ199">
            <v>1.4</v>
          </cell>
          <cell r="CA199">
            <v>-0.1</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row>
        <row r="200">
          <cell r="B200">
            <v>3819</v>
          </cell>
          <cell r="C200">
            <v>4384</v>
          </cell>
          <cell r="D200">
            <v>8157</v>
          </cell>
          <cell r="E200">
            <v>16999</v>
          </cell>
          <cell r="F200">
            <v>10785</v>
          </cell>
          <cell r="G200">
            <v>27599</v>
          </cell>
          <cell r="H200">
            <v>1350</v>
          </cell>
          <cell r="I200">
            <v>7777</v>
          </cell>
          <cell r="J200">
            <v>9104</v>
          </cell>
          <cell r="K200">
            <v>2699</v>
          </cell>
          <cell r="L200">
            <v>17156</v>
          </cell>
          <cell r="M200">
            <v>19260</v>
          </cell>
          <cell r="N200">
            <v>11963</v>
          </cell>
          <cell r="O200">
            <v>17724</v>
          </cell>
          <cell r="P200">
            <v>16478</v>
          </cell>
          <cell r="Q200">
            <v>19135</v>
          </cell>
          <cell r="R200">
            <v>2727</v>
          </cell>
          <cell r="S200">
            <v>6611</v>
          </cell>
          <cell r="T200">
            <v>31030</v>
          </cell>
          <cell r="U200">
            <v>309507</v>
          </cell>
          <cell r="V200">
            <v>28260</v>
          </cell>
          <cell r="W200">
            <v>488</v>
          </cell>
          <cell r="X200">
            <v>337903</v>
          </cell>
          <cell r="Y200">
            <v>-0.2</v>
          </cell>
          <cell r="Z200">
            <v>0</v>
          </cell>
          <cell r="AA200">
            <v>-0.2</v>
          </cell>
          <cell r="AB200">
            <v>0</v>
          </cell>
          <cell r="AC200">
            <v>-0.1</v>
          </cell>
          <cell r="AD200">
            <v>0</v>
          </cell>
          <cell r="AE200">
            <v>0</v>
          </cell>
          <cell r="AF200">
            <v>0</v>
          </cell>
          <cell r="AG200">
            <v>0</v>
          </cell>
          <cell r="AH200">
            <v>0</v>
          </cell>
          <cell r="AI200">
            <v>-0.1</v>
          </cell>
          <cell r="AJ200">
            <v>0.2</v>
          </cell>
          <cell r="AK200">
            <v>0.1</v>
          </cell>
          <cell r="AL200">
            <v>0.1</v>
          </cell>
          <cell r="AM200">
            <v>0</v>
          </cell>
          <cell r="AN200">
            <v>0.2</v>
          </cell>
          <cell r="AO200">
            <v>0</v>
          </cell>
          <cell r="AP200">
            <v>0</v>
          </cell>
          <cell r="AQ200">
            <v>0</v>
          </cell>
          <cell r="AR200">
            <v>0</v>
          </cell>
          <cell r="AS200">
            <v>0.1</v>
          </cell>
          <cell r="AT200">
            <v>0.1</v>
          </cell>
          <cell r="AU200">
            <v>0.2</v>
          </cell>
          <cell r="AV200">
            <v>0.4</v>
          </cell>
          <cell r="AW200">
            <v>0.1</v>
          </cell>
          <cell r="AX200">
            <v>0.1</v>
          </cell>
          <cell r="AY200">
            <v>0</v>
          </cell>
          <cell r="AZ200">
            <v>0.1</v>
          </cell>
          <cell r="BA200">
            <v>0</v>
          </cell>
          <cell r="BB200">
            <v>0</v>
          </cell>
          <cell r="BC200">
            <v>0</v>
          </cell>
          <cell r="BD200">
            <v>0.2</v>
          </cell>
          <cell r="BE200">
            <v>0</v>
          </cell>
          <cell r="BF200">
            <v>0.1</v>
          </cell>
          <cell r="BG200">
            <v>0.1</v>
          </cell>
          <cell r="BH200">
            <v>0.2</v>
          </cell>
          <cell r="BI200">
            <v>0.1</v>
          </cell>
          <cell r="BJ200">
            <v>0.3</v>
          </cell>
          <cell r="BK200">
            <v>0</v>
          </cell>
          <cell r="BL200">
            <v>0</v>
          </cell>
          <cell r="BM200">
            <v>0</v>
          </cell>
          <cell r="BN200">
            <v>0</v>
          </cell>
          <cell r="BO200">
            <v>0.1</v>
          </cell>
          <cell r="BP200">
            <v>0.1</v>
          </cell>
          <cell r="BQ200">
            <v>0</v>
          </cell>
          <cell r="BR200">
            <v>-0.3</v>
          </cell>
          <cell r="BS200">
            <v>0</v>
          </cell>
          <cell r="BT200">
            <v>0</v>
          </cell>
          <cell r="BU200">
            <v>0</v>
          </cell>
          <cell r="BV200">
            <v>0.1</v>
          </cell>
          <cell r="BW200">
            <v>0</v>
          </cell>
          <cell r="BX200">
            <v>1.3</v>
          </cell>
          <cell r="BY200">
            <v>0.1</v>
          </cell>
          <cell r="BZ200">
            <v>1.2</v>
          </cell>
          <cell r="CA200">
            <v>0</v>
          </cell>
          <cell r="CB200">
            <v>0</v>
          </cell>
          <cell r="CC200">
            <v>0</v>
          </cell>
          <cell r="CD200">
            <v>0</v>
          </cell>
          <cell r="CE200">
            <v>0</v>
          </cell>
          <cell r="CF200">
            <v>0</v>
          </cell>
          <cell r="CG200">
            <v>0</v>
          </cell>
          <cell r="CH200">
            <v>0</v>
          </cell>
          <cell r="CI200">
            <v>0</v>
          </cell>
          <cell r="CJ200">
            <v>0</v>
          </cell>
          <cell r="CK200">
            <v>0</v>
          </cell>
          <cell r="CL200">
            <v>-0.3</v>
          </cell>
          <cell r="CM200">
            <v>0</v>
          </cell>
          <cell r="CN200">
            <v>0</v>
          </cell>
          <cell r="CO200">
            <v>0</v>
          </cell>
          <cell r="CP200">
            <v>0</v>
          </cell>
          <cell r="CQ200">
            <v>0</v>
          </cell>
          <cell r="CR200">
            <v>0</v>
          </cell>
          <cell r="CS200">
            <v>0</v>
          </cell>
          <cell r="CT200">
            <v>0</v>
          </cell>
          <cell r="CU200">
            <v>0</v>
          </cell>
          <cell r="CV200">
            <v>0</v>
          </cell>
          <cell r="CW200">
            <v>0</v>
          </cell>
        </row>
        <row r="201">
          <cell r="B201">
            <v>3736</v>
          </cell>
          <cell r="C201">
            <v>4288</v>
          </cell>
          <cell r="D201">
            <v>7980</v>
          </cell>
          <cell r="E201">
            <v>17532</v>
          </cell>
          <cell r="F201">
            <v>10116</v>
          </cell>
          <cell r="G201">
            <v>27557</v>
          </cell>
          <cell r="H201">
            <v>1336</v>
          </cell>
          <cell r="I201">
            <v>6745</v>
          </cell>
          <cell r="J201">
            <v>8103</v>
          </cell>
          <cell r="K201">
            <v>2422</v>
          </cell>
          <cell r="L201">
            <v>14996</v>
          </cell>
          <cell r="M201">
            <v>16938</v>
          </cell>
          <cell r="N201">
            <v>10988</v>
          </cell>
          <cell r="O201">
            <v>18387</v>
          </cell>
          <cell r="P201">
            <v>16584</v>
          </cell>
          <cell r="Q201">
            <v>17922</v>
          </cell>
          <cell r="R201">
            <v>2707</v>
          </cell>
          <cell r="S201">
            <v>6562</v>
          </cell>
          <cell r="T201">
            <v>31136</v>
          </cell>
          <cell r="U201">
            <v>292294</v>
          </cell>
          <cell r="V201">
            <v>25470</v>
          </cell>
          <cell r="W201">
            <v>-1795</v>
          </cell>
          <cell r="X201">
            <v>315642</v>
          </cell>
          <cell r="Y201">
            <v>0</v>
          </cell>
          <cell r="Z201">
            <v>0</v>
          </cell>
          <cell r="AA201">
            <v>0.1</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-0.1</v>
          </cell>
          <cell r="AS201">
            <v>0</v>
          </cell>
          <cell r="AT201">
            <v>0.1</v>
          </cell>
          <cell r="AU201">
            <v>0.1</v>
          </cell>
          <cell r="AV201">
            <v>0.2</v>
          </cell>
          <cell r="AW201">
            <v>0</v>
          </cell>
          <cell r="AX201">
            <v>0.1</v>
          </cell>
          <cell r="AY201">
            <v>0</v>
          </cell>
          <cell r="AZ201">
            <v>0</v>
          </cell>
          <cell r="BA201">
            <v>0</v>
          </cell>
          <cell r="BB201">
            <v>0</v>
          </cell>
          <cell r="BC201">
            <v>0.1</v>
          </cell>
          <cell r="BD201">
            <v>0.1</v>
          </cell>
          <cell r="BE201">
            <v>0</v>
          </cell>
          <cell r="BF201">
            <v>0.1</v>
          </cell>
          <cell r="BG201">
            <v>0.1</v>
          </cell>
          <cell r="BH201">
            <v>0.2</v>
          </cell>
          <cell r="BI201">
            <v>0</v>
          </cell>
          <cell r="BJ201">
            <v>0.2</v>
          </cell>
          <cell r="BK201">
            <v>0</v>
          </cell>
          <cell r="BL201">
            <v>0</v>
          </cell>
          <cell r="BM201">
            <v>0.1</v>
          </cell>
          <cell r="BN201">
            <v>0</v>
          </cell>
          <cell r="BO201">
            <v>-0.1</v>
          </cell>
          <cell r="BP201">
            <v>-0.1</v>
          </cell>
          <cell r="BQ201">
            <v>0.1</v>
          </cell>
          <cell r="BR201">
            <v>0</v>
          </cell>
          <cell r="BS201">
            <v>0</v>
          </cell>
          <cell r="BT201">
            <v>0.1</v>
          </cell>
          <cell r="BU201">
            <v>0</v>
          </cell>
          <cell r="BV201">
            <v>0.1</v>
          </cell>
          <cell r="BW201">
            <v>0</v>
          </cell>
          <cell r="BX201">
            <v>1.2</v>
          </cell>
          <cell r="BY201">
            <v>0.1</v>
          </cell>
          <cell r="BZ201">
            <v>1.5</v>
          </cell>
          <cell r="CA201">
            <v>0</v>
          </cell>
          <cell r="CB201">
            <v>0</v>
          </cell>
          <cell r="CC201">
            <v>0</v>
          </cell>
          <cell r="CD201">
            <v>0</v>
          </cell>
          <cell r="CE201">
            <v>0</v>
          </cell>
          <cell r="CF201">
            <v>0</v>
          </cell>
          <cell r="CG201">
            <v>0</v>
          </cell>
          <cell r="CH201">
            <v>0</v>
          </cell>
          <cell r="CI201">
            <v>0</v>
          </cell>
          <cell r="CJ201">
            <v>0</v>
          </cell>
          <cell r="CK201">
            <v>0</v>
          </cell>
          <cell r="CL201">
            <v>0.5</v>
          </cell>
          <cell r="CM201">
            <v>0</v>
          </cell>
          <cell r="CN201">
            <v>0</v>
          </cell>
          <cell r="CO201">
            <v>0</v>
          </cell>
          <cell r="CP201">
            <v>0</v>
          </cell>
          <cell r="CQ201">
            <v>0</v>
          </cell>
          <cell r="CR201">
            <v>0</v>
          </cell>
          <cell r="CS201">
            <v>0</v>
          </cell>
          <cell r="CT201">
            <v>0</v>
          </cell>
          <cell r="CU201">
            <v>0.1</v>
          </cell>
          <cell r="CV201">
            <v>0</v>
          </cell>
          <cell r="CW201">
            <v>0</v>
          </cell>
        </row>
        <row r="202">
          <cell r="B202">
            <v>3814</v>
          </cell>
          <cell r="C202">
            <v>4472</v>
          </cell>
          <cell r="D202">
            <v>8232</v>
          </cell>
          <cell r="E202">
            <v>17942</v>
          </cell>
          <cell r="F202">
            <v>11228</v>
          </cell>
          <cell r="G202">
            <v>29020</v>
          </cell>
          <cell r="H202">
            <v>1266</v>
          </cell>
          <cell r="I202">
            <v>7299</v>
          </cell>
          <cell r="J202">
            <v>8541</v>
          </cell>
          <cell r="K202">
            <v>2749</v>
          </cell>
          <cell r="L202">
            <v>17430</v>
          </cell>
          <cell r="M202">
            <v>19585</v>
          </cell>
          <cell r="N202">
            <v>12149</v>
          </cell>
          <cell r="O202">
            <v>18180</v>
          </cell>
          <cell r="P202">
            <v>16696</v>
          </cell>
          <cell r="Q202">
            <v>18938</v>
          </cell>
          <cell r="R202">
            <v>2754</v>
          </cell>
          <cell r="S202">
            <v>6350</v>
          </cell>
          <cell r="T202">
            <v>31257</v>
          </cell>
          <cell r="U202">
            <v>302487</v>
          </cell>
          <cell r="V202">
            <v>25708</v>
          </cell>
          <cell r="W202">
            <v>3026</v>
          </cell>
          <cell r="X202">
            <v>330890</v>
          </cell>
          <cell r="Y202">
            <v>0</v>
          </cell>
          <cell r="Z202">
            <v>0</v>
          </cell>
          <cell r="AA202">
            <v>0</v>
          </cell>
          <cell r="AB202">
            <v>0</v>
          </cell>
          <cell r="AC202">
            <v>0</v>
          </cell>
          <cell r="AD202">
            <v>0</v>
          </cell>
          <cell r="AE202">
            <v>0</v>
          </cell>
          <cell r="AF202">
            <v>0</v>
          </cell>
          <cell r="AG202">
            <v>0</v>
          </cell>
          <cell r="AH202">
            <v>0.1</v>
          </cell>
          <cell r="AI202">
            <v>-0.1</v>
          </cell>
          <cell r="AJ202">
            <v>0</v>
          </cell>
          <cell r="AK202">
            <v>-0.1</v>
          </cell>
          <cell r="AL202">
            <v>0</v>
          </cell>
          <cell r="AM202">
            <v>0.1</v>
          </cell>
          <cell r="AN202">
            <v>-0.1</v>
          </cell>
          <cell r="AO202">
            <v>0</v>
          </cell>
          <cell r="AP202">
            <v>0</v>
          </cell>
          <cell r="AQ202">
            <v>0</v>
          </cell>
          <cell r="AR202">
            <v>0</v>
          </cell>
          <cell r="AS202">
            <v>-0.1</v>
          </cell>
          <cell r="AT202">
            <v>0</v>
          </cell>
          <cell r="AU202">
            <v>-0.1</v>
          </cell>
          <cell r="AV202">
            <v>-0.2</v>
          </cell>
          <cell r="AW202">
            <v>0</v>
          </cell>
          <cell r="AX202">
            <v>0</v>
          </cell>
          <cell r="AY202">
            <v>0</v>
          </cell>
          <cell r="AZ202">
            <v>0</v>
          </cell>
          <cell r="BA202">
            <v>0</v>
          </cell>
          <cell r="BB202">
            <v>0</v>
          </cell>
          <cell r="BC202">
            <v>0</v>
          </cell>
          <cell r="BD202">
            <v>0</v>
          </cell>
          <cell r="BE202">
            <v>0</v>
          </cell>
          <cell r="BF202">
            <v>0</v>
          </cell>
          <cell r="BG202">
            <v>0</v>
          </cell>
          <cell r="BH202">
            <v>0.1</v>
          </cell>
          <cell r="BI202">
            <v>0</v>
          </cell>
          <cell r="BJ202">
            <v>0.2</v>
          </cell>
          <cell r="BK202">
            <v>0</v>
          </cell>
          <cell r="BL202">
            <v>0</v>
          </cell>
          <cell r="BM202">
            <v>-0.1</v>
          </cell>
          <cell r="BN202">
            <v>0</v>
          </cell>
          <cell r="BO202">
            <v>0.3</v>
          </cell>
          <cell r="BP202">
            <v>0.3</v>
          </cell>
          <cell r="BQ202">
            <v>0</v>
          </cell>
          <cell r="BR202">
            <v>0</v>
          </cell>
          <cell r="BS202">
            <v>0</v>
          </cell>
          <cell r="BT202">
            <v>0.1</v>
          </cell>
          <cell r="BU202">
            <v>0</v>
          </cell>
          <cell r="BV202">
            <v>-0.2</v>
          </cell>
          <cell r="BW202">
            <v>0</v>
          </cell>
          <cell r="BX202">
            <v>0.3</v>
          </cell>
          <cell r="BY202">
            <v>-0.1</v>
          </cell>
          <cell r="BZ202">
            <v>0.6</v>
          </cell>
          <cell r="CA202">
            <v>0</v>
          </cell>
          <cell r="CB202">
            <v>0</v>
          </cell>
          <cell r="CC202">
            <v>0</v>
          </cell>
          <cell r="CD202">
            <v>0</v>
          </cell>
          <cell r="CE202">
            <v>0</v>
          </cell>
          <cell r="CF202">
            <v>0</v>
          </cell>
          <cell r="CG202">
            <v>0</v>
          </cell>
          <cell r="CH202">
            <v>0</v>
          </cell>
          <cell r="CI202">
            <v>0</v>
          </cell>
          <cell r="CJ202">
            <v>0</v>
          </cell>
          <cell r="CK202">
            <v>0</v>
          </cell>
          <cell r="CL202">
            <v>-0.3</v>
          </cell>
          <cell r="CM202">
            <v>0</v>
          </cell>
          <cell r="CN202">
            <v>0</v>
          </cell>
          <cell r="CO202">
            <v>0</v>
          </cell>
          <cell r="CP202">
            <v>0</v>
          </cell>
          <cell r="CQ202">
            <v>0</v>
          </cell>
          <cell r="CR202">
            <v>0</v>
          </cell>
          <cell r="CS202">
            <v>0</v>
          </cell>
          <cell r="CT202">
            <v>0</v>
          </cell>
          <cell r="CU202">
            <v>0</v>
          </cell>
          <cell r="CV202">
            <v>0</v>
          </cell>
          <cell r="CW202">
            <v>0</v>
          </cell>
        </row>
        <row r="203">
          <cell r="B203">
            <v>3890</v>
          </cell>
          <cell r="C203">
            <v>4292</v>
          </cell>
          <cell r="D203">
            <v>8139</v>
          </cell>
          <cell r="E203">
            <v>18378</v>
          </cell>
          <cell r="F203">
            <v>10848</v>
          </cell>
          <cell r="G203">
            <v>29111</v>
          </cell>
          <cell r="H203">
            <v>1228</v>
          </cell>
          <cell r="I203">
            <v>6925</v>
          </cell>
          <cell r="J203">
            <v>8135</v>
          </cell>
          <cell r="K203">
            <v>2699</v>
          </cell>
          <cell r="L203">
            <v>17726</v>
          </cell>
          <cell r="M203">
            <v>19764</v>
          </cell>
          <cell r="N203">
            <v>12315</v>
          </cell>
          <cell r="O203">
            <v>18288</v>
          </cell>
          <cell r="P203">
            <v>16796</v>
          </cell>
          <cell r="Q203">
            <v>19475</v>
          </cell>
          <cell r="R203">
            <v>2682</v>
          </cell>
          <cell r="S203">
            <v>6853</v>
          </cell>
          <cell r="T203">
            <v>31373</v>
          </cell>
          <cell r="U203">
            <v>308179</v>
          </cell>
          <cell r="V203">
            <v>26469</v>
          </cell>
          <cell r="W203">
            <v>149</v>
          </cell>
          <cell r="X203">
            <v>334467</v>
          </cell>
          <cell r="Y203">
            <v>0</v>
          </cell>
          <cell r="Z203">
            <v>0</v>
          </cell>
          <cell r="AA203">
            <v>0.1</v>
          </cell>
          <cell r="AB203">
            <v>0.1</v>
          </cell>
          <cell r="AC203">
            <v>0</v>
          </cell>
          <cell r="AD203">
            <v>0</v>
          </cell>
          <cell r="AE203">
            <v>-0.1</v>
          </cell>
          <cell r="AF203">
            <v>0</v>
          </cell>
          <cell r="AG203">
            <v>0</v>
          </cell>
          <cell r="AH203">
            <v>0</v>
          </cell>
          <cell r="AI203">
            <v>0.1</v>
          </cell>
          <cell r="AJ203">
            <v>-0.1</v>
          </cell>
          <cell r="AK203">
            <v>0.1</v>
          </cell>
          <cell r="AL203">
            <v>0</v>
          </cell>
          <cell r="AM203">
            <v>0</v>
          </cell>
          <cell r="AN203">
            <v>0.1</v>
          </cell>
          <cell r="AO203">
            <v>0.1</v>
          </cell>
          <cell r="AP203">
            <v>0</v>
          </cell>
          <cell r="AQ203">
            <v>0</v>
          </cell>
          <cell r="AR203">
            <v>0.1</v>
          </cell>
          <cell r="AS203">
            <v>0.1</v>
          </cell>
          <cell r="AT203">
            <v>0</v>
          </cell>
          <cell r="AU203">
            <v>0.2</v>
          </cell>
          <cell r="AV203">
            <v>0.3</v>
          </cell>
          <cell r="AW203">
            <v>0</v>
          </cell>
          <cell r="AX203">
            <v>0.1</v>
          </cell>
          <cell r="AY203">
            <v>0</v>
          </cell>
          <cell r="AZ203">
            <v>0</v>
          </cell>
          <cell r="BA203">
            <v>0</v>
          </cell>
          <cell r="BB203">
            <v>0</v>
          </cell>
          <cell r="BC203">
            <v>0</v>
          </cell>
          <cell r="BD203">
            <v>0</v>
          </cell>
          <cell r="BE203">
            <v>0</v>
          </cell>
          <cell r="BF203">
            <v>0</v>
          </cell>
          <cell r="BG203">
            <v>0</v>
          </cell>
          <cell r="BH203">
            <v>0.1</v>
          </cell>
          <cell r="BI203">
            <v>0</v>
          </cell>
          <cell r="BJ203">
            <v>0.1</v>
          </cell>
          <cell r="BK203">
            <v>0</v>
          </cell>
          <cell r="BL203">
            <v>0</v>
          </cell>
          <cell r="BM203">
            <v>-0.1</v>
          </cell>
          <cell r="BN203">
            <v>0</v>
          </cell>
          <cell r="BO203">
            <v>0</v>
          </cell>
          <cell r="BP203">
            <v>0</v>
          </cell>
          <cell r="BQ203">
            <v>0.1</v>
          </cell>
          <cell r="BR203">
            <v>0.1</v>
          </cell>
          <cell r="BS203">
            <v>0</v>
          </cell>
          <cell r="BT203">
            <v>0.1</v>
          </cell>
          <cell r="BU203">
            <v>0</v>
          </cell>
          <cell r="BV203">
            <v>0.2</v>
          </cell>
          <cell r="BW203">
            <v>0</v>
          </cell>
          <cell r="BX203">
            <v>1.2</v>
          </cell>
          <cell r="BY203">
            <v>0.1</v>
          </cell>
          <cell r="BZ203">
            <v>1.1000000000000001</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row>
        <row r="204">
          <cell r="B204">
            <v>3937</v>
          </cell>
          <cell r="C204">
            <v>5023</v>
          </cell>
          <cell r="D204">
            <v>8894</v>
          </cell>
          <cell r="E204">
            <v>18835</v>
          </cell>
          <cell r="F204">
            <v>10679</v>
          </cell>
          <cell r="G204">
            <v>29432</v>
          </cell>
          <cell r="H204">
            <v>1189</v>
          </cell>
          <cell r="I204">
            <v>7951</v>
          </cell>
          <cell r="J204">
            <v>9084</v>
          </cell>
          <cell r="K204">
            <v>2774</v>
          </cell>
          <cell r="L204">
            <v>17462</v>
          </cell>
          <cell r="M204">
            <v>19648</v>
          </cell>
          <cell r="N204">
            <v>12779</v>
          </cell>
          <cell r="O204">
            <v>18532</v>
          </cell>
          <cell r="P204">
            <v>16888</v>
          </cell>
          <cell r="Q204">
            <v>19669</v>
          </cell>
          <cell r="R204">
            <v>2711</v>
          </cell>
          <cell r="S204">
            <v>6615</v>
          </cell>
          <cell r="T204">
            <v>31539</v>
          </cell>
          <cell r="U204">
            <v>322446</v>
          </cell>
          <cell r="V204">
            <v>28630</v>
          </cell>
          <cell r="W204">
            <v>1211</v>
          </cell>
          <cell r="X204">
            <v>351900</v>
          </cell>
          <cell r="Y204">
            <v>0</v>
          </cell>
          <cell r="Z204">
            <v>0</v>
          </cell>
          <cell r="AA204">
            <v>0</v>
          </cell>
          <cell r="AB204">
            <v>-0.1</v>
          </cell>
          <cell r="AC204">
            <v>0</v>
          </cell>
          <cell r="AD204">
            <v>0.1</v>
          </cell>
          <cell r="AE204">
            <v>0</v>
          </cell>
          <cell r="AF204">
            <v>0</v>
          </cell>
          <cell r="AG204">
            <v>0</v>
          </cell>
          <cell r="AH204">
            <v>0</v>
          </cell>
          <cell r="AI204">
            <v>0</v>
          </cell>
          <cell r="AJ204">
            <v>0</v>
          </cell>
          <cell r="AK204">
            <v>0.1</v>
          </cell>
          <cell r="AL204">
            <v>0</v>
          </cell>
          <cell r="AM204">
            <v>-0.1</v>
          </cell>
          <cell r="AN204">
            <v>0.1</v>
          </cell>
          <cell r="AO204">
            <v>0</v>
          </cell>
          <cell r="AP204">
            <v>0</v>
          </cell>
          <cell r="AQ204">
            <v>0</v>
          </cell>
          <cell r="AR204">
            <v>0</v>
          </cell>
          <cell r="AS204">
            <v>0</v>
          </cell>
          <cell r="AT204">
            <v>0</v>
          </cell>
          <cell r="AU204">
            <v>0</v>
          </cell>
          <cell r="AV204">
            <v>-0.1</v>
          </cell>
          <cell r="AW204">
            <v>0.1</v>
          </cell>
          <cell r="AX204">
            <v>0.1</v>
          </cell>
          <cell r="AY204">
            <v>0</v>
          </cell>
          <cell r="AZ204">
            <v>0</v>
          </cell>
          <cell r="BA204">
            <v>0</v>
          </cell>
          <cell r="BB204">
            <v>0</v>
          </cell>
          <cell r="BC204">
            <v>0.1</v>
          </cell>
          <cell r="BD204">
            <v>0.1</v>
          </cell>
          <cell r="BE204">
            <v>0</v>
          </cell>
          <cell r="BF204">
            <v>0.1</v>
          </cell>
          <cell r="BG204">
            <v>0.1</v>
          </cell>
          <cell r="BH204">
            <v>0.1</v>
          </cell>
          <cell r="BI204">
            <v>-0.1</v>
          </cell>
          <cell r="BJ204">
            <v>0</v>
          </cell>
          <cell r="BK204">
            <v>0</v>
          </cell>
          <cell r="BL204">
            <v>0.1</v>
          </cell>
          <cell r="BM204">
            <v>0.1</v>
          </cell>
          <cell r="BN204">
            <v>0</v>
          </cell>
          <cell r="BO204">
            <v>-0.2</v>
          </cell>
          <cell r="BP204">
            <v>-0.1</v>
          </cell>
          <cell r="BQ204">
            <v>0</v>
          </cell>
          <cell r="BR204">
            <v>0</v>
          </cell>
          <cell r="BS204">
            <v>0</v>
          </cell>
          <cell r="BT204">
            <v>0.1</v>
          </cell>
          <cell r="BU204">
            <v>0</v>
          </cell>
          <cell r="BV204">
            <v>-0.1</v>
          </cell>
          <cell r="BW204">
            <v>0</v>
          </cell>
          <cell r="BX204">
            <v>0.4</v>
          </cell>
          <cell r="BY204">
            <v>0.1</v>
          </cell>
          <cell r="BZ204">
            <v>0.5</v>
          </cell>
          <cell r="CA204">
            <v>0</v>
          </cell>
          <cell r="CB204">
            <v>0</v>
          </cell>
          <cell r="CC204">
            <v>0</v>
          </cell>
          <cell r="CD204">
            <v>0</v>
          </cell>
          <cell r="CE204">
            <v>0</v>
          </cell>
          <cell r="CF204">
            <v>0</v>
          </cell>
          <cell r="CG204">
            <v>0</v>
          </cell>
          <cell r="CH204">
            <v>0</v>
          </cell>
          <cell r="CI204">
            <v>0</v>
          </cell>
          <cell r="CJ204">
            <v>0</v>
          </cell>
          <cell r="CK204">
            <v>0</v>
          </cell>
          <cell r="CL204">
            <v>-0.2</v>
          </cell>
          <cell r="CM204">
            <v>0</v>
          </cell>
          <cell r="CN204">
            <v>0</v>
          </cell>
          <cell r="CO204">
            <v>0</v>
          </cell>
          <cell r="CP204">
            <v>0</v>
          </cell>
          <cell r="CQ204">
            <v>0</v>
          </cell>
          <cell r="CR204">
            <v>0</v>
          </cell>
          <cell r="CS204">
            <v>0</v>
          </cell>
          <cell r="CT204">
            <v>0</v>
          </cell>
          <cell r="CU204">
            <v>0</v>
          </cell>
          <cell r="CV204">
            <v>0</v>
          </cell>
          <cell r="CW204">
            <v>0</v>
          </cell>
        </row>
        <row r="205">
          <cell r="B205">
            <v>3953</v>
          </cell>
          <cell r="C205">
            <v>4324</v>
          </cell>
          <cell r="D205">
            <v>8241</v>
          </cell>
          <cell r="E205">
            <v>19089</v>
          </cell>
          <cell r="F205">
            <v>9395</v>
          </cell>
          <cell r="G205">
            <v>28493</v>
          </cell>
          <cell r="H205">
            <v>1218</v>
          </cell>
          <cell r="I205">
            <v>6170</v>
          </cell>
          <cell r="J205">
            <v>7397</v>
          </cell>
          <cell r="K205">
            <v>2649</v>
          </cell>
          <cell r="L205">
            <v>15450</v>
          </cell>
          <cell r="M205">
            <v>17685</v>
          </cell>
          <cell r="N205">
            <v>11833</v>
          </cell>
          <cell r="O205">
            <v>18747</v>
          </cell>
          <cell r="P205">
            <v>16978</v>
          </cell>
          <cell r="Q205">
            <v>19600</v>
          </cell>
          <cell r="R205">
            <v>2752</v>
          </cell>
          <cell r="S205">
            <v>6134</v>
          </cell>
          <cell r="T205">
            <v>31741</v>
          </cell>
          <cell r="U205">
            <v>302233</v>
          </cell>
          <cell r="V205">
            <v>25687</v>
          </cell>
          <cell r="W205">
            <v>-2097</v>
          </cell>
          <cell r="X205">
            <v>325516</v>
          </cell>
          <cell r="Y205">
            <v>0.3</v>
          </cell>
          <cell r="Z205">
            <v>0</v>
          </cell>
          <cell r="AA205">
            <v>0.3</v>
          </cell>
          <cell r="AB205">
            <v>0</v>
          </cell>
          <cell r="AC205">
            <v>0</v>
          </cell>
          <cell r="AD205">
            <v>0</v>
          </cell>
          <cell r="AE205">
            <v>0</v>
          </cell>
          <cell r="AF205">
            <v>0.1</v>
          </cell>
          <cell r="AG205">
            <v>0</v>
          </cell>
          <cell r="AH205">
            <v>0.1</v>
          </cell>
          <cell r="AI205">
            <v>0</v>
          </cell>
          <cell r="AJ205">
            <v>0</v>
          </cell>
          <cell r="AK205">
            <v>0.1</v>
          </cell>
          <cell r="AL205">
            <v>0.1</v>
          </cell>
          <cell r="AM205">
            <v>0</v>
          </cell>
          <cell r="AN205">
            <v>0.3</v>
          </cell>
          <cell r="AO205">
            <v>0</v>
          </cell>
          <cell r="AP205">
            <v>0</v>
          </cell>
          <cell r="AQ205">
            <v>0</v>
          </cell>
          <cell r="AR205">
            <v>0</v>
          </cell>
          <cell r="AS205">
            <v>0</v>
          </cell>
          <cell r="AT205">
            <v>0.2</v>
          </cell>
          <cell r="AU205">
            <v>0.1</v>
          </cell>
          <cell r="AV205">
            <v>0.3</v>
          </cell>
          <cell r="AW205">
            <v>0</v>
          </cell>
          <cell r="AX205">
            <v>0</v>
          </cell>
          <cell r="AY205">
            <v>0</v>
          </cell>
          <cell r="AZ205">
            <v>0</v>
          </cell>
          <cell r="BA205">
            <v>0</v>
          </cell>
          <cell r="BB205">
            <v>0</v>
          </cell>
          <cell r="BC205">
            <v>0</v>
          </cell>
          <cell r="BD205">
            <v>0.1</v>
          </cell>
          <cell r="BE205">
            <v>0</v>
          </cell>
          <cell r="BF205">
            <v>0</v>
          </cell>
          <cell r="BG205">
            <v>0</v>
          </cell>
          <cell r="BH205">
            <v>0.1</v>
          </cell>
          <cell r="BI205">
            <v>-0.1</v>
          </cell>
          <cell r="BJ205">
            <v>0</v>
          </cell>
          <cell r="BK205">
            <v>0.1</v>
          </cell>
          <cell r="BL205">
            <v>-0.2</v>
          </cell>
          <cell r="BM205">
            <v>-0.1</v>
          </cell>
          <cell r="BN205">
            <v>0</v>
          </cell>
          <cell r="BO205">
            <v>0</v>
          </cell>
          <cell r="BP205">
            <v>0.1</v>
          </cell>
          <cell r="BQ205">
            <v>0.1</v>
          </cell>
          <cell r="BR205">
            <v>0.1</v>
          </cell>
          <cell r="BS205">
            <v>0</v>
          </cell>
          <cell r="BT205">
            <v>0.1</v>
          </cell>
          <cell r="BU205">
            <v>0</v>
          </cell>
          <cell r="BV205">
            <v>-0.1</v>
          </cell>
          <cell r="BW205">
            <v>0.1</v>
          </cell>
          <cell r="BX205">
            <v>1.2</v>
          </cell>
          <cell r="BY205">
            <v>0</v>
          </cell>
          <cell r="BZ205">
            <v>1.2</v>
          </cell>
          <cell r="CA205">
            <v>0</v>
          </cell>
          <cell r="CB205">
            <v>0</v>
          </cell>
          <cell r="CC205">
            <v>0</v>
          </cell>
          <cell r="CD205">
            <v>0</v>
          </cell>
          <cell r="CE205">
            <v>0</v>
          </cell>
          <cell r="CF205">
            <v>0</v>
          </cell>
          <cell r="CG205">
            <v>0</v>
          </cell>
          <cell r="CH205">
            <v>0</v>
          </cell>
          <cell r="CI205">
            <v>0</v>
          </cell>
          <cell r="CJ205">
            <v>0</v>
          </cell>
          <cell r="CK205">
            <v>0</v>
          </cell>
          <cell r="CL205">
            <v>0.4</v>
          </cell>
          <cell r="CM205">
            <v>0</v>
          </cell>
          <cell r="CN205">
            <v>0</v>
          </cell>
          <cell r="CO205">
            <v>0</v>
          </cell>
          <cell r="CP205">
            <v>0</v>
          </cell>
          <cell r="CQ205">
            <v>0</v>
          </cell>
          <cell r="CR205">
            <v>0</v>
          </cell>
          <cell r="CS205">
            <v>0</v>
          </cell>
          <cell r="CT205">
            <v>0</v>
          </cell>
          <cell r="CU205">
            <v>0</v>
          </cell>
          <cell r="CV205">
            <v>0</v>
          </cell>
          <cell r="CW205">
            <v>0</v>
          </cell>
        </row>
        <row r="206">
          <cell r="B206">
            <v>3989</v>
          </cell>
          <cell r="C206">
            <v>4704</v>
          </cell>
          <cell r="D206">
            <v>8646</v>
          </cell>
          <cell r="E206">
            <v>19433</v>
          </cell>
          <cell r="F206">
            <v>9877</v>
          </cell>
          <cell r="G206">
            <v>29318</v>
          </cell>
          <cell r="H206">
            <v>1352</v>
          </cell>
          <cell r="I206">
            <v>7070</v>
          </cell>
          <cell r="J206">
            <v>8428</v>
          </cell>
          <cell r="K206">
            <v>2943</v>
          </cell>
          <cell r="L206">
            <v>17426</v>
          </cell>
          <cell r="M206">
            <v>19879</v>
          </cell>
          <cell r="N206">
            <v>12827</v>
          </cell>
          <cell r="O206">
            <v>18326</v>
          </cell>
          <cell r="P206">
            <v>17065</v>
          </cell>
          <cell r="Q206">
            <v>20390</v>
          </cell>
          <cell r="R206">
            <v>2842</v>
          </cell>
          <cell r="S206">
            <v>6580</v>
          </cell>
          <cell r="T206">
            <v>31983</v>
          </cell>
          <cell r="U206">
            <v>314770</v>
          </cell>
          <cell r="V206">
            <v>25952</v>
          </cell>
          <cell r="W206">
            <v>736</v>
          </cell>
          <cell r="X206">
            <v>341195</v>
          </cell>
          <cell r="Y206">
            <v>0.1</v>
          </cell>
          <cell r="Z206">
            <v>0</v>
          </cell>
          <cell r="AA206">
            <v>0.1</v>
          </cell>
          <cell r="AB206">
            <v>0</v>
          </cell>
          <cell r="AC206">
            <v>0</v>
          </cell>
          <cell r="AD206">
            <v>0</v>
          </cell>
          <cell r="AE206">
            <v>0</v>
          </cell>
          <cell r="AF206">
            <v>0</v>
          </cell>
          <cell r="AG206">
            <v>0</v>
          </cell>
          <cell r="AH206">
            <v>0</v>
          </cell>
          <cell r="AI206">
            <v>0</v>
          </cell>
          <cell r="AJ206">
            <v>0</v>
          </cell>
          <cell r="AK206">
            <v>0</v>
          </cell>
          <cell r="AL206">
            <v>0.1</v>
          </cell>
          <cell r="AM206">
            <v>0</v>
          </cell>
          <cell r="AN206">
            <v>0.1</v>
          </cell>
          <cell r="AO206">
            <v>0</v>
          </cell>
          <cell r="AP206">
            <v>0</v>
          </cell>
          <cell r="AQ206">
            <v>0</v>
          </cell>
          <cell r="AR206">
            <v>0</v>
          </cell>
          <cell r="AS206">
            <v>0.1</v>
          </cell>
          <cell r="AT206">
            <v>-0.2</v>
          </cell>
          <cell r="AU206">
            <v>0.3</v>
          </cell>
          <cell r="AV206">
            <v>0.3</v>
          </cell>
          <cell r="AW206">
            <v>0.1</v>
          </cell>
          <cell r="AX206">
            <v>0</v>
          </cell>
          <cell r="AY206">
            <v>-0.1</v>
          </cell>
          <cell r="AZ206">
            <v>0</v>
          </cell>
          <cell r="BA206">
            <v>0</v>
          </cell>
          <cell r="BB206">
            <v>0</v>
          </cell>
          <cell r="BC206">
            <v>0.2</v>
          </cell>
          <cell r="BD206">
            <v>0.2</v>
          </cell>
          <cell r="BE206">
            <v>0</v>
          </cell>
          <cell r="BF206">
            <v>0</v>
          </cell>
          <cell r="BG206">
            <v>0</v>
          </cell>
          <cell r="BH206">
            <v>0.1</v>
          </cell>
          <cell r="BI206">
            <v>-0.1</v>
          </cell>
          <cell r="BJ206">
            <v>0</v>
          </cell>
          <cell r="BK206">
            <v>0</v>
          </cell>
          <cell r="BL206">
            <v>0.1</v>
          </cell>
          <cell r="BM206">
            <v>0.1</v>
          </cell>
          <cell r="BN206">
            <v>0</v>
          </cell>
          <cell r="BO206">
            <v>0.1</v>
          </cell>
          <cell r="BP206">
            <v>0.1</v>
          </cell>
          <cell r="BQ206">
            <v>0.1</v>
          </cell>
          <cell r="BR206">
            <v>-0.1</v>
          </cell>
          <cell r="BS206">
            <v>0</v>
          </cell>
          <cell r="BT206">
            <v>0.1</v>
          </cell>
          <cell r="BU206">
            <v>0</v>
          </cell>
          <cell r="BV206">
            <v>0</v>
          </cell>
          <cell r="BW206">
            <v>0.1</v>
          </cell>
          <cell r="BX206">
            <v>1.1000000000000001</v>
          </cell>
          <cell r="BY206">
            <v>-0.1</v>
          </cell>
          <cell r="BZ206">
            <v>0.2</v>
          </cell>
          <cell r="CA206">
            <v>0</v>
          </cell>
          <cell r="CB206">
            <v>0</v>
          </cell>
          <cell r="CC206">
            <v>0</v>
          </cell>
          <cell r="CD206">
            <v>0</v>
          </cell>
          <cell r="CE206">
            <v>0</v>
          </cell>
          <cell r="CF206">
            <v>0</v>
          </cell>
          <cell r="CG206">
            <v>0</v>
          </cell>
          <cell r="CH206">
            <v>0</v>
          </cell>
          <cell r="CI206">
            <v>0</v>
          </cell>
          <cell r="CJ206">
            <v>0</v>
          </cell>
          <cell r="CK206">
            <v>0</v>
          </cell>
          <cell r="CL206">
            <v>-0.3</v>
          </cell>
          <cell r="CM206">
            <v>0</v>
          </cell>
          <cell r="CN206">
            <v>0</v>
          </cell>
          <cell r="CO206">
            <v>0</v>
          </cell>
          <cell r="CP206">
            <v>0</v>
          </cell>
          <cell r="CQ206">
            <v>0</v>
          </cell>
          <cell r="CR206">
            <v>0</v>
          </cell>
          <cell r="CS206">
            <v>0</v>
          </cell>
          <cell r="CT206">
            <v>0</v>
          </cell>
          <cell r="CU206">
            <v>0</v>
          </cell>
          <cell r="CV206">
            <v>0</v>
          </cell>
          <cell r="CW206">
            <v>0</v>
          </cell>
        </row>
        <row r="207">
          <cell r="B207">
            <v>4028</v>
          </cell>
          <cell r="C207">
            <v>4487</v>
          </cell>
          <cell r="D207">
            <v>8469</v>
          </cell>
          <cell r="E207">
            <v>19998</v>
          </cell>
          <cell r="F207">
            <v>9354</v>
          </cell>
          <cell r="G207">
            <v>29382</v>
          </cell>
          <cell r="H207">
            <v>1485</v>
          </cell>
          <cell r="I207">
            <v>7109</v>
          </cell>
          <cell r="J207">
            <v>8673</v>
          </cell>
          <cell r="K207">
            <v>2731</v>
          </cell>
          <cell r="L207">
            <v>18470</v>
          </cell>
          <cell r="M207">
            <v>20498</v>
          </cell>
          <cell r="N207">
            <v>12734</v>
          </cell>
          <cell r="O207">
            <v>19143</v>
          </cell>
          <cell r="P207">
            <v>17242</v>
          </cell>
          <cell r="Q207">
            <v>20833</v>
          </cell>
          <cell r="R207">
            <v>3107</v>
          </cell>
          <cell r="S207">
            <v>6666</v>
          </cell>
          <cell r="T207">
            <v>32271</v>
          </cell>
          <cell r="U207">
            <v>318939</v>
          </cell>
          <cell r="V207">
            <v>26317</v>
          </cell>
          <cell r="W207">
            <v>-2620</v>
          </cell>
          <cell r="X207">
            <v>342348</v>
          </cell>
          <cell r="Y207">
            <v>0.2</v>
          </cell>
          <cell r="Z207">
            <v>0</v>
          </cell>
          <cell r="AA207">
            <v>0.2</v>
          </cell>
          <cell r="AB207">
            <v>0</v>
          </cell>
          <cell r="AC207">
            <v>0</v>
          </cell>
          <cell r="AD207">
            <v>0.1</v>
          </cell>
          <cell r="AE207">
            <v>0</v>
          </cell>
          <cell r="AF207">
            <v>0.1</v>
          </cell>
          <cell r="AG207">
            <v>0</v>
          </cell>
          <cell r="AH207">
            <v>0.1</v>
          </cell>
          <cell r="AI207">
            <v>0</v>
          </cell>
          <cell r="AJ207">
            <v>0</v>
          </cell>
          <cell r="AK207">
            <v>0</v>
          </cell>
          <cell r="AL207">
            <v>-0.1</v>
          </cell>
          <cell r="AM207">
            <v>-0.1</v>
          </cell>
          <cell r="AN207">
            <v>-0.2</v>
          </cell>
          <cell r="AO207">
            <v>0.1</v>
          </cell>
          <cell r="AP207">
            <v>0</v>
          </cell>
          <cell r="AQ207">
            <v>0</v>
          </cell>
          <cell r="AR207">
            <v>0.1</v>
          </cell>
          <cell r="AS207">
            <v>0</v>
          </cell>
          <cell r="AT207">
            <v>0.1</v>
          </cell>
          <cell r="AU207">
            <v>0</v>
          </cell>
          <cell r="AV207">
            <v>0.1</v>
          </cell>
          <cell r="AW207">
            <v>0</v>
          </cell>
          <cell r="AX207">
            <v>0</v>
          </cell>
          <cell r="AY207">
            <v>0</v>
          </cell>
          <cell r="AZ207">
            <v>-0.1</v>
          </cell>
          <cell r="BA207">
            <v>0</v>
          </cell>
          <cell r="BB207">
            <v>0</v>
          </cell>
          <cell r="BC207">
            <v>-0.2</v>
          </cell>
          <cell r="BD207">
            <v>-0.3</v>
          </cell>
          <cell r="BE207">
            <v>0</v>
          </cell>
          <cell r="BF207">
            <v>0</v>
          </cell>
          <cell r="BG207">
            <v>0</v>
          </cell>
          <cell r="BH207">
            <v>0.2</v>
          </cell>
          <cell r="BI207">
            <v>-0.1</v>
          </cell>
          <cell r="BJ207">
            <v>0</v>
          </cell>
          <cell r="BK207">
            <v>0</v>
          </cell>
          <cell r="BL207">
            <v>0.1</v>
          </cell>
          <cell r="BM207">
            <v>0.1</v>
          </cell>
          <cell r="BN207">
            <v>0</v>
          </cell>
          <cell r="BO207">
            <v>0.2</v>
          </cell>
          <cell r="BP207">
            <v>0.2</v>
          </cell>
          <cell r="BQ207">
            <v>0</v>
          </cell>
          <cell r="BR207">
            <v>0.3</v>
          </cell>
          <cell r="BS207">
            <v>0.1</v>
          </cell>
          <cell r="BT207">
            <v>0.1</v>
          </cell>
          <cell r="BU207">
            <v>0</v>
          </cell>
          <cell r="BV207">
            <v>0</v>
          </cell>
          <cell r="BW207">
            <v>0.1</v>
          </cell>
          <cell r="BX207">
            <v>0.8</v>
          </cell>
          <cell r="BY207">
            <v>0</v>
          </cell>
          <cell r="BZ207">
            <v>0.8</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row>
        <row r="208">
          <cell r="B208">
            <v>4049</v>
          </cell>
          <cell r="C208">
            <v>4998</v>
          </cell>
          <cell r="D208">
            <v>8994</v>
          </cell>
          <cell r="E208">
            <v>20620</v>
          </cell>
          <cell r="F208">
            <v>8751</v>
          </cell>
          <cell r="G208">
            <v>29371</v>
          </cell>
          <cell r="H208">
            <v>1493</v>
          </cell>
          <cell r="I208">
            <v>7910</v>
          </cell>
          <cell r="J208">
            <v>9429</v>
          </cell>
          <cell r="K208">
            <v>2954</v>
          </cell>
          <cell r="L208">
            <v>18661</v>
          </cell>
          <cell r="M208">
            <v>21001</v>
          </cell>
          <cell r="N208">
            <v>11539</v>
          </cell>
          <cell r="O208">
            <v>18812</v>
          </cell>
          <cell r="P208">
            <v>17420</v>
          </cell>
          <cell r="Q208">
            <v>21058</v>
          </cell>
          <cell r="R208">
            <v>3225</v>
          </cell>
          <cell r="S208">
            <v>6881</v>
          </cell>
          <cell r="T208">
            <v>32484</v>
          </cell>
          <cell r="U208">
            <v>333235</v>
          </cell>
          <cell r="V208">
            <v>28075</v>
          </cell>
          <cell r="W208">
            <v>-3373</v>
          </cell>
          <cell r="X208">
            <v>357598</v>
          </cell>
          <cell r="Y208">
            <v>0.1</v>
          </cell>
          <cell r="Z208">
            <v>0</v>
          </cell>
          <cell r="AA208">
            <v>0.1</v>
          </cell>
          <cell r="AB208">
            <v>0</v>
          </cell>
          <cell r="AC208">
            <v>0.1</v>
          </cell>
          <cell r="AD208">
            <v>-0.1</v>
          </cell>
          <cell r="AE208">
            <v>0</v>
          </cell>
          <cell r="AF208">
            <v>0</v>
          </cell>
          <cell r="AG208">
            <v>0</v>
          </cell>
          <cell r="AH208">
            <v>0</v>
          </cell>
          <cell r="AI208">
            <v>0</v>
          </cell>
          <cell r="AJ208">
            <v>-0.1</v>
          </cell>
          <cell r="AK208">
            <v>-0.1</v>
          </cell>
          <cell r="AL208">
            <v>-0.1</v>
          </cell>
          <cell r="AM208">
            <v>-0.1</v>
          </cell>
          <cell r="AN208">
            <v>-0.4</v>
          </cell>
          <cell r="AO208">
            <v>0</v>
          </cell>
          <cell r="AP208">
            <v>0</v>
          </cell>
          <cell r="AQ208">
            <v>0</v>
          </cell>
          <cell r="AR208">
            <v>-0.1</v>
          </cell>
          <cell r="AS208">
            <v>0</v>
          </cell>
          <cell r="AT208">
            <v>0</v>
          </cell>
          <cell r="AU208">
            <v>0.2</v>
          </cell>
          <cell r="AV208">
            <v>0.2</v>
          </cell>
          <cell r="AW208">
            <v>-0.1</v>
          </cell>
          <cell r="AX208">
            <v>0</v>
          </cell>
          <cell r="AY208">
            <v>0</v>
          </cell>
          <cell r="AZ208">
            <v>0</v>
          </cell>
          <cell r="BA208">
            <v>0</v>
          </cell>
          <cell r="BB208">
            <v>0</v>
          </cell>
          <cell r="BC208">
            <v>0.2</v>
          </cell>
          <cell r="BD208">
            <v>0.2</v>
          </cell>
          <cell r="BE208">
            <v>0</v>
          </cell>
          <cell r="BF208">
            <v>0</v>
          </cell>
          <cell r="BG208">
            <v>0</v>
          </cell>
          <cell r="BH208">
            <v>0.1</v>
          </cell>
          <cell r="BI208">
            <v>-0.2</v>
          </cell>
          <cell r="BJ208">
            <v>0</v>
          </cell>
          <cell r="BK208">
            <v>0</v>
          </cell>
          <cell r="BL208">
            <v>0</v>
          </cell>
          <cell r="BM208">
            <v>0</v>
          </cell>
          <cell r="BN208">
            <v>0</v>
          </cell>
          <cell r="BO208">
            <v>0</v>
          </cell>
          <cell r="BP208">
            <v>0</v>
          </cell>
          <cell r="BQ208">
            <v>-0.4</v>
          </cell>
          <cell r="BR208">
            <v>0.1</v>
          </cell>
          <cell r="BS208">
            <v>0.1</v>
          </cell>
          <cell r="BT208">
            <v>0.1</v>
          </cell>
          <cell r="BU208">
            <v>0</v>
          </cell>
          <cell r="BV208">
            <v>0</v>
          </cell>
          <cell r="BW208">
            <v>0.1</v>
          </cell>
          <cell r="BX208">
            <v>-0.2</v>
          </cell>
          <cell r="BY208">
            <v>0</v>
          </cell>
          <cell r="BZ208">
            <v>-0.5</v>
          </cell>
          <cell r="CA208">
            <v>0</v>
          </cell>
          <cell r="CB208">
            <v>0</v>
          </cell>
          <cell r="CC208">
            <v>0</v>
          </cell>
          <cell r="CD208">
            <v>0</v>
          </cell>
          <cell r="CE208">
            <v>0</v>
          </cell>
          <cell r="CF208">
            <v>0</v>
          </cell>
          <cell r="CG208">
            <v>0</v>
          </cell>
          <cell r="CH208">
            <v>0</v>
          </cell>
          <cell r="CI208">
            <v>0</v>
          </cell>
          <cell r="CJ208">
            <v>0</v>
          </cell>
          <cell r="CK208">
            <v>0</v>
          </cell>
          <cell r="CL208">
            <v>-0.3</v>
          </cell>
          <cell r="CM208">
            <v>0</v>
          </cell>
          <cell r="CN208">
            <v>0</v>
          </cell>
          <cell r="CO208">
            <v>0</v>
          </cell>
          <cell r="CP208">
            <v>0</v>
          </cell>
          <cell r="CQ208">
            <v>0</v>
          </cell>
          <cell r="CR208">
            <v>0</v>
          </cell>
          <cell r="CS208">
            <v>0</v>
          </cell>
          <cell r="CT208">
            <v>0</v>
          </cell>
          <cell r="CU208">
            <v>0</v>
          </cell>
          <cell r="CV208">
            <v>0</v>
          </cell>
          <cell r="CW208">
            <v>0</v>
          </cell>
        </row>
        <row r="209">
          <cell r="B209">
            <v>3968</v>
          </cell>
          <cell r="C209">
            <v>4412</v>
          </cell>
          <cell r="D209">
            <v>8338</v>
          </cell>
          <cell r="E209">
            <v>20989</v>
          </cell>
          <cell r="F209">
            <v>7437</v>
          </cell>
          <cell r="G209">
            <v>28275</v>
          </cell>
          <cell r="H209">
            <v>1193</v>
          </cell>
          <cell r="I209">
            <v>6983</v>
          </cell>
          <cell r="J209">
            <v>8128</v>
          </cell>
          <cell r="K209">
            <v>3007</v>
          </cell>
          <cell r="L209">
            <v>15845</v>
          </cell>
          <cell r="M209">
            <v>18558</v>
          </cell>
          <cell r="N209">
            <v>10817</v>
          </cell>
          <cell r="O209">
            <v>20138</v>
          </cell>
          <cell r="P209">
            <v>17606</v>
          </cell>
          <cell r="Q209">
            <v>20983</v>
          </cell>
          <cell r="R209">
            <v>2786</v>
          </cell>
          <cell r="S209">
            <v>6430</v>
          </cell>
          <cell r="T209">
            <v>32608</v>
          </cell>
          <cell r="U209">
            <v>306782</v>
          </cell>
          <cell r="V209">
            <v>25169</v>
          </cell>
          <cell r="W209">
            <v>51</v>
          </cell>
          <cell r="X209">
            <v>331722</v>
          </cell>
          <cell r="Y209">
            <v>-0.2</v>
          </cell>
          <cell r="Z209">
            <v>0</v>
          </cell>
          <cell r="AA209">
            <v>-0.2</v>
          </cell>
          <cell r="AB209">
            <v>0</v>
          </cell>
          <cell r="AC209">
            <v>0</v>
          </cell>
          <cell r="AD209">
            <v>0.1</v>
          </cell>
          <cell r="AE209">
            <v>0</v>
          </cell>
          <cell r="AF209">
            <v>0</v>
          </cell>
          <cell r="AG209">
            <v>0.1</v>
          </cell>
          <cell r="AH209">
            <v>0.1</v>
          </cell>
          <cell r="AI209">
            <v>0</v>
          </cell>
          <cell r="AJ209">
            <v>-0.1</v>
          </cell>
          <cell r="AK209">
            <v>-0.1</v>
          </cell>
          <cell r="AL209">
            <v>-0.1</v>
          </cell>
          <cell r="AM209">
            <v>-0.1</v>
          </cell>
          <cell r="AN209">
            <v>-0.3</v>
          </cell>
          <cell r="AO209">
            <v>0</v>
          </cell>
          <cell r="AP209">
            <v>0</v>
          </cell>
          <cell r="AQ209">
            <v>0.1</v>
          </cell>
          <cell r="AR209">
            <v>0.2</v>
          </cell>
          <cell r="AS209">
            <v>0</v>
          </cell>
          <cell r="AT209">
            <v>-0.1</v>
          </cell>
          <cell r="AU209">
            <v>-0.1</v>
          </cell>
          <cell r="AV209">
            <v>-0.2</v>
          </cell>
          <cell r="AW209">
            <v>0</v>
          </cell>
          <cell r="AX209">
            <v>0</v>
          </cell>
          <cell r="AY209">
            <v>0.1</v>
          </cell>
          <cell r="AZ209">
            <v>0</v>
          </cell>
          <cell r="BA209">
            <v>0</v>
          </cell>
          <cell r="BB209">
            <v>0</v>
          </cell>
          <cell r="BC209">
            <v>-0.1</v>
          </cell>
          <cell r="BD209">
            <v>-0.2</v>
          </cell>
          <cell r="BE209">
            <v>0</v>
          </cell>
          <cell r="BF209">
            <v>0</v>
          </cell>
          <cell r="BG209">
            <v>0</v>
          </cell>
          <cell r="BH209">
            <v>0.1</v>
          </cell>
          <cell r="BI209">
            <v>-0.2</v>
          </cell>
          <cell r="BJ209">
            <v>-0.1</v>
          </cell>
          <cell r="BK209">
            <v>0</v>
          </cell>
          <cell r="BL209">
            <v>0</v>
          </cell>
          <cell r="BM209">
            <v>-0.1</v>
          </cell>
          <cell r="BN209">
            <v>0.1</v>
          </cell>
          <cell r="BO209">
            <v>-0.2</v>
          </cell>
          <cell r="BP209">
            <v>0</v>
          </cell>
          <cell r="BQ209">
            <v>-0.1</v>
          </cell>
          <cell r="BR209">
            <v>0</v>
          </cell>
          <cell r="BS209">
            <v>0.1</v>
          </cell>
          <cell r="BT209">
            <v>0.1</v>
          </cell>
          <cell r="BU209">
            <v>0</v>
          </cell>
          <cell r="BV209">
            <v>0</v>
          </cell>
          <cell r="BW209">
            <v>0</v>
          </cell>
          <cell r="BX209">
            <v>-0.6</v>
          </cell>
          <cell r="BY209">
            <v>0</v>
          </cell>
          <cell r="BZ209">
            <v>1</v>
          </cell>
          <cell r="CA209">
            <v>0</v>
          </cell>
          <cell r="CB209">
            <v>0</v>
          </cell>
          <cell r="CC209">
            <v>0</v>
          </cell>
          <cell r="CD209">
            <v>0</v>
          </cell>
          <cell r="CE209">
            <v>0</v>
          </cell>
          <cell r="CF209">
            <v>0</v>
          </cell>
          <cell r="CG209">
            <v>0</v>
          </cell>
          <cell r="CH209">
            <v>0</v>
          </cell>
          <cell r="CI209">
            <v>0</v>
          </cell>
          <cell r="CJ209">
            <v>0</v>
          </cell>
          <cell r="CK209">
            <v>0</v>
          </cell>
          <cell r="CL209">
            <v>0.5</v>
          </cell>
          <cell r="CM209">
            <v>0.1</v>
          </cell>
          <cell r="CN209">
            <v>0</v>
          </cell>
          <cell r="CO209">
            <v>0</v>
          </cell>
          <cell r="CP209">
            <v>0</v>
          </cell>
          <cell r="CQ209">
            <v>0</v>
          </cell>
          <cell r="CR209">
            <v>0</v>
          </cell>
          <cell r="CS209">
            <v>0.1</v>
          </cell>
          <cell r="CT209">
            <v>0</v>
          </cell>
          <cell r="CU209">
            <v>0</v>
          </cell>
          <cell r="CV209">
            <v>0</v>
          </cell>
          <cell r="CW209">
            <v>0</v>
          </cell>
        </row>
        <row r="210">
          <cell r="B210">
            <v>3949</v>
          </cell>
          <cell r="C210">
            <v>4684</v>
          </cell>
          <cell r="D210">
            <v>8578</v>
          </cell>
          <cell r="E210">
            <v>21055</v>
          </cell>
          <cell r="F210">
            <v>8457</v>
          </cell>
          <cell r="G210">
            <v>29517</v>
          </cell>
          <cell r="H210">
            <v>1058</v>
          </cell>
          <cell r="I210">
            <v>7557</v>
          </cell>
          <cell r="J210">
            <v>8490</v>
          </cell>
          <cell r="K210">
            <v>3582</v>
          </cell>
          <cell r="L210">
            <v>17866</v>
          </cell>
          <cell r="M210">
            <v>21197</v>
          </cell>
          <cell r="N210">
            <v>11292</v>
          </cell>
          <cell r="O210">
            <v>20227</v>
          </cell>
          <cell r="P210">
            <v>17753</v>
          </cell>
          <cell r="Q210">
            <v>21495</v>
          </cell>
          <cell r="R210">
            <v>2784</v>
          </cell>
          <cell r="S210">
            <v>6923</v>
          </cell>
          <cell r="T210">
            <v>32641</v>
          </cell>
          <cell r="U210">
            <v>315818</v>
          </cell>
          <cell r="V210">
            <v>25937</v>
          </cell>
          <cell r="W210">
            <v>5942</v>
          </cell>
          <cell r="X210">
            <v>347426</v>
          </cell>
          <cell r="Y210">
            <v>-0.1</v>
          </cell>
          <cell r="Z210">
            <v>0</v>
          </cell>
          <cell r="AA210">
            <v>-0.1</v>
          </cell>
          <cell r="AB210">
            <v>0</v>
          </cell>
          <cell r="AC210">
            <v>-0.1</v>
          </cell>
          <cell r="AD210">
            <v>0.1</v>
          </cell>
          <cell r="AE210">
            <v>0</v>
          </cell>
          <cell r="AF210">
            <v>0</v>
          </cell>
          <cell r="AG210">
            <v>0</v>
          </cell>
          <cell r="AH210">
            <v>0</v>
          </cell>
          <cell r="AI210">
            <v>0.1</v>
          </cell>
          <cell r="AJ210">
            <v>0.1</v>
          </cell>
          <cell r="AK210">
            <v>0</v>
          </cell>
          <cell r="AL210">
            <v>0</v>
          </cell>
          <cell r="AM210">
            <v>0</v>
          </cell>
          <cell r="AN210">
            <v>0.1</v>
          </cell>
          <cell r="AO210">
            <v>0</v>
          </cell>
          <cell r="AP210">
            <v>0</v>
          </cell>
          <cell r="AQ210">
            <v>-0.1</v>
          </cell>
          <cell r="AR210">
            <v>0</v>
          </cell>
          <cell r="AS210">
            <v>-0.1</v>
          </cell>
          <cell r="AT210">
            <v>0.1</v>
          </cell>
          <cell r="AU210">
            <v>-0.2</v>
          </cell>
          <cell r="AV210">
            <v>-0.2</v>
          </cell>
          <cell r="AW210">
            <v>0</v>
          </cell>
          <cell r="AX210">
            <v>0.1</v>
          </cell>
          <cell r="AY210">
            <v>-0.1</v>
          </cell>
          <cell r="AZ210">
            <v>0</v>
          </cell>
          <cell r="BA210">
            <v>0</v>
          </cell>
          <cell r="BB210">
            <v>0</v>
          </cell>
          <cell r="BC210">
            <v>0</v>
          </cell>
          <cell r="BD210">
            <v>0</v>
          </cell>
          <cell r="BE210">
            <v>0</v>
          </cell>
          <cell r="BF210">
            <v>0</v>
          </cell>
          <cell r="BG210">
            <v>0</v>
          </cell>
          <cell r="BH210">
            <v>0</v>
          </cell>
          <cell r="BI210">
            <v>0.2</v>
          </cell>
          <cell r="BJ210">
            <v>0.2</v>
          </cell>
          <cell r="BK210">
            <v>-0.1</v>
          </cell>
          <cell r="BL210">
            <v>0.1</v>
          </cell>
          <cell r="BM210">
            <v>0</v>
          </cell>
          <cell r="BN210">
            <v>0.1</v>
          </cell>
          <cell r="BO210">
            <v>0.1</v>
          </cell>
          <cell r="BP210">
            <v>0.2</v>
          </cell>
          <cell r="BQ210">
            <v>0.1</v>
          </cell>
          <cell r="BR210">
            <v>0</v>
          </cell>
          <cell r="BS210">
            <v>0</v>
          </cell>
          <cell r="BT210">
            <v>0.1</v>
          </cell>
          <cell r="BU210">
            <v>0</v>
          </cell>
          <cell r="BV210">
            <v>0.1</v>
          </cell>
          <cell r="BW210">
            <v>0</v>
          </cell>
          <cell r="BX210">
            <v>0.4</v>
          </cell>
          <cell r="BY210">
            <v>0</v>
          </cell>
          <cell r="BZ210">
            <v>0.6</v>
          </cell>
          <cell r="CA210">
            <v>0</v>
          </cell>
          <cell r="CB210">
            <v>0</v>
          </cell>
          <cell r="CC210">
            <v>0</v>
          </cell>
          <cell r="CD210">
            <v>0</v>
          </cell>
          <cell r="CE210">
            <v>0</v>
          </cell>
          <cell r="CF210">
            <v>0</v>
          </cell>
          <cell r="CG210">
            <v>0</v>
          </cell>
          <cell r="CH210">
            <v>0</v>
          </cell>
          <cell r="CI210">
            <v>0</v>
          </cell>
          <cell r="CJ210">
            <v>0</v>
          </cell>
          <cell r="CK210">
            <v>0</v>
          </cell>
          <cell r="CL210">
            <v>-0.3</v>
          </cell>
          <cell r="CM210">
            <v>0</v>
          </cell>
          <cell r="CN210">
            <v>0</v>
          </cell>
          <cell r="CO210">
            <v>0</v>
          </cell>
          <cell r="CP210">
            <v>0</v>
          </cell>
          <cell r="CQ210">
            <v>0</v>
          </cell>
          <cell r="CR210">
            <v>0</v>
          </cell>
          <cell r="CS210">
            <v>0</v>
          </cell>
          <cell r="CT210">
            <v>0</v>
          </cell>
          <cell r="CU210">
            <v>0</v>
          </cell>
          <cell r="CV210">
            <v>0</v>
          </cell>
          <cell r="CW210">
            <v>0</v>
          </cell>
        </row>
        <row r="211">
          <cell r="B211">
            <v>3983</v>
          </cell>
          <cell r="C211">
            <v>4452</v>
          </cell>
          <cell r="D211">
            <v>8398</v>
          </cell>
          <cell r="E211">
            <v>20972</v>
          </cell>
          <cell r="F211">
            <v>8198</v>
          </cell>
          <cell r="G211">
            <v>29146</v>
          </cell>
          <cell r="H211">
            <v>1298</v>
          </cell>
          <cell r="I211">
            <v>7818</v>
          </cell>
          <cell r="J211">
            <v>9067</v>
          </cell>
          <cell r="K211">
            <v>3624</v>
          </cell>
          <cell r="L211">
            <v>18124</v>
          </cell>
          <cell r="M211">
            <v>21476</v>
          </cell>
          <cell r="N211">
            <v>11476</v>
          </cell>
          <cell r="O211">
            <v>19350</v>
          </cell>
          <cell r="P211">
            <v>17773</v>
          </cell>
          <cell r="Q211">
            <v>22130</v>
          </cell>
          <cell r="R211">
            <v>3114</v>
          </cell>
          <cell r="S211">
            <v>6564</v>
          </cell>
          <cell r="T211">
            <v>32558</v>
          </cell>
          <cell r="U211">
            <v>320998</v>
          </cell>
          <cell r="V211">
            <v>26233</v>
          </cell>
          <cell r="W211">
            <v>729</v>
          </cell>
          <cell r="X211">
            <v>347711</v>
          </cell>
          <cell r="Y211">
            <v>0.2</v>
          </cell>
          <cell r="Z211">
            <v>0</v>
          </cell>
          <cell r="AA211">
            <v>0.2</v>
          </cell>
          <cell r="AB211">
            <v>0</v>
          </cell>
          <cell r="AC211">
            <v>0</v>
          </cell>
          <cell r="AD211">
            <v>0.1</v>
          </cell>
          <cell r="AE211">
            <v>0</v>
          </cell>
          <cell r="AF211">
            <v>0.2</v>
          </cell>
          <cell r="AG211">
            <v>-0.1</v>
          </cell>
          <cell r="AH211">
            <v>0.2</v>
          </cell>
          <cell r="AI211">
            <v>0</v>
          </cell>
          <cell r="AJ211">
            <v>0</v>
          </cell>
          <cell r="AK211">
            <v>-0.1</v>
          </cell>
          <cell r="AL211">
            <v>0.1</v>
          </cell>
          <cell r="AM211">
            <v>-0.1</v>
          </cell>
          <cell r="AN211">
            <v>0</v>
          </cell>
          <cell r="AO211">
            <v>0</v>
          </cell>
          <cell r="AP211">
            <v>0</v>
          </cell>
          <cell r="AQ211">
            <v>0</v>
          </cell>
          <cell r="AR211">
            <v>-0.1</v>
          </cell>
          <cell r="AS211">
            <v>0</v>
          </cell>
          <cell r="AT211">
            <v>0.1</v>
          </cell>
          <cell r="AU211">
            <v>0.1</v>
          </cell>
          <cell r="AV211">
            <v>0.2</v>
          </cell>
          <cell r="AW211">
            <v>0.1</v>
          </cell>
          <cell r="AX211">
            <v>0</v>
          </cell>
          <cell r="AY211">
            <v>0</v>
          </cell>
          <cell r="AZ211">
            <v>0</v>
          </cell>
          <cell r="BA211">
            <v>0</v>
          </cell>
          <cell r="BB211">
            <v>0</v>
          </cell>
          <cell r="BC211">
            <v>0.1</v>
          </cell>
          <cell r="BD211">
            <v>0.1</v>
          </cell>
          <cell r="BE211">
            <v>0</v>
          </cell>
          <cell r="BF211">
            <v>0</v>
          </cell>
          <cell r="BG211">
            <v>0</v>
          </cell>
          <cell r="BH211">
            <v>0</v>
          </cell>
          <cell r="BI211">
            <v>-0.1</v>
          </cell>
          <cell r="BJ211">
            <v>-0.1</v>
          </cell>
          <cell r="BK211">
            <v>0.1</v>
          </cell>
          <cell r="BL211">
            <v>0</v>
          </cell>
          <cell r="BM211">
            <v>0.1</v>
          </cell>
          <cell r="BN211">
            <v>0.1</v>
          </cell>
          <cell r="BO211">
            <v>0</v>
          </cell>
          <cell r="BP211">
            <v>0.1</v>
          </cell>
          <cell r="BQ211">
            <v>0</v>
          </cell>
          <cell r="BR211">
            <v>-0.1</v>
          </cell>
          <cell r="BS211">
            <v>0</v>
          </cell>
          <cell r="BT211">
            <v>0.1</v>
          </cell>
          <cell r="BU211">
            <v>0</v>
          </cell>
          <cell r="BV211">
            <v>-0.1</v>
          </cell>
          <cell r="BW211">
            <v>0</v>
          </cell>
          <cell r="BX211">
            <v>0.8</v>
          </cell>
          <cell r="BY211">
            <v>-0.1</v>
          </cell>
          <cell r="BZ211">
            <v>0.3</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row>
        <row r="212">
          <cell r="B212">
            <v>4159</v>
          </cell>
          <cell r="C212">
            <v>5080</v>
          </cell>
          <cell r="D212">
            <v>9166</v>
          </cell>
          <cell r="E212">
            <v>21223</v>
          </cell>
          <cell r="F212">
            <v>8213</v>
          </cell>
          <cell r="G212">
            <v>29437</v>
          </cell>
          <cell r="H212">
            <v>1381</v>
          </cell>
          <cell r="I212">
            <v>7599</v>
          </cell>
          <cell r="J212">
            <v>8978</v>
          </cell>
          <cell r="K212">
            <v>3527</v>
          </cell>
          <cell r="L212">
            <v>18863</v>
          </cell>
          <cell r="M212">
            <v>22011</v>
          </cell>
          <cell r="N212">
            <v>11552</v>
          </cell>
          <cell r="O212">
            <v>19325</v>
          </cell>
          <cell r="P212">
            <v>17891</v>
          </cell>
          <cell r="Q212">
            <v>22443</v>
          </cell>
          <cell r="R212">
            <v>3064</v>
          </cell>
          <cell r="S212">
            <v>6931</v>
          </cell>
          <cell r="T212">
            <v>32594</v>
          </cell>
          <cell r="U212">
            <v>337077</v>
          </cell>
          <cell r="V212">
            <v>28061</v>
          </cell>
          <cell r="W212">
            <v>576</v>
          </cell>
          <cell r="X212">
            <v>365390</v>
          </cell>
          <cell r="Y212">
            <v>0</v>
          </cell>
          <cell r="Z212">
            <v>0</v>
          </cell>
          <cell r="AA212">
            <v>0</v>
          </cell>
          <cell r="AB212">
            <v>0</v>
          </cell>
          <cell r="AC212">
            <v>0</v>
          </cell>
          <cell r="AD212">
            <v>0</v>
          </cell>
          <cell r="AE212">
            <v>0</v>
          </cell>
          <cell r="AF212">
            <v>0</v>
          </cell>
          <cell r="AG212">
            <v>0</v>
          </cell>
          <cell r="AH212">
            <v>0</v>
          </cell>
          <cell r="AI212">
            <v>0</v>
          </cell>
          <cell r="AJ212">
            <v>0.1</v>
          </cell>
          <cell r="AK212">
            <v>0</v>
          </cell>
          <cell r="AL212">
            <v>0.2</v>
          </cell>
          <cell r="AM212">
            <v>0.1</v>
          </cell>
          <cell r="AN212">
            <v>0.3</v>
          </cell>
          <cell r="AO212">
            <v>0.1</v>
          </cell>
          <cell r="AP212">
            <v>0</v>
          </cell>
          <cell r="AQ212">
            <v>0.1</v>
          </cell>
          <cell r="AR212">
            <v>0.1</v>
          </cell>
          <cell r="AS212">
            <v>0.1</v>
          </cell>
          <cell r="AT212">
            <v>-0.1</v>
          </cell>
          <cell r="AU212">
            <v>0</v>
          </cell>
          <cell r="AV212">
            <v>0</v>
          </cell>
          <cell r="AW212">
            <v>0.1</v>
          </cell>
          <cell r="AX212">
            <v>0</v>
          </cell>
          <cell r="AY212">
            <v>0</v>
          </cell>
          <cell r="AZ212">
            <v>0</v>
          </cell>
          <cell r="BA212">
            <v>0</v>
          </cell>
          <cell r="BB212">
            <v>0</v>
          </cell>
          <cell r="BC212">
            <v>0</v>
          </cell>
          <cell r="BD212">
            <v>0</v>
          </cell>
          <cell r="BE212">
            <v>0</v>
          </cell>
          <cell r="BF212">
            <v>0.1</v>
          </cell>
          <cell r="BG212">
            <v>0.1</v>
          </cell>
          <cell r="BH212">
            <v>0</v>
          </cell>
          <cell r="BI212">
            <v>-0.1</v>
          </cell>
          <cell r="BJ212">
            <v>-0.1</v>
          </cell>
          <cell r="BK212">
            <v>0</v>
          </cell>
          <cell r="BL212">
            <v>-0.1</v>
          </cell>
          <cell r="BM212">
            <v>-0.1</v>
          </cell>
          <cell r="BN212">
            <v>-0.1</v>
          </cell>
          <cell r="BO212">
            <v>0.1</v>
          </cell>
          <cell r="BP212">
            <v>0</v>
          </cell>
          <cell r="BQ212">
            <v>-0.1</v>
          </cell>
          <cell r="BR212">
            <v>0.1</v>
          </cell>
          <cell r="BS212">
            <v>0</v>
          </cell>
          <cell r="BT212">
            <v>0.1</v>
          </cell>
          <cell r="BU212">
            <v>0</v>
          </cell>
          <cell r="BV212">
            <v>0.1</v>
          </cell>
          <cell r="BW212">
            <v>0</v>
          </cell>
          <cell r="BX212">
            <v>0.9</v>
          </cell>
          <cell r="BY212">
            <v>0</v>
          </cell>
          <cell r="BZ212">
            <v>0.7</v>
          </cell>
          <cell r="CA212">
            <v>0</v>
          </cell>
          <cell r="CB212">
            <v>0</v>
          </cell>
          <cell r="CC212">
            <v>0</v>
          </cell>
          <cell r="CD212">
            <v>0</v>
          </cell>
          <cell r="CE212">
            <v>0</v>
          </cell>
          <cell r="CF212">
            <v>0</v>
          </cell>
          <cell r="CG212">
            <v>0</v>
          </cell>
          <cell r="CH212">
            <v>0</v>
          </cell>
          <cell r="CI212">
            <v>0</v>
          </cell>
          <cell r="CJ212">
            <v>0</v>
          </cell>
          <cell r="CK212">
            <v>0</v>
          </cell>
          <cell r="CL212">
            <v>-0.1</v>
          </cell>
          <cell r="CM212">
            <v>0</v>
          </cell>
          <cell r="CN212">
            <v>0</v>
          </cell>
          <cell r="CO212">
            <v>0</v>
          </cell>
          <cell r="CP212">
            <v>0</v>
          </cell>
          <cell r="CQ212">
            <v>0</v>
          </cell>
          <cell r="CR212">
            <v>0</v>
          </cell>
          <cell r="CS212">
            <v>0</v>
          </cell>
          <cell r="CT212">
            <v>0</v>
          </cell>
          <cell r="CU212">
            <v>0</v>
          </cell>
          <cell r="CV212">
            <v>0</v>
          </cell>
          <cell r="CW212">
            <v>0</v>
          </cell>
        </row>
        <row r="213">
          <cell r="B213">
            <v>4044</v>
          </cell>
          <cell r="C213">
            <v>4413</v>
          </cell>
          <cell r="D213">
            <v>8435</v>
          </cell>
          <cell r="E213">
            <v>21214</v>
          </cell>
          <cell r="F213">
            <v>7766</v>
          </cell>
          <cell r="G213">
            <v>28961</v>
          </cell>
          <cell r="H213">
            <v>1253</v>
          </cell>
          <cell r="I213">
            <v>7108</v>
          </cell>
          <cell r="J213">
            <v>8375</v>
          </cell>
          <cell r="K213">
            <v>3546</v>
          </cell>
          <cell r="L213">
            <v>16767</v>
          </cell>
          <cell r="M213">
            <v>20111</v>
          </cell>
          <cell r="N213">
            <v>11193</v>
          </cell>
          <cell r="O213">
            <v>19879</v>
          </cell>
          <cell r="P213">
            <v>17983</v>
          </cell>
          <cell r="Q213">
            <v>22136</v>
          </cell>
          <cell r="R213">
            <v>2847</v>
          </cell>
          <cell r="S213">
            <v>6609</v>
          </cell>
          <cell r="T213">
            <v>32734</v>
          </cell>
          <cell r="U213">
            <v>316285</v>
          </cell>
          <cell r="V213">
            <v>24885</v>
          </cell>
          <cell r="W213">
            <v>-3691</v>
          </cell>
          <cell r="X213">
            <v>337364</v>
          </cell>
          <cell r="Y213">
            <v>-0.2</v>
          </cell>
          <cell r="Z213">
            <v>0</v>
          </cell>
          <cell r="AA213">
            <v>-0.2</v>
          </cell>
          <cell r="AB213">
            <v>0</v>
          </cell>
          <cell r="AC213">
            <v>0.1</v>
          </cell>
          <cell r="AD213">
            <v>0.1</v>
          </cell>
          <cell r="AE213">
            <v>0.1</v>
          </cell>
          <cell r="AF213">
            <v>0.2</v>
          </cell>
          <cell r="AG213">
            <v>0</v>
          </cell>
          <cell r="AH213">
            <v>0.2</v>
          </cell>
          <cell r="AI213">
            <v>0.1</v>
          </cell>
          <cell r="AJ213">
            <v>0.1</v>
          </cell>
          <cell r="AK213">
            <v>0.1</v>
          </cell>
          <cell r="AL213">
            <v>-0.1</v>
          </cell>
          <cell r="AM213">
            <v>0</v>
          </cell>
          <cell r="AN213">
            <v>0.1</v>
          </cell>
          <cell r="AO213">
            <v>0</v>
          </cell>
          <cell r="AP213">
            <v>0</v>
          </cell>
          <cell r="AQ213">
            <v>0</v>
          </cell>
          <cell r="AR213">
            <v>-0.1</v>
          </cell>
          <cell r="AS213">
            <v>0.1</v>
          </cell>
          <cell r="AT213">
            <v>0</v>
          </cell>
          <cell r="AU213">
            <v>0</v>
          </cell>
          <cell r="AV213">
            <v>0.1</v>
          </cell>
          <cell r="AW213">
            <v>-0.1</v>
          </cell>
          <cell r="AX213">
            <v>0</v>
          </cell>
          <cell r="AY213">
            <v>0</v>
          </cell>
          <cell r="AZ213">
            <v>0.1</v>
          </cell>
          <cell r="BA213">
            <v>0</v>
          </cell>
          <cell r="BB213">
            <v>0</v>
          </cell>
          <cell r="BC213">
            <v>0.1</v>
          </cell>
          <cell r="BD213">
            <v>0.2</v>
          </cell>
          <cell r="BE213">
            <v>0</v>
          </cell>
          <cell r="BF213">
            <v>0</v>
          </cell>
          <cell r="BG213">
            <v>0</v>
          </cell>
          <cell r="BH213">
            <v>0</v>
          </cell>
          <cell r="BI213">
            <v>0.1</v>
          </cell>
          <cell r="BJ213">
            <v>0.2</v>
          </cell>
          <cell r="BK213">
            <v>0</v>
          </cell>
          <cell r="BL213">
            <v>0</v>
          </cell>
          <cell r="BM213">
            <v>0</v>
          </cell>
          <cell r="BN213">
            <v>0.1</v>
          </cell>
          <cell r="BO213">
            <v>0.1</v>
          </cell>
          <cell r="BP213">
            <v>0.2</v>
          </cell>
          <cell r="BQ213">
            <v>0.1</v>
          </cell>
          <cell r="BR213">
            <v>0.1</v>
          </cell>
          <cell r="BS213">
            <v>0</v>
          </cell>
          <cell r="BT213">
            <v>0</v>
          </cell>
          <cell r="BU213">
            <v>0</v>
          </cell>
          <cell r="BV213">
            <v>0</v>
          </cell>
          <cell r="BW213">
            <v>0</v>
          </cell>
          <cell r="BX213">
            <v>0.8</v>
          </cell>
          <cell r="BY213">
            <v>0</v>
          </cell>
          <cell r="BZ213">
            <v>0.5</v>
          </cell>
          <cell r="CA213">
            <v>0</v>
          </cell>
          <cell r="CB213">
            <v>0</v>
          </cell>
          <cell r="CC213">
            <v>0</v>
          </cell>
          <cell r="CD213">
            <v>0</v>
          </cell>
          <cell r="CE213">
            <v>0</v>
          </cell>
          <cell r="CF213">
            <v>0</v>
          </cell>
          <cell r="CG213">
            <v>0</v>
          </cell>
          <cell r="CH213">
            <v>0</v>
          </cell>
          <cell r="CI213">
            <v>0</v>
          </cell>
          <cell r="CJ213">
            <v>0</v>
          </cell>
          <cell r="CK213">
            <v>0</v>
          </cell>
          <cell r="CL213">
            <v>0.3</v>
          </cell>
          <cell r="CM213">
            <v>0</v>
          </cell>
          <cell r="CN213">
            <v>0</v>
          </cell>
          <cell r="CO213">
            <v>0</v>
          </cell>
          <cell r="CP213">
            <v>0</v>
          </cell>
          <cell r="CQ213">
            <v>0</v>
          </cell>
          <cell r="CR213">
            <v>0</v>
          </cell>
          <cell r="CS213">
            <v>0</v>
          </cell>
          <cell r="CT213">
            <v>0</v>
          </cell>
          <cell r="CU213">
            <v>0</v>
          </cell>
          <cell r="CV213">
            <v>0</v>
          </cell>
          <cell r="CW213">
            <v>0</v>
          </cell>
        </row>
        <row r="214">
          <cell r="B214">
            <v>4128</v>
          </cell>
          <cell r="C214">
            <v>5002</v>
          </cell>
          <cell r="D214">
            <v>9064</v>
          </cell>
          <cell r="E214">
            <v>21112</v>
          </cell>
          <cell r="F214">
            <v>8399</v>
          </cell>
          <cell r="G214">
            <v>29598</v>
          </cell>
          <cell r="H214">
            <v>1472</v>
          </cell>
          <cell r="I214">
            <v>7089</v>
          </cell>
          <cell r="J214">
            <v>8584</v>
          </cell>
          <cell r="K214">
            <v>4272</v>
          </cell>
          <cell r="L214">
            <v>18941</v>
          </cell>
          <cell r="M214">
            <v>23062</v>
          </cell>
          <cell r="N214">
            <v>11672</v>
          </cell>
          <cell r="O214">
            <v>20100</v>
          </cell>
          <cell r="P214">
            <v>18051</v>
          </cell>
          <cell r="Q214">
            <v>22352</v>
          </cell>
          <cell r="R214">
            <v>2945</v>
          </cell>
          <cell r="S214">
            <v>6782</v>
          </cell>
          <cell r="T214">
            <v>32980</v>
          </cell>
          <cell r="U214">
            <v>328618</v>
          </cell>
          <cell r="V214">
            <v>26093</v>
          </cell>
          <cell r="W214">
            <v>2386</v>
          </cell>
          <cell r="X214">
            <v>356941</v>
          </cell>
          <cell r="Y214">
            <v>0.1</v>
          </cell>
          <cell r="Z214">
            <v>0</v>
          </cell>
          <cell r="AA214">
            <v>0.1</v>
          </cell>
          <cell r="AB214">
            <v>0</v>
          </cell>
          <cell r="AC214">
            <v>0</v>
          </cell>
          <cell r="AD214">
            <v>0</v>
          </cell>
          <cell r="AE214">
            <v>0</v>
          </cell>
          <cell r="AF214">
            <v>0</v>
          </cell>
          <cell r="AG214">
            <v>0</v>
          </cell>
          <cell r="AH214">
            <v>0</v>
          </cell>
          <cell r="AI214">
            <v>-0.1</v>
          </cell>
          <cell r="AJ214">
            <v>-0.1</v>
          </cell>
          <cell r="AK214">
            <v>0</v>
          </cell>
          <cell r="AL214">
            <v>0.1</v>
          </cell>
          <cell r="AM214">
            <v>-0.1</v>
          </cell>
          <cell r="AN214">
            <v>-0.1</v>
          </cell>
          <cell r="AO214">
            <v>0</v>
          </cell>
          <cell r="AP214">
            <v>0</v>
          </cell>
          <cell r="AQ214">
            <v>0</v>
          </cell>
          <cell r="AR214">
            <v>0</v>
          </cell>
          <cell r="AS214">
            <v>0</v>
          </cell>
          <cell r="AT214">
            <v>0</v>
          </cell>
          <cell r="AU214">
            <v>0.2</v>
          </cell>
          <cell r="AV214">
            <v>0.2</v>
          </cell>
          <cell r="AW214">
            <v>-0.1</v>
          </cell>
          <cell r="AX214">
            <v>0</v>
          </cell>
          <cell r="AY214">
            <v>0</v>
          </cell>
          <cell r="AZ214">
            <v>0</v>
          </cell>
          <cell r="BA214">
            <v>0</v>
          </cell>
          <cell r="BB214">
            <v>0</v>
          </cell>
          <cell r="BC214">
            <v>-0.1</v>
          </cell>
          <cell r="BD214">
            <v>-0.1</v>
          </cell>
          <cell r="BE214">
            <v>0</v>
          </cell>
          <cell r="BF214">
            <v>0</v>
          </cell>
          <cell r="BG214">
            <v>0.1</v>
          </cell>
          <cell r="BH214">
            <v>0</v>
          </cell>
          <cell r="BI214">
            <v>0</v>
          </cell>
          <cell r="BJ214">
            <v>-0.1</v>
          </cell>
          <cell r="BK214">
            <v>0</v>
          </cell>
          <cell r="BL214">
            <v>0</v>
          </cell>
          <cell r="BM214">
            <v>0</v>
          </cell>
          <cell r="BN214">
            <v>0.1</v>
          </cell>
          <cell r="BO214">
            <v>0.1</v>
          </cell>
          <cell r="BP214">
            <v>0.2</v>
          </cell>
          <cell r="BQ214">
            <v>0.1</v>
          </cell>
          <cell r="BR214">
            <v>0.1</v>
          </cell>
          <cell r="BS214">
            <v>0</v>
          </cell>
          <cell r="BT214">
            <v>0</v>
          </cell>
          <cell r="BU214">
            <v>0</v>
          </cell>
          <cell r="BV214">
            <v>0</v>
          </cell>
          <cell r="BW214">
            <v>0.1</v>
          </cell>
          <cell r="BX214">
            <v>0.7</v>
          </cell>
          <cell r="BY214">
            <v>0.2</v>
          </cell>
          <cell r="BZ214">
            <v>0.7</v>
          </cell>
          <cell r="CA214">
            <v>0</v>
          </cell>
          <cell r="CB214">
            <v>0</v>
          </cell>
          <cell r="CC214">
            <v>-0.1</v>
          </cell>
          <cell r="CD214">
            <v>0</v>
          </cell>
          <cell r="CE214">
            <v>0</v>
          </cell>
          <cell r="CF214">
            <v>0</v>
          </cell>
          <cell r="CG214">
            <v>-0.1</v>
          </cell>
          <cell r="CH214">
            <v>0</v>
          </cell>
          <cell r="CI214">
            <v>0</v>
          </cell>
          <cell r="CJ214">
            <v>0</v>
          </cell>
          <cell r="CK214">
            <v>0</v>
          </cell>
          <cell r="CL214">
            <v>-0.2</v>
          </cell>
          <cell r="CM214">
            <v>-0.1</v>
          </cell>
          <cell r="CN214">
            <v>0</v>
          </cell>
          <cell r="CO214">
            <v>0</v>
          </cell>
          <cell r="CP214">
            <v>0</v>
          </cell>
          <cell r="CQ214">
            <v>0</v>
          </cell>
          <cell r="CR214">
            <v>0</v>
          </cell>
          <cell r="CS214">
            <v>0</v>
          </cell>
          <cell r="CT214">
            <v>0</v>
          </cell>
          <cell r="CU214">
            <v>0</v>
          </cell>
          <cell r="CV214">
            <v>0</v>
          </cell>
          <cell r="CW214">
            <v>0</v>
          </cell>
        </row>
        <row r="215">
          <cell r="B215">
            <v>4169</v>
          </cell>
          <cell r="C215">
            <v>4693</v>
          </cell>
          <cell r="D215">
            <v>8828</v>
          </cell>
          <cell r="E215">
            <v>21137</v>
          </cell>
          <cell r="F215">
            <v>8198</v>
          </cell>
          <cell r="G215">
            <v>29381</v>
          </cell>
          <cell r="H215">
            <v>1520</v>
          </cell>
          <cell r="I215">
            <v>7358</v>
          </cell>
          <cell r="J215">
            <v>8923</v>
          </cell>
          <cell r="K215">
            <v>4201</v>
          </cell>
          <cell r="L215">
            <v>18883</v>
          </cell>
          <cell r="M215">
            <v>22917</v>
          </cell>
          <cell r="N215">
            <v>12029</v>
          </cell>
          <cell r="O215">
            <v>20280</v>
          </cell>
          <cell r="P215">
            <v>18048</v>
          </cell>
          <cell r="Q215">
            <v>22575</v>
          </cell>
          <cell r="R215">
            <v>2968</v>
          </cell>
          <cell r="S215">
            <v>6936</v>
          </cell>
          <cell r="T215">
            <v>33334</v>
          </cell>
          <cell r="U215">
            <v>330724</v>
          </cell>
          <cell r="V215">
            <v>26740</v>
          </cell>
          <cell r="W215">
            <v>-310</v>
          </cell>
          <cell r="X215">
            <v>356944</v>
          </cell>
          <cell r="Y215">
            <v>0.1</v>
          </cell>
          <cell r="Z215">
            <v>0</v>
          </cell>
          <cell r="AA215">
            <v>0.1</v>
          </cell>
          <cell r="AB215">
            <v>0</v>
          </cell>
          <cell r="AC215">
            <v>0.1</v>
          </cell>
          <cell r="AD215">
            <v>0</v>
          </cell>
          <cell r="AE215">
            <v>0</v>
          </cell>
          <cell r="AF215">
            <v>0</v>
          </cell>
          <cell r="AG215">
            <v>0</v>
          </cell>
          <cell r="AH215">
            <v>0</v>
          </cell>
          <cell r="AI215">
            <v>0</v>
          </cell>
          <cell r="AJ215">
            <v>0</v>
          </cell>
          <cell r="AK215">
            <v>0</v>
          </cell>
          <cell r="AL215">
            <v>0</v>
          </cell>
          <cell r="AM215">
            <v>0</v>
          </cell>
          <cell r="AN215">
            <v>-0.1</v>
          </cell>
          <cell r="AO215">
            <v>0</v>
          </cell>
          <cell r="AP215">
            <v>0</v>
          </cell>
          <cell r="AQ215">
            <v>0</v>
          </cell>
          <cell r="AR215">
            <v>0</v>
          </cell>
          <cell r="AS215">
            <v>0</v>
          </cell>
          <cell r="AT215">
            <v>-0.1</v>
          </cell>
          <cell r="AU215">
            <v>0</v>
          </cell>
          <cell r="AV215">
            <v>-0.2</v>
          </cell>
          <cell r="AW215">
            <v>0</v>
          </cell>
          <cell r="AX215">
            <v>0</v>
          </cell>
          <cell r="AY215">
            <v>0</v>
          </cell>
          <cell r="AZ215">
            <v>0</v>
          </cell>
          <cell r="BA215">
            <v>0</v>
          </cell>
          <cell r="BB215">
            <v>0</v>
          </cell>
          <cell r="BC215">
            <v>0</v>
          </cell>
          <cell r="BD215">
            <v>0.1</v>
          </cell>
          <cell r="BE215">
            <v>0</v>
          </cell>
          <cell r="BF215">
            <v>0</v>
          </cell>
          <cell r="BG215">
            <v>0</v>
          </cell>
          <cell r="BH215">
            <v>0</v>
          </cell>
          <cell r="BI215">
            <v>0</v>
          </cell>
          <cell r="BJ215">
            <v>0</v>
          </cell>
          <cell r="BK215">
            <v>0</v>
          </cell>
          <cell r="BL215">
            <v>0</v>
          </cell>
          <cell r="BM215">
            <v>0</v>
          </cell>
          <cell r="BN215">
            <v>0</v>
          </cell>
          <cell r="BO215">
            <v>-0.1</v>
          </cell>
          <cell r="BP215">
            <v>0</v>
          </cell>
          <cell r="BQ215">
            <v>0.1</v>
          </cell>
          <cell r="BR215">
            <v>-0.1</v>
          </cell>
          <cell r="BS215">
            <v>0</v>
          </cell>
          <cell r="BT215">
            <v>0</v>
          </cell>
          <cell r="BU215">
            <v>0</v>
          </cell>
          <cell r="BV215">
            <v>0</v>
          </cell>
          <cell r="BW215">
            <v>0.1</v>
          </cell>
          <cell r="BX215">
            <v>0</v>
          </cell>
          <cell r="BY215">
            <v>0</v>
          </cell>
          <cell r="BZ215">
            <v>0.6</v>
          </cell>
          <cell r="CA215">
            <v>0</v>
          </cell>
          <cell r="CB215">
            <v>0</v>
          </cell>
          <cell r="CC215">
            <v>0</v>
          </cell>
          <cell r="CD215">
            <v>0</v>
          </cell>
          <cell r="CE215">
            <v>0</v>
          </cell>
          <cell r="CF215">
            <v>0</v>
          </cell>
          <cell r="CG215">
            <v>0</v>
          </cell>
          <cell r="CH215">
            <v>0</v>
          </cell>
          <cell r="CI215">
            <v>0</v>
          </cell>
          <cell r="CJ215">
            <v>0</v>
          </cell>
          <cell r="CK215">
            <v>0.1</v>
          </cell>
          <cell r="CL215">
            <v>0</v>
          </cell>
          <cell r="CM215">
            <v>0</v>
          </cell>
          <cell r="CN215">
            <v>0</v>
          </cell>
          <cell r="CO215">
            <v>0</v>
          </cell>
          <cell r="CP215">
            <v>0</v>
          </cell>
          <cell r="CQ215">
            <v>0</v>
          </cell>
          <cell r="CR215">
            <v>0</v>
          </cell>
          <cell r="CS215">
            <v>0</v>
          </cell>
          <cell r="CT215">
            <v>0</v>
          </cell>
          <cell r="CU215">
            <v>0</v>
          </cell>
          <cell r="CV215">
            <v>0</v>
          </cell>
          <cell r="CW215">
            <v>0</v>
          </cell>
        </row>
        <row r="216">
          <cell r="B216">
            <v>4186</v>
          </cell>
          <cell r="C216">
            <v>5155</v>
          </cell>
          <cell r="D216">
            <v>9268</v>
          </cell>
          <cell r="E216">
            <v>21505</v>
          </cell>
          <cell r="F216">
            <v>8671</v>
          </cell>
          <cell r="G216">
            <v>30191</v>
          </cell>
          <cell r="H216">
            <v>1426</v>
          </cell>
          <cell r="I216">
            <v>7493</v>
          </cell>
          <cell r="J216">
            <v>8936</v>
          </cell>
          <cell r="K216">
            <v>4699</v>
          </cell>
          <cell r="L216">
            <v>20214</v>
          </cell>
          <cell r="M216">
            <v>24762</v>
          </cell>
          <cell r="N216">
            <v>12836</v>
          </cell>
          <cell r="O216">
            <v>20077</v>
          </cell>
          <cell r="P216">
            <v>18098</v>
          </cell>
          <cell r="Q216">
            <v>22688</v>
          </cell>
          <cell r="R216">
            <v>3121</v>
          </cell>
          <cell r="S216">
            <v>6861</v>
          </cell>
          <cell r="T216">
            <v>33611</v>
          </cell>
          <cell r="U216">
            <v>345405</v>
          </cell>
          <cell r="V216">
            <v>28532</v>
          </cell>
          <cell r="W216">
            <v>1689</v>
          </cell>
          <cell r="X216">
            <v>375338</v>
          </cell>
          <cell r="Y216">
            <v>0.1</v>
          </cell>
          <cell r="Z216">
            <v>0</v>
          </cell>
          <cell r="AA216">
            <v>0.1</v>
          </cell>
          <cell r="AB216">
            <v>-0.1</v>
          </cell>
          <cell r="AC216">
            <v>-0.1</v>
          </cell>
          <cell r="AD216">
            <v>0.1</v>
          </cell>
          <cell r="AE216">
            <v>0</v>
          </cell>
          <cell r="AF216">
            <v>-0.1</v>
          </cell>
          <cell r="AG216">
            <v>0</v>
          </cell>
          <cell r="AH216">
            <v>-0.1</v>
          </cell>
          <cell r="AI216">
            <v>0</v>
          </cell>
          <cell r="AJ216">
            <v>0.1</v>
          </cell>
          <cell r="AK216">
            <v>0</v>
          </cell>
          <cell r="AL216">
            <v>0</v>
          </cell>
          <cell r="AM216">
            <v>0</v>
          </cell>
          <cell r="AN216">
            <v>0</v>
          </cell>
          <cell r="AO216">
            <v>0</v>
          </cell>
          <cell r="AP216">
            <v>0</v>
          </cell>
          <cell r="AQ216">
            <v>0</v>
          </cell>
          <cell r="AR216">
            <v>0</v>
          </cell>
          <cell r="AS216">
            <v>-0.1</v>
          </cell>
          <cell r="AT216">
            <v>0.1</v>
          </cell>
          <cell r="AU216">
            <v>0.1</v>
          </cell>
          <cell r="AV216">
            <v>0.1</v>
          </cell>
          <cell r="AW216">
            <v>0</v>
          </cell>
          <cell r="AX216">
            <v>0</v>
          </cell>
          <cell r="AY216">
            <v>0</v>
          </cell>
          <cell r="AZ216">
            <v>0</v>
          </cell>
          <cell r="BA216">
            <v>0</v>
          </cell>
          <cell r="BB216">
            <v>0</v>
          </cell>
          <cell r="BC216">
            <v>0.1</v>
          </cell>
          <cell r="BD216">
            <v>0</v>
          </cell>
          <cell r="BE216">
            <v>0</v>
          </cell>
          <cell r="BF216">
            <v>0</v>
          </cell>
          <cell r="BG216">
            <v>0</v>
          </cell>
          <cell r="BH216">
            <v>0.1</v>
          </cell>
          <cell r="BI216">
            <v>0</v>
          </cell>
          <cell r="BJ216">
            <v>0.1</v>
          </cell>
          <cell r="BK216">
            <v>0</v>
          </cell>
          <cell r="BL216">
            <v>0</v>
          </cell>
          <cell r="BM216">
            <v>0</v>
          </cell>
          <cell r="BN216">
            <v>0.1</v>
          </cell>
          <cell r="BO216">
            <v>0.2</v>
          </cell>
          <cell r="BP216">
            <v>0.3</v>
          </cell>
          <cell r="BQ216">
            <v>0.1</v>
          </cell>
          <cell r="BR216">
            <v>0.1</v>
          </cell>
          <cell r="BS216">
            <v>0</v>
          </cell>
          <cell r="BT216">
            <v>0.1</v>
          </cell>
          <cell r="BU216">
            <v>0</v>
          </cell>
          <cell r="BV216">
            <v>0</v>
          </cell>
          <cell r="BW216">
            <v>0.1</v>
          </cell>
          <cell r="BX216">
            <v>0.9</v>
          </cell>
          <cell r="BY216">
            <v>0</v>
          </cell>
          <cell r="BZ216">
            <v>1</v>
          </cell>
          <cell r="CA216">
            <v>0</v>
          </cell>
          <cell r="CB216">
            <v>0.1</v>
          </cell>
          <cell r="CC216">
            <v>0</v>
          </cell>
          <cell r="CD216">
            <v>0</v>
          </cell>
          <cell r="CE216">
            <v>0</v>
          </cell>
          <cell r="CF216">
            <v>0</v>
          </cell>
          <cell r="CG216">
            <v>0</v>
          </cell>
          <cell r="CH216">
            <v>0</v>
          </cell>
          <cell r="CI216">
            <v>0</v>
          </cell>
          <cell r="CJ216">
            <v>0</v>
          </cell>
          <cell r="CK216">
            <v>0</v>
          </cell>
          <cell r="CL216">
            <v>-0.1</v>
          </cell>
          <cell r="CM216">
            <v>0</v>
          </cell>
          <cell r="CN216">
            <v>0</v>
          </cell>
          <cell r="CO216">
            <v>0</v>
          </cell>
          <cell r="CP216">
            <v>0</v>
          </cell>
          <cell r="CQ216">
            <v>0</v>
          </cell>
          <cell r="CR216">
            <v>0</v>
          </cell>
          <cell r="CS216">
            <v>-0.1</v>
          </cell>
          <cell r="CT216">
            <v>0</v>
          </cell>
          <cell r="CU216">
            <v>0</v>
          </cell>
          <cell r="CV216">
            <v>0</v>
          </cell>
          <cell r="CW216">
            <v>0</v>
          </cell>
        </row>
        <row r="217">
          <cell r="B217">
            <v>4037</v>
          </cell>
          <cell r="C217">
            <v>4828</v>
          </cell>
          <cell r="D217">
            <v>8810</v>
          </cell>
          <cell r="E217">
            <v>21578</v>
          </cell>
          <cell r="F217">
            <v>7954</v>
          </cell>
          <cell r="G217">
            <v>29527</v>
          </cell>
          <cell r="H217">
            <v>1256</v>
          </cell>
          <cell r="I217">
            <v>7274</v>
          </cell>
          <cell r="J217">
            <v>8499</v>
          </cell>
          <cell r="K217">
            <v>4329</v>
          </cell>
          <cell r="L217">
            <v>17378</v>
          </cell>
          <cell r="M217">
            <v>21609</v>
          </cell>
          <cell r="N217">
            <v>12037</v>
          </cell>
          <cell r="O217">
            <v>20344</v>
          </cell>
          <cell r="P217">
            <v>18172</v>
          </cell>
          <cell r="Q217">
            <v>22819</v>
          </cell>
          <cell r="R217">
            <v>3112</v>
          </cell>
          <cell r="S217">
            <v>6461</v>
          </cell>
          <cell r="T217">
            <v>33818</v>
          </cell>
          <cell r="U217">
            <v>321965</v>
          </cell>
          <cell r="V217">
            <v>25349</v>
          </cell>
          <cell r="W217">
            <v>-2802</v>
          </cell>
          <cell r="X217">
            <v>344351</v>
          </cell>
          <cell r="Y217">
            <v>0</v>
          </cell>
          <cell r="Z217">
            <v>0</v>
          </cell>
          <cell r="AA217">
            <v>0</v>
          </cell>
          <cell r="AB217">
            <v>0</v>
          </cell>
          <cell r="AC217">
            <v>-0.1</v>
          </cell>
          <cell r="AD217">
            <v>0</v>
          </cell>
          <cell r="AE217">
            <v>0</v>
          </cell>
          <cell r="AF217">
            <v>-0.1</v>
          </cell>
          <cell r="AG217">
            <v>0</v>
          </cell>
          <cell r="AH217">
            <v>-0.1</v>
          </cell>
          <cell r="AI217">
            <v>0</v>
          </cell>
          <cell r="AJ217">
            <v>-0.1</v>
          </cell>
          <cell r="AK217">
            <v>0</v>
          </cell>
          <cell r="AL217">
            <v>0</v>
          </cell>
          <cell r="AM217">
            <v>0</v>
          </cell>
          <cell r="AN217">
            <v>-0.1</v>
          </cell>
          <cell r="AO217">
            <v>0</v>
          </cell>
          <cell r="AP217">
            <v>0</v>
          </cell>
          <cell r="AQ217">
            <v>0</v>
          </cell>
          <cell r="AR217">
            <v>0</v>
          </cell>
          <cell r="AS217">
            <v>-0.1</v>
          </cell>
          <cell r="AT217">
            <v>0.2</v>
          </cell>
          <cell r="AU217">
            <v>0</v>
          </cell>
          <cell r="AV217">
            <v>0.1</v>
          </cell>
          <cell r="AW217">
            <v>0.1</v>
          </cell>
          <cell r="AX217">
            <v>0</v>
          </cell>
          <cell r="AY217">
            <v>0</v>
          </cell>
          <cell r="AZ217">
            <v>0</v>
          </cell>
          <cell r="BA217">
            <v>0</v>
          </cell>
          <cell r="BB217">
            <v>0</v>
          </cell>
          <cell r="BC217">
            <v>0.1</v>
          </cell>
          <cell r="BD217">
            <v>0</v>
          </cell>
          <cell r="BE217">
            <v>0</v>
          </cell>
          <cell r="BF217">
            <v>0</v>
          </cell>
          <cell r="BG217">
            <v>0</v>
          </cell>
          <cell r="BH217">
            <v>0</v>
          </cell>
          <cell r="BI217">
            <v>0.1</v>
          </cell>
          <cell r="BJ217">
            <v>0.1</v>
          </cell>
          <cell r="BK217">
            <v>0</v>
          </cell>
          <cell r="BL217">
            <v>0</v>
          </cell>
          <cell r="BM217">
            <v>0</v>
          </cell>
          <cell r="BN217">
            <v>0</v>
          </cell>
          <cell r="BO217">
            <v>-0.1</v>
          </cell>
          <cell r="BP217">
            <v>-0.1</v>
          </cell>
          <cell r="BQ217">
            <v>0</v>
          </cell>
          <cell r="BR217">
            <v>0.2</v>
          </cell>
          <cell r="BS217">
            <v>0</v>
          </cell>
          <cell r="BT217">
            <v>0.1</v>
          </cell>
          <cell r="BU217">
            <v>0</v>
          </cell>
          <cell r="BV217">
            <v>0</v>
          </cell>
          <cell r="BW217">
            <v>0.1</v>
          </cell>
          <cell r="BX217">
            <v>0.2</v>
          </cell>
          <cell r="BY217">
            <v>0</v>
          </cell>
          <cell r="BZ217">
            <v>-0.2</v>
          </cell>
          <cell r="CA217">
            <v>-0.1</v>
          </cell>
          <cell r="CB217">
            <v>0</v>
          </cell>
          <cell r="CC217">
            <v>0</v>
          </cell>
          <cell r="CD217">
            <v>-0.1</v>
          </cell>
          <cell r="CE217">
            <v>-0.1</v>
          </cell>
          <cell r="CF217">
            <v>0</v>
          </cell>
          <cell r="CG217">
            <v>0</v>
          </cell>
          <cell r="CH217">
            <v>0</v>
          </cell>
          <cell r="CI217">
            <v>0</v>
          </cell>
          <cell r="CJ217">
            <v>0</v>
          </cell>
          <cell r="CK217">
            <v>0</v>
          </cell>
          <cell r="CL217">
            <v>0.2</v>
          </cell>
          <cell r="CM217">
            <v>0</v>
          </cell>
          <cell r="CN217">
            <v>0</v>
          </cell>
          <cell r="CO217">
            <v>0</v>
          </cell>
          <cell r="CP217">
            <v>0</v>
          </cell>
          <cell r="CQ217">
            <v>0</v>
          </cell>
          <cell r="CR217">
            <v>0</v>
          </cell>
          <cell r="CS217">
            <v>0</v>
          </cell>
          <cell r="CT217">
            <v>0</v>
          </cell>
          <cell r="CU217">
            <v>0</v>
          </cell>
          <cell r="CV217">
            <v>0</v>
          </cell>
          <cell r="CW217">
            <v>0</v>
          </cell>
        </row>
        <row r="218">
          <cell r="B218">
            <v>4139</v>
          </cell>
          <cell r="C218">
            <v>5273</v>
          </cell>
          <cell r="D218">
            <v>9324</v>
          </cell>
          <cell r="E218">
            <v>21644</v>
          </cell>
          <cell r="F218">
            <v>8853</v>
          </cell>
          <cell r="G218">
            <v>30475</v>
          </cell>
          <cell r="H218">
            <v>1389</v>
          </cell>
          <cell r="I218">
            <v>7607</v>
          </cell>
          <cell r="J218">
            <v>9004</v>
          </cell>
          <cell r="K218">
            <v>4726</v>
          </cell>
          <cell r="L218">
            <v>19671</v>
          </cell>
          <cell r="M218">
            <v>24260</v>
          </cell>
          <cell r="N218">
            <v>11955</v>
          </cell>
          <cell r="O218">
            <v>20278</v>
          </cell>
          <cell r="P218">
            <v>18269</v>
          </cell>
          <cell r="Q218">
            <v>23071</v>
          </cell>
          <cell r="R218">
            <v>3111</v>
          </cell>
          <cell r="S218">
            <v>6939</v>
          </cell>
          <cell r="T218">
            <v>33956</v>
          </cell>
          <cell r="U218">
            <v>337455</v>
          </cell>
          <cell r="V218">
            <v>26543</v>
          </cell>
          <cell r="W218">
            <v>1422</v>
          </cell>
          <cell r="X218">
            <v>365270</v>
          </cell>
          <cell r="Y218">
            <v>0.1</v>
          </cell>
          <cell r="Z218">
            <v>0</v>
          </cell>
          <cell r="AA218">
            <v>0.1</v>
          </cell>
          <cell r="AB218">
            <v>0</v>
          </cell>
          <cell r="AC218">
            <v>0</v>
          </cell>
          <cell r="AD218">
            <v>0.1</v>
          </cell>
          <cell r="AE218">
            <v>0</v>
          </cell>
          <cell r="AF218">
            <v>0.1</v>
          </cell>
          <cell r="AG218">
            <v>0.1</v>
          </cell>
          <cell r="AH218">
            <v>0.2</v>
          </cell>
          <cell r="AI218">
            <v>0.1</v>
          </cell>
          <cell r="AJ218">
            <v>0.1</v>
          </cell>
          <cell r="AK218">
            <v>0.1</v>
          </cell>
          <cell r="AL218">
            <v>-0.1</v>
          </cell>
          <cell r="AM218">
            <v>0</v>
          </cell>
          <cell r="AN218">
            <v>0.2</v>
          </cell>
          <cell r="AO218">
            <v>0</v>
          </cell>
          <cell r="AP218">
            <v>0</v>
          </cell>
          <cell r="AQ218">
            <v>0</v>
          </cell>
          <cell r="AR218">
            <v>0</v>
          </cell>
          <cell r="AS218">
            <v>0</v>
          </cell>
          <cell r="AT218">
            <v>0.2</v>
          </cell>
          <cell r="AU218">
            <v>0</v>
          </cell>
          <cell r="AV218">
            <v>0.2</v>
          </cell>
          <cell r="AW218">
            <v>0</v>
          </cell>
          <cell r="AX218">
            <v>0</v>
          </cell>
          <cell r="AY218">
            <v>0.1</v>
          </cell>
          <cell r="AZ218">
            <v>0</v>
          </cell>
          <cell r="BA218">
            <v>0</v>
          </cell>
          <cell r="BB218">
            <v>0.1</v>
          </cell>
          <cell r="BC218">
            <v>0.1</v>
          </cell>
          <cell r="BD218">
            <v>0.2</v>
          </cell>
          <cell r="BE218">
            <v>0</v>
          </cell>
          <cell r="BF218">
            <v>0</v>
          </cell>
          <cell r="BG218">
            <v>0</v>
          </cell>
          <cell r="BH218">
            <v>0</v>
          </cell>
          <cell r="BI218">
            <v>0</v>
          </cell>
          <cell r="BJ218">
            <v>0.1</v>
          </cell>
          <cell r="BK218">
            <v>0</v>
          </cell>
          <cell r="BL218">
            <v>0.1</v>
          </cell>
          <cell r="BM218">
            <v>0.1</v>
          </cell>
          <cell r="BN218">
            <v>0</v>
          </cell>
          <cell r="BO218">
            <v>0.1</v>
          </cell>
          <cell r="BP218">
            <v>0.1</v>
          </cell>
          <cell r="BQ218">
            <v>-0.1</v>
          </cell>
          <cell r="BR218">
            <v>0</v>
          </cell>
          <cell r="BS218">
            <v>0</v>
          </cell>
          <cell r="BT218">
            <v>0</v>
          </cell>
          <cell r="BU218">
            <v>0</v>
          </cell>
          <cell r="BV218">
            <v>0.1</v>
          </cell>
          <cell r="BW218">
            <v>0</v>
          </cell>
          <cell r="BX218">
            <v>1.3</v>
          </cell>
          <cell r="BY218">
            <v>0.1</v>
          </cell>
          <cell r="BZ218">
            <v>1.1000000000000001</v>
          </cell>
          <cell r="CA218">
            <v>0</v>
          </cell>
          <cell r="CB218">
            <v>-0.1</v>
          </cell>
          <cell r="CC218">
            <v>0</v>
          </cell>
          <cell r="CD218">
            <v>0</v>
          </cell>
          <cell r="CE218">
            <v>0</v>
          </cell>
          <cell r="CF218">
            <v>0</v>
          </cell>
          <cell r="CG218">
            <v>0</v>
          </cell>
          <cell r="CH218">
            <v>0</v>
          </cell>
          <cell r="CI218">
            <v>0</v>
          </cell>
          <cell r="CJ218">
            <v>0</v>
          </cell>
          <cell r="CK218">
            <v>0</v>
          </cell>
          <cell r="CL218">
            <v>-0.1</v>
          </cell>
          <cell r="CM218">
            <v>-0.1</v>
          </cell>
          <cell r="CN218">
            <v>0</v>
          </cell>
          <cell r="CO218">
            <v>0</v>
          </cell>
          <cell r="CP218">
            <v>0</v>
          </cell>
          <cell r="CQ218">
            <v>0</v>
          </cell>
          <cell r="CR218">
            <v>0</v>
          </cell>
          <cell r="CS218">
            <v>0</v>
          </cell>
          <cell r="CT218">
            <v>0</v>
          </cell>
          <cell r="CU218">
            <v>-0.1</v>
          </cell>
          <cell r="CV218">
            <v>0</v>
          </cell>
          <cell r="CW218">
            <v>0</v>
          </cell>
        </row>
        <row r="219">
          <cell r="B219">
            <v>4204</v>
          </cell>
          <cell r="C219">
            <v>4923</v>
          </cell>
          <cell r="D219">
            <v>9075</v>
          </cell>
          <cell r="E219">
            <v>21936</v>
          </cell>
          <cell r="F219">
            <v>8680</v>
          </cell>
          <cell r="G219">
            <v>30615</v>
          </cell>
          <cell r="H219">
            <v>1586</v>
          </cell>
          <cell r="I219">
            <v>7644</v>
          </cell>
          <cell r="J219">
            <v>9299</v>
          </cell>
          <cell r="K219">
            <v>4705</v>
          </cell>
          <cell r="L219">
            <v>19704</v>
          </cell>
          <cell r="M219">
            <v>24275</v>
          </cell>
          <cell r="N219">
            <v>11828</v>
          </cell>
          <cell r="O219">
            <v>20574</v>
          </cell>
          <cell r="P219">
            <v>18377</v>
          </cell>
          <cell r="Q219">
            <v>23461</v>
          </cell>
          <cell r="R219">
            <v>3177</v>
          </cell>
          <cell r="S219">
            <v>7037</v>
          </cell>
          <cell r="T219">
            <v>33999</v>
          </cell>
          <cell r="U219">
            <v>342788</v>
          </cell>
          <cell r="V219">
            <v>27399</v>
          </cell>
          <cell r="W219">
            <v>-2438</v>
          </cell>
          <cell r="X219">
            <v>367543</v>
          </cell>
          <cell r="Y219">
            <v>0</v>
          </cell>
          <cell r="Z219">
            <v>0</v>
          </cell>
          <cell r="AA219">
            <v>0</v>
          </cell>
          <cell r="AB219">
            <v>0.1</v>
          </cell>
          <cell r="AC219">
            <v>0</v>
          </cell>
          <cell r="AD219">
            <v>0.1</v>
          </cell>
          <cell r="AE219">
            <v>0</v>
          </cell>
          <cell r="AF219">
            <v>0.1</v>
          </cell>
          <cell r="AG219">
            <v>0</v>
          </cell>
          <cell r="AH219">
            <v>0.1</v>
          </cell>
          <cell r="AI219">
            <v>0</v>
          </cell>
          <cell r="AJ219">
            <v>0</v>
          </cell>
          <cell r="AK219">
            <v>0</v>
          </cell>
          <cell r="AL219">
            <v>0.1</v>
          </cell>
          <cell r="AM219">
            <v>0</v>
          </cell>
          <cell r="AN219">
            <v>0.1</v>
          </cell>
          <cell r="AO219">
            <v>0</v>
          </cell>
          <cell r="AP219">
            <v>0</v>
          </cell>
          <cell r="AQ219">
            <v>0</v>
          </cell>
          <cell r="AR219">
            <v>0</v>
          </cell>
          <cell r="AS219">
            <v>0</v>
          </cell>
          <cell r="AT219">
            <v>0.4</v>
          </cell>
          <cell r="AU219">
            <v>0.1</v>
          </cell>
          <cell r="AV219">
            <v>0.5</v>
          </cell>
          <cell r="AW219">
            <v>0.1</v>
          </cell>
          <cell r="AX219">
            <v>0.1</v>
          </cell>
          <cell r="AY219">
            <v>0.1</v>
          </cell>
          <cell r="AZ219">
            <v>0</v>
          </cell>
          <cell r="BA219">
            <v>0</v>
          </cell>
          <cell r="BB219">
            <v>0</v>
          </cell>
          <cell r="BC219">
            <v>-0.1</v>
          </cell>
          <cell r="BD219">
            <v>-0.1</v>
          </cell>
          <cell r="BE219">
            <v>0</v>
          </cell>
          <cell r="BF219">
            <v>0</v>
          </cell>
          <cell r="BG219">
            <v>0</v>
          </cell>
          <cell r="BH219">
            <v>0.1</v>
          </cell>
          <cell r="BI219">
            <v>0</v>
          </cell>
          <cell r="BJ219">
            <v>0.1</v>
          </cell>
          <cell r="BK219">
            <v>0</v>
          </cell>
          <cell r="BL219">
            <v>0</v>
          </cell>
          <cell r="BM219">
            <v>0</v>
          </cell>
          <cell r="BN219">
            <v>0.1</v>
          </cell>
          <cell r="BO219">
            <v>0</v>
          </cell>
          <cell r="BP219">
            <v>0.1</v>
          </cell>
          <cell r="BQ219">
            <v>-0.1</v>
          </cell>
          <cell r="BR219">
            <v>0</v>
          </cell>
          <cell r="BS219">
            <v>0</v>
          </cell>
          <cell r="BT219">
            <v>0</v>
          </cell>
          <cell r="BU219">
            <v>0</v>
          </cell>
          <cell r="BV219">
            <v>0</v>
          </cell>
          <cell r="BW219">
            <v>0</v>
          </cell>
          <cell r="BX219">
            <v>1.3</v>
          </cell>
          <cell r="BY219">
            <v>0</v>
          </cell>
          <cell r="BZ219">
            <v>1.3</v>
          </cell>
          <cell r="CA219">
            <v>0.1</v>
          </cell>
          <cell r="CB219">
            <v>0.1</v>
          </cell>
          <cell r="CC219">
            <v>0</v>
          </cell>
          <cell r="CD219">
            <v>0</v>
          </cell>
          <cell r="CE219">
            <v>0</v>
          </cell>
          <cell r="CF219">
            <v>0</v>
          </cell>
          <cell r="CG219">
            <v>0</v>
          </cell>
          <cell r="CH219">
            <v>-0.1</v>
          </cell>
          <cell r="CI219">
            <v>0</v>
          </cell>
          <cell r="CJ219">
            <v>0</v>
          </cell>
          <cell r="CK219">
            <v>0</v>
          </cell>
          <cell r="CL219">
            <v>0</v>
          </cell>
          <cell r="CM219">
            <v>-0.1</v>
          </cell>
          <cell r="CN219">
            <v>0</v>
          </cell>
          <cell r="CO219">
            <v>0</v>
          </cell>
          <cell r="CP219">
            <v>0</v>
          </cell>
          <cell r="CQ219">
            <v>0</v>
          </cell>
          <cell r="CR219">
            <v>0</v>
          </cell>
          <cell r="CS219">
            <v>0</v>
          </cell>
          <cell r="CT219">
            <v>0</v>
          </cell>
          <cell r="CU219">
            <v>0</v>
          </cell>
          <cell r="CV219">
            <v>0</v>
          </cell>
          <cell r="CW219">
            <v>0</v>
          </cell>
        </row>
        <row r="220">
          <cell r="B220">
            <v>4300</v>
          </cell>
          <cell r="C220">
            <v>5154</v>
          </cell>
          <cell r="D220">
            <v>9390</v>
          </cell>
          <cell r="E220">
            <v>22439</v>
          </cell>
          <cell r="F220">
            <v>9196</v>
          </cell>
          <cell r="G220">
            <v>31617</v>
          </cell>
          <cell r="H220">
            <v>1546</v>
          </cell>
          <cell r="I220">
            <v>8034</v>
          </cell>
          <cell r="J220">
            <v>9603</v>
          </cell>
          <cell r="K220">
            <v>5078</v>
          </cell>
          <cell r="L220">
            <v>19994</v>
          </cell>
          <cell r="M220">
            <v>24962</v>
          </cell>
          <cell r="N220">
            <v>12585</v>
          </cell>
          <cell r="O220">
            <v>21080</v>
          </cell>
          <cell r="P220">
            <v>18449</v>
          </cell>
          <cell r="Q220">
            <v>23247</v>
          </cell>
          <cell r="R220">
            <v>3293</v>
          </cell>
          <cell r="S220">
            <v>7296</v>
          </cell>
          <cell r="T220">
            <v>34088</v>
          </cell>
          <cell r="U220">
            <v>357365</v>
          </cell>
          <cell r="V220">
            <v>28861</v>
          </cell>
          <cell r="W220">
            <v>1532</v>
          </cell>
          <cell r="X220">
            <v>387507</v>
          </cell>
          <cell r="Y220">
            <v>-0.1</v>
          </cell>
          <cell r="Z220">
            <v>0</v>
          </cell>
          <cell r="AA220">
            <v>-0.1</v>
          </cell>
          <cell r="AB220">
            <v>0</v>
          </cell>
          <cell r="AC220">
            <v>0.1</v>
          </cell>
          <cell r="AD220">
            <v>0.1</v>
          </cell>
          <cell r="AE220">
            <v>0</v>
          </cell>
          <cell r="AF220">
            <v>0.1</v>
          </cell>
          <cell r="AG220">
            <v>0</v>
          </cell>
          <cell r="AH220">
            <v>0.1</v>
          </cell>
          <cell r="AI220">
            <v>0</v>
          </cell>
          <cell r="AJ220">
            <v>-0.1</v>
          </cell>
          <cell r="AK220">
            <v>0.1</v>
          </cell>
          <cell r="AL220">
            <v>-0.1</v>
          </cell>
          <cell r="AM220">
            <v>-0.1</v>
          </cell>
          <cell r="AN220">
            <v>-0.1</v>
          </cell>
          <cell r="AO220">
            <v>0</v>
          </cell>
          <cell r="AP220">
            <v>0</v>
          </cell>
          <cell r="AQ220">
            <v>0</v>
          </cell>
          <cell r="AR220">
            <v>0</v>
          </cell>
          <cell r="AS220">
            <v>0</v>
          </cell>
          <cell r="AT220">
            <v>0.1</v>
          </cell>
          <cell r="AU220">
            <v>-0.2</v>
          </cell>
          <cell r="AV220">
            <v>-0.1</v>
          </cell>
          <cell r="AW220">
            <v>0</v>
          </cell>
          <cell r="AX220">
            <v>0</v>
          </cell>
          <cell r="AY220">
            <v>-0.1</v>
          </cell>
          <cell r="AZ220">
            <v>0</v>
          </cell>
          <cell r="BA220">
            <v>0</v>
          </cell>
          <cell r="BB220">
            <v>0</v>
          </cell>
          <cell r="BC220">
            <v>0.1</v>
          </cell>
          <cell r="BD220">
            <v>0.1</v>
          </cell>
          <cell r="BE220">
            <v>0</v>
          </cell>
          <cell r="BF220">
            <v>0</v>
          </cell>
          <cell r="BG220">
            <v>0</v>
          </cell>
          <cell r="BH220">
            <v>0.1</v>
          </cell>
          <cell r="BI220">
            <v>0</v>
          </cell>
          <cell r="BJ220">
            <v>0.1</v>
          </cell>
          <cell r="BK220">
            <v>0</v>
          </cell>
          <cell r="BL220">
            <v>0.1</v>
          </cell>
          <cell r="BM220">
            <v>0</v>
          </cell>
          <cell r="BN220">
            <v>0.1</v>
          </cell>
          <cell r="BO220">
            <v>-0.1</v>
          </cell>
          <cell r="BP220">
            <v>0</v>
          </cell>
          <cell r="BQ220">
            <v>0.1</v>
          </cell>
          <cell r="BR220">
            <v>0.1</v>
          </cell>
          <cell r="BS220">
            <v>0</v>
          </cell>
          <cell r="BT220">
            <v>0</v>
          </cell>
          <cell r="BU220">
            <v>0</v>
          </cell>
          <cell r="BV220">
            <v>0.1</v>
          </cell>
          <cell r="BW220">
            <v>0</v>
          </cell>
          <cell r="BX220">
            <v>0.5</v>
          </cell>
          <cell r="BY220">
            <v>0</v>
          </cell>
          <cell r="BZ220">
            <v>1.1000000000000001</v>
          </cell>
          <cell r="CA220">
            <v>0</v>
          </cell>
          <cell r="CB220">
            <v>0</v>
          </cell>
          <cell r="CC220">
            <v>0</v>
          </cell>
          <cell r="CD220">
            <v>0</v>
          </cell>
          <cell r="CE220">
            <v>0</v>
          </cell>
          <cell r="CF220">
            <v>0</v>
          </cell>
          <cell r="CG220">
            <v>0</v>
          </cell>
          <cell r="CH220">
            <v>0</v>
          </cell>
          <cell r="CI220">
            <v>0</v>
          </cell>
          <cell r="CJ220">
            <v>0</v>
          </cell>
          <cell r="CK220">
            <v>0</v>
          </cell>
          <cell r="CL220">
            <v>0</v>
          </cell>
          <cell r="CM220">
            <v>0.1</v>
          </cell>
          <cell r="CN220">
            <v>0</v>
          </cell>
          <cell r="CO220">
            <v>0</v>
          </cell>
          <cell r="CP220">
            <v>0</v>
          </cell>
          <cell r="CQ220">
            <v>0</v>
          </cell>
          <cell r="CR220">
            <v>0</v>
          </cell>
          <cell r="CS220">
            <v>-0.1</v>
          </cell>
          <cell r="CT220">
            <v>0</v>
          </cell>
          <cell r="CU220">
            <v>0</v>
          </cell>
          <cell r="CV220">
            <v>0</v>
          </cell>
          <cell r="CW220">
            <v>0</v>
          </cell>
        </row>
        <row r="221">
          <cell r="B221">
            <v>4206</v>
          </cell>
          <cell r="C221">
            <v>4685</v>
          </cell>
          <cell r="D221">
            <v>8858</v>
          </cell>
          <cell r="E221">
            <v>22769</v>
          </cell>
          <cell r="F221">
            <v>8363</v>
          </cell>
          <cell r="G221">
            <v>31180</v>
          </cell>
          <cell r="H221">
            <v>1383</v>
          </cell>
          <cell r="I221">
            <v>7936</v>
          </cell>
          <cell r="J221">
            <v>9279</v>
          </cell>
          <cell r="K221">
            <v>4500</v>
          </cell>
          <cell r="L221">
            <v>18440</v>
          </cell>
          <cell r="M221">
            <v>22854</v>
          </cell>
          <cell r="N221">
            <v>12069</v>
          </cell>
          <cell r="O221">
            <v>21190</v>
          </cell>
          <cell r="P221">
            <v>18521</v>
          </cell>
          <cell r="Q221">
            <v>23085</v>
          </cell>
          <cell r="R221">
            <v>3044</v>
          </cell>
          <cell r="S221">
            <v>7116</v>
          </cell>
          <cell r="T221">
            <v>34189</v>
          </cell>
          <cell r="U221">
            <v>337538</v>
          </cell>
          <cell r="V221">
            <v>25888</v>
          </cell>
          <cell r="W221">
            <v>-2597</v>
          </cell>
          <cell r="X221">
            <v>360771</v>
          </cell>
          <cell r="Y221">
            <v>0.1</v>
          </cell>
          <cell r="Z221">
            <v>0</v>
          </cell>
          <cell r="AA221">
            <v>0.1</v>
          </cell>
          <cell r="AB221">
            <v>0</v>
          </cell>
          <cell r="AC221">
            <v>-0.1</v>
          </cell>
          <cell r="AD221">
            <v>0</v>
          </cell>
          <cell r="AE221">
            <v>0</v>
          </cell>
          <cell r="AF221">
            <v>0</v>
          </cell>
          <cell r="AG221">
            <v>0</v>
          </cell>
          <cell r="AH221">
            <v>0</v>
          </cell>
          <cell r="AI221">
            <v>-0.1</v>
          </cell>
          <cell r="AJ221">
            <v>0</v>
          </cell>
          <cell r="AK221">
            <v>0</v>
          </cell>
          <cell r="AL221">
            <v>0.1</v>
          </cell>
          <cell r="AM221">
            <v>0</v>
          </cell>
          <cell r="AN221">
            <v>0</v>
          </cell>
          <cell r="AO221">
            <v>0</v>
          </cell>
          <cell r="AP221">
            <v>0</v>
          </cell>
          <cell r="AQ221">
            <v>0</v>
          </cell>
          <cell r="AR221">
            <v>0</v>
          </cell>
          <cell r="AS221">
            <v>0</v>
          </cell>
          <cell r="AT221">
            <v>0.4</v>
          </cell>
          <cell r="AU221">
            <v>0</v>
          </cell>
          <cell r="AV221">
            <v>0.3</v>
          </cell>
          <cell r="AW221">
            <v>0.1</v>
          </cell>
          <cell r="AX221">
            <v>0</v>
          </cell>
          <cell r="AY221">
            <v>0</v>
          </cell>
          <cell r="AZ221">
            <v>0</v>
          </cell>
          <cell r="BA221">
            <v>0</v>
          </cell>
          <cell r="BB221">
            <v>0</v>
          </cell>
          <cell r="BC221">
            <v>0.1</v>
          </cell>
          <cell r="BD221">
            <v>0.1</v>
          </cell>
          <cell r="BE221">
            <v>0</v>
          </cell>
          <cell r="BF221">
            <v>0</v>
          </cell>
          <cell r="BG221">
            <v>0</v>
          </cell>
          <cell r="BH221">
            <v>0.1</v>
          </cell>
          <cell r="BI221">
            <v>0</v>
          </cell>
          <cell r="BJ221">
            <v>0.1</v>
          </cell>
          <cell r="BK221">
            <v>0</v>
          </cell>
          <cell r="BL221">
            <v>0.1</v>
          </cell>
          <cell r="BM221">
            <v>0.1</v>
          </cell>
          <cell r="BN221">
            <v>-0.1</v>
          </cell>
          <cell r="BO221">
            <v>0.3</v>
          </cell>
          <cell r="BP221">
            <v>0.2</v>
          </cell>
          <cell r="BQ221">
            <v>0.1</v>
          </cell>
          <cell r="BR221">
            <v>0.1</v>
          </cell>
          <cell r="BS221">
            <v>0</v>
          </cell>
          <cell r="BT221">
            <v>0</v>
          </cell>
          <cell r="BU221">
            <v>0</v>
          </cell>
          <cell r="BV221">
            <v>0</v>
          </cell>
          <cell r="BW221">
            <v>0</v>
          </cell>
          <cell r="BX221">
            <v>1.3</v>
          </cell>
          <cell r="BY221">
            <v>0</v>
          </cell>
          <cell r="BZ221">
            <v>1</v>
          </cell>
          <cell r="CA221">
            <v>0</v>
          </cell>
          <cell r="CB221">
            <v>0</v>
          </cell>
          <cell r="CC221">
            <v>0</v>
          </cell>
          <cell r="CD221">
            <v>0</v>
          </cell>
          <cell r="CE221">
            <v>0</v>
          </cell>
          <cell r="CF221">
            <v>0</v>
          </cell>
          <cell r="CG221">
            <v>0</v>
          </cell>
          <cell r="CH221">
            <v>0</v>
          </cell>
          <cell r="CI221">
            <v>0</v>
          </cell>
          <cell r="CJ221">
            <v>0</v>
          </cell>
          <cell r="CK221">
            <v>0</v>
          </cell>
          <cell r="CL221">
            <v>0</v>
          </cell>
          <cell r="CM221">
            <v>0.1</v>
          </cell>
          <cell r="CN221">
            <v>0</v>
          </cell>
          <cell r="CO221">
            <v>0</v>
          </cell>
          <cell r="CP221">
            <v>0</v>
          </cell>
          <cell r="CQ221">
            <v>0</v>
          </cell>
          <cell r="CR221">
            <v>0</v>
          </cell>
          <cell r="CS221">
            <v>0.1</v>
          </cell>
          <cell r="CT221">
            <v>0</v>
          </cell>
          <cell r="CU221">
            <v>0</v>
          </cell>
          <cell r="CV221">
            <v>0</v>
          </cell>
          <cell r="CW221">
            <v>0</v>
          </cell>
        </row>
        <row r="222">
          <cell r="B222">
            <v>4210</v>
          </cell>
          <cell r="C222">
            <v>5205</v>
          </cell>
          <cell r="D222">
            <v>9337</v>
          </cell>
          <cell r="E222">
            <v>23114</v>
          </cell>
          <cell r="F222">
            <v>9097</v>
          </cell>
          <cell r="G222">
            <v>32221</v>
          </cell>
          <cell r="H222">
            <v>1615</v>
          </cell>
          <cell r="I222">
            <v>8153</v>
          </cell>
          <cell r="J222">
            <v>9800</v>
          </cell>
          <cell r="K222">
            <v>5478</v>
          </cell>
          <cell r="L222">
            <v>20446</v>
          </cell>
          <cell r="M222">
            <v>25854</v>
          </cell>
          <cell r="N222">
            <v>12118</v>
          </cell>
          <cell r="O222">
            <v>20729</v>
          </cell>
          <cell r="P222">
            <v>18592</v>
          </cell>
          <cell r="Q222">
            <v>23785</v>
          </cell>
          <cell r="R222">
            <v>3102</v>
          </cell>
          <cell r="S222">
            <v>6984</v>
          </cell>
          <cell r="T222">
            <v>34301</v>
          </cell>
          <cell r="U222">
            <v>352029</v>
          </cell>
          <cell r="V222">
            <v>26683</v>
          </cell>
          <cell r="W222">
            <v>3503</v>
          </cell>
          <cell r="X222">
            <v>382201</v>
          </cell>
          <cell r="Y222">
            <v>-0.1</v>
          </cell>
          <cell r="Z222">
            <v>0</v>
          </cell>
          <cell r="AA222">
            <v>-0.1</v>
          </cell>
          <cell r="AB222">
            <v>0</v>
          </cell>
          <cell r="AC222">
            <v>0.1</v>
          </cell>
          <cell r="AD222">
            <v>0</v>
          </cell>
          <cell r="AE222">
            <v>0</v>
          </cell>
          <cell r="AF222">
            <v>0.1</v>
          </cell>
          <cell r="AG222">
            <v>0.1</v>
          </cell>
          <cell r="AH222">
            <v>0.1</v>
          </cell>
          <cell r="AI222">
            <v>0</v>
          </cell>
          <cell r="AJ222">
            <v>-0.1</v>
          </cell>
          <cell r="AK222">
            <v>-0.1</v>
          </cell>
          <cell r="AL222">
            <v>0</v>
          </cell>
          <cell r="AM222">
            <v>0</v>
          </cell>
          <cell r="AN222">
            <v>-0.3</v>
          </cell>
          <cell r="AO222">
            <v>0</v>
          </cell>
          <cell r="AP222">
            <v>0</v>
          </cell>
          <cell r="AQ222">
            <v>0</v>
          </cell>
          <cell r="AR222">
            <v>0</v>
          </cell>
          <cell r="AS222">
            <v>-0.1</v>
          </cell>
          <cell r="AT222">
            <v>0.2</v>
          </cell>
          <cell r="AU222">
            <v>0</v>
          </cell>
          <cell r="AV222">
            <v>0.1</v>
          </cell>
          <cell r="AW222">
            <v>0.1</v>
          </cell>
          <cell r="AX222">
            <v>0.1</v>
          </cell>
          <cell r="AY222">
            <v>0</v>
          </cell>
          <cell r="AZ222">
            <v>0</v>
          </cell>
          <cell r="BA222">
            <v>0</v>
          </cell>
          <cell r="BB222">
            <v>0</v>
          </cell>
          <cell r="BC222">
            <v>0.1</v>
          </cell>
          <cell r="BD222">
            <v>0.1</v>
          </cell>
          <cell r="BE222">
            <v>0</v>
          </cell>
          <cell r="BF222">
            <v>0</v>
          </cell>
          <cell r="BG222">
            <v>0</v>
          </cell>
          <cell r="BH222">
            <v>0.1</v>
          </cell>
          <cell r="BI222">
            <v>0</v>
          </cell>
          <cell r="BJ222">
            <v>0.1</v>
          </cell>
          <cell r="BK222">
            <v>0</v>
          </cell>
          <cell r="BL222">
            <v>0</v>
          </cell>
          <cell r="BM222">
            <v>0.1</v>
          </cell>
          <cell r="BN222">
            <v>0.1</v>
          </cell>
          <cell r="BO222">
            <v>0</v>
          </cell>
          <cell r="BP222">
            <v>0.2</v>
          </cell>
          <cell r="BQ222">
            <v>-0.1</v>
          </cell>
          <cell r="BR222">
            <v>-0.1</v>
          </cell>
          <cell r="BS222">
            <v>0</v>
          </cell>
          <cell r="BT222">
            <v>0.1</v>
          </cell>
          <cell r="BU222">
            <v>0</v>
          </cell>
          <cell r="BV222">
            <v>-0.1</v>
          </cell>
          <cell r="BW222">
            <v>0</v>
          </cell>
          <cell r="BX222">
            <v>0.6</v>
          </cell>
          <cell r="BY222">
            <v>0</v>
          </cell>
          <cell r="BZ222">
            <v>1</v>
          </cell>
          <cell r="CA222">
            <v>-0.1</v>
          </cell>
          <cell r="CB222">
            <v>-0.2</v>
          </cell>
          <cell r="CC222">
            <v>-0.1</v>
          </cell>
          <cell r="CD222">
            <v>0</v>
          </cell>
          <cell r="CE222">
            <v>0</v>
          </cell>
          <cell r="CF222">
            <v>0</v>
          </cell>
          <cell r="CG222">
            <v>0</v>
          </cell>
          <cell r="CH222">
            <v>0.1</v>
          </cell>
          <cell r="CI222">
            <v>0</v>
          </cell>
          <cell r="CJ222">
            <v>0</v>
          </cell>
          <cell r="CK222">
            <v>0</v>
          </cell>
          <cell r="CL222">
            <v>-0.1</v>
          </cell>
          <cell r="CM222">
            <v>-0.1</v>
          </cell>
          <cell r="CN222">
            <v>0</v>
          </cell>
          <cell r="CO222">
            <v>0</v>
          </cell>
          <cell r="CP222">
            <v>0</v>
          </cell>
          <cell r="CQ222">
            <v>0</v>
          </cell>
          <cell r="CR222">
            <v>0.1</v>
          </cell>
          <cell r="CS222">
            <v>0</v>
          </cell>
          <cell r="CT222">
            <v>0</v>
          </cell>
          <cell r="CU222">
            <v>-0.1</v>
          </cell>
          <cell r="CV222">
            <v>0</v>
          </cell>
          <cell r="CW222">
            <v>0</v>
          </cell>
        </row>
        <row r="223">
          <cell r="B223">
            <v>4226</v>
          </cell>
          <cell r="C223">
            <v>4857</v>
          </cell>
          <cell r="D223">
            <v>9034</v>
          </cell>
          <cell r="E223">
            <v>23220</v>
          </cell>
          <cell r="F223">
            <v>8879</v>
          </cell>
          <cell r="G223">
            <v>32111</v>
          </cell>
          <cell r="H223">
            <v>1759</v>
          </cell>
          <cell r="I223">
            <v>8212</v>
          </cell>
          <cell r="J223">
            <v>10024</v>
          </cell>
          <cell r="K223">
            <v>5318</v>
          </cell>
          <cell r="L223">
            <v>19985</v>
          </cell>
          <cell r="M223">
            <v>25253</v>
          </cell>
          <cell r="N223">
            <v>12157</v>
          </cell>
          <cell r="O223">
            <v>20586</v>
          </cell>
          <cell r="P223">
            <v>18666</v>
          </cell>
          <cell r="Q223">
            <v>24367</v>
          </cell>
          <cell r="R223">
            <v>3070</v>
          </cell>
          <cell r="S223">
            <v>6939</v>
          </cell>
          <cell r="T223">
            <v>34410</v>
          </cell>
          <cell r="U223">
            <v>354025</v>
          </cell>
          <cell r="V223">
            <v>27923</v>
          </cell>
          <cell r="W223">
            <v>-755</v>
          </cell>
          <cell r="X223">
            <v>381027</v>
          </cell>
          <cell r="Y223">
            <v>0</v>
          </cell>
          <cell r="Z223">
            <v>0</v>
          </cell>
          <cell r="AA223">
            <v>0</v>
          </cell>
          <cell r="AB223">
            <v>0.1</v>
          </cell>
          <cell r="AC223">
            <v>0.1</v>
          </cell>
          <cell r="AD223">
            <v>0</v>
          </cell>
          <cell r="AE223">
            <v>0</v>
          </cell>
          <cell r="AF223">
            <v>0.2</v>
          </cell>
          <cell r="AG223">
            <v>0</v>
          </cell>
          <cell r="AH223">
            <v>0.2</v>
          </cell>
          <cell r="AI223">
            <v>0.1</v>
          </cell>
          <cell r="AJ223">
            <v>0</v>
          </cell>
          <cell r="AK223">
            <v>0</v>
          </cell>
          <cell r="AL223">
            <v>0</v>
          </cell>
          <cell r="AM223">
            <v>0</v>
          </cell>
          <cell r="AN223">
            <v>0.1</v>
          </cell>
          <cell r="AO223">
            <v>0</v>
          </cell>
          <cell r="AP223">
            <v>0</v>
          </cell>
          <cell r="AQ223">
            <v>0</v>
          </cell>
          <cell r="AR223">
            <v>0</v>
          </cell>
          <cell r="AS223">
            <v>0</v>
          </cell>
          <cell r="AT223">
            <v>0</v>
          </cell>
          <cell r="AU223">
            <v>0.1</v>
          </cell>
          <cell r="AV223">
            <v>0.1</v>
          </cell>
          <cell r="AW223">
            <v>0.1</v>
          </cell>
          <cell r="AX223">
            <v>0</v>
          </cell>
          <cell r="AY223">
            <v>0</v>
          </cell>
          <cell r="AZ223">
            <v>0</v>
          </cell>
          <cell r="BA223">
            <v>0</v>
          </cell>
          <cell r="BB223">
            <v>0</v>
          </cell>
          <cell r="BC223">
            <v>0</v>
          </cell>
          <cell r="BD223">
            <v>-0.1</v>
          </cell>
          <cell r="BE223">
            <v>0</v>
          </cell>
          <cell r="BF223">
            <v>0</v>
          </cell>
          <cell r="BG223">
            <v>0</v>
          </cell>
          <cell r="BH223">
            <v>0</v>
          </cell>
          <cell r="BI223">
            <v>0</v>
          </cell>
          <cell r="BJ223">
            <v>0</v>
          </cell>
          <cell r="BK223">
            <v>0</v>
          </cell>
          <cell r="BL223">
            <v>0</v>
          </cell>
          <cell r="BM223">
            <v>0</v>
          </cell>
          <cell r="BN223">
            <v>0</v>
          </cell>
          <cell r="BO223">
            <v>-0.1</v>
          </cell>
          <cell r="BP223">
            <v>-0.1</v>
          </cell>
          <cell r="BQ223">
            <v>0</v>
          </cell>
          <cell r="BR223">
            <v>0</v>
          </cell>
          <cell r="BS223">
            <v>0</v>
          </cell>
          <cell r="BT223">
            <v>0.1</v>
          </cell>
          <cell r="BU223">
            <v>0</v>
          </cell>
          <cell r="BV223">
            <v>0</v>
          </cell>
          <cell r="BW223">
            <v>0</v>
          </cell>
          <cell r="BX223">
            <v>0.6</v>
          </cell>
          <cell r="BY223">
            <v>0.1</v>
          </cell>
          <cell r="BZ223">
            <v>0.4</v>
          </cell>
          <cell r="CA223">
            <v>0.1</v>
          </cell>
          <cell r="CB223">
            <v>0.2</v>
          </cell>
          <cell r="CC223">
            <v>0</v>
          </cell>
          <cell r="CD223">
            <v>0</v>
          </cell>
          <cell r="CE223">
            <v>0</v>
          </cell>
          <cell r="CF223">
            <v>-0.1</v>
          </cell>
          <cell r="CG223">
            <v>0</v>
          </cell>
          <cell r="CH223">
            <v>0</v>
          </cell>
          <cell r="CI223">
            <v>0</v>
          </cell>
          <cell r="CJ223">
            <v>0</v>
          </cell>
          <cell r="CK223">
            <v>0</v>
          </cell>
          <cell r="CL223">
            <v>0</v>
          </cell>
          <cell r="CM223">
            <v>-0.1</v>
          </cell>
          <cell r="CN223">
            <v>0</v>
          </cell>
          <cell r="CO223">
            <v>0</v>
          </cell>
          <cell r="CP223">
            <v>0</v>
          </cell>
          <cell r="CQ223">
            <v>-0.1</v>
          </cell>
          <cell r="CR223">
            <v>0</v>
          </cell>
          <cell r="CS223">
            <v>0.1</v>
          </cell>
          <cell r="CT223">
            <v>0</v>
          </cell>
          <cell r="CU223">
            <v>0</v>
          </cell>
          <cell r="CV223">
            <v>0</v>
          </cell>
          <cell r="CW223">
            <v>0</v>
          </cell>
        </row>
        <row r="224">
          <cell r="B224">
            <v>4479</v>
          </cell>
          <cell r="C224">
            <v>4805</v>
          </cell>
          <cell r="D224">
            <v>9261</v>
          </cell>
          <cell r="E224">
            <v>23210</v>
          </cell>
          <cell r="F224">
            <v>9738</v>
          </cell>
          <cell r="G224">
            <v>32948</v>
          </cell>
          <cell r="H224">
            <v>1866</v>
          </cell>
          <cell r="I224">
            <v>8514</v>
          </cell>
          <cell r="J224">
            <v>10443</v>
          </cell>
          <cell r="K224">
            <v>5422</v>
          </cell>
          <cell r="L224">
            <v>21452</v>
          </cell>
          <cell r="M224">
            <v>26843</v>
          </cell>
          <cell r="N224">
            <v>12399</v>
          </cell>
          <cell r="O224">
            <v>20952</v>
          </cell>
          <cell r="P224">
            <v>18731</v>
          </cell>
          <cell r="Q224">
            <v>24329</v>
          </cell>
          <cell r="R224">
            <v>3255</v>
          </cell>
          <cell r="S224">
            <v>6914</v>
          </cell>
          <cell r="T224">
            <v>34507</v>
          </cell>
          <cell r="U224">
            <v>368028</v>
          </cell>
          <cell r="V224">
            <v>29227</v>
          </cell>
          <cell r="W224">
            <v>1150</v>
          </cell>
          <cell r="X224">
            <v>398204</v>
          </cell>
          <cell r="Y224">
            <v>0</v>
          </cell>
          <cell r="Z224">
            <v>0</v>
          </cell>
          <cell r="AA224">
            <v>0</v>
          </cell>
          <cell r="AB224">
            <v>0.1</v>
          </cell>
          <cell r="AC224">
            <v>-0.1</v>
          </cell>
          <cell r="AD224">
            <v>0</v>
          </cell>
          <cell r="AE224">
            <v>0</v>
          </cell>
          <cell r="AF224">
            <v>0.1</v>
          </cell>
          <cell r="AG224">
            <v>-0.1</v>
          </cell>
          <cell r="AH224">
            <v>0.1</v>
          </cell>
          <cell r="AI224">
            <v>0</v>
          </cell>
          <cell r="AJ224">
            <v>0</v>
          </cell>
          <cell r="AK224">
            <v>-0.1</v>
          </cell>
          <cell r="AL224">
            <v>0</v>
          </cell>
          <cell r="AM224">
            <v>0</v>
          </cell>
          <cell r="AN224">
            <v>-0.1</v>
          </cell>
          <cell r="AO224">
            <v>0</v>
          </cell>
          <cell r="AP224">
            <v>0</v>
          </cell>
          <cell r="AQ224">
            <v>0</v>
          </cell>
          <cell r="AR224">
            <v>0</v>
          </cell>
          <cell r="AS224">
            <v>0.1</v>
          </cell>
          <cell r="AT224">
            <v>0</v>
          </cell>
          <cell r="AU224">
            <v>0.1</v>
          </cell>
          <cell r="AV224">
            <v>0.1</v>
          </cell>
          <cell r="AW224">
            <v>0</v>
          </cell>
          <cell r="AX224">
            <v>0</v>
          </cell>
          <cell r="AY224">
            <v>0</v>
          </cell>
          <cell r="AZ224">
            <v>0</v>
          </cell>
          <cell r="BA224">
            <v>0</v>
          </cell>
          <cell r="BB224">
            <v>0</v>
          </cell>
          <cell r="BC224">
            <v>0</v>
          </cell>
          <cell r="BD224">
            <v>0</v>
          </cell>
          <cell r="BE224">
            <v>0</v>
          </cell>
          <cell r="BF224">
            <v>-0.1</v>
          </cell>
          <cell r="BG224">
            <v>0</v>
          </cell>
          <cell r="BH224">
            <v>0</v>
          </cell>
          <cell r="BI224">
            <v>0.1</v>
          </cell>
          <cell r="BJ224">
            <v>0.1</v>
          </cell>
          <cell r="BK224">
            <v>0</v>
          </cell>
          <cell r="BL224">
            <v>0</v>
          </cell>
          <cell r="BM224">
            <v>0</v>
          </cell>
          <cell r="BN224">
            <v>0</v>
          </cell>
          <cell r="BO224">
            <v>0.2</v>
          </cell>
          <cell r="BP224">
            <v>0.2</v>
          </cell>
          <cell r="BQ224">
            <v>0</v>
          </cell>
          <cell r="BR224">
            <v>0.1</v>
          </cell>
          <cell r="BS224">
            <v>0</v>
          </cell>
          <cell r="BT224">
            <v>0.1</v>
          </cell>
          <cell r="BU224">
            <v>0</v>
          </cell>
          <cell r="BV224">
            <v>0</v>
          </cell>
          <cell r="BW224">
            <v>0</v>
          </cell>
          <cell r="BX224">
            <v>0.7</v>
          </cell>
          <cell r="BY224">
            <v>0</v>
          </cell>
          <cell r="BZ224">
            <v>0.6</v>
          </cell>
          <cell r="CA224">
            <v>0.1</v>
          </cell>
          <cell r="CB224">
            <v>0</v>
          </cell>
          <cell r="CC224">
            <v>0</v>
          </cell>
          <cell r="CD224">
            <v>0</v>
          </cell>
          <cell r="CE224">
            <v>0</v>
          </cell>
          <cell r="CF224">
            <v>0</v>
          </cell>
          <cell r="CG224">
            <v>0</v>
          </cell>
          <cell r="CH224">
            <v>0</v>
          </cell>
          <cell r="CI224">
            <v>0</v>
          </cell>
          <cell r="CJ224">
            <v>0</v>
          </cell>
          <cell r="CK224">
            <v>0</v>
          </cell>
          <cell r="CL224">
            <v>0</v>
          </cell>
          <cell r="CM224">
            <v>0.1</v>
          </cell>
          <cell r="CN224">
            <v>0</v>
          </cell>
          <cell r="CO224">
            <v>0.1</v>
          </cell>
          <cell r="CP224">
            <v>0</v>
          </cell>
          <cell r="CQ224">
            <v>0</v>
          </cell>
          <cell r="CR224">
            <v>-0.1</v>
          </cell>
          <cell r="CS224">
            <v>-0.2</v>
          </cell>
          <cell r="CT224">
            <v>0</v>
          </cell>
          <cell r="CU224">
            <v>0</v>
          </cell>
          <cell r="CV224">
            <v>0</v>
          </cell>
          <cell r="CW224">
            <v>0.1</v>
          </cell>
        </row>
        <row r="225">
          <cell r="B225">
            <v>4309</v>
          </cell>
          <cell r="C225">
            <v>4531</v>
          </cell>
          <cell r="D225">
            <v>8826</v>
          </cell>
          <cell r="E225">
            <v>22944</v>
          </cell>
          <cell r="F225">
            <v>8938</v>
          </cell>
          <cell r="G225">
            <v>31891</v>
          </cell>
          <cell r="H225">
            <v>1564</v>
          </cell>
          <cell r="I225">
            <v>8512</v>
          </cell>
          <cell r="J225">
            <v>10083</v>
          </cell>
          <cell r="K225">
            <v>5492</v>
          </cell>
          <cell r="L225">
            <v>18455</v>
          </cell>
          <cell r="M225">
            <v>23901</v>
          </cell>
          <cell r="N225">
            <v>11643</v>
          </cell>
          <cell r="O225">
            <v>21429</v>
          </cell>
          <cell r="P225">
            <v>18804</v>
          </cell>
          <cell r="Q225">
            <v>24135</v>
          </cell>
          <cell r="R225">
            <v>3103</v>
          </cell>
          <cell r="S225">
            <v>6661</v>
          </cell>
          <cell r="T225">
            <v>34589</v>
          </cell>
          <cell r="U225">
            <v>344835</v>
          </cell>
          <cell r="V225">
            <v>26527</v>
          </cell>
          <cell r="W225">
            <v>-2527</v>
          </cell>
          <cell r="X225">
            <v>368773</v>
          </cell>
          <cell r="Y225">
            <v>0.1</v>
          </cell>
          <cell r="Z225">
            <v>0</v>
          </cell>
          <cell r="AA225">
            <v>0.1</v>
          </cell>
          <cell r="AB225">
            <v>0</v>
          </cell>
          <cell r="AC225">
            <v>-0.1</v>
          </cell>
          <cell r="AD225">
            <v>0.1</v>
          </cell>
          <cell r="AE225">
            <v>0</v>
          </cell>
          <cell r="AF225">
            <v>0</v>
          </cell>
          <cell r="AG225">
            <v>-0.1</v>
          </cell>
          <cell r="AH225">
            <v>0</v>
          </cell>
          <cell r="AI225">
            <v>0</v>
          </cell>
          <cell r="AJ225">
            <v>0</v>
          </cell>
          <cell r="AK225">
            <v>0</v>
          </cell>
          <cell r="AL225">
            <v>-0.1</v>
          </cell>
          <cell r="AM225">
            <v>0</v>
          </cell>
          <cell r="AN225">
            <v>0</v>
          </cell>
          <cell r="AO225">
            <v>0</v>
          </cell>
          <cell r="AP225">
            <v>0</v>
          </cell>
          <cell r="AQ225">
            <v>0</v>
          </cell>
          <cell r="AR225">
            <v>0</v>
          </cell>
          <cell r="AS225">
            <v>0</v>
          </cell>
          <cell r="AT225">
            <v>-0.2</v>
          </cell>
          <cell r="AU225">
            <v>0</v>
          </cell>
          <cell r="AV225">
            <v>-0.2</v>
          </cell>
          <cell r="AW225">
            <v>0</v>
          </cell>
          <cell r="AX225">
            <v>0.1</v>
          </cell>
          <cell r="AY225">
            <v>0</v>
          </cell>
          <cell r="AZ225">
            <v>0.1</v>
          </cell>
          <cell r="BA225">
            <v>0</v>
          </cell>
          <cell r="BB225">
            <v>0</v>
          </cell>
          <cell r="BC225">
            <v>0</v>
          </cell>
          <cell r="BD225">
            <v>0.1</v>
          </cell>
          <cell r="BE225">
            <v>0</v>
          </cell>
          <cell r="BF225">
            <v>0</v>
          </cell>
          <cell r="BG225">
            <v>0</v>
          </cell>
          <cell r="BH225">
            <v>-0.1</v>
          </cell>
          <cell r="BI225">
            <v>0.1</v>
          </cell>
          <cell r="BJ225">
            <v>0</v>
          </cell>
          <cell r="BK225">
            <v>0</v>
          </cell>
          <cell r="BL225">
            <v>0.1</v>
          </cell>
          <cell r="BM225">
            <v>0.1</v>
          </cell>
          <cell r="BN225">
            <v>0.1</v>
          </cell>
          <cell r="BO225">
            <v>-0.1</v>
          </cell>
          <cell r="BP225">
            <v>0</v>
          </cell>
          <cell r="BQ225">
            <v>0</v>
          </cell>
          <cell r="BR225">
            <v>0</v>
          </cell>
          <cell r="BS225">
            <v>0</v>
          </cell>
          <cell r="BT225">
            <v>0</v>
          </cell>
          <cell r="BU225">
            <v>0</v>
          </cell>
          <cell r="BV225">
            <v>0</v>
          </cell>
          <cell r="BW225">
            <v>0</v>
          </cell>
          <cell r="BX225">
            <v>0.1</v>
          </cell>
          <cell r="BY225">
            <v>0.1</v>
          </cell>
          <cell r="BZ225">
            <v>0.3</v>
          </cell>
          <cell r="CA225">
            <v>-0.1</v>
          </cell>
          <cell r="CB225">
            <v>0</v>
          </cell>
          <cell r="CC225">
            <v>0</v>
          </cell>
          <cell r="CD225">
            <v>0</v>
          </cell>
          <cell r="CE225">
            <v>0</v>
          </cell>
          <cell r="CF225">
            <v>0</v>
          </cell>
          <cell r="CG225">
            <v>0</v>
          </cell>
          <cell r="CH225">
            <v>0.1</v>
          </cell>
          <cell r="CI225">
            <v>0</v>
          </cell>
          <cell r="CJ225">
            <v>0</v>
          </cell>
          <cell r="CK225">
            <v>0</v>
          </cell>
          <cell r="CL225">
            <v>0.1</v>
          </cell>
          <cell r="CM225">
            <v>0.1</v>
          </cell>
          <cell r="CN225">
            <v>0</v>
          </cell>
          <cell r="CO225">
            <v>0</v>
          </cell>
          <cell r="CP225">
            <v>0</v>
          </cell>
          <cell r="CQ225">
            <v>0</v>
          </cell>
          <cell r="CR225">
            <v>0</v>
          </cell>
          <cell r="CS225">
            <v>0.1</v>
          </cell>
          <cell r="CT225">
            <v>0</v>
          </cell>
          <cell r="CU225">
            <v>0</v>
          </cell>
          <cell r="CV225">
            <v>0</v>
          </cell>
          <cell r="CW225">
            <v>-0.1</v>
          </cell>
        </row>
        <row r="226">
          <cell r="B226">
            <v>4584</v>
          </cell>
          <cell r="C226">
            <v>4927</v>
          </cell>
          <cell r="D226">
            <v>9488</v>
          </cell>
          <cell r="E226">
            <v>23153</v>
          </cell>
          <cell r="F226">
            <v>9776</v>
          </cell>
          <cell r="G226">
            <v>32927</v>
          </cell>
          <cell r="H226">
            <v>1547</v>
          </cell>
          <cell r="I226">
            <v>8864</v>
          </cell>
          <cell r="J226">
            <v>10406</v>
          </cell>
          <cell r="K226">
            <v>6148</v>
          </cell>
          <cell r="L226">
            <v>20251</v>
          </cell>
          <cell r="M226">
            <v>26339</v>
          </cell>
          <cell r="N226">
            <v>12029</v>
          </cell>
          <cell r="O226">
            <v>21806</v>
          </cell>
          <cell r="P226">
            <v>18885</v>
          </cell>
          <cell r="Q226">
            <v>24785</v>
          </cell>
          <cell r="R226">
            <v>3188</v>
          </cell>
          <cell r="S226">
            <v>7048</v>
          </cell>
          <cell r="T226">
            <v>34656</v>
          </cell>
          <cell r="U226">
            <v>360529</v>
          </cell>
          <cell r="V226">
            <v>26821</v>
          </cell>
          <cell r="W226">
            <v>2132</v>
          </cell>
          <cell r="X226">
            <v>389557</v>
          </cell>
          <cell r="Y226">
            <v>0.1</v>
          </cell>
          <cell r="Z226">
            <v>0</v>
          </cell>
          <cell r="AA226">
            <v>0.1</v>
          </cell>
          <cell r="AB226">
            <v>0</v>
          </cell>
          <cell r="AC226">
            <v>0</v>
          </cell>
          <cell r="AD226">
            <v>0.1</v>
          </cell>
          <cell r="AE226">
            <v>0</v>
          </cell>
          <cell r="AF226">
            <v>0.2</v>
          </cell>
          <cell r="AG226">
            <v>0</v>
          </cell>
          <cell r="AH226">
            <v>0.1</v>
          </cell>
          <cell r="AI226">
            <v>-0.1</v>
          </cell>
          <cell r="AJ226">
            <v>0</v>
          </cell>
          <cell r="AK226">
            <v>0</v>
          </cell>
          <cell r="AL226">
            <v>0</v>
          </cell>
          <cell r="AM226">
            <v>0</v>
          </cell>
          <cell r="AN226">
            <v>-0.1</v>
          </cell>
          <cell r="AO226">
            <v>0</v>
          </cell>
          <cell r="AP226">
            <v>0</v>
          </cell>
          <cell r="AQ226">
            <v>0</v>
          </cell>
          <cell r="AR226">
            <v>0</v>
          </cell>
          <cell r="AS226">
            <v>0</v>
          </cell>
          <cell r="AT226">
            <v>0</v>
          </cell>
          <cell r="AU226">
            <v>0.1</v>
          </cell>
          <cell r="AV226">
            <v>0.1</v>
          </cell>
          <cell r="AW226">
            <v>0</v>
          </cell>
          <cell r="AX226">
            <v>0</v>
          </cell>
          <cell r="AY226">
            <v>0</v>
          </cell>
          <cell r="AZ226">
            <v>-0.1</v>
          </cell>
          <cell r="BA226">
            <v>0</v>
          </cell>
          <cell r="BB226">
            <v>0</v>
          </cell>
          <cell r="BC226">
            <v>0</v>
          </cell>
          <cell r="BD226">
            <v>-0.1</v>
          </cell>
          <cell r="BE226">
            <v>0.1</v>
          </cell>
          <cell r="BF226">
            <v>0</v>
          </cell>
          <cell r="BG226">
            <v>0</v>
          </cell>
          <cell r="BH226">
            <v>0.1</v>
          </cell>
          <cell r="BI226">
            <v>0</v>
          </cell>
          <cell r="BJ226">
            <v>0.1</v>
          </cell>
          <cell r="BK226">
            <v>0</v>
          </cell>
          <cell r="BL226">
            <v>0</v>
          </cell>
          <cell r="BM226">
            <v>0</v>
          </cell>
          <cell r="BN226">
            <v>0</v>
          </cell>
          <cell r="BO226">
            <v>0</v>
          </cell>
          <cell r="BP226">
            <v>0</v>
          </cell>
          <cell r="BQ226">
            <v>0</v>
          </cell>
          <cell r="BR226">
            <v>0.1</v>
          </cell>
          <cell r="BS226">
            <v>0</v>
          </cell>
          <cell r="BT226">
            <v>0</v>
          </cell>
          <cell r="BU226">
            <v>0</v>
          </cell>
          <cell r="BV226">
            <v>0</v>
          </cell>
          <cell r="BW226">
            <v>0</v>
          </cell>
          <cell r="BX226">
            <v>0.7</v>
          </cell>
          <cell r="BY226">
            <v>-0.1</v>
          </cell>
          <cell r="BZ226">
            <v>0.5</v>
          </cell>
          <cell r="CA226">
            <v>-0.1</v>
          </cell>
          <cell r="CB226">
            <v>-0.4</v>
          </cell>
          <cell r="CC226">
            <v>0</v>
          </cell>
          <cell r="CD226">
            <v>0.1</v>
          </cell>
          <cell r="CE226">
            <v>0.1</v>
          </cell>
          <cell r="CF226">
            <v>0</v>
          </cell>
          <cell r="CG226">
            <v>0</v>
          </cell>
          <cell r="CH226">
            <v>-0.1</v>
          </cell>
          <cell r="CI226">
            <v>0</v>
          </cell>
          <cell r="CJ226">
            <v>0</v>
          </cell>
          <cell r="CK226">
            <v>-0.1</v>
          </cell>
          <cell r="CL226">
            <v>-0.1</v>
          </cell>
          <cell r="CM226">
            <v>-0.2</v>
          </cell>
          <cell r="CN226">
            <v>-0.1</v>
          </cell>
          <cell r="CO226">
            <v>0</v>
          </cell>
          <cell r="CP226">
            <v>0</v>
          </cell>
          <cell r="CQ226">
            <v>0</v>
          </cell>
          <cell r="CR226">
            <v>0</v>
          </cell>
          <cell r="CS226">
            <v>0</v>
          </cell>
          <cell r="CT226">
            <v>0</v>
          </cell>
          <cell r="CU226">
            <v>-0.1</v>
          </cell>
          <cell r="CV226">
            <v>0</v>
          </cell>
          <cell r="CW226">
            <v>-0.1</v>
          </cell>
        </row>
        <row r="227">
          <cell r="B227">
            <v>4598</v>
          </cell>
          <cell r="C227">
            <v>4689</v>
          </cell>
          <cell r="D227">
            <v>9278</v>
          </cell>
          <cell r="E227">
            <v>23176</v>
          </cell>
          <cell r="F227">
            <v>9535</v>
          </cell>
          <cell r="G227">
            <v>32712</v>
          </cell>
          <cell r="H227">
            <v>1639</v>
          </cell>
          <cell r="I227">
            <v>8818</v>
          </cell>
          <cell r="J227">
            <v>10469</v>
          </cell>
          <cell r="K227">
            <v>5767</v>
          </cell>
          <cell r="L227">
            <v>20395</v>
          </cell>
          <cell r="M227">
            <v>26080</v>
          </cell>
          <cell r="N227">
            <v>12323</v>
          </cell>
          <cell r="O227">
            <v>21604</v>
          </cell>
          <cell r="P227">
            <v>19025</v>
          </cell>
          <cell r="Q227">
            <v>25274</v>
          </cell>
          <cell r="R227">
            <v>3324</v>
          </cell>
          <cell r="S227">
            <v>7462</v>
          </cell>
          <cell r="T227">
            <v>34697</v>
          </cell>
          <cell r="U227">
            <v>361197</v>
          </cell>
          <cell r="V227">
            <v>27712</v>
          </cell>
          <cell r="W227">
            <v>408</v>
          </cell>
          <cell r="X227">
            <v>389276</v>
          </cell>
          <cell r="Y227">
            <v>-0.2</v>
          </cell>
          <cell r="Z227">
            <v>0</v>
          </cell>
          <cell r="AA227">
            <v>-0.2</v>
          </cell>
          <cell r="AB227">
            <v>0</v>
          </cell>
          <cell r="AC227">
            <v>0.1</v>
          </cell>
          <cell r="AD227">
            <v>0.1</v>
          </cell>
          <cell r="AE227">
            <v>0</v>
          </cell>
          <cell r="AF227">
            <v>0.2</v>
          </cell>
          <cell r="AG227">
            <v>0</v>
          </cell>
          <cell r="AH227">
            <v>0.2</v>
          </cell>
          <cell r="AI227">
            <v>0</v>
          </cell>
          <cell r="AJ227">
            <v>0</v>
          </cell>
          <cell r="AK227">
            <v>0.1</v>
          </cell>
          <cell r="AL227">
            <v>0</v>
          </cell>
          <cell r="AM227">
            <v>0</v>
          </cell>
          <cell r="AN227">
            <v>0</v>
          </cell>
          <cell r="AO227">
            <v>0</v>
          </cell>
          <cell r="AP227">
            <v>0</v>
          </cell>
          <cell r="AQ227">
            <v>0</v>
          </cell>
          <cell r="AR227">
            <v>0</v>
          </cell>
          <cell r="AS227">
            <v>0</v>
          </cell>
          <cell r="AT227">
            <v>0.2</v>
          </cell>
          <cell r="AU227">
            <v>-0.1</v>
          </cell>
          <cell r="AV227">
            <v>0.1</v>
          </cell>
          <cell r="AW227">
            <v>-0.1</v>
          </cell>
          <cell r="AX227">
            <v>0</v>
          </cell>
          <cell r="AY227">
            <v>0</v>
          </cell>
          <cell r="AZ227">
            <v>0</v>
          </cell>
          <cell r="BA227">
            <v>0</v>
          </cell>
          <cell r="BB227">
            <v>0</v>
          </cell>
          <cell r="BC227">
            <v>0.1</v>
          </cell>
          <cell r="BD227">
            <v>0.1</v>
          </cell>
          <cell r="BE227">
            <v>0</v>
          </cell>
          <cell r="BF227">
            <v>0</v>
          </cell>
          <cell r="BG227">
            <v>0</v>
          </cell>
          <cell r="BH227">
            <v>0</v>
          </cell>
          <cell r="BI227">
            <v>0</v>
          </cell>
          <cell r="BJ227">
            <v>0</v>
          </cell>
          <cell r="BK227">
            <v>0</v>
          </cell>
          <cell r="BL227">
            <v>0</v>
          </cell>
          <cell r="BM227">
            <v>0</v>
          </cell>
          <cell r="BN227">
            <v>0</v>
          </cell>
          <cell r="BO227">
            <v>0</v>
          </cell>
          <cell r="BP227">
            <v>0</v>
          </cell>
          <cell r="BQ227">
            <v>0.1</v>
          </cell>
          <cell r="BR227">
            <v>0.1</v>
          </cell>
          <cell r="BS227">
            <v>0</v>
          </cell>
          <cell r="BT227">
            <v>0.1</v>
          </cell>
          <cell r="BU227">
            <v>0</v>
          </cell>
          <cell r="BV227">
            <v>0.1</v>
          </cell>
          <cell r="BW227">
            <v>0</v>
          </cell>
          <cell r="BX227">
            <v>0.7</v>
          </cell>
          <cell r="BY227">
            <v>0</v>
          </cell>
          <cell r="BZ227">
            <v>0.7</v>
          </cell>
          <cell r="CA227">
            <v>0.1</v>
          </cell>
          <cell r="CB227">
            <v>0.4</v>
          </cell>
          <cell r="CC227">
            <v>-0.1</v>
          </cell>
          <cell r="CD227">
            <v>0</v>
          </cell>
          <cell r="CE227">
            <v>0</v>
          </cell>
          <cell r="CF227">
            <v>0</v>
          </cell>
          <cell r="CG227">
            <v>0</v>
          </cell>
          <cell r="CH227">
            <v>0</v>
          </cell>
          <cell r="CI227">
            <v>0</v>
          </cell>
          <cell r="CJ227">
            <v>0</v>
          </cell>
          <cell r="CK227">
            <v>0</v>
          </cell>
          <cell r="CL227">
            <v>0</v>
          </cell>
          <cell r="CM227">
            <v>-0.1</v>
          </cell>
          <cell r="CN227">
            <v>0</v>
          </cell>
          <cell r="CO227">
            <v>-0.1</v>
          </cell>
          <cell r="CP227">
            <v>0</v>
          </cell>
          <cell r="CQ227">
            <v>0</v>
          </cell>
          <cell r="CR227">
            <v>0.1</v>
          </cell>
          <cell r="CS227">
            <v>0.2</v>
          </cell>
          <cell r="CT227">
            <v>0</v>
          </cell>
          <cell r="CU227">
            <v>0</v>
          </cell>
          <cell r="CV227">
            <v>0</v>
          </cell>
          <cell r="CW227">
            <v>0</v>
          </cell>
        </row>
        <row r="228">
          <cell r="B228">
            <v>4761</v>
          </cell>
          <cell r="C228">
            <v>4813</v>
          </cell>
          <cell r="D228">
            <v>9566</v>
          </cell>
          <cell r="E228">
            <v>23473</v>
          </cell>
          <cell r="F228">
            <v>10093</v>
          </cell>
          <cell r="G228">
            <v>33551</v>
          </cell>
          <cell r="H228">
            <v>1765</v>
          </cell>
          <cell r="I228">
            <v>9472</v>
          </cell>
          <cell r="J228">
            <v>11257</v>
          </cell>
          <cell r="K228">
            <v>5684</v>
          </cell>
          <cell r="L228">
            <v>21294</v>
          </cell>
          <cell r="M228">
            <v>26865</v>
          </cell>
          <cell r="N228">
            <v>12997</v>
          </cell>
          <cell r="O228">
            <v>21630</v>
          </cell>
          <cell r="P228">
            <v>19149</v>
          </cell>
          <cell r="Q228">
            <v>25441</v>
          </cell>
          <cell r="R228">
            <v>3338</v>
          </cell>
          <cell r="S228">
            <v>7194</v>
          </cell>
          <cell r="T228">
            <v>34736</v>
          </cell>
          <cell r="U228">
            <v>378447</v>
          </cell>
          <cell r="V228">
            <v>29360</v>
          </cell>
          <cell r="W228">
            <v>714</v>
          </cell>
          <cell r="X228">
            <v>408419</v>
          </cell>
          <cell r="Y228">
            <v>0.1</v>
          </cell>
          <cell r="Z228">
            <v>0</v>
          </cell>
          <cell r="AA228">
            <v>0.1</v>
          </cell>
          <cell r="AB228">
            <v>0</v>
          </cell>
          <cell r="AC228">
            <v>0</v>
          </cell>
          <cell r="AD228">
            <v>0.1</v>
          </cell>
          <cell r="AE228">
            <v>0</v>
          </cell>
          <cell r="AF228">
            <v>0.1</v>
          </cell>
          <cell r="AG228">
            <v>0</v>
          </cell>
          <cell r="AH228">
            <v>0.1</v>
          </cell>
          <cell r="AI228">
            <v>0.1</v>
          </cell>
          <cell r="AJ228">
            <v>0</v>
          </cell>
          <cell r="AK228">
            <v>0</v>
          </cell>
          <cell r="AL228">
            <v>0</v>
          </cell>
          <cell r="AM228">
            <v>0</v>
          </cell>
          <cell r="AN228">
            <v>0.1</v>
          </cell>
          <cell r="AO228">
            <v>0</v>
          </cell>
          <cell r="AP228">
            <v>0</v>
          </cell>
          <cell r="AQ228">
            <v>0</v>
          </cell>
          <cell r="AR228">
            <v>0</v>
          </cell>
          <cell r="AS228">
            <v>0</v>
          </cell>
          <cell r="AT228">
            <v>0.1</v>
          </cell>
          <cell r="AU228">
            <v>0</v>
          </cell>
          <cell r="AV228">
            <v>0.1</v>
          </cell>
          <cell r="AW228">
            <v>0</v>
          </cell>
          <cell r="AX228">
            <v>0</v>
          </cell>
          <cell r="AY228">
            <v>0</v>
          </cell>
          <cell r="AZ228">
            <v>0</v>
          </cell>
          <cell r="BA228">
            <v>0</v>
          </cell>
          <cell r="BB228">
            <v>0</v>
          </cell>
          <cell r="BC228">
            <v>0</v>
          </cell>
          <cell r="BD228">
            <v>0</v>
          </cell>
          <cell r="BE228">
            <v>0</v>
          </cell>
          <cell r="BF228">
            <v>0</v>
          </cell>
          <cell r="BG228">
            <v>0</v>
          </cell>
          <cell r="BH228">
            <v>0.1</v>
          </cell>
          <cell r="BI228">
            <v>0</v>
          </cell>
          <cell r="BJ228">
            <v>0.1</v>
          </cell>
          <cell r="BK228">
            <v>0</v>
          </cell>
          <cell r="BL228">
            <v>0.1</v>
          </cell>
          <cell r="BM228">
            <v>0.1</v>
          </cell>
          <cell r="BN228">
            <v>-0.1</v>
          </cell>
          <cell r="BO228">
            <v>0.1</v>
          </cell>
          <cell r="BP228">
            <v>0</v>
          </cell>
          <cell r="BQ228">
            <v>0.1</v>
          </cell>
          <cell r="BR228">
            <v>0</v>
          </cell>
          <cell r="BS228">
            <v>0</v>
          </cell>
          <cell r="BT228">
            <v>0.1</v>
          </cell>
          <cell r="BU228">
            <v>0</v>
          </cell>
          <cell r="BV228">
            <v>0</v>
          </cell>
          <cell r="BW228">
            <v>0</v>
          </cell>
          <cell r="BX228">
            <v>0.7</v>
          </cell>
          <cell r="BY228">
            <v>0.1</v>
          </cell>
          <cell r="BZ228">
            <v>0.8</v>
          </cell>
          <cell r="CA228">
            <v>-0.1</v>
          </cell>
          <cell r="CB228">
            <v>0</v>
          </cell>
          <cell r="CC228">
            <v>0.1</v>
          </cell>
          <cell r="CD228">
            <v>0</v>
          </cell>
          <cell r="CE228">
            <v>-0.1</v>
          </cell>
          <cell r="CF228">
            <v>0.1</v>
          </cell>
          <cell r="CG228">
            <v>0</v>
          </cell>
          <cell r="CH228">
            <v>0</v>
          </cell>
          <cell r="CI228">
            <v>0</v>
          </cell>
          <cell r="CJ228">
            <v>0</v>
          </cell>
          <cell r="CK228">
            <v>0</v>
          </cell>
          <cell r="CL228">
            <v>0</v>
          </cell>
          <cell r="CM228">
            <v>0.1</v>
          </cell>
          <cell r="CN228">
            <v>0</v>
          </cell>
          <cell r="CO228">
            <v>0</v>
          </cell>
          <cell r="CP228">
            <v>0</v>
          </cell>
          <cell r="CQ228">
            <v>0</v>
          </cell>
          <cell r="CR228">
            <v>-0.2</v>
          </cell>
          <cell r="CS228">
            <v>-0.3</v>
          </cell>
          <cell r="CT228">
            <v>0</v>
          </cell>
          <cell r="CU228">
            <v>0</v>
          </cell>
          <cell r="CV228">
            <v>0</v>
          </cell>
          <cell r="CW228">
            <v>0.1</v>
          </cell>
        </row>
        <row r="229">
          <cell r="B229">
            <v>4716</v>
          </cell>
          <cell r="C229">
            <v>4588</v>
          </cell>
          <cell r="D229">
            <v>9305</v>
          </cell>
          <cell r="E229">
            <v>23627</v>
          </cell>
          <cell r="F229">
            <v>9323</v>
          </cell>
          <cell r="G229">
            <v>32958</v>
          </cell>
          <cell r="H229">
            <v>1658</v>
          </cell>
          <cell r="I229">
            <v>9352</v>
          </cell>
          <cell r="J229">
            <v>11018</v>
          </cell>
          <cell r="K229">
            <v>5529</v>
          </cell>
          <cell r="L229">
            <v>18056</v>
          </cell>
          <cell r="M229">
            <v>23608</v>
          </cell>
          <cell r="N229">
            <v>12476</v>
          </cell>
          <cell r="O229">
            <v>22175</v>
          </cell>
          <cell r="P229">
            <v>19263</v>
          </cell>
          <cell r="Q229">
            <v>25761</v>
          </cell>
          <cell r="R229">
            <v>3247</v>
          </cell>
          <cell r="S229">
            <v>6792</v>
          </cell>
          <cell r="T229">
            <v>34769</v>
          </cell>
          <cell r="U229">
            <v>355955</v>
          </cell>
          <cell r="V229">
            <v>26575</v>
          </cell>
          <cell r="W229">
            <v>-2917</v>
          </cell>
          <cell r="X229">
            <v>379642</v>
          </cell>
          <cell r="Y229">
            <v>-0.1</v>
          </cell>
          <cell r="Z229">
            <v>0</v>
          </cell>
          <cell r="AA229">
            <v>-0.1</v>
          </cell>
          <cell r="AB229">
            <v>0.1</v>
          </cell>
          <cell r="AC229">
            <v>0.1</v>
          </cell>
          <cell r="AD229">
            <v>0.1</v>
          </cell>
          <cell r="AE229">
            <v>0</v>
          </cell>
          <cell r="AF229">
            <v>0.3</v>
          </cell>
          <cell r="AG229">
            <v>0</v>
          </cell>
          <cell r="AH229">
            <v>0.3</v>
          </cell>
          <cell r="AI229">
            <v>-0.1</v>
          </cell>
          <cell r="AJ229">
            <v>0</v>
          </cell>
          <cell r="AK229">
            <v>-0.1</v>
          </cell>
          <cell r="AL229">
            <v>0</v>
          </cell>
          <cell r="AM229">
            <v>0</v>
          </cell>
          <cell r="AN229">
            <v>-0.2</v>
          </cell>
          <cell r="AO229">
            <v>0</v>
          </cell>
          <cell r="AP229">
            <v>0</v>
          </cell>
          <cell r="AQ229">
            <v>0</v>
          </cell>
          <cell r="AR229">
            <v>0</v>
          </cell>
          <cell r="AS229">
            <v>0</v>
          </cell>
          <cell r="AT229">
            <v>-0.1</v>
          </cell>
          <cell r="AU229">
            <v>0.3</v>
          </cell>
          <cell r="AV229">
            <v>0.2</v>
          </cell>
          <cell r="AW229">
            <v>0</v>
          </cell>
          <cell r="AX229">
            <v>0</v>
          </cell>
          <cell r="AY229">
            <v>0</v>
          </cell>
          <cell r="AZ229">
            <v>0</v>
          </cell>
          <cell r="BA229">
            <v>0</v>
          </cell>
          <cell r="BB229">
            <v>0</v>
          </cell>
          <cell r="BC229">
            <v>-0.1</v>
          </cell>
          <cell r="BD229">
            <v>-0.1</v>
          </cell>
          <cell r="BE229">
            <v>0</v>
          </cell>
          <cell r="BF229">
            <v>0</v>
          </cell>
          <cell r="BG229">
            <v>0</v>
          </cell>
          <cell r="BH229">
            <v>0</v>
          </cell>
          <cell r="BI229">
            <v>0.1</v>
          </cell>
          <cell r="BJ229">
            <v>0.1</v>
          </cell>
          <cell r="BK229">
            <v>0</v>
          </cell>
          <cell r="BL229">
            <v>0.1</v>
          </cell>
          <cell r="BM229">
            <v>0.1</v>
          </cell>
          <cell r="BN229">
            <v>0</v>
          </cell>
          <cell r="BO229">
            <v>-0.1</v>
          </cell>
          <cell r="BP229">
            <v>-0.1</v>
          </cell>
          <cell r="BQ229">
            <v>0.1</v>
          </cell>
          <cell r="BR229">
            <v>-0.1</v>
          </cell>
          <cell r="BS229">
            <v>0</v>
          </cell>
          <cell r="BT229">
            <v>0.1</v>
          </cell>
          <cell r="BU229">
            <v>0</v>
          </cell>
          <cell r="BV229">
            <v>0</v>
          </cell>
          <cell r="BW229">
            <v>0</v>
          </cell>
          <cell r="BX229">
            <v>0.7</v>
          </cell>
          <cell r="BY229">
            <v>0</v>
          </cell>
          <cell r="BZ229">
            <v>0.7</v>
          </cell>
          <cell r="CA229">
            <v>0</v>
          </cell>
          <cell r="CB229">
            <v>0</v>
          </cell>
          <cell r="CC229">
            <v>0</v>
          </cell>
          <cell r="CD229">
            <v>0</v>
          </cell>
          <cell r="CE229">
            <v>0</v>
          </cell>
          <cell r="CF229">
            <v>0</v>
          </cell>
          <cell r="CG229">
            <v>0</v>
          </cell>
          <cell r="CH229">
            <v>0.1</v>
          </cell>
          <cell r="CI229">
            <v>0</v>
          </cell>
          <cell r="CJ229">
            <v>0</v>
          </cell>
          <cell r="CK229">
            <v>-0.1</v>
          </cell>
          <cell r="CL229">
            <v>0</v>
          </cell>
          <cell r="CM229">
            <v>0.2</v>
          </cell>
          <cell r="CN229">
            <v>0</v>
          </cell>
          <cell r="CO229">
            <v>0</v>
          </cell>
          <cell r="CP229">
            <v>0</v>
          </cell>
          <cell r="CQ229">
            <v>0</v>
          </cell>
          <cell r="CR229">
            <v>0.1</v>
          </cell>
          <cell r="CS229">
            <v>0.2</v>
          </cell>
          <cell r="CT229">
            <v>0</v>
          </cell>
          <cell r="CU229">
            <v>0</v>
          </cell>
          <cell r="CV229">
            <v>0</v>
          </cell>
          <cell r="CW229">
            <v>-0.1</v>
          </cell>
        </row>
        <row r="230">
          <cell r="B230">
            <v>4882</v>
          </cell>
          <cell r="C230">
            <v>5097</v>
          </cell>
          <cell r="D230">
            <v>9962</v>
          </cell>
          <cell r="E230">
            <v>23895</v>
          </cell>
          <cell r="F230">
            <v>9835</v>
          </cell>
          <cell r="G230">
            <v>33727</v>
          </cell>
          <cell r="H230">
            <v>1712</v>
          </cell>
          <cell r="I230">
            <v>9910</v>
          </cell>
          <cell r="J230">
            <v>11627</v>
          </cell>
          <cell r="K230">
            <v>6332</v>
          </cell>
          <cell r="L230">
            <v>19848</v>
          </cell>
          <cell r="M230">
            <v>26244</v>
          </cell>
          <cell r="N230">
            <v>12893</v>
          </cell>
          <cell r="O230">
            <v>21910</v>
          </cell>
          <cell r="P230">
            <v>19367</v>
          </cell>
          <cell r="Q230">
            <v>26275</v>
          </cell>
          <cell r="R230">
            <v>3210</v>
          </cell>
          <cell r="S230">
            <v>7234</v>
          </cell>
          <cell r="T230">
            <v>34795</v>
          </cell>
          <cell r="U230">
            <v>370487</v>
          </cell>
          <cell r="V230">
            <v>27192</v>
          </cell>
          <cell r="W230">
            <v>1795</v>
          </cell>
          <cell r="X230">
            <v>399561</v>
          </cell>
          <cell r="Y230">
            <v>0</v>
          </cell>
          <cell r="Z230">
            <v>0</v>
          </cell>
          <cell r="AA230">
            <v>0</v>
          </cell>
          <cell r="AB230">
            <v>0</v>
          </cell>
          <cell r="AC230">
            <v>0</v>
          </cell>
          <cell r="AD230">
            <v>0.1</v>
          </cell>
          <cell r="AE230">
            <v>0</v>
          </cell>
          <cell r="AF230">
            <v>0.1</v>
          </cell>
          <cell r="AG230">
            <v>0</v>
          </cell>
          <cell r="AH230">
            <v>0.1</v>
          </cell>
          <cell r="AI230">
            <v>0.1</v>
          </cell>
          <cell r="AJ230">
            <v>0</v>
          </cell>
          <cell r="AK230">
            <v>0</v>
          </cell>
          <cell r="AL230">
            <v>0</v>
          </cell>
          <cell r="AM230">
            <v>0</v>
          </cell>
          <cell r="AN230">
            <v>0.1</v>
          </cell>
          <cell r="AO230">
            <v>0</v>
          </cell>
          <cell r="AP230">
            <v>0</v>
          </cell>
          <cell r="AQ230">
            <v>0</v>
          </cell>
          <cell r="AR230">
            <v>0</v>
          </cell>
          <cell r="AS230">
            <v>0</v>
          </cell>
          <cell r="AT230">
            <v>0</v>
          </cell>
          <cell r="AU230">
            <v>0.1</v>
          </cell>
          <cell r="AV230">
            <v>0.1</v>
          </cell>
          <cell r="AW230">
            <v>0</v>
          </cell>
          <cell r="AX230">
            <v>0</v>
          </cell>
          <cell r="AY230">
            <v>0.1</v>
          </cell>
          <cell r="AZ230">
            <v>0</v>
          </cell>
          <cell r="BA230">
            <v>0</v>
          </cell>
          <cell r="BB230">
            <v>0</v>
          </cell>
          <cell r="BC230">
            <v>-0.1</v>
          </cell>
          <cell r="BD230">
            <v>-0.1</v>
          </cell>
          <cell r="BE230">
            <v>0</v>
          </cell>
          <cell r="BF230">
            <v>0</v>
          </cell>
          <cell r="BG230">
            <v>0.1</v>
          </cell>
          <cell r="BH230">
            <v>0.1</v>
          </cell>
          <cell r="BI230">
            <v>-0.1</v>
          </cell>
          <cell r="BJ230">
            <v>0</v>
          </cell>
          <cell r="BK230">
            <v>0</v>
          </cell>
          <cell r="BL230">
            <v>0.1</v>
          </cell>
          <cell r="BM230">
            <v>0.1</v>
          </cell>
          <cell r="BN230">
            <v>0.1</v>
          </cell>
          <cell r="BO230">
            <v>0</v>
          </cell>
          <cell r="BP230">
            <v>0</v>
          </cell>
          <cell r="BQ230">
            <v>0</v>
          </cell>
          <cell r="BR230">
            <v>0.1</v>
          </cell>
          <cell r="BS230">
            <v>0</v>
          </cell>
          <cell r="BT230">
            <v>0.1</v>
          </cell>
          <cell r="BU230">
            <v>0</v>
          </cell>
          <cell r="BV230">
            <v>0</v>
          </cell>
          <cell r="BW230">
            <v>0</v>
          </cell>
          <cell r="BX230">
            <v>0.7</v>
          </cell>
          <cell r="BY230">
            <v>0</v>
          </cell>
          <cell r="BZ230">
            <v>0.6</v>
          </cell>
          <cell r="CA230">
            <v>-0.2</v>
          </cell>
          <cell r="CB230">
            <v>-0.5</v>
          </cell>
          <cell r="CC230">
            <v>0</v>
          </cell>
          <cell r="CD230">
            <v>0</v>
          </cell>
          <cell r="CE230">
            <v>0</v>
          </cell>
          <cell r="CF230">
            <v>0</v>
          </cell>
          <cell r="CG230">
            <v>-0.1</v>
          </cell>
          <cell r="CH230">
            <v>-0.1</v>
          </cell>
          <cell r="CI230">
            <v>0</v>
          </cell>
          <cell r="CJ230">
            <v>0</v>
          </cell>
          <cell r="CK230">
            <v>-0.1</v>
          </cell>
          <cell r="CL230">
            <v>0</v>
          </cell>
          <cell r="CM230">
            <v>-0.2</v>
          </cell>
          <cell r="CN230">
            <v>-0.1</v>
          </cell>
          <cell r="CO230">
            <v>0</v>
          </cell>
          <cell r="CP230">
            <v>0</v>
          </cell>
          <cell r="CQ230">
            <v>0</v>
          </cell>
          <cell r="CR230">
            <v>0</v>
          </cell>
          <cell r="CS230">
            <v>0</v>
          </cell>
          <cell r="CT230">
            <v>0</v>
          </cell>
          <cell r="CU230">
            <v>0</v>
          </cell>
          <cell r="CV230">
            <v>0.1</v>
          </cell>
          <cell r="CW230">
            <v>0</v>
          </cell>
        </row>
        <row r="231">
          <cell r="B231">
            <v>4912</v>
          </cell>
          <cell r="C231">
            <v>4880</v>
          </cell>
          <cell r="D231">
            <v>9786</v>
          </cell>
          <cell r="E231">
            <v>24285</v>
          </cell>
          <cell r="F231">
            <v>9730</v>
          </cell>
          <cell r="G231">
            <v>34015</v>
          </cell>
          <cell r="H231">
            <v>1706</v>
          </cell>
          <cell r="I231">
            <v>9698</v>
          </cell>
          <cell r="J231">
            <v>11414</v>
          </cell>
          <cell r="K231">
            <v>5945</v>
          </cell>
          <cell r="L231">
            <v>19794</v>
          </cell>
          <cell r="M231">
            <v>25747</v>
          </cell>
          <cell r="N231">
            <v>12809</v>
          </cell>
          <cell r="O231">
            <v>21464</v>
          </cell>
          <cell r="P231">
            <v>19421</v>
          </cell>
          <cell r="Q231">
            <v>26826</v>
          </cell>
          <cell r="R231">
            <v>3316</v>
          </cell>
          <cell r="S231">
            <v>7578</v>
          </cell>
          <cell r="T231">
            <v>34796</v>
          </cell>
          <cell r="U231">
            <v>370817</v>
          </cell>
          <cell r="V231">
            <v>28585</v>
          </cell>
          <cell r="W231">
            <v>16</v>
          </cell>
          <cell r="X231">
            <v>399395</v>
          </cell>
          <cell r="Y231">
            <v>0</v>
          </cell>
          <cell r="Z231">
            <v>0</v>
          </cell>
          <cell r="AA231">
            <v>0</v>
          </cell>
          <cell r="AB231">
            <v>0.1</v>
          </cell>
          <cell r="AC231">
            <v>0</v>
          </cell>
          <cell r="AD231">
            <v>0.1</v>
          </cell>
          <cell r="AE231">
            <v>0</v>
          </cell>
          <cell r="AF231">
            <v>0.2</v>
          </cell>
          <cell r="AG231">
            <v>0</v>
          </cell>
          <cell r="AH231">
            <v>0.2</v>
          </cell>
          <cell r="AI231">
            <v>-0.1</v>
          </cell>
          <cell r="AJ231">
            <v>0</v>
          </cell>
          <cell r="AK231">
            <v>0</v>
          </cell>
          <cell r="AL231">
            <v>0</v>
          </cell>
          <cell r="AM231">
            <v>0</v>
          </cell>
          <cell r="AN231">
            <v>-0.1</v>
          </cell>
          <cell r="AO231">
            <v>0</v>
          </cell>
          <cell r="AP231">
            <v>0</v>
          </cell>
          <cell r="AQ231">
            <v>0</v>
          </cell>
          <cell r="AR231">
            <v>0</v>
          </cell>
          <cell r="AS231">
            <v>0</v>
          </cell>
          <cell r="AT231">
            <v>-0.3</v>
          </cell>
          <cell r="AU231">
            <v>0</v>
          </cell>
          <cell r="AV231">
            <v>-0.3</v>
          </cell>
          <cell r="AW231">
            <v>0</v>
          </cell>
          <cell r="AX231">
            <v>0</v>
          </cell>
          <cell r="AY231">
            <v>0</v>
          </cell>
          <cell r="AZ231">
            <v>0</v>
          </cell>
          <cell r="BA231">
            <v>0</v>
          </cell>
          <cell r="BB231">
            <v>0</v>
          </cell>
          <cell r="BC231">
            <v>0</v>
          </cell>
          <cell r="BD231">
            <v>0.1</v>
          </cell>
          <cell r="BE231">
            <v>0</v>
          </cell>
          <cell r="BF231">
            <v>0</v>
          </cell>
          <cell r="BG231">
            <v>0</v>
          </cell>
          <cell r="BH231">
            <v>0.1</v>
          </cell>
          <cell r="BI231">
            <v>0</v>
          </cell>
          <cell r="BJ231">
            <v>0.1</v>
          </cell>
          <cell r="BK231">
            <v>0</v>
          </cell>
          <cell r="BL231">
            <v>0</v>
          </cell>
          <cell r="BM231">
            <v>0</v>
          </cell>
          <cell r="BN231">
            <v>0</v>
          </cell>
          <cell r="BO231">
            <v>0</v>
          </cell>
          <cell r="BP231">
            <v>0</v>
          </cell>
          <cell r="BQ231">
            <v>0</v>
          </cell>
          <cell r="BR231">
            <v>-0.1</v>
          </cell>
          <cell r="BS231">
            <v>0</v>
          </cell>
          <cell r="BT231">
            <v>0.1</v>
          </cell>
          <cell r="BU231">
            <v>0</v>
          </cell>
          <cell r="BV231">
            <v>0</v>
          </cell>
          <cell r="BW231">
            <v>0</v>
          </cell>
          <cell r="BX231">
            <v>0.2</v>
          </cell>
          <cell r="BY231">
            <v>0.1</v>
          </cell>
          <cell r="BZ231">
            <v>0.5</v>
          </cell>
          <cell r="CA231">
            <v>0.3</v>
          </cell>
          <cell r="CB231">
            <v>0.8</v>
          </cell>
          <cell r="CC231">
            <v>0</v>
          </cell>
          <cell r="CD231">
            <v>-0.1</v>
          </cell>
          <cell r="CE231">
            <v>0</v>
          </cell>
          <cell r="CF231">
            <v>-0.1</v>
          </cell>
          <cell r="CG231">
            <v>0</v>
          </cell>
          <cell r="CH231">
            <v>0</v>
          </cell>
          <cell r="CI231">
            <v>0</v>
          </cell>
          <cell r="CJ231">
            <v>0</v>
          </cell>
          <cell r="CK231">
            <v>0.1</v>
          </cell>
          <cell r="CL231">
            <v>0.2</v>
          </cell>
          <cell r="CM231">
            <v>0</v>
          </cell>
          <cell r="CN231">
            <v>-0.1</v>
          </cell>
          <cell r="CO231">
            <v>0</v>
          </cell>
          <cell r="CP231">
            <v>0</v>
          </cell>
          <cell r="CQ231">
            <v>0</v>
          </cell>
          <cell r="CR231">
            <v>0.1</v>
          </cell>
          <cell r="CS231">
            <v>0.3</v>
          </cell>
          <cell r="CT231">
            <v>0</v>
          </cell>
          <cell r="CU231">
            <v>0.1</v>
          </cell>
          <cell r="CV231">
            <v>-0.1</v>
          </cell>
          <cell r="CW231">
            <v>0.1</v>
          </cell>
        </row>
        <row r="232">
          <cell r="B232">
            <v>5228</v>
          </cell>
          <cell r="C232">
            <v>5020</v>
          </cell>
          <cell r="D232">
            <v>10251</v>
          </cell>
          <cell r="E232">
            <v>24550</v>
          </cell>
          <cell r="F232">
            <v>10266</v>
          </cell>
          <cell r="G232">
            <v>34819</v>
          </cell>
          <cell r="H232">
            <v>1682</v>
          </cell>
          <cell r="I232">
            <v>9860</v>
          </cell>
          <cell r="J232">
            <v>11549</v>
          </cell>
          <cell r="K232">
            <v>6398</v>
          </cell>
          <cell r="L232">
            <v>20256</v>
          </cell>
          <cell r="M232">
            <v>26652</v>
          </cell>
          <cell r="N232">
            <v>13342</v>
          </cell>
          <cell r="O232">
            <v>21682</v>
          </cell>
          <cell r="P232">
            <v>19549</v>
          </cell>
          <cell r="Q232">
            <v>27135</v>
          </cell>
          <cell r="R232">
            <v>3477</v>
          </cell>
          <cell r="S232">
            <v>7213</v>
          </cell>
          <cell r="T232">
            <v>34867</v>
          </cell>
          <cell r="U232">
            <v>386611</v>
          </cell>
          <cell r="V232">
            <v>29926</v>
          </cell>
          <cell r="W232">
            <v>517</v>
          </cell>
          <cell r="X232">
            <v>417006</v>
          </cell>
          <cell r="Y232">
            <v>0.1</v>
          </cell>
          <cell r="Z232">
            <v>0</v>
          </cell>
          <cell r="AA232">
            <v>0.1</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0.1</v>
          </cell>
          <cell r="AV232">
            <v>0</v>
          </cell>
          <cell r="AW232">
            <v>0</v>
          </cell>
          <cell r="AX232">
            <v>0.1</v>
          </cell>
          <cell r="AY232">
            <v>0</v>
          </cell>
          <cell r="AZ232">
            <v>0</v>
          </cell>
          <cell r="BA232">
            <v>0</v>
          </cell>
          <cell r="BB232">
            <v>0</v>
          </cell>
          <cell r="BC232">
            <v>0</v>
          </cell>
          <cell r="BD232">
            <v>0</v>
          </cell>
          <cell r="BE232">
            <v>0</v>
          </cell>
          <cell r="BF232">
            <v>0</v>
          </cell>
          <cell r="BG232">
            <v>0</v>
          </cell>
          <cell r="BH232">
            <v>0.1</v>
          </cell>
          <cell r="BI232">
            <v>0</v>
          </cell>
          <cell r="BJ232">
            <v>0.1</v>
          </cell>
          <cell r="BK232">
            <v>0</v>
          </cell>
          <cell r="BL232">
            <v>0</v>
          </cell>
          <cell r="BM232">
            <v>-0.1</v>
          </cell>
          <cell r="BN232">
            <v>0.1</v>
          </cell>
          <cell r="BO232">
            <v>0</v>
          </cell>
          <cell r="BP232">
            <v>0</v>
          </cell>
          <cell r="BQ232">
            <v>0</v>
          </cell>
          <cell r="BR232">
            <v>0.1</v>
          </cell>
          <cell r="BS232">
            <v>0</v>
          </cell>
          <cell r="BT232">
            <v>0.1</v>
          </cell>
          <cell r="BU232">
            <v>0</v>
          </cell>
          <cell r="BV232">
            <v>-0.1</v>
          </cell>
          <cell r="BW232">
            <v>0</v>
          </cell>
          <cell r="BX232">
            <v>0.5</v>
          </cell>
          <cell r="BY232">
            <v>0</v>
          </cell>
          <cell r="BZ232">
            <v>0.4</v>
          </cell>
          <cell r="CA232">
            <v>0.1</v>
          </cell>
          <cell r="CB232">
            <v>-0.2</v>
          </cell>
          <cell r="CC232">
            <v>0</v>
          </cell>
          <cell r="CD232">
            <v>0</v>
          </cell>
          <cell r="CE232">
            <v>-0.1</v>
          </cell>
          <cell r="CF232">
            <v>0.1</v>
          </cell>
          <cell r="CG232">
            <v>0</v>
          </cell>
          <cell r="CH232">
            <v>-0.1</v>
          </cell>
          <cell r="CI232">
            <v>0</v>
          </cell>
          <cell r="CJ232">
            <v>0</v>
          </cell>
          <cell r="CK232">
            <v>0.1</v>
          </cell>
          <cell r="CL232">
            <v>-0.1</v>
          </cell>
          <cell r="CM232">
            <v>0.1</v>
          </cell>
          <cell r="CN232">
            <v>0.1</v>
          </cell>
          <cell r="CO232">
            <v>0</v>
          </cell>
          <cell r="CP232">
            <v>0</v>
          </cell>
          <cell r="CQ232">
            <v>0</v>
          </cell>
          <cell r="CR232">
            <v>-0.3</v>
          </cell>
          <cell r="CS232">
            <v>-0.5</v>
          </cell>
          <cell r="CT232">
            <v>0</v>
          </cell>
          <cell r="CU232">
            <v>-0.1</v>
          </cell>
          <cell r="CV232">
            <v>0</v>
          </cell>
          <cell r="CW232">
            <v>0</v>
          </cell>
        </row>
        <row r="233">
          <cell r="B233">
            <v>5241</v>
          </cell>
          <cell r="C233">
            <v>4952</v>
          </cell>
          <cell r="D233">
            <v>10205</v>
          </cell>
          <cell r="E233">
            <v>24856</v>
          </cell>
          <cell r="F233">
            <v>9356</v>
          </cell>
          <cell r="G233">
            <v>34207</v>
          </cell>
          <cell r="H233">
            <v>1620</v>
          </cell>
          <cell r="I233">
            <v>9666</v>
          </cell>
          <cell r="J233">
            <v>11290</v>
          </cell>
          <cell r="K233">
            <v>6140</v>
          </cell>
          <cell r="L233">
            <v>18626</v>
          </cell>
          <cell r="M233">
            <v>24761</v>
          </cell>
          <cell r="N233">
            <v>12667</v>
          </cell>
          <cell r="O233">
            <v>22158</v>
          </cell>
          <cell r="P233">
            <v>19693</v>
          </cell>
          <cell r="Q233">
            <v>27017</v>
          </cell>
          <cell r="R233">
            <v>3262</v>
          </cell>
          <cell r="S233">
            <v>7110</v>
          </cell>
          <cell r="T233">
            <v>35013</v>
          </cell>
          <cell r="U233">
            <v>364904</v>
          </cell>
          <cell r="V233">
            <v>26649</v>
          </cell>
          <cell r="W233">
            <v>-2403</v>
          </cell>
          <cell r="X233">
            <v>389205</v>
          </cell>
          <cell r="Y233">
            <v>0.1</v>
          </cell>
          <cell r="Z233">
            <v>0</v>
          </cell>
          <cell r="AA233">
            <v>0.1</v>
          </cell>
          <cell r="AB233">
            <v>0</v>
          </cell>
          <cell r="AC233">
            <v>0</v>
          </cell>
          <cell r="AD233">
            <v>0</v>
          </cell>
          <cell r="AE233">
            <v>0</v>
          </cell>
          <cell r="AF233">
            <v>0.1</v>
          </cell>
          <cell r="AG233">
            <v>0</v>
          </cell>
          <cell r="AH233">
            <v>0.1</v>
          </cell>
          <cell r="AI233">
            <v>0</v>
          </cell>
          <cell r="AJ233">
            <v>-0.1</v>
          </cell>
          <cell r="AK233">
            <v>0</v>
          </cell>
          <cell r="AL233">
            <v>0</v>
          </cell>
          <cell r="AM233">
            <v>0.1</v>
          </cell>
          <cell r="AN233">
            <v>0</v>
          </cell>
          <cell r="AO233">
            <v>0</v>
          </cell>
          <cell r="AP233">
            <v>0</v>
          </cell>
          <cell r="AQ233">
            <v>0</v>
          </cell>
          <cell r="AR233">
            <v>0</v>
          </cell>
          <cell r="AS233">
            <v>0.1</v>
          </cell>
          <cell r="AT233">
            <v>-0.2</v>
          </cell>
          <cell r="AU233">
            <v>0</v>
          </cell>
          <cell r="AV233">
            <v>-0.2</v>
          </cell>
          <cell r="AW233">
            <v>0</v>
          </cell>
          <cell r="AX233">
            <v>0.1</v>
          </cell>
          <cell r="AY233">
            <v>0</v>
          </cell>
          <cell r="AZ233">
            <v>0</v>
          </cell>
          <cell r="BA233">
            <v>0</v>
          </cell>
          <cell r="BB233">
            <v>0.1</v>
          </cell>
          <cell r="BC233">
            <v>0</v>
          </cell>
          <cell r="BD233">
            <v>0.1</v>
          </cell>
          <cell r="BE233">
            <v>0</v>
          </cell>
          <cell r="BF233">
            <v>0.1</v>
          </cell>
          <cell r="BG233">
            <v>0.1</v>
          </cell>
          <cell r="BH233">
            <v>0.1</v>
          </cell>
          <cell r="BI233">
            <v>0</v>
          </cell>
          <cell r="BJ233">
            <v>0.1</v>
          </cell>
          <cell r="BK233">
            <v>0</v>
          </cell>
          <cell r="BL233">
            <v>0</v>
          </cell>
          <cell r="BM233">
            <v>0.1</v>
          </cell>
          <cell r="BN233">
            <v>0</v>
          </cell>
          <cell r="BO233">
            <v>0.2</v>
          </cell>
          <cell r="BP233">
            <v>0.3</v>
          </cell>
          <cell r="BQ233">
            <v>0</v>
          </cell>
          <cell r="BR233">
            <v>0</v>
          </cell>
          <cell r="BS233">
            <v>0</v>
          </cell>
          <cell r="BT233">
            <v>0</v>
          </cell>
          <cell r="BU233">
            <v>0</v>
          </cell>
          <cell r="BV233">
            <v>0.1</v>
          </cell>
          <cell r="BW233">
            <v>0</v>
          </cell>
          <cell r="BX233">
            <v>1</v>
          </cell>
          <cell r="BY233">
            <v>-0.1</v>
          </cell>
          <cell r="BZ233">
            <v>1</v>
          </cell>
          <cell r="CA233">
            <v>-0.3</v>
          </cell>
          <cell r="CB233">
            <v>0</v>
          </cell>
          <cell r="CC233">
            <v>0.1</v>
          </cell>
          <cell r="CD233">
            <v>-0.1</v>
          </cell>
          <cell r="CE233">
            <v>0</v>
          </cell>
          <cell r="CF233">
            <v>-0.1</v>
          </cell>
          <cell r="CG233">
            <v>0</v>
          </cell>
          <cell r="CH233">
            <v>0.2</v>
          </cell>
          <cell r="CI233">
            <v>0</v>
          </cell>
          <cell r="CJ233">
            <v>0</v>
          </cell>
          <cell r="CK233">
            <v>-0.1</v>
          </cell>
          <cell r="CL233">
            <v>0</v>
          </cell>
          <cell r="CM233">
            <v>0.1</v>
          </cell>
          <cell r="CN233">
            <v>0</v>
          </cell>
          <cell r="CO233">
            <v>0</v>
          </cell>
          <cell r="CP233">
            <v>0</v>
          </cell>
          <cell r="CQ233">
            <v>0</v>
          </cell>
          <cell r="CR233">
            <v>0.1</v>
          </cell>
          <cell r="CS233">
            <v>0.2</v>
          </cell>
          <cell r="CT233">
            <v>0</v>
          </cell>
          <cell r="CU233">
            <v>0</v>
          </cell>
          <cell r="CV233">
            <v>-0.1</v>
          </cell>
          <cell r="CW233">
            <v>0</v>
          </cell>
        </row>
        <row r="234">
          <cell r="B234">
            <v>5266</v>
          </cell>
          <cell r="C234">
            <v>5480</v>
          </cell>
          <cell r="D234">
            <v>10727</v>
          </cell>
          <cell r="E234">
            <v>24990</v>
          </cell>
          <cell r="F234">
            <v>10208</v>
          </cell>
          <cell r="G234">
            <v>35203</v>
          </cell>
          <cell r="H234">
            <v>1693</v>
          </cell>
          <cell r="I234">
            <v>10340</v>
          </cell>
          <cell r="J234">
            <v>12033</v>
          </cell>
          <cell r="K234">
            <v>6940</v>
          </cell>
          <cell r="L234">
            <v>20624</v>
          </cell>
          <cell r="M234">
            <v>27564</v>
          </cell>
          <cell r="N234">
            <v>13380</v>
          </cell>
          <cell r="O234">
            <v>22635</v>
          </cell>
          <cell r="P234">
            <v>19853</v>
          </cell>
          <cell r="Q234">
            <v>27625</v>
          </cell>
          <cell r="R234">
            <v>3252</v>
          </cell>
          <cell r="S234">
            <v>7357</v>
          </cell>
          <cell r="T234">
            <v>35237</v>
          </cell>
          <cell r="U234">
            <v>379149</v>
          </cell>
          <cell r="V234">
            <v>27283</v>
          </cell>
          <cell r="W234">
            <v>1870</v>
          </cell>
          <cell r="X234">
            <v>408366</v>
          </cell>
          <cell r="Y234">
            <v>-0.1</v>
          </cell>
          <cell r="Z234">
            <v>0</v>
          </cell>
          <cell r="AA234">
            <v>-0.1</v>
          </cell>
          <cell r="AB234">
            <v>0</v>
          </cell>
          <cell r="AC234">
            <v>-0.1</v>
          </cell>
          <cell r="AD234">
            <v>0</v>
          </cell>
          <cell r="AE234">
            <v>0</v>
          </cell>
          <cell r="AF234">
            <v>-0.1</v>
          </cell>
          <cell r="AG234">
            <v>0</v>
          </cell>
          <cell r="AH234">
            <v>-0.1</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-0.1</v>
          </cell>
          <cell r="AW234">
            <v>0</v>
          </cell>
          <cell r="AX234">
            <v>0</v>
          </cell>
          <cell r="AY234">
            <v>0</v>
          </cell>
          <cell r="AZ234">
            <v>0</v>
          </cell>
          <cell r="BA234">
            <v>0</v>
          </cell>
          <cell r="BB234">
            <v>0</v>
          </cell>
          <cell r="BC234">
            <v>0.1</v>
          </cell>
          <cell r="BD234">
            <v>0.1</v>
          </cell>
          <cell r="BE234">
            <v>0</v>
          </cell>
          <cell r="BF234">
            <v>0</v>
          </cell>
          <cell r="BG234">
            <v>0</v>
          </cell>
          <cell r="BH234">
            <v>0</v>
          </cell>
          <cell r="BI234">
            <v>0</v>
          </cell>
          <cell r="BJ234">
            <v>0</v>
          </cell>
          <cell r="BK234">
            <v>0</v>
          </cell>
          <cell r="BL234">
            <v>0.1</v>
          </cell>
          <cell r="BM234">
            <v>0.1</v>
          </cell>
          <cell r="BN234">
            <v>0</v>
          </cell>
          <cell r="BO234">
            <v>0</v>
          </cell>
          <cell r="BP234">
            <v>0</v>
          </cell>
          <cell r="BQ234">
            <v>0.1</v>
          </cell>
          <cell r="BR234">
            <v>0</v>
          </cell>
          <cell r="BS234">
            <v>0</v>
          </cell>
          <cell r="BT234">
            <v>0.1</v>
          </cell>
          <cell r="BU234">
            <v>0</v>
          </cell>
          <cell r="BV234">
            <v>0</v>
          </cell>
          <cell r="BW234">
            <v>0.1</v>
          </cell>
          <cell r="BX234">
            <v>0.4</v>
          </cell>
          <cell r="BY234">
            <v>0</v>
          </cell>
          <cell r="BZ234">
            <v>0.2</v>
          </cell>
          <cell r="CA234">
            <v>-0.1</v>
          </cell>
          <cell r="CB234">
            <v>-0.7</v>
          </cell>
          <cell r="CC234">
            <v>-0.1</v>
          </cell>
          <cell r="CD234">
            <v>0.1</v>
          </cell>
          <cell r="CE234">
            <v>0</v>
          </cell>
          <cell r="CF234">
            <v>0</v>
          </cell>
          <cell r="CG234">
            <v>0</v>
          </cell>
          <cell r="CH234">
            <v>-0.2</v>
          </cell>
          <cell r="CI234">
            <v>0</v>
          </cell>
          <cell r="CJ234">
            <v>0</v>
          </cell>
          <cell r="CK234">
            <v>0</v>
          </cell>
          <cell r="CL234">
            <v>0</v>
          </cell>
          <cell r="CM234">
            <v>-0.2</v>
          </cell>
          <cell r="CN234">
            <v>-0.1</v>
          </cell>
          <cell r="CO234">
            <v>0</v>
          </cell>
          <cell r="CP234">
            <v>0</v>
          </cell>
          <cell r="CQ234">
            <v>0</v>
          </cell>
          <cell r="CR234">
            <v>0.1</v>
          </cell>
          <cell r="CS234">
            <v>0</v>
          </cell>
          <cell r="CT234">
            <v>0</v>
          </cell>
          <cell r="CU234">
            <v>-0.1</v>
          </cell>
          <cell r="CV234">
            <v>0.1</v>
          </cell>
          <cell r="CW234">
            <v>-0.1</v>
          </cell>
        </row>
        <row r="235">
          <cell r="B235">
            <v>5384</v>
          </cell>
          <cell r="C235">
            <v>5248</v>
          </cell>
          <cell r="D235">
            <v>10626</v>
          </cell>
          <cell r="E235">
            <v>25131</v>
          </cell>
          <cell r="F235">
            <v>9949</v>
          </cell>
          <cell r="G235">
            <v>35079</v>
          </cell>
          <cell r="H235">
            <v>1643</v>
          </cell>
          <cell r="I235">
            <v>10676</v>
          </cell>
          <cell r="J235">
            <v>12317</v>
          </cell>
          <cell r="K235">
            <v>6327</v>
          </cell>
          <cell r="L235">
            <v>20596</v>
          </cell>
          <cell r="M235">
            <v>26891</v>
          </cell>
          <cell r="N235">
            <v>13313</v>
          </cell>
          <cell r="O235">
            <v>22500</v>
          </cell>
          <cell r="P235">
            <v>20038</v>
          </cell>
          <cell r="Q235">
            <v>28171</v>
          </cell>
          <cell r="R235">
            <v>3385</v>
          </cell>
          <cell r="S235">
            <v>7470</v>
          </cell>
          <cell r="T235">
            <v>35528</v>
          </cell>
          <cell r="U235">
            <v>381762</v>
          </cell>
          <cell r="V235">
            <v>28742</v>
          </cell>
          <cell r="W235">
            <v>-219</v>
          </cell>
          <cell r="X235">
            <v>410278</v>
          </cell>
          <cell r="Y235">
            <v>-0.2</v>
          </cell>
          <cell r="Z235">
            <v>0</v>
          </cell>
          <cell r="AA235">
            <v>-0.2</v>
          </cell>
          <cell r="AB235">
            <v>0</v>
          </cell>
          <cell r="AC235">
            <v>0.1</v>
          </cell>
          <cell r="AD235">
            <v>0.1</v>
          </cell>
          <cell r="AE235">
            <v>0.1</v>
          </cell>
          <cell r="AF235">
            <v>0.4</v>
          </cell>
          <cell r="AG235">
            <v>-0.1</v>
          </cell>
          <cell r="AH235">
            <v>0.4</v>
          </cell>
          <cell r="AI235">
            <v>0</v>
          </cell>
          <cell r="AJ235">
            <v>0.1</v>
          </cell>
          <cell r="AK235">
            <v>0</v>
          </cell>
          <cell r="AL235">
            <v>0</v>
          </cell>
          <cell r="AM235">
            <v>-0.1</v>
          </cell>
          <cell r="AN235">
            <v>0</v>
          </cell>
          <cell r="AO235">
            <v>0</v>
          </cell>
          <cell r="AP235">
            <v>0</v>
          </cell>
          <cell r="AQ235">
            <v>0</v>
          </cell>
          <cell r="AR235">
            <v>0</v>
          </cell>
          <cell r="AS235">
            <v>0</v>
          </cell>
          <cell r="AT235">
            <v>-0.1</v>
          </cell>
          <cell r="AU235">
            <v>0.1</v>
          </cell>
          <cell r="AV235">
            <v>0.1</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0.1</v>
          </cell>
          <cell r="BM235">
            <v>0.1</v>
          </cell>
          <cell r="BN235">
            <v>0</v>
          </cell>
          <cell r="BO235">
            <v>0</v>
          </cell>
          <cell r="BP235">
            <v>0</v>
          </cell>
          <cell r="BQ235">
            <v>0</v>
          </cell>
          <cell r="BR235">
            <v>0</v>
          </cell>
          <cell r="BS235">
            <v>0</v>
          </cell>
          <cell r="BT235">
            <v>0.1</v>
          </cell>
          <cell r="BU235">
            <v>0</v>
          </cell>
          <cell r="BV235">
            <v>0</v>
          </cell>
          <cell r="BW235">
            <v>0.1</v>
          </cell>
          <cell r="BX235">
            <v>0.7</v>
          </cell>
          <cell r="BY235">
            <v>0.1</v>
          </cell>
          <cell r="BZ235">
            <v>1</v>
          </cell>
          <cell r="CA235">
            <v>0.1</v>
          </cell>
          <cell r="CB235">
            <v>1.1000000000000001</v>
          </cell>
          <cell r="CC235">
            <v>-0.1</v>
          </cell>
          <cell r="CD235">
            <v>0</v>
          </cell>
          <cell r="CE235">
            <v>0</v>
          </cell>
          <cell r="CF235">
            <v>-0.1</v>
          </cell>
          <cell r="CG235">
            <v>0.1</v>
          </cell>
          <cell r="CH235">
            <v>0.1</v>
          </cell>
          <cell r="CI235">
            <v>0</v>
          </cell>
          <cell r="CJ235">
            <v>0</v>
          </cell>
          <cell r="CK235">
            <v>0.1</v>
          </cell>
          <cell r="CL235">
            <v>0.2</v>
          </cell>
          <cell r="CM235">
            <v>0.1</v>
          </cell>
          <cell r="CN235">
            <v>-0.1</v>
          </cell>
          <cell r="CO235">
            <v>0</v>
          </cell>
          <cell r="CP235">
            <v>0</v>
          </cell>
          <cell r="CQ235">
            <v>-0.1</v>
          </cell>
          <cell r="CR235">
            <v>0</v>
          </cell>
          <cell r="CS235">
            <v>0.4</v>
          </cell>
          <cell r="CT235">
            <v>0</v>
          </cell>
          <cell r="CU235">
            <v>0.1</v>
          </cell>
          <cell r="CV235">
            <v>-0.1</v>
          </cell>
          <cell r="CW235">
            <v>0.1</v>
          </cell>
        </row>
        <row r="236">
          <cell r="B236">
            <v>5703</v>
          </cell>
          <cell r="C236">
            <v>5639</v>
          </cell>
          <cell r="D236">
            <v>11336</v>
          </cell>
          <cell r="E236">
            <v>25365</v>
          </cell>
          <cell r="F236">
            <v>10488</v>
          </cell>
          <cell r="G236">
            <v>35863</v>
          </cell>
          <cell r="H236">
            <v>1785</v>
          </cell>
          <cell r="I236">
            <v>11129</v>
          </cell>
          <cell r="J236">
            <v>12914</v>
          </cell>
          <cell r="K236">
            <v>6769</v>
          </cell>
          <cell r="L236">
            <v>21118</v>
          </cell>
          <cell r="M236">
            <v>27882</v>
          </cell>
          <cell r="N236">
            <v>13698</v>
          </cell>
          <cell r="O236">
            <v>22135</v>
          </cell>
          <cell r="P236">
            <v>20168</v>
          </cell>
          <cell r="Q236">
            <v>28100</v>
          </cell>
          <cell r="R236">
            <v>3579</v>
          </cell>
          <cell r="S236">
            <v>7429</v>
          </cell>
          <cell r="T236">
            <v>35788</v>
          </cell>
          <cell r="U236">
            <v>396674</v>
          </cell>
          <cell r="V236">
            <v>30641</v>
          </cell>
          <cell r="W236">
            <v>521</v>
          </cell>
          <cell r="X236">
            <v>427795</v>
          </cell>
          <cell r="Y236">
            <v>-0.1</v>
          </cell>
          <cell r="Z236">
            <v>0</v>
          </cell>
          <cell r="AA236">
            <v>-0.1</v>
          </cell>
          <cell r="AB236">
            <v>0</v>
          </cell>
          <cell r="AC236">
            <v>0.1</v>
          </cell>
          <cell r="AD236">
            <v>0</v>
          </cell>
          <cell r="AE236">
            <v>-0.1</v>
          </cell>
          <cell r="AF236">
            <v>0</v>
          </cell>
          <cell r="AG236">
            <v>0</v>
          </cell>
          <cell r="AH236">
            <v>0</v>
          </cell>
          <cell r="AI236">
            <v>0</v>
          </cell>
          <cell r="AJ236">
            <v>-0.1</v>
          </cell>
          <cell r="AK236">
            <v>0</v>
          </cell>
          <cell r="AL236">
            <v>0</v>
          </cell>
          <cell r="AM236">
            <v>0.1</v>
          </cell>
          <cell r="AN236">
            <v>-0.1</v>
          </cell>
          <cell r="AO236">
            <v>0</v>
          </cell>
          <cell r="AP236">
            <v>0</v>
          </cell>
          <cell r="AQ236">
            <v>0</v>
          </cell>
          <cell r="AR236">
            <v>0</v>
          </cell>
          <cell r="AS236">
            <v>0</v>
          </cell>
          <cell r="AT236">
            <v>-0.1</v>
          </cell>
          <cell r="AU236">
            <v>0.1</v>
          </cell>
          <cell r="AV236">
            <v>0.1</v>
          </cell>
          <cell r="AW236">
            <v>0</v>
          </cell>
          <cell r="AX236">
            <v>0</v>
          </cell>
          <cell r="AY236">
            <v>0</v>
          </cell>
          <cell r="AZ236">
            <v>0</v>
          </cell>
          <cell r="BA236">
            <v>0</v>
          </cell>
          <cell r="BB236">
            <v>0</v>
          </cell>
          <cell r="BC236">
            <v>0</v>
          </cell>
          <cell r="BD236">
            <v>0</v>
          </cell>
          <cell r="BE236">
            <v>0</v>
          </cell>
          <cell r="BF236">
            <v>0</v>
          </cell>
          <cell r="BG236">
            <v>0.1</v>
          </cell>
          <cell r="BH236">
            <v>0</v>
          </cell>
          <cell r="BI236">
            <v>0.1</v>
          </cell>
          <cell r="BJ236">
            <v>0.1</v>
          </cell>
          <cell r="BK236">
            <v>0</v>
          </cell>
          <cell r="BL236">
            <v>0</v>
          </cell>
          <cell r="BM236">
            <v>0</v>
          </cell>
          <cell r="BN236">
            <v>0</v>
          </cell>
          <cell r="BO236">
            <v>0</v>
          </cell>
          <cell r="BP236">
            <v>0</v>
          </cell>
          <cell r="BQ236">
            <v>0</v>
          </cell>
          <cell r="BR236">
            <v>0.1</v>
          </cell>
          <cell r="BS236">
            <v>0</v>
          </cell>
          <cell r="BT236">
            <v>0</v>
          </cell>
          <cell r="BU236">
            <v>0</v>
          </cell>
          <cell r="BV236">
            <v>0</v>
          </cell>
          <cell r="BW236">
            <v>0.1</v>
          </cell>
          <cell r="BX236">
            <v>0.5</v>
          </cell>
          <cell r="BY236">
            <v>0.1</v>
          </cell>
          <cell r="BZ236">
            <v>0.5</v>
          </cell>
          <cell r="CA236">
            <v>-0.6</v>
          </cell>
          <cell r="CB236">
            <v>-0.3</v>
          </cell>
          <cell r="CC236">
            <v>0</v>
          </cell>
          <cell r="CD236">
            <v>0</v>
          </cell>
          <cell r="CE236">
            <v>-0.2</v>
          </cell>
          <cell r="CF236">
            <v>0.1</v>
          </cell>
          <cell r="CG236">
            <v>0</v>
          </cell>
          <cell r="CH236">
            <v>-0.3</v>
          </cell>
          <cell r="CI236">
            <v>0</v>
          </cell>
          <cell r="CJ236">
            <v>0</v>
          </cell>
          <cell r="CK236">
            <v>0.2</v>
          </cell>
          <cell r="CL236">
            <v>-0.3</v>
          </cell>
          <cell r="CM236">
            <v>0.1</v>
          </cell>
          <cell r="CN236">
            <v>0.2</v>
          </cell>
          <cell r="CO236">
            <v>0</v>
          </cell>
          <cell r="CP236">
            <v>0</v>
          </cell>
          <cell r="CQ236">
            <v>-0.1</v>
          </cell>
          <cell r="CR236">
            <v>-0.3</v>
          </cell>
          <cell r="CS236">
            <v>-0.7</v>
          </cell>
          <cell r="CT236">
            <v>0</v>
          </cell>
          <cell r="CU236">
            <v>-0.1</v>
          </cell>
          <cell r="CV236">
            <v>0.2</v>
          </cell>
          <cell r="CW236">
            <v>0</v>
          </cell>
        </row>
        <row r="237">
          <cell r="B237">
            <v>5629</v>
          </cell>
          <cell r="C237">
            <v>5222</v>
          </cell>
          <cell r="D237">
            <v>10860</v>
          </cell>
          <cell r="E237">
            <v>25679</v>
          </cell>
          <cell r="F237">
            <v>9712</v>
          </cell>
          <cell r="G237">
            <v>35376</v>
          </cell>
          <cell r="H237">
            <v>1788</v>
          </cell>
          <cell r="I237">
            <v>10456</v>
          </cell>
          <cell r="J237">
            <v>12244</v>
          </cell>
          <cell r="K237">
            <v>6300</v>
          </cell>
          <cell r="L237">
            <v>18862</v>
          </cell>
          <cell r="M237">
            <v>25191</v>
          </cell>
          <cell r="N237">
            <v>12917</v>
          </cell>
          <cell r="O237">
            <v>23160</v>
          </cell>
          <cell r="P237">
            <v>20284</v>
          </cell>
          <cell r="Q237">
            <v>27681</v>
          </cell>
          <cell r="R237">
            <v>3444</v>
          </cell>
          <cell r="S237">
            <v>6887</v>
          </cell>
          <cell r="T237">
            <v>36031</v>
          </cell>
          <cell r="U237">
            <v>374154</v>
          </cell>
          <cell r="V237">
            <v>28104</v>
          </cell>
          <cell r="W237">
            <v>-2555</v>
          </cell>
          <cell r="X237">
            <v>399709</v>
          </cell>
          <cell r="Y237">
            <v>0</v>
          </cell>
          <cell r="Z237">
            <v>0</v>
          </cell>
          <cell r="AA237">
            <v>0.1</v>
          </cell>
          <cell r="AB237">
            <v>0</v>
          </cell>
          <cell r="AC237">
            <v>0.1</v>
          </cell>
          <cell r="AD237">
            <v>0.2</v>
          </cell>
          <cell r="AE237">
            <v>0</v>
          </cell>
          <cell r="AF237">
            <v>0.2</v>
          </cell>
          <cell r="AG237">
            <v>0</v>
          </cell>
          <cell r="AH237">
            <v>0.2</v>
          </cell>
          <cell r="AI237">
            <v>0.1</v>
          </cell>
          <cell r="AJ237">
            <v>0</v>
          </cell>
          <cell r="AK237">
            <v>0</v>
          </cell>
          <cell r="AL237">
            <v>0</v>
          </cell>
          <cell r="AM237">
            <v>0</v>
          </cell>
          <cell r="AN237">
            <v>0</v>
          </cell>
          <cell r="AO237">
            <v>0</v>
          </cell>
          <cell r="AP237">
            <v>0</v>
          </cell>
          <cell r="AQ237">
            <v>0</v>
          </cell>
          <cell r="AR237">
            <v>0</v>
          </cell>
          <cell r="AS237">
            <v>0</v>
          </cell>
          <cell r="AT237">
            <v>-0.1</v>
          </cell>
          <cell r="AU237">
            <v>0</v>
          </cell>
          <cell r="AV237">
            <v>-0.1</v>
          </cell>
          <cell r="AW237">
            <v>0</v>
          </cell>
          <cell r="AX237">
            <v>0</v>
          </cell>
          <cell r="AY237">
            <v>0</v>
          </cell>
          <cell r="AZ237">
            <v>0</v>
          </cell>
          <cell r="BA237">
            <v>0</v>
          </cell>
          <cell r="BB237">
            <v>0</v>
          </cell>
          <cell r="BC237">
            <v>0</v>
          </cell>
          <cell r="BD237">
            <v>0</v>
          </cell>
          <cell r="BE237">
            <v>0</v>
          </cell>
          <cell r="BF237">
            <v>0</v>
          </cell>
          <cell r="BG237">
            <v>0</v>
          </cell>
          <cell r="BH237">
            <v>0.1</v>
          </cell>
          <cell r="BI237">
            <v>0</v>
          </cell>
          <cell r="BJ237">
            <v>0.1</v>
          </cell>
          <cell r="BK237">
            <v>0</v>
          </cell>
          <cell r="BL237">
            <v>-0.1</v>
          </cell>
          <cell r="BM237">
            <v>0</v>
          </cell>
          <cell r="BN237">
            <v>0</v>
          </cell>
          <cell r="BO237">
            <v>0.1</v>
          </cell>
          <cell r="BP237">
            <v>0.1</v>
          </cell>
          <cell r="BQ237">
            <v>0</v>
          </cell>
          <cell r="BR237">
            <v>0.2</v>
          </cell>
          <cell r="BS237">
            <v>0</v>
          </cell>
          <cell r="BT237">
            <v>0</v>
          </cell>
          <cell r="BU237">
            <v>0</v>
          </cell>
          <cell r="BV237">
            <v>0</v>
          </cell>
          <cell r="BW237">
            <v>0.1</v>
          </cell>
          <cell r="BX237">
            <v>0.8</v>
          </cell>
          <cell r="BY237">
            <v>0.1</v>
          </cell>
          <cell r="BZ237">
            <v>1</v>
          </cell>
          <cell r="CA237">
            <v>0.9</v>
          </cell>
          <cell r="CB237">
            <v>0</v>
          </cell>
          <cell r="CC237">
            <v>0.2</v>
          </cell>
          <cell r="CD237">
            <v>0</v>
          </cell>
          <cell r="CE237">
            <v>0.1</v>
          </cell>
          <cell r="CF237">
            <v>-0.1</v>
          </cell>
          <cell r="CG237">
            <v>0</v>
          </cell>
          <cell r="CH237">
            <v>0.3</v>
          </cell>
          <cell r="CI237">
            <v>0</v>
          </cell>
          <cell r="CJ237">
            <v>0</v>
          </cell>
          <cell r="CK237">
            <v>-0.2</v>
          </cell>
          <cell r="CL237">
            <v>0.1</v>
          </cell>
          <cell r="CM237">
            <v>0.1</v>
          </cell>
          <cell r="CN237">
            <v>0</v>
          </cell>
          <cell r="CO237">
            <v>0</v>
          </cell>
          <cell r="CP237">
            <v>0</v>
          </cell>
          <cell r="CQ237">
            <v>0</v>
          </cell>
          <cell r="CR237">
            <v>0.2</v>
          </cell>
          <cell r="CS237">
            <v>0.3</v>
          </cell>
          <cell r="CT237">
            <v>0</v>
          </cell>
          <cell r="CU237">
            <v>0.1</v>
          </cell>
          <cell r="CV237">
            <v>-0.1</v>
          </cell>
          <cell r="CW237">
            <v>0</v>
          </cell>
        </row>
        <row r="238">
          <cell r="B238">
            <v>5747</v>
          </cell>
          <cell r="C238">
            <v>5505</v>
          </cell>
          <cell r="D238">
            <v>11254</v>
          </cell>
          <cell r="E238">
            <v>25905</v>
          </cell>
          <cell r="F238">
            <v>10734</v>
          </cell>
          <cell r="G238">
            <v>36647</v>
          </cell>
          <cell r="H238">
            <v>1719</v>
          </cell>
          <cell r="I238">
            <v>11401</v>
          </cell>
          <cell r="J238">
            <v>13122</v>
          </cell>
          <cell r="K238">
            <v>6972</v>
          </cell>
          <cell r="L238">
            <v>21592</v>
          </cell>
          <cell r="M238">
            <v>28574</v>
          </cell>
          <cell r="N238">
            <v>13644</v>
          </cell>
          <cell r="O238">
            <v>23333</v>
          </cell>
          <cell r="P238">
            <v>20384</v>
          </cell>
          <cell r="Q238">
            <v>29109</v>
          </cell>
          <cell r="R238">
            <v>3404</v>
          </cell>
          <cell r="S238">
            <v>7389</v>
          </cell>
          <cell r="T238">
            <v>36255</v>
          </cell>
          <cell r="U238">
            <v>390182</v>
          </cell>
          <cell r="V238">
            <v>29344</v>
          </cell>
          <cell r="W238">
            <v>2253</v>
          </cell>
          <cell r="X238">
            <v>421822</v>
          </cell>
          <cell r="Y238">
            <v>0.1</v>
          </cell>
          <cell r="Z238">
            <v>0</v>
          </cell>
          <cell r="AA238">
            <v>0.1</v>
          </cell>
          <cell r="AB238">
            <v>0</v>
          </cell>
          <cell r="AC238">
            <v>0</v>
          </cell>
          <cell r="AD238">
            <v>-0.1</v>
          </cell>
          <cell r="AE238">
            <v>0</v>
          </cell>
          <cell r="AF238">
            <v>-0.1</v>
          </cell>
          <cell r="AG238">
            <v>0</v>
          </cell>
          <cell r="AH238">
            <v>-0.1</v>
          </cell>
          <cell r="AI238">
            <v>0</v>
          </cell>
          <cell r="AJ238">
            <v>0</v>
          </cell>
          <cell r="AK238">
            <v>0</v>
          </cell>
          <cell r="AL238">
            <v>-0.1</v>
          </cell>
          <cell r="AM238">
            <v>0</v>
          </cell>
          <cell r="AN238">
            <v>0</v>
          </cell>
          <cell r="AO238">
            <v>0</v>
          </cell>
          <cell r="AP238">
            <v>0</v>
          </cell>
          <cell r="AQ238">
            <v>0</v>
          </cell>
          <cell r="AR238">
            <v>0</v>
          </cell>
          <cell r="AS238">
            <v>0</v>
          </cell>
          <cell r="AT238">
            <v>0</v>
          </cell>
          <cell r="AU238">
            <v>-0.1</v>
          </cell>
          <cell r="AV238">
            <v>-0.1</v>
          </cell>
          <cell r="AW238">
            <v>0.1</v>
          </cell>
          <cell r="AX238">
            <v>0</v>
          </cell>
          <cell r="AY238">
            <v>0</v>
          </cell>
          <cell r="AZ238">
            <v>0</v>
          </cell>
          <cell r="BA238">
            <v>0</v>
          </cell>
          <cell r="BB238">
            <v>0</v>
          </cell>
          <cell r="BC238">
            <v>0.1</v>
          </cell>
          <cell r="BD238">
            <v>0</v>
          </cell>
          <cell r="BE238">
            <v>0</v>
          </cell>
          <cell r="BF238">
            <v>0</v>
          </cell>
          <cell r="BG238">
            <v>0</v>
          </cell>
          <cell r="BH238">
            <v>0.1</v>
          </cell>
          <cell r="BI238">
            <v>0</v>
          </cell>
          <cell r="BJ238">
            <v>0.1</v>
          </cell>
          <cell r="BK238">
            <v>0</v>
          </cell>
          <cell r="BL238">
            <v>0.1</v>
          </cell>
          <cell r="BM238">
            <v>0.1</v>
          </cell>
          <cell r="BN238">
            <v>0</v>
          </cell>
          <cell r="BO238">
            <v>0.2</v>
          </cell>
          <cell r="BP238">
            <v>0.2</v>
          </cell>
          <cell r="BQ238">
            <v>0</v>
          </cell>
          <cell r="BR238">
            <v>-0.1</v>
          </cell>
          <cell r="BS238">
            <v>0</v>
          </cell>
          <cell r="BT238">
            <v>0.2</v>
          </cell>
          <cell r="BU238">
            <v>0</v>
          </cell>
          <cell r="BV238">
            <v>0.1</v>
          </cell>
          <cell r="BW238">
            <v>0.1</v>
          </cell>
          <cell r="BX238">
            <v>0.7</v>
          </cell>
          <cell r="BY238">
            <v>0.2</v>
          </cell>
          <cell r="BZ238">
            <v>0.8</v>
          </cell>
          <cell r="CA238">
            <v>0.2</v>
          </cell>
          <cell r="CB238">
            <v>-0.8</v>
          </cell>
          <cell r="CC238">
            <v>0</v>
          </cell>
          <cell r="CD238">
            <v>0.1</v>
          </cell>
          <cell r="CE238">
            <v>0</v>
          </cell>
          <cell r="CF238">
            <v>0.1</v>
          </cell>
          <cell r="CG238">
            <v>0</v>
          </cell>
          <cell r="CH238">
            <v>-0.1</v>
          </cell>
          <cell r="CI238">
            <v>0</v>
          </cell>
          <cell r="CJ238">
            <v>0</v>
          </cell>
          <cell r="CK238">
            <v>-0.1</v>
          </cell>
          <cell r="CL238">
            <v>-0.1</v>
          </cell>
          <cell r="CM238">
            <v>-0.2</v>
          </cell>
          <cell r="CN238">
            <v>-0.1</v>
          </cell>
          <cell r="CO238">
            <v>0</v>
          </cell>
          <cell r="CP238">
            <v>0</v>
          </cell>
          <cell r="CQ238">
            <v>0.7</v>
          </cell>
          <cell r="CR238">
            <v>0.1</v>
          </cell>
          <cell r="CS238">
            <v>0</v>
          </cell>
          <cell r="CT238">
            <v>0</v>
          </cell>
          <cell r="CU238">
            <v>0</v>
          </cell>
          <cell r="CV238">
            <v>0.1</v>
          </cell>
          <cell r="CW238">
            <v>0</v>
          </cell>
        </row>
        <row r="239">
          <cell r="B239">
            <v>5938</v>
          </cell>
          <cell r="C239">
            <v>5070</v>
          </cell>
          <cell r="D239">
            <v>11007</v>
          </cell>
          <cell r="E239">
            <v>25979</v>
          </cell>
          <cell r="F239">
            <v>10502</v>
          </cell>
          <cell r="G239">
            <v>36482</v>
          </cell>
          <cell r="H239">
            <v>1720</v>
          </cell>
          <cell r="I239">
            <v>10701</v>
          </cell>
          <cell r="J239">
            <v>12422</v>
          </cell>
          <cell r="K239">
            <v>6555</v>
          </cell>
          <cell r="L239">
            <v>21619</v>
          </cell>
          <cell r="M239">
            <v>28178</v>
          </cell>
          <cell r="N239">
            <v>13441</v>
          </cell>
          <cell r="O239">
            <v>22998</v>
          </cell>
          <cell r="P239">
            <v>20459</v>
          </cell>
          <cell r="Q239">
            <v>29636</v>
          </cell>
          <cell r="R239">
            <v>3488</v>
          </cell>
          <cell r="S239">
            <v>7210</v>
          </cell>
          <cell r="T239">
            <v>36461</v>
          </cell>
          <cell r="U239">
            <v>388036</v>
          </cell>
          <cell r="V239">
            <v>29933</v>
          </cell>
          <cell r="W239">
            <v>-29</v>
          </cell>
          <cell r="X239">
            <v>417941</v>
          </cell>
          <cell r="Y239">
            <v>0.2</v>
          </cell>
          <cell r="Z239">
            <v>0</v>
          </cell>
          <cell r="AA239">
            <v>0.2</v>
          </cell>
          <cell r="AB239">
            <v>0</v>
          </cell>
          <cell r="AC239">
            <v>0</v>
          </cell>
          <cell r="AD239">
            <v>0</v>
          </cell>
          <cell r="AE239">
            <v>0</v>
          </cell>
          <cell r="AF239">
            <v>0.1</v>
          </cell>
          <cell r="AG239">
            <v>0</v>
          </cell>
          <cell r="AH239">
            <v>0</v>
          </cell>
          <cell r="AI239">
            <v>0</v>
          </cell>
          <cell r="AJ239">
            <v>0</v>
          </cell>
          <cell r="AK239">
            <v>0</v>
          </cell>
          <cell r="AL239">
            <v>0</v>
          </cell>
          <cell r="AM239">
            <v>0</v>
          </cell>
          <cell r="AN239">
            <v>0</v>
          </cell>
          <cell r="AO239">
            <v>0</v>
          </cell>
          <cell r="AP239">
            <v>0</v>
          </cell>
          <cell r="AQ239">
            <v>0</v>
          </cell>
          <cell r="AR239">
            <v>0</v>
          </cell>
          <cell r="AS239">
            <v>-0.1</v>
          </cell>
          <cell r="AT239">
            <v>-0.1</v>
          </cell>
          <cell r="AU239">
            <v>-0.1</v>
          </cell>
          <cell r="AV239">
            <v>-0.3</v>
          </cell>
          <cell r="AW239">
            <v>0.1</v>
          </cell>
          <cell r="AX239">
            <v>0</v>
          </cell>
          <cell r="AY239">
            <v>0</v>
          </cell>
          <cell r="AZ239">
            <v>0</v>
          </cell>
          <cell r="BA239">
            <v>0</v>
          </cell>
          <cell r="BB239">
            <v>0</v>
          </cell>
          <cell r="BC239">
            <v>0</v>
          </cell>
          <cell r="BD239">
            <v>0</v>
          </cell>
          <cell r="BE239">
            <v>0.1</v>
          </cell>
          <cell r="BF239">
            <v>0</v>
          </cell>
          <cell r="BG239">
            <v>0</v>
          </cell>
          <cell r="BH239">
            <v>0</v>
          </cell>
          <cell r="BI239">
            <v>0</v>
          </cell>
          <cell r="BJ239">
            <v>0</v>
          </cell>
          <cell r="BK239">
            <v>0</v>
          </cell>
          <cell r="BL239">
            <v>-0.1</v>
          </cell>
          <cell r="BM239">
            <v>-0.1</v>
          </cell>
          <cell r="BN239">
            <v>0</v>
          </cell>
          <cell r="BO239">
            <v>0</v>
          </cell>
          <cell r="BP239">
            <v>0</v>
          </cell>
          <cell r="BQ239">
            <v>0</v>
          </cell>
          <cell r="BR239">
            <v>0</v>
          </cell>
          <cell r="BS239">
            <v>0</v>
          </cell>
          <cell r="BT239">
            <v>0.1</v>
          </cell>
          <cell r="BU239">
            <v>0</v>
          </cell>
          <cell r="BV239">
            <v>-0.1</v>
          </cell>
          <cell r="BW239">
            <v>0</v>
          </cell>
          <cell r="BX239">
            <v>0</v>
          </cell>
          <cell r="BY239">
            <v>-0.2</v>
          </cell>
          <cell r="BZ239">
            <v>-0.2</v>
          </cell>
          <cell r="CA239">
            <v>-0.4</v>
          </cell>
          <cell r="CB239">
            <v>1.2</v>
          </cell>
          <cell r="CC239">
            <v>-0.1</v>
          </cell>
          <cell r="CD239">
            <v>0</v>
          </cell>
          <cell r="CE239">
            <v>0</v>
          </cell>
          <cell r="CF239">
            <v>-0.2</v>
          </cell>
          <cell r="CG239">
            <v>0</v>
          </cell>
          <cell r="CH239">
            <v>0.2</v>
          </cell>
          <cell r="CI239">
            <v>0</v>
          </cell>
          <cell r="CJ239">
            <v>0</v>
          </cell>
          <cell r="CK239">
            <v>0.1</v>
          </cell>
          <cell r="CL239">
            <v>0.4</v>
          </cell>
          <cell r="CM239">
            <v>0</v>
          </cell>
          <cell r="CN239">
            <v>-0.1</v>
          </cell>
          <cell r="CO239">
            <v>0</v>
          </cell>
          <cell r="CP239">
            <v>0.1</v>
          </cell>
          <cell r="CQ239">
            <v>0.1</v>
          </cell>
          <cell r="CR239">
            <v>0.1</v>
          </cell>
          <cell r="CS239">
            <v>0.5</v>
          </cell>
          <cell r="CT239">
            <v>0</v>
          </cell>
          <cell r="CU239">
            <v>0.1</v>
          </cell>
          <cell r="CV239">
            <v>-0.1</v>
          </cell>
          <cell r="CW239">
            <v>0.1</v>
          </cell>
        </row>
        <row r="240">
          <cell r="B240">
            <v>6274</v>
          </cell>
          <cell r="C240">
            <v>5252</v>
          </cell>
          <cell r="D240">
            <v>11526</v>
          </cell>
          <cell r="E240">
            <v>26330</v>
          </cell>
          <cell r="F240">
            <v>10907</v>
          </cell>
          <cell r="G240">
            <v>37237</v>
          </cell>
          <cell r="H240">
            <v>1965</v>
          </cell>
          <cell r="I240">
            <v>11224</v>
          </cell>
          <cell r="J240">
            <v>13189</v>
          </cell>
          <cell r="K240">
            <v>7362</v>
          </cell>
          <cell r="L240">
            <v>22313</v>
          </cell>
          <cell r="M240">
            <v>29677</v>
          </cell>
          <cell r="N240">
            <v>13491</v>
          </cell>
          <cell r="O240">
            <v>23414</v>
          </cell>
          <cell r="P240">
            <v>20552</v>
          </cell>
          <cell r="Q240">
            <v>29817</v>
          </cell>
          <cell r="R240">
            <v>3610</v>
          </cell>
          <cell r="S240">
            <v>7452</v>
          </cell>
          <cell r="T240">
            <v>36662</v>
          </cell>
          <cell r="U240">
            <v>408580</v>
          </cell>
          <cell r="V240">
            <v>31165</v>
          </cell>
          <cell r="W240">
            <v>-972</v>
          </cell>
          <cell r="X240">
            <v>438772</v>
          </cell>
          <cell r="Y240">
            <v>0.1</v>
          </cell>
          <cell r="Z240">
            <v>0</v>
          </cell>
          <cell r="AA240">
            <v>0.1</v>
          </cell>
          <cell r="AB240">
            <v>0</v>
          </cell>
          <cell r="AC240">
            <v>0.1</v>
          </cell>
          <cell r="AD240">
            <v>0.1</v>
          </cell>
          <cell r="AE240">
            <v>0</v>
          </cell>
          <cell r="AF240">
            <v>0.2</v>
          </cell>
          <cell r="AG240">
            <v>0</v>
          </cell>
          <cell r="AH240">
            <v>0.1</v>
          </cell>
          <cell r="AI240">
            <v>0.1</v>
          </cell>
          <cell r="AJ240">
            <v>0</v>
          </cell>
          <cell r="AK240">
            <v>0</v>
          </cell>
          <cell r="AL240">
            <v>0</v>
          </cell>
          <cell r="AM240">
            <v>0</v>
          </cell>
          <cell r="AN240">
            <v>0</v>
          </cell>
          <cell r="AO240">
            <v>0</v>
          </cell>
          <cell r="AP240">
            <v>0</v>
          </cell>
          <cell r="AQ240">
            <v>0</v>
          </cell>
          <cell r="AR240">
            <v>0</v>
          </cell>
          <cell r="AS240">
            <v>0</v>
          </cell>
          <cell r="AT240">
            <v>0</v>
          </cell>
          <cell r="AU240">
            <v>-0.1</v>
          </cell>
          <cell r="AV240">
            <v>-0.1</v>
          </cell>
          <cell r="AW240">
            <v>0.1</v>
          </cell>
          <cell r="AX240">
            <v>0</v>
          </cell>
          <cell r="AY240">
            <v>-0.1</v>
          </cell>
          <cell r="AZ240">
            <v>0</v>
          </cell>
          <cell r="BA240">
            <v>0</v>
          </cell>
          <cell r="BB240">
            <v>0</v>
          </cell>
          <cell r="BC240">
            <v>0</v>
          </cell>
          <cell r="BD240">
            <v>0</v>
          </cell>
          <cell r="BE240">
            <v>0</v>
          </cell>
          <cell r="BF240">
            <v>0</v>
          </cell>
          <cell r="BG240">
            <v>0</v>
          </cell>
          <cell r="BH240">
            <v>0.1</v>
          </cell>
          <cell r="BI240">
            <v>0</v>
          </cell>
          <cell r="BJ240">
            <v>0.1</v>
          </cell>
          <cell r="BK240">
            <v>0</v>
          </cell>
          <cell r="BL240">
            <v>0</v>
          </cell>
          <cell r="BM240">
            <v>0.1</v>
          </cell>
          <cell r="BN240">
            <v>0.1</v>
          </cell>
          <cell r="BO240">
            <v>0.1</v>
          </cell>
          <cell r="BP240">
            <v>0.2</v>
          </cell>
          <cell r="BQ240">
            <v>-0.1</v>
          </cell>
          <cell r="BR240">
            <v>0.1</v>
          </cell>
          <cell r="BS240">
            <v>0</v>
          </cell>
          <cell r="BT240">
            <v>0.1</v>
          </cell>
          <cell r="BU240">
            <v>0</v>
          </cell>
          <cell r="BV240">
            <v>0.1</v>
          </cell>
          <cell r="BW240">
            <v>0</v>
          </cell>
          <cell r="BX240">
            <v>0.9</v>
          </cell>
          <cell r="BY240">
            <v>0</v>
          </cell>
          <cell r="BZ240">
            <v>0.9</v>
          </cell>
          <cell r="CA240">
            <v>-0.2</v>
          </cell>
          <cell r="CB240">
            <v>-0.6</v>
          </cell>
          <cell r="CC240">
            <v>0</v>
          </cell>
          <cell r="CD240">
            <v>0</v>
          </cell>
          <cell r="CE240">
            <v>-0.2</v>
          </cell>
          <cell r="CF240">
            <v>-0.6</v>
          </cell>
          <cell r="CG240">
            <v>0.1</v>
          </cell>
          <cell r="CH240">
            <v>-0.3</v>
          </cell>
          <cell r="CI240">
            <v>0</v>
          </cell>
          <cell r="CJ240">
            <v>-0.3</v>
          </cell>
          <cell r="CK240">
            <v>0.3</v>
          </cell>
          <cell r="CL240">
            <v>-0.5</v>
          </cell>
          <cell r="CM240">
            <v>0.1</v>
          </cell>
          <cell r="CN240">
            <v>0.2</v>
          </cell>
          <cell r="CO240">
            <v>0</v>
          </cell>
          <cell r="CP240">
            <v>0.1</v>
          </cell>
          <cell r="CQ240">
            <v>-0.1</v>
          </cell>
          <cell r="CR240">
            <v>-0.3</v>
          </cell>
          <cell r="CS240">
            <v>-1</v>
          </cell>
          <cell r="CT240">
            <v>0</v>
          </cell>
          <cell r="CU240">
            <v>-0.1</v>
          </cell>
          <cell r="CV240">
            <v>0.3</v>
          </cell>
          <cell r="CW240">
            <v>0</v>
          </cell>
        </row>
        <row r="241">
          <cell r="B241">
            <v>5995</v>
          </cell>
          <cell r="C241">
            <v>5000</v>
          </cell>
          <cell r="D241">
            <v>10995</v>
          </cell>
          <cell r="E241">
            <v>26655</v>
          </cell>
          <cell r="F241">
            <v>10163</v>
          </cell>
          <cell r="G241">
            <v>36818</v>
          </cell>
          <cell r="H241">
            <v>1848</v>
          </cell>
          <cell r="I241">
            <v>10980</v>
          </cell>
          <cell r="J241">
            <v>12828</v>
          </cell>
          <cell r="K241">
            <v>6846</v>
          </cell>
          <cell r="L241">
            <v>19936</v>
          </cell>
          <cell r="M241">
            <v>26781</v>
          </cell>
          <cell r="N241">
            <v>12899</v>
          </cell>
          <cell r="O241">
            <v>23222</v>
          </cell>
          <cell r="P241">
            <v>20654</v>
          </cell>
          <cell r="Q241">
            <v>29868</v>
          </cell>
          <cell r="R241">
            <v>3447</v>
          </cell>
          <cell r="S241">
            <v>6732</v>
          </cell>
          <cell r="T241">
            <v>36870</v>
          </cell>
          <cell r="U241">
            <v>383867</v>
          </cell>
          <cell r="V241">
            <v>27910</v>
          </cell>
          <cell r="W241">
            <v>-4706</v>
          </cell>
          <cell r="X241">
            <v>407071</v>
          </cell>
          <cell r="Y241">
            <v>0.1</v>
          </cell>
          <cell r="Z241">
            <v>0</v>
          </cell>
          <cell r="AA241">
            <v>0.1</v>
          </cell>
          <cell r="AB241">
            <v>0</v>
          </cell>
          <cell r="AC241">
            <v>0</v>
          </cell>
          <cell r="AD241">
            <v>0</v>
          </cell>
          <cell r="AE241">
            <v>0</v>
          </cell>
          <cell r="AF241">
            <v>0</v>
          </cell>
          <cell r="AG241">
            <v>0</v>
          </cell>
          <cell r="AH241">
            <v>0</v>
          </cell>
          <cell r="AI241">
            <v>0</v>
          </cell>
          <cell r="AJ241">
            <v>0.1</v>
          </cell>
          <cell r="AK241">
            <v>0</v>
          </cell>
          <cell r="AL241">
            <v>0</v>
          </cell>
          <cell r="AM241">
            <v>0</v>
          </cell>
          <cell r="AN241">
            <v>0</v>
          </cell>
          <cell r="AO241">
            <v>0</v>
          </cell>
          <cell r="AP241">
            <v>0</v>
          </cell>
          <cell r="AQ241">
            <v>0</v>
          </cell>
          <cell r="AR241">
            <v>0</v>
          </cell>
          <cell r="AS241">
            <v>0</v>
          </cell>
          <cell r="AT241">
            <v>0.1</v>
          </cell>
          <cell r="AU241">
            <v>0.1</v>
          </cell>
          <cell r="AV241">
            <v>0.1</v>
          </cell>
          <cell r="AW241">
            <v>0</v>
          </cell>
          <cell r="AX241">
            <v>0</v>
          </cell>
          <cell r="AY241">
            <v>0</v>
          </cell>
          <cell r="AZ241">
            <v>0</v>
          </cell>
          <cell r="BA241">
            <v>0</v>
          </cell>
          <cell r="BB241">
            <v>0</v>
          </cell>
          <cell r="BC241">
            <v>0</v>
          </cell>
          <cell r="BD241">
            <v>0.1</v>
          </cell>
          <cell r="BE241">
            <v>0</v>
          </cell>
          <cell r="BF241">
            <v>0</v>
          </cell>
          <cell r="BG241">
            <v>0</v>
          </cell>
          <cell r="BH241">
            <v>0.1</v>
          </cell>
          <cell r="BI241">
            <v>0</v>
          </cell>
          <cell r="BJ241">
            <v>0.1</v>
          </cell>
          <cell r="BK241">
            <v>0</v>
          </cell>
          <cell r="BL241">
            <v>0.1</v>
          </cell>
          <cell r="BM241">
            <v>0.1</v>
          </cell>
          <cell r="BN241">
            <v>0</v>
          </cell>
          <cell r="BO241">
            <v>0.1</v>
          </cell>
          <cell r="BP241">
            <v>0.1</v>
          </cell>
          <cell r="BQ241">
            <v>0.1</v>
          </cell>
          <cell r="BR241">
            <v>0</v>
          </cell>
          <cell r="BS241">
            <v>0</v>
          </cell>
          <cell r="BT241">
            <v>0.1</v>
          </cell>
          <cell r="BU241">
            <v>0</v>
          </cell>
          <cell r="BV241">
            <v>-0.1</v>
          </cell>
          <cell r="BW241">
            <v>0</v>
          </cell>
          <cell r="BX241">
            <v>0.8</v>
          </cell>
          <cell r="BY241">
            <v>0</v>
          </cell>
          <cell r="BZ241">
            <v>0.5</v>
          </cell>
          <cell r="CA241">
            <v>0.9</v>
          </cell>
          <cell r="CB241">
            <v>0.7</v>
          </cell>
          <cell r="CC241">
            <v>0.2</v>
          </cell>
          <cell r="CD241">
            <v>0</v>
          </cell>
          <cell r="CE241">
            <v>0.1</v>
          </cell>
          <cell r="CF241">
            <v>-0.4</v>
          </cell>
          <cell r="CG241">
            <v>0</v>
          </cell>
          <cell r="CH241">
            <v>0.4</v>
          </cell>
          <cell r="CI241">
            <v>-0.1</v>
          </cell>
          <cell r="CJ241">
            <v>0.2</v>
          </cell>
          <cell r="CK241">
            <v>-0.2</v>
          </cell>
          <cell r="CL241">
            <v>0.2</v>
          </cell>
          <cell r="CM241">
            <v>0</v>
          </cell>
          <cell r="CN241">
            <v>0.1</v>
          </cell>
          <cell r="CO241">
            <v>0</v>
          </cell>
          <cell r="CP241">
            <v>0</v>
          </cell>
          <cell r="CQ241">
            <v>0</v>
          </cell>
          <cell r="CR241">
            <v>0.2</v>
          </cell>
          <cell r="CS241">
            <v>0.3</v>
          </cell>
          <cell r="CT241">
            <v>0</v>
          </cell>
          <cell r="CU241">
            <v>0.1</v>
          </cell>
          <cell r="CV241">
            <v>-0.2</v>
          </cell>
          <cell r="CW241">
            <v>0.1</v>
          </cell>
        </row>
        <row r="242">
          <cell r="B242">
            <v>6224</v>
          </cell>
          <cell r="C242">
            <v>5387</v>
          </cell>
          <cell r="D242">
            <v>11611</v>
          </cell>
          <cell r="E242">
            <v>26939</v>
          </cell>
          <cell r="F242">
            <v>11473</v>
          </cell>
          <cell r="G242">
            <v>38413</v>
          </cell>
          <cell r="H242">
            <v>1982</v>
          </cell>
          <cell r="I242">
            <v>11349</v>
          </cell>
          <cell r="J242">
            <v>13331</v>
          </cell>
          <cell r="K242">
            <v>8043</v>
          </cell>
          <cell r="L242">
            <v>22200</v>
          </cell>
          <cell r="M242">
            <v>30238</v>
          </cell>
          <cell r="N242">
            <v>13678</v>
          </cell>
          <cell r="O242">
            <v>23386</v>
          </cell>
          <cell r="P242">
            <v>20763</v>
          </cell>
          <cell r="Q242">
            <v>30462</v>
          </cell>
          <cell r="R242">
            <v>3380</v>
          </cell>
          <cell r="S242">
            <v>6967</v>
          </cell>
          <cell r="T242">
            <v>37086</v>
          </cell>
          <cell r="U242">
            <v>400193</v>
          </cell>
          <cell r="V242">
            <v>29224</v>
          </cell>
          <cell r="W242">
            <v>1282</v>
          </cell>
          <cell r="X242">
            <v>430699</v>
          </cell>
          <cell r="Y242">
            <v>-0.1</v>
          </cell>
          <cell r="Z242">
            <v>0</v>
          </cell>
          <cell r="AA242">
            <v>-0.1</v>
          </cell>
          <cell r="AB242">
            <v>-0.1</v>
          </cell>
          <cell r="AC242">
            <v>0.1</v>
          </cell>
          <cell r="AD242">
            <v>0</v>
          </cell>
          <cell r="AE242">
            <v>0</v>
          </cell>
          <cell r="AF242">
            <v>0</v>
          </cell>
          <cell r="AG242">
            <v>0</v>
          </cell>
          <cell r="AH242">
            <v>0</v>
          </cell>
          <cell r="AI242">
            <v>0</v>
          </cell>
          <cell r="AJ242">
            <v>0</v>
          </cell>
          <cell r="AK242">
            <v>0</v>
          </cell>
          <cell r="AL242">
            <v>0</v>
          </cell>
          <cell r="AM242">
            <v>0</v>
          </cell>
          <cell r="AN242">
            <v>0.1</v>
          </cell>
          <cell r="AO242">
            <v>0</v>
          </cell>
          <cell r="AP242">
            <v>0</v>
          </cell>
          <cell r="AQ242">
            <v>0</v>
          </cell>
          <cell r="AR242">
            <v>0</v>
          </cell>
          <cell r="AS242">
            <v>0</v>
          </cell>
          <cell r="AT242">
            <v>0</v>
          </cell>
          <cell r="AU242">
            <v>0.1</v>
          </cell>
          <cell r="AV242">
            <v>0.1</v>
          </cell>
          <cell r="AW242">
            <v>0</v>
          </cell>
          <cell r="AX242">
            <v>0.1</v>
          </cell>
          <cell r="AY242">
            <v>0.1</v>
          </cell>
          <cell r="AZ242">
            <v>0</v>
          </cell>
          <cell r="BA242">
            <v>0</v>
          </cell>
          <cell r="BB242">
            <v>0</v>
          </cell>
          <cell r="BC242">
            <v>-0.1</v>
          </cell>
          <cell r="BD242">
            <v>-0.1</v>
          </cell>
          <cell r="BE242">
            <v>0</v>
          </cell>
          <cell r="BF242">
            <v>0</v>
          </cell>
          <cell r="BG242">
            <v>0.1</v>
          </cell>
          <cell r="BH242">
            <v>0.1</v>
          </cell>
          <cell r="BI242">
            <v>0.1</v>
          </cell>
          <cell r="BJ242">
            <v>0.2</v>
          </cell>
          <cell r="BK242">
            <v>0</v>
          </cell>
          <cell r="BL242">
            <v>0</v>
          </cell>
          <cell r="BM242">
            <v>0</v>
          </cell>
          <cell r="BN242">
            <v>0.1</v>
          </cell>
          <cell r="BO242">
            <v>0</v>
          </cell>
          <cell r="BP242">
            <v>0.1</v>
          </cell>
          <cell r="BQ242">
            <v>0</v>
          </cell>
          <cell r="BR242">
            <v>0</v>
          </cell>
          <cell r="BS242">
            <v>0</v>
          </cell>
          <cell r="BT242">
            <v>0.1</v>
          </cell>
          <cell r="BU242">
            <v>0</v>
          </cell>
          <cell r="BV242">
            <v>0</v>
          </cell>
          <cell r="BW242">
            <v>0.1</v>
          </cell>
          <cell r="BX242">
            <v>0.7</v>
          </cell>
          <cell r="BY242">
            <v>0.2</v>
          </cell>
          <cell r="BZ242">
            <v>0.8</v>
          </cell>
          <cell r="CA242">
            <v>0.7</v>
          </cell>
          <cell r="CB242">
            <v>-1.2</v>
          </cell>
          <cell r="CC242">
            <v>-0.1</v>
          </cell>
          <cell r="CD242">
            <v>0.1</v>
          </cell>
          <cell r="CE242">
            <v>0.1</v>
          </cell>
          <cell r="CF242">
            <v>0.7</v>
          </cell>
          <cell r="CG242">
            <v>-0.1</v>
          </cell>
          <cell r="CH242">
            <v>-0.2</v>
          </cell>
          <cell r="CI242">
            <v>-0.1</v>
          </cell>
          <cell r="CJ242">
            <v>0</v>
          </cell>
          <cell r="CK242">
            <v>0</v>
          </cell>
          <cell r="CL242">
            <v>-0.2</v>
          </cell>
          <cell r="CM242">
            <v>-0.3</v>
          </cell>
          <cell r="CN242">
            <v>-0.1</v>
          </cell>
          <cell r="CO242">
            <v>0</v>
          </cell>
          <cell r="CP242">
            <v>0</v>
          </cell>
          <cell r="CQ242">
            <v>0.1</v>
          </cell>
          <cell r="CR242">
            <v>0.2</v>
          </cell>
          <cell r="CS242">
            <v>0.2</v>
          </cell>
          <cell r="CT242">
            <v>0</v>
          </cell>
          <cell r="CU242">
            <v>0</v>
          </cell>
          <cell r="CV242">
            <v>0.3</v>
          </cell>
          <cell r="CW242">
            <v>-0.1</v>
          </cell>
        </row>
        <row r="243">
          <cell r="B243">
            <v>6124</v>
          </cell>
          <cell r="C243">
            <v>5096</v>
          </cell>
          <cell r="D243">
            <v>11220</v>
          </cell>
          <cell r="E243">
            <v>27039</v>
          </cell>
          <cell r="F243">
            <v>11420</v>
          </cell>
          <cell r="G243">
            <v>38460</v>
          </cell>
          <cell r="H243">
            <v>2126</v>
          </cell>
          <cell r="I243">
            <v>10596</v>
          </cell>
          <cell r="J243">
            <v>12722</v>
          </cell>
          <cell r="K243">
            <v>7810</v>
          </cell>
          <cell r="L243">
            <v>22072</v>
          </cell>
          <cell r="M243">
            <v>29877</v>
          </cell>
          <cell r="N243">
            <v>13759</v>
          </cell>
          <cell r="O243">
            <v>23300</v>
          </cell>
          <cell r="P243">
            <v>20877</v>
          </cell>
          <cell r="Q243">
            <v>31270</v>
          </cell>
          <cell r="R243">
            <v>3508</v>
          </cell>
          <cell r="S243">
            <v>7326</v>
          </cell>
          <cell r="T243">
            <v>37305</v>
          </cell>
          <cell r="U243">
            <v>400804</v>
          </cell>
          <cell r="V243">
            <v>31347</v>
          </cell>
          <cell r="W243">
            <v>-1854</v>
          </cell>
          <cell r="X243">
            <v>430297</v>
          </cell>
          <cell r="Y243">
            <v>-0.2</v>
          </cell>
          <cell r="Z243">
            <v>0</v>
          </cell>
          <cell r="AA243">
            <v>-0.2</v>
          </cell>
          <cell r="AB243">
            <v>0</v>
          </cell>
          <cell r="AC243">
            <v>0</v>
          </cell>
          <cell r="AD243">
            <v>0</v>
          </cell>
          <cell r="AE243">
            <v>-0.1</v>
          </cell>
          <cell r="AF243">
            <v>-0.1</v>
          </cell>
          <cell r="AG243">
            <v>0</v>
          </cell>
          <cell r="AH243">
            <v>-0.1</v>
          </cell>
          <cell r="AI243">
            <v>0.1</v>
          </cell>
          <cell r="AJ243">
            <v>0</v>
          </cell>
          <cell r="AK243">
            <v>0</v>
          </cell>
          <cell r="AL243">
            <v>0</v>
          </cell>
          <cell r="AM243">
            <v>0.1</v>
          </cell>
          <cell r="AN243">
            <v>0.1</v>
          </cell>
          <cell r="AO243">
            <v>0</v>
          </cell>
          <cell r="AP243">
            <v>0</v>
          </cell>
          <cell r="AQ243">
            <v>0</v>
          </cell>
          <cell r="AR243">
            <v>0</v>
          </cell>
          <cell r="AS243">
            <v>0</v>
          </cell>
          <cell r="AT243">
            <v>0.1</v>
          </cell>
          <cell r="AU243">
            <v>0</v>
          </cell>
          <cell r="AV243">
            <v>0.1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0.1</v>
          </cell>
          <cell r="BK243">
            <v>0</v>
          </cell>
          <cell r="BL243">
            <v>-0.1</v>
          </cell>
          <cell r="BM243">
            <v>-0.1</v>
          </cell>
          <cell r="BN243">
            <v>0.1</v>
          </cell>
          <cell r="BO243">
            <v>0</v>
          </cell>
          <cell r="BP243">
            <v>0.1</v>
          </cell>
          <cell r="BQ243">
            <v>0</v>
          </cell>
          <cell r="BR243">
            <v>0</v>
          </cell>
          <cell r="BS243">
            <v>0</v>
          </cell>
          <cell r="BT243">
            <v>0.1</v>
          </cell>
          <cell r="BU243">
            <v>0</v>
          </cell>
          <cell r="BV243">
            <v>0</v>
          </cell>
          <cell r="BW243">
            <v>0.1</v>
          </cell>
          <cell r="BX243">
            <v>0.4</v>
          </cell>
          <cell r="BY243">
            <v>0.2</v>
          </cell>
          <cell r="BZ243">
            <v>0.7</v>
          </cell>
          <cell r="CA243">
            <v>-1.8</v>
          </cell>
          <cell r="CB243">
            <v>-2.2000000000000002</v>
          </cell>
          <cell r="CC243">
            <v>0.2</v>
          </cell>
          <cell r="CD243">
            <v>-0.1</v>
          </cell>
          <cell r="CE243">
            <v>0.7</v>
          </cell>
          <cell r="CF243">
            <v>-0.6</v>
          </cell>
          <cell r="CG243">
            <v>0.1</v>
          </cell>
          <cell r="CH243">
            <v>0.2</v>
          </cell>
          <cell r="CI243">
            <v>-0.3</v>
          </cell>
          <cell r="CJ243">
            <v>0.1</v>
          </cell>
          <cell r="CK243">
            <v>0.8</v>
          </cell>
          <cell r="CL243">
            <v>-0.6</v>
          </cell>
          <cell r="CM243">
            <v>0.2</v>
          </cell>
          <cell r="CN243">
            <v>0.3</v>
          </cell>
          <cell r="CO243">
            <v>0</v>
          </cell>
          <cell r="CP243">
            <v>0.1</v>
          </cell>
          <cell r="CQ243">
            <v>0.8</v>
          </cell>
          <cell r="CR243">
            <v>0.5</v>
          </cell>
          <cell r="CS243">
            <v>0.3</v>
          </cell>
          <cell r="CT243">
            <v>0</v>
          </cell>
          <cell r="CU243">
            <v>0</v>
          </cell>
          <cell r="CV243">
            <v>1.8</v>
          </cell>
          <cell r="CW243">
            <v>0.1</v>
          </cell>
        </row>
        <row r="244">
          <cell r="B244">
            <v>6621</v>
          </cell>
          <cell r="C244">
            <v>5380</v>
          </cell>
          <cell r="D244">
            <v>12001</v>
          </cell>
          <cell r="E244">
            <v>27065</v>
          </cell>
          <cell r="F244">
            <v>11696</v>
          </cell>
          <cell r="G244">
            <v>38761</v>
          </cell>
          <cell r="H244">
            <v>2278</v>
          </cell>
          <cell r="I244">
            <v>11255</v>
          </cell>
          <cell r="J244">
            <v>13533</v>
          </cell>
          <cell r="K244">
            <v>8766</v>
          </cell>
          <cell r="L244">
            <v>22019</v>
          </cell>
          <cell r="M244">
            <v>30777</v>
          </cell>
          <cell r="N244">
            <v>13972</v>
          </cell>
          <cell r="O244">
            <v>23418</v>
          </cell>
          <cell r="P244">
            <v>20988</v>
          </cell>
          <cell r="Q244">
            <v>31730</v>
          </cell>
          <cell r="R244">
            <v>3715</v>
          </cell>
          <cell r="S244">
            <v>7414</v>
          </cell>
          <cell r="T244">
            <v>37523</v>
          </cell>
          <cell r="U244">
            <v>416196</v>
          </cell>
          <cell r="V244">
            <v>32575</v>
          </cell>
          <cell r="W244">
            <v>-386</v>
          </cell>
          <cell r="X244">
            <v>448385</v>
          </cell>
          <cell r="Y244">
            <v>-0.1</v>
          </cell>
          <cell r="Z244">
            <v>0</v>
          </cell>
          <cell r="AA244">
            <v>-0.1</v>
          </cell>
          <cell r="AB244">
            <v>0</v>
          </cell>
          <cell r="AC244">
            <v>0</v>
          </cell>
          <cell r="AD244">
            <v>0.1</v>
          </cell>
          <cell r="AE244">
            <v>0</v>
          </cell>
          <cell r="AF244">
            <v>0.1</v>
          </cell>
          <cell r="AG244">
            <v>0</v>
          </cell>
          <cell r="AH244">
            <v>0.1</v>
          </cell>
          <cell r="AI244">
            <v>0</v>
          </cell>
          <cell r="AJ244">
            <v>0</v>
          </cell>
          <cell r="AK244">
            <v>0</v>
          </cell>
          <cell r="AL244">
            <v>-0.1</v>
          </cell>
          <cell r="AM244">
            <v>0</v>
          </cell>
          <cell r="AN244">
            <v>-0.1</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-0.1</v>
          </cell>
          <cell r="BD244">
            <v>0</v>
          </cell>
          <cell r="BE244">
            <v>0.1</v>
          </cell>
          <cell r="BF244">
            <v>0</v>
          </cell>
          <cell r="BG244">
            <v>0.1</v>
          </cell>
          <cell r="BH244">
            <v>0</v>
          </cell>
          <cell r="BI244">
            <v>0</v>
          </cell>
          <cell r="BJ244">
            <v>0</v>
          </cell>
          <cell r="BK244">
            <v>0</v>
          </cell>
          <cell r="BL244">
            <v>0.1</v>
          </cell>
          <cell r="BM244">
            <v>0.1</v>
          </cell>
          <cell r="BN244">
            <v>0.1</v>
          </cell>
          <cell r="BO244">
            <v>-0.1</v>
          </cell>
          <cell r="BP244">
            <v>0</v>
          </cell>
          <cell r="BQ244">
            <v>0</v>
          </cell>
          <cell r="BR244">
            <v>0.1</v>
          </cell>
          <cell r="BS244">
            <v>0</v>
          </cell>
          <cell r="BT244">
            <v>0.1</v>
          </cell>
          <cell r="BU244">
            <v>0</v>
          </cell>
          <cell r="BV244">
            <v>0</v>
          </cell>
          <cell r="BW244">
            <v>0.1</v>
          </cell>
          <cell r="BX244">
            <v>0.4</v>
          </cell>
          <cell r="BY244">
            <v>0</v>
          </cell>
          <cell r="BZ244">
            <v>0.4</v>
          </cell>
        </row>
      </sheetData>
      <sheetData sheetId="17">
        <row r="1">
          <cell r="B1" t="str">
            <v>Gross operating surplus ;</v>
          </cell>
          <cell r="C1" t="str">
            <v>Property income receivable - Interest ;</v>
          </cell>
          <cell r="D1" t="str">
            <v>Property income receivable - Dividends ;</v>
          </cell>
          <cell r="E1" t="str">
            <v>Property income receivable - Reinvested earnings ;</v>
          </cell>
          <cell r="F1" t="str">
            <v>Property income receivable - Rent on natural assets ;</v>
          </cell>
          <cell r="G1" t="str">
            <v>Total property income receivable ;</v>
          </cell>
          <cell r="H1" t="str">
            <v>Total primary income receivable ;</v>
          </cell>
          <cell r="I1" t="str">
            <v>Secondary income receivable - Net non-life insurance premiums ;</v>
          </cell>
          <cell r="J1" t="str">
            <v>Secondary income receivable - Other current transfers ;</v>
          </cell>
          <cell r="K1" t="str">
            <v>Total secondary income receivable ;</v>
          </cell>
          <cell r="L1" t="str">
            <v>TOTAL GROSS INCOME ;</v>
          </cell>
          <cell r="M1" t="str">
            <v>Property income payable - Interest ;</v>
          </cell>
          <cell r="N1" t="str">
            <v>Property income payable - Dividends ;</v>
          </cell>
          <cell r="O1" t="str">
            <v>Property income payable - Reinvested earnings ;</v>
          </cell>
          <cell r="P1" t="str">
            <v>Property income payable - Property income attributed to insurance policy holders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Non-life insurance claims ;</v>
          </cell>
          <cell r="X1" t="str">
            <v>Secondary income payable - Other current transfers ;</v>
          </cell>
          <cell r="Y1" t="str">
            <v>Total secondary income payable ;</v>
          </cell>
          <cell r="Z1" t="str">
            <v>Total income payable ;</v>
          </cell>
          <cell r="AA1" t="str">
            <v>Gross disposable income ;</v>
          </cell>
          <cell r="AB1" t="str">
            <v>Net saving ;</v>
          </cell>
          <cell r="AC1" t="str">
            <v>Consumption of fixed capital ;</v>
          </cell>
          <cell r="AD1" t="str">
            <v>TOTAL USE OF GROSS INCOME ;</v>
          </cell>
          <cell r="AE1" t="str">
            <v>Gross operating surplus ;</v>
          </cell>
          <cell r="AF1" t="str">
            <v>Property income receivable - Interest ;</v>
          </cell>
          <cell r="AG1" t="str">
            <v>Property income receivable - Dividends ;</v>
          </cell>
          <cell r="AH1" t="str">
            <v>Property income receivable - Reinvested earnings ;</v>
          </cell>
          <cell r="AI1" t="str">
            <v>Property income receivable - Rent on natural assets ;</v>
          </cell>
          <cell r="AJ1" t="str">
            <v>Total property income receivable ;</v>
          </cell>
          <cell r="AK1" t="str">
            <v>Total primary income receivable ;</v>
          </cell>
          <cell r="AL1" t="str">
            <v>Secondary income receivable - Net non-life insurance premiums ;</v>
          </cell>
          <cell r="AM1" t="str">
            <v>Secondary income receivable - Other current transfers ;</v>
          </cell>
          <cell r="AN1" t="str">
            <v>Total secondary income receivable ;</v>
          </cell>
          <cell r="AO1" t="str">
            <v>TOTAL GROSS INCOME ;</v>
          </cell>
          <cell r="AP1" t="str">
            <v>Property income payable - Interest ;</v>
          </cell>
          <cell r="AQ1" t="str">
            <v>Property income payable - Dividends ;</v>
          </cell>
          <cell r="AR1" t="str">
            <v>Property income payable - Reinvested earnings ;</v>
          </cell>
          <cell r="AS1" t="str">
            <v>Property income payable - Property income attributed to insurance policy holders ;</v>
          </cell>
          <cell r="AT1" t="str">
            <v>Property income payable - Rent on natural assets ;</v>
          </cell>
          <cell r="AU1" t="str">
            <v>Total property income payable ;</v>
          </cell>
          <cell r="AV1" t="str">
            <v>Total primary income payable ;</v>
          </cell>
          <cell r="AW1" t="str">
            <v>Secondary income payable - Current taxes on income, wealth, etc - Income taxes ;</v>
          </cell>
          <cell r="AX1" t="str">
            <v>Secondary income payable - Current taxes on income, wealth, etc - Other ;</v>
          </cell>
          <cell r="AY1" t="str">
            <v>Secondary income payable - Current taxes on income, wealth, etc - Total ;</v>
          </cell>
          <cell r="AZ1" t="str">
            <v>Secondary income payable - Non-life insurance claims ;</v>
          </cell>
          <cell r="BA1" t="str">
            <v>Secondary income payable - Other current transfers ;</v>
          </cell>
          <cell r="BB1" t="str">
            <v>Total secondary income payable ;</v>
          </cell>
          <cell r="BC1" t="str">
            <v>Total income payable ;</v>
          </cell>
          <cell r="BD1" t="str">
            <v>Gross disposable income ;</v>
          </cell>
          <cell r="BE1" t="str">
            <v>Net saving ;</v>
          </cell>
          <cell r="BF1" t="str">
            <v>Consumption of fixed capital ;</v>
          </cell>
          <cell r="BG1" t="str">
            <v>TOTAL USE OF GROSS INCOME ;</v>
          </cell>
          <cell r="BH1" t="str">
            <v>Gross operating surplus ;</v>
          </cell>
          <cell r="BI1" t="str">
            <v>Property income receivable - Interest ;</v>
          </cell>
          <cell r="BJ1" t="str">
            <v>Property income receivable - Dividends ;</v>
          </cell>
          <cell r="BK1" t="str">
            <v>Property income receivable - Reinvested earnings ;</v>
          </cell>
          <cell r="BL1" t="str">
            <v>Property income receivable - Rent on natural assets ;</v>
          </cell>
          <cell r="BM1" t="str">
            <v>Total property income receivable ;</v>
          </cell>
          <cell r="BN1" t="str">
            <v>Total primary income receivable ;</v>
          </cell>
          <cell r="BO1" t="str">
            <v>Secondary income receivable - Net non-life insurance premiums ;</v>
          </cell>
          <cell r="BP1" t="str">
            <v>Secondary income receivable - Other current transfers ;</v>
          </cell>
          <cell r="BQ1" t="str">
            <v>Total secondary income receivable ;</v>
          </cell>
          <cell r="BR1" t="str">
            <v>TOTAL GROSS INCOME ;</v>
          </cell>
          <cell r="BS1" t="str">
            <v>Property income payable - Interest ;</v>
          </cell>
          <cell r="BT1" t="str">
            <v>Property income payable - Dividends ;</v>
          </cell>
          <cell r="BU1" t="str">
            <v>Property income payable - Reinvested earnings ;</v>
          </cell>
          <cell r="BV1" t="str">
            <v>Property income payable - Property income attributed to insurance policy holders ;</v>
          </cell>
          <cell r="BW1" t="str">
            <v>Property income payable - Rent on natural assets ;</v>
          </cell>
          <cell r="BX1" t="str">
            <v>Total property income payable ;</v>
          </cell>
          <cell r="BY1" t="str">
            <v>Total primary income payable ;</v>
          </cell>
          <cell r="BZ1" t="str">
            <v>Secondary income payable - Current taxes on income, wealth, etc - Income taxes ;</v>
          </cell>
          <cell r="CA1" t="str">
            <v>Secondary income payable - Current taxes on income, wealth, etc - Other ;</v>
          </cell>
          <cell r="CB1" t="str">
            <v>Secondary income payable - Current taxes on income, wealth, etc - Total ;</v>
          </cell>
          <cell r="CC1" t="str">
            <v>Secondary income payable - Non-life insurance claims ;</v>
          </cell>
          <cell r="CD1" t="str">
            <v>Secondary income payable - Other current transfers ;</v>
          </cell>
          <cell r="CE1" t="str">
            <v>Total secondary income payable ;</v>
          </cell>
          <cell r="CF1" t="str">
            <v>Total income payable ;</v>
          </cell>
          <cell r="CG1" t="str">
            <v>Gross disposable income ;</v>
          </cell>
          <cell r="CH1" t="str">
            <v>Net saving ;</v>
          </cell>
          <cell r="CI1" t="str">
            <v>Consumption of fixed capital ;</v>
          </cell>
          <cell r="CJ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Seasonally Adjusted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row>
        <row r="10">
          <cell r="B10" t="str">
            <v>A85125379W</v>
          </cell>
          <cell r="C10" t="str">
            <v>A85125380F</v>
          </cell>
          <cell r="D10" t="str">
            <v>A85125381J</v>
          </cell>
          <cell r="E10" t="str">
            <v>A85125382K</v>
          </cell>
          <cell r="F10" t="str">
            <v>A85125383L</v>
          </cell>
          <cell r="G10" t="str">
            <v>A85125384R</v>
          </cell>
          <cell r="H10" t="str">
            <v>A85125385T</v>
          </cell>
          <cell r="I10" t="str">
            <v>A85125386V</v>
          </cell>
          <cell r="J10" t="str">
            <v>A85125387W</v>
          </cell>
          <cell r="K10" t="str">
            <v>A85125388X</v>
          </cell>
          <cell r="L10" t="str">
            <v>A85125389A</v>
          </cell>
          <cell r="M10" t="str">
            <v>A85125390K</v>
          </cell>
          <cell r="N10" t="str">
            <v>A85125391L</v>
          </cell>
          <cell r="O10" t="str">
            <v>A85125392R</v>
          </cell>
          <cell r="P10" t="str">
            <v>A85125393T</v>
          </cell>
          <cell r="Q10" t="str">
            <v>A85125394V</v>
          </cell>
          <cell r="R10" t="str">
            <v>A85124990W</v>
          </cell>
          <cell r="S10" t="str">
            <v>A85124991X</v>
          </cell>
          <cell r="T10" t="str">
            <v>A85124992A</v>
          </cell>
          <cell r="U10" t="str">
            <v>A85124993C</v>
          </cell>
          <cell r="V10" t="str">
            <v>A85124994F</v>
          </cell>
          <cell r="W10" t="str">
            <v>A85124995J</v>
          </cell>
          <cell r="X10" t="str">
            <v>A85124996K</v>
          </cell>
          <cell r="Y10" t="str">
            <v>A85124997L</v>
          </cell>
          <cell r="Z10" t="str">
            <v>A85124998R</v>
          </cell>
          <cell r="AA10" t="str">
            <v>A85124999T</v>
          </cell>
          <cell r="AB10" t="str">
            <v>A85125812X</v>
          </cell>
          <cell r="AC10" t="str">
            <v>A85125000T</v>
          </cell>
          <cell r="AD10" t="str">
            <v>A85125001V</v>
          </cell>
          <cell r="AE10" t="str">
            <v>A85125002W</v>
          </cell>
          <cell r="AF10" t="str">
            <v>A85125003X</v>
          </cell>
          <cell r="AG10" t="str">
            <v>A85125004A</v>
          </cell>
          <cell r="AH10" t="str">
            <v>A85125005C</v>
          </cell>
          <cell r="AI10" t="str">
            <v>A85125006F</v>
          </cell>
          <cell r="AJ10" t="str">
            <v>A85125007J</v>
          </cell>
          <cell r="AK10" t="str">
            <v>A85125008K</v>
          </cell>
          <cell r="AL10" t="str">
            <v>A85125009L</v>
          </cell>
          <cell r="AM10" t="str">
            <v>A85125010W</v>
          </cell>
          <cell r="AN10" t="str">
            <v>A85125011X</v>
          </cell>
          <cell r="AO10" t="str">
            <v>A85125012A</v>
          </cell>
          <cell r="AP10" t="str">
            <v>A85125013C</v>
          </cell>
          <cell r="AQ10" t="str">
            <v>A85125014F</v>
          </cell>
          <cell r="AR10" t="str">
            <v>A85125015J</v>
          </cell>
          <cell r="AS10" t="str">
            <v>A85125016K</v>
          </cell>
          <cell r="AT10" t="str">
            <v>A85125017L</v>
          </cell>
          <cell r="AU10" t="str">
            <v>A85125018R</v>
          </cell>
          <cell r="AV10" t="str">
            <v>A85125019T</v>
          </cell>
          <cell r="AW10" t="str">
            <v>A85125020A</v>
          </cell>
          <cell r="AX10" t="str">
            <v>A85125021C</v>
          </cell>
          <cell r="AY10" t="str">
            <v>A85125022F</v>
          </cell>
          <cell r="AZ10" t="str">
            <v>A85125023J</v>
          </cell>
          <cell r="BA10" t="str">
            <v>A85125024K</v>
          </cell>
          <cell r="BB10" t="str">
            <v>A85125025L</v>
          </cell>
          <cell r="BC10" t="str">
            <v>A85125026R</v>
          </cell>
          <cell r="BD10" t="str">
            <v>A85125027T</v>
          </cell>
          <cell r="BE10" t="str">
            <v>A85125814C</v>
          </cell>
          <cell r="BF10" t="str">
            <v>A85125028V</v>
          </cell>
          <cell r="BG10" t="str">
            <v>A85125029W</v>
          </cell>
          <cell r="BH10" t="str">
            <v>A85125030F</v>
          </cell>
          <cell r="BI10" t="str">
            <v>A85125031J</v>
          </cell>
          <cell r="BJ10" t="str">
            <v>A85125032K</v>
          </cell>
          <cell r="BK10" t="str">
            <v>A85125033L</v>
          </cell>
          <cell r="BL10" t="str">
            <v>A85125034R</v>
          </cell>
          <cell r="BM10" t="str">
            <v>A85125035T</v>
          </cell>
          <cell r="BN10" t="str">
            <v>A85125036V</v>
          </cell>
          <cell r="BO10" t="str">
            <v>A85125037W</v>
          </cell>
          <cell r="BP10" t="str">
            <v>A85125038X</v>
          </cell>
          <cell r="BQ10" t="str">
            <v>A85125039A</v>
          </cell>
          <cell r="BR10" t="str">
            <v>A85125040K</v>
          </cell>
          <cell r="BS10" t="str">
            <v>A85125041L</v>
          </cell>
          <cell r="BT10" t="str">
            <v>A85125042R</v>
          </cell>
          <cell r="BU10" t="str">
            <v>A85125043T</v>
          </cell>
          <cell r="BV10" t="str">
            <v>A85125044V</v>
          </cell>
          <cell r="BW10" t="str">
            <v>A85125045W</v>
          </cell>
          <cell r="BX10" t="str">
            <v>A85125046X</v>
          </cell>
          <cell r="BY10" t="str">
            <v>A85125047A</v>
          </cell>
          <cell r="BZ10" t="str">
            <v>A85125048C</v>
          </cell>
          <cell r="CA10" t="str">
            <v>A85125049F</v>
          </cell>
          <cell r="CB10" t="str">
            <v>A85125050R</v>
          </cell>
          <cell r="CC10" t="str">
            <v>A85125051T</v>
          </cell>
          <cell r="CD10" t="str">
            <v>A85125052V</v>
          </cell>
          <cell r="CE10" t="str">
            <v>A85125053W</v>
          </cell>
          <cell r="CF10" t="str">
            <v>A85125054X</v>
          </cell>
          <cell r="CG10" t="str">
            <v>A85125055A</v>
          </cell>
          <cell r="CH10" t="str">
            <v>A85125816J</v>
          </cell>
          <cell r="CI10" t="str">
            <v>A85125056C</v>
          </cell>
          <cell r="CJ10" t="str">
            <v>A85125057F</v>
          </cell>
        </row>
        <row r="11">
          <cell r="A11">
            <v>32387</v>
          </cell>
          <cell r="B11">
            <v>2783</v>
          </cell>
          <cell r="C11">
            <v>12167</v>
          </cell>
          <cell r="D11">
            <v>832</v>
          </cell>
          <cell r="E11">
            <v>245</v>
          </cell>
          <cell r="F11">
            <v>0</v>
          </cell>
          <cell r="G11">
            <v>13244</v>
          </cell>
          <cell r="H11">
            <v>16027</v>
          </cell>
          <cell r="I11">
            <v>2521</v>
          </cell>
          <cell r="J11">
            <v>0</v>
          </cell>
          <cell r="K11">
            <v>2521</v>
          </cell>
          <cell r="L11">
            <v>18548</v>
          </cell>
          <cell r="M11">
            <v>7598</v>
          </cell>
          <cell r="N11">
            <v>1013</v>
          </cell>
          <cell r="O11">
            <v>-126</v>
          </cell>
          <cell r="P11">
            <v>3230</v>
          </cell>
          <cell r="Q11">
            <v>0</v>
          </cell>
          <cell r="R11">
            <v>11715</v>
          </cell>
          <cell r="S11">
            <v>11715</v>
          </cell>
          <cell r="T11">
            <v>672</v>
          </cell>
          <cell r="U11">
            <v>0</v>
          </cell>
          <cell r="V11">
            <v>672</v>
          </cell>
          <cell r="W11">
            <v>2770</v>
          </cell>
          <cell r="X11">
            <v>84</v>
          </cell>
          <cell r="Y11">
            <v>3525</v>
          </cell>
          <cell r="Z11">
            <v>15241</v>
          </cell>
          <cell r="AA11">
            <v>3307</v>
          </cell>
          <cell r="AB11">
            <v>2771</v>
          </cell>
          <cell r="AC11">
            <v>536</v>
          </cell>
          <cell r="AD11">
            <v>18548</v>
          </cell>
          <cell r="AE11">
            <v>2809</v>
          </cell>
          <cell r="AF11">
            <v>12075</v>
          </cell>
          <cell r="AG11">
            <v>838</v>
          </cell>
          <cell r="AH11">
            <v>330</v>
          </cell>
          <cell r="AI11">
            <v>0</v>
          </cell>
          <cell r="AJ11">
            <v>13243</v>
          </cell>
          <cell r="AK11">
            <v>16051</v>
          </cell>
          <cell r="AL11">
            <v>2515</v>
          </cell>
          <cell r="AM11">
            <v>0</v>
          </cell>
          <cell r="AN11">
            <v>2515</v>
          </cell>
          <cell r="AO11">
            <v>18566</v>
          </cell>
          <cell r="AP11">
            <v>7550</v>
          </cell>
          <cell r="AQ11">
            <v>983</v>
          </cell>
          <cell r="AR11">
            <v>-143</v>
          </cell>
          <cell r="AS11">
            <v>3242</v>
          </cell>
          <cell r="AT11">
            <v>0</v>
          </cell>
          <cell r="AU11">
            <v>11632</v>
          </cell>
          <cell r="AV11">
            <v>11632</v>
          </cell>
          <cell r="AW11">
            <v>716</v>
          </cell>
          <cell r="AX11">
            <v>0</v>
          </cell>
          <cell r="AY11">
            <v>716</v>
          </cell>
          <cell r="AZ11">
            <v>2746</v>
          </cell>
          <cell r="BA11">
            <v>84</v>
          </cell>
          <cell r="BB11">
            <v>3546</v>
          </cell>
          <cell r="BC11">
            <v>15179</v>
          </cell>
          <cell r="BD11">
            <v>3387</v>
          </cell>
          <cell r="BE11">
            <v>2851</v>
          </cell>
          <cell r="BF11">
            <v>536</v>
          </cell>
          <cell r="BG11">
            <v>18566</v>
          </cell>
          <cell r="BH11">
            <v>2809</v>
          </cell>
          <cell r="BI11">
            <v>12075</v>
          </cell>
          <cell r="BJ11">
            <v>1461</v>
          </cell>
          <cell r="BK11">
            <v>328</v>
          </cell>
          <cell r="BL11">
            <v>0</v>
          </cell>
          <cell r="BM11">
            <v>13864</v>
          </cell>
          <cell r="BN11">
            <v>16672</v>
          </cell>
          <cell r="BO11">
            <v>2515</v>
          </cell>
          <cell r="BP11">
            <v>0</v>
          </cell>
          <cell r="BQ11">
            <v>2515</v>
          </cell>
          <cell r="BR11">
            <v>19187</v>
          </cell>
          <cell r="BS11">
            <v>7474</v>
          </cell>
          <cell r="BT11">
            <v>1261</v>
          </cell>
          <cell r="BU11">
            <v>-109</v>
          </cell>
          <cell r="BV11">
            <v>3242</v>
          </cell>
          <cell r="BW11">
            <v>0</v>
          </cell>
          <cell r="BX11">
            <v>11868</v>
          </cell>
          <cell r="BY11">
            <v>11868</v>
          </cell>
          <cell r="BZ11">
            <v>771</v>
          </cell>
          <cell r="CA11">
            <v>0</v>
          </cell>
          <cell r="CB11">
            <v>771</v>
          </cell>
          <cell r="CC11">
            <v>2642</v>
          </cell>
          <cell r="CD11">
            <v>84</v>
          </cell>
          <cell r="CE11">
            <v>3497</v>
          </cell>
          <cell r="CF11">
            <v>15365</v>
          </cell>
          <cell r="CG11">
            <v>3822</v>
          </cell>
          <cell r="CH11">
            <v>3286</v>
          </cell>
          <cell r="CI11">
            <v>536</v>
          </cell>
          <cell r="CJ11">
            <v>19187</v>
          </cell>
        </row>
        <row r="12">
          <cell r="A12">
            <v>32478</v>
          </cell>
          <cell r="B12">
            <v>3003</v>
          </cell>
          <cell r="C12">
            <v>13246</v>
          </cell>
          <cell r="D12">
            <v>829</v>
          </cell>
          <cell r="E12">
            <v>165</v>
          </cell>
          <cell r="F12">
            <v>0</v>
          </cell>
          <cell r="G12">
            <v>14239</v>
          </cell>
          <cell r="H12">
            <v>17243</v>
          </cell>
          <cell r="I12">
            <v>2554</v>
          </cell>
          <cell r="J12">
            <v>0</v>
          </cell>
          <cell r="K12">
            <v>2554</v>
          </cell>
          <cell r="L12">
            <v>19797</v>
          </cell>
          <cell r="M12">
            <v>8192</v>
          </cell>
          <cell r="N12">
            <v>1006</v>
          </cell>
          <cell r="O12">
            <v>-99</v>
          </cell>
          <cell r="P12">
            <v>3342</v>
          </cell>
          <cell r="Q12">
            <v>0</v>
          </cell>
          <cell r="R12">
            <v>12441</v>
          </cell>
          <cell r="S12">
            <v>12441</v>
          </cell>
          <cell r="T12">
            <v>703</v>
          </cell>
          <cell r="U12">
            <v>0</v>
          </cell>
          <cell r="V12">
            <v>703</v>
          </cell>
          <cell r="W12">
            <v>2790</v>
          </cell>
          <cell r="X12">
            <v>86</v>
          </cell>
          <cell r="Y12">
            <v>3579</v>
          </cell>
          <cell r="Z12">
            <v>16020</v>
          </cell>
          <cell r="AA12">
            <v>3777</v>
          </cell>
          <cell r="AB12">
            <v>3224</v>
          </cell>
          <cell r="AC12">
            <v>553</v>
          </cell>
          <cell r="AD12">
            <v>19797</v>
          </cell>
          <cell r="AE12">
            <v>3021</v>
          </cell>
          <cell r="AF12">
            <v>13089</v>
          </cell>
          <cell r="AG12">
            <v>789</v>
          </cell>
          <cell r="AH12">
            <v>104</v>
          </cell>
          <cell r="AI12">
            <v>0</v>
          </cell>
          <cell r="AJ12">
            <v>13982</v>
          </cell>
          <cell r="AK12">
            <v>17003</v>
          </cell>
          <cell r="AL12">
            <v>2554</v>
          </cell>
          <cell r="AM12">
            <v>0</v>
          </cell>
          <cell r="AN12">
            <v>2554</v>
          </cell>
          <cell r="AO12">
            <v>19557</v>
          </cell>
          <cell r="AP12">
            <v>8205</v>
          </cell>
          <cell r="AQ12">
            <v>999</v>
          </cell>
          <cell r="AR12">
            <v>-85</v>
          </cell>
          <cell r="AS12">
            <v>3342</v>
          </cell>
          <cell r="AT12">
            <v>0</v>
          </cell>
          <cell r="AU12">
            <v>12461</v>
          </cell>
          <cell r="AV12">
            <v>12461</v>
          </cell>
          <cell r="AW12">
            <v>677</v>
          </cell>
          <cell r="AX12">
            <v>0</v>
          </cell>
          <cell r="AY12">
            <v>677</v>
          </cell>
          <cell r="AZ12">
            <v>2801</v>
          </cell>
          <cell r="BA12">
            <v>86</v>
          </cell>
          <cell r="BB12">
            <v>3564</v>
          </cell>
          <cell r="BC12">
            <v>16025</v>
          </cell>
          <cell r="BD12">
            <v>3532</v>
          </cell>
          <cell r="BE12">
            <v>2979</v>
          </cell>
          <cell r="BF12">
            <v>553</v>
          </cell>
          <cell r="BG12">
            <v>19557</v>
          </cell>
          <cell r="BH12">
            <v>3021</v>
          </cell>
          <cell r="BI12">
            <v>13089</v>
          </cell>
          <cell r="BJ12">
            <v>286</v>
          </cell>
          <cell r="BK12">
            <v>113</v>
          </cell>
          <cell r="BL12">
            <v>0</v>
          </cell>
          <cell r="BM12">
            <v>13487</v>
          </cell>
          <cell r="BN12">
            <v>16508</v>
          </cell>
          <cell r="BO12">
            <v>2554</v>
          </cell>
          <cell r="BP12">
            <v>0</v>
          </cell>
          <cell r="BQ12">
            <v>2554</v>
          </cell>
          <cell r="BR12">
            <v>19062</v>
          </cell>
          <cell r="BS12">
            <v>8342</v>
          </cell>
          <cell r="BT12">
            <v>833</v>
          </cell>
          <cell r="BU12">
            <v>-43</v>
          </cell>
          <cell r="BV12">
            <v>3342</v>
          </cell>
          <cell r="BW12">
            <v>0</v>
          </cell>
          <cell r="BX12">
            <v>12474</v>
          </cell>
          <cell r="BY12">
            <v>12474</v>
          </cell>
          <cell r="BZ12">
            <v>865</v>
          </cell>
          <cell r="CA12">
            <v>0</v>
          </cell>
          <cell r="CB12">
            <v>865</v>
          </cell>
          <cell r="CC12">
            <v>2812</v>
          </cell>
          <cell r="CD12">
            <v>86</v>
          </cell>
          <cell r="CE12">
            <v>3763</v>
          </cell>
          <cell r="CF12">
            <v>16237</v>
          </cell>
          <cell r="CG12">
            <v>2825</v>
          </cell>
          <cell r="CH12">
            <v>2272</v>
          </cell>
          <cell r="CI12">
            <v>553</v>
          </cell>
          <cell r="CJ12">
            <v>19062</v>
          </cell>
        </row>
        <row r="13">
          <cell r="A13">
            <v>32568</v>
          </cell>
          <cell r="B13">
            <v>3019</v>
          </cell>
          <cell r="C13">
            <v>14432</v>
          </cell>
          <cell r="D13">
            <v>834</v>
          </cell>
          <cell r="E13">
            <v>92</v>
          </cell>
          <cell r="F13">
            <v>0</v>
          </cell>
          <cell r="G13">
            <v>15358</v>
          </cell>
          <cell r="H13">
            <v>18377</v>
          </cell>
          <cell r="I13">
            <v>2598</v>
          </cell>
          <cell r="J13">
            <v>0</v>
          </cell>
          <cell r="K13">
            <v>2598</v>
          </cell>
          <cell r="L13">
            <v>20975</v>
          </cell>
          <cell r="M13">
            <v>8786</v>
          </cell>
          <cell r="N13">
            <v>928</v>
          </cell>
          <cell r="O13">
            <v>-78</v>
          </cell>
          <cell r="P13">
            <v>3483</v>
          </cell>
          <cell r="Q13">
            <v>0</v>
          </cell>
          <cell r="R13">
            <v>13119</v>
          </cell>
          <cell r="S13">
            <v>13119</v>
          </cell>
          <cell r="T13">
            <v>799</v>
          </cell>
          <cell r="U13">
            <v>0</v>
          </cell>
          <cell r="V13">
            <v>799</v>
          </cell>
          <cell r="W13">
            <v>2773</v>
          </cell>
          <cell r="X13">
            <v>89</v>
          </cell>
          <cell r="Y13">
            <v>3661</v>
          </cell>
          <cell r="Z13">
            <v>16780</v>
          </cell>
          <cell r="AA13">
            <v>4196</v>
          </cell>
          <cell r="AB13">
            <v>3621</v>
          </cell>
          <cell r="AC13">
            <v>575</v>
          </cell>
          <cell r="AD13">
            <v>20975</v>
          </cell>
          <cell r="AE13">
            <v>3043</v>
          </cell>
          <cell r="AF13">
            <v>14576</v>
          </cell>
          <cell r="AG13">
            <v>908</v>
          </cell>
          <cell r="AH13">
            <v>106</v>
          </cell>
          <cell r="AI13">
            <v>0</v>
          </cell>
          <cell r="AJ13">
            <v>15590</v>
          </cell>
          <cell r="AK13">
            <v>18632</v>
          </cell>
          <cell r="AL13">
            <v>2598</v>
          </cell>
          <cell r="AM13">
            <v>0</v>
          </cell>
          <cell r="AN13">
            <v>2598</v>
          </cell>
          <cell r="AO13">
            <v>21230</v>
          </cell>
          <cell r="AP13">
            <v>8842</v>
          </cell>
          <cell r="AQ13">
            <v>1034</v>
          </cell>
          <cell r="AR13">
            <v>-96</v>
          </cell>
          <cell r="AS13">
            <v>3471</v>
          </cell>
          <cell r="AT13">
            <v>0</v>
          </cell>
          <cell r="AU13">
            <v>13251</v>
          </cell>
          <cell r="AV13">
            <v>13251</v>
          </cell>
          <cell r="AW13">
            <v>778</v>
          </cell>
          <cell r="AX13">
            <v>0</v>
          </cell>
          <cell r="AY13">
            <v>778</v>
          </cell>
          <cell r="AZ13">
            <v>2769</v>
          </cell>
          <cell r="BA13">
            <v>89</v>
          </cell>
          <cell r="BB13">
            <v>3635</v>
          </cell>
          <cell r="BC13">
            <v>16886</v>
          </cell>
          <cell r="BD13">
            <v>4344</v>
          </cell>
          <cell r="BE13">
            <v>3770</v>
          </cell>
          <cell r="BF13">
            <v>574</v>
          </cell>
          <cell r="BG13">
            <v>21230</v>
          </cell>
          <cell r="BH13">
            <v>3043</v>
          </cell>
          <cell r="BI13">
            <v>14576</v>
          </cell>
          <cell r="BJ13">
            <v>1440</v>
          </cell>
          <cell r="BK13">
            <v>92</v>
          </cell>
          <cell r="BL13">
            <v>0</v>
          </cell>
          <cell r="BM13">
            <v>16108</v>
          </cell>
          <cell r="BN13">
            <v>19151</v>
          </cell>
          <cell r="BO13">
            <v>2598</v>
          </cell>
          <cell r="BP13">
            <v>0</v>
          </cell>
          <cell r="BQ13">
            <v>2598</v>
          </cell>
          <cell r="BR13">
            <v>21748</v>
          </cell>
          <cell r="BS13">
            <v>8781</v>
          </cell>
          <cell r="BT13">
            <v>712</v>
          </cell>
          <cell r="BU13">
            <v>-95</v>
          </cell>
          <cell r="BV13">
            <v>3471</v>
          </cell>
          <cell r="BW13">
            <v>0</v>
          </cell>
          <cell r="BX13">
            <v>12868</v>
          </cell>
          <cell r="BY13">
            <v>12868</v>
          </cell>
          <cell r="BZ13">
            <v>592</v>
          </cell>
          <cell r="CA13">
            <v>0</v>
          </cell>
          <cell r="CB13">
            <v>592</v>
          </cell>
          <cell r="CC13">
            <v>2852</v>
          </cell>
          <cell r="CD13">
            <v>89</v>
          </cell>
          <cell r="CE13">
            <v>3533</v>
          </cell>
          <cell r="CF13">
            <v>16401</v>
          </cell>
          <cell r="CG13">
            <v>5347</v>
          </cell>
          <cell r="CH13">
            <v>4773</v>
          </cell>
          <cell r="CI13">
            <v>574</v>
          </cell>
          <cell r="CJ13">
            <v>21748</v>
          </cell>
        </row>
        <row r="14">
          <cell r="A14">
            <v>32660</v>
          </cell>
          <cell r="B14">
            <v>2812</v>
          </cell>
          <cell r="C14">
            <v>15478</v>
          </cell>
          <cell r="D14">
            <v>853</v>
          </cell>
          <cell r="E14">
            <v>65</v>
          </cell>
          <cell r="F14">
            <v>0</v>
          </cell>
          <cell r="G14">
            <v>16396</v>
          </cell>
          <cell r="H14">
            <v>19208</v>
          </cell>
          <cell r="I14">
            <v>2647</v>
          </cell>
          <cell r="J14">
            <v>0</v>
          </cell>
          <cell r="K14">
            <v>2647</v>
          </cell>
          <cell r="L14">
            <v>21856</v>
          </cell>
          <cell r="M14">
            <v>9343</v>
          </cell>
          <cell r="N14">
            <v>820</v>
          </cell>
          <cell r="O14">
            <v>-89</v>
          </cell>
          <cell r="P14">
            <v>3673</v>
          </cell>
          <cell r="Q14">
            <v>0</v>
          </cell>
          <cell r="R14">
            <v>13747</v>
          </cell>
          <cell r="S14">
            <v>13747</v>
          </cell>
          <cell r="T14">
            <v>924</v>
          </cell>
          <cell r="U14">
            <v>0</v>
          </cell>
          <cell r="V14">
            <v>924</v>
          </cell>
          <cell r="W14">
            <v>2654</v>
          </cell>
          <cell r="X14">
            <v>93</v>
          </cell>
          <cell r="Y14">
            <v>3671</v>
          </cell>
          <cell r="Z14">
            <v>17418</v>
          </cell>
          <cell r="AA14">
            <v>4437</v>
          </cell>
          <cell r="AB14">
            <v>3835</v>
          </cell>
          <cell r="AC14">
            <v>602</v>
          </cell>
          <cell r="AD14">
            <v>21856</v>
          </cell>
          <cell r="AE14">
            <v>2874</v>
          </cell>
          <cell r="AF14">
            <v>15583</v>
          </cell>
          <cell r="AG14">
            <v>767</v>
          </cell>
          <cell r="AH14">
            <v>32</v>
          </cell>
          <cell r="AI14">
            <v>0</v>
          </cell>
          <cell r="AJ14">
            <v>16383</v>
          </cell>
          <cell r="AK14">
            <v>19256</v>
          </cell>
          <cell r="AL14">
            <v>2645</v>
          </cell>
          <cell r="AM14">
            <v>0</v>
          </cell>
          <cell r="AN14">
            <v>2645</v>
          </cell>
          <cell r="AO14">
            <v>21901</v>
          </cell>
          <cell r="AP14">
            <v>9304</v>
          </cell>
          <cell r="AQ14">
            <v>782</v>
          </cell>
          <cell r="AR14">
            <v>-41</v>
          </cell>
          <cell r="AS14">
            <v>3626</v>
          </cell>
          <cell r="AT14">
            <v>0</v>
          </cell>
          <cell r="AU14">
            <v>13671</v>
          </cell>
          <cell r="AV14">
            <v>13671</v>
          </cell>
          <cell r="AW14">
            <v>875</v>
          </cell>
          <cell r="AX14">
            <v>0</v>
          </cell>
          <cell r="AY14">
            <v>875</v>
          </cell>
          <cell r="AZ14">
            <v>2757</v>
          </cell>
          <cell r="BA14">
            <v>93</v>
          </cell>
          <cell r="BB14">
            <v>3725</v>
          </cell>
          <cell r="BC14">
            <v>17396</v>
          </cell>
          <cell r="BD14">
            <v>4505</v>
          </cell>
          <cell r="BE14">
            <v>3906</v>
          </cell>
          <cell r="BF14">
            <v>599</v>
          </cell>
          <cell r="BG14">
            <v>21901</v>
          </cell>
          <cell r="BH14">
            <v>2874</v>
          </cell>
          <cell r="BI14">
            <v>15583</v>
          </cell>
          <cell r="BJ14">
            <v>282</v>
          </cell>
          <cell r="BK14">
            <v>39</v>
          </cell>
          <cell r="BL14">
            <v>0</v>
          </cell>
          <cell r="BM14">
            <v>15905</v>
          </cell>
          <cell r="BN14">
            <v>18778</v>
          </cell>
          <cell r="BO14">
            <v>2645</v>
          </cell>
          <cell r="BP14">
            <v>0</v>
          </cell>
          <cell r="BQ14">
            <v>2645</v>
          </cell>
          <cell r="BR14">
            <v>21423</v>
          </cell>
          <cell r="BS14">
            <v>9299</v>
          </cell>
          <cell r="BT14">
            <v>957</v>
          </cell>
          <cell r="BU14">
            <v>-117</v>
          </cell>
          <cell r="BV14">
            <v>3626</v>
          </cell>
          <cell r="BW14">
            <v>0</v>
          </cell>
          <cell r="BX14">
            <v>13766</v>
          </cell>
          <cell r="BY14">
            <v>13766</v>
          </cell>
          <cell r="BZ14">
            <v>787</v>
          </cell>
          <cell r="CA14">
            <v>0</v>
          </cell>
          <cell r="CB14">
            <v>787</v>
          </cell>
          <cell r="CC14">
            <v>2763</v>
          </cell>
          <cell r="CD14">
            <v>93</v>
          </cell>
          <cell r="CE14">
            <v>3643</v>
          </cell>
          <cell r="CF14">
            <v>17409</v>
          </cell>
          <cell r="CG14">
            <v>4014</v>
          </cell>
          <cell r="CH14">
            <v>3415</v>
          </cell>
          <cell r="CI14">
            <v>599</v>
          </cell>
          <cell r="CJ14">
            <v>21423</v>
          </cell>
        </row>
        <row r="15">
          <cell r="A15">
            <v>32752</v>
          </cell>
          <cell r="B15">
            <v>2516</v>
          </cell>
          <cell r="C15">
            <v>16368</v>
          </cell>
          <cell r="D15">
            <v>896</v>
          </cell>
          <cell r="E15">
            <v>51</v>
          </cell>
          <cell r="F15">
            <v>0</v>
          </cell>
          <cell r="G15">
            <v>17315</v>
          </cell>
          <cell r="H15">
            <v>19831</v>
          </cell>
          <cell r="I15">
            <v>2699</v>
          </cell>
          <cell r="J15">
            <v>0</v>
          </cell>
          <cell r="K15">
            <v>2699</v>
          </cell>
          <cell r="L15">
            <v>22530</v>
          </cell>
          <cell r="M15">
            <v>10097</v>
          </cell>
          <cell r="N15">
            <v>850</v>
          </cell>
          <cell r="O15">
            <v>-118</v>
          </cell>
          <cell r="P15">
            <v>3898</v>
          </cell>
          <cell r="Q15">
            <v>0</v>
          </cell>
          <cell r="R15">
            <v>14727</v>
          </cell>
          <cell r="S15">
            <v>14727</v>
          </cell>
          <cell r="T15">
            <v>999</v>
          </cell>
          <cell r="U15">
            <v>0</v>
          </cell>
          <cell r="V15">
            <v>999</v>
          </cell>
          <cell r="W15">
            <v>2498</v>
          </cell>
          <cell r="X15">
            <v>98</v>
          </cell>
          <cell r="Y15">
            <v>3596</v>
          </cell>
          <cell r="Z15">
            <v>18323</v>
          </cell>
          <cell r="AA15">
            <v>4207</v>
          </cell>
          <cell r="AB15">
            <v>3576</v>
          </cell>
          <cell r="AC15">
            <v>631</v>
          </cell>
          <cell r="AD15">
            <v>22530</v>
          </cell>
          <cell r="AE15">
            <v>2435</v>
          </cell>
          <cell r="AF15">
            <v>16256</v>
          </cell>
          <cell r="AG15">
            <v>933</v>
          </cell>
          <cell r="AH15">
            <v>104</v>
          </cell>
          <cell r="AI15">
            <v>0</v>
          </cell>
          <cell r="AJ15">
            <v>17294</v>
          </cell>
          <cell r="AK15">
            <v>19729</v>
          </cell>
          <cell r="AL15">
            <v>2701</v>
          </cell>
          <cell r="AM15">
            <v>0</v>
          </cell>
          <cell r="AN15">
            <v>2701</v>
          </cell>
          <cell r="AO15">
            <v>22430</v>
          </cell>
          <cell r="AP15">
            <v>10044</v>
          </cell>
          <cell r="AQ15">
            <v>705</v>
          </cell>
          <cell r="AR15">
            <v>-149</v>
          </cell>
          <cell r="AS15">
            <v>3929</v>
          </cell>
          <cell r="AT15">
            <v>0</v>
          </cell>
          <cell r="AU15">
            <v>14530</v>
          </cell>
          <cell r="AV15">
            <v>14530</v>
          </cell>
          <cell r="AW15">
            <v>1145</v>
          </cell>
          <cell r="AX15">
            <v>0</v>
          </cell>
          <cell r="AY15">
            <v>1145</v>
          </cell>
          <cell r="AZ15">
            <v>2452</v>
          </cell>
          <cell r="BA15">
            <v>98</v>
          </cell>
          <cell r="BB15">
            <v>3695</v>
          </cell>
          <cell r="BC15">
            <v>18225</v>
          </cell>
          <cell r="BD15">
            <v>4205</v>
          </cell>
          <cell r="BE15">
            <v>3571</v>
          </cell>
          <cell r="BF15">
            <v>634</v>
          </cell>
          <cell r="BG15">
            <v>22430</v>
          </cell>
          <cell r="BH15">
            <v>2435</v>
          </cell>
          <cell r="BI15">
            <v>16256</v>
          </cell>
          <cell r="BJ15">
            <v>1618</v>
          </cell>
          <cell r="BK15">
            <v>100</v>
          </cell>
          <cell r="BL15">
            <v>0</v>
          </cell>
          <cell r="BM15">
            <v>17974</v>
          </cell>
          <cell r="BN15">
            <v>20409</v>
          </cell>
          <cell r="BO15">
            <v>2701</v>
          </cell>
          <cell r="BP15">
            <v>0</v>
          </cell>
          <cell r="BQ15">
            <v>2701</v>
          </cell>
          <cell r="BR15">
            <v>23111</v>
          </cell>
          <cell r="BS15">
            <v>9959</v>
          </cell>
          <cell r="BT15">
            <v>759</v>
          </cell>
          <cell r="BU15">
            <v>-116</v>
          </cell>
          <cell r="BV15">
            <v>3929</v>
          </cell>
          <cell r="BW15">
            <v>0</v>
          </cell>
          <cell r="BX15">
            <v>14531</v>
          </cell>
          <cell r="BY15">
            <v>14531</v>
          </cell>
          <cell r="BZ15">
            <v>1187</v>
          </cell>
          <cell r="CA15">
            <v>0</v>
          </cell>
          <cell r="CB15">
            <v>1187</v>
          </cell>
          <cell r="CC15">
            <v>2365</v>
          </cell>
          <cell r="CD15">
            <v>98</v>
          </cell>
          <cell r="CE15">
            <v>3650</v>
          </cell>
          <cell r="CF15">
            <v>18181</v>
          </cell>
          <cell r="CG15">
            <v>4929</v>
          </cell>
          <cell r="CH15">
            <v>4295</v>
          </cell>
          <cell r="CI15">
            <v>634</v>
          </cell>
          <cell r="CJ15">
            <v>23111</v>
          </cell>
        </row>
        <row r="16">
          <cell r="A16">
            <v>32843</v>
          </cell>
          <cell r="B16">
            <v>2279</v>
          </cell>
          <cell r="C16">
            <v>17131</v>
          </cell>
          <cell r="D16">
            <v>931</v>
          </cell>
          <cell r="E16">
            <v>57</v>
          </cell>
          <cell r="F16">
            <v>0</v>
          </cell>
          <cell r="G16">
            <v>18118</v>
          </cell>
          <cell r="H16">
            <v>20398</v>
          </cell>
          <cell r="I16">
            <v>2748</v>
          </cell>
          <cell r="J16">
            <v>0</v>
          </cell>
          <cell r="K16">
            <v>2748</v>
          </cell>
          <cell r="L16">
            <v>23145</v>
          </cell>
          <cell r="M16">
            <v>11002</v>
          </cell>
          <cell r="N16">
            <v>1039</v>
          </cell>
          <cell r="O16">
            <v>-164</v>
          </cell>
          <cell r="P16">
            <v>4070</v>
          </cell>
          <cell r="Q16">
            <v>0</v>
          </cell>
          <cell r="R16">
            <v>15947</v>
          </cell>
          <cell r="S16">
            <v>15947</v>
          </cell>
          <cell r="T16">
            <v>929</v>
          </cell>
          <cell r="U16">
            <v>0</v>
          </cell>
          <cell r="V16">
            <v>929</v>
          </cell>
          <cell r="W16">
            <v>2393</v>
          </cell>
          <cell r="X16">
            <v>104</v>
          </cell>
          <cell r="Y16">
            <v>3426</v>
          </cell>
          <cell r="Z16">
            <v>19373</v>
          </cell>
          <cell r="AA16">
            <v>3772</v>
          </cell>
          <cell r="AB16">
            <v>3114</v>
          </cell>
          <cell r="AC16">
            <v>658</v>
          </cell>
          <cell r="AD16">
            <v>23145</v>
          </cell>
          <cell r="AE16">
            <v>2266</v>
          </cell>
          <cell r="AF16">
            <v>16891</v>
          </cell>
          <cell r="AG16">
            <v>933</v>
          </cell>
          <cell r="AH16">
            <v>43</v>
          </cell>
          <cell r="AI16">
            <v>0</v>
          </cell>
          <cell r="AJ16">
            <v>17867</v>
          </cell>
          <cell r="AK16">
            <v>20133</v>
          </cell>
          <cell r="AL16">
            <v>2749</v>
          </cell>
          <cell r="AM16">
            <v>0</v>
          </cell>
          <cell r="AN16">
            <v>2749</v>
          </cell>
          <cell r="AO16">
            <v>22881</v>
          </cell>
          <cell r="AP16">
            <v>10741</v>
          </cell>
          <cell r="AQ16">
            <v>1078</v>
          </cell>
          <cell r="AR16">
            <v>-174</v>
          </cell>
          <cell r="AS16">
            <v>4085</v>
          </cell>
          <cell r="AT16">
            <v>0</v>
          </cell>
          <cell r="AU16">
            <v>15730</v>
          </cell>
          <cell r="AV16">
            <v>15730</v>
          </cell>
          <cell r="AW16">
            <v>861</v>
          </cell>
          <cell r="AX16">
            <v>0</v>
          </cell>
          <cell r="AY16">
            <v>861</v>
          </cell>
          <cell r="AZ16">
            <v>3140</v>
          </cell>
          <cell r="BA16">
            <v>103</v>
          </cell>
          <cell r="BB16">
            <v>4105</v>
          </cell>
          <cell r="BC16">
            <v>19835</v>
          </cell>
          <cell r="BD16">
            <v>3046</v>
          </cell>
          <cell r="BE16">
            <v>2387</v>
          </cell>
          <cell r="BF16">
            <v>659</v>
          </cell>
          <cell r="BG16">
            <v>22881</v>
          </cell>
          <cell r="BH16">
            <v>2266</v>
          </cell>
          <cell r="BI16">
            <v>16891</v>
          </cell>
          <cell r="BJ16">
            <v>342</v>
          </cell>
          <cell r="BK16">
            <v>54</v>
          </cell>
          <cell r="BL16">
            <v>0</v>
          </cell>
          <cell r="BM16">
            <v>17287</v>
          </cell>
          <cell r="BN16">
            <v>19553</v>
          </cell>
          <cell r="BO16">
            <v>2749</v>
          </cell>
          <cell r="BP16">
            <v>0</v>
          </cell>
          <cell r="BQ16">
            <v>2749</v>
          </cell>
          <cell r="BR16">
            <v>22302</v>
          </cell>
          <cell r="BS16">
            <v>10913</v>
          </cell>
          <cell r="BT16">
            <v>1088</v>
          </cell>
          <cell r="BU16">
            <v>-130</v>
          </cell>
          <cell r="BV16">
            <v>4085</v>
          </cell>
          <cell r="BW16">
            <v>0</v>
          </cell>
          <cell r="BX16">
            <v>15956</v>
          </cell>
          <cell r="BY16">
            <v>15956</v>
          </cell>
          <cell r="BZ16">
            <v>1125</v>
          </cell>
          <cell r="CA16">
            <v>0</v>
          </cell>
          <cell r="CB16">
            <v>1125</v>
          </cell>
          <cell r="CC16">
            <v>3151</v>
          </cell>
          <cell r="CD16">
            <v>103</v>
          </cell>
          <cell r="CE16">
            <v>4379</v>
          </cell>
          <cell r="CF16">
            <v>20335</v>
          </cell>
          <cell r="CG16">
            <v>1967</v>
          </cell>
          <cell r="CH16">
            <v>1308</v>
          </cell>
          <cell r="CI16">
            <v>659</v>
          </cell>
          <cell r="CJ16">
            <v>22302</v>
          </cell>
        </row>
        <row r="17">
          <cell r="A17">
            <v>32933</v>
          </cell>
          <cell r="B17">
            <v>2175</v>
          </cell>
          <cell r="C17">
            <v>17628</v>
          </cell>
          <cell r="D17">
            <v>938</v>
          </cell>
          <cell r="E17">
            <v>68</v>
          </cell>
          <cell r="F17">
            <v>0</v>
          </cell>
          <cell r="G17">
            <v>18634</v>
          </cell>
          <cell r="H17">
            <v>20809</v>
          </cell>
          <cell r="I17">
            <v>2790</v>
          </cell>
          <cell r="J17">
            <v>0</v>
          </cell>
          <cell r="K17">
            <v>2790</v>
          </cell>
          <cell r="L17">
            <v>23599</v>
          </cell>
          <cell r="M17">
            <v>11671</v>
          </cell>
          <cell r="N17">
            <v>1159</v>
          </cell>
          <cell r="O17">
            <v>-178</v>
          </cell>
          <cell r="P17">
            <v>4110</v>
          </cell>
          <cell r="Q17">
            <v>0</v>
          </cell>
          <cell r="R17">
            <v>16762</v>
          </cell>
          <cell r="S17">
            <v>16762</v>
          </cell>
          <cell r="T17">
            <v>814</v>
          </cell>
          <cell r="U17">
            <v>0</v>
          </cell>
          <cell r="V17">
            <v>814</v>
          </cell>
          <cell r="W17">
            <v>2392</v>
          </cell>
          <cell r="X17">
            <v>110</v>
          </cell>
          <cell r="Y17">
            <v>3317</v>
          </cell>
          <cell r="Z17">
            <v>20079</v>
          </cell>
          <cell r="AA17">
            <v>3519</v>
          </cell>
          <cell r="AB17">
            <v>2841</v>
          </cell>
          <cell r="AC17">
            <v>679</v>
          </cell>
          <cell r="AD17">
            <v>23599</v>
          </cell>
          <cell r="AE17">
            <v>2177</v>
          </cell>
          <cell r="AF17">
            <v>18027</v>
          </cell>
          <cell r="AG17">
            <v>953</v>
          </cell>
          <cell r="AH17">
            <v>-14</v>
          </cell>
          <cell r="AI17">
            <v>0</v>
          </cell>
          <cell r="AJ17">
            <v>18967</v>
          </cell>
          <cell r="AK17">
            <v>21144</v>
          </cell>
          <cell r="AL17">
            <v>2791</v>
          </cell>
          <cell r="AM17">
            <v>0</v>
          </cell>
          <cell r="AN17">
            <v>2791</v>
          </cell>
          <cell r="AO17">
            <v>23934</v>
          </cell>
          <cell r="AP17">
            <v>12127</v>
          </cell>
          <cell r="AQ17">
            <v>1322</v>
          </cell>
          <cell r="AR17">
            <v>-121</v>
          </cell>
          <cell r="AS17">
            <v>4122</v>
          </cell>
          <cell r="AT17">
            <v>0</v>
          </cell>
          <cell r="AU17">
            <v>17450</v>
          </cell>
          <cell r="AV17">
            <v>17450</v>
          </cell>
          <cell r="AW17">
            <v>856</v>
          </cell>
          <cell r="AX17">
            <v>0</v>
          </cell>
          <cell r="AY17">
            <v>856</v>
          </cell>
          <cell r="AZ17">
            <v>2601</v>
          </cell>
          <cell r="BA17">
            <v>110</v>
          </cell>
          <cell r="BB17">
            <v>3567</v>
          </cell>
          <cell r="BC17">
            <v>21018</v>
          </cell>
          <cell r="BD17">
            <v>2917</v>
          </cell>
          <cell r="BE17">
            <v>2238</v>
          </cell>
          <cell r="BF17">
            <v>679</v>
          </cell>
          <cell r="BG17">
            <v>23934</v>
          </cell>
          <cell r="BH17">
            <v>2177</v>
          </cell>
          <cell r="BI17">
            <v>18027</v>
          </cell>
          <cell r="BJ17">
            <v>1506</v>
          </cell>
          <cell r="BK17">
            <v>-22</v>
          </cell>
          <cell r="BL17">
            <v>0</v>
          </cell>
          <cell r="BM17">
            <v>19511</v>
          </cell>
          <cell r="BN17">
            <v>21688</v>
          </cell>
          <cell r="BO17">
            <v>2791</v>
          </cell>
          <cell r="BP17">
            <v>0</v>
          </cell>
          <cell r="BQ17">
            <v>2791</v>
          </cell>
          <cell r="BR17">
            <v>24479</v>
          </cell>
          <cell r="BS17">
            <v>12034</v>
          </cell>
          <cell r="BT17">
            <v>1006</v>
          </cell>
          <cell r="BU17">
            <v>-118</v>
          </cell>
          <cell r="BV17">
            <v>4122</v>
          </cell>
          <cell r="BW17">
            <v>0</v>
          </cell>
          <cell r="BX17">
            <v>17043</v>
          </cell>
          <cell r="BY17">
            <v>17043</v>
          </cell>
          <cell r="BZ17">
            <v>644</v>
          </cell>
          <cell r="CA17">
            <v>0</v>
          </cell>
          <cell r="CB17">
            <v>644</v>
          </cell>
          <cell r="CC17">
            <v>2674</v>
          </cell>
          <cell r="CD17">
            <v>110</v>
          </cell>
          <cell r="CE17">
            <v>3428</v>
          </cell>
          <cell r="CF17">
            <v>20471</v>
          </cell>
          <cell r="CG17">
            <v>4008</v>
          </cell>
          <cell r="CH17">
            <v>3329</v>
          </cell>
          <cell r="CI17">
            <v>679</v>
          </cell>
          <cell r="CJ17">
            <v>24479</v>
          </cell>
        </row>
        <row r="18">
          <cell r="A18">
            <v>33025</v>
          </cell>
          <cell r="B18">
            <v>2157</v>
          </cell>
          <cell r="C18">
            <v>17548</v>
          </cell>
          <cell r="D18">
            <v>889</v>
          </cell>
          <cell r="E18">
            <v>78</v>
          </cell>
          <cell r="F18">
            <v>0</v>
          </cell>
          <cell r="G18">
            <v>18515</v>
          </cell>
          <cell r="H18">
            <v>20671</v>
          </cell>
          <cell r="I18">
            <v>2827</v>
          </cell>
          <cell r="J18">
            <v>0</v>
          </cell>
          <cell r="K18">
            <v>2827</v>
          </cell>
          <cell r="L18">
            <v>23499</v>
          </cell>
          <cell r="M18">
            <v>11737</v>
          </cell>
          <cell r="N18">
            <v>1150</v>
          </cell>
          <cell r="O18">
            <v>-127</v>
          </cell>
          <cell r="P18">
            <v>4023</v>
          </cell>
          <cell r="Q18">
            <v>0</v>
          </cell>
          <cell r="R18">
            <v>16782</v>
          </cell>
          <cell r="S18">
            <v>16782</v>
          </cell>
          <cell r="T18">
            <v>823</v>
          </cell>
          <cell r="U18">
            <v>0</v>
          </cell>
          <cell r="V18">
            <v>823</v>
          </cell>
          <cell r="W18">
            <v>2510</v>
          </cell>
          <cell r="X18">
            <v>118</v>
          </cell>
          <cell r="Y18">
            <v>3451</v>
          </cell>
          <cell r="Z18">
            <v>20233</v>
          </cell>
          <cell r="AA18">
            <v>3266</v>
          </cell>
          <cell r="AB18">
            <v>2570</v>
          </cell>
          <cell r="AC18">
            <v>695</v>
          </cell>
          <cell r="AD18">
            <v>23499</v>
          </cell>
          <cell r="AE18">
            <v>2166</v>
          </cell>
          <cell r="AF18">
            <v>17417</v>
          </cell>
          <cell r="AG18">
            <v>868</v>
          </cell>
          <cell r="AH18">
            <v>230</v>
          </cell>
          <cell r="AI18">
            <v>0</v>
          </cell>
          <cell r="AJ18">
            <v>18516</v>
          </cell>
          <cell r="AK18">
            <v>20682</v>
          </cell>
          <cell r="AL18">
            <v>2828</v>
          </cell>
          <cell r="AM18">
            <v>0</v>
          </cell>
          <cell r="AN18">
            <v>2828</v>
          </cell>
          <cell r="AO18">
            <v>23509</v>
          </cell>
          <cell r="AP18">
            <v>11655</v>
          </cell>
          <cell r="AQ18">
            <v>1131</v>
          </cell>
          <cell r="AR18">
            <v>-238</v>
          </cell>
          <cell r="AS18">
            <v>4041</v>
          </cell>
          <cell r="AT18">
            <v>0</v>
          </cell>
          <cell r="AU18">
            <v>16588</v>
          </cell>
          <cell r="AV18">
            <v>16588</v>
          </cell>
          <cell r="AW18">
            <v>673</v>
          </cell>
          <cell r="AX18">
            <v>0</v>
          </cell>
          <cell r="AY18">
            <v>673</v>
          </cell>
          <cell r="AZ18">
            <v>2343</v>
          </cell>
          <cell r="BA18">
            <v>117</v>
          </cell>
          <cell r="BB18">
            <v>3134</v>
          </cell>
          <cell r="BC18">
            <v>19722</v>
          </cell>
          <cell r="BD18">
            <v>3787</v>
          </cell>
          <cell r="BE18">
            <v>3093</v>
          </cell>
          <cell r="BF18">
            <v>694</v>
          </cell>
          <cell r="BG18">
            <v>23509</v>
          </cell>
          <cell r="BH18">
            <v>2166</v>
          </cell>
          <cell r="BI18">
            <v>17417</v>
          </cell>
          <cell r="BJ18">
            <v>328</v>
          </cell>
          <cell r="BK18">
            <v>234</v>
          </cell>
          <cell r="BL18">
            <v>0</v>
          </cell>
          <cell r="BM18">
            <v>17979</v>
          </cell>
          <cell r="BN18">
            <v>20145</v>
          </cell>
          <cell r="BO18">
            <v>2828</v>
          </cell>
          <cell r="BP18">
            <v>0</v>
          </cell>
          <cell r="BQ18">
            <v>2828</v>
          </cell>
          <cell r="BR18">
            <v>22973</v>
          </cell>
          <cell r="BS18">
            <v>11647</v>
          </cell>
          <cell r="BT18">
            <v>1293</v>
          </cell>
          <cell r="BU18">
            <v>-321</v>
          </cell>
          <cell r="BV18">
            <v>4041</v>
          </cell>
          <cell r="BW18">
            <v>0</v>
          </cell>
          <cell r="BX18">
            <v>16660</v>
          </cell>
          <cell r="BY18">
            <v>16660</v>
          </cell>
          <cell r="BZ18">
            <v>632</v>
          </cell>
          <cell r="CA18">
            <v>0</v>
          </cell>
          <cell r="CB18">
            <v>632</v>
          </cell>
          <cell r="CC18">
            <v>2347</v>
          </cell>
          <cell r="CD18">
            <v>117</v>
          </cell>
          <cell r="CE18">
            <v>3095</v>
          </cell>
          <cell r="CF18">
            <v>19755</v>
          </cell>
          <cell r="CG18">
            <v>3218</v>
          </cell>
          <cell r="CH18">
            <v>2524</v>
          </cell>
          <cell r="CI18">
            <v>694</v>
          </cell>
          <cell r="CJ18">
            <v>22973</v>
          </cell>
        </row>
        <row r="19">
          <cell r="A19">
            <v>33117</v>
          </cell>
          <cell r="B19">
            <v>2152</v>
          </cell>
          <cell r="C19">
            <v>16720</v>
          </cell>
          <cell r="D19">
            <v>832</v>
          </cell>
          <cell r="E19">
            <v>82</v>
          </cell>
          <cell r="F19">
            <v>0</v>
          </cell>
          <cell r="G19">
            <v>17635</v>
          </cell>
          <cell r="H19">
            <v>19787</v>
          </cell>
          <cell r="I19">
            <v>2863</v>
          </cell>
          <cell r="J19">
            <v>0</v>
          </cell>
          <cell r="K19">
            <v>2863</v>
          </cell>
          <cell r="L19">
            <v>22650</v>
          </cell>
          <cell r="M19">
            <v>11161</v>
          </cell>
          <cell r="N19">
            <v>1113</v>
          </cell>
          <cell r="O19">
            <v>-45</v>
          </cell>
          <cell r="P19">
            <v>3889</v>
          </cell>
          <cell r="Q19">
            <v>0</v>
          </cell>
          <cell r="R19">
            <v>16119</v>
          </cell>
          <cell r="S19">
            <v>16119</v>
          </cell>
          <cell r="T19">
            <v>937</v>
          </cell>
          <cell r="U19">
            <v>0</v>
          </cell>
          <cell r="V19">
            <v>937</v>
          </cell>
          <cell r="W19">
            <v>2711</v>
          </cell>
          <cell r="X19">
            <v>126</v>
          </cell>
          <cell r="Y19">
            <v>3774</v>
          </cell>
          <cell r="Z19">
            <v>19893</v>
          </cell>
          <cell r="AA19">
            <v>2757</v>
          </cell>
          <cell r="AB19">
            <v>2046</v>
          </cell>
          <cell r="AC19">
            <v>711</v>
          </cell>
          <cell r="AD19">
            <v>22650</v>
          </cell>
          <cell r="AE19">
            <v>2168</v>
          </cell>
          <cell r="AF19">
            <v>16853</v>
          </cell>
          <cell r="AG19">
            <v>861</v>
          </cell>
          <cell r="AH19">
            <v>-51</v>
          </cell>
          <cell r="AI19">
            <v>0</v>
          </cell>
          <cell r="AJ19">
            <v>17662</v>
          </cell>
          <cell r="AK19">
            <v>19830</v>
          </cell>
          <cell r="AL19">
            <v>2861</v>
          </cell>
          <cell r="AM19">
            <v>0</v>
          </cell>
          <cell r="AN19">
            <v>2861</v>
          </cell>
          <cell r="AO19">
            <v>22691</v>
          </cell>
          <cell r="AP19">
            <v>11134</v>
          </cell>
          <cell r="AQ19">
            <v>899</v>
          </cell>
          <cell r="AR19">
            <v>36</v>
          </cell>
          <cell r="AS19">
            <v>3849</v>
          </cell>
          <cell r="AT19">
            <v>0</v>
          </cell>
          <cell r="AU19">
            <v>15918</v>
          </cell>
          <cell r="AV19">
            <v>15918</v>
          </cell>
          <cell r="AW19">
            <v>1007</v>
          </cell>
          <cell r="AX19">
            <v>0</v>
          </cell>
          <cell r="AY19">
            <v>1007</v>
          </cell>
          <cell r="AZ19">
            <v>2730</v>
          </cell>
          <cell r="BA19">
            <v>126</v>
          </cell>
          <cell r="BB19">
            <v>3862</v>
          </cell>
          <cell r="BC19">
            <v>19780</v>
          </cell>
          <cell r="BD19">
            <v>2910</v>
          </cell>
          <cell r="BE19">
            <v>2200</v>
          </cell>
          <cell r="BF19">
            <v>710</v>
          </cell>
          <cell r="BG19">
            <v>22691</v>
          </cell>
          <cell r="BH19">
            <v>2168</v>
          </cell>
          <cell r="BI19">
            <v>16853</v>
          </cell>
          <cell r="BJ19">
            <v>1481</v>
          </cell>
          <cell r="BK19">
            <v>-71</v>
          </cell>
          <cell r="BL19">
            <v>0</v>
          </cell>
          <cell r="BM19">
            <v>18263</v>
          </cell>
          <cell r="BN19">
            <v>20430</v>
          </cell>
          <cell r="BO19">
            <v>2861</v>
          </cell>
          <cell r="BP19">
            <v>0</v>
          </cell>
          <cell r="BQ19">
            <v>2861</v>
          </cell>
          <cell r="BR19">
            <v>23292</v>
          </cell>
          <cell r="BS19">
            <v>11075</v>
          </cell>
          <cell r="BT19">
            <v>1038</v>
          </cell>
          <cell r="BU19">
            <v>69</v>
          </cell>
          <cell r="BV19">
            <v>3849</v>
          </cell>
          <cell r="BW19">
            <v>0</v>
          </cell>
          <cell r="BX19">
            <v>16031</v>
          </cell>
          <cell r="BY19">
            <v>16031</v>
          </cell>
          <cell r="BZ19">
            <v>983</v>
          </cell>
          <cell r="CA19">
            <v>0</v>
          </cell>
          <cell r="CB19">
            <v>983</v>
          </cell>
          <cell r="CC19">
            <v>2647</v>
          </cell>
          <cell r="CD19">
            <v>126</v>
          </cell>
          <cell r="CE19">
            <v>3755</v>
          </cell>
          <cell r="CF19">
            <v>19787</v>
          </cell>
          <cell r="CG19">
            <v>3505</v>
          </cell>
          <cell r="CH19">
            <v>2795</v>
          </cell>
          <cell r="CI19">
            <v>710</v>
          </cell>
          <cell r="CJ19">
            <v>23292</v>
          </cell>
        </row>
        <row r="20">
          <cell r="A20">
            <v>33208</v>
          </cell>
          <cell r="B20">
            <v>2169</v>
          </cell>
          <cell r="C20">
            <v>15649</v>
          </cell>
          <cell r="D20">
            <v>789</v>
          </cell>
          <cell r="E20">
            <v>64</v>
          </cell>
          <cell r="F20">
            <v>0</v>
          </cell>
          <cell r="G20">
            <v>16501</v>
          </cell>
          <cell r="H20">
            <v>18670</v>
          </cell>
          <cell r="I20">
            <v>2900</v>
          </cell>
          <cell r="J20">
            <v>0</v>
          </cell>
          <cell r="K20">
            <v>2900</v>
          </cell>
          <cell r="L20">
            <v>21570</v>
          </cell>
          <cell r="M20">
            <v>10306</v>
          </cell>
          <cell r="N20">
            <v>1206</v>
          </cell>
          <cell r="O20">
            <v>43</v>
          </cell>
          <cell r="P20">
            <v>3767</v>
          </cell>
          <cell r="Q20">
            <v>0</v>
          </cell>
          <cell r="R20">
            <v>15322</v>
          </cell>
          <cell r="S20">
            <v>15322</v>
          </cell>
          <cell r="T20">
            <v>987</v>
          </cell>
          <cell r="U20">
            <v>0</v>
          </cell>
          <cell r="V20">
            <v>987</v>
          </cell>
          <cell r="W20">
            <v>2939</v>
          </cell>
          <cell r="X20">
            <v>133</v>
          </cell>
          <cell r="Y20">
            <v>4059</v>
          </cell>
          <cell r="Z20">
            <v>19381</v>
          </cell>
          <cell r="AA20">
            <v>2189</v>
          </cell>
          <cell r="AB20">
            <v>1464</v>
          </cell>
          <cell r="AC20">
            <v>725</v>
          </cell>
          <cell r="AD20">
            <v>21570</v>
          </cell>
          <cell r="AE20">
            <v>2158</v>
          </cell>
          <cell r="AF20">
            <v>15590</v>
          </cell>
          <cell r="AG20">
            <v>751</v>
          </cell>
          <cell r="AH20">
            <v>140</v>
          </cell>
          <cell r="AI20">
            <v>0</v>
          </cell>
          <cell r="AJ20">
            <v>16482</v>
          </cell>
          <cell r="AK20">
            <v>18639</v>
          </cell>
          <cell r="AL20">
            <v>2898</v>
          </cell>
          <cell r="AM20">
            <v>0</v>
          </cell>
          <cell r="AN20">
            <v>2898</v>
          </cell>
          <cell r="AO20">
            <v>21538</v>
          </cell>
          <cell r="AP20">
            <v>10355</v>
          </cell>
          <cell r="AQ20">
            <v>1415</v>
          </cell>
          <cell r="AR20">
            <v>37</v>
          </cell>
          <cell r="AS20">
            <v>3768</v>
          </cell>
          <cell r="AT20">
            <v>0</v>
          </cell>
          <cell r="AU20">
            <v>15575</v>
          </cell>
          <cell r="AV20">
            <v>15575</v>
          </cell>
          <cell r="AW20">
            <v>1100</v>
          </cell>
          <cell r="AX20">
            <v>0</v>
          </cell>
          <cell r="AY20">
            <v>1100</v>
          </cell>
          <cell r="AZ20">
            <v>2986</v>
          </cell>
          <cell r="BA20">
            <v>133</v>
          </cell>
          <cell r="BB20">
            <v>4219</v>
          </cell>
          <cell r="BC20">
            <v>19794</v>
          </cell>
          <cell r="BD20">
            <v>1744</v>
          </cell>
          <cell r="BE20">
            <v>1019</v>
          </cell>
          <cell r="BF20">
            <v>725</v>
          </cell>
          <cell r="BG20">
            <v>21538</v>
          </cell>
          <cell r="BH20">
            <v>2158</v>
          </cell>
          <cell r="BI20">
            <v>15590</v>
          </cell>
          <cell r="BJ20">
            <v>282</v>
          </cell>
          <cell r="BK20">
            <v>166</v>
          </cell>
          <cell r="BL20">
            <v>0</v>
          </cell>
          <cell r="BM20">
            <v>16038</v>
          </cell>
          <cell r="BN20">
            <v>18196</v>
          </cell>
          <cell r="BO20">
            <v>2898</v>
          </cell>
          <cell r="BP20">
            <v>0</v>
          </cell>
          <cell r="BQ20">
            <v>2898</v>
          </cell>
          <cell r="BR20">
            <v>21095</v>
          </cell>
          <cell r="BS20">
            <v>10495</v>
          </cell>
          <cell r="BT20">
            <v>1429</v>
          </cell>
          <cell r="BU20">
            <v>89</v>
          </cell>
          <cell r="BV20">
            <v>3768</v>
          </cell>
          <cell r="BW20">
            <v>0</v>
          </cell>
          <cell r="BX20">
            <v>15779</v>
          </cell>
          <cell r="BY20">
            <v>15779</v>
          </cell>
          <cell r="BZ20">
            <v>1460</v>
          </cell>
          <cell r="CA20">
            <v>0</v>
          </cell>
          <cell r="CB20">
            <v>1460</v>
          </cell>
          <cell r="CC20">
            <v>2993</v>
          </cell>
          <cell r="CD20">
            <v>133</v>
          </cell>
          <cell r="CE20">
            <v>4585</v>
          </cell>
          <cell r="CF20">
            <v>20365</v>
          </cell>
          <cell r="CG20">
            <v>730</v>
          </cell>
          <cell r="CH20">
            <v>4</v>
          </cell>
          <cell r="CI20">
            <v>725</v>
          </cell>
          <cell r="CJ20">
            <v>21095</v>
          </cell>
        </row>
        <row r="21">
          <cell r="A21">
            <v>33298</v>
          </cell>
          <cell r="B21">
            <v>2225</v>
          </cell>
          <cell r="C21">
            <v>14524</v>
          </cell>
          <cell r="D21">
            <v>768</v>
          </cell>
          <cell r="E21">
            <v>86</v>
          </cell>
          <cell r="F21">
            <v>0</v>
          </cell>
          <cell r="G21">
            <v>15378</v>
          </cell>
          <cell r="H21">
            <v>17603</v>
          </cell>
          <cell r="I21">
            <v>2933</v>
          </cell>
          <cell r="J21">
            <v>0</v>
          </cell>
          <cell r="K21">
            <v>2933</v>
          </cell>
          <cell r="L21">
            <v>20536</v>
          </cell>
          <cell r="M21">
            <v>9571</v>
          </cell>
          <cell r="N21">
            <v>1394</v>
          </cell>
          <cell r="O21">
            <v>97</v>
          </cell>
          <cell r="P21">
            <v>3670</v>
          </cell>
          <cell r="Q21">
            <v>0</v>
          </cell>
          <cell r="R21">
            <v>14732</v>
          </cell>
          <cell r="S21">
            <v>14732</v>
          </cell>
          <cell r="T21">
            <v>931</v>
          </cell>
          <cell r="U21">
            <v>0</v>
          </cell>
          <cell r="V21">
            <v>931</v>
          </cell>
          <cell r="W21">
            <v>3141</v>
          </cell>
          <cell r="X21">
            <v>139</v>
          </cell>
          <cell r="Y21">
            <v>4211</v>
          </cell>
          <cell r="Z21">
            <v>18942</v>
          </cell>
          <cell r="AA21">
            <v>1594</v>
          </cell>
          <cell r="AB21">
            <v>860</v>
          </cell>
          <cell r="AC21">
            <v>734</v>
          </cell>
          <cell r="AD21">
            <v>20536</v>
          </cell>
          <cell r="AE21">
            <v>2213</v>
          </cell>
          <cell r="AF21">
            <v>14221</v>
          </cell>
          <cell r="AG21">
            <v>787</v>
          </cell>
          <cell r="AH21">
            <v>50</v>
          </cell>
          <cell r="AI21">
            <v>0</v>
          </cell>
          <cell r="AJ21">
            <v>15058</v>
          </cell>
          <cell r="AK21">
            <v>17271</v>
          </cell>
          <cell r="AL21">
            <v>2934</v>
          </cell>
          <cell r="AM21">
            <v>0</v>
          </cell>
          <cell r="AN21">
            <v>2934</v>
          </cell>
          <cell r="AO21">
            <v>20204</v>
          </cell>
          <cell r="AP21">
            <v>9423</v>
          </cell>
          <cell r="AQ21">
            <v>1257</v>
          </cell>
          <cell r="AR21">
            <v>76</v>
          </cell>
          <cell r="AS21">
            <v>3678</v>
          </cell>
          <cell r="AT21">
            <v>0</v>
          </cell>
          <cell r="AU21">
            <v>14434</v>
          </cell>
          <cell r="AV21">
            <v>14434</v>
          </cell>
          <cell r="AW21">
            <v>852</v>
          </cell>
          <cell r="AX21">
            <v>0</v>
          </cell>
          <cell r="AY21">
            <v>852</v>
          </cell>
          <cell r="AZ21">
            <v>3174</v>
          </cell>
          <cell r="BA21">
            <v>138</v>
          </cell>
          <cell r="BB21">
            <v>4164</v>
          </cell>
          <cell r="BC21">
            <v>18598</v>
          </cell>
          <cell r="BD21">
            <v>1606</v>
          </cell>
          <cell r="BE21">
            <v>871</v>
          </cell>
          <cell r="BF21">
            <v>735</v>
          </cell>
          <cell r="BG21">
            <v>20204</v>
          </cell>
          <cell r="BH21">
            <v>2213</v>
          </cell>
          <cell r="BI21">
            <v>14221</v>
          </cell>
          <cell r="BJ21">
            <v>1231</v>
          </cell>
          <cell r="BK21">
            <v>55</v>
          </cell>
          <cell r="BL21">
            <v>0</v>
          </cell>
          <cell r="BM21">
            <v>15507</v>
          </cell>
          <cell r="BN21">
            <v>17720</v>
          </cell>
          <cell r="BO21">
            <v>2934</v>
          </cell>
          <cell r="BP21">
            <v>0</v>
          </cell>
          <cell r="BQ21">
            <v>2934</v>
          </cell>
          <cell r="BR21">
            <v>20653</v>
          </cell>
          <cell r="BS21">
            <v>9340</v>
          </cell>
          <cell r="BT21">
            <v>859</v>
          </cell>
          <cell r="BU21">
            <v>81</v>
          </cell>
          <cell r="BV21">
            <v>3678</v>
          </cell>
          <cell r="BW21">
            <v>0</v>
          </cell>
          <cell r="BX21">
            <v>13957</v>
          </cell>
          <cell r="BY21">
            <v>13957</v>
          </cell>
          <cell r="BZ21">
            <v>642</v>
          </cell>
          <cell r="CA21">
            <v>0</v>
          </cell>
          <cell r="CB21">
            <v>642</v>
          </cell>
          <cell r="CC21">
            <v>3255</v>
          </cell>
          <cell r="CD21">
            <v>138</v>
          </cell>
          <cell r="CE21">
            <v>4036</v>
          </cell>
          <cell r="CF21">
            <v>17993</v>
          </cell>
          <cell r="CG21">
            <v>2660</v>
          </cell>
          <cell r="CH21">
            <v>1926</v>
          </cell>
          <cell r="CI21">
            <v>735</v>
          </cell>
          <cell r="CJ21">
            <v>20653</v>
          </cell>
        </row>
        <row r="22">
          <cell r="A22">
            <v>33390</v>
          </cell>
          <cell r="B22">
            <v>2323</v>
          </cell>
          <cell r="C22">
            <v>13539</v>
          </cell>
          <cell r="D22">
            <v>775</v>
          </cell>
          <cell r="E22">
            <v>113</v>
          </cell>
          <cell r="F22">
            <v>0</v>
          </cell>
          <cell r="G22">
            <v>14426</v>
          </cell>
          <cell r="H22">
            <v>16749</v>
          </cell>
          <cell r="I22">
            <v>2957</v>
          </cell>
          <cell r="J22">
            <v>0</v>
          </cell>
          <cell r="K22">
            <v>2957</v>
          </cell>
          <cell r="L22">
            <v>19706</v>
          </cell>
          <cell r="M22">
            <v>9048</v>
          </cell>
          <cell r="N22">
            <v>1523</v>
          </cell>
          <cell r="O22">
            <v>101</v>
          </cell>
          <cell r="P22">
            <v>3574</v>
          </cell>
          <cell r="Q22">
            <v>0</v>
          </cell>
          <cell r="R22">
            <v>14246</v>
          </cell>
          <cell r="S22">
            <v>14246</v>
          </cell>
          <cell r="T22">
            <v>839</v>
          </cell>
          <cell r="U22">
            <v>0</v>
          </cell>
          <cell r="V22">
            <v>839</v>
          </cell>
          <cell r="W22">
            <v>3249</v>
          </cell>
          <cell r="X22">
            <v>143</v>
          </cell>
          <cell r="Y22">
            <v>4231</v>
          </cell>
          <cell r="Z22">
            <v>18477</v>
          </cell>
          <cell r="AA22">
            <v>1229</v>
          </cell>
          <cell r="AB22">
            <v>493</v>
          </cell>
          <cell r="AC22">
            <v>736</v>
          </cell>
          <cell r="AD22">
            <v>19706</v>
          </cell>
          <cell r="AE22">
            <v>2334</v>
          </cell>
          <cell r="AF22">
            <v>14126</v>
          </cell>
          <cell r="AG22">
            <v>776</v>
          </cell>
          <cell r="AH22">
            <v>83</v>
          </cell>
          <cell r="AI22">
            <v>0</v>
          </cell>
          <cell r="AJ22">
            <v>14986</v>
          </cell>
          <cell r="AK22">
            <v>17320</v>
          </cell>
          <cell r="AL22">
            <v>2967</v>
          </cell>
          <cell r="AM22">
            <v>0</v>
          </cell>
          <cell r="AN22">
            <v>2967</v>
          </cell>
          <cell r="AO22">
            <v>20286</v>
          </cell>
          <cell r="AP22">
            <v>9066</v>
          </cell>
          <cell r="AQ22">
            <v>1592</v>
          </cell>
          <cell r="AR22">
            <v>130</v>
          </cell>
          <cell r="AS22">
            <v>3579</v>
          </cell>
          <cell r="AT22">
            <v>0</v>
          </cell>
          <cell r="AU22">
            <v>14367</v>
          </cell>
          <cell r="AV22">
            <v>14367</v>
          </cell>
          <cell r="AW22">
            <v>831</v>
          </cell>
          <cell r="AX22">
            <v>0</v>
          </cell>
          <cell r="AY22">
            <v>831</v>
          </cell>
          <cell r="AZ22">
            <v>3181</v>
          </cell>
          <cell r="BA22">
            <v>143</v>
          </cell>
          <cell r="BB22">
            <v>4155</v>
          </cell>
          <cell r="BC22">
            <v>18522</v>
          </cell>
          <cell r="BD22">
            <v>1764</v>
          </cell>
          <cell r="BE22">
            <v>1026</v>
          </cell>
          <cell r="BF22">
            <v>738</v>
          </cell>
          <cell r="BG22">
            <v>20286</v>
          </cell>
          <cell r="BH22">
            <v>2334</v>
          </cell>
          <cell r="BI22">
            <v>14126</v>
          </cell>
          <cell r="BJ22">
            <v>312</v>
          </cell>
          <cell r="BK22">
            <v>67</v>
          </cell>
          <cell r="BL22">
            <v>0</v>
          </cell>
          <cell r="BM22">
            <v>14505</v>
          </cell>
          <cell r="BN22">
            <v>16839</v>
          </cell>
          <cell r="BO22">
            <v>2967</v>
          </cell>
          <cell r="BP22">
            <v>0</v>
          </cell>
          <cell r="BQ22">
            <v>2967</v>
          </cell>
          <cell r="BR22">
            <v>19806</v>
          </cell>
          <cell r="BS22">
            <v>9063</v>
          </cell>
          <cell r="BT22">
            <v>1761</v>
          </cell>
          <cell r="BU22">
            <v>31</v>
          </cell>
          <cell r="BV22">
            <v>3579</v>
          </cell>
          <cell r="BW22">
            <v>0</v>
          </cell>
          <cell r="BX22">
            <v>14434</v>
          </cell>
          <cell r="BY22">
            <v>14434</v>
          </cell>
          <cell r="BZ22">
            <v>816</v>
          </cell>
          <cell r="CA22">
            <v>0</v>
          </cell>
          <cell r="CB22">
            <v>816</v>
          </cell>
          <cell r="CC22">
            <v>3176</v>
          </cell>
          <cell r="CD22">
            <v>143</v>
          </cell>
          <cell r="CE22">
            <v>4134</v>
          </cell>
          <cell r="CF22">
            <v>18569</v>
          </cell>
          <cell r="CG22">
            <v>1237</v>
          </cell>
          <cell r="CH22">
            <v>499</v>
          </cell>
          <cell r="CI22">
            <v>738</v>
          </cell>
          <cell r="CJ22">
            <v>19806</v>
          </cell>
        </row>
        <row r="23">
          <cell r="A23">
            <v>33482</v>
          </cell>
          <cell r="B23">
            <v>2444</v>
          </cell>
          <cell r="C23">
            <v>12642</v>
          </cell>
          <cell r="D23">
            <v>810</v>
          </cell>
          <cell r="E23">
            <v>93</v>
          </cell>
          <cell r="F23">
            <v>0</v>
          </cell>
          <cell r="G23">
            <v>13545</v>
          </cell>
          <cell r="H23">
            <v>15989</v>
          </cell>
          <cell r="I23">
            <v>2976</v>
          </cell>
          <cell r="J23">
            <v>0</v>
          </cell>
          <cell r="K23">
            <v>2976</v>
          </cell>
          <cell r="L23">
            <v>18965</v>
          </cell>
          <cell r="M23">
            <v>8715</v>
          </cell>
          <cell r="N23">
            <v>1563</v>
          </cell>
          <cell r="O23">
            <v>95</v>
          </cell>
          <cell r="P23">
            <v>3467</v>
          </cell>
          <cell r="Q23">
            <v>0</v>
          </cell>
          <cell r="R23">
            <v>13840</v>
          </cell>
          <cell r="S23">
            <v>13840</v>
          </cell>
          <cell r="T23">
            <v>879</v>
          </cell>
          <cell r="U23">
            <v>0</v>
          </cell>
          <cell r="V23">
            <v>879</v>
          </cell>
          <cell r="W23">
            <v>3346</v>
          </cell>
          <cell r="X23">
            <v>144</v>
          </cell>
          <cell r="Y23">
            <v>4368</v>
          </cell>
          <cell r="Z23">
            <v>18208</v>
          </cell>
          <cell r="AA23">
            <v>757</v>
          </cell>
          <cell r="AB23">
            <v>22</v>
          </cell>
          <cell r="AC23">
            <v>735</v>
          </cell>
          <cell r="AD23">
            <v>18965</v>
          </cell>
          <cell r="AE23">
            <v>2456</v>
          </cell>
          <cell r="AF23">
            <v>11985</v>
          </cell>
          <cell r="AG23">
            <v>779</v>
          </cell>
          <cell r="AH23">
            <v>222</v>
          </cell>
          <cell r="AI23">
            <v>0</v>
          </cell>
          <cell r="AJ23">
            <v>12986</v>
          </cell>
          <cell r="AK23">
            <v>15442</v>
          </cell>
          <cell r="AL23">
            <v>2971</v>
          </cell>
          <cell r="AM23">
            <v>0</v>
          </cell>
          <cell r="AN23">
            <v>2971</v>
          </cell>
          <cell r="AO23">
            <v>18413</v>
          </cell>
          <cell r="AP23">
            <v>8672</v>
          </cell>
          <cell r="AQ23">
            <v>1596</v>
          </cell>
          <cell r="AR23">
            <v>91</v>
          </cell>
          <cell r="AS23">
            <v>3462</v>
          </cell>
          <cell r="AT23">
            <v>0</v>
          </cell>
          <cell r="AU23">
            <v>13822</v>
          </cell>
          <cell r="AV23">
            <v>13822</v>
          </cell>
          <cell r="AW23">
            <v>862</v>
          </cell>
          <cell r="AX23">
            <v>0</v>
          </cell>
          <cell r="AY23">
            <v>862</v>
          </cell>
          <cell r="AZ23">
            <v>3374</v>
          </cell>
          <cell r="BA23">
            <v>144</v>
          </cell>
          <cell r="BB23">
            <v>4381</v>
          </cell>
          <cell r="BC23">
            <v>18203</v>
          </cell>
          <cell r="BD23">
            <v>210</v>
          </cell>
          <cell r="BE23">
            <v>-522</v>
          </cell>
          <cell r="BF23">
            <v>732</v>
          </cell>
          <cell r="BG23">
            <v>18413</v>
          </cell>
          <cell r="BH23">
            <v>2456</v>
          </cell>
          <cell r="BI23">
            <v>12019</v>
          </cell>
          <cell r="BJ23">
            <v>1322</v>
          </cell>
          <cell r="BK23">
            <v>191</v>
          </cell>
          <cell r="BL23">
            <v>0</v>
          </cell>
          <cell r="BM23">
            <v>13532</v>
          </cell>
          <cell r="BN23">
            <v>15988</v>
          </cell>
          <cell r="BO23">
            <v>2971</v>
          </cell>
          <cell r="BP23">
            <v>0</v>
          </cell>
          <cell r="BQ23">
            <v>2971</v>
          </cell>
          <cell r="BR23">
            <v>18959</v>
          </cell>
          <cell r="BS23">
            <v>8660</v>
          </cell>
          <cell r="BT23">
            <v>2273</v>
          </cell>
          <cell r="BU23">
            <v>128</v>
          </cell>
          <cell r="BV23">
            <v>3462</v>
          </cell>
          <cell r="BW23">
            <v>0</v>
          </cell>
          <cell r="BX23">
            <v>14524</v>
          </cell>
          <cell r="BY23">
            <v>14524</v>
          </cell>
          <cell r="BZ23">
            <v>779</v>
          </cell>
          <cell r="CA23">
            <v>0</v>
          </cell>
          <cell r="CB23">
            <v>779</v>
          </cell>
          <cell r="CC23">
            <v>3297</v>
          </cell>
          <cell r="CD23">
            <v>139</v>
          </cell>
          <cell r="CE23">
            <v>4215</v>
          </cell>
          <cell r="CF23">
            <v>18739</v>
          </cell>
          <cell r="CG23">
            <v>221</v>
          </cell>
          <cell r="CH23">
            <v>-512</v>
          </cell>
          <cell r="CI23">
            <v>732</v>
          </cell>
          <cell r="CJ23">
            <v>18959</v>
          </cell>
        </row>
        <row r="24">
          <cell r="A24">
            <v>33573</v>
          </cell>
          <cell r="B24">
            <v>2582</v>
          </cell>
          <cell r="C24">
            <v>12146</v>
          </cell>
          <cell r="D24">
            <v>815</v>
          </cell>
          <cell r="E24">
            <v>92</v>
          </cell>
          <cell r="F24">
            <v>0</v>
          </cell>
          <cell r="G24">
            <v>13053</v>
          </cell>
          <cell r="H24">
            <v>15635</v>
          </cell>
          <cell r="I24">
            <v>3007</v>
          </cell>
          <cell r="J24">
            <v>0</v>
          </cell>
          <cell r="K24">
            <v>3007</v>
          </cell>
          <cell r="L24">
            <v>18642</v>
          </cell>
          <cell r="M24">
            <v>8354</v>
          </cell>
          <cell r="N24">
            <v>1522</v>
          </cell>
          <cell r="O24">
            <v>100</v>
          </cell>
          <cell r="P24">
            <v>3366</v>
          </cell>
          <cell r="Q24">
            <v>0</v>
          </cell>
          <cell r="R24">
            <v>13342</v>
          </cell>
          <cell r="S24">
            <v>13342</v>
          </cell>
          <cell r="T24">
            <v>1030</v>
          </cell>
          <cell r="U24">
            <v>0</v>
          </cell>
          <cell r="V24">
            <v>1030</v>
          </cell>
          <cell r="W24">
            <v>3422</v>
          </cell>
          <cell r="X24">
            <v>140</v>
          </cell>
          <cell r="Y24">
            <v>4592</v>
          </cell>
          <cell r="Z24">
            <v>17933</v>
          </cell>
          <cell r="AA24">
            <v>708</v>
          </cell>
          <cell r="AB24">
            <v>-28</v>
          </cell>
          <cell r="AC24">
            <v>736</v>
          </cell>
          <cell r="AD24">
            <v>18642</v>
          </cell>
          <cell r="AE24">
            <v>2577</v>
          </cell>
          <cell r="AF24">
            <v>12639</v>
          </cell>
          <cell r="AG24">
            <v>853</v>
          </cell>
          <cell r="AH24">
            <v>-55</v>
          </cell>
          <cell r="AI24">
            <v>0</v>
          </cell>
          <cell r="AJ24">
            <v>13436</v>
          </cell>
          <cell r="AK24">
            <v>16013</v>
          </cell>
          <cell r="AL24">
            <v>3004</v>
          </cell>
          <cell r="AM24">
            <v>0</v>
          </cell>
          <cell r="AN24">
            <v>3004</v>
          </cell>
          <cell r="AO24">
            <v>19018</v>
          </cell>
          <cell r="AP24">
            <v>8503</v>
          </cell>
          <cell r="AQ24">
            <v>1510</v>
          </cell>
          <cell r="AR24">
            <v>78</v>
          </cell>
          <cell r="AS24">
            <v>3363</v>
          </cell>
          <cell r="AT24">
            <v>0</v>
          </cell>
          <cell r="AU24">
            <v>13456</v>
          </cell>
          <cell r="AV24">
            <v>13456</v>
          </cell>
          <cell r="AW24">
            <v>987</v>
          </cell>
          <cell r="AX24">
            <v>0</v>
          </cell>
          <cell r="AY24">
            <v>987</v>
          </cell>
          <cell r="AZ24">
            <v>3413</v>
          </cell>
          <cell r="BA24">
            <v>142</v>
          </cell>
          <cell r="BB24">
            <v>4543</v>
          </cell>
          <cell r="BC24">
            <v>17998</v>
          </cell>
          <cell r="BD24">
            <v>1019</v>
          </cell>
          <cell r="BE24">
            <v>284</v>
          </cell>
          <cell r="BF24">
            <v>736</v>
          </cell>
          <cell r="BG24">
            <v>19018</v>
          </cell>
          <cell r="BH24">
            <v>2577</v>
          </cell>
          <cell r="BI24">
            <v>13164</v>
          </cell>
          <cell r="BJ24">
            <v>329</v>
          </cell>
          <cell r="BK24">
            <v>-5</v>
          </cell>
          <cell r="BL24">
            <v>0</v>
          </cell>
          <cell r="BM24">
            <v>13488</v>
          </cell>
          <cell r="BN24">
            <v>16065</v>
          </cell>
          <cell r="BO24">
            <v>3004</v>
          </cell>
          <cell r="BP24">
            <v>0</v>
          </cell>
          <cell r="BQ24">
            <v>3004</v>
          </cell>
          <cell r="BR24">
            <v>19069</v>
          </cell>
          <cell r="BS24">
            <v>8586</v>
          </cell>
          <cell r="BT24">
            <v>1285</v>
          </cell>
          <cell r="BU24">
            <v>147</v>
          </cell>
          <cell r="BV24">
            <v>3363</v>
          </cell>
          <cell r="BW24">
            <v>0</v>
          </cell>
          <cell r="BX24">
            <v>13381</v>
          </cell>
          <cell r="BY24">
            <v>13381</v>
          </cell>
          <cell r="BZ24">
            <v>1339</v>
          </cell>
          <cell r="CA24">
            <v>0</v>
          </cell>
          <cell r="CB24">
            <v>1339</v>
          </cell>
          <cell r="CC24">
            <v>3419</v>
          </cell>
          <cell r="CD24">
            <v>140</v>
          </cell>
          <cell r="CE24">
            <v>4897</v>
          </cell>
          <cell r="CF24">
            <v>18278</v>
          </cell>
          <cell r="CG24">
            <v>791</v>
          </cell>
          <cell r="CH24">
            <v>55</v>
          </cell>
          <cell r="CI24">
            <v>736</v>
          </cell>
          <cell r="CJ24">
            <v>19069</v>
          </cell>
        </row>
        <row r="25">
          <cell r="A25">
            <v>33664</v>
          </cell>
          <cell r="B25">
            <v>2773</v>
          </cell>
          <cell r="C25">
            <v>11803</v>
          </cell>
          <cell r="D25">
            <v>795</v>
          </cell>
          <cell r="E25">
            <v>109</v>
          </cell>
          <cell r="F25">
            <v>0</v>
          </cell>
          <cell r="G25">
            <v>12707</v>
          </cell>
          <cell r="H25">
            <v>15480</v>
          </cell>
          <cell r="I25">
            <v>3068</v>
          </cell>
          <cell r="J25">
            <v>0</v>
          </cell>
          <cell r="K25">
            <v>3068</v>
          </cell>
          <cell r="L25">
            <v>18548</v>
          </cell>
          <cell r="M25">
            <v>7899</v>
          </cell>
          <cell r="N25">
            <v>1569</v>
          </cell>
          <cell r="O25">
            <v>129</v>
          </cell>
          <cell r="P25">
            <v>3275</v>
          </cell>
          <cell r="Q25">
            <v>0</v>
          </cell>
          <cell r="R25">
            <v>12873</v>
          </cell>
          <cell r="S25">
            <v>12873</v>
          </cell>
          <cell r="T25">
            <v>1117</v>
          </cell>
          <cell r="U25">
            <v>0</v>
          </cell>
          <cell r="V25">
            <v>1117</v>
          </cell>
          <cell r="W25">
            <v>3428</v>
          </cell>
          <cell r="X25">
            <v>138</v>
          </cell>
          <cell r="Y25">
            <v>4684</v>
          </cell>
          <cell r="Z25">
            <v>17557</v>
          </cell>
          <cell r="AA25">
            <v>992</v>
          </cell>
          <cell r="AB25">
            <v>249</v>
          </cell>
          <cell r="AC25">
            <v>742</v>
          </cell>
          <cell r="AD25">
            <v>18548</v>
          </cell>
          <cell r="AE25">
            <v>2762</v>
          </cell>
          <cell r="AF25">
            <v>11142</v>
          </cell>
          <cell r="AG25">
            <v>837</v>
          </cell>
          <cell r="AH25">
            <v>166</v>
          </cell>
          <cell r="AI25">
            <v>0</v>
          </cell>
          <cell r="AJ25">
            <v>12144</v>
          </cell>
          <cell r="AK25">
            <v>14906</v>
          </cell>
          <cell r="AL25">
            <v>3065</v>
          </cell>
          <cell r="AM25">
            <v>0</v>
          </cell>
          <cell r="AN25">
            <v>3065</v>
          </cell>
          <cell r="AO25">
            <v>17971</v>
          </cell>
          <cell r="AP25">
            <v>7851</v>
          </cell>
          <cell r="AQ25">
            <v>1546</v>
          </cell>
          <cell r="AR25">
            <v>105</v>
          </cell>
          <cell r="AS25">
            <v>3275</v>
          </cell>
          <cell r="AT25">
            <v>0</v>
          </cell>
          <cell r="AU25">
            <v>12778</v>
          </cell>
          <cell r="AV25">
            <v>12778</v>
          </cell>
          <cell r="AW25">
            <v>1201</v>
          </cell>
          <cell r="AX25">
            <v>0</v>
          </cell>
          <cell r="AY25">
            <v>1201</v>
          </cell>
          <cell r="AZ25">
            <v>3448</v>
          </cell>
          <cell r="BA25">
            <v>136</v>
          </cell>
          <cell r="BB25">
            <v>4786</v>
          </cell>
          <cell r="BC25">
            <v>17564</v>
          </cell>
          <cell r="BD25">
            <v>408</v>
          </cell>
          <cell r="BE25">
            <v>-335</v>
          </cell>
          <cell r="BF25">
            <v>742</v>
          </cell>
          <cell r="BG25">
            <v>17971</v>
          </cell>
          <cell r="BH25">
            <v>2762</v>
          </cell>
          <cell r="BI25">
            <v>10575</v>
          </cell>
          <cell r="BJ25">
            <v>1292</v>
          </cell>
          <cell r="BK25">
            <v>180</v>
          </cell>
          <cell r="BL25">
            <v>0</v>
          </cell>
          <cell r="BM25">
            <v>12047</v>
          </cell>
          <cell r="BN25">
            <v>14809</v>
          </cell>
          <cell r="BO25">
            <v>3065</v>
          </cell>
          <cell r="BP25">
            <v>0</v>
          </cell>
          <cell r="BQ25">
            <v>3065</v>
          </cell>
          <cell r="BR25">
            <v>17874</v>
          </cell>
          <cell r="BS25">
            <v>7777</v>
          </cell>
          <cell r="BT25">
            <v>855</v>
          </cell>
          <cell r="BU25">
            <v>107</v>
          </cell>
          <cell r="BV25">
            <v>3275</v>
          </cell>
          <cell r="BW25">
            <v>0</v>
          </cell>
          <cell r="BX25">
            <v>12014</v>
          </cell>
          <cell r="BY25">
            <v>12014</v>
          </cell>
          <cell r="BZ25">
            <v>906</v>
          </cell>
          <cell r="CA25">
            <v>0</v>
          </cell>
          <cell r="CB25">
            <v>906</v>
          </cell>
          <cell r="CC25">
            <v>3521</v>
          </cell>
          <cell r="CD25">
            <v>140</v>
          </cell>
          <cell r="CE25">
            <v>4567</v>
          </cell>
          <cell r="CF25">
            <v>16581</v>
          </cell>
          <cell r="CG25">
            <v>1293</v>
          </cell>
          <cell r="CH25">
            <v>550</v>
          </cell>
          <cell r="CI25">
            <v>742</v>
          </cell>
          <cell r="CJ25">
            <v>17874</v>
          </cell>
        </row>
        <row r="26">
          <cell r="A26">
            <v>33756</v>
          </cell>
          <cell r="B26">
            <v>3036</v>
          </cell>
          <cell r="C26">
            <v>11537</v>
          </cell>
          <cell r="D26">
            <v>806</v>
          </cell>
          <cell r="E26">
            <v>188</v>
          </cell>
          <cell r="F26">
            <v>0</v>
          </cell>
          <cell r="G26">
            <v>12531</v>
          </cell>
          <cell r="H26">
            <v>15566</v>
          </cell>
          <cell r="I26">
            <v>3162</v>
          </cell>
          <cell r="J26">
            <v>0</v>
          </cell>
          <cell r="K26">
            <v>3162</v>
          </cell>
          <cell r="L26">
            <v>18729</v>
          </cell>
          <cell r="M26">
            <v>7392</v>
          </cell>
          <cell r="N26">
            <v>1702</v>
          </cell>
          <cell r="O26">
            <v>131</v>
          </cell>
          <cell r="P26">
            <v>3191</v>
          </cell>
          <cell r="Q26">
            <v>0</v>
          </cell>
          <cell r="R26">
            <v>12416</v>
          </cell>
          <cell r="S26">
            <v>12416</v>
          </cell>
          <cell r="T26">
            <v>1089</v>
          </cell>
          <cell r="U26">
            <v>0</v>
          </cell>
          <cell r="V26">
            <v>1089</v>
          </cell>
          <cell r="W26">
            <v>3340</v>
          </cell>
          <cell r="X26">
            <v>142</v>
          </cell>
          <cell r="Y26">
            <v>4570</v>
          </cell>
          <cell r="Z26">
            <v>16986</v>
          </cell>
          <cell r="AA26">
            <v>1743</v>
          </cell>
          <cell r="AB26">
            <v>991</v>
          </cell>
          <cell r="AC26">
            <v>752</v>
          </cell>
          <cell r="AD26">
            <v>18729</v>
          </cell>
          <cell r="AE26">
            <v>3011</v>
          </cell>
          <cell r="AF26">
            <v>12557</v>
          </cell>
          <cell r="AG26">
            <v>706</v>
          </cell>
          <cell r="AH26">
            <v>197</v>
          </cell>
          <cell r="AI26">
            <v>0</v>
          </cell>
          <cell r="AJ26">
            <v>13460</v>
          </cell>
          <cell r="AK26">
            <v>16471</v>
          </cell>
          <cell r="AL26">
            <v>3153</v>
          </cell>
          <cell r="AM26">
            <v>0</v>
          </cell>
          <cell r="AN26">
            <v>3153</v>
          </cell>
          <cell r="AO26">
            <v>19624</v>
          </cell>
          <cell r="AP26">
            <v>7314</v>
          </cell>
          <cell r="AQ26">
            <v>1499</v>
          </cell>
          <cell r="AR26">
            <v>210</v>
          </cell>
          <cell r="AS26">
            <v>3196</v>
          </cell>
          <cell r="AT26">
            <v>0</v>
          </cell>
          <cell r="AU26">
            <v>12218</v>
          </cell>
          <cell r="AV26">
            <v>12218</v>
          </cell>
          <cell r="AW26">
            <v>1144</v>
          </cell>
          <cell r="AX26">
            <v>0</v>
          </cell>
          <cell r="AY26">
            <v>1144</v>
          </cell>
          <cell r="AZ26">
            <v>3355</v>
          </cell>
          <cell r="BA26">
            <v>136</v>
          </cell>
          <cell r="BB26">
            <v>4635</v>
          </cell>
          <cell r="BC26">
            <v>16853</v>
          </cell>
          <cell r="BD26">
            <v>2771</v>
          </cell>
          <cell r="BE26">
            <v>2019</v>
          </cell>
          <cell r="BF26">
            <v>752</v>
          </cell>
          <cell r="BG26">
            <v>19624</v>
          </cell>
          <cell r="BH26">
            <v>3011</v>
          </cell>
          <cell r="BI26">
            <v>12651</v>
          </cell>
          <cell r="BJ26">
            <v>307</v>
          </cell>
          <cell r="BK26">
            <v>149</v>
          </cell>
          <cell r="BL26">
            <v>0</v>
          </cell>
          <cell r="BM26">
            <v>13107</v>
          </cell>
          <cell r="BN26">
            <v>16118</v>
          </cell>
          <cell r="BO26">
            <v>3153</v>
          </cell>
          <cell r="BP26">
            <v>0</v>
          </cell>
          <cell r="BQ26">
            <v>3153</v>
          </cell>
          <cell r="BR26">
            <v>19271</v>
          </cell>
          <cell r="BS26">
            <v>7319</v>
          </cell>
          <cell r="BT26">
            <v>1567</v>
          </cell>
          <cell r="BU26">
            <v>92</v>
          </cell>
          <cell r="BV26">
            <v>3196</v>
          </cell>
          <cell r="BW26">
            <v>0</v>
          </cell>
          <cell r="BX26">
            <v>12174</v>
          </cell>
          <cell r="BY26">
            <v>12174</v>
          </cell>
          <cell r="BZ26">
            <v>1172</v>
          </cell>
          <cell r="CA26">
            <v>0</v>
          </cell>
          <cell r="CB26">
            <v>1172</v>
          </cell>
          <cell r="CC26">
            <v>3342</v>
          </cell>
          <cell r="CD26">
            <v>140</v>
          </cell>
          <cell r="CE26">
            <v>4653</v>
          </cell>
          <cell r="CF26">
            <v>16827</v>
          </cell>
          <cell r="CG26">
            <v>2444</v>
          </cell>
          <cell r="CH26">
            <v>1692</v>
          </cell>
          <cell r="CI26">
            <v>752</v>
          </cell>
          <cell r="CJ26">
            <v>19271</v>
          </cell>
        </row>
        <row r="27">
          <cell r="A27">
            <v>33848</v>
          </cell>
          <cell r="B27">
            <v>3333</v>
          </cell>
          <cell r="C27">
            <v>11136</v>
          </cell>
          <cell r="D27">
            <v>875</v>
          </cell>
          <cell r="E27">
            <v>270</v>
          </cell>
          <cell r="F27">
            <v>0</v>
          </cell>
          <cell r="G27">
            <v>12281</v>
          </cell>
          <cell r="H27">
            <v>15614</v>
          </cell>
          <cell r="I27">
            <v>3269</v>
          </cell>
          <cell r="J27">
            <v>0</v>
          </cell>
          <cell r="K27">
            <v>3269</v>
          </cell>
          <cell r="L27">
            <v>18883</v>
          </cell>
          <cell r="M27">
            <v>6931</v>
          </cell>
          <cell r="N27">
            <v>1765</v>
          </cell>
          <cell r="O27">
            <v>123</v>
          </cell>
          <cell r="P27">
            <v>3107</v>
          </cell>
          <cell r="Q27">
            <v>0</v>
          </cell>
          <cell r="R27">
            <v>11925</v>
          </cell>
          <cell r="S27">
            <v>11925</v>
          </cell>
          <cell r="T27">
            <v>962</v>
          </cell>
          <cell r="U27">
            <v>0</v>
          </cell>
          <cell r="V27">
            <v>962</v>
          </cell>
          <cell r="W27">
            <v>3205</v>
          </cell>
          <cell r="X27">
            <v>146</v>
          </cell>
          <cell r="Y27">
            <v>4313</v>
          </cell>
          <cell r="Z27">
            <v>16238</v>
          </cell>
          <cell r="AA27">
            <v>2645</v>
          </cell>
          <cell r="AB27">
            <v>1882</v>
          </cell>
          <cell r="AC27">
            <v>763</v>
          </cell>
          <cell r="AD27">
            <v>18883</v>
          </cell>
          <cell r="AE27">
            <v>3362</v>
          </cell>
          <cell r="AF27">
            <v>10096</v>
          </cell>
          <cell r="AG27">
            <v>890</v>
          </cell>
          <cell r="AH27">
            <v>219</v>
          </cell>
          <cell r="AI27">
            <v>0</v>
          </cell>
          <cell r="AJ27">
            <v>11205</v>
          </cell>
          <cell r="AK27">
            <v>14566</v>
          </cell>
          <cell r="AL27">
            <v>3281</v>
          </cell>
          <cell r="AM27">
            <v>0</v>
          </cell>
          <cell r="AN27">
            <v>3281</v>
          </cell>
          <cell r="AO27">
            <v>17848</v>
          </cell>
          <cell r="AP27">
            <v>7083</v>
          </cell>
          <cell r="AQ27">
            <v>2245</v>
          </cell>
          <cell r="AR27">
            <v>94</v>
          </cell>
          <cell r="AS27">
            <v>3107</v>
          </cell>
          <cell r="AT27">
            <v>0</v>
          </cell>
          <cell r="AU27">
            <v>12529</v>
          </cell>
          <cell r="AV27">
            <v>12529</v>
          </cell>
          <cell r="AW27">
            <v>849</v>
          </cell>
          <cell r="AX27">
            <v>0</v>
          </cell>
          <cell r="AY27">
            <v>849</v>
          </cell>
          <cell r="AZ27">
            <v>3200</v>
          </cell>
          <cell r="BA27">
            <v>153</v>
          </cell>
          <cell r="BB27">
            <v>4202</v>
          </cell>
          <cell r="BC27">
            <v>16731</v>
          </cell>
          <cell r="BD27">
            <v>1117</v>
          </cell>
          <cell r="BE27">
            <v>353</v>
          </cell>
          <cell r="BF27">
            <v>764</v>
          </cell>
          <cell r="BG27">
            <v>17848</v>
          </cell>
          <cell r="BH27">
            <v>3362</v>
          </cell>
          <cell r="BI27">
            <v>10125</v>
          </cell>
          <cell r="BJ27">
            <v>1487</v>
          </cell>
          <cell r="BK27">
            <v>199</v>
          </cell>
          <cell r="BL27">
            <v>0</v>
          </cell>
          <cell r="BM27">
            <v>11811</v>
          </cell>
          <cell r="BN27">
            <v>15173</v>
          </cell>
          <cell r="BO27">
            <v>3281</v>
          </cell>
          <cell r="BP27">
            <v>0</v>
          </cell>
          <cell r="BQ27">
            <v>3281</v>
          </cell>
          <cell r="BR27">
            <v>18454</v>
          </cell>
          <cell r="BS27">
            <v>7097</v>
          </cell>
          <cell r="BT27">
            <v>3195</v>
          </cell>
          <cell r="BU27">
            <v>131</v>
          </cell>
          <cell r="BV27">
            <v>3107</v>
          </cell>
          <cell r="BW27">
            <v>0</v>
          </cell>
          <cell r="BX27">
            <v>13530</v>
          </cell>
          <cell r="BY27">
            <v>13530</v>
          </cell>
          <cell r="BZ27">
            <v>713</v>
          </cell>
          <cell r="CA27">
            <v>0</v>
          </cell>
          <cell r="CB27">
            <v>713</v>
          </cell>
          <cell r="CC27">
            <v>3150</v>
          </cell>
          <cell r="CD27">
            <v>148</v>
          </cell>
          <cell r="CE27">
            <v>4011</v>
          </cell>
          <cell r="CF27">
            <v>17542</v>
          </cell>
          <cell r="CG27">
            <v>913</v>
          </cell>
          <cell r="CH27">
            <v>149</v>
          </cell>
          <cell r="CI27">
            <v>764</v>
          </cell>
          <cell r="CJ27">
            <v>18454</v>
          </cell>
        </row>
        <row r="28">
          <cell r="A28">
            <v>33939</v>
          </cell>
          <cell r="B28">
            <v>3608</v>
          </cell>
          <cell r="C28">
            <v>10558</v>
          </cell>
          <cell r="D28">
            <v>971</v>
          </cell>
          <cell r="E28">
            <v>299</v>
          </cell>
          <cell r="F28">
            <v>0</v>
          </cell>
          <cell r="G28">
            <v>11828</v>
          </cell>
          <cell r="H28">
            <v>15436</v>
          </cell>
          <cell r="I28">
            <v>3368</v>
          </cell>
          <cell r="J28">
            <v>0</v>
          </cell>
          <cell r="K28">
            <v>3368</v>
          </cell>
          <cell r="L28">
            <v>18804</v>
          </cell>
          <cell r="M28">
            <v>6627</v>
          </cell>
          <cell r="N28">
            <v>1786</v>
          </cell>
          <cell r="O28">
            <v>127</v>
          </cell>
          <cell r="P28">
            <v>3039</v>
          </cell>
          <cell r="Q28">
            <v>0</v>
          </cell>
          <cell r="R28">
            <v>11578</v>
          </cell>
          <cell r="S28">
            <v>11578</v>
          </cell>
          <cell r="T28">
            <v>884</v>
          </cell>
          <cell r="U28">
            <v>0</v>
          </cell>
          <cell r="V28">
            <v>884</v>
          </cell>
          <cell r="W28">
            <v>3104</v>
          </cell>
          <cell r="X28">
            <v>148</v>
          </cell>
          <cell r="Y28">
            <v>4136</v>
          </cell>
          <cell r="Z28">
            <v>15714</v>
          </cell>
          <cell r="AA28">
            <v>3090</v>
          </cell>
          <cell r="AB28">
            <v>2317</v>
          </cell>
          <cell r="AC28">
            <v>773</v>
          </cell>
          <cell r="AD28">
            <v>18804</v>
          </cell>
          <cell r="AE28">
            <v>3611</v>
          </cell>
          <cell r="AF28">
            <v>11256</v>
          </cell>
          <cell r="AG28">
            <v>1037</v>
          </cell>
          <cell r="AH28">
            <v>373</v>
          </cell>
          <cell r="AI28">
            <v>0</v>
          </cell>
          <cell r="AJ28">
            <v>12666</v>
          </cell>
          <cell r="AK28">
            <v>16277</v>
          </cell>
          <cell r="AL28">
            <v>3369</v>
          </cell>
          <cell r="AM28">
            <v>0</v>
          </cell>
          <cell r="AN28">
            <v>3369</v>
          </cell>
          <cell r="AO28">
            <v>19646</v>
          </cell>
          <cell r="AP28">
            <v>6452</v>
          </cell>
          <cell r="AQ28">
            <v>1437</v>
          </cell>
          <cell r="AR28">
            <v>43</v>
          </cell>
          <cell r="AS28">
            <v>3028</v>
          </cell>
          <cell r="AT28">
            <v>0</v>
          </cell>
          <cell r="AU28">
            <v>10960</v>
          </cell>
          <cell r="AV28">
            <v>10960</v>
          </cell>
          <cell r="AW28">
            <v>951</v>
          </cell>
          <cell r="AX28">
            <v>0</v>
          </cell>
          <cell r="AY28">
            <v>951</v>
          </cell>
          <cell r="AZ28">
            <v>3091</v>
          </cell>
          <cell r="BA28">
            <v>148</v>
          </cell>
          <cell r="BB28">
            <v>4190</v>
          </cell>
          <cell r="BC28">
            <v>15150</v>
          </cell>
          <cell r="BD28">
            <v>4496</v>
          </cell>
          <cell r="BE28">
            <v>3722</v>
          </cell>
          <cell r="BF28">
            <v>774</v>
          </cell>
          <cell r="BG28">
            <v>19646</v>
          </cell>
          <cell r="BH28">
            <v>3611</v>
          </cell>
          <cell r="BI28">
            <v>11669</v>
          </cell>
          <cell r="BJ28">
            <v>411</v>
          </cell>
          <cell r="BK28">
            <v>423</v>
          </cell>
          <cell r="BL28">
            <v>0</v>
          </cell>
          <cell r="BM28">
            <v>12503</v>
          </cell>
          <cell r="BN28">
            <v>16113</v>
          </cell>
          <cell r="BO28">
            <v>3369</v>
          </cell>
          <cell r="BP28">
            <v>0</v>
          </cell>
          <cell r="BQ28">
            <v>3369</v>
          </cell>
          <cell r="BR28">
            <v>19483</v>
          </cell>
          <cell r="BS28">
            <v>6489</v>
          </cell>
          <cell r="BT28">
            <v>1111</v>
          </cell>
          <cell r="BU28">
            <v>141</v>
          </cell>
          <cell r="BV28">
            <v>3028</v>
          </cell>
          <cell r="BW28">
            <v>0</v>
          </cell>
          <cell r="BX28">
            <v>10769</v>
          </cell>
          <cell r="BY28">
            <v>10769</v>
          </cell>
          <cell r="BZ28">
            <v>1304</v>
          </cell>
          <cell r="CA28">
            <v>0</v>
          </cell>
          <cell r="CB28">
            <v>1304</v>
          </cell>
          <cell r="CC28">
            <v>3094</v>
          </cell>
          <cell r="CD28">
            <v>145</v>
          </cell>
          <cell r="CE28">
            <v>4543</v>
          </cell>
          <cell r="CF28">
            <v>15312</v>
          </cell>
          <cell r="CG28">
            <v>4171</v>
          </cell>
          <cell r="CH28">
            <v>3398</v>
          </cell>
          <cell r="CI28">
            <v>774</v>
          </cell>
          <cell r="CJ28">
            <v>19483</v>
          </cell>
        </row>
        <row r="29">
          <cell r="A29">
            <v>34029</v>
          </cell>
          <cell r="B29">
            <v>3822</v>
          </cell>
          <cell r="C29">
            <v>9852</v>
          </cell>
          <cell r="D29">
            <v>1026</v>
          </cell>
          <cell r="E29">
            <v>223</v>
          </cell>
          <cell r="F29">
            <v>0</v>
          </cell>
          <cell r="G29">
            <v>11101</v>
          </cell>
          <cell r="H29">
            <v>14923</v>
          </cell>
          <cell r="I29">
            <v>3446</v>
          </cell>
          <cell r="J29">
            <v>0</v>
          </cell>
          <cell r="K29">
            <v>3446</v>
          </cell>
          <cell r="L29">
            <v>18369</v>
          </cell>
          <cell r="M29">
            <v>6456</v>
          </cell>
          <cell r="N29">
            <v>1929</v>
          </cell>
          <cell r="O29">
            <v>155</v>
          </cell>
          <cell r="P29">
            <v>2971</v>
          </cell>
          <cell r="Q29">
            <v>0</v>
          </cell>
          <cell r="R29">
            <v>11511</v>
          </cell>
          <cell r="S29">
            <v>11511</v>
          </cell>
          <cell r="T29">
            <v>911</v>
          </cell>
          <cell r="U29">
            <v>0</v>
          </cell>
          <cell r="V29">
            <v>911</v>
          </cell>
          <cell r="W29">
            <v>3111</v>
          </cell>
          <cell r="X29">
            <v>145</v>
          </cell>
          <cell r="Y29">
            <v>4168</v>
          </cell>
          <cell r="Z29">
            <v>15678</v>
          </cell>
          <cell r="AA29">
            <v>2691</v>
          </cell>
          <cell r="AB29">
            <v>1906</v>
          </cell>
          <cell r="AC29">
            <v>785</v>
          </cell>
          <cell r="AD29">
            <v>18369</v>
          </cell>
          <cell r="AE29">
            <v>3823</v>
          </cell>
          <cell r="AF29">
            <v>9889</v>
          </cell>
          <cell r="AG29">
            <v>990</v>
          </cell>
          <cell r="AH29">
            <v>200</v>
          </cell>
          <cell r="AI29">
            <v>0</v>
          </cell>
          <cell r="AJ29">
            <v>11079</v>
          </cell>
          <cell r="AK29">
            <v>14901</v>
          </cell>
          <cell r="AL29">
            <v>3445</v>
          </cell>
          <cell r="AM29">
            <v>0</v>
          </cell>
          <cell r="AN29">
            <v>3445</v>
          </cell>
          <cell r="AO29">
            <v>18347</v>
          </cell>
          <cell r="AP29">
            <v>6484</v>
          </cell>
          <cell r="AQ29">
            <v>1862</v>
          </cell>
          <cell r="AR29">
            <v>270</v>
          </cell>
          <cell r="AS29">
            <v>2969</v>
          </cell>
          <cell r="AT29">
            <v>0</v>
          </cell>
          <cell r="AU29">
            <v>11585</v>
          </cell>
          <cell r="AV29">
            <v>11585</v>
          </cell>
          <cell r="AW29">
            <v>829</v>
          </cell>
          <cell r="AX29">
            <v>0</v>
          </cell>
          <cell r="AY29">
            <v>829</v>
          </cell>
          <cell r="AZ29">
            <v>3069</v>
          </cell>
          <cell r="BA29">
            <v>142</v>
          </cell>
          <cell r="BB29">
            <v>4040</v>
          </cell>
          <cell r="BC29">
            <v>15625</v>
          </cell>
          <cell r="BD29">
            <v>2722</v>
          </cell>
          <cell r="BE29">
            <v>1937</v>
          </cell>
          <cell r="BF29">
            <v>785</v>
          </cell>
          <cell r="BG29">
            <v>18347</v>
          </cell>
          <cell r="BH29">
            <v>3823</v>
          </cell>
          <cell r="BI29">
            <v>9419</v>
          </cell>
          <cell r="BJ29">
            <v>1504</v>
          </cell>
          <cell r="BK29">
            <v>245</v>
          </cell>
          <cell r="BL29">
            <v>0</v>
          </cell>
          <cell r="BM29">
            <v>11168</v>
          </cell>
          <cell r="BN29">
            <v>14991</v>
          </cell>
          <cell r="BO29">
            <v>3445</v>
          </cell>
          <cell r="BP29">
            <v>0</v>
          </cell>
          <cell r="BQ29">
            <v>3445</v>
          </cell>
          <cell r="BR29">
            <v>18436</v>
          </cell>
          <cell r="BS29">
            <v>6427</v>
          </cell>
          <cell r="BT29">
            <v>866</v>
          </cell>
          <cell r="BU29">
            <v>262</v>
          </cell>
          <cell r="BV29">
            <v>2969</v>
          </cell>
          <cell r="BW29">
            <v>0</v>
          </cell>
          <cell r="BX29">
            <v>10524</v>
          </cell>
          <cell r="BY29">
            <v>10524</v>
          </cell>
          <cell r="BZ29">
            <v>637</v>
          </cell>
          <cell r="CA29">
            <v>0</v>
          </cell>
          <cell r="CB29">
            <v>637</v>
          </cell>
          <cell r="CC29">
            <v>3118</v>
          </cell>
          <cell r="CD29">
            <v>146</v>
          </cell>
          <cell r="CE29">
            <v>3901</v>
          </cell>
          <cell r="CF29">
            <v>14424</v>
          </cell>
          <cell r="CG29">
            <v>4012</v>
          </cell>
          <cell r="CH29">
            <v>3227</v>
          </cell>
          <cell r="CI29">
            <v>785</v>
          </cell>
          <cell r="CJ29">
            <v>18436</v>
          </cell>
        </row>
        <row r="30">
          <cell r="A30">
            <v>34121</v>
          </cell>
          <cell r="B30">
            <v>3983</v>
          </cell>
          <cell r="C30">
            <v>9349</v>
          </cell>
          <cell r="D30">
            <v>1036</v>
          </cell>
          <cell r="E30">
            <v>107</v>
          </cell>
          <cell r="F30">
            <v>0</v>
          </cell>
          <cell r="G30">
            <v>10492</v>
          </cell>
          <cell r="H30">
            <v>14475</v>
          </cell>
          <cell r="I30">
            <v>3507</v>
          </cell>
          <cell r="J30">
            <v>0</v>
          </cell>
          <cell r="K30">
            <v>3507</v>
          </cell>
          <cell r="L30">
            <v>17982</v>
          </cell>
          <cell r="M30">
            <v>6353</v>
          </cell>
          <cell r="N30">
            <v>2202</v>
          </cell>
          <cell r="O30">
            <v>197</v>
          </cell>
          <cell r="P30">
            <v>2882</v>
          </cell>
          <cell r="Q30">
            <v>0</v>
          </cell>
          <cell r="R30">
            <v>11633</v>
          </cell>
          <cell r="S30">
            <v>11633</v>
          </cell>
          <cell r="T30">
            <v>1000</v>
          </cell>
          <cell r="U30">
            <v>0</v>
          </cell>
          <cell r="V30">
            <v>1000</v>
          </cell>
          <cell r="W30">
            <v>3211</v>
          </cell>
          <cell r="X30">
            <v>143</v>
          </cell>
          <cell r="Y30">
            <v>4354</v>
          </cell>
          <cell r="Z30">
            <v>15988</v>
          </cell>
          <cell r="AA30">
            <v>1994</v>
          </cell>
          <cell r="AB30">
            <v>1196</v>
          </cell>
          <cell r="AC30">
            <v>798</v>
          </cell>
          <cell r="AD30">
            <v>17982</v>
          </cell>
          <cell r="AE30">
            <v>3998</v>
          </cell>
          <cell r="AF30">
            <v>8794</v>
          </cell>
          <cell r="AG30">
            <v>1039</v>
          </cell>
          <cell r="AH30">
            <v>206</v>
          </cell>
          <cell r="AI30">
            <v>0</v>
          </cell>
          <cell r="AJ30">
            <v>10039</v>
          </cell>
          <cell r="AK30">
            <v>14037</v>
          </cell>
          <cell r="AL30">
            <v>3509</v>
          </cell>
          <cell r="AM30">
            <v>0</v>
          </cell>
          <cell r="AN30">
            <v>3509</v>
          </cell>
          <cell r="AO30">
            <v>17546</v>
          </cell>
          <cell r="AP30">
            <v>6429</v>
          </cell>
          <cell r="AQ30">
            <v>2295</v>
          </cell>
          <cell r="AR30">
            <v>136</v>
          </cell>
          <cell r="AS30">
            <v>2928</v>
          </cell>
          <cell r="AT30">
            <v>0</v>
          </cell>
          <cell r="AU30">
            <v>11788</v>
          </cell>
          <cell r="AV30">
            <v>11788</v>
          </cell>
          <cell r="AW30">
            <v>1107</v>
          </cell>
          <cell r="AX30">
            <v>0</v>
          </cell>
          <cell r="AY30">
            <v>1107</v>
          </cell>
          <cell r="AZ30">
            <v>3242</v>
          </cell>
          <cell r="BA30">
            <v>145</v>
          </cell>
          <cell r="BB30">
            <v>4494</v>
          </cell>
          <cell r="BC30">
            <v>16282</v>
          </cell>
          <cell r="BD30">
            <v>1264</v>
          </cell>
          <cell r="BE30">
            <v>467</v>
          </cell>
          <cell r="BF30">
            <v>797</v>
          </cell>
          <cell r="BG30">
            <v>17546</v>
          </cell>
          <cell r="BH30">
            <v>3998</v>
          </cell>
          <cell r="BI30">
            <v>8888</v>
          </cell>
          <cell r="BJ30">
            <v>495</v>
          </cell>
          <cell r="BK30">
            <v>103</v>
          </cell>
          <cell r="BL30">
            <v>0</v>
          </cell>
          <cell r="BM30">
            <v>9486</v>
          </cell>
          <cell r="BN30">
            <v>13484</v>
          </cell>
          <cell r="BO30">
            <v>3509</v>
          </cell>
          <cell r="BP30">
            <v>0</v>
          </cell>
          <cell r="BQ30">
            <v>3509</v>
          </cell>
          <cell r="BR30">
            <v>16993</v>
          </cell>
          <cell r="BS30">
            <v>6434</v>
          </cell>
          <cell r="BT30">
            <v>2169</v>
          </cell>
          <cell r="BU30">
            <v>-4</v>
          </cell>
          <cell r="BV30">
            <v>2928</v>
          </cell>
          <cell r="BW30">
            <v>0</v>
          </cell>
          <cell r="BX30">
            <v>11527</v>
          </cell>
          <cell r="BY30">
            <v>11527</v>
          </cell>
          <cell r="BZ30">
            <v>1151</v>
          </cell>
          <cell r="CA30">
            <v>0</v>
          </cell>
          <cell r="CB30">
            <v>1151</v>
          </cell>
          <cell r="CC30">
            <v>3225</v>
          </cell>
          <cell r="CD30">
            <v>150</v>
          </cell>
          <cell r="CE30">
            <v>4526</v>
          </cell>
          <cell r="CF30">
            <v>16053</v>
          </cell>
          <cell r="CG30">
            <v>940</v>
          </cell>
          <cell r="CH30">
            <v>143</v>
          </cell>
          <cell r="CI30">
            <v>797</v>
          </cell>
          <cell r="CJ30">
            <v>16993</v>
          </cell>
        </row>
        <row r="31">
          <cell r="A31">
            <v>34213</v>
          </cell>
          <cell r="B31">
            <v>4129</v>
          </cell>
          <cell r="C31">
            <v>9005</v>
          </cell>
          <cell r="D31">
            <v>1052</v>
          </cell>
          <cell r="E31">
            <v>143</v>
          </cell>
          <cell r="F31">
            <v>0</v>
          </cell>
          <cell r="G31">
            <v>10201</v>
          </cell>
          <cell r="H31">
            <v>14330</v>
          </cell>
          <cell r="I31">
            <v>3565</v>
          </cell>
          <cell r="J31">
            <v>0</v>
          </cell>
          <cell r="K31">
            <v>3565</v>
          </cell>
          <cell r="L31">
            <v>17896</v>
          </cell>
          <cell r="M31">
            <v>6234</v>
          </cell>
          <cell r="N31">
            <v>2357</v>
          </cell>
          <cell r="O31">
            <v>212</v>
          </cell>
          <cell r="P31">
            <v>2784</v>
          </cell>
          <cell r="Q31">
            <v>0</v>
          </cell>
          <cell r="R31">
            <v>11587</v>
          </cell>
          <cell r="S31">
            <v>11587</v>
          </cell>
          <cell r="T31">
            <v>1179</v>
          </cell>
          <cell r="U31">
            <v>0</v>
          </cell>
          <cell r="V31">
            <v>1179</v>
          </cell>
          <cell r="W31">
            <v>3340</v>
          </cell>
          <cell r="X31">
            <v>147</v>
          </cell>
          <cell r="Y31">
            <v>4666</v>
          </cell>
          <cell r="Z31">
            <v>16253</v>
          </cell>
          <cell r="AA31">
            <v>1643</v>
          </cell>
          <cell r="AB31">
            <v>830</v>
          </cell>
          <cell r="AC31">
            <v>813</v>
          </cell>
          <cell r="AD31">
            <v>17896</v>
          </cell>
          <cell r="AE31">
            <v>4112</v>
          </cell>
          <cell r="AF31">
            <v>9453</v>
          </cell>
          <cell r="AG31">
            <v>1059</v>
          </cell>
          <cell r="AH31">
            <v>-142</v>
          </cell>
          <cell r="AI31">
            <v>0</v>
          </cell>
          <cell r="AJ31">
            <v>10371</v>
          </cell>
          <cell r="AK31">
            <v>14483</v>
          </cell>
          <cell r="AL31">
            <v>3561</v>
          </cell>
          <cell r="AM31">
            <v>0</v>
          </cell>
          <cell r="AN31">
            <v>3561</v>
          </cell>
          <cell r="AO31">
            <v>18044</v>
          </cell>
          <cell r="AP31">
            <v>6239</v>
          </cell>
          <cell r="AQ31">
            <v>2470</v>
          </cell>
          <cell r="AR31">
            <v>209</v>
          </cell>
          <cell r="AS31">
            <v>2764</v>
          </cell>
          <cell r="AT31">
            <v>0</v>
          </cell>
          <cell r="AU31">
            <v>11682</v>
          </cell>
          <cell r="AV31">
            <v>11682</v>
          </cell>
          <cell r="AW31">
            <v>1073</v>
          </cell>
          <cell r="AX31">
            <v>0</v>
          </cell>
          <cell r="AY31">
            <v>1073</v>
          </cell>
          <cell r="AZ31">
            <v>3358</v>
          </cell>
          <cell r="BA31">
            <v>141</v>
          </cell>
          <cell r="BB31">
            <v>4572</v>
          </cell>
          <cell r="BC31">
            <v>16254</v>
          </cell>
          <cell r="BD31">
            <v>1790</v>
          </cell>
          <cell r="BE31">
            <v>976</v>
          </cell>
          <cell r="BF31">
            <v>814</v>
          </cell>
          <cell r="BG31">
            <v>18044</v>
          </cell>
          <cell r="BH31">
            <v>4112</v>
          </cell>
          <cell r="BI31">
            <v>9491</v>
          </cell>
          <cell r="BJ31">
            <v>1735</v>
          </cell>
          <cell r="BK31">
            <v>-128</v>
          </cell>
          <cell r="BL31">
            <v>0</v>
          </cell>
          <cell r="BM31">
            <v>11098</v>
          </cell>
          <cell r="BN31">
            <v>15210</v>
          </cell>
          <cell r="BO31">
            <v>3561</v>
          </cell>
          <cell r="BP31">
            <v>0</v>
          </cell>
          <cell r="BQ31">
            <v>3561</v>
          </cell>
          <cell r="BR31">
            <v>18771</v>
          </cell>
          <cell r="BS31">
            <v>6269</v>
          </cell>
          <cell r="BT31">
            <v>4769</v>
          </cell>
          <cell r="BU31">
            <v>248</v>
          </cell>
          <cell r="BV31">
            <v>2764</v>
          </cell>
          <cell r="BW31">
            <v>0</v>
          </cell>
          <cell r="BX31">
            <v>14050</v>
          </cell>
          <cell r="BY31">
            <v>14050</v>
          </cell>
          <cell r="BZ31">
            <v>870</v>
          </cell>
          <cell r="CA31">
            <v>0</v>
          </cell>
          <cell r="CB31">
            <v>870</v>
          </cell>
          <cell r="CC31">
            <v>3327</v>
          </cell>
          <cell r="CD31">
            <v>136</v>
          </cell>
          <cell r="CE31">
            <v>4333</v>
          </cell>
          <cell r="CF31">
            <v>18382</v>
          </cell>
          <cell r="CG31">
            <v>389</v>
          </cell>
          <cell r="CH31">
            <v>-425</v>
          </cell>
          <cell r="CI31">
            <v>814</v>
          </cell>
          <cell r="CJ31">
            <v>18771</v>
          </cell>
        </row>
        <row r="32">
          <cell r="A32">
            <v>34304</v>
          </cell>
          <cell r="B32">
            <v>4285</v>
          </cell>
          <cell r="C32">
            <v>9172</v>
          </cell>
          <cell r="D32">
            <v>1132</v>
          </cell>
          <cell r="E32">
            <v>215</v>
          </cell>
          <cell r="F32">
            <v>0</v>
          </cell>
          <cell r="G32">
            <v>10520</v>
          </cell>
          <cell r="H32">
            <v>14805</v>
          </cell>
          <cell r="I32">
            <v>3625</v>
          </cell>
          <cell r="J32">
            <v>0</v>
          </cell>
          <cell r="K32">
            <v>3625</v>
          </cell>
          <cell r="L32">
            <v>18430</v>
          </cell>
          <cell r="M32">
            <v>6087</v>
          </cell>
          <cell r="N32">
            <v>2081</v>
          </cell>
          <cell r="O32">
            <v>208</v>
          </cell>
          <cell r="P32">
            <v>2738</v>
          </cell>
          <cell r="Q32">
            <v>0</v>
          </cell>
          <cell r="R32">
            <v>11115</v>
          </cell>
          <cell r="S32">
            <v>11115</v>
          </cell>
          <cell r="T32">
            <v>1448</v>
          </cell>
          <cell r="U32">
            <v>0</v>
          </cell>
          <cell r="V32">
            <v>1448</v>
          </cell>
          <cell r="W32">
            <v>3457</v>
          </cell>
          <cell r="X32">
            <v>149</v>
          </cell>
          <cell r="Y32">
            <v>5054</v>
          </cell>
          <cell r="Z32">
            <v>16169</v>
          </cell>
          <cell r="AA32">
            <v>2261</v>
          </cell>
          <cell r="AB32">
            <v>1436</v>
          </cell>
          <cell r="AC32">
            <v>825</v>
          </cell>
          <cell r="AD32">
            <v>18430</v>
          </cell>
          <cell r="AE32">
            <v>4287</v>
          </cell>
          <cell r="AF32">
            <v>8979</v>
          </cell>
          <cell r="AG32">
            <v>1118</v>
          </cell>
          <cell r="AH32">
            <v>376</v>
          </cell>
          <cell r="AI32">
            <v>0</v>
          </cell>
          <cell r="AJ32">
            <v>10473</v>
          </cell>
          <cell r="AK32">
            <v>14760</v>
          </cell>
          <cell r="AL32">
            <v>3625</v>
          </cell>
          <cell r="AM32">
            <v>0</v>
          </cell>
          <cell r="AN32">
            <v>3625</v>
          </cell>
          <cell r="AO32">
            <v>18385</v>
          </cell>
          <cell r="AP32">
            <v>6064</v>
          </cell>
          <cell r="AQ32">
            <v>2124</v>
          </cell>
          <cell r="AR32">
            <v>243</v>
          </cell>
          <cell r="AS32">
            <v>2726</v>
          </cell>
          <cell r="AT32">
            <v>0</v>
          </cell>
          <cell r="AU32">
            <v>11156</v>
          </cell>
          <cell r="AV32">
            <v>11156</v>
          </cell>
          <cell r="AW32">
            <v>1378</v>
          </cell>
          <cell r="AX32">
            <v>0</v>
          </cell>
          <cell r="AY32">
            <v>1378</v>
          </cell>
          <cell r="AZ32">
            <v>3450</v>
          </cell>
          <cell r="BA32">
            <v>157</v>
          </cell>
          <cell r="BB32">
            <v>4985</v>
          </cell>
          <cell r="BC32">
            <v>16141</v>
          </cell>
          <cell r="BD32">
            <v>2244</v>
          </cell>
          <cell r="BE32">
            <v>1418</v>
          </cell>
          <cell r="BF32">
            <v>826</v>
          </cell>
          <cell r="BG32">
            <v>18385</v>
          </cell>
          <cell r="BH32">
            <v>4287</v>
          </cell>
          <cell r="BI32">
            <v>9201</v>
          </cell>
          <cell r="BJ32">
            <v>449</v>
          </cell>
          <cell r="BK32">
            <v>420</v>
          </cell>
          <cell r="BL32">
            <v>0</v>
          </cell>
          <cell r="BM32">
            <v>10070</v>
          </cell>
          <cell r="BN32">
            <v>14357</v>
          </cell>
          <cell r="BO32">
            <v>3625</v>
          </cell>
          <cell r="BP32">
            <v>0</v>
          </cell>
          <cell r="BQ32">
            <v>3625</v>
          </cell>
          <cell r="BR32">
            <v>17982</v>
          </cell>
          <cell r="BS32">
            <v>6074</v>
          </cell>
          <cell r="BT32">
            <v>1647</v>
          </cell>
          <cell r="BU32">
            <v>368</v>
          </cell>
          <cell r="BV32">
            <v>2726</v>
          </cell>
          <cell r="BW32">
            <v>0</v>
          </cell>
          <cell r="BX32">
            <v>10815</v>
          </cell>
          <cell r="BY32">
            <v>10815</v>
          </cell>
          <cell r="BZ32">
            <v>1889</v>
          </cell>
          <cell r="CA32">
            <v>0</v>
          </cell>
          <cell r="CB32">
            <v>1889</v>
          </cell>
          <cell r="CC32">
            <v>3456</v>
          </cell>
          <cell r="CD32">
            <v>152</v>
          </cell>
          <cell r="CE32">
            <v>5498</v>
          </cell>
          <cell r="CF32">
            <v>16313</v>
          </cell>
          <cell r="CG32">
            <v>1669</v>
          </cell>
          <cell r="CH32">
            <v>843</v>
          </cell>
          <cell r="CI32">
            <v>826</v>
          </cell>
          <cell r="CJ32">
            <v>17982</v>
          </cell>
        </row>
        <row r="33">
          <cell r="A33">
            <v>34394</v>
          </cell>
          <cell r="B33">
            <v>4485</v>
          </cell>
          <cell r="C33">
            <v>9484</v>
          </cell>
          <cell r="D33">
            <v>1239</v>
          </cell>
          <cell r="E33">
            <v>204</v>
          </cell>
          <cell r="F33">
            <v>0</v>
          </cell>
          <cell r="G33">
            <v>10927</v>
          </cell>
          <cell r="H33">
            <v>15412</v>
          </cell>
          <cell r="I33">
            <v>3686</v>
          </cell>
          <cell r="J33">
            <v>0</v>
          </cell>
          <cell r="K33">
            <v>3686</v>
          </cell>
          <cell r="L33">
            <v>19098</v>
          </cell>
          <cell r="M33">
            <v>6069</v>
          </cell>
          <cell r="N33">
            <v>1711</v>
          </cell>
          <cell r="O33">
            <v>203</v>
          </cell>
          <cell r="P33">
            <v>2839</v>
          </cell>
          <cell r="Q33">
            <v>0</v>
          </cell>
          <cell r="R33">
            <v>10823</v>
          </cell>
          <cell r="S33">
            <v>10823</v>
          </cell>
          <cell r="T33">
            <v>1546</v>
          </cell>
          <cell r="U33">
            <v>0</v>
          </cell>
          <cell r="V33">
            <v>1546</v>
          </cell>
          <cell r="W33">
            <v>3592</v>
          </cell>
          <cell r="X33">
            <v>146</v>
          </cell>
          <cell r="Y33">
            <v>5284</v>
          </cell>
          <cell r="Z33">
            <v>16107</v>
          </cell>
          <cell r="AA33">
            <v>2991</v>
          </cell>
          <cell r="AB33">
            <v>2158</v>
          </cell>
          <cell r="AC33">
            <v>834</v>
          </cell>
          <cell r="AD33">
            <v>19098</v>
          </cell>
          <cell r="AE33">
            <v>4485</v>
          </cell>
          <cell r="AF33">
            <v>9466</v>
          </cell>
          <cell r="AG33">
            <v>1176</v>
          </cell>
          <cell r="AH33">
            <v>445</v>
          </cell>
          <cell r="AI33">
            <v>0</v>
          </cell>
          <cell r="AJ33">
            <v>11088</v>
          </cell>
          <cell r="AK33">
            <v>15572</v>
          </cell>
          <cell r="AL33">
            <v>3687</v>
          </cell>
          <cell r="AM33">
            <v>0</v>
          </cell>
          <cell r="AN33">
            <v>3687</v>
          </cell>
          <cell r="AO33">
            <v>19260</v>
          </cell>
          <cell r="AP33">
            <v>6051</v>
          </cell>
          <cell r="AQ33">
            <v>1619</v>
          </cell>
          <cell r="AR33">
            <v>189</v>
          </cell>
          <cell r="AS33">
            <v>2823</v>
          </cell>
          <cell r="AT33">
            <v>0</v>
          </cell>
          <cell r="AU33">
            <v>10682</v>
          </cell>
          <cell r="AV33">
            <v>10682</v>
          </cell>
          <cell r="AW33">
            <v>1742</v>
          </cell>
          <cell r="AX33">
            <v>0</v>
          </cell>
          <cell r="AY33">
            <v>1742</v>
          </cell>
          <cell r="AZ33">
            <v>3581</v>
          </cell>
          <cell r="BA33">
            <v>144</v>
          </cell>
          <cell r="BB33">
            <v>5467</v>
          </cell>
          <cell r="BC33">
            <v>16149</v>
          </cell>
          <cell r="BD33">
            <v>3111</v>
          </cell>
          <cell r="BE33">
            <v>2277</v>
          </cell>
          <cell r="BF33">
            <v>834</v>
          </cell>
          <cell r="BG33">
            <v>19260</v>
          </cell>
          <cell r="BH33">
            <v>4485</v>
          </cell>
          <cell r="BI33">
            <v>9092</v>
          </cell>
          <cell r="BJ33">
            <v>1769</v>
          </cell>
          <cell r="BK33">
            <v>511</v>
          </cell>
          <cell r="BL33">
            <v>0</v>
          </cell>
          <cell r="BM33">
            <v>11371</v>
          </cell>
          <cell r="BN33">
            <v>15856</v>
          </cell>
          <cell r="BO33">
            <v>3687</v>
          </cell>
          <cell r="BP33">
            <v>0</v>
          </cell>
          <cell r="BQ33">
            <v>3687</v>
          </cell>
          <cell r="BR33">
            <v>19543</v>
          </cell>
          <cell r="BS33">
            <v>6008</v>
          </cell>
          <cell r="BT33">
            <v>710</v>
          </cell>
          <cell r="BU33">
            <v>179</v>
          </cell>
          <cell r="BV33">
            <v>2823</v>
          </cell>
          <cell r="BW33">
            <v>0</v>
          </cell>
          <cell r="BX33">
            <v>9720</v>
          </cell>
          <cell r="BY33">
            <v>9720</v>
          </cell>
          <cell r="BZ33">
            <v>1365</v>
          </cell>
          <cell r="CA33">
            <v>0</v>
          </cell>
          <cell r="CB33">
            <v>1365</v>
          </cell>
          <cell r="CC33">
            <v>3616</v>
          </cell>
          <cell r="CD33">
            <v>149</v>
          </cell>
          <cell r="CE33">
            <v>5130</v>
          </cell>
          <cell r="CF33">
            <v>14850</v>
          </cell>
          <cell r="CG33">
            <v>4694</v>
          </cell>
          <cell r="CH33">
            <v>3860</v>
          </cell>
          <cell r="CI33">
            <v>834</v>
          </cell>
          <cell r="CJ33">
            <v>19543</v>
          </cell>
        </row>
        <row r="34">
          <cell r="A34">
            <v>34486</v>
          </cell>
          <cell r="B34">
            <v>4734</v>
          </cell>
          <cell r="C34">
            <v>9834</v>
          </cell>
          <cell r="D34">
            <v>1301</v>
          </cell>
          <cell r="E34">
            <v>141</v>
          </cell>
          <cell r="F34">
            <v>0</v>
          </cell>
          <cell r="G34">
            <v>11276</v>
          </cell>
          <cell r="H34">
            <v>16010</v>
          </cell>
          <cell r="I34">
            <v>3745</v>
          </cell>
          <cell r="J34">
            <v>0</v>
          </cell>
          <cell r="K34">
            <v>3745</v>
          </cell>
          <cell r="L34">
            <v>19755</v>
          </cell>
          <cell r="M34">
            <v>6239</v>
          </cell>
          <cell r="N34">
            <v>1514</v>
          </cell>
          <cell r="O34">
            <v>192</v>
          </cell>
          <cell r="P34">
            <v>3101</v>
          </cell>
          <cell r="Q34">
            <v>0</v>
          </cell>
          <cell r="R34">
            <v>11046</v>
          </cell>
          <cell r="S34">
            <v>11046</v>
          </cell>
          <cell r="T34">
            <v>1407</v>
          </cell>
          <cell r="U34">
            <v>0</v>
          </cell>
          <cell r="V34">
            <v>1407</v>
          </cell>
          <cell r="W34">
            <v>3770</v>
          </cell>
          <cell r="X34">
            <v>141</v>
          </cell>
          <cell r="Y34">
            <v>5319</v>
          </cell>
          <cell r="Z34">
            <v>16365</v>
          </cell>
          <cell r="AA34">
            <v>3390</v>
          </cell>
          <cell r="AB34">
            <v>2553</v>
          </cell>
          <cell r="AC34">
            <v>838</v>
          </cell>
          <cell r="AD34">
            <v>19755</v>
          </cell>
          <cell r="AE34">
            <v>4706</v>
          </cell>
          <cell r="AF34">
            <v>10058</v>
          </cell>
          <cell r="AG34">
            <v>1440</v>
          </cell>
          <cell r="AH34">
            <v>-255</v>
          </cell>
          <cell r="AI34">
            <v>0</v>
          </cell>
          <cell r="AJ34">
            <v>11244</v>
          </cell>
          <cell r="AK34">
            <v>15949</v>
          </cell>
          <cell r="AL34">
            <v>3749</v>
          </cell>
          <cell r="AM34">
            <v>0</v>
          </cell>
          <cell r="AN34">
            <v>3749</v>
          </cell>
          <cell r="AO34">
            <v>19698</v>
          </cell>
          <cell r="AP34">
            <v>6239</v>
          </cell>
          <cell r="AQ34">
            <v>1369</v>
          </cell>
          <cell r="AR34">
            <v>170</v>
          </cell>
          <cell r="AS34">
            <v>3055</v>
          </cell>
          <cell r="AT34">
            <v>0</v>
          </cell>
          <cell r="AU34">
            <v>10833</v>
          </cell>
          <cell r="AV34">
            <v>10833</v>
          </cell>
          <cell r="AW34">
            <v>1505</v>
          </cell>
          <cell r="AX34">
            <v>0</v>
          </cell>
          <cell r="AY34">
            <v>1505</v>
          </cell>
          <cell r="AZ34">
            <v>3745</v>
          </cell>
          <cell r="BA34">
            <v>140</v>
          </cell>
          <cell r="BB34">
            <v>5391</v>
          </cell>
          <cell r="BC34">
            <v>16223</v>
          </cell>
          <cell r="BD34">
            <v>3475</v>
          </cell>
          <cell r="BE34">
            <v>2637</v>
          </cell>
          <cell r="BF34">
            <v>838</v>
          </cell>
          <cell r="BG34">
            <v>19698</v>
          </cell>
          <cell r="BH34">
            <v>4706</v>
          </cell>
          <cell r="BI34">
            <v>10213</v>
          </cell>
          <cell r="BJ34">
            <v>738</v>
          </cell>
          <cell r="BK34">
            <v>-403</v>
          </cell>
          <cell r="BL34">
            <v>0</v>
          </cell>
          <cell r="BM34">
            <v>10547</v>
          </cell>
          <cell r="BN34">
            <v>15253</v>
          </cell>
          <cell r="BO34">
            <v>3749</v>
          </cell>
          <cell r="BP34">
            <v>0</v>
          </cell>
          <cell r="BQ34">
            <v>3749</v>
          </cell>
          <cell r="BR34">
            <v>19002</v>
          </cell>
          <cell r="BS34">
            <v>6240</v>
          </cell>
          <cell r="BT34">
            <v>1329</v>
          </cell>
          <cell r="BU34">
            <v>2</v>
          </cell>
          <cell r="BV34">
            <v>3055</v>
          </cell>
          <cell r="BW34">
            <v>0</v>
          </cell>
          <cell r="BX34">
            <v>10626</v>
          </cell>
          <cell r="BY34">
            <v>10626</v>
          </cell>
          <cell r="BZ34">
            <v>1555</v>
          </cell>
          <cell r="CA34">
            <v>0</v>
          </cell>
          <cell r="CB34">
            <v>1555</v>
          </cell>
          <cell r="CC34">
            <v>3731</v>
          </cell>
          <cell r="CD34">
            <v>146</v>
          </cell>
          <cell r="CE34">
            <v>5432</v>
          </cell>
          <cell r="CF34">
            <v>16058</v>
          </cell>
          <cell r="CG34">
            <v>2944</v>
          </cell>
          <cell r="CH34">
            <v>2106</v>
          </cell>
          <cell r="CI34">
            <v>838</v>
          </cell>
          <cell r="CJ34">
            <v>19002</v>
          </cell>
        </row>
        <row r="35">
          <cell r="A35">
            <v>34578</v>
          </cell>
          <cell r="B35">
            <v>4999</v>
          </cell>
          <cell r="C35">
            <v>10745</v>
          </cell>
          <cell r="D35">
            <v>1331</v>
          </cell>
          <cell r="E35">
            <v>51</v>
          </cell>
          <cell r="F35">
            <v>0</v>
          </cell>
          <cell r="G35">
            <v>12127</v>
          </cell>
          <cell r="H35">
            <v>17125</v>
          </cell>
          <cell r="I35">
            <v>3802</v>
          </cell>
          <cell r="J35">
            <v>0</v>
          </cell>
          <cell r="K35">
            <v>3802</v>
          </cell>
          <cell r="L35">
            <v>20927</v>
          </cell>
          <cell r="M35">
            <v>6621</v>
          </cell>
          <cell r="N35">
            <v>1569</v>
          </cell>
          <cell r="O35">
            <v>171</v>
          </cell>
          <cell r="P35">
            <v>3426</v>
          </cell>
          <cell r="Q35">
            <v>0</v>
          </cell>
          <cell r="R35">
            <v>11788</v>
          </cell>
          <cell r="S35">
            <v>11788</v>
          </cell>
          <cell r="T35">
            <v>1163</v>
          </cell>
          <cell r="U35">
            <v>0</v>
          </cell>
          <cell r="V35">
            <v>1163</v>
          </cell>
          <cell r="W35">
            <v>3948</v>
          </cell>
          <cell r="X35">
            <v>141</v>
          </cell>
          <cell r="Y35">
            <v>5252</v>
          </cell>
          <cell r="Z35">
            <v>17040</v>
          </cell>
          <cell r="AA35">
            <v>3888</v>
          </cell>
          <cell r="AB35">
            <v>3048</v>
          </cell>
          <cell r="AC35">
            <v>840</v>
          </cell>
          <cell r="AD35">
            <v>20927</v>
          </cell>
          <cell r="AE35">
            <v>5019</v>
          </cell>
          <cell r="AF35">
            <v>10478</v>
          </cell>
          <cell r="AG35">
            <v>1252</v>
          </cell>
          <cell r="AH35">
            <v>247</v>
          </cell>
          <cell r="AI35">
            <v>0</v>
          </cell>
          <cell r="AJ35">
            <v>11976</v>
          </cell>
          <cell r="AK35">
            <v>16995</v>
          </cell>
          <cell r="AL35">
            <v>3800</v>
          </cell>
          <cell r="AM35">
            <v>0</v>
          </cell>
          <cell r="AN35">
            <v>3800</v>
          </cell>
          <cell r="AO35">
            <v>20795</v>
          </cell>
          <cell r="AP35">
            <v>6599</v>
          </cell>
          <cell r="AQ35">
            <v>1731</v>
          </cell>
          <cell r="AR35">
            <v>187</v>
          </cell>
          <cell r="AS35">
            <v>3484</v>
          </cell>
          <cell r="AT35">
            <v>0</v>
          </cell>
          <cell r="AU35">
            <v>12001</v>
          </cell>
          <cell r="AV35">
            <v>12001</v>
          </cell>
          <cell r="AW35">
            <v>883</v>
          </cell>
          <cell r="AX35">
            <v>0</v>
          </cell>
          <cell r="AY35">
            <v>883</v>
          </cell>
          <cell r="AZ35">
            <v>3991</v>
          </cell>
          <cell r="BA35">
            <v>139</v>
          </cell>
          <cell r="BB35">
            <v>5013</v>
          </cell>
          <cell r="BC35">
            <v>17014</v>
          </cell>
          <cell r="BD35">
            <v>3781</v>
          </cell>
          <cell r="BE35">
            <v>2943</v>
          </cell>
          <cell r="BF35">
            <v>839</v>
          </cell>
          <cell r="BG35">
            <v>20795</v>
          </cell>
          <cell r="BH35">
            <v>5019</v>
          </cell>
          <cell r="BI35">
            <v>10526</v>
          </cell>
          <cell r="BJ35">
            <v>2019</v>
          </cell>
          <cell r="BK35">
            <v>297</v>
          </cell>
          <cell r="BL35">
            <v>0</v>
          </cell>
          <cell r="BM35">
            <v>12842</v>
          </cell>
          <cell r="BN35">
            <v>17861</v>
          </cell>
          <cell r="BO35">
            <v>3800</v>
          </cell>
          <cell r="BP35">
            <v>0</v>
          </cell>
          <cell r="BQ35">
            <v>3800</v>
          </cell>
          <cell r="BR35">
            <v>21661</v>
          </cell>
          <cell r="BS35">
            <v>6645</v>
          </cell>
          <cell r="BT35">
            <v>2539</v>
          </cell>
          <cell r="BU35">
            <v>231</v>
          </cell>
          <cell r="BV35">
            <v>3484</v>
          </cell>
          <cell r="BW35">
            <v>0</v>
          </cell>
          <cell r="BX35">
            <v>12899</v>
          </cell>
          <cell r="BY35">
            <v>12899</v>
          </cell>
          <cell r="BZ35">
            <v>729</v>
          </cell>
          <cell r="CA35">
            <v>0</v>
          </cell>
          <cell r="CB35">
            <v>729</v>
          </cell>
          <cell r="CC35">
            <v>3966</v>
          </cell>
          <cell r="CD35">
            <v>133</v>
          </cell>
          <cell r="CE35">
            <v>4827</v>
          </cell>
          <cell r="CF35">
            <v>17726</v>
          </cell>
          <cell r="CG35">
            <v>3936</v>
          </cell>
          <cell r="CH35">
            <v>3097</v>
          </cell>
          <cell r="CI35">
            <v>839</v>
          </cell>
          <cell r="CJ35">
            <v>21661</v>
          </cell>
        </row>
        <row r="36">
          <cell r="A36">
            <v>34669</v>
          </cell>
          <cell r="B36">
            <v>5231</v>
          </cell>
          <cell r="C36">
            <v>11838</v>
          </cell>
          <cell r="D36">
            <v>1262</v>
          </cell>
          <cell r="E36">
            <v>87</v>
          </cell>
          <cell r="F36">
            <v>0</v>
          </cell>
          <cell r="G36">
            <v>13187</v>
          </cell>
          <cell r="H36">
            <v>18418</v>
          </cell>
          <cell r="I36">
            <v>3864</v>
          </cell>
          <cell r="J36">
            <v>0</v>
          </cell>
          <cell r="K36">
            <v>3864</v>
          </cell>
          <cell r="L36">
            <v>22282</v>
          </cell>
          <cell r="M36">
            <v>7178</v>
          </cell>
          <cell r="N36">
            <v>1697</v>
          </cell>
          <cell r="O36">
            <v>139</v>
          </cell>
          <cell r="P36">
            <v>3703</v>
          </cell>
          <cell r="Q36">
            <v>0</v>
          </cell>
          <cell r="R36">
            <v>12717</v>
          </cell>
          <cell r="S36">
            <v>12717</v>
          </cell>
          <cell r="T36">
            <v>1091</v>
          </cell>
          <cell r="U36">
            <v>0</v>
          </cell>
          <cell r="V36">
            <v>1091</v>
          </cell>
          <cell r="W36">
            <v>4091</v>
          </cell>
          <cell r="X36">
            <v>145</v>
          </cell>
          <cell r="Y36">
            <v>5327</v>
          </cell>
          <cell r="Z36">
            <v>18044</v>
          </cell>
          <cell r="AA36">
            <v>4238</v>
          </cell>
          <cell r="AB36">
            <v>3396</v>
          </cell>
          <cell r="AC36">
            <v>843</v>
          </cell>
          <cell r="AD36">
            <v>22282</v>
          </cell>
          <cell r="AE36">
            <v>5240</v>
          </cell>
          <cell r="AF36">
            <v>11364</v>
          </cell>
          <cell r="AG36">
            <v>1227</v>
          </cell>
          <cell r="AH36">
            <v>163</v>
          </cell>
          <cell r="AI36">
            <v>0</v>
          </cell>
          <cell r="AJ36">
            <v>12754</v>
          </cell>
          <cell r="AK36">
            <v>17994</v>
          </cell>
          <cell r="AL36">
            <v>3862</v>
          </cell>
          <cell r="AM36">
            <v>0</v>
          </cell>
          <cell r="AN36">
            <v>3862</v>
          </cell>
          <cell r="AO36">
            <v>21855</v>
          </cell>
          <cell r="AP36">
            <v>7105</v>
          </cell>
          <cell r="AQ36">
            <v>1605</v>
          </cell>
          <cell r="AR36">
            <v>194</v>
          </cell>
          <cell r="AS36">
            <v>3716</v>
          </cell>
          <cell r="AT36">
            <v>0</v>
          </cell>
          <cell r="AU36">
            <v>12620</v>
          </cell>
          <cell r="AV36">
            <v>12620</v>
          </cell>
          <cell r="AW36">
            <v>1181</v>
          </cell>
          <cell r="AX36">
            <v>0</v>
          </cell>
          <cell r="AY36">
            <v>1181</v>
          </cell>
          <cell r="AZ36">
            <v>4085</v>
          </cell>
          <cell r="BA36">
            <v>145</v>
          </cell>
          <cell r="BB36">
            <v>5411</v>
          </cell>
          <cell r="BC36">
            <v>18031</v>
          </cell>
          <cell r="BD36">
            <v>3825</v>
          </cell>
          <cell r="BE36">
            <v>2982</v>
          </cell>
          <cell r="BF36">
            <v>843</v>
          </cell>
          <cell r="BG36">
            <v>21855</v>
          </cell>
          <cell r="BH36">
            <v>5240</v>
          </cell>
          <cell r="BI36">
            <v>11476</v>
          </cell>
          <cell r="BJ36">
            <v>496</v>
          </cell>
          <cell r="BK36">
            <v>184</v>
          </cell>
          <cell r="BL36">
            <v>0</v>
          </cell>
          <cell r="BM36">
            <v>12156</v>
          </cell>
          <cell r="BN36">
            <v>17396</v>
          </cell>
          <cell r="BO36">
            <v>3862</v>
          </cell>
          <cell r="BP36">
            <v>0</v>
          </cell>
          <cell r="BQ36">
            <v>3862</v>
          </cell>
          <cell r="BR36">
            <v>21258</v>
          </cell>
          <cell r="BS36">
            <v>7096</v>
          </cell>
          <cell r="BT36">
            <v>1523</v>
          </cell>
          <cell r="BU36">
            <v>334</v>
          </cell>
          <cell r="BV36">
            <v>3716</v>
          </cell>
          <cell r="BW36">
            <v>0</v>
          </cell>
          <cell r="BX36">
            <v>12670</v>
          </cell>
          <cell r="BY36">
            <v>12670</v>
          </cell>
          <cell r="BZ36">
            <v>1587</v>
          </cell>
          <cell r="CA36">
            <v>0</v>
          </cell>
          <cell r="CB36">
            <v>1587</v>
          </cell>
          <cell r="CC36">
            <v>4095</v>
          </cell>
          <cell r="CD36">
            <v>140</v>
          </cell>
          <cell r="CE36">
            <v>5822</v>
          </cell>
          <cell r="CF36">
            <v>18491</v>
          </cell>
          <cell r="CG36">
            <v>2767</v>
          </cell>
          <cell r="CH36">
            <v>1924</v>
          </cell>
          <cell r="CI36">
            <v>843</v>
          </cell>
          <cell r="CJ36">
            <v>21258</v>
          </cell>
        </row>
        <row r="37">
          <cell r="A37">
            <v>34759</v>
          </cell>
          <cell r="B37">
            <v>5385</v>
          </cell>
          <cell r="C37">
            <v>12632</v>
          </cell>
          <cell r="D37">
            <v>1181</v>
          </cell>
          <cell r="E37">
            <v>209</v>
          </cell>
          <cell r="F37">
            <v>0</v>
          </cell>
          <cell r="G37">
            <v>14022</v>
          </cell>
          <cell r="H37">
            <v>19408</v>
          </cell>
          <cell r="I37">
            <v>3934</v>
          </cell>
          <cell r="J37">
            <v>0</v>
          </cell>
          <cell r="K37">
            <v>3934</v>
          </cell>
          <cell r="L37">
            <v>23341</v>
          </cell>
          <cell r="M37">
            <v>7700</v>
          </cell>
          <cell r="N37">
            <v>1718</v>
          </cell>
          <cell r="O37">
            <v>117</v>
          </cell>
          <cell r="P37">
            <v>3884</v>
          </cell>
          <cell r="Q37">
            <v>0</v>
          </cell>
          <cell r="R37">
            <v>13418</v>
          </cell>
          <cell r="S37">
            <v>13418</v>
          </cell>
          <cell r="T37">
            <v>1213</v>
          </cell>
          <cell r="U37">
            <v>0</v>
          </cell>
          <cell r="V37">
            <v>1213</v>
          </cell>
          <cell r="W37">
            <v>4182</v>
          </cell>
          <cell r="X37">
            <v>147</v>
          </cell>
          <cell r="Y37">
            <v>5543</v>
          </cell>
          <cell r="Z37">
            <v>18961</v>
          </cell>
          <cell r="AA37">
            <v>4380</v>
          </cell>
          <cell r="AB37">
            <v>3534</v>
          </cell>
          <cell r="AC37">
            <v>846</v>
          </cell>
          <cell r="AD37">
            <v>23341</v>
          </cell>
          <cell r="AE37">
            <v>5392</v>
          </cell>
          <cell r="AF37">
            <v>13844</v>
          </cell>
          <cell r="AG37">
            <v>1396</v>
          </cell>
          <cell r="AH37">
            <v>-47</v>
          </cell>
          <cell r="AI37">
            <v>0</v>
          </cell>
          <cell r="AJ37">
            <v>15193</v>
          </cell>
          <cell r="AK37">
            <v>20585</v>
          </cell>
          <cell r="AL37">
            <v>3933</v>
          </cell>
          <cell r="AM37">
            <v>0</v>
          </cell>
          <cell r="AN37">
            <v>3933</v>
          </cell>
          <cell r="AO37">
            <v>24517</v>
          </cell>
          <cell r="AP37">
            <v>7783</v>
          </cell>
          <cell r="AQ37">
            <v>1853</v>
          </cell>
          <cell r="AR37">
            <v>29</v>
          </cell>
          <cell r="AS37">
            <v>3884</v>
          </cell>
          <cell r="AT37">
            <v>0</v>
          </cell>
          <cell r="AU37">
            <v>13549</v>
          </cell>
          <cell r="AV37">
            <v>13549</v>
          </cell>
          <cell r="AW37">
            <v>1223</v>
          </cell>
          <cell r="AX37">
            <v>0</v>
          </cell>
          <cell r="AY37">
            <v>1223</v>
          </cell>
          <cell r="AZ37">
            <v>4164</v>
          </cell>
          <cell r="BA37">
            <v>155</v>
          </cell>
          <cell r="BB37">
            <v>5542</v>
          </cell>
          <cell r="BC37">
            <v>19091</v>
          </cell>
          <cell r="BD37">
            <v>5426</v>
          </cell>
          <cell r="BE37">
            <v>4579</v>
          </cell>
          <cell r="BF37">
            <v>847</v>
          </cell>
          <cell r="BG37">
            <v>24517</v>
          </cell>
          <cell r="BH37">
            <v>5392</v>
          </cell>
          <cell r="BI37">
            <v>13420</v>
          </cell>
          <cell r="BJ37">
            <v>2074</v>
          </cell>
          <cell r="BK37">
            <v>55</v>
          </cell>
          <cell r="BL37">
            <v>0</v>
          </cell>
          <cell r="BM37">
            <v>15548</v>
          </cell>
          <cell r="BN37">
            <v>20940</v>
          </cell>
          <cell r="BO37">
            <v>3933</v>
          </cell>
          <cell r="BP37">
            <v>0</v>
          </cell>
          <cell r="BQ37">
            <v>3933</v>
          </cell>
          <cell r="BR37">
            <v>24873</v>
          </cell>
          <cell r="BS37">
            <v>7743</v>
          </cell>
          <cell r="BT37">
            <v>1043</v>
          </cell>
          <cell r="BU37">
            <v>34</v>
          </cell>
          <cell r="BV37">
            <v>3884</v>
          </cell>
          <cell r="BW37">
            <v>0</v>
          </cell>
          <cell r="BX37">
            <v>12704</v>
          </cell>
          <cell r="BY37">
            <v>12704</v>
          </cell>
          <cell r="BZ37">
            <v>990</v>
          </cell>
          <cell r="CA37">
            <v>0</v>
          </cell>
          <cell r="CB37">
            <v>990</v>
          </cell>
          <cell r="CC37">
            <v>4189</v>
          </cell>
          <cell r="CD37">
            <v>160</v>
          </cell>
          <cell r="CE37">
            <v>5340</v>
          </cell>
          <cell r="CF37">
            <v>18043</v>
          </cell>
          <cell r="CG37">
            <v>6830</v>
          </cell>
          <cell r="CH37">
            <v>5983</v>
          </cell>
          <cell r="CI37">
            <v>847</v>
          </cell>
          <cell r="CJ37">
            <v>24873</v>
          </cell>
        </row>
        <row r="38">
          <cell r="A38">
            <v>34851</v>
          </cell>
          <cell r="B38">
            <v>5466</v>
          </cell>
          <cell r="C38">
            <v>12827</v>
          </cell>
          <cell r="D38">
            <v>1231</v>
          </cell>
          <cell r="E38">
            <v>270</v>
          </cell>
          <cell r="F38">
            <v>0</v>
          </cell>
          <cell r="G38">
            <v>14328</v>
          </cell>
          <cell r="H38">
            <v>19794</v>
          </cell>
          <cell r="I38">
            <v>4007</v>
          </cell>
          <cell r="J38">
            <v>0</v>
          </cell>
          <cell r="K38">
            <v>4007</v>
          </cell>
          <cell r="L38">
            <v>23800</v>
          </cell>
          <cell r="M38">
            <v>7996</v>
          </cell>
          <cell r="N38">
            <v>1726</v>
          </cell>
          <cell r="O38">
            <v>174</v>
          </cell>
          <cell r="P38">
            <v>4008</v>
          </cell>
          <cell r="Q38">
            <v>0</v>
          </cell>
          <cell r="R38">
            <v>13905</v>
          </cell>
          <cell r="S38">
            <v>13905</v>
          </cell>
          <cell r="T38">
            <v>1383</v>
          </cell>
          <cell r="U38">
            <v>0</v>
          </cell>
          <cell r="V38">
            <v>1383</v>
          </cell>
          <cell r="W38">
            <v>4237</v>
          </cell>
          <cell r="X38">
            <v>147</v>
          </cell>
          <cell r="Y38">
            <v>5767</v>
          </cell>
          <cell r="Z38">
            <v>19672</v>
          </cell>
          <cell r="AA38">
            <v>4128</v>
          </cell>
          <cell r="AB38">
            <v>3277</v>
          </cell>
          <cell r="AC38">
            <v>851</v>
          </cell>
          <cell r="AD38">
            <v>23800</v>
          </cell>
          <cell r="AE38">
            <v>5475</v>
          </cell>
          <cell r="AF38">
            <v>12119</v>
          </cell>
          <cell r="AG38">
            <v>918</v>
          </cell>
          <cell r="AH38">
            <v>433</v>
          </cell>
          <cell r="AI38">
            <v>0</v>
          </cell>
          <cell r="AJ38">
            <v>13470</v>
          </cell>
          <cell r="AK38">
            <v>18945</v>
          </cell>
          <cell r="AL38">
            <v>4012</v>
          </cell>
          <cell r="AM38">
            <v>0</v>
          </cell>
          <cell r="AN38">
            <v>4012</v>
          </cell>
          <cell r="AO38">
            <v>22957</v>
          </cell>
          <cell r="AP38">
            <v>8120</v>
          </cell>
          <cell r="AQ38">
            <v>1662</v>
          </cell>
          <cell r="AR38">
            <v>191</v>
          </cell>
          <cell r="AS38">
            <v>3988</v>
          </cell>
          <cell r="AT38">
            <v>0</v>
          </cell>
          <cell r="AU38">
            <v>13961</v>
          </cell>
          <cell r="AV38">
            <v>13961</v>
          </cell>
          <cell r="AW38">
            <v>1417</v>
          </cell>
          <cell r="AX38">
            <v>0</v>
          </cell>
          <cell r="AY38">
            <v>1417</v>
          </cell>
          <cell r="AZ38">
            <v>4274</v>
          </cell>
          <cell r="BA38">
            <v>139</v>
          </cell>
          <cell r="BB38">
            <v>5830</v>
          </cell>
          <cell r="BC38">
            <v>19791</v>
          </cell>
          <cell r="BD38">
            <v>3166</v>
          </cell>
          <cell r="BE38">
            <v>2316</v>
          </cell>
          <cell r="BF38">
            <v>850</v>
          </cell>
          <cell r="BG38">
            <v>22957</v>
          </cell>
          <cell r="BH38">
            <v>5475</v>
          </cell>
          <cell r="BI38">
            <v>12392</v>
          </cell>
          <cell r="BJ38">
            <v>507</v>
          </cell>
          <cell r="BK38">
            <v>240</v>
          </cell>
          <cell r="BL38">
            <v>0</v>
          </cell>
          <cell r="BM38">
            <v>13138</v>
          </cell>
          <cell r="BN38">
            <v>18613</v>
          </cell>
          <cell r="BO38">
            <v>4012</v>
          </cell>
          <cell r="BP38">
            <v>0</v>
          </cell>
          <cell r="BQ38">
            <v>4012</v>
          </cell>
          <cell r="BR38">
            <v>22626</v>
          </cell>
          <cell r="BS38">
            <v>8108</v>
          </cell>
          <cell r="BT38">
            <v>1615</v>
          </cell>
          <cell r="BU38">
            <v>-9</v>
          </cell>
          <cell r="BV38">
            <v>3988</v>
          </cell>
          <cell r="BW38">
            <v>0</v>
          </cell>
          <cell r="BX38">
            <v>13702</v>
          </cell>
          <cell r="BY38">
            <v>13702</v>
          </cell>
          <cell r="BZ38">
            <v>1421</v>
          </cell>
          <cell r="CA38">
            <v>0</v>
          </cell>
          <cell r="CB38">
            <v>1421</v>
          </cell>
          <cell r="CC38">
            <v>4259</v>
          </cell>
          <cell r="CD38">
            <v>147</v>
          </cell>
          <cell r="CE38">
            <v>5827</v>
          </cell>
          <cell r="CF38">
            <v>19529</v>
          </cell>
          <cell r="CG38">
            <v>3097</v>
          </cell>
          <cell r="CH38">
            <v>2247</v>
          </cell>
          <cell r="CI38">
            <v>850</v>
          </cell>
          <cell r="CJ38">
            <v>22626</v>
          </cell>
        </row>
        <row r="39">
          <cell r="A39">
            <v>34943</v>
          </cell>
          <cell r="B39">
            <v>5521</v>
          </cell>
          <cell r="C39">
            <v>12616</v>
          </cell>
          <cell r="D39">
            <v>1420</v>
          </cell>
          <cell r="E39">
            <v>298</v>
          </cell>
          <cell r="F39">
            <v>0</v>
          </cell>
          <cell r="G39">
            <v>14334</v>
          </cell>
          <cell r="H39">
            <v>19855</v>
          </cell>
          <cell r="I39">
            <v>4081</v>
          </cell>
          <cell r="J39">
            <v>0</v>
          </cell>
          <cell r="K39">
            <v>4081</v>
          </cell>
          <cell r="L39">
            <v>23936</v>
          </cell>
          <cell r="M39">
            <v>8049</v>
          </cell>
          <cell r="N39">
            <v>1841</v>
          </cell>
          <cell r="O39">
            <v>262</v>
          </cell>
          <cell r="P39">
            <v>4124</v>
          </cell>
          <cell r="Q39">
            <v>0</v>
          </cell>
          <cell r="R39">
            <v>14276</v>
          </cell>
          <cell r="S39">
            <v>14276</v>
          </cell>
          <cell r="T39">
            <v>1534</v>
          </cell>
          <cell r="U39">
            <v>0</v>
          </cell>
          <cell r="V39">
            <v>1534</v>
          </cell>
          <cell r="W39">
            <v>4279</v>
          </cell>
          <cell r="X39">
            <v>146</v>
          </cell>
          <cell r="Y39">
            <v>5959</v>
          </cell>
          <cell r="Z39">
            <v>20236</v>
          </cell>
          <cell r="AA39">
            <v>3700</v>
          </cell>
          <cell r="AB39">
            <v>2844</v>
          </cell>
          <cell r="AC39">
            <v>856</v>
          </cell>
          <cell r="AD39">
            <v>23936</v>
          </cell>
          <cell r="AE39">
            <v>5498</v>
          </cell>
          <cell r="AF39">
            <v>12610</v>
          </cell>
          <cell r="AG39">
            <v>1548</v>
          </cell>
          <cell r="AH39">
            <v>400</v>
          </cell>
          <cell r="AI39">
            <v>0</v>
          </cell>
          <cell r="AJ39">
            <v>14559</v>
          </cell>
          <cell r="AK39">
            <v>20057</v>
          </cell>
          <cell r="AL39">
            <v>4080</v>
          </cell>
          <cell r="AM39">
            <v>0</v>
          </cell>
          <cell r="AN39">
            <v>4080</v>
          </cell>
          <cell r="AO39">
            <v>24137</v>
          </cell>
          <cell r="AP39">
            <v>7934</v>
          </cell>
          <cell r="AQ39">
            <v>1722</v>
          </cell>
          <cell r="AR39">
            <v>245</v>
          </cell>
          <cell r="AS39">
            <v>4118</v>
          </cell>
          <cell r="AT39">
            <v>0</v>
          </cell>
          <cell r="AU39">
            <v>14018</v>
          </cell>
          <cell r="AV39">
            <v>14018</v>
          </cell>
          <cell r="AW39">
            <v>1439</v>
          </cell>
          <cell r="AX39">
            <v>0</v>
          </cell>
          <cell r="AY39">
            <v>1439</v>
          </cell>
          <cell r="AZ39">
            <v>4252</v>
          </cell>
          <cell r="BA39">
            <v>149</v>
          </cell>
          <cell r="BB39">
            <v>5840</v>
          </cell>
          <cell r="BC39">
            <v>19857</v>
          </cell>
          <cell r="BD39">
            <v>4279</v>
          </cell>
          <cell r="BE39">
            <v>3423</v>
          </cell>
          <cell r="BF39">
            <v>856</v>
          </cell>
          <cell r="BG39">
            <v>24137</v>
          </cell>
          <cell r="BH39">
            <v>5498</v>
          </cell>
          <cell r="BI39">
            <v>12638</v>
          </cell>
          <cell r="BJ39">
            <v>2458</v>
          </cell>
          <cell r="BK39">
            <v>467</v>
          </cell>
          <cell r="BL39">
            <v>0</v>
          </cell>
          <cell r="BM39">
            <v>15563</v>
          </cell>
          <cell r="BN39">
            <v>21061</v>
          </cell>
          <cell r="BO39">
            <v>4080</v>
          </cell>
          <cell r="BP39">
            <v>0</v>
          </cell>
          <cell r="BQ39">
            <v>4080</v>
          </cell>
          <cell r="BR39">
            <v>25141</v>
          </cell>
          <cell r="BS39">
            <v>8002</v>
          </cell>
          <cell r="BT39">
            <v>2765</v>
          </cell>
          <cell r="BU39">
            <v>294</v>
          </cell>
          <cell r="BV39">
            <v>4118</v>
          </cell>
          <cell r="BW39">
            <v>0</v>
          </cell>
          <cell r="BX39">
            <v>15180</v>
          </cell>
          <cell r="BY39">
            <v>15180</v>
          </cell>
          <cell r="BZ39">
            <v>1251</v>
          </cell>
          <cell r="CA39">
            <v>0</v>
          </cell>
          <cell r="CB39">
            <v>1251</v>
          </cell>
          <cell r="CC39">
            <v>4232</v>
          </cell>
          <cell r="CD39">
            <v>140</v>
          </cell>
          <cell r="CE39">
            <v>5624</v>
          </cell>
          <cell r="CF39">
            <v>20803</v>
          </cell>
          <cell r="CG39">
            <v>4338</v>
          </cell>
          <cell r="CH39">
            <v>3482</v>
          </cell>
          <cell r="CI39">
            <v>856</v>
          </cell>
          <cell r="CJ39">
            <v>25141</v>
          </cell>
        </row>
        <row r="40">
          <cell r="A40">
            <v>35034</v>
          </cell>
          <cell r="B40">
            <v>5582</v>
          </cell>
          <cell r="C40">
            <v>12516</v>
          </cell>
          <cell r="D40">
            <v>1757</v>
          </cell>
          <cell r="E40">
            <v>154</v>
          </cell>
          <cell r="F40">
            <v>0</v>
          </cell>
          <cell r="G40">
            <v>14428</v>
          </cell>
          <cell r="H40">
            <v>20010</v>
          </cell>
          <cell r="I40">
            <v>4161</v>
          </cell>
          <cell r="J40">
            <v>0</v>
          </cell>
          <cell r="K40">
            <v>4161</v>
          </cell>
          <cell r="L40">
            <v>24171</v>
          </cell>
          <cell r="M40">
            <v>8006</v>
          </cell>
          <cell r="N40">
            <v>2067</v>
          </cell>
          <cell r="O40">
            <v>285</v>
          </cell>
          <cell r="P40">
            <v>4214</v>
          </cell>
          <cell r="Q40">
            <v>0</v>
          </cell>
          <cell r="R40">
            <v>14571</v>
          </cell>
          <cell r="S40">
            <v>14571</v>
          </cell>
          <cell r="T40">
            <v>1659</v>
          </cell>
          <cell r="U40">
            <v>0</v>
          </cell>
          <cell r="V40">
            <v>1659</v>
          </cell>
          <cell r="W40">
            <v>4322</v>
          </cell>
          <cell r="X40">
            <v>146</v>
          </cell>
          <cell r="Y40">
            <v>6126</v>
          </cell>
          <cell r="Z40">
            <v>20697</v>
          </cell>
          <cell r="AA40">
            <v>3474</v>
          </cell>
          <cell r="AB40">
            <v>2614</v>
          </cell>
          <cell r="AC40">
            <v>860</v>
          </cell>
          <cell r="AD40">
            <v>24171</v>
          </cell>
          <cell r="AE40">
            <v>5581</v>
          </cell>
          <cell r="AF40">
            <v>12633</v>
          </cell>
          <cell r="AG40">
            <v>1778</v>
          </cell>
          <cell r="AH40">
            <v>-10</v>
          </cell>
          <cell r="AI40">
            <v>0</v>
          </cell>
          <cell r="AJ40">
            <v>14401</v>
          </cell>
          <cell r="AK40">
            <v>19982</v>
          </cell>
          <cell r="AL40">
            <v>4160</v>
          </cell>
          <cell r="AM40">
            <v>0</v>
          </cell>
          <cell r="AN40">
            <v>4160</v>
          </cell>
          <cell r="AO40">
            <v>24142</v>
          </cell>
          <cell r="AP40">
            <v>8009</v>
          </cell>
          <cell r="AQ40">
            <v>2192</v>
          </cell>
          <cell r="AR40">
            <v>400</v>
          </cell>
          <cell r="AS40">
            <v>4221</v>
          </cell>
          <cell r="AT40">
            <v>0</v>
          </cell>
          <cell r="AU40">
            <v>14822</v>
          </cell>
          <cell r="AV40">
            <v>14822</v>
          </cell>
          <cell r="AW40">
            <v>1753</v>
          </cell>
          <cell r="AX40">
            <v>0</v>
          </cell>
          <cell r="AY40">
            <v>1753</v>
          </cell>
          <cell r="AZ40">
            <v>4339</v>
          </cell>
          <cell r="BA40">
            <v>148</v>
          </cell>
          <cell r="BB40">
            <v>6240</v>
          </cell>
          <cell r="BC40">
            <v>21062</v>
          </cell>
          <cell r="BD40">
            <v>3080</v>
          </cell>
          <cell r="BE40">
            <v>2220</v>
          </cell>
          <cell r="BF40">
            <v>860</v>
          </cell>
          <cell r="BG40">
            <v>24142</v>
          </cell>
          <cell r="BH40">
            <v>5581</v>
          </cell>
          <cell r="BI40">
            <v>12589</v>
          </cell>
          <cell r="BJ40">
            <v>718</v>
          </cell>
          <cell r="BK40">
            <v>7</v>
          </cell>
          <cell r="BL40">
            <v>0</v>
          </cell>
          <cell r="BM40">
            <v>13314</v>
          </cell>
          <cell r="BN40">
            <v>18895</v>
          </cell>
          <cell r="BO40">
            <v>4160</v>
          </cell>
          <cell r="BP40">
            <v>0</v>
          </cell>
          <cell r="BQ40">
            <v>4160</v>
          </cell>
          <cell r="BR40">
            <v>23055</v>
          </cell>
          <cell r="BS40">
            <v>7991</v>
          </cell>
          <cell r="BT40">
            <v>2087</v>
          </cell>
          <cell r="BU40">
            <v>530</v>
          </cell>
          <cell r="BV40">
            <v>4221</v>
          </cell>
          <cell r="BW40">
            <v>0</v>
          </cell>
          <cell r="BX40">
            <v>14830</v>
          </cell>
          <cell r="BY40">
            <v>14830</v>
          </cell>
          <cell r="BZ40">
            <v>2294</v>
          </cell>
          <cell r="CA40">
            <v>0</v>
          </cell>
          <cell r="CB40">
            <v>2294</v>
          </cell>
          <cell r="CC40">
            <v>4354</v>
          </cell>
          <cell r="CD40">
            <v>141</v>
          </cell>
          <cell r="CE40">
            <v>6789</v>
          </cell>
          <cell r="CF40">
            <v>21619</v>
          </cell>
          <cell r="CG40">
            <v>1436</v>
          </cell>
          <cell r="CH40">
            <v>576</v>
          </cell>
          <cell r="CI40">
            <v>860</v>
          </cell>
          <cell r="CJ40">
            <v>23055</v>
          </cell>
        </row>
        <row r="41">
          <cell r="A41">
            <v>35125</v>
          </cell>
          <cell r="B41">
            <v>5650</v>
          </cell>
          <cell r="C41">
            <v>12634</v>
          </cell>
          <cell r="D41">
            <v>2058</v>
          </cell>
          <cell r="E41">
            <v>-28</v>
          </cell>
          <cell r="F41">
            <v>0</v>
          </cell>
          <cell r="G41">
            <v>14664</v>
          </cell>
          <cell r="H41">
            <v>20315</v>
          </cell>
          <cell r="I41">
            <v>4265</v>
          </cell>
          <cell r="J41">
            <v>0</v>
          </cell>
          <cell r="K41">
            <v>4265</v>
          </cell>
          <cell r="L41">
            <v>24579</v>
          </cell>
          <cell r="M41">
            <v>8009</v>
          </cell>
          <cell r="N41">
            <v>2286</v>
          </cell>
          <cell r="O41">
            <v>244</v>
          </cell>
          <cell r="P41">
            <v>4222</v>
          </cell>
          <cell r="Q41">
            <v>0</v>
          </cell>
          <cell r="R41">
            <v>14760</v>
          </cell>
          <cell r="S41">
            <v>14760</v>
          </cell>
          <cell r="T41">
            <v>1749</v>
          </cell>
          <cell r="U41">
            <v>0</v>
          </cell>
          <cell r="V41">
            <v>1749</v>
          </cell>
          <cell r="W41">
            <v>4429</v>
          </cell>
          <cell r="X41">
            <v>148</v>
          </cell>
          <cell r="Y41">
            <v>6326</v>
          </cell>
          <cell r="Z41">
            <v>21086</v>
          </cell>
          <cell r="AA41">
            <v>3493</v>
          </cell>
          <cell r="AB41">
            <v>2633</v>
          </cell>
          <cell r="AC41">
            <v>861</v>
          </cell>
          <cell r="AD41">
            <v>24579</v>
          </cell>
          <cell r="AE41">
            <v>5655</v>
          </cell>
          <cell r="AF41">
            <v>12545</v>
          </cell>
          <cell r="AG41">
            <v>1959</v>
          </cell>
          <cell r="AH41">
            <v>125</v>
          </cell>
          <cell r="AI41">
            <v>0</v>
          </cell>
          <cell r="AJ41">
            <v>14630</v>
          </cell>
          <cell r="AK41">
            <v>20285</v>
          </cell>
          <cell r="AL41">
            <v>4261</v>
          </cell>
          <cell r="AM41">
            <v>0</v>
          </cell>
          <cell r="AN41">
            <v>4261</v>
          </cell>
          <cell r="AO41">
            <v>24546</v>
          </cell>
          <cell r="AP41">
            <v>8004</v>
          </cell>
          <cell r="AQ41">
            <v>2233</v>
          </cell>
          <cell r="AR41">
            <v>146</v>
          </cell>
          <cell r="AS41">
            <v>4236</v>
          </cell>
          <cell r="AT41">
            <v>0</v>
          </cell>
          <cell r="AU41">
            <v>14619</v>
          </cell>
          <cell r="AV41">
            <v>14619</v>
          </cell>
          <cell r="AW41">
            <v>1771</v>
          </cell>
          <cell r="AX41">
            <v>0</v>
          </cell>
          <cell r="AY41">
            <v>1771</v>
          </cell>
          <cell r="AZ41">
            <v>4404</v>
          </cell>
          <cell r="BA41">
            <v>144</v>
          </cell>
          <cell r="BB41">
            <v>6320</v>
          </cell>
          <cell r="BC41">
            <v>20939</v>
          </cell>
          <cell r="BD41">
            <v>3608</v>
          </cell>
          <cell r="BE41">
            <v>2747</v>
          </cell>
          <cell r="BF41">
            <v>861</v>
          </cell>
          <cell r="BG41">
            <v>24546</v>
          </cell>
          <cell r="BH41">
            <v>5655</v>
          </cell>
          <cell r="BI41">
            <v>12285</v>
          </cell>
          <cell r="BJ41">
            <v>2888</v>
          </cell>
          <cell r="BK41">
            <v>264</v>
          </cell>
          <cell r="BL41">
            <v>0</v>
          </cell>
          <cell r="BM41">
            <v>15437</v>
          </cell>
          <cell r="BN41">
            <v>21092</v>
          </cell>
          <cell r="BO41">
            <v>4261</v>
          </cell>
          <cell r="BP41">
            <v>0</v>
          </cell>
          <cell r="BQ41">
            <v>4261</v>
          </cell>
          <cell r="BR41">
            <v>25354</v>
          </cell>
          <cell r="BS41">
            <v>7972</v>
          </cell>
          <cell r="BT41">
            <v>1110</v>
          </cell>
          <cell r="BU41">
            <v>197</v>
          </cell>
          <cell r="BV41">
            <v>4236</v>
          </cell>
          <cell r="BW41">
            <v>0</v>
          </cell>
          <cell r="BX41">
            <v>13515</v>
          </cell>
          <cell r="BY41">
            <v>13515</v>
          </cell>
          <cell r="BZ41">
            <v>1466</v>
          </cell>
          <cell r="CA41">
            <v>0</v>
          </cell>
          <cell r="CB41">
            <v>1466</v>
          </cell>
          <cell r="CC41">
            <v>4424</v>
          </cell>
          <cell r="CD41">
            <v>150</v>
          </cell>
          <cell r="CE41">
            <v>6039</v>
          </cell>
          <cell r="CF41">
            <v>19555</v>
          </cell>
          <cell r="CG41">
            <v>5799</v>
          </cell>
          <cell r="CH41">
            <v>4938</v>
          </cell>
          <cell r="CI41">
            <v>861</v>
          </cell>
          <cell r="CJ41">
            <v>25354</v>
          </cell>
        </row>
        <row r="42">
          <cell r="A42">
            <v>35217</v>
          </cell>
          <cell r="B42">
            <v>5706</v>
          </cell>
          <cell r="C42">
            <v>12484</v>
          </cell>
          <cell r="D42">
            <v>2106</v>
          </cell>
          <cell r="E42">
            <v>-31</v>
          </cell>
          <cell r="F42">
            <v>0</v>
          </cell>
          <cell r="G42">
            <v>14559</v>
          </cell>
          <cell r="H42">
            <v>20265</v>
          </cell>
          <cell r="I42">
            <v>4397</v>
          </cell>
          <cell r="J42">
            <v>0</v>
          </cell>
          <cell r="K42">
            <v>4397</v>
          </cell>
          <cell r="L42">
            <v>24662</v>
          </cell>
          <cell r="M42">
            <v>8040</v>
          </cell>
          <cell r="N42">
            <v>2417</v>
          </cell>
          <cell r="O42">
            <v>216</v>
          </cell>
          <cell r="P42">
            <v>4127</v>
          </cell>
          <cell r="Q42">
            <v>0</v>
          </cell>
          <cell r="R42">
            <v>14801</v>
          </cell>
          <cell r="S42">
            <v>14801</v>
          </cell>
          <cell r="T42">
            <v>1796</v>
          </cell>
          <cell r="U42">
            <v>0</v>
          </cell>
          <cell r="V42">
            <v>1796</v>
          </cell>
          <cell r="W42">
            <v>4610</v>
          </cell>
          <cell r="X42">
            <v>150</v>
          </cell>
          <cell r="Y42">
            <v>6556</v>
          </cell>
          <cell r="Z42">
            <v>21357</v>
          </cell>
          <cell r="AA42">
            <v>3305</v>
          </cell>
          <cell r="AB42">
            <v>2449</v>
          </cell>
          <cell r="AC42">
            <v>856</v>
          </cell>
          <cell r="AD42">
            <v>24662</v>
          </cell>
          <cell r="AE42">
            <v>5721</v>
          </cell>
          <cell r="AF42">
            <v>12577</v>
          </cell>
          <cell r="AG42">
            <v>2315</v>
          </cell>
          <cell r="AH42">
            <v>-237</v>
          </cell>
          <cell r="AI42">
            <v>0</v>
          </cell>
          <cell r="AJ42">
            <v>14655</v>
          </cell>
          <cell r="AK42">
            <v>20376</v>
          </cell>
          <cell r="AL42">
            <v>4384</v>
          </cell>
          <cell r="AM42">
            <v>0</v>
          </cell>
          <cell r="AN42">
            <v>4384</v>
          </cell>
          <cell r="AO42">
            <v>24760</v>
          </cell>
          <cell r="AP42">
            <v>8035</v>
          </cell>
          <cell r="AQ42">
            <v>2504</v>
          </cell>
          <cell r="AR42">
            <v>185</v>
          </cell>
          <cell r="AS42">
            <v>4161</v>
          </cell>
          <cell r="AT42">
            <v>0</v>
          </cell>
          <cell r="AU42">
            <v>14885</v>
          </cell>
          <cell r="AV42">
            <v>14885</v>
          </cell>
          <cell r="AW42">
            <v>1656</v>
          </cell>
          <cell r="AX42">
            <v>0</v>
          </cell>
          <cell r="AY42">
            <v>1656</v>
          </cell>
          <cell r="AZ42">
            <v>4565</v>
          </cell>
          <cell r="BA42">
            <v>150</v>
          </cell>
          <cell r="BB42">
            <v>6371</v>
          </cell>
          <cell r="BC42">
            <v>21256</v>
          </cell>
          <cell r="BD42">
            <v>3505</v>
          </cell>
          <cell r="BE42">
            <v>2644</v>
          </cell>
          <cell r="BF42">
            <v>860</v>
          </cell>
          <cell r="BG42">
            <v>24760</v>
          </cell>
          <cell r="BH42">
            <v>5721</v>
          </cell>
          <cell r="BI42">
            <v>12918</v>
          </cell>
          <cell r="BJ42">
            <v>1360</v>
          </cell>
          <cell r="BK42">
            <v>-473</v>
          </cell>
          <cell r="BL42">
            <v>0</v>
          </cell>
          <cell r="BM42">
            <v>13805</v>
          </cell>
          <cell r="BN42">
            <v>19526</v>
          </cell>
          <cell r="BO42">
            <v>4384</v>
          </cell>
          <cell r="BP42">
            <v>0</v>
          </cell>
          <cell r="BQ42">
            <v>4384</v>
          </cell>
          <cell r="BR42">
            <v>23910</v>
          </cell>
          <cell r="BS42">
            <v>8005</v>
          </cell>
          <cell r="BT42">
            <v>2289</v>
          </cell>
          <cell r="BU42">
            <v>-40</v>
          </cell>
          <cell r="BV42">
            <v>4161</v>
          </cell>
          <cell r="BW42">
            <v>0</v>
          </cell>
          <cell r="BX42">
            <v>14416</v>
          </cell>
          <cell r="BY42">
            <v>14416</v>
          </cell>
          <cell r="BZ42">
            <v>1609</v>
          </cell>
          <cell r="CA42">
            <v>0</v>
          </cell>
          <cell r="CB42">
            <v>1609</v>
          </cell>
          <cell r="CC42">
            <v>4546</v>
          </cell>
          <cell r="CD42">
            <v>161</v>
          </cell>
          <cell r="CE42">
            <v>6316</v>
          </cell>
          <cell r="CF42">
            <v>20731</v>
          </cell>
          <cell r="CG42">
            <v>3179</v>
          </cell>
          <cell r="CH42">
            <v>2319</v>
          </cell>
          <cell r="CI42">
            <v>860</v>
          </cell>
          <cell r="CJ42">
            <v>23910</v>
          </cell>
        </row>
        <row r="43">
          <cell r="A43">
            <v>35309</v>
          </cell>
          <cell r="B43">
            <v>5750</v>
          </cell>
          <cell r="C43">
            <v>12267</v>
          </cell>
          <cell r="D43">
            <v>2041</v>
          </cell>
          <cell r="E43">
            <v>52</v>
          </cell>
          <cell r="F43">
            <v>0</v>
          </cell>
          <cell r="G43">
            <v>14361</v>
          </cell>
          <cell r="H43">
            <v>20111</v>
          </cell>
          <cell r="I43">
            <v>4541</v>
          </cell>
          <cell r="J43">
            <v>0</v>
          </cell>
          <cell r="K43">
            <v>4541</v>
          </cell>
          <cell r="L43">
            <v>24652</v>
          </cell>
          <cell r="M43">
            <v>8018</v>
          </cell>
          <cell r="N43">
            <v>2438</v>
          </cell>
          <cell r="O43">
            <v>189</v>
          </cell>
          <cell r="P43">
            <v>3986</v>
          </cell>
          <cell r="Q43">
            <v>0</v>
          </cell>
          <cell r="R43">
            <v>14631</v>
          </cell>
          <cell r="S43">
            <v>14631</v>
          </cell>
          <cell r="T43">
            <v>1804</v>
          </cell>
          <cell r="U43">
            <v>0</v>
          </cell>
          <cell r="V43">
            <v>1804</v>
          </cell>
          <cell r="W43">
            <v>4786</v>
          </cell>
          <cell r="X43">
            <v>151</v>
          </cell>
          <cell r="Y43">
            <v>6741</v>
          </cell>
          <cell r="Z43">
            <v>21372</v>
          </cell>
          <cell r="AA43">
            <v>3280</v>
          </cell>
          <cell r="AB43">
            <v>2432</v>
          </cell>
          <cell r="AC43">
            <v>848</v>
          </cell>
          <cell r="AD43">
            <v>24652</v>
          </cell>
          <cell r="AE43">
            <v>5740</v>
          </cell>
          <cell r="AF43">
            <v>12293</v>
          </cell>
          <cell r="AG43">
            <v>1946</v>
          </cell>
          <cell r="AH43">
            <v>169</v>
          </cell>
          <cell r="AI43">
            <v>0</v>
          </cell>
          <cell r="AJ43">
            <v>14408</v>
          </cell>
          <cell r="AK43">
            <v>20148</v>
          </cell>
          <cell r="AL43">
            <v>4553</v>
          </cell>
          <cell r="AM43">
            <v>0</v>
          </cell>
          <cell r="AN43">
            <v>4553</v>
          </cell>
          <cell r="AO43">
            <v>24701</v>
          </cell>
          <cell r="AP43">
            <v>8027</v>
          </cell>
          <cell r="AQ43">
            <v>2297</v>
          </cell>
          <cell r="AR43">
            <v>266</v>
          </cell>
          <cell r="AS43">
            <v>3945</v>
          </cell>
          <cell r="AT43">
            <v>0</v>
          </cell>
          <cell r="AU43">
            <v>14535</v>
          </cell>
          <cell r="AV43">
            <v>14535</v>
          </cell>
          <cell r="AW43">
            <v>1977</v>
          </cell>
          <cell r="AX43">
            <v>0</v>
          </cell>
          <cell r="AY43">
            <v>1977</v>
          </cell>
          <cell r="AZ43">
            <v>4857</v>
          </cell>
          <cell r="BA43">
            <v>156</v>
          </cell>
          <cell r="BB43">
            <v>6990</v>
          </cell>
          <cell r="BC43">
            <v>21525</v>
          </cell>
          <cell r="BD43">
            <v>3176</v>
          </cell>
          <cell r="BE43">
            <v>2331</v>
          </cell>
          <cell r="BF43">
            <v>845</v>
          </cell>
          <cell r="BG43">
            <v>24701</v>
          </cell>
          <cell r="BH43">
            <v>5740</v>
          </cell>
          <cell r="BI43">
            <v>12275</v>
          </cell>
          <cell r="BJ43">
            <v>3039</v>
          </cell>
          <cell r="BK43">
            <v>245</v>
          </cell>
          <cell r="BL43">
            <v>0</v>
          </cell>
          <cell r="BM43">
            <v>15560</v>
          </cell>
          <cell r="BN43">
            <v>21300</v>
          </cell>
          <cell r="BO43">
            <v>4553</v>
          </cell>
          <cell r="BP43">
            <v>0</v>
          </cell>
          <cell r="BQ43">
            <v>4553</v>
          </cell>
          <cell r="BR43">
            <v>25853</v>
          </cell>
          <cell r="BS43">
            <v>8101</v>
          </cell>
          <cell r="BT43">
            <v>3698</v>
          </cell>
          <cell r="BU43">
            <v>292</v>
          </cell>
          <cell r="BV43">
            <v>3945</v>
          </cell>
          <cell r="BW43">
            <v>0</v>
          </cell>
          <cell r="BX43">
            <v>16037</v>
          </cell>
          <cell r="BY43">
            <v>16037</v>
          </cell>
          <cell r="BZ43">
            <v>1826</v>
          </cell>
          <cell r="CA43">
            <v>0</v>
          </cell>
          <cell r="CB43">
            <v>1826</v>
          </cell>
          <cell r="CC43">
            <v>4838</v>
          </cell>
          <cell r="CD43">
            <v>146</v>
          </cell>
          <cell r="CE43">
            <v>6810</v>
          </cell>
          <cell r="CF43">
            <v>22847</v>
          </cell>
          <cell r="CG43">
            <v>3006</v>
          </cell>
          <cell r="CH43">
            <v>2161</v>
          </cell>
          <cell r="CI43">
            <v>845</v>
          </cell>
          <cell r="CJ43">
            <v>25853</v>
          </cell>
        </row>
        <row r="44">
          <cell r="A44">
            <v>35400</v>
          </cell>
          <cell r="B44">
            <v>5809</v>
          </cell>
          <cell r="C44">
            <v>12073</v>
          </cell>
          <cell r="D44">
            <v>1855</v>
          </cell>
          <cell r="E44">
            <v>201</v>
          </cell>
          <cell r="F44">
            <v>0</v>
          </cell>
          <cell r="G44">
            <v>14129</v>
          </cell>
          <cell r="H44">
            <v>19938</v>
          </cell>
          <cell r="I44">
            <v>4672</v>
          </cell>
          <cell r="J44">
            <v>0</v>
          </cell>
          <cell r="K44">
            <v>4672</v>
          </cell>
          <cell r="L44">
            <v>24610</v>
          </cell>
          <cell r="M44">
            <v>7918</v>
          </cell>
          <cell r="N44">
            <v>2389</v>
          </cell>
          <cell r="O44">
            <v>112</v>
          </cell>
          <cell r="P44">
            <v>3878</v>
          </cell>
          <cell r="Q44">
            <v>0</v>
          </cell>
          <cell r="R44">
            <v>14296</v>
          </cell>
          <cell r="S44">
            <v>14296</v>
          </cell>
          <cell r="T44">
            <v>1785</v>
          </cell>
          <cell r="U44">
            <v>0</v>
          </cell>
          <cell r="V44">
            <v>1785</v>
          </cell>
          <cell r="W44">
            <v>4892</v>
          </cell>
          <cell r="X44">
            <v>154</v>
          </cell>
          <cell r="Y44">
            <v>6831</v>
          </cell>
          <cell r="Z44">
            <v>21127</v>
          </cell>
          <cell r="AA44">
            <v>3483</v>
          </cell>
          <cell r="AB44">
            <v>2637</v>
          </cell>
          <cell r="AC44">
            <v>845</v>
          </cell>
          <cell r="AD44">
            <v>24610</v>
          </cell>
          <cell r="AE44">
            <v>5805</v>
          </cell>
          <cell r="AF44">
            <v>11870</v>
          </cell>
          <cell r="AG44">
            <v>1765</v>
          </cell>
          <cell r="AH44">
            <v>255</v>
          </cell>
          <cell r="AI44">
            <v>0</v>
          </cell>
          <cell r="AJ44">
            <v>13889</v>
          </cell>
          <cell r="AK44">
            <v>19694</v>
          </cell>
          <cell r="AL44">
            <v>4676</v>
          </cell>
          <cell r="AM44">
            <v>0</v>
          </cell>
          <cell r="AN44">
            <v>4676</v>
          </cell>
          <cell r="AO44">
            <v>24370</v>
          </cell>
          <cell r="AP44">
            <v>7940</v>
          </cell>
          <cell r="AQ44">
            <v>2604</v>
          </cell>
          <cell r="AR44">
            <v>122</v>
          </cell>
          <cell r="AS44">
            <v>3871</v>
          </cell>
          <cell r="AT44">
            <v>0</v>
          </cell>
          <cell r="AU44">
            <v>14536</v>
          </cell>
          <cell r="AV44">
            <v>14536</v>
          </cell>
          <cell r="AW44">
            <v>1714</v>
          </cell>
          <cell r="AX44">
            <v>0</v>
          </cell>
          <cell r="AY44">
            <v>1714</v>
          </cell>
          <cell r="AZ44">
            <v>4891</v>
          </cell>
          <cell r="BA44">
            <v>149</v>
          </cell>
          <cell r="BB44">
            <v>6755</v>
          </cell>
          <cell r="BC44">
            <v>21291</v>
          </cell>
          <cell r="BD44">
            <v>3079</v>
          </cell>
          <cell r="BE44">
            <v>2235</v>
          </cell>
          <cell r="BF44">
            <v>844</v>
          </cell>
          <cell r="BG44">
            <v>24370</v>
          </cell>
          <cell r="BH44">
            <v>5805</v>
          </cell>
          <cell r="BI44">
            <v>11748</v>
          </cell>
          <cell r="BJ44">
            <v>715</v>
          </cell>
          <cell r="BK44">
            <v>246</v>
          </cell>
          <cell r="BL44">
            <v>0</v>
          </cell>
          <cell r="BM44">
            <v>12709</v>
          </cell>
          <cell r="BN44">
            <v>18514</v>
          </cell>
          <cell r="BO44">
            <v>4676</v>
          </cell>
          <cell r="BP44">
            <v>0</v>
          </cell>
          <cell r="BQ44">
            <v>4676</v>
          </cell>
          <cell r="BR44">
            <v>23190</v>
          </cell>
          <cell r="BS44">
            <v>7937</v>
          </cell>
          <cell r="BT44">
            <v>2652</v>
          </cell>
          <cell r="BU44">
            <v>248</v>
          </cell>
          <cell r="BV44">
            <v>3871</v>
          </cell>
          <cell r="BW44">
            <v>0</v>
          </cell>
          <cell r="BX44">
            <v>14707</v>
          </cell>
          <cell r="BY44">
            <v>14707</v>
          </cell>
          <cell r="BZ44">
            <v>2166</v>
          </cell>
          <cell r="CA44">
            <v>0</v>
          </cell>
          <cell r="CB44">
            <v>2166</v>
          </cell>
          <cell r="CC44">
            <v>4911</v>
          </cell>
          <cell r="CD44">
            <v>141</v>
          </cell>
          <cell r="CE44">
            <v>7219</v>
          </cell>
          <cell r="CF44">
            <v>21926</v>
          </cell>
          <cell r="CG44">
            <v>1264</v>
          </cell>
          <cell r="CH44">
            <v>420</v>
          </cell>
          <cell r="CI44">
            <v>844</v>
          </cell>
          <cell r="CJ44">
            <v>23190</v>
          </cell>
        </row>
        <row r="45">
          <cell r="A45">
            <v>35490</v>
          </cell>
          <cell r="B45">
            <v>5912</v>
          </cell>
          <cell r="C45">
            <v>11795</v>
          </cell>
          <cell r="D45">
            <v>1687</v>
          </cell>
          <cell r="E45">
            <v>407</v>
          </cell>
          <cell r="F45">
            <v>0</v>
          </cell>
          <cell r="G45">
            <v>13889</v>
          </cell>
          <cell r="H45">
            <v>19801</v>
          </cell>
          <cell r="I45">
            <v>4772</v>
          </cell>
          <cell r="J45">
            <v>0</v>
          </cell>
          <cell r="K45">
            <v>4772</v>
          </cell>
          <cell r="L45">
            <v>24572</v>
          </cell>
          <cell r="M45">
            <v>7738</v>
          </cell>
          <cell r="N45">
            <v>2325</v>
          </cell>
          <cell r="O45">
            <v>17</v>
          </cell>
          <cell r="P45">
            <v>3843</v>
          </cell>
          <cell r="Q45">
            <v>0</v>
          </cell>
          <cell r="R45">
            <v>13924</v>
          </cell>
          <cell r="S45">
            <v>13924</v>
          </cell>
          <cell r="T45">
            <v>1833</v>
          </cell>
          <cell r="U45">
            <v>0</v>
          </cell>
          <cell r="V45">
            <v>1833</v>
          </cell>
          <cell r="W45">
            <v>4890</v>
          </cell>
          <cell r="X45">
            <v>156</v>
          </cell>
          <cell r="Y45">
            <v>6879</v>
          </cell>
          <cell r="Z45">
            <v>20803</v>
          </cell>
          <cell r="AA45">
            <v>3769</v>
          </cell>
          <cell r="AB45">
            <v>2913</v>
          </cell>
          <cell r="AC45">
            <v>856</v>
          </cell>
          <cell r="AD45">
            <v>24572</v>
          </cell>
          <cell r="AE45">
            <v>5908</v>
          </cell>
          <cell r="AF45">
            <v>11900</v>
          </cell>
          <cell r="AG45">
            <v>1921</v>
          </cell>
          <cell r="AH45">
            <v>185</v>
          </cell>
          <cell r="AI45">
            <v>0</v>
          </cell>
          <cell r="AJ45">
            <v>14005</v>
          </cell>
          <cell r="AK45">
            <v>19913</v>
          </cell>
          <cell r="AL45">
            <v>4773</v>
          </cell>
          <cell r="AM45">
            <v>0</v>
          </cell>
          <cell r="AN45">
            <v>4773</v>
          </cell>
          <cell r="AO45">
            <v>24686</v>
          </cell>
          <cell r="AP45">
            <v>7726</v>
          </cell>
          <cell r="AQ45">
            <v>2159</v>
          </cell>
          <cell r="AR45">
            <v>-30</v>
          </cell>
          <cell r="AS45">
            <v>3842</v>
          </cell>
          <cell r="AT45">
            <v>0</v>
          </cell>
          <cell r="AU45">
            <v>13697</v>
          </cell>
          <cell r="AV45">
            <v>13697</v>
          </cell>
          <cell r="AW45">
            <v>1819</v>
          </cell>
          <cell r="AX45">
            <v>0</v>
          </cell>
          <cell r="AY45">
            <v>1819</v>
          </cell>
          <cell r="AZ45">
            <v>4869</v>
          </cell>
          <cell r="BA45">
            <v>152</v>
          </cell>
          <cell r="BB45">
            <v>6841</v>
          </cell>
          <cell r="BC45">
            <v>20537</v>
          </cell>
          <cell r="BD45">
            <v>4149</v>
          </cell>
          <cell r="BE45">
            <v>3294</v>
          </cell>
          <cell r="BF45">
            <v>855</v>
          </cell>
          <cell r="BG45">
            <v>24686</v>
          </cell>
          <cell r="BH45">
            <v>5908</v>
          </cell>
          <cell r="BI45">
            <v>11730</v>
          </cell>
          <cell r="BJ45">
            <v>2812</v>
          </cell>
          <cell r="BK45">
            <v>416</v>
          </cell>
          <cell r="BL45">
            <v>0</v>
          </cell>
          <cell r="BM45">
            <v>14958</v>
          </cell>
          <cell r="BN45">
            <v>20866</v>
          </cell>
          <cell r="BO45">
            <v>4773</v>
          </cell>
          <cell r="BP45">
            <v>0</v>
          </cell>
          <cell r="BQ45">
            <v>4773</v>
          </cell>
          <cell r="BR45">
            <v>25639</v>
          </cell>
          <cell r="BS45">
            <v>7693</v>
          </cell>
          <cell r="BT45">
            <v>1243</v>
          </cell>
          <cell r="BU45">
            <v>75</v>
          </cell>
          <cell r="BV45">
            <v>3842</v>
          </cell>
          <cell r="BW45">
            <v>0</v>
          </cell>
          <cell r="BX45">
            <v>12853</v>
          </cell>
          <cell r="BY45">
            <v>12853</v>
          </cell>
          <cell r="BZ45">
            <v>1543</v>
          </cell>
          <cell r="CA45">
            <v>0</v>
          </cell>
          <cell r="CB45">
            <v>1543</v>
          </cell>
          <cell r="CC45">
            <v>4891</v>
          </cell>
          <cell r="CD45">
            <v>158</v>
          </cell>
          <cell r="CE45">
            <v>6592</v>
          </cell>
          <cell r="CF45">
            <v>19445</v>
          </cell>
          <cell r="CG45">
            <v>6194</v>
          </cell>
          <cell r="CH45">
            <v>5340</v>
          </cell>
          <cell r="CI45">
            <v>855</v>
          </cell>
          <cell r="CJ45">
            <v>25639</v>
          </cell>
        </row>
        <row r="46">
          <cell r="A46">
            <v>35582</v>
          </cell>
          <cell r="B46">
            <v>6059</v>
          </cell>
          <cell r="C46">
            <v>11284</v>
          </cell>
          <cell r="D46">
            <v>1717</v>
          </cell>
          <cell r="E46">
            <v>501</v>
          </cell>
          <cell r="F46">
            <v>0</v>
          </cell>
          <cell r="G46">
            <v>13502</v>
          </cell>
          <cell r="H46">
            <v>19561</v>
          </cell>
          <cell r="I46">
            <v>4847</v>
          </cell>
          <cell r="J46">
            <v>0</v>
          </cell>
          <cell r="K46">
            <v>4847</v>
          </cell>
          <cell r="L46">
            <v>24408</v>
          </cell>
          <cell r="M46">
            <v>7492</v>
          </cell>
          <cell r="N46">
            <v>2356</v>
          </cell>
          <cell r="O46">
            <v>-35</v>
          </cell>
          <cell r="P46">
            <v>3860</v>
          </cell>
          <cell r="Q46">
            <v>0</v>
          </cell>
          <cell r="R46">
            <v>13672</v>
          </cell>
          <cell r="S46">
            <v>13672</v>
          </cell>
          <cell r="T46">
            <v>1992</v>
          </cell>
          <cell r="U46">
            <v>0</v>
          </cell>
          <cell r="V46">
            <v>1992</v>
          </cell>
          <cell r="W46">
            <v>4817</v>
          </cell>
          <cell r="X46">
            <v>153</v>
          </cell>
          <cell r="Y46">
            <v>6962</v>
          </cell>
          <cell r="Z46">
            <v>20634</v>
          </cell>
          <cell r="AA46">
            <v>3773</v>
          </cell>
          <cell r="AB46">
            <v>2893</v>
          </cell>
          <cell r="AC46">
            <v>880</v>
          </cell>
          <cell r="AD46">
            <v>24408</v>
          </cell>
          <cell r="AE46">
            <v>6048</v>
          </cell>
          <cell r="AF46">
            <v>11552</v>
          </cell>
          <cell r="AG46">
            <v>1417</v>
          </cell>
          <cell r="AH46">
            <v>707</v>
          </cell>
          <cell r="AI46">
            <v>0</v>
          </cell>
          <cell r="AJ46">
            <v>13675</v>
          </cell>
          <cell r="AK46">
            <v>19723</v>
          </cell>
          <cell r="AL46">
            <v>4846</v>
          </cell>
          <cell r="AM46">
            <v>0</v>
          </cell>
          <cell r="AN46">
            <v>4846</v>
          </cell>
          <cell r="AO46">
            <v>24569</v>
          </cell>
          <cell r="AP46">
            <v>7481</v>
          </cell>
          <cell r="AQ46">
            <v>2365</v>
          </cell>
          <cell r="AR46">
            <v>-96</v>
          </cell>
          <cell r="AS46">
            <v>3863</v>
          </cell>
          <cell r="AT46">
            <v>0</v>
          </cell>
          <cell r="AU46">
            <v>13612</v>
          </cell>
          <cell r="AV46">
            <v>13612</v>
          </cell>
          <cell r="AW46">
            <v>1866</v>
          </cell>
          <cell r="AX46">
            <v>0</v>
          </cell>
          <cell r="AY46">
            <v>1866</v>
          </cell>
          <cell r="AZ46">
            <v>4853</v>
          </cell>
          <cell r="BA46">
            <v>169</v>
          </cell>
          <cell r="BB46">
            <v>6888</v>
          </cell>
          <cell r="BC46">
            <v>20500</v>
          </cell>
          <cell r="BD46">
            <v>4068</v>
          </cell>
          <cell r="BE46">
            <v>3191</v>
          </cell>
          <cell r="BF46">
            <v>878</v>
          </cell>
          <cell r="BG46">
            <v>24569</v>
          </cell>
          <cell r="BH46">
            <v>6048</v>
          </cell>
          <cell r="BI46">
            <v>11871</v>
          </cell>
          <cell r="BJ46">
            <v>875</v>
          </cell>
          <cell r="BK46">
            <v>392</v>
          </cell>
          <cell r="BL46">
            <v>0</v>
          </cell>
          <cell r="BM46">
            <v>13139</v>
          </cell>
          <cell r="BN46">
            <v>19187</v>
          </cell>
          <cell r="BO46">
            <v>4846</v>
          </cell>
          <cell r="BP46">
            <v>0</v>
          </cell>
          <cell r="BQ46">
            <v>4846</v>
          </cell>
          <cell r="BR46">
            <v>24032</v>
          </cell>
          <cell r="BS46">
            <v>7433</v>
          </cell>
          <cell r="BT46">
            <v>2257</v>
          </cell>
          <cell r="BU46">
            <v>-331</v>
          </cell>
          <cell r="BV46">
            <v>3863</v>
          </cell>
          <cell r="BW46">
            <v>0</v>
          </cell>
          <cell r="BX46">
            <v>13221</v>
          </cell>
          <cell r="BY46">
            <v>13221</v>
          </cell>
          <cell r="BZ46">
            <v>1763</v>
          </cell>
          <cell r="CA46">
            <v>0</v>
          </cell>
          <cell r="CB46">
            <v>1763</v>
          </cell>
          <cell r="CC46">
            <v>4830</v>
          </cell>
          <cell r="CD46">
            <v>184</v>
          </cell>
          <cell r="CE46">
            <v>6776</v>
          </cell>
          <cell r="CF46">
            <v>19997</v>
          </cell>
          <cell r="CG46">
            <v>4035</v>
          </cell>
          <cell r="CH46">
            <v>3158</v>
          </cell>
          <cell r="CI46">
            <v>878</v>
          </cell>
          <cell r="CJ46">
            <v>24032</v>
          </cell>
        </row>
        <row r="47">
          <cell r="A47">
            <v>35674</v>
          </cell>
          <cell r="B47">
            <v>6223</v>
          </cell>
          <cell r="C47">
            <v>10559</v>
          </cell>
          <cell r="D47">
            <v>1806</v>
          </cell>
          <cell r="E47">
            <v>408</v>
          </cell>
          <cell r="F47">
            <v>0</v>
          </cell>
          <cell r="G47">
            <v>12774</v>
          </cell>
          <cell r="H47">
            <v>18996</v>
          </cell>
          <cell r="I47">
            <v>4915</v>
          </cell>
          <cell r="J47">
            <v>0</v>
          </cell>
          <cell r="K47">
            <v>4915</v>
          </cell>
          <cell r="L47">
            <v>23911</v>
          </cell>
          <cell r="M47">
            <v>7179</v>
          </cell>
          <cell r="N47">
            <v>2533</v>
          </cell>
          <cell r="O47">
            <v>-70</v>
          </cell>
          <cell r="P47">
            <v>3887</v>
          </cell>
          <cell r="Q47">
            <v>0</v>
          </cell>
          <cell r="R47">
            <v>13529</v>
          </cell>
          <cell r="S47">
            <v>13529</v>
          </cell>
          <cell r="T47">
            <v>2157</v>
          </cell>
          <cell r="U47">
            <v>0</v>
          </cell>
          <cell r="V47">
            <v>2157</v>
          </cell>
          <cell r="W47">
            <v>4760</v>
          </cell>
          <cell r="X47">
            <v>149</v>
          </cell>
          <cell r="Y47">
            <v>7066</v>
          </cell>
          <cell r="Z47">
            <v>20595</v>
          </cell>
          <cell r="AA47">
            <v>3316</v>
          </cell>
          <cell r="AB47">
            <v>2406</v>
          </cell>
          <cell r="AC47">
            <v>910</v>
          </cell>
          <cell r="AD47">
            <v>23911</v>
          </cell>
          <cell r="AE47">
            <v>6238</v>
          </cell>
          <cell r="AF47">
            <v>10386</v>
          </cell>
          <cell r="AG47">
            <v>1925</v>
          </cell>
          <cell r="AH47">
            <v>483</v>
          </cell>
          <cell r="AI47">
            <v>0</v>
          </cell>
          <cell r="AJ47">
            <v>12794</v>
          </cell>
          <cell r="AK47">
            <v>19032</v>
          </cell>
          <cell r="AL47">
            <v>4909</v>
          </cell>
          <cell r="AM47">
            <v>0</v>
          </cell>
          <cell r="AN47">
            <v>4909</v>
          </cell>
          <cell r="AO47">
            <v>23940</v>
          </cell>
          <cell r="AP47">
            <v>7245</v>
          </cell>
          <cell r="AQ47">
            <v>2540</v>
          </cell>
          <cell r="AR47">
            <v>82</v>
          </cell>
          <cell r="AS47">
            <v>3898</v>
          </cell>
          <cell r="AT47">
            <v>0</v>
          </cell>
          <cell r="AU47">
            <v>13764</v>
          </cell>
          <cell r="AV47">
            <v>13764</v>
          </cell>
          <cell r="AW47">
            <v>2383</v>
          </cell>
          <cell r="AX47">
            <v>0</v>
          </cell>
          <cell r="AY47">
            <v>2383</v>
          </cell>
          <cell r="AZ47">
            <v>4728</v>
          </cell>
          <cell r="BA47">
            <v>136</v>
          </cell>
          <cell r="BB47">
            <v>7248</v>
          </cell>
          <cell r="BC47">
            <v>21012</v>
          </cell>
          <cell r="BD47">
            <v>2928</v>
          </cell>
          <cell r="BE47">
            <v>2014</v>
          </cell>
          <cell r="BF47">
            <v>914</v>
          </cell>
          <cell r="BG47">
            <v>23940</v>
          </cell>
          <cell r="BH47">
            <v>6238</v>
          </cell>
          <cell r="BI47">
            <v>10350</v>
          </cell>
          <cell r="BJ47">
            <v>2956</v>
          </cell>
          <cell r="BK47">
            <v>549</v>
          </cell>
          <cell r="BL47">
            <v>0</v>
          </cell>
          <cell r="BM47">
            <v>13856</v>
          </cell>
          <cell r="BN47">
            <v>20094</v>
          </cell>
          <cell r="BO47">
            <v>4909</v>
          </cell>
          <cell r="BP47">
            <v>0</v>
          </cell>
          <cell r="BQ47">
            <v>4909</v>
          </cell>
          <cell r="BR47">
            <v>25002</v>
          </cell>
          <cell r="BS47">
            <v>7318</v>
          </cell>
          <cell r="BT47">
            <v>3570</v>
          </cell>
          <cell r="BU47">
            <v>66</v>
          </cell>
          <cell r="BV47">
            <v>3898</v>
          </cell>
          <cell r="BW47">
            <v>0</v>
          </cell>
          <cell r="BX47">
            <v>14852</v>
          </cell>
          <cell r="BY47">
            <v>14852</v>
          </cell>
          <cell r="BZ47">
            <v>2317</v>
          </cell>
          <cell r="CA47">
            <v>0</v>
          </cell>
          <cell r="CB47">
            <v>2317</v>
          </cell>
          <cell r="CC47">
            <v>4710</v>
          </cell>
          <cell r="CD47">
            <v>126</v>
          </cell>
          <cell r="CE47">
            <v>7153</v>
          </cell>
          <cell r="CF47">
            <v>22005</v>
          </cell>
          <cell r="CG47">
            <v>2998</v>
          </cell>
          <cell r="CH47">
            <v>2084</v>
          </cell>
          <cell r="CI47">
            <v>914</v>
          </cell>
          <cell r="CJ47">
            <v>25002</v>
          </cell>
        </row>
        <row r="48">
          <cell r="A48">
            <v>35765</v>
          </cell>
          <cell r="B48">
            <v>6378</v>
          </cell>
          <cell r="C48">
            <v>10152</v>
          </cell>
          <cell r="D48">
            <v>2095</v>
          </cell>
          <cell r="E48">
            <v>194</v>
          </cell>
          <cell r="F48">
            <v>0</v>
          </cell>
          <cell r="G48">
            <v>12441</v>
          </cell>
          <cell r="H48">
            <v>18819</v>
          </cell>
          <cell r="I48">
            <v>4979</v>
          </cell>
          <cell r="J48">
            <v>0</v>
          </cell>
          <cell r="K48">
            <v>4979</v>
          </cell>
          <cell r="L48">
            <v>23799</v>
          </cell>
          <cell r="M48">
            <v>6900</v>
          </cell>
          <cell r="N48">
            <v>2775</v>
          </cell>
          <cell r="O48">
            <v>-131</v>
          </cell>
          <cell r="P48">
            <v>3927</v>
          </cell>
          <cell r="Q48">
            <v>0</v>
          </cell>
          <cell r="R48">
            <v>13471</v>
          </cell>
          <cell r="S48">
            <v>13471</v>
          </cell>
          <cell r="T48">
            <v>2214</v>
          </cell>
          <cell r="U48">
            <v>0</v>
          </cell>
          <cell r="V48">
            <v>2214</v>
          </cell>
          <cell r="W48">
            <v>4742</v>
          </cell>
          <cell r="X48">
            <v>149</v>
          </cell>
          <cell r="Y48">
            <v>7105</v>
          </cell>
          <cell r="Z48">
            <v>20576</v>
          </cell>
          <cell r="AA48">
            <v>3223</v>
          </cell>
          <cell r="AB48">
            <v>2286</v>
          </cell>
          <cell r="AC48">
            <v>937</v>
          </cell>
          <cell r="AD48">
            <v>23799</v>
          </cell>
          <cell r="AE48">
            <v>6378</v>
          </cell>
          <cell r="AF48">
            <v>9996</v>
          </cell>
          <cell r="AG48">
            <v>2230</v>
          </cell>
          <cell r="AH48">
            <v>69</v>
          </cell>
          <cell r="AI48">
            <v>0</v>
          </cell>
          <cell r="AJ48">
            <v>12294</v>
          </cell>
          <cell r="AK48">
            <v>18672</v>
          </cell>
          <cell r="AL48">
            <v>4981</v>
          </cell>
          <cell r="AM48">
            <v>0</v>
          </cell>
          <cell r="AN48">
            <v>4981</v>
          </cell>
          <cell r="AO48">
            <v>23653</v>
          </cell>
          <cell r="AP48">
            <v>6866</v>
          </cell>
          <cell r="AQ48">
            <v>2758</v>
          </cell>
          <cell r="AR48">
            <v>-214</v>
          </cell>
          <cell r="AS48">
            <v>3917</v>
          </cell>
          <cell r="AT48">
            <v>0</v>
          </cell>
          <cell r="AU48">
            <v>13327</v>
          </cell>
          <cell r="AV48">
            <v>13327</v>
          </cell>
          <cell r="AW48">
            <v>2173</v>
          </cell>
          <cell r="AX48">
            <v>0</v>
          </cell>
          <cell r="AY48">
            <v>2173</v>
          </cell>
          <cell r="AZ48">
            <v>4703</v>
          </cell>
          <cell r="BA48">
            <v>145</v>
          </cell>
          <cell r="BB48">
            <v>7020</v>
          </cell>
          <cell r="BC48">
            <v>20347</v>
          </cell>
          <cell r="BD48">
            <v>3306</v>
          </cell>
          <cell r="BE48">
            <v>2370</v>
          </cell>
          <cell r="BF48">
            <v>937</v>
          </cell>
          <cell r="BG48">
            <v>23653</v>
          </cell>
          <cell r="BH48">
            <v>6378</v>
          </cell>
          <cell r="BI48">
            <v>9879</v>
          </cell>
          <cell r="BJ48">
            <v>912</v>
          </cell>
          <cell r="BK48">
            <v>64</v>
          </cell>
          <cell r="BL48">
            <v>0</v>
          </cell>
          <cell r="BM48">
            <v>10854</v>
          </cell>
          <cell r="BN48">
            <v>17232</v>
          </cell>
          <cell r="BO48">
            <v>4981</v>
          </cell>
          <cell r="BP48">
            <v>0</v>
          </cell>
          <cell r="BQ48">
            <v>4981</v>
          </cell>
          <cell r="BR48">
            <v>22213</v>
          </cell>
          <cell r="BS48">
            <v>6881</v>
          </cell>
          <cell r="BT48">
            <v>2860</v>
          </cell>
          <cell r="BU48">
            <v>-104</v>
          </cell>
          <cell r="BV48">
            <v>3917</v>
          </cell>
          <cell r="BW48">
            <v>0</v>
          </cell>
          <cell r="BX48">
            <v>13554</v>
          </cell>
          <cell r="BY48">
            <v>13554</v>
          </cell>
          <cell r="BZ48">
            <v>2649</v>
          </cell>
          <cell r="CA48">
            <v>0</v>
          </cell>
          <cell r="CB48">
            <v>2649</v>
          </cell>
          <cell r="CC48">
            <v>4723</v>
          </cell>
          <cell r="CD48">
            <v>138</v>
          </cell>
          <cell r="CE48">
            <v>7510</v>
          </cell>
          <cell r="CF48">
            <v>21064</v>
          </cell>
          <cell r="CG48">
            <v>1150</v>
          </cell>
          <cell r="CH48">
            <v>213</v>
          </cell>
          <cell r="CI48">
            <v>937</v>
          </cell>
          <cell r="CJ48">
            <v>22213</v>
          </cell>
        </row>
        <row r="49">
          <cell r="A49">
            <v>35855</v>
          </cell>
          <cell r="B49">
            <v>6507</v>
          </cell>
          <cell r="C49">
            <v>10224</v>
          </cell>
          <cell r="D49">
            <v>2444</v>
          </cell>
          <cell r="E49">
            <v>9</v>
          </cell>
          <cell r="F49">
            <v>0</v>
          </cell>
          <cell r="G49">
            <v>12677</v>
          </cell>
          <cell r="H49">
            <v>19184</v>
          </cell>
          <cell r="I49">
            <v>5035</v>
          </cell>
          <cell r="J49">
            <v>0</v>
          </cell>
          <cell r="K49">
            <v>5035</v>
          </cell>
          <cell r="L49">
            <v>24219</v>
          </cell>
          <cell r="M49">
            <v>6732</v>
          </cell>
          <cell r="N49">
            <v>2963</v>
          </cell>
          <cell r="O49">
            <v>-144</v>
          </cell>
          <cell r="P49">
            <v>3972</v>
          </cell>
          <cell r="Q49">
            <v>0</v>
          </cell>
          <cell r="R49">
            <v>13523</v>
          </cell>
          <cell r="S49">
            <v>13523</v>
          </cell>
          <cell r="T49">
            <v>2258</v>
          </cell>
          <cell r="U49">
            <v>0</v>
          </cell>
          <cell r="V49">
            <v>2258</v>
          </cell>
          <cell r="W49">
            <v>4750</v>
          </cell>
          <cell r="X49">
            <v>155</v>
          </cell>
          <cell r="Y49">
            <v>7163</v>
          </cell>
          <cell r="Z49">
            <v>20686</v>
          </cell>
          <cell r="AA49">
            <v>3533</v>
          </cell>
          <cell r="AB49">
            <v>2575</v>
          </cell>
          <cell r="AC49">
            <v>958</v>
          </cell>
          <cell r="AD49">
            <v>24219</v>
          </cell>
          <cell r="AE49">
            <v>6506</v>
          </cell>
          <cell r="AF49">
            <v>10045</v>
          </cell>
          <cell r="AG49">
            <v>1988</v>
          </cell>
          <cell r="AH49">
            <v>-67</v>
          </cell>
          <cell r="AI49">
            <v>0</v>
          </cell>
          <cell r="AJ49">
            <v>11967</v>
          </cell>
          <cell r="AK49">
            <v>18473</v>
          </cell>
          <cell r="AL49">
            <v>5038</v>
          </cell>
          <cell r="AM49">
            <v>0</v>
          </cell>
          <cell r="AN49">
            <v>5038</v>
          </cell>
          <cell r="AO49">
            <v>23511</v>
          </cell>
          <cell r="AP49">
            <v>6636</v>
          </cell>
          <cell r="AQ49">
            <v>3065</v>
          </cell>
          <cell r="AR49">
            <v>-183</v>
          </cell>
          <cell r="AS49">
            <v>3966</v>
          </cell>
          <cell r="AT49">
            <v>0</v>
          </cell>
          <cell r="AU49">
            <v>13485</v>
          </cell>
          <cell r="AV49">
            <v>13485</v>
          </cell>
          <cell r="AW49">
            <v>2117</v>
          </cell>
          <cell r="AX49">
            <v>0</v>
          </cell>
          <cell r="AY49">
            <v>2117</v>
          </cell>
          <cell r="AZ49">
            <v>4812</v>
          </cell>
          <cell r="BA49">
            <v>163</v>
          </cell>
          <cell r="BB49">
            <v>7093</v>
          </cell>
          <cell r="BC49">
            <v>20577</v>
          </cell>
          <cell r="BD49">
            <v>2934</v>
          </cell>
          <cell r="BE49">
            <v>1976</v>
          </cell>
          <cell r="BF49">
            <v>957</v>
          </cell>
          <cell r="BG49">
            <v>23511</v>
          </cell>
          <cell r="BH49">
            <v>6506</v>
          </cell>
          <cell r="BI49">
            <v>9958</v>
          </cell>
          <cell r="BJ49">
            <v>2906</v>
          </cell>
          <cell r="BK49">
            <v>242</v>
          </cell>
          <cell r="BL49">
            <v>0</v>
          </cell>
          <cell r="BM49">
            <v>13105</v>
          </cell>
          <cell r="BN49">
            <v>19611</v>
          </cell>
          <cell r="BO49">
            <v>5038</v>
          </cell>
          <cell r="BP49">
            <v>0</v>
          </cell>
          <cell r="BQ49">
            <v>5038</v>
          </cell>
          <cell r="BR49">
            <v>24649</v>
          </cell>
          <cell r="BS49">
            <v>6605</v>
          </cell>
          <cell r="BT49">
            <v>1926</v>
          </cell>
          <cell r="BU49">
            <v>-13</v>
          </cell>
          <cell r="BV49">
            <v>3966</v>
          </cell>
          <cell r="BW49">
            <v>0</v>
          </cell>
          <cell r="BX49">
            <v>12485</v>
          </cell>
          <cell r="BY49">
            <v>12485</v>
          </cell>
          <cell r="BZ49">
            <v>1836</v>
          </cell>
          <cell r="CA49">
            <v>0</v>
          </cell>
          <cell r="CB49">
            <v>1836</v>
          </cell>
          <cell r="CC49">
            <v>4837</v>
          </cell>
          <cell r="CD49">
            <v>168</v>
          </cell>
          <cell r="CE49">
            <v>6840</v>
          </cell>
          <cell r="CF49">
            <v>19325</v>
          </cell>
          <cell r="CG49">
            <v>5324</v>
          </cell>
          <cell r="CH49">
            <v>4367</v>
          </cell>
          <cell r="CI49">
            <v>957</v>
          </cell>
          <cell r="CJ49">
            <v>24649</v>
          </cell>
        </row>
        <row r="50">
          <cell r="A50">
            <v>35947</v>
          </cell>
          <cell r="B50">
            <v>6609</v>
          </cell>
          <cell r="C50">
            <v>10450</v>
          </cell>
          <cell r="D50">
            <v>2526</v>
          </cell>
          <cell r="E50">
            <v>31</v>
          </cell>
          <cell r="F50">
            <v>0</v>
          </cell>
          <cell r="G50">
            <v>13007</v>
          </cell>
          <cell r="H50">
            <v>19616</v>
          </cell>
          <cell r="I50">
            <v>5077</v>
          </cell>
          <cell r="J50">
            <v>0</v>
          </cell>
          <cell r="K50">
            <v>5077</v>
          </cell>
          <cell r="L50">
            <v>24693</v>
          </cell>
          <cell r="M50">
            <v>6706</v>
          </cell>
          <cell r="N50">
            <v>3096</v>
          </cell>
          <cell r="O50">
            <v>-138</v>
          </cell>
          <cell r="P50">
            <v>4015</v>
          </cell>
          <cell r="Q50">
            <v>0</v>
          </cell>
          <cell r="R50">
            <v>13677</v>
          </cell>
          <cell r="S50">
            <v>13677</v>
          </cell>
          <cell r="T50">
            <v>2384</v>
          </cell>
          <cell r="U50">
            <v>0</v>
          </cell>
          <cell r="V50">
            <v>2384</v>
          </cell>
          <cell r="W50">
            <v>4758</v>
          </cell>
          <cell r="X50">
            <v>156</v>
          </cell>
          <cell r="Y50">
            <v>7299</v>
          </cell>
          <cell r="Z50">
            <v>20976</v>
          </cell>
          <cell r="AA50">
            <v>3717</v>
          </cell>
          <cell r="AB50">
            <v>2743</v>
          </cell>
          <cell r="AC50">
            <v>974</v>
          </cell>
          <cell r="AD50">
            <v>24693</v>
          </cell>
          <cell r="AE50">
            <v>6622</v>
          </cell>
          <cell r="AF50">
            <v>11003</v>
          </cell>
          <cell r="AG50">
            <v>3140</v>
          </cell>
          <cell r="AH50">
            <v>189</v>
          </cell>
          <cell r="AI50">
            <v>0</v>
          </cell>
          <cell r="AJ50">
            <v>14332</v>
          </cell>
          <cell r="AK50">
            <v>20954</v>
          </cell>
          <cell r="AL50">
            <v>5079</v>
          </cell>
          <cell r="AM50">
            <v>0</v>
          </cell>
          <cell r="AN50">
            <v>5079</v>
          </cell>
          <cell r="AO50">
            <v>26034</v>
          </cell>
          <cell r="AP50">
            <v>6824</v>
          </cell>
          <cell r="AQ50">
            <v>2958</v>
          </cell>
          <cell r="AR50">
            <v>-119</v>
          </cell>
          <cell r="AS50">
            <v>4045</v>
          </cell>
          <cell r="AT50">
            <v>0</v>
          </cell>
          <cell r="AU50">
            <v>13707</v>
          </cell>
          <cell r="AV50">
            <v>13707</v>
          </cell>
          <cell r="AW50">
            <v>2434</v>
          </cell>
          <cell r="AX50">
            <v>0</v>
          </cell>
          <cell r="AY50">
            <v>2434</v>
          </cell>
          <cell r="AZ50">
            <v>4744</v>
          </cell>
          <cell r="BA50">
            <v>157</v>
          </cell>
          <cell r="BB50">
            <v>7334</v>
          </cell>
          <cell r="BC50">
            <v>21042</v>
          </cell>
          <cell r="BD50">
            <v>4992</v>
          </cell>
          <cell r="BE50">
            <v>4017</v>
          </cell>
          <cell r="BF50">
            <v>975</v>
          </cell>
          <cell r="BG50">
            <v>26034</v>
          </cell>
          <cell r="BH50">
            <v>6622</v>
          </cell>
          <cell r="BI50">
            <v>11227</v>
          </cell>
          <cell r="BJ50">
            <v>1986</v>
          </cell>
          <cell r="BK50">
            <v>-173</v>
          </cell>
          <cell r="BL50">
            <v>0</v>
          </cell>
          <cell r="BM50">
            <v>13039</v>
          </cell>
          <cell r="BN50">
            <v>19661</v>
          </cell>
          <cell r="BO50">
            <v>5079</v>
          </cell>
          <cell r="BP50">
            <v>0</v>
          </cell>
          <cell r="BQ50">
            <v>5079</v>
          </cell>
          <cell r="BR50">
            <v>24741</v>
          </cell>
          <cell r="BS50">
            <v>6760</v>
          </cell>
          <cell r="BT50">
            <v>2720</v>
          </cell>
          <cell r="BU50">
            <v>-344</v>
          </cell>
          <cell r="BV50">
            <v>4045</v>
          </cell>
          <cell r="BW50">
            <v>0</v>
          </cell>
          <cell r="BX50">
            <v>13181</v>
          </cell>
          <cell r="BY50">
            <v>13181</v>
          </cell>
          <cell r="BZ50">
            <v>2270</v>
          </cell>
          <cell r="CA50">
            <v>0</v>
          </cell>
          <cell r="CB50">
            <v>2270</v>
          </cell>
          <cell r="CC50">
            <v>4718</v>
          </cell>
          <cell r="CD50">
            <v>171</v>
          </cell>
          <cell r="CE50">
            <v>7159</v>
          </cell>
          <cell r="CF50">
            <v>20340</v>
          </cell>
          <cell r="CG50">
            <v>4401</v>
          </cell>
          <cell r="CH50">
            <v>3426</v>
          </cell>
          <cell r="CI50">
            <v>975</v>
          </cell>
          <cell r="CJ50">
            <v>24741</v>
          </cell>
        </row>
        <row r="51">
          <cell r="A51">
            <v>36039</v>
          </cell>
          <cell r="B51">
            <v>6705</v>
          </cell>
          <cell r="C51">
            <v>10514</v>
          </cell>
          <cell r="D51">
            <v>2301</v>
          </cell>
          <cell r="E51">
            <v>196</v>
          </cell>
          <cell r="F51">
            <v>0</v>
          </cell>
          <cell r="G51">
            <v>13011</v>
          </cell>
          <cell r="H51">
            <v>19715</v>
          </cell>
          <cell r="I51">
            <v>5112</v>
          </cell>
          <cell r="J51">
            <v>0</v>
          </cell>
          <cell r="K51">
            <v>5112</v>
          </cell>
          <cell r="L51">
            <v>24827</v>
          </cell>
          <cell r="M51">
            <v>6795</v>
          </cell>
          <cell r="N51">
            <v>3201</v>
          </cell>
          <cell r="O51">
            <v>-57</v>
          </cell>
          <cell r="P51">
            <v>4059</v>
          </cell>
          <cell r="Q51">
            <v>0</v>
          </cell>
          <cell r="R51">
            <v>13998</v>
          </cell>
          <cell r="S51">
            <v>13998</v>
          </cell>
          <cell r="T51">
            <v>2529</v>
          </cell>
          <cell r="U51">
            <v>0</v>
          </cell>
          <cell r="V51">
            <v>2529</v>
          </cell>
          <cell r="W51">
            <v>4746</v>
          </cell>
          <cell r="X51">
            <v>147</v>
          </cell>
          <cell r="Y51">
            <v>7422</v>
          </cell>
          <cell r="Z51">
            <v>21420</v>
          </cell>
          <cell r="AA51">
            <v>3407</v>
          </cell>
          <cell r="AB51">
            <v>2417</v>
          </cell>
          <cell r="AC51">
            <v>990</v>
          </cell>
          <cell r="AD51">
            <v>24827</v>
          </cell>
          <cell r="AE51">
            <v>6695</v>
          </cell>
          <cell r="AF51">
            <v>10189</v>
          </cell>
          <cell r="AG51">
            <v>2195</v>
          </cell>
          <cell r="AH51">
            <v>-23</v>
          </cell>
          <cell r="AI51">
            <v>0</v>
          </cell>
          <cell r="AJ51">
            <v>12362</v>
          </cell>
          <cell r="AK51">
            <v>19057</v>
          </cell>
          <cell r="AL51">
            <v>5107</v>
          </cell>
          <cell r="AM51">
            <v>0</v>
          </cell>
          <cell r="AN51">
            <v>5107</v>
          </cell>
          <cell r="AO51">
            <v>24164</v>
          </cell>
          <cell r="AP51">
            <v>6740</v>
          </cell>
          <cell r="AQ51">
            <v>3313</v>
          </cell>
          <cell r="AR51">
            <v>35</v>
          </cell>
          <cell r="AS51">
            <v>4050</v>
          </cell>
          <cell r="AT51">
            <v>0</v>
          </cell>
          <cell r="AU51">
            <v>14138</v>
          </cell>
          <cell r="AV51">
            <v>14138</v>
          </cell>
          <cell r="AW51">
            <v>2564</v>
          </cell>
          <cell r="AX51">
            <v>0</v>
          </cell>
          <cell r="AY51">
            <v>2564</v>
          </cell>
          <cell r="AZ51">
            <v>4732</v>
          </cell>
          <cell r="BA51">
            <v>150</v>
          </cell>
          <cell r="BB51">
            <v>7446</v>
          </cell>
          <cell r="BC51">
            <v>21583</v>
          </cell>
          <cell r="BD51">
            <v>2581</v>
          </cell>
          <cell r="BE51">
            <v>1592</v>
          </cell>
          <cell r="BF51">
            <v>989</v>
          </cell>
          <cell r="BG51">
            <v>24164</v>
          </cell>
          <cell r="BH51">
            <v>6695</v>
          </cell>
          <cell r="BI51">
            <v>10193</v>
          </cell>
          <cell r="BJ51">
            <v>3334</v>
          </cell>
          <cell r="BK51">
            <v>-5</v>
          </cell>
          <cell r="BL51">
            <v>0</v>
          </cell>
          <cell r="BM51">
            <v>13522</v>
          </cell>
          <cell r="BN51">
            <v>20217</v>
          </cell>
          <cell r="BO51">
            <v>5107</v>
          </cell>
          <cell r="BP51">
            <v>0</v>
          </cell>
          <cell r="BQ51">
            <v>5107</v>
          </cell>
          <cell r="BR51">
            <v>25324</v>
          </cell>
          <cell r="BS51">
            <v>6812</v>
          </cell>
          <cell r="BT51">
            <v>4955</v>
          </cell>
          <cell r="BU51">
            <v>-46</v>
          </cell>
          <cell r="BV51">
            <v>4050</v>
          </cell>
          <cell r="BW51">
            <v>0</v>
          </cell>
          <cell r="BX51">
            <v>15771</v>
          </cell>
          <cell r="BY51">
            <v>15771</v>
          </cell>
          <cell r="BZ51">
            <v>2583</v>
          </cell>
          <cell r="CA51">
            <v>0</v>
          </cell>
          <cell r="CB51">
            <v>2583</v>
          </cell>
          <cell r="CC51">
            <v>4711</v>
          </cell>
          <cell r="CD51">
            <v>137</v>
          </cell>
          <cell r="CE51">
            <v>7431</v>
          </cell>
          <cell r="CF51">
            <v>23202</v>
          </cell>
          <cell r="CG51">
            <v>2122</v>
          </cell>
          <cell r="CH51">
            <v>1133</v>
          </cell>
          <cell r="CI51">
            <v>989</v>
          </cell>
          <cell r="CJ51">
            <v>25324</v>
          </cell>
        </row>
        <row r="52">
          <cell r="A52">
            <v>36130</v>
          </cell>
          <cell r="B52">
            <v>6812</v>
          </cell>
          <cell r="C52">
            <v>10504</v>
          </cell>
          <cell r="D52">
            <v>2174</v>
          </cell>
          <cell r="E52">
            <v>236</v>
          </cell>
          <cell r="F52">
            <v>0</v>
          </cell>
          <cell r="G52">
            <v>12915</v>
          </cell>
          <cell r="H52">
            <v>19726</v>
          </cell>
          <cell r="I52">
            <v>5149</v>
          </cell>
          <cell r="J52">
            <v>0</v>
          </cell>
          <cell r="K52">
            <v>5149</v>
          </cell>
          <cell r="L52">
            <v>24875</v>
          </cell>
          <cell r="M52">
            <v>6958</v>
          </cell>
          <cell r="N52">
            <v>3200</v>
          </cell>
          <cell r="O52">
            <v>-33</v>
          </cell>
          <cell r="P52">
            <v>4133</v>
          </cell>
          <cell r="Q52">
            <v>0</v>
          </cell>
          <cell r="R52">
            <v>14259</v>
          </cell>
          <cell r="S52">
            <v>14259</v>
          </cell>
          <cell r="T52">
            <v>2468</v>
          </cell>
          <cell r="U52">
            <v>0</v>
          </cell>
          <cell r="V52">
            <v>2468</v>
          </cell>
          <cell r="W52">
            <v>4746</v>
          </cell>
          <cell r="X52">
            <v>139</v>
          </cell>
          <cell r="Y52">
            <v>7353</v>
          </cell>
          <cell r="Z52">
            <v>21612</v>
          </cell>
          <cell r="AA52">
            <v>3263</v>
          </cell>
          <cell r="AB52">
            <v>2255</v>
          </cell>
          <cell r="AC52">
            <v>1008</v>
          </cell>
          <cell r="AD52">
            <v>24875</v>
          </cell>
          <cell r="AE52">
            <v>6810</v>
          </cell>
          <cell r="AF52">
            <v>10520</v>
          </cell>
          <cell r="AG52">
            <v>1905</v>
          </cell>
          <cell r="AH52">
            <v>424</v>
          </cell>
          <cell r="AI52">
            <v>0</v>
          </cell>
          <cell r="AJ52">
            <v>12849</v>
          </cell>
          <cell r="AK52">
            <v>19659</v>
          </cell>
          <cell r="AL52">
            <v>5148</v>
          </cell>
          <cell r="AM52">
            <v>0</v>
          </cell>
          <cell r="AN52">
            <v>5148</v>
          </cell>
          <cell r="AO52">
            <v>24808</v>
          </cell>
          <cell r="AP52">
            <v>6967</v>
          </cell>
          <cell r="AQ52">
            <v>3153</v>
          </cell>
          <cell r="AR52">
            <v>-291</v>
          </cell>
          <cell r="AS52">
            <v>4128</v>
          </cell>
          <cell r="AT52">
            <v>0</v>
          </cell>
          <cell r="AU52">
            <v>13957</v>
          </cell>
          <cell r="AV52">
            <v>13957</v>
          </cell>
          <cell r="AW52">
            <v>2541</v>
          </cell>
          <cell r="AX52">
            <v>0</v>
          </cell>
          <cell r="AY52">
            <v>2541</v>
          </cell>
          <cell r="AZ52">
            <v>4783</v>
          </cell>
          <cell r="BA52">
            <v>133</v>
          </cell>
          <cell r="BB52">
            <v>7456</v>
          </cell>
          <cell r="BC52">
            <v>21413</v>
          </cell>
          <cell r="BD52">
            <v>3395</v>
          </cell>
          <cell r="BE52">
            <v>2388</v>
          </cell>
          <cell r="BF52">
            <v>1007</v>
          </cell>
          <cell r="BG52">
            <v>24808</v>
          </cell>
          <cell r="BH52">
            <v>6810</v>
          </cell>
          <cell r="BI52">
            <v>10400</v>
          </cell>
          <cell r="BJ52">
            <v>797</v>
          </cell>
          <cell r="BK52">
            <v>429</v>
          </cell>
          <cell r="BL52">
            <v>0</v>
          </cell>
          <cell r="BM52">
            <v>11626</v>
          </cell>
          <cell r="BN52">
            <v>18436</v>
          </cell>
          <cell r="BO52">
            <v>5148</v>
          </cell>
          <cell r="BP52">
            <v>0</v>
          </cell>
          <cell r="BQ52">
            <v>5148</v>
          </cell>
          <cell r="BR52">
            <v>23584</v>
          </cell>
          <cell r="BS52">
            <v>7003</v>
          </cell>
          <cell r="BT52">
            <v>3095</v>
          </cell>
          <cell r="BU52">
            <v>-184</v>
          </cell>
          <cell r="BV52">
            <v>4128</v>
          </cell>
          <cell r="BW52">
            <v>0</v>
          </cell>
          <cell r="BX52">
            <v>14042</v>
          </cell>
          <cell r="BY52">
            <v>14042</v>
          </cell>
          <cell r="BZ52">
            <v>2975</v>
          </cell>
          <cell r="CA52">
            <v>0</v>
          </cell>
          <cell r="CB52">
            <v>2975</v>
          </cell>
          <cell r="CC52">
            <v>4805</v>
          </cell>
          <cell r="CD52">
            <v>129</v>
          </cell>
          <cell r="CE52">
            <v>7909</v>
          </cell>
          <cell r="CF52">
            <v>21950</v>
          </cell>
          <cell r="CG52">
            <v>1634</v>
          </cell>
          <cell r="CH52">
            <v>627</v>
          </cell>
          <cell r="CI52">
            <v>1007</v>
          </cell>
          <cell r="CJ52">
            <v>23584</v>
          </cell>
        </row>
        <row r="53">
          <cell r="A53">
            <v>36220</v>
          </cell>
          <cell r="B53">
            <v>6959</v>
          </cell>
          <cell r="C53">
            <v>10610</v>
          </cell>
          <cell r="D53">
            <v>2395</v>
          </cell>
          <cell r="E53">
            <v>247</v>
          </cell>
          <cell r="F53">
            <v>0</v>
          </cell>
          <cell r="G53">
            <v>13251</v>
          </cell>
          <cell r="H53">
            <v>20210</v>
          </cell>
          <cell r="I53">
            <v>5187</v>
          </cell>
          <cell r="J53">
            <v>0</v>
          </cell>
          <cell r="K53">
            <v>5187</v>
          </cell>
          <cell r="L53">
            <v>25397</v>
          </cell>
          <cell r="M53">
            <v>7237</v>
          </cell>
          <cell r="N53">
            <v>3213</v>
          </cell>
          <cell r="O53">
            <v>-209</v>
          </cell>
          <cell r="P53">
            <v>4308</v>
          </cell>
          <cell r="Q53">
            <v>0</v>
          </cell>
          <cell r="R53">
            <v>14549</v>
          </cell>
          <cell r="S53">
            <v>14549</v>
          </cell>
          <cell r="T53">
            <v>2256</v>
          </cell>
          <cell r="U53">
            <v>0</v>
          </cell>
          <cell r="V53">
            <v>2256</v>
          </cell>
          <cell r="W53">
            <v>4835</v>
          </cell>
          <cell r="X53">
            <v>140</v>
          </cell>
          <cell r="Y53">
            <v>7231</v>
          </cell>
          <cell r="Z53">
            <v>21780</v>
          </cell>
          <cell r="AA53">
            <v>3617</v>
          </cell>
          <cell r="AB53">
            <v>2589</v>
          </cell>
          <cell r="AC53">
            <v>1028</v>
          </cell>
          <cell r="AD53">
            <v>25397</v>
          </cell>
          <cell r="AE53">
            <v>6956</v>
          </cell>
          <cell r="AF53">
            <v>10691</v>
          </cell>
          <cell r="AG53">
            <v>2179</v>
          </cell>
          <cell r="AH53">
            <v>366</v>
          </cell>
          <cell r="AI53">
            <v>0</v>
          </cell>
          <cell r="AJ53">
            <v>13236</v>
          </cell>
          <cell r="AK53">
            <v>20192</v>
          </cell>
          <cell r="AL53">
            <v>5188</v>
          </cell>
          <cell r="AM53">
            <v>0</v>
          </cell>
          <cell r="AN53">
            <v>5188</v>
          </cell>
          <cell r="AO53">
            <v>25380</v>
          </cell>
          <cell r="AP53">
            <v>7247</v>
          </cell>
          <cell r="AQ53">
            <v>3336</v>
          </cell>
          <cell r="AR53">
            <v>192</v>
          </cell>
          <cell r="AS53">
            <v>4296</v>
          </cell>
          <cell r="AT53">
            <v>0</v>
          </cell>
          <cell r="AU53">
            <v>15071</v>
          </cell>
          <cell r="AV53">
            <v>15071</v>
          </cell>
          <cell r="AW53">
            <v>2242</v>
          </cell>
          <cell r="AX53">
            <v>0</v>
          </cell>
          <cell r="AY53">
            <v>2242</v>
          </cell>
          <cell r="AZ53">
            <v>4795</v>
          </cell>
          <cell r="BA53">
            <v>141</v>
          </cell>
          <cell r="BB53">
            <v>7178</v>
          </cell>
          <cell r="BC53">
            <v>22249</v>
          </cell>
          <cell r="BD53">
            <v>3130</v>
          </cell>
          <cell r="BE53">
            <v>2103</v>
          </cell>
          <cell r="BF53">
            <v>1028</v>
          </cell>
          <cell r="BG53">
            <v>25380</v>
          </cell>
          <cell r="BH53">
            <v>6956</v>
          </cell>
          <cell r="BI53">
            <v>10642</v>
          </cell>
          <cell r="BJ53">
            <v>3163</v>
          </cell>
          <cell r="BK53">
            <v>764</v>
          </cell>
          <cell r="BL53">
            <v>0</v>
          </cell>
          <cell r="BM53">
            <v>14569</v>
          </cell>
          <cell r="BN53">
            <v>21525</v>
          </cell>
          <cell r="BO53">
            <v>5188</v>
          </cell>
          <cell r="BP53">
            <v>0</v>
          </cell>
          <cell r="BQ53">
            <v>5188</v>
          </cell>
          <cell r="BR53">
            <v>26713</v>
          </cell>
          <cell r="BS53">
            <v>7207</v>
          </cell>
          <cell r="BT53">
            <v>2093</v>
          </cell>
          <cell r="BU53">
            <v>397</v>
          </cell>
          <cell r="BV53">
            <v>4296</v>
          </cell>
          <cell r="BW53">
            <v>0</v>
          </cell>
          <cell r="BX53">
            <v>13994</v>
          </cell>
          <cell r="BY53">
            <v>13994</v>
          </cell>
          <cell r="BZ53">
            <v>1990</v>
          </cell>
          <cell r="CA53">
            <v>0</v>
          </cell>
          <cell r="CB53">
            <v>1990</v>
          </cell>
          <cell r="CC53">
            <v>4824</v>
          </cell>
          <cell r="CD53">
            <v>142</v>
          </cell>
          <cell r="CE53">
            <v>6956</v>
          </cell>
          <cell r="CF53">
            <v>20950</v>
          </cell>
          <cell r="CG53">
            <v>5763</v>
          </cell>
          <cell r="CH53">
            <v>4735</v>
          </cell>
          <cell r="CI53">
            <v>1028</v>
          </cell>
          <cell r="CJ53">
            <v>26713</v>
          </cell>
        </row>
        <row r="54">
          <cell r="A54">
            <v>36312</v>
          </cell>
          <cell r="B54">
            <v>7151</v>
          </cell>
          <cell r="C54">
            <v>10966</v>
          </cell>
          <cell r="D54">
            <v>2828</v>
          </cell>
          <cell r="E54">
            <v>258</v>
          </cell>
          <cell r="F54">
            <v>0</v>
          </cell>
          <cell r="G54">
            <v>14052</v>
          </cell>
          <cell r="H54">
            <v>21203</v>
          </cell>
          <cell r="I54">
            <v>5221</v>
          </cell>
          <cell r="J54">
            <v>0</v>
          </cell>
          <cell r="K54">
            <v>5221</v>
          </cell>
          <cell r="L54">
            <v>26424</v>
          </cell>
          <cell r="M54">
            <v>7686</v>
          </cell>
          <cell r="N54">
            <v>3307</v>
          </cell>
          <cell r="O54">
            <v>-465</v>
          </cell>
          <cell r="P54">
            <v>4605</v>
          </cell>
          <cell r="Q54">
            <v>0</v>
          </cell>
          <cell r="R54">
            <v>15133</v>
          </cell>
          <cell r="S54">
            <v>15133</v>
          </cell>
          <cell r="T54">
            <v>2119</v>
          </cell>
          <cell r="U54">
            <v>0</v>
          </cell>
          <cell r="V54">
            <v>2119</v>
          </cell>
          <cell r="W54">
            <v>5036</v>
          </cell>
          <cell r="X54">
            <v>146</v>
          </cell>
          <cell r="Y54">
            <v>7301</v>
          </cell>
          <cell r="Z54">
            <v>22435</v>
          </cell>
          <cell r="AA54">
            <v>3990</v>
          </cell>
          <cell r="AB54">
            <v>2942</v>
          </cell>
          <cell r="AC54">
            <v>1048</v>
          </cell>
          <cell r="AD54">
            <v>26424</v>
          </cell>
          <cell r="AE54">
            <v>7132</v>
          </cell>
          <cell r="AF54">
            <v>10941</v>
          </cell>
          <cell r="AG54">
            <v>3410</v>
          </cell>
          <cell r="AH54">
            <v>-195</v>
          </cell>
          <cell r="AI54">
            <v>0</v>
          </cell>
          <cell r="AJ54">
            <v>14156</v>
          </cell>
          <cell r="AK54">
            <v>21288</v>
          </cell>
          <cell r="AL54">
            <v>5226</v>
          </cell>
          <cell r="AM54">
            <v>0</v>
          </cell>
          <cell r="AN54">
            <v>5226</v>
          </cell>
          <cell r="AO54">
            <v>26513</v>
          </cell>
          <cell r="AP54">
            <v>7634</v>
          </cell>
          <cell r="AQ54">
            <v>2963</v>
          </cell>
          <cell r="AR54">
            <v>-606</v>
          </cell>
          <cell r="AS54">
            <v>4553</v>
          </cell>
          <cell r="AT54">
            <v>0</v>
          </cell>
          <cell r="AU54">
            <v>14543</v>
          </cell>
          <cell r="AV54">
            <v>14543</v>
          </cell>
          <cell r="AW54">
            <v>2023</v>
          </cell>
          <cell r="AX54">
            <v>0</v>
          </cell>
          <cell r="AY54">
            <v>2023</v>
          </cell>
          <cell r="AZ54">
            <v>6691</v>
          </cell>
          <cell r="BA54">
            <v>148</v>
          </cell>
          <cell r="BB54">
            <v>8862</v>
          </cell>
          <cell r="BC54">
            <v>23405</v>
          </cell>
          <cell r="BD54">
            <v>3108</v>
          </cell>
          <cell r="BE54">
            <v>2057</v>
          </cell>
          <cell r="BF54">
            <v>1051</v>
          </cell>
          <cell r="BG54">
            <v>26513</v>
          </cell>
          <cell r="BH54">
            <v>7132</v>
          </cell>
          <cell r="BI54">
            <v>11041</v>
          </cell>
          <cell r="BJ54">
            <v>2179</v>
          </cell>
          <cell r="BK54">
            <v>-595</v>
          </cell>
          <cell r="BL54">
            <v>0</v>
          </cell>
          <cell r="BM54">
            <v>12625</v>
          </cell>
          <cell r="BN54">
            <v>19757</v>
          </cell>
          <cell r="BO54">
            <v>5226</v>
          </cell>
          <cell r="BP54">
            <v>0</v>
          </cell>
          <cell r="BQ54">
            <v>5226</v>
          </cell>
          <cell r="BR54">
            <v>24983</v>
          </cell>
          <cell r="BS54">
            <v>7542</v>
          </cell>
          <cell r="BT54">
            <v>2570</v>
          </cell>
          <cell r="BU54">
            <v>-784</v>
          </cell>
          <cell r="BV54">
            <v>4553</v>
          </cell>
          <cell r="BW54">
            <v>0</v>
          </cell>
          <cell r="BX54">
            <v>13882</v>
          </cell>
          <cell r="BY54">
            <v>13882</v>
          </cell>
          <cell r="BZ54">
            <v>1907</v>
          </cell>
          <cell r="CA54">
            <v>0</v>
          </cell>
          <cell r="CB54">
            <v>1907</v>
          </cell>
          <cell r="CC54">
            <v>6650</v>
          </cell>
          <cell r="CD54">
            <v>163</v>
          </cell>
          <cell r="CE54">
            <v>8720</v>
          </cell>
          <cell r="CF54">
            <v>22602</v>
          </cell>
          <cell r="CG54">
            <v>2381</v>
          </cell>
          <cell r="CH54">
            <v>1329</v>
          </cell>
          <cell r="CI54">
            <v>1051</v>
          </cell>
          <cell r="CJ54">
            <v>24983</v>
          </cell>
        </row>
        <row r="55">
          <cell r="A55">
            <v>36404</v>
          </cell>
          <cell r="B55">
            <v>7360</v>
          </cell>
          <cell r="C55">
            <v>11491</v>
          </cell>
          <cell r="D55">
            <v>3083</v>
          </cell>
          <cell r="E55">
            <v>282</v>
          </cell>
          <cell r="F55">
            <v>0</v>
          </cell>
          <cell r="G55">
            <v>14856</v>
          </cell>
          <cell r="H55">
            <v>22215</v>
          </cell>
          <cell r="I55">
            <v>5253</v>
          </cell>
          <cell r="J55">
            <v>0</v>
          </cell>
          <cell r="K55">
            <v>5253</v>
          </cell>
          <cell r="L55">
            <v>27468</v>
          </cell>
          <cell r="M55">
            <v>8227</v>
          </cell>
          <cell r="N55">
            <v>3446</v>
          </cell>
          <cell r="O55">
            <v>-618</v>
          </cell>
          <cell r="P55">
            <v>4953</v>
          </cell>
          <cell r="Q55">
            <v>0</v>
          </cell>
          <cell r="R55">
            <v>16008</v>
          </cell>
          <cell r="S55">
            <v>16008</v>
          </cell>
          <cell r="T55">
            <v>2206</v>
          </cell>
          <cell r="U55">
            <v>0</v>
          </cell>
          <cell r="V55">
            <v>2206</v>
          </cell>
          <cell r="W55">
            <v>5289</v>
          </cell>
          <cell r="X55">
            <v>156</v>
          </cell>
          <cell r="Y55">
            <v>7651</v>
          </cell>
          <cell r="Z55">
            <v>23659</v>
          </cell>
          <cell r="AA55">
            <v>3809</v>
          </cell>
          <cell r="AB55">
            <v>2742</v>
          </cell>
          <cell r="AC55">
            <v>1067</v>
          </cell>
          <cell r="AD55">
            <v>27468</v>
          </cell>
          <cell r="AE55">
            <v>7377</v>
          </cell>
          <cell r="AF55">
            <v>11374</v>
          </cell>
          <cell r="AG55">
            <v>2799</v>
          </cell>
          <cell r="AH55">
            <v>729</v>
          </cell>
          <cell r="AI55">
            <v>0</v>
          </cell>
          <cell r="AJ55">
            <v>14902</v>
          </cell>
          <cell r="AK55">
            <v>22279</v>
          </cell>
          <cell r="AL55">
            <v>5251</v>
          </cell>
          <cell r="AM55">
            <v>0</v>
          </cell>
          <cell r="AN55">
            <v>5251</v>
          </cell>
          <cell r="AO55">
            <v>27529</v>
          </cell>
          <cell r="AP55">
            <v>8230</v>
          </cell>
          <cell r="AQ55">
            <v>3755</v>
          </cell>
          <cell r="AR55">
            <v>-893</v>
          </cell>
          <cell r="AS55">
            <v>5002</v>
          </cell>
          <cell r="AT55">
            <v>0</v>
          </cell>
          <cell r="AU55">
            <v>16095</v>
          </cell>
          <cell r="AV55">
            <v>16095</v>
          </cell>
          <cell r="AW55">
            <v>2204</v>
          </cell>
          <cell r="AX55">
            <v>0</v>
          </cell>
          <cell r="AY55">
            <v>2204</v>
          </cell>
          <cell r="AZ55">
            <v>5346</v>
          </cell>
          <cell r="BA55">
            <v>156</v>
          </cell>
          <cell r="BB55">
            <v>7706</v>
          </cell>
          <cell r="BC55">
            <v>23801</v>
          </cell>
          <cell r="BD55">
            <v>3728</v>
          </cell>
          <cell r="BE55">
            <v>2662</v>
          </cell>
          <cell r="BF55">
            <v>1066</v>
          </cell>
          <cell r="BG55">
            <v>27529</v>
          </cell>
          <cell r="BH55">
            <v>7377</v>
          </cell>
          <cell r="BI55">
            <v>11463</v>
          </cell>
          <cell r="BJ55">
            <v>4218</v>
          </cell>
          <cell r="BK55">
            <v>670</v>
          </cell>
          <cell r="BL55">
            <v>0</v>
          </cell>
          <cell r="BM55">
            <v>16351</v>
          </cell>
          <cell r="BN55">
            <v>23728</v>
          </cell>
          <cell r="BO55">
            <v>5251</v>
          </cell>
          <cell r="BP55">
            <v>0</v>
          </cell>
          <cell r="BQ55">
            <v>5251</v>
          </cell>
          <cell r="BR55">
            <v>28979</v>
          </cell>
          <cell r="BS55">
            <v>8324</v>
          </cell>
          <cell r="BT55">
            <v>6048</v>
          </cell>
          <cell r="BU55">
            <v>-1045</v>
          </cell>
          <cell r="BV55">
            <v>5002</v>
          </cell>
          <cell r="BW55">
            <v>0</v>
          </cell>
          <cell r="BX55">
            <v>18330</v>
          </cell>
          <cell r="BY55">
            <v>18330</v>
          </cell>
          <cell r="BZ55">
            <v>2240</v>
          </cell>
          <cell r="CA55">
            <v>0</v>
          </cell>
          <cell r="CB55">
            <v>2240</v>
          </cell>
          <cell r="CC55">
            <v>5319</v>
          </cell>
          <cell r="CD55">
            <v>142</v>
          </cell>
          <cell r="CE55">
            <v>7701</v>
          </cell>
          <cell r="CF55">
            <v>26031</v>
          </cell>
          <cell r="CG55">
            <v>2947</v>
          </cell>
          <cell r="CH55">
            <v>1881</v>
          </cell>
          <cell r="CI55">
            <v>1066</v>
          </cell>
          <cell r="CJ55">
            <v>28979</v>
          </cell>
        </row>
        <row r="56">
          <cell r="A56">
            <v>36495</v>
          </cell>
          <cell r="B56">
            <v>7548</v>
          </cell>
          <cell r="C56">
            <v>12267</v>
          </cell>
          <cell r="D56">
            <v>3087</v>
          </cell>
          <cell r="E56">
            <v>199</v>
          </cell>
          <cell r="F56">
            <v>0</v>
          </cell>
          <cell r="G56">
            <v>15553</v>
          </cell>
          <cell r="H56">
            <v>23102</v>
          </cell>
          <cell r="I56">
            <v>5289</v>
          </cell>
          <cell r="J56">
            <v>0</v>
          </cell>
          <cell r="K56">
            <v>5289</v>
          </cell>
          <cell r="L56">
            <v>28390</v>
          </cell>
          <cell r="M56">
            <v>8786</v>
          </cell>
          <cell r="N56">
            <v>3308</v>
          </cell>
          <cell r="O56">
            <v>-611</v>
          </cell>
          <cell r="P56">
            <v>5247</v>
          </cell>
          <cell r="Q56">
            <v>0</v>
          </cell>
          <cell r="R56">
            <v>16730</v>
          </cell>
          <cell r="S56">
            <v>16730</v>
          </cell>
          <cell r="T56">
            <v>2487</v>
          </cell>
          <cell r="U56">
            <v>0</v>
          </cell>
          <cell r="V56">
            <v>2487</v>
          </cell>
          <cell r="W56">
            <v>5495</v>
          </cell>
          <cell r="X56">
            <v>174</v>
          </cell>
          <cell r="Y56">
            <v>8156</v>
          </cell>
          <cell r="Z56">
            <v>24886</v>
          </cell>
          <cell r="AA56">
            <v>3505</v>
          </cell>
          <cell r="AB56">
            <v>2414</v>
          </cell>
          <cell r="AC56">
            <v>1091</v>
          </cell>
          <cell r="AD56">
            <v>28390</v>
          </cell>
          <cell r="AE56">
            <v>7553</v>
          </cell>
          <cell r="AF56">
            <v>12343</v>
          </cell>
          <cell r="AG56">
            <v>2966</v>
          </cell>
          <cell r="AH56">
            <v>30</v>
          </cell>
          <cell r="AI56">
            <v>0</v>
          </cell>
          <cell r="AJ56">
            <v>15339</v>
          </cell>
          <cell r="AK56">
            <v>22892</v>
          </cell>
          <cell r="AL56">
            <v>5288</v>
          </cell>
          <cell r="AM56">
            <v>0</v>
          </cell>
          <cell r="AN56">
            <v>5288</v>
          </cell>
          <cell r="AO56">
            <v>28180</v>
          </cell>
          <cell r="AP56">
            <v>8855</v>
          </cell>
          <cell r="AQ56">
            <v>3413</v>
          </cell>
          <cell r="AR56">
            <v>-319</v>
          </cell>
          <cell r="AS56">
            <v>5260</v>
          </cell>
          <cell r="AT56">
            <v>0</v>
          </cell>
          <cell r="AU56">
            <v>17208</v>
          </cell>
          <cell r="AV56">
            <v>17208</v>
          </cell>
          <cell r="AW56">
            <v>2492</v>
          </cell>
          <cell r="AX56">
            <v>0</v>
          </cell>
          <cell r="AY56">
            <v>2492</v>
          </cell>
          <cell r="AZ56">
            <v>5514</v>
          </cell>
          <cell r="BA56">
            <v>162</v>
          </cell>
          <cell r="BB56">
            <v>8168</v>
          </cell>
          <cell r="BC56">
            <v>25376</v>
          </cell>
          <cell r="BD56">
            <v>2804</v>
          </cell>
          <cell r="BE56">
            <v>1714</v>
          </cell>
          <cell r="BF56">
            <v>1090</v>
          </cell>
          <cell r="BG56">
            <v>28180</v>
          </cell>
          <cell r="BH56">
            <v>7553</v>
          </cell>
          <cell r="BI56">
            <v>12195</v>
          </cell>
          <cell r="BJ56">
            <v>1274</v>
          </cell>
          <cell r="BK56">
            <v>79</v>
          </cell>
          <cell r="BL56">
            <v>0</v>
          </cell>
          <cell r="BM56">
            <v>13548</v>
          </cell>
          <cell r="BN56">
            <v>21101</v>
          </cell>
          <cell r="BO56">
            <v>5288</v>
          </cell>
          <cell r="BP56">
            <v>0</v>
          </cell>
          <cell r="BQ56">
            <v>5288</v>
          </cell>
          <cell r="BR56">
            <v>26390</v>
          </cell>
          <cell r="BS56">
            <v>8917</v>
          </cell>
          <cell r="BT56">
            <v>3056</v>
          </cell>
          <cell r="BU56">
            <v>-218</v>
          </cell>
          <cell r="BV56">
            <v>5260</v>
          </cell>
          <cell r="BW56">
            <v>0</v>
          </cell>
          <cell r="BX56">
            <v>17016</v>
          </cell>
          <cell r="BY56">
            <v>17016</v>
          </cell>
          <cell r="BZ56">
            <v>2807</v>
          </cell>
          <cell r="CA56">
            <v>0</v>
          </cell>
          <cell r="CB56">
            <v>2807</v>
          </cell>
          <cell r="CC56">
            <v>5538</v>
          </cell>
          <cell r="CD56">
            <v>162</v>
          </cell>
          <cell r="CE56">
            <v>8506</v>
          </cell>
          <cell r="CF56">
            <v>25522</v>
          </cell>
          <cell r="CG56">
            <v>868</v>
          </cell>
          <cell r="CH56">
            <v>-222</v>
          </cell>
          <cell r="CI56">
            <v>1090</v>
          </cell>
          <cell r="CJ56">
            <v>26390</v>
          </cell>
        </row>
        <row r="57">
          <cell r="A57">
            <v>36586</v>
          </cell>
          <cell r="B57">
            <v>7688</v>
          </cell>
          <cell r="C57">
            <v>13182</v>
          </cell>
          <cell r="D57">
            <v>3021</v>
          </cell>
          <cell r="E57">
            <v>13</v>
          </cell>
          <cell r="F57">
            <v>0</v>
          </cell>
          <cell r="G57">
            <v>16216</v>
          </cell>
          <cell r="H57">
            <v>23904</v>
          </cell>
          <cell r="I57">
            <v>5337</v>
          </cell>
          <cell r="J57">
            <v>0</v>
          </cell>
          <cell r="K57">
            <v>5337</v>
          </cell>
          <cell r="L57">
            <v>29241</v>
          </cell>
          <cell r="M57">
            <v>9283</v>
          </cell>
          <cell r="N57">
            <v>3319</v>
          </cell>
          <cell r="O57">
            <v>-437</v>
          </cell>
          <cell r="P57">
            <v>5410</v>
          </cell>
          <cell r="Q57">
            <v>0</v>
          </cell>
          <cell r="R57">
            <v>17575</v>
          </cell>
          <cell r="S57">
            <v>17575</v>
          </cell>
          <cell r="T57">
            <v>2813</v>
          </cell>
          <cell r="U57">
            <v>0</v>
          </cell>
          <cell r="V57">
            <v>2813</v>
          </cell>
          <cell r="W57">
            <v>5543</v>
          </cell>
          <cell r="X57">
            <v>167</v>
          </cell>
          <cell r="Y57">
            <v>8523</v>
          </cell>
          <cell r="Z57">
            <v>26098</v>
          </cell>
          <cell r="AA57">
            <v>3143</v>
          </cell>
          <cell r="AB57">
            <v>2017</v>
          </cell>
          <cell r="AC57">
            <v>1127</v>
          </cell>
          <cell r="AD57">
            <v>29241</v>
          </cell>
          <cell r="AE57">
            <v>7691</v>
          </cell>
          <cell r="AF57">
            <v>13157</v>
          </cell>
          <cell r="AG57">
            <v>3374</v>
          </cell>
          <cell r="AH57">
            <v>194</v>
          </cell>
          <cell r="AI57">
            <v>0</v>
          </cell>
          <cell r="AJ57">
            <v>16725</v>
          </cell>
          <cell r="AK57">
            <v>24416</v>
          </cell>
          <cell r="AL57">
            <v>5336</v>
          </cell>
          <cell r="AM57">
            <v>0</v>
          </cell>
          <cell r="AN57">
            <v>5336</v>
          </cell>
          <cell r="AO57">
            <v>29753</v>
          </cell>
          <cell r="AP57">
            <v>9240</v>
          </cell>
          <cell r="AQ57">
            <v>3218</v>
          </cell>
          <cell r="AR57">
            <v>-494</v>
          </cell>
          <cell r="AS57">
            <v>5416</v>
          </cell>
          <cell r="AT57">
            <v>0</v>
          </cell>
          <cell r="AU57">
            <v>17381</v>
          </cell>
          <cell r="AV57">
            <v>17381</v>
          </cell>
          <cell r="AW57">
            <v>2834</v>
          </cell>
          <cell r="AX57">
            <v>0</v>
          </cell>
          <cell r="AY57">
            <v>2834</v>
          </cell>
          <cell r="AZ57">
            <v>5519</v>
          </cell>
          <cell r="BA57">
            <v>184</v>
          </cell>
          <cell r="BB57">
            <v>8537</v>
          </cell>
          <cell r="BC57">
            <v>25918</v>
          </cell>
          <cell r="BD57">
            <v>3835</v>
          </cell>
          <cell r="BE57">
            <v>2710</v>
          </cell>
          <cell r="BF57">
            <v>1125</v>
          </cell>
          <cell r="BG57">
            <v>29753</v>
          </cell>
          <cell r="BH57">
            <v>7691</v>
          </cell>
          <cell r="BI57">
            <v>13170</v>
          </cell>
          <cell r="BJ57">
            <v>4884</v>
          </cell>
          <cell r="BK57">
            <v>640</v>
          </cell>
          <cell r="BL57">
            <v>0</v>
          </cell>
          <cell r="BM57">
            <v>18694</v>
          </cell>
          <cell r="BN57">
            <v>26385</v>
          </cell>
          <cell r="BO57">
            <v>5336</v>
          </cell>
          <cell r="BP57">
            <v>0</v>
          </cell>
          <cell r="BQ57">
            <v>5336</v>
          </cell>
          <cell r="BR57">
            <v>31721</v>
          </cell>
          <cell r="BS57">
            <v>9191</v>
          </cell>
          <cell r="BT57">
            <v>1931</v>
          </cell>
          <cell r="BU57">
            <v>-279</v>
          </cell>
          <cell r="BV57">
            <v>5416</v>
          </cell>
          <cell r="BW57">
            <v>0</v>
          </cell>
          <cell r="BX57">
            <v>16259</v>
          </cell>
          <cell r="BY57">
            <v>16259</v>
          </cell>
          <cell r="BZ57">
            <v>2588</v>
          </cell>
          <cell r="CA57">
            <v>0</v>
          </cell>
          <cell r="CB57">
            <v>2588</v>
          </cell>
          <cell r="CC57">
            <v>5562</v>
          </cell>
          <cell r="CD57">
            <v>179</v>
          </cell>
          <cell r="CE57">
            <v>8329</v>
          </cell>
          <cell r="CF57">
            <v>24588</v>
          </cell>
          <cell r="CG57">
            <v>7133</v>
          </cell>
          <cell r="CH57">
            <v>6008</v>
          </cell>
          <cell r="CI57">
            <v>1125</v>
          </cell>
          <cell r="CJ57">
            <v>31721</v>
          </cell>
        </row>
        <row r="58">
          <cell r="A58">
            <v>36678</v>
          </cell>
          <cell r="B58">
            <v>7784</v>
          </cell>
          <cell r="C58">
            <v>14118</v>
          </cell>
          <cell r="D58">
            <v>3038</v>
          </cell>
          <cell r="E58">
            <v>32</v>
          </cell>
          <cell r="F58">
            <v>0</v>
          </cell>
          <cell r="G58">
            <v>17188</v>
          </cell>
          <cell r="H58">
            <v>24972</v>
          </cell>
          <cell r="I58">
            <v>5400</v>
          </cell>
          <cell r="J58">
            <v>0</v>
          </cell>
          <cell r="K58">
            <v>5400</v>
          </cell>
          <cell r="L58">
            <v>30372</v>
          </cell>
          <cell r="M58">
            <v>9708</v>
          </cell>
          <cell r="N58">
            <v>3664</v>
          </cell>
          <cell r="O58">
            <v>-262</v>
          </cell>
          <cell r="P58">
            <v>5463</v>
          </cell>
          <cell r="Q58">
            <v>0</v>
          </cell>
          <cell r="R58">
            <v>18573</v>
          </cell>
          <cell r="S58">
            <v>18573</v>
          </cell>
          <cell r="T58">
            <v>3047</v>
          </cell>
          <cell r="U58">
            <v>0</v>
          </cell>
          <cell r="V58">
            <v>3047</v>
          </cell>
          <cell r="W58">
            <v>5422</v>
          </cell>
          <cell r="X58">
            <v>160</v>
          </cell>
          <cell r="Y58">
            <v>8630</v>
          </cell>
          <cell r="Z58">
            <v>27203</v>
          </cell>
          <cell r="AA58">
            <v>3169</v>
          </cell>
          <cell r="AB58">
            <v>1991</v>
          </cell>
          <cell r="AC58">
            <v>1178</v>
          </cell>
          <cell r="AD58">
            <v>30372</v>
          </cell>
          <cell r="AE58">
            <v>7789</v>
          </cell>
          <cell r="AF58">
            <v>14013</v>
          </cell>
          <cell r="AG58">
            <v>2706</v>
          </cell>
          <cell r="AH58">
            <v>-366</v>
          </cell>
          <cell r="AI58">
            <v>0</v>
          </cell>
          <cell r="AJ58">
            <v>16353</v>
          </cell>
          <cell r="AK58">
            <v>24142</v>
          </cell>
          <cell r="AL58">
            <v>5395</v>
          </cell>
          <cell r="AM58">
            <v>0</v>
          </cell>
          <cell r="AN58">
            <v>5395</v>
          </cell>
          <cell r="AO58">
            <v>29537</v>
          </cell>
          <cell r="AP58">
            <v>9707</v>
          </cell>
          <cell r="AQ58">
            <v>2994</v>
          </cell>
          <cell r="AR58">
            <v>-381</v>
          </cell>
          <cell r="AS58">
            <v>5471</v>
          </cell>
          <cell r="AT58">
            <v>0</v>
          </cell>
          <cell r="AU58">
            <v>17791</v>
          </cell>
          <cell r="AV58">
            <v>17791</v>
          </cell>
          <cell r="AW58">
            <v>3039</v>
          </cell>
          <cell r="AX58">
            <v>0</v>
          </cell>
          <cell r="AY58">
            <v>3039</v>
          </cell>
          <cell r="AZ58">
            <v>5507</v>
          </cell>
          <cell r="BA58">
            <v>181</v>
          </cell>
          <cell r="BB58">
            <v>8727</v>
          </cell>
          <cell r="BC58">
            <v>26518</v>
          </cell>
          <cell r="BD58">
            <v>3018</v>
          </cell>
          <cell r="BE58">
            <v>1846</v>
          </cell>
          <cell r="BF58">
            <v>1172</v>
          </cell>
          <cell r="BG58">
            <v>29537</v>
          </cell>
          <cell r="BH58">
            <v>7789</v>
          </cell>
          <cell r="BI58">
            <v>13950</v>
          </cell>
          <cell r="BJ58">
            <v>1706</v>
          </cell>
          <cell r="BK58">
            <v>-780</v>
          </cell>
          <cell r="BL58">
            <v>0</v>
          </cell>
          <cell r="BM58">
            <v>14877</v>
          </cell>
          <cell r="BN58">
            <v>22666</v>
          </cell>
          <cell r="BO58">
            <v>5395</v>
          </cell>
          <cell r="BP58">
            <v>0</v>
          </cell>
          <cell r="BQ58">
            <v>5395</v>
          </cell>
          <cell r="BR58">
            <v>28061</v>
          </cell>
          <cell r="BS58">
            <v>9566</v>
          </cell>
          <cell r="BT58">
            <v>2691</v>
          </cell>
          <cell r="BU58">
            <v>-495</v>
          </cell>
          <cell r="BV58">
            <v>5471</v>
          </cell>
          <cell r="BW58">
            <v>0</v>
          </cell>
          <cell r="BX58">
            <v>17233</v>
          </cell>
          <cell r="BY58">
            <v>17233</v>
          </cell>
          <cell r="BZ58">
            <v>2924</v>
          </cell>
          <cell r="CA58">
            <v>0</v>
          </cell>
          <cell r="CB58">
            <v>2924</v>
          </cell>
          <cell r="CC58">
            <v>5469</v>
          </cell>
          <cell r="CD58">
            <v>203</v>
          </cell>
          <cell r="CE58">
            <v>8596</v>
          </cell>
          <cell r="CF58">
            <v>25829</v>
          </cell>
          <cell r="CG58">
            <v>2232</v>
          </cell>
          <cell r="CH58">
            <v>1060</v>
          </cell>
          <cell r="CI58">
            <v>1172</v>
          </cell>
          <cell r="CJ58">
            <v>28061</v>
          </cell>
        </row>
        <row r="59">
          <cell r="A59">
            <v>36770</v>
          </cell>
          <cell r="B59">
            <v>7867</v>
          </cell>
          <cell r="C59">
            <v>14739</v>
          </cell>
          <cell r="D59">
            <v>3000</v>
          </cell>
          <cell r="E59">
            <v>377</v>
          </cell>
          <cell r="F59">
            <v>0</v>
          </cell>
          <cell r="G59">
            <v>18116</v>
          </cell>
          <cell r="H59">
            <v>25983</v>
          </cell>
          <cell r="I59">
            <v>5468</v>
          </cell>
          <cell r="J59">
            <v>0</v>
          </cell>
          <cell r="K59">
            <v>5468</v>
          </cell>
          <cell r="L59">
            <v>31451</v>
          </cell>
          <cell r="M59">
            <v>10086</v>
          </cell>
          <cell r="N59">
            <v>4201</v>
          </cell>
          <cell r="O59">
            <v>-7</v>
          </cell>
          <cell r="P59">
            <v>5484</v>
          </cell>
          <cell r="Q59">
            <v>0</v>
          </cell>
          <cell r="R59">
            <v>19765</v>
          </cell>
          <cell r="S59">
            <v>19765</v>
          </cell>
          <cell r="T59">
            <v>3137</v>
          </cell>
          <cell r="U59">
            <v>0</v>
          </cell>
          <cell r="V59">
            <v>3137</v>
          </cell>
          <cell r="W59">
            <v>5246</v>
          </cell>
          <cell r="X59">
            <v>156</v>
          </cell>
          <cell r="Y59">
            <v>8539</v>
          </cell>
          <cell r="Z59">
            <v>28304</v>
          </cell>
          <cell r="AA59">
            <v>3147</v>
          </cell>
          <cell r="AB59">
            <v>1911</v>
          </cell>
          <cell r="AC59">
            <v>1236</v>
          </cell>
          <cell r="AD59">
            <v>31451</v>
          </cell>
          <cell r="AE59">
            <v>7854</v>
          </cell>
          <cell r="AF59">
            <v>14785</v>
          </cell>
          <cell r="AG59">
            <v>3078</v>
          </cell>
          <cell r="AH59">
            <v>508</v>
          </cell>
          <cell r="AI59">
            <v>0</v>
          </cell>
          <cell r="AJ59">
            <v>18371</v>
          </cell>
          <cell r="AK59">
            <v>26225</v>
          </cell>
          <cell r="AL59">
            <v>5473</v>
          </cell>
          <cell r="AM59">
            <v>0</v>
          </cell>
          <cell r="AN59">
            <v>5473</v>
          </cell>
          <cell r="AO59">
            <v>31698</v>
          </cell>
          <cell r="AP59">
            <v>10066</v>
          </cell>
          <cell r="AQ59">
            <v>2843</v>
          </cell>
          <cell r="AR59">
            <v>45</v>
          </cell>
          <cell r="AS59">
            <v>5452</v>
          </cell>
          <cell r="AT59">
            <v>0</v>
          </cell>
          <cell r="AU59">
            <v>18407</v>
          </cell>
          <cell r="AV59">
            <v>18407</v>
          </cell>
          <cell r="AW59">
            <v>3168</v>
          </cell>
          <cell r="AX59">
            <v>0</v>
          </cell>
          <cell r="AY59">
            <v>3168</v>
          </cell>
          <cell r="AZ59">
            <v>5198</v>
          </cell>
          <cell r="BA59">
            <v>71</v>
          </cell>
          <cell r="BB59">
            <v>8437</v>
          </cell>
          <cell r="BC59">
            <v>26844</v>
          </cell>
          <cell r="BD59">
            <v>4854</v>
          </cell>
          <cell r="BE59">
            <v>3612</v>
          </cell>
          <cell r="BF59">
            <v>1242</v>
          </cell>
          <cell r="BG59">
            <v>31698</v>
          </cell>
          <cell r="BH59">
            <v>7854</v>
          </cell>
          <cell r="BI59">
            <v>15034</v>
          </cell>
          <cell r="BJ59">
            <v>4633</v>
          </cell>
          <cell r="BK59">
            <v>390</v>
          </cell>
          <cell r="BL59">
            <v>0</v>
          </cell>
          <cell r="BM59">
            <v>20057</v>
          </cell>
          <cell r="BN59">
            <v>27911</v>
          </cell>
          <cell r="BO59">
            <v>5473</v>
          </cell>
          <cell r="BP59">
            <v>0</v>
          </cell>
          <cell r="BQ59">
            <v>5473</v>
          </cell>
          <cell r="BR59">
            <v>33385</v>
          </cell>
          <cell r="BS59">
            <v>10191</v>
          </cell>
          <cell r="BT59">
            <v>3065</v>
          </cell>
          <cell r="BU59">
            <v>-166</v>
          </cell>
          <cell r="BV59">
            <v>5452</v>
          </cell>
          <cell r="BW59">
            <v>0</v>
          </cell>
          <cell r="BX59">
            <v>18543</v>
          </cell>
          <cell r="BY59">
            <v>18543</v>
          </cell>
          <cell r="BZ59">
            <v>3185</v>
          </cell>
          <cell r="CA59">
            <v>0</v>
          </cell>
          <cell r="CB59">
            <v>3185</v>
          </cell>
          <cell r="CC59">
            <v>5168</v>
          </cell>
          <cell r="CD59">
            <v>65</v>
          </cell>
          <cell r="CE59">
            <v>8418</v>
          </cell>
          <cell r="CF59">
            <v>26961</v>
          </cell>
          <cell r="CG59">
            <v>6423</v>
          </cell>
          <cell r="CH59">
            <v>5182</v>
          </cell>
          <cell r="CI59">
            <v>1242</v>
          </cell>
          <cell r="CJ59">
            <v>33385</v>
          </cell>
        </row>
        <row r="60">
          <cell r="A60">
            <v>36861</v>
          </cell>
          <cell r="B60">
            <v>7952</v>
          </cell>
          <cell r="C60">
            <v>14627</v>
          </cell>
          <cell r="D60">
            <v>2967</v>
          </cell>
          <cell r="E60">
            <v>724</v>
          </cell>
          <cell r="F60">
            <v>0</v>
          </cell>
          <cell r="G60">
            <v>18318</v>
          </cell>
          <cell r="H60">
            <v>26270</v>
          </cell>
          <cell r="I60">
            <v>5533</v>
          </cell>
          <cell r="J60">
            <v>0</v>
          </cell>
          <cell r="K60">
            <v>5533</v>
          </cell>
          <cell r="L60">
            <v>31803</v>
          </cell>
          <cell r="M60">
            <v>10361</v>
          </cell>
          <cell r="N60">
            <v>4365</v>
          </cell>
          <cell r="O60">
            <v>301</v>
          </cell>
          <cell r="P60">
            <v>5504</v>
          </cell>
          <cell r="Q60">
            <v>0</v>
          </cell>
          <cell r="R60">
            <v>20531</v>
          </cell>
          <cell r="S60">
            <v>20531</v>
          </cell>
          <cell r="T60">
            <v>2995</v>
          </cell>
          <cell r="U60">
            <v>0</v>
          </cell>
          <cell r="V60">
            <v>2995</v>
          </cell>
          <cell r="W60">
            <v>5131</v>
          </cell>
          <cell r="X60">
            <v>143</v>
          </cell>
          <cell r="Y60">
            <v>8269</v>
          </cell>
          <cell r="Z60">
            <v>28800</v>
          </cell>
          <cell r="AA60">
            <v>3003</v>
          </cell>
          <cell r="AB60">
            <v>1715</v>
          </cell>
          <cell r="AC60">
            <v>1287</v>
          </cell>
          <cell r="AD60">
            <v>31803</v>
          </cell>
          <cell r="AE60">
            <v>7953</v>
          </cell>
          <cell r="AF60">
            <v>15000</v>
          </cell>
          <cell r="AG60">
            <v>3100</v>
          </cell>
          <cell r="AH60">
            <v>891</v>
          </cell>
          <cell r="AI60">
            <v>0</v>
          </cell>
          <cell r="AJ60">
            <v>18991</v>
          </cell>
          <cell r="AK60">
            <v>26944</v>
          </cell>
          <cell r="AL60">
            <v>5532</v>
          </cell>
          <cell r="AM60">
            <v>0</v>
          </cell>
          <cell r="AN60">
            <v>5532</v>
          </cell>
          <cell r="AO60">
            <v>32476</v>
          </cell>
          <cell r="AP60">
            <v>10339</v>
          </cell>
          <cell r="AQ60">
            <v>4062</v>
          </cell>
          <cell r="AR60">
            <v>229</v>
          </cell>
          <cell r="AS60">
            <v>5507</v>
          </cell>
          <cell r="AT60">
            <v>0</v>
          </cell>
          <cell r="AU60">
            <v>20137</v>
          </cell>
          <cell r="AV60">
            <v>20137</v>
          </cell>
          <cell r="AW60">
            <v>3025</v>
          </cell>
          <cell r="AX60">
            <v>0</v>
          </cell>
          <cell r="AY60">
            <v>3025</v>
          </cell>
          <cell r="AZ60">
            <v>5071</v>
          </cell>
          <cell r="BA60">
            <v>246</v>
          </cell>
          <cell r="BB60">
            <v>8342</v>
          </cell>
          <cell r="BC60">
            <v>28479</v>
          </cell>
          <cell r="BD60">
            <v>3997</v>
          </cell>
          <cell r="BE60">
            <v>2708</v>
          </cell>
          <cell r="BF60">
            <v>1289</v>
          </cell>
          <cell r="BG60">
            <v>32476</v>
          </cell>
          <cell r="BH60">
            <v>7953</v>
          </cell>
          <cell r="BI60">
            <v>14790</v>
          </cell>
          <cell r="BJ60">
            <v>1359</v>
          </cell>
          <cell r="BK60">
            <v>964</v>
          </cell>
          <cell r="BL60">
            <v>0</v>
          </cell>
          <cell r="BM60">
            <v>17114</v>
          </cell>
          <cell r="BN60">
            <v>25067</v>
          </cell>
          <cell r="BO60">
            <v>5532</v>
          </cell>
          <cell r="BP60">
            <v>0</v>
          </cell>
          <cell r="BQ60">
            <v>5532</v>
          </cell>
          <cell r="BR60">
            <v>30599</v>
          </cell>
          <cell r="BS60">
            <v>10423</v>
          </cell>
          <cell r="BT60">
            <v>3970</v>
          </cell>
          <cell r="BU60">
            <v>339</v>
          </cell>
          <cell r="BV60">
            <v>5507</v>
          </cell>
          <cell r="BW60">
            <v>0</v>
          </cell>
          <cell r="BX60">
            <v>20240</v>
          </cell>
          <cell r="BY60">
            <v>20240</v>
          </cell>
          <cell r="BZ60">
            <v>3321</v>
          </cell>
          <cell r="CA60">
            <v>0</v>
          </cell>
          <cell r="CB60">
            <v>3321</v>
          </cell>
          <cell r="CC60">
            <v>5093</v>
          </cell>
          <cell r="CD60">
            <v>250</v>
          </cell>
          <cell r="CE60">
            <v>8664</v>
          </cell>
          <cell r="CF60">
            <v>28904</v>
          </cell>
          <cell r="CG60">
            <v>1695</v>
          </cell>
          <cell r="CH60">
            <v>406</v>
          </cell>
          <cell r="CI60">
            <v>1289</v>
          </cell>
          <cell r="CJ60">
            <v>30599</v>
          </cell>
        </row>
        <row r="61">
          <cell r="A61">
            <v>36951</v>
          </cell>
          <cell r="B61">
            <v>8044</v>
          </cell>
          <cell r="C61">
            <v>13784</v>
          </cell>
          <cell r="D61">
            <v>2906</v>
          </cell>
          <cell r="E61">
            <v>695</v>
          </cell>
          <cell r="F61">
            <v>0</v>
          </cell>
          <cell r="G61">
            <v>17386</v>
          </cell>
          <cell r="H61">
            <v>25430</v>
          </cell>
          <cell r="I61">
            <v>5581</v>
          </cell>
          <cell r="J61">
            <v>0</v>
          </cell>
          <cell r="K61">
            <v>5581</v>
          </cell>
          <cell r="L61">
            <v>31012</v>
          </cell>
          <cell r="M61">
            <v>10280</v>
          </cell>
          <cell r="N61">
            <v>4228</v>
          </cell>
          <cell r="O61">
            <v>90</v>
          </cell>
          <cell r="P61">
            <v>5519</v>
          </cell>
          <cell r="Q61">
            <v>0</v>
          </cell>
          <cell r="R61">
            <v>20118</v>
          </cell>
          <cell r="S61">
            <v>20118</v>
          </cell>
          <cell r="T61">
            <v>2727</v>
          </cell>
          <cell r="U61">
            <v>0</v>
          </cell>
          <cell r="V61">
            <v>2727</v>
          </cell>
          <cell r="W61">
            <v>5162</v>
          </cell>
          <cell r="X61">
            <v>118</v>
          </cell>
          <cell r="Y61">
            <v>8006</v>
          </cell>
          <cell r="Z61">
            <v>28124</v>
          </cell>
          <cell r="AA61">
            <v>2887</v>
          </cell>
          <cell r="AB61">
            <v>1564</v>
          </cell>
          <cell r="AC61">
            <v>1324</v>
          </cell>
          <cell r="AD61">
            <v>31012</v>
          </cell>
          <cell r="AE61">
            <v>8047</v>
          </cell>
          <cell r="AF61">
            <v>13757</v>
          </cell>
          <cell r="AG61">
            <v>2822</v>
          </cell>
          <cell r="AH61">
            <v>589</v>
          </cell>
          <cell r="AI61">
            <v>0</v>
          </cell>
          <cell r="AJ61">
            <v>17167</v>
          </cell>
          <cell r="AK61">
            <v>25215</v>
          </cell>
          <cell r="AL61">
            <v>5582</v>
          </cell>
          <cell r="AM61">
            <v>0</v>
          </cell>
          <cell r="AN61">
            <v>5582</v>
          </cell>
          <cell r="AO61">
            <v>30796</v>
          </cell>
          <cell r="AP61">
            <v>10413</v>
          </cell>
          <cell r="AQ61">
            <v>4179</v>
          </cell>
          <cell r="AR61">
            <v>340</v>
          </cell>
          <cell r="AS61">
            <v>5528</v>
          </cell>
          <cell r="AT61">
            <v>0</v>
          </cell>
          <cell r="AU61">
            <v>20461</v>
          </cell>
          <cell r="AV61">
            <v>20461</v>
          </cell>
          <cell r="AW61">
            <v>2789</v>
          </cell>
          <cell r="AX61">
            <v>0</v>
          </cell>
          <cell r="AY61">
            <v>2789</v>
          </cell>
          <cell r="AZ61">
            <v>5199</v>
          </cell>
          <cell r="BA61">
            <v>79</v>
          </cell>
          <cell r="BB61">
            <v>8066</v>
          </cell>
          <cell r="BC61">
            <v>28527</v>
          </cell>
          <cell r="BD61">
            <v>2270</v>
          </cell>
          <cell r="BE61">
            <v>945</v>
          </cell>
          <cell r="BF61">
            <v>1324</v>
          </cell>
          <cell r="BG61">
            <v>30796</v>
          </cell>
          <cell r="BH61">
            <v>8047</v>
          </cell>
          <cell r="BI61">
            <v>13862</v>
          </cell>
          <cell r="BJ61">
            <v>4102</v>
          </cell>
          <cell r="BK61">
            <v>1075</v>
          </cell>
          <cell r="BL61">
            <v>0</v>
          </cell>
          <cell r="BM61">
            <v>19039</v>
          </cell>
          <cell r="BN61">
            <v>27086</v>
          </cell>
          <cell r="BO61">
            <v>5582</v>
          </cell>
          <cell r="BP61">
            <v>0</v>
          </cell>
          <cell r="BQ61">
            <v>5582</v>
          </cell>
          <cell r="BR61">
            <v>32668</v>
          </cell>
          <cell r="BS61">
            <v>10360</v>
          </cell>
          <cell r="BT61">
            <v>2735</v>
          </cell>
          <cell r="BU61">
            <v>514</v>
          </cell>
          <cell r="BV61">
            <v>5528</v>
          </cell>
          <cell r="BW61">
            <v>0</v>
          </cell>
          <cell r="BX61">
            <v>19137</v>
          </cell>
          <cell r="BY61">
            <v>19137</v>
          </cell>
          <cell r="BZ61">
            <v>2592</v>
          </cell>
          <cell r="CA61">
            <v>0</v>
          </cell>
          <cell r="CB61">
            <v>2592</v>
          </cell>
          <cell r="CC61">
            <v>5248</v>
          </cell>
          <cell r="CD61">
            <v>73</v>
          </cell>
          <cell r="CE61">
            <v>7912</v>
          </cell>
          <cell r="CF61">
            <v>27049</v>
          </cell>
          <cell r="CG61">
            <v>5619</v>
          </cell>
          <cell r="CH61">
            <v>4295</v>
          </cell>
          <cell r="CI61">
            <v>1324</v>
          </cell>
          <cell r="CJ61">
            <v>32668</v>
          </cell>
        </row>
        <row r="62">
          <cell r="A62">
            <v>37043</v>
          </cell>
          <cell r="B62">
            <v>8136</v>
          </cell>
          <cell r="C62">
            <v>12964</v>
          </cell>
          <cell r="D62">
            <v>2871</v>
          </cell>
          <cell r="E62">
            <v>189</v>
          </cell>
          <cell r="F62">
            <v>0</v>
          </cell>
          <cell r="G62">
            <v>16023</v>
          </cell>
          <cell r="H62">
            <v>24159</v>
          </cell>
          <cell r="I62">
            <v>5610</v>
          </cell>
          <cell r="J62">
            <v>0</v>
          </cell>
          <cell r="K62">
            <v>5610</v>
          </cell>
          <cell r="L62">
            <v>29768</v>
          </cell>
          <cell r="M62">
            <v>9915</v>
          </cell>
          <cell r="N62">
            <v>4076</v>
          </cell>
          <cell r="O62">
            <v>-440</v>
          </cell>
          <cell r="P62">
            <v>5508</v>
          </cell>
          <cell r="Q62">
            <v>0</v>
          </cell>
          <cell r="R62">
            <v>19059</v>
          </cell>
          <cell r="S62">
            <v>19059</v>
          </cell>
          <cell r="T62">
            <v>2469</v>
          </cell>
          <cell r="U62">
            <v>0</v>
          </cell>
          <cell r="V62">
            <v>2469</v>
          </cell>
          <cell r="W62">
            <v>5340</v>
          </cell>
          <cell r="X62">
            <v>97</v>
          </cell>
          <cell r="Y62">
            <v>7906</v>
          </cell>
          <cell r="Z62">
            <v>26965</v>
          </cell>
          <cell r="AA62">
            <v>2804</v>
          </cell>
          <cell r="AB62">
            <v>1456</v>
          </cell>
          <cell r="AC62">
            <v>1348</v>
          </cell>
          <cell r="AD62">
            <v>29768</v>
          </cell>
          <cell r="AE62">
            <v>8136</v>
          </cell>
          <cell r="AF62">
            <v>12555</v>
          </cell>
          <cell r="AG62">
            <v>2818</v>
          </cell>
          <cell r="AH62">
            <v>533</v>
          </cell>
          <cell r="AI62">
            <v>0</v>
          </cell>
          <cell r="AJ62">
            <v>15907</v>
          </cell>
          <cell r="AK62">
            <v>24043</v>
          </cell>
          <cell r="AL62">
            <v>5623</v>
          </cell>
          <cell r="AM62">
            <v>0</v>
          </cell>
          <cell r="AN62">
            <v>5623</v>
          </cell>
          <cell r="AO62">
            <v>29665</v>
          </cell>
          <cell r="AP62">
            <v>10026</v>
          </cell>
          <cell r="AQ62">
            <v>3863</v>
          </cell>
          <cell r="AR62">
            <v>-163</v>
          </cell>
          <cell r="AS62">
            <v>5520</v>
          </cell>
          <cell r="AT62">
            <v>0</v>
          </cell>
          <cell r="AU62">
            <v>19246</v>
          </cell>
          <cell r="AV62">
            <v>19246</v>
          </cell>
          <cell r="AW62">
            <v>2292</v>
          </cell>
          <cell r="AX62">
            <v>0</v>
          </cell>
          <cell r="AY62">
            <v>2292</v>
          </cell>
          <cell r="AZ62">
            <v>5306</v>
          </cell>
          <cell r="BA62">
            <v>74</v>
          </cell>
          <cell r="BB62">
            <v>7672</v>
          </cell>
          <cell r="BC62">
            <v>26919</v>
          </cell>
          <cell r="BD62">
            <v>2747</v>
          </cell>
          <cell r="BE62">
            <v>1398</v>
          </cell>
          <cell r="BF62">
            <v>1349</v>
          </cell>
          <cell r="BG62">
            <v>29665</v>
          </cell>
          <cell r="BH62">
            <v>8136</v>
          </cell>
          <cell r="BI62">
            <v>12342</v>
          </cell>
          <cell r="BJ62">
            <v>1707</v>
          </cell>
          <cell r="BK62">
            <v>100</v>
          </cell>
          <cell r="BL62">
            <v>0</v>
          </cell>
          <cell r="BM62">
            <v>14150</v>
          </cell>
          <cell r="BN62">
            <v>22286</v>
          </cell>
          <cell r="BO62">
            <v>5623</v>
          </cell>
          <cell r="BP62">
            <v>0</v>
          </cell>
          <cell r="BQ62">
            <v>5623</v>
          </cell>
          <cell r="BR62">
            <v>27908</v>
          </cell>
          <cell r="BS62">
            <v>9862</v>
          </cell>
          <cell r="BT62">
            <v>3641</v>
          </cell>
          <cell r="BU62">
            <v>-202</v>
          </cell>
          <cell r="BV62">
            <v>5520</v>
          </cell>
          <cell r="BW62">
            <v>0</v>
          </cell>
          <cell r="BX62">
            <v>18821</v>
          </cell>
          <cell r="BY62">
            <v>18821</v>
          </cell>
          <cell r="BZ62">
            <v>2265</v>
          </cell>
          <cell r="CA62">
            <v>0</v>
          </cell>
          <cell r="CB62">
            <v>2265</v>
          </cell>
          <cell r="CC62">
            <v>5263</v>
          </cell>
          <cell r="CD62">
            <v>85</v>
          </cell>
          <cell r="CE62">
            <v>7613</v>
          </cell>
          <cell r="CF62">
            <v>26434</v>
          </cell>
          <cell r="CG62">
            <v>1474</v>
          </cell>
          <cell r="CH62">
            <v>126</v>
          </cell>
          <cell r="CI62">
            <v>1349</v>
          </cell>
          <cell r="CJ62">
            <v>27908</v>
          </cell>
        </row>
        <row r="63">
          <cell r="A63">
            <v>37135</v>
          </cell>
          <cell r="B63">
            <v>8222</v>
          </cell>
          <cell r="C63">
            <v>12439</v>
          </cell>
          <cell r="D63">
            <v>2936</v>
          </cell>
          <cell r="E63">
            <v>-220</v>
          </cell>
          <cell r="F63">
            <v>0</v>
          </cell>
          <cell r="G63">
            <v>15156</v>
          </cell>
          <cell r="H63">
            <v>23378</v>
          </cell>
          <cell r="I63">
            <v>5631</v>
          </cell>
          <cell r="J63">
            <v>0</v>
          </cell>
          <cell r="K63">
            <v>5631</v>
          </cell>
          <cell r="L63">
            <v>29008</v>
          </cell>
          <cell r="M63">
            <v>9478</v>
          </cell>
          <cell r="N63">
            <v>4002</v>
          </cell>
          <cell r="O63">
            <v>-764</v>
          </cell>
          <cell r="P63">
            <v>5476</v>
          </cell>
          <cell r="Q63">
            <v>0</v>
          </cell>
          <cell r="R63">
            <v>18192</v>
          </cell>
          <cell r="S63">
            <v>18192</v>
          </cell>
          <cell r="T63">
            <v>2388</v>
          </cell>
          <cell r="U63">
            <v>0</v>
          </cell>
          <cell r="V63">
            <v>2388</v>
          </cell>
          <cell r="W63">
            <v>5535</v>
          </cell>
          <cell r="X63">
            <v>99</v>
          </cell>
          <cell r="Y63">
            <v>8022</v>
          </cell>
          <cell r="Z63">
            <v>26214</v>
          </cell>
          <cell r="AA63">
            <v>2794</v>
          </cell>
          <cell r="AB63">
            <v>1425</v>
          </cell>
          <cell r="AC63">
            <v>1369</v>
          </cell>
          <cell r="AD63">
            <v>29008</v>
          </cell>
          <cell r="AE63">
            <v>8220</v>
          </cell>
          <cell r="AF63">
            <v>12463</v>
          </cell>
          <cell r="AG63">
            <v>2923</v>
          </cell>
          <cell r="AH63">
            <v>-605</v>
          </cell>
          <cell r="AI63">
            <v>0</v>
          </cell>
          <cell r="AJ63">
            <v>14780</v>
          </cell>
          <cell r="AK63">
            <v>23000</v>
          </cell>
          <cell r="AL63">
            <v>5622</v>
          </cell>
          <cell r="AM63">
            <v>0</v>
          </cell>
          <cell r="AN63">
            <v>5622</v>
          </cell>
          <cell r="AO63">
            <v>28622</v>
          </cell>
          <cell r="AP63">
            <v>9119</v>
          </cell>
          <cell r="AQ63">
            <v>4474</v>
          </cell>
          <cell r="AR63">
            <v>-1643</v>
          </cell>
          <cell r="AS63">
            <v>5463</v>
          </cell>
          <cell r="AT63">
            <v>0</v>
          </cell>
          <cell r="AU63">
            <v>17413</v>
          </cell>
          <cell r="AV63">
            <v>17413</v>
          </cell>
          <cell r="AW63">
            <v>2542</v>
          </cell>
          <cell r="AX63">
            <v>0</v>
          </cell>
          <cell r="AY63">
            <v>2542</v>
          </cell>
          <cell r="AZ63">
            <v>5548</v>
          </cell>
          <cell r="BA63">
            <v>110</v>
          </cell>
          <cell r="BB63">
            <v>8201</v>
          </cell>
          <cell r="BC63">
            <v>25614</v>
          </cell>
          <cell r="BD63">
            <v>3009</v>
          </cell>
          <cell r="BE63">
            <v>1642</v>
          </cell>
          <cell r="BF63">
            <v>1366</v>
          </cell>
          <cell r="BG63">
            <v>28622</v>
          </cell>
          <cell r="BH63">
            <v>8220</v>
          </cell>
          <cell r="BI63">
            <v>12762</v>
          </cell>
          <cell r="BJ63">
            <v>4434</v>
          </cell>
          <cell r="BK63">
            <v>-759</v>
          </cell>
          <cell r="BL63">
            <v>0</v>
          </cell>
          <cell r="BM63">
            <v>16437</v>
          </cell>
          <cell r="BN63">
            <v>24657</v>
          </cell>
          <cell r="BO63">
            <v>5622</v>
          </cell>
          <cell r="BP63">
            <v>0</v>
          </cell>
          <cell r="BQ63">
            <v>5622</v>
          </cell>
          <cell r="BR63">
            <v>30279</v>
          </cell>
          <cell r="BS63">
            <v>9241</v>
          </cell>
          <cell r="BT63">
            <v>5932</v>
          </cell>
          <cell r="BU63">
            <v>-1872</v>
          </cell>
          <cell r="BV63">
            <v>5463</v>
          </cell>
          <cell r="BW63">
            <v>0</v>
          </cell>
          <cell r="BX63">
            <v>18765</v>
          </cell>
          <cell r="BY63">
            <v>18765</v>
          </cell>
          <cell r="BZ63">
            <v>2513</v>
          </cell>
          <cell r="CA63">
            <v>0</v>
          </cell>
          <cell r="CB63">
            <v>2513</v>
          </cell>
          <cell r="CC63">
            <v>5519</v>
          </cell>
          <cell r="CD63">
            <v>101</v>
          </cell>
          <cell r="CE63">
            <v>8133</v>
          </cell>
          <cell r="CF63">
            <v>26897</v>
          </cell>
          <cell r="CG63">
            <v>3382</v>
          </cell>
          <cell r="CH63">
            <v>2015</v>
          </cell>
          <cell r="CI63">
            <v>1366</v>
          </cell>
          <cell r="CJ63">
            <v>30279</v>
          </cell>
        </row>
        <row r="64">
          <cell r="A64">
            <v>37226</v>
          </cell>
          <cell r="B64">
            <v>8306</v>
          </cell>
          <cell r="C64">
            <v>12362</v>
          </cell>
          <cell r="D64">
            <v>3050</v>
          </cell>
          <cell r="E64">
            <v>-141</v>
          </cell>
          <cell r="F64">
            <v>0</v>
          </cell>
          <cell r="G64">
            <v>15272</v>
          </cell>
          <cell r="H64">
            <v>23578</v>
          </cell>
          <cell r="I64">
            <v>5666</v>
          </cell>
          <cell r="J64">
            <v>0</v>
          </cell>
          <cell r="K64">
            <v>5666</v>
          </cell>
          <cell r="L64">
            <v>29244</v>
          </cell>
          <cell r="M64">
            <v>9181</v>
          </cell>
          <cell r="N64">
            <v>3856</v>
          </cell>
          <cell r="O64">
            <v>-525</v>
          </cell>
          <cell r="P64">
            <v>5462</v>
          </cell>
          <cell r="Q64">
            <v>0</v>
          </cell>
          <cell r="R64">
            <v>17974</v>
          </cell>
          <cell r="S64">
            <v>17974</v>
          </cell>
          <cell r="T64">
            <v>2688</v>
          </cell>
          <cell r="U64">
            <v>0</v>
          </cell>
          <cell r="V64">
            <v>2688</v>
          </cell>
          <cell r="W64">
            <v>5693</v>
          </cell>
          <cell r="X64">
            <v>133</v>
          </cell>
          <cell r="Y64">
            <v>8514</v>
          </cell>
          <cell r="Z64">
            <v>26488</v>
          </cell>
          <cell r="AA64">
            <v>2756</v>
          </cell>
          <cell r="AB64">
            <v>1366</v>
          </cell>
          <cell r="AC64">
            <v>1390</v>
          </cell>
          <cell r="AD64">
            <v>29244</v>
          </cell>
          <cell r="AE64">
            <v>8306</v>
          </cell>
          <cell r="AF64">
            <v>12971</v>
          </cell>
          <cell r="AG64">
            <v>3236</v>
          </cell>
          <cell r="AH64">
            <v>-312</v>
          </cell>
          <cell r="AI64">
            <v>0</v>
          </cell>
          <cell r="AJ64">
            <v>15895</v>
          </cell>
          <cell r="AK64">
            <v>24202</v>
          </cell>
          <cell r="AL64">
            <v>5663</v>
          </cell>
          <cell r="AM64">
            <v>0</v>
          </cell>
          <cell r="AN64">
            <v>5663</v>
          </cell>
          <cell r="AO64">
            <v>29864</v>
          </cell>
          <cell r="AP64">
            <v>9438</v>
          </cell>
          <cell r="AQ64">
            <v>3616</v>
          </cell>
          <cell r="AR64">
            <v>-38</v>
          </cell>
          <cell r="AS64">
            <v>5455</v>
          </cell>
          <cell r="AT64">
            <v>0</v>
          </cell>
          <cell r="AU64">
            <v>18471</v>
          </cell>
          <cell r="AV64">
            <v>18471</v>
          </cell>
          <cell r="AW64">
            <v>2429</v>
          </cell>
          <cell r="AX64">
            <v>0</v>
          </cell>
          <cell r="AY64">
            <v>2429</v>
          </cell>
          <cell r="AZ64">
            <v>5768</v>
          </cell>
          <cell r="BA64">
            <v>146</v>
          </cell>
          <cell r="BB64">
            <v>8343</v>
          </cell>
          <cell r="BC64">
            <v>26814</v>
          </cell>
          <cell r="BD64">
            <v>3051</v>
          </cell>
          <cell r="BE64">
            <v>1660</v>
          </cell>
          <cell r="BF64">
            <v>1390</v>
          </cell>
          <cell r="BG64">
            <v>29864</v>
          </cell>
          <cell r="BH64">
            <v>8306</v>
          </cell>
          <cell r="BI64">
            <v>12763</v>
          </cell>
          <cell r="BJ64">
            <v>1426</v>
          </cell>
          <cell r="BK64">
            <v>-190</v>
          </cell>
          <cell r="BL64">
            <v>0</v>
          </cell>
          <cell r="BM64">
            <v>13999</v>
          </cell>
          <cell r="BN64">
            <v>22305</v>
          </cell>
          <cell r="BO64">
            <v>5663</v>
          </cell>
          <cell r="BP64">
            <v>0</v>
          </cell>
          <cell r="BQ64">
            <v>5663</v>
          </cell>
          <cell r="BR64">
            <v>27968</v>
          </cell>
          <cell r="BS64">
            <v>9515</v>
          </cell>
          <cell r="BT64">
            <v>3806</v>
          </cell>
          <cell r="BU64">
            <v>66</v>
          </cell>
          <cell r="BV64">
            <v>5455</v>
          </cell>
          <cell r="BW64">
            <v>0</v>
          </cell>
          <cell r="BX64">
            <v>18842</v>
          </cell>
          <cell r="BY64">
            <v>18842</v>
          </cell>
          <cell r="BZ64">
            <v>2615</v>
          </cell>
          <cell r="CA64">
            <v>0</v>
          </cell>
          <cell r="CB64">
            <v>2615</v>
          </cell>
          <cell r="CC64">
            <v>5782</v>
          </cell>
          <cell r="CD64">
            <v>150</v>
          </cell>
          <cell r="CE64">
            <v>8547</v>
          </cell>
          <cell r="CF64">
            <v>27390</v>
          </cell>
          <cell r="CG64">
            <v>578</v>
          </cell>
          <cell r="CH64">
            <v>-812</v>
          </cell>
          <cell r="CI64">
            <v>1390</v>
          </cell>
          <cell r="CJ64">
            <v>27968</v>
          </cell>
        </row>
        <row r="65">
          <cell r="A65">
            <v>37316</v>
          </cell>
          <cell r="B65">
            <v>8389</v>
          </cell>
          <cell r="C65">
            <v>12782</v>
          </cell>
          <cell r="D65">
            <v>3154</v>
          </cell>
          <cell r="E65">
            <v>295</v>
          </cell>
          <cell r="F65">
            <v>0</v>
          </cell>
          <cell r="G65">
            <v>16231</v>
          </cell>
          <cell r="H65">
            <v>24620</v>
          </cell>
          <cell r="I65">
            <v>5739</v>
          </cell>
          <cell r="J65">
            <v>0</v>
          </cell>
          <cell r="K65">
            <v>5739</v>
          </cell>
          <cell r="L65">
            <v>30359</v>
          </cell>
          <cell r="M65">
            <v>9118</v>
          </cell>
          <cell r="N65">
            <v>3808</v>
          </cell>
          <cell r="O65">
            <v>37</v>
          </cell>
          <cell r="P65">
            <v>5475</v>
          </cell>
          <cell r="Q65">
            <v>0</v>
          </cell>
          <cell r="R65">
            <v>18439</v>
          </cell>
          <cell r="S65">
            <v>18439</v>
          </cell>
          <cell r="T65">
            <v>2994</v>
          </cell>
          <cell r="U65">
            <v>0</v>
          </cell>
          <cell r="V65">
            <v>2994</v>
          </cell>
          <cell r="W65">
            <v>5821</v>
          </cell>
          <cell r="X65">
            <v>150</v>
          </cell>
          <cell r="Y65">
            <v>8965</v>
          </cell>
          <cell r="Z65">
            <v>27404</v>
          </cell>
          <cell r="AA65">
            <v>2955</v>
          </cell>
          <cell r="AB65">
            <v>1546</v>
          </cell>
          <cell r="AC65">
            <v>1409</v>
          </cell>
          <cell r="AD65">
            <v>30359</v>
          </cell>
          <cell r="AE65">
            <v>8388</v>
          </cell>
          <cell r="AF65">
            <v>11775</v>
          </cell>
          <cell r="AG65">
            <v>2904</v>
          </cell>
          <cell r="AH65">
            <v>525</v>
          </cell>
          <cell r="AI65">
            <v>0</v>
          </cell>
          <cell r="AJ65">
            <v>15205</v>
          </cell>
          <cell r="AK65">
            <v>23593</v>
          </cell>
          <cell r="AL65">
            <v>5736</v>
          </cell>
          <cell r="AM65">
            <v>0</v>
          </cell>
          <cell r="AN65">
            <v>5736</v>
          </cell>
          <cell r="AO65">
            <v>29328</v>
          </cell>
          <cell r="AP65">
            <v>9005</v>
          </cell>
          <cell r="AQ65">
            <v>3552</v>
          </cell>
          <cell r="AR65">
            <v>-29</v>
          </cell>
          <cell r="AS65">
            <v>5474</v>
          </cell>
          <cell r="AT65">
            <v>0</v>
          </cell>
          <cell r="AU65">
            <v>18001</v>
          </cell>
          <cell r="AV65">
            <v>18001</v>
          </cell>
          <cell r="AW65">
            <v>3001</v>
          </cell>
          <cell r="AX65">
            <v>0</v>
          </cell>
          <cell r="AY65">
            <v>3001</v>
          </cell>
          <cell r="AZ65">
            <v>5739</v>
          </cell>
          <cell r="BA65">
            <v>139</v>
          </cell>
          <cell r="BB65">
            <v>8879</v>
          </cell>
          <cell r="BC65">
            <v>26880</v>
          </cell>
          <cell r="BD65">
            <v>2448</v>
          </cell>
          <cell r="BE65">
            <v>1038</v>
          </cell>
          <cell r="BF65">
            <v>1410</v>
          </cell>
          <cell r="BG65">
            <v>29328</v>
          </cell>
          <cell r="BH65">
            <v>8388</v>
          </cell>
          <cell r="BI65">
            <v>11960</v>
          </cell>
          <cell r="BJ65">
            <v>4270</v>
          </cell>
          <cell r="BK65">
            <v>980</v>
          </cell>
          <cell r="BL65">
            <v>0</v>
          </cell>
          <cell r="BM65">
            <v>17210</v>
          </cell>
          <cell r="BN65">
            <v>25599</v>
          </cell>
          <cell r="BO65">
            <v>5736</v>
          </cell>
          <cell r="BP65">
            <v>0</v>
          </cell>
          <cell r="BQ65">
            <v>5736</v>
          </cell>
          <cell r="BR65">
            <v>31334</v>
          </cell>
          <cell r="BS65">
            <v>8964</v>
          </cell>
          <cell r="BT65">
            <v>2633</v>
          </cell>
          <cell r="BU65">
            <v>81</v>
          </cell>
          <cell r="BV65">
            <v>5474</v>
          </cell>
          <cell r="BW65">
            <v>0</v>
          </cell>
          <cell r="BX65">
            <v>17153</v>
          </cell>
          <cell r="BY65">
            <v>17153</v>
          </cell>
          <cell r="BZ65">
            <v>2822</v>
          </cell>
          <cell r="CA65">
            <v>0</v>
          </cell>
          <cell r="CB65">
            <v>2822</v>
          </cell>
          <cell r="CC65">
            <v>5807</v>
          </cell>
          <cell r="CD65">
            <v>122</v>
          </cell>
          <cell r="CE65">
            <v>8751</v>
          </cell>
          <cell r="CF65">
            <v>25903</v>
          </cell>
          <cell r="CG65">
            <v>5431</v>
          </cell>
          <cell r="CH65">
            <v>4021</v>
          </cell>
          <cell r="CI65">
            <v>1410</v>
          </cell>
          <cell r="CJ65">
            <v>31334</v>
          </cell>
        </row>
        <row r="66">
          <cell r="A66">
            <v>37408</v>
          </cell>
          <cell r="B66">
            <v>8457</v>
          </cell>
          <cell r="C66">
            <v>13515</v>
          </cell>
          <cell r="D66">
            <v>3292</v>
          </cell>
          <cell r="E66">
            <v>695</v>
          </cell>
          <cell r="F66">
            <v>0</v>
          </cell>
          <cell r="G66">
            <v>17503</v>
          </cell>
          <cell r="H66">
            <v>25959</v>
          </cell>
          <cell r="I66">
            <v>5851</v>
          </cell>
          <cell r="J66">
            <v>0</v>
          </cell>
          <cell r="K66">
            <v>5851</v>
          </cell>
          <cell r="L66">
            <v>31810</v>
          </cell>
          <cell r="M66">
            <v>9162</v>
          </cell>
          <cell r="N66">
            <v>3927</v>
          </cell>
          <cell r="O66">
            <v>405</v>
          </cell>
          <cell r="P66">
            <v>5500</v>
          </cell>
          <cell r="Q66">
            <v>0</v>
          </cell>
          <cell r="R66">
            <v>18994</v>
          </cell>
          <cell r="S66">
            <v>18994</v>
          </cell>
          <cell r="T66">
            <v>2863</v>
          </cell>
          <cell r="U66">
            <v>0</v>
          </cell>
          <cell r="V66">
            <v>2863</v>
          </cell>
          <cell r="W66">
            <v>5938</v>
          </cell>
          <cell r="X66">
            <v>157</v>
          </cell>
          <cell r="Y66">
            <v>8958</v>
          </cell>
          <cell r="Z66">
            <v>27952</v>
          </cell>
          <cell r="AA66">
            <v>3858</v>
          </cell>
          <cell r="AB66">
            <v>2433</v>
          </cell>
          <cell r="AC66">
            <v>1425</v>
          </cell>
          <cell r="AD66">
            <v>31810</v>
          </cell>
          <cell r="AE66">
            <v>8462</v>
          </cell>
          <cell r="AF66">
            <v>13936</v>
          </cell>
          <cell r="AG66">
            <v>3444</v>
          </cell>
          <cell r="AH66">
            <v>819</v>
          </cell>
          <cell r="AI66">
            <v>0</v>
          </cell>
          <cell r="AJ66">
            <v>18199</v>
          </cell>
          <cell r="AK66">
            <v>26662</v>
          </cell>
          <cell r="AL66">
            <v>5841</v>
          </cell>
          <cell r="AM66">
            <v>0</v>
          </cell>
          <cell r="AN66">
            <v>5841</v>
          </cell>
          <cell r="AO66">
            <v>32502</v>
          </cell>
          <cell r="AP66">
            <v>9098</v>
          </cell>
          <cell r="AQ66">
            <v>4357</v>
          </cell>
          <cell r="AR66">
            <v>540</v>
          </cell>
          <cell r="AS66">
            <v>5519</v>
          </cell>
          <cell r="AT66">
            <v>0</v>
          </cell>
          <cell r="AU66">
            <v>19514</v>
          </cell>
          <cell r="AV66">
            <v>19514</v>
          </cell>
          <cell r="AW66">
            <v>3573</v>
          </cell>
          <cell r="AX66">
            <v>0</v>
          </cell>
          <cell r="AY66">
            <v>3573</v>
          </cell>
          <cell r="AZ66">
            <v>5977</v>
          </cell>
          <cell r="BA66">
            <v>160</v>
          </cell>
          <cell r="BB66">
            <v>9711</v>
          </cell>
          <cell r="BC66">
            <v>29225</v>
          </cell>
          <cell r="BD66">
            <v>3277</v>
          </cell>
          <cell r="BE66">
            <v>1852</v>
          </cell>
          <cell r="BF66">
            <v>1425</v>
          </cell>
          <cell r="BG66">
            <v>32502</v>
          </cell>
          <cell r="BH66">
            <v>8462</v>
          </cell>
          <cell r="BI66">
            <v>13535</v>
          </cell>
          <cell r="BJ66">
            <v>1965</v>
          </cell>
          <cell r="BK66">
            <v>393</v>
          </cell>
          <cell r="BL66">
            <v>0</v>
          </cell>
          <cell r="BM66">
            <v>15893</v>
          </cell>
          <cell r="BN66">
            <v>24356</v>
          </cell>
          <cell r="BO66">
            <v>5841</v>
          </cell>
          <cell r="BP66">
            <v>0</v>
          </cell>
          <cell r="BQ66">
            <v>5841</v>
          </cell>
          <cell r="BR66">
            <v>30196</v>
          </cell>
          <cell r="BS66">
            <v>8938</v>
          </cell>
          <cell r="BT66">
            <v>4508</v>
          </cell>
          <cell r="BU66">
            <v>575</v>
          </cell>
          <cell r="BV66">
            <v>5519</v>
          </cell>
          <cell r="BW66">
            <v>0</v>
          </cell>
          <cell r="BX66">
            <v>19540</v>
          </cell>
          <cell r="BY66">
            <v>19540</v>
          </cell>
          <cell r="BZ66">
            <v>3622</v>
          </cell>
          <cell r="CA66">
            <v>0</v>
          </cell>
          <cell r="CB66">
            <v>3622</v>
          </cell>
          <cell r="CC66">
            <v>5926</v>
          </cell>
          <cell r="CD66">
            <v>190</v>
          </cell>
          <cell r="CE66">
            <v>9738</v>
          </cell>
          <cell r="CF66">
            <v>29278</v>
          </cell>
          <cell r="CG66">
            <v>919</v>
          </cell>
          <cell r="CH66">
            <v>-506</v>
          </cell>
          <cell r="CI66">
            <v>1425</v>
          </cell>
          <cell r="CJ66">
            <v>30196</v>
          </cell>
        </row>
        <row r="67">
          <cell r="A67">
            <v>37500</v>
          </cell>
          <cell r="B67">
            <v>8530</v>
          </cell>
          <cell r="C67">
            <v>14194</v>
          </cell>
          <cell r="D67">
            <v>3447</v>
          </cell>
          <cell r="E67">
            <v>714</v>
          </cell>
          <cell r="F67">
            <v>0</v>
          </cell>
          <cell r="G67">
            <v>18354</v>
          </cell>
          <cell r="H67">
            <v>26885</v>
          </cell>
          <cell r="I67">
            <v>5977</v>
          </cell>
          <cell r="J67">
            <v>0</v>
          </cell>
          <cell r="K67">
            <v>5977</v>
          </cell>
          <cell r="L67">
            <v>32862</v>
          </cell>
          <cell r="M67">
            <v>9176</v>
          </cell>
          <cell r="N67">
            <v>4216</v>
          </cell>
          <cell r="O67">
            <v>450</v>
          </cell>
          <cell r="P67">
            <v>5525</v>
          </cell>
          <cell r="Q67">
            <v>0</v>
          </cell>
          <cell r="R67">
            <v>19367</v>
          </cell>
          <cell r="S67">
            <v>19367</v>
          </cell>
          <cell r="T67">
            <v>2717</v>
          </cell>
          <cell r="U67">
            <v>0</v>
          </cell>
          <cell r="V67">
            <v>2717</v>
          </cell>
          <cell r="W67">
            <v>6145</v>
          </cell>
          <cell r="X67">
            <v>156</v>
          </cell>
          <cell r="Y67">
            <v>9017</v>
          </cell>
          <cell r="Z67">
            <v>28385</v>
          </cell>
          <cell r="AA67">
            <v>4477</v>
          </cell>
          <cell r="AB67">
            <v>3037</v>
          </cell>
          <cell r="AC67">
            <v>1440</v>
          </cell>
          <cell r="AD67">
            <v>32862</v>
          </cell>
          <cell r="AE67">
            <v>8533</v>
          </cell>
          <cell r="AF67">
            <v>14582</v>
          </cell>
          <cell r="AG67">
            <v>3379</v>
          </cell>
          <cell r="AH67">
            <v>567</v>
          </cell>
          <cell r="AI67">
            <v>0</v>
          </cell>
          <cell r="AJ67">
            <v>18527</v>
          </cell>
          <cell r="AK67">
            <v>27060</v>
          </cell>
          <cell r="AL67">
            <v>5991</v>
          </cell>
          <cell r="AM67">
            <v>0</v>
          </cell>
          <cell r="AN67">
            <v>5991</v>
          </cell>
          <cell r="AO67">
            <v>33051</v>
          </cell>
          <cell r="AP67">
            <v>9336</v>
          </cell>
          <cell r="AQ67">
            <v>3928</v>
          </cell>
          <cell r="AR67">
            <v>341</v>
          </cell>
          <cell r="AS67">
            <v>5521</v>
          </cell>
          <cell r="AT67">
            <v>0</v>
          </cell>
          <cell r="AU67">
            <v>19125</v>
          </cell>
          <cell r="AV67">
            <v>19125</v>
          </cell>
          <cell r="AW67">
            <v>2095</v>
          </cell>
          <cell r="AX67">
            <v>0</v>
          </cell>
          <cell r="AY67">
            <v>2095</v>
          </cell>
          <cell r="AZ67">
            <v>6116</v>
          </cell>
          <cell r="BA67">
            <v>165</v>
          </cell>
          <cell r="BB67">
            <v>8376</v>
          </cell>
          <cell r="BC67">
            <v>27500</v>
          </cell>
          <cell r="BD67">
            <v>5551</v>
          </cell>
          <cell r="BE67">
            <v>4112</v>
          </cell>
          <cell r="BF67">
            <v>1439</v>
          </cell>
          <cell r="BG67">
            <v>33051</v>
          </cell>
          <cell r="BH67">
            <v>8472</v>
          </cell>
          <cell r="BI67">
            <v>14999</v>
          </cell>
          <cell r="BJ67">
            <v>5200</v>
          </cell>
          <cell r="BK67">
            <v>415</v>
          </cell>
          <cell r="BL67">
            <v>0</v>
          </cell>
          <cell r="BM67">
            <v>20614</v>
          </cell>
          <cell r="BN67">
            <v>29085</v>
          </cell>
          <cell r="BO67">
            <v>5991</v>
          </cell>
          <cell r="BP67">
            <v>0</v>
          </cell>
          <cell r="BQ67">
            <v>5991</v>
          </cell>
          <cell r="BR67">
            <v>35076</v>
          </cell>
          <cell r="BS67">
            <v>9467</v>
          </cell>
          <cell r="BT67">
            <v>4358</v>
          </cell>
          <cell r="BU67">
            <v>115</v>
          </cell>
          <cell r="BV67">
            <v>5521</v>
          </cell>
          <cell r="BW67">
            <v>0</v>
          </cell>
          <cell r="BX67">
            <v>19461</v>
          </cell>
          <cell r="BY67">
            <v>19461</v>
          </cell>
          <cell r="BZ67">
            <v>2032</v>
          </cell>
          <cell r="CA67">
            <v>0</v>
          </cell>
          <cell r="CB67">
            <v>2032</v>
          </cell>
          <cell r="CC67">
            <v>6081</v>
          </cell>
          <cell r="CD67">
            <v>150</v>
          </cell>
          <cell r="CE67">
            <v>8263</v>
          </cell>
          <cell r="CF67">
            <v>27723</v>
          </cell>
          <cell r="CG67">
            <v>7353</v>
          </cell>
          <cell r="CH67">
            <v>5914</v>
          </cell>
          <cell r="CI67">
            <v>1439</v>
          </cell>
          <cell r="CJ67">
            <v>35076</v>
          </cell>
        </row>
        <row r="68">
          <cell r="A68">
            <v>37591</v>
          </cell>
          <cell r="B68">
            <v>8591</v>
          </cell>
          <cell r="C68">
            <v>14395</v>
          </cell>
          <cell r="D68">
            <v>3506</v>
          </cell>
          <cell r="E68">
            <v>520</v>
          </cell>
          <cell r="F68">
            <v>0</v>
          </cell>
          <cell r="G68">
            <v>18421</v>
          </cell>
          <cell r="H68">
            <v>27012</v>
          </cell>
          <cell r="I68">
            <v>6095</v>
          </cell>
          <cell r="J68">
            <v>0</v>
          </cell>
          <cell r="K68">
            <v>6095</v>
          </cell>
          <cell r="L68">
            <v>33107</v>
          </cell>
          <cell r="M68">
            <v>9165</v>
          </cell>
          <cell r="N68">
            <v>4489</v>
          </cell>
          <cell r="O68">
            <v>495</v>
          </cell>
          <cell r="P68">
            <v>5576</v>
          </cell>
          <cell r="Q68">
            <v>0</v>
          </cell>
          <cell r="R68">
            <v>19725</v>
          </cell>
          <cell r="S68">
            <v>19725</v>
          </cell>
          <cell r="T68">
            <v>2868</v>
          </cell>
          <cell r="U68">
            <v>0</v>
          </cell>
          <cell r="V68">
            <v>2868</v>
          </cell>
          <cell r="W68">
            <v>6368</v>
          </cell>
          <cell r="X68">
            <v>167</v>
          </cell>
          <cell r="Y68">
            <v>9403</v>
          </cell>
          <cell r="Z68">
            <v>29128</v>
          </cell>
          <cell r="AA68">
            <v>3979</v>
          </cell>
          <cell r="AB68">
            <v>2525</v>
          </cell>
          <cell r="AC68">
            <v>1454</v>
          </cell>
          <cell r="AD68">
            <v>33107</v>
          </cell>
          <cell r="AE68">
            <v>8565</v>
          </cell>
          <cell r="AF68">
            <v>14137</v>
          </cell>
          <cell r="AG68">
            <v>3584</v>
          </cell>
          <cell r="AH68">
            <v>628</v>
          </cell>
          <cell r="AI68">
            <v>0</v>
          </cell>
          <cell r="AJ68">
            <v>18349</v>
          </cell>
          <cell r="AK68">
            <v>26914</v>
          </cell>
          <cell r="AL68">
            <v>6096</v>
          </cell>
          <cell r="AM68">
            <v>0</v>
          </cell>
          <cell r="AN68">
            <v>6096</v>
          </cell>
          <cell r="AO68">
            <v>33010</v>
          </cell>
          <cell r="AP68">
            <v>9140</v>
          </cell>
          <cell r="AQ68">
            <v>4526</v>
          </cell>
          <cell r="AR68">
            <v>526</v>
          </cell>
          <cell r="AS68">
            <v>5570</v>
          </cell>
          <cell r="AT68">
            <v>0</v>
          </cell>
          <cell r="AU68">
            <v>19762</v>
          </cell>
          <cell r="AV68">
            <v>19762</v>
          </cell>
          <cell r="AW68">
            <v>2463</v>
          </cell>
          <cell r="AX68">
            <v>0</v>
          </cell>
          <cell r="AY68">
            <v>2463</v>
          </cell>
          <cell r="AZ68">
            <v>6291</v>
          </cell>
          <cell r="BA68">
            <v>156</v>
          </cell>
          <cell r="BB68">
            <v>8911</v>
          </cell>
          <cell r="BC68">
            <v>28673</v>
          </cell>
          <cell r="BD68">
            <v>4337</v>
          </cell>
          <cell r="BE68">
            <v>2883</v>
          </cell>
          <cell r="BF68">
            <v>1454</v>
          </cell>
          <cell r="BG68">
            <v>33010</v>
          </cell>
          <cell r="BH68">
            <v>8628</v>
          </cell>
          <cell r="BI68">
            <v>13907</v>
          </cell>
          <cell r="BJ68">
            <v>1571</v>
          </cell>
          <cell r="BK68">
            <v>774</v>
          </cell>
          <cell r="BL68">
            <v>0</v>
          </cell>
          <cell r="BM68">
            <v>16252</v>
          </cell>
          <cell r="BN68">
            <v>24880</v>
          </cell>
          <cell r="BO68">
            <v>6096</v>
          </cell>
          <cell r="BP68">
            <v>0</v>
          </cell>
          <cell r="BQ68">
            <v>6096</v>
          </cell>
          <cell r="BR68">
            <v>30976</v>
          </cell>
          <cell r="BS68">
            <v>9211</v>
          </cell>
          <cell r="BT68">
            <v>5223</v>
          </cell>
          <cell r="BU68">
            <v>625</v>
          </cell>
          <cell r="BV68">
            <v>5570</v>
          </cell>
          <cell r="BW68">
            <v>0</v>
          </cell>
          <cell r="BX68">
            <v>20629</v>
          </cell>
          <cell r="BY68">
            <v>20629</v>
          </cell>
          <cell r="BZ68">
            <v>2633</v>
          </cell>
          <cell r="CA68">
            <v>0</v>
          </cell>
          <cell r="CB68">
            <v>2633</v>
          </cell>
          <cell r="CC68">
            <v>6297</v>
          </cell>
          <cell r="CD68">
            <v>162</v>
          </cell>
          <cell r="CE68">
            <v>9092</v>
          </cell>
          <cell r="CF68">
            <v>29720</v>
          </cell>
          <cell r="CG68">
            <v>1255</v>
          </cell>
          <cell r="CH68">
            <v>-198</v>
          </cell>
          <cell r="CI68">
            <v>1454</v>
          </cell>
          <cell r="CJ68">
            <v>30976</v>
          </cell>
        </row>
        <row r="69">
          <cell r="A69">
            <v>37681</v>
          </cell>
          <cell r="B69">
            <v>8658</v>
          </cell>
          <cell r="C69">
            <v>14210</v>
          </cell>
          <cell r="D69">
            <v>3445</v>
          </cell>
          <cell r="E69">
            <v>356</v>
          </cell>
          <cell r="F69">
            <v>0</v>
          </cell>
          <cell r="G69">
            <v>18011</v>
          </cell>
          <cell r="H69">
            <v>26669</v>
          </cell>
          <cell r="I69">
            <v>6188</v>
          </cell>
          <cell r="J69">
            <v>0</v>
          </cell>
          <cell r="K69">
            <v>6188</v>
          </cell>
          <cell r="L69">
            <v>32857</v>
          </cell>
          <cell r="M69">
            <v>9145</v>
          </cell>
          <cell r="N69">
            <v>4783</v>
          </cell>
          <cell r="O69">
            <v>599</v>
          </cell>
          <cell r="P69">
            <v>5678</v>
          </cell>
          <cell r="Q69">
            <v>0</v>
          </cell>
          <cell r="R69">
            <v>20206</v>
          </cell>
          <cell r="S69">
            <v>20206</v>
          </cell>
          <cell r="T69">
            <v>3340</v>
          </cell>
          <cell r="U69">
            <v>0</v>
          </cell>
          <cell r="V69">
            <v>3340</v>
          </cell>
          <cell r="W69">
            <v>6471</v>
          </cell>
          <cell r="X69">
            <v>184</v>
          </cell>
          <cell r="Y69">
            <v>9995</v>
          </cell>
          <cell r="Z69">
            <v>30201</v>
          </cell>
          <cell r="AA69">
            <v>2656</v>
          </cell>
          <cell r="AB69">
            <v>1192</v>
          </cell>
          <cell r="AC69">
            <v>1464</v>
          </cell>
          <cell r="AD69">
            <v>32857</v>
          </cell>
          <cell r="AE69">
            <v>8730</v>
          </cell>
          <cell r="AF69">
            <v>14235</v>
          </cell>
          <cell r="AG69">
            <v>3450</v>
          </cell>
          <cell r="AH69">
            <v>308</v>
          </cell>
          <cell r="AI69">
            <v>0</v>
          </cell>
          <cell r="AJ69">
            <v>17993</v>
          </cell>
          <cell r="AK69">
            <v>26723</v>
          </cell>
          <cell r="AL69">
            <v>6188</v>
          </cell>
          <cell r="AM69">
            <v>0</v>
          </cell>
          <cell r="AN69">
            <v>6188</v>
          </cell>
          <cell r="AO69">
            <v>32911</v>
          </cell>
          <cell r="AP69">
            <v>9098</v>
          </cell>
          <cell r="AQ69">
            <v>4823</v>
          </cell>
          <cell r="AR69">
            <v>581</v>
          </cell>
          <cell r="AS69">
            <v>5663</v>
          </cell>
          <cell r="AT69">
            <v>0</v>
          </cell>
          <cell r="AU69">
            <v>20164</v>
          </cell>
          <cell r="AV69">
            <v>20164</v>
          </cell>
          <cell r="AW69">
            <v>4196</v>
          </cell>
          <cell r="AX69">
            <v>0</v>
          </cell>
          <cell r="AY69">
            <v>4196</v>
          </cell>
          <cell r="AZ69">
            <v>6679</v>
          </cell>
          <cell r="BA69">
            <v>162</v>
          </cell>
          <cell r="BB69">
            <v>11037</v>
          </cell>
          <cell r="BC69">
            <v>31201</v>
          </cell>
          <cell r="BD69">
            <v>1710</v>
          </cell>
          <cell r="BE69">
            <v>245</v>
          </cell>
          <cell r="BF69">
            <v>1465</v>
          </cell>
          <cell r="BG69">
            <v>32911</v>
          </cell>
          <cell r="BH69">
            <v>8614</v>
          </cell>
          <cell r="BI69">
            <v>14549</v>
          </cell>
          <cell r="BJ69">
            <v>5116</v>
          </cell>
          <cell r="BK69">
            <v>736</v>
          </cell>
          <cell r="BL69">
            <v>0</v>
          </cell>
          <cell r="BM69">
            <v>20401</v>
          </cell>
          <cell r="BN69">
            <v>29016</v>
          </cell>
          <cell r="BO69">
            <v>6188</v>
          </cell>
          <cell r="BP69">
            <v>0</v>
          </cell>
          <cell r="BQ69">
            <v>6188</v>
          </cell>
          <cell r="BR69">
            <v>35204</v>
          </cell>
          <cell r="BS69">
            <v>9064</v>
          </cell>
          <cell r="BT69">
            <v>3312</v>
          </cell>
          <cell r="BU69">
            <v>622</v>
          </cell>
          <cell r="BV69">
            <v>5663</v>
          </cell>
          <cell r="BW69">
            <v>0</v>
          </cell>
          <cell r="BX69">
            <v>18660</v>
          </cell>
          <cell r="BY69">
            <v>18660</v>
          </cell>
          <cell r="BZ69">
            <v>3928</v>
          </cell>
          <cell r="CA69">
            <v>0</v>
          </cell>
          <cell r="CB69">
            <v>3928</v>
          </cell>
          <cell r="CC69">
            <v>6772</v>
          </cell>
          <cell r="CD69">
            <v>139</v>
          </cell>
          <cell r="CE69">
            <v>10838</v>
          </cell>
          <cell r="CF69">
            <v>29499</v>
          </cell>
          <cell r="CG69">
            <v>5705</v>
          </cell>
          <cell r="CH69">
            <v>4240</v>
          </cell>
          <cell r="CI69">
            <v>1465</v>
          </cell>
          <cell r="CJ69">
            <v>35204</v>
          </cell>
        </row>
        <row r="70">
          <cell r="A70">
            <v>37773</v>
          </cell>
          <cell r="B70">
            <v>8756</v>
          </cell>
          <cell r="C70">
            <v>14172</v>
          </cell>
          <cell r="D70">
            <v>3413</v>
          </cell>
          <cell r="E70">
            <v>295</v>
          </cell>
          <cell r="F70">
            <v>0</v>
          </cell>
          <cell r="G70">
            <v>17881</v>
          </cell>
          <cell r="H70">
            <v>26636</v>
          </cell>
          <cell r="I70">
            <v>6263</v>
          </cell>
          <cell r="J70">
            <v>0</v>
          </cell>
          <cell r="K70">
            <v>6263</v>
          </cell>
          <cell r="L70">
            <v>32899</v>
          </cell>
          <cell r="M70">
            <v>9202</v>
          </cell>
          <cell r="N70">
            <v>4963</v>
          </cell>
          <cell r="O70">
            <v>767</v>
          </cell>
          <cell r="P70">
            <v>5827</v>
          </cell>
          <cell r="Q70">
            <v>0</v>
          </cell>
          <cell r="R70">
            <v>20759</v>
          </cell>
          <cell r="S70">
            <v>20759</v>
          </cell>
          <cell r="T70">
            <v>3905</v>
          </cell>
          <cell r="U70">
            <v>0</v>
          </cell>
          <cell r="V70">
            <v>3905</v>
          </cell>
          <cell r="W70">
            <v>6449</v>
          </cell>
          <cell r="X70">
            <v>188</v>
          </cell>
          <cell r="Y70">
            <v>10541</v>
          </cell>
          <cell r="Z70">
            <v>31300</v>
          </cell>
          <cell r="AA70">
            <v>1599</v>
          </cell>
          <cell r="AB70">
            <v>132</v>
          </cell>
          <cell r="AC70">
            <v>1467</v>
          </cell>
          <cell r="AD70">
            <v>32899</v>
          </cell>
          <cell r="AE70">
            <v>8661</v>
          </cell>
          <cell r="AF70">
            <v>14193</v>
          </cell>
          <cell r="AG70">
            <v>3314</v>
          </cell>
          <cell r="AH70">
            <v>212</v>
          </cell>
          <cell r="AI70">
            <v>0</v>
          </cell>
          <cell r="AJ70">
            <v>17719</v>
          </cell>
          <cell r="AK70">
            <v>26380</v>
          </cell>
          <cell r="AL70">
            <v>6267</v>
          </cell>
          <cell r="AM70">
            <v>0</v>
          </cell>
          <cell r="AN70">
            <v>6267</v>
          </cell>
          <cell r="AO70">
            <v>32648</v>
          </cell>
          <cell r="AP70">
            <v>9219</v>
          </cell>
          <cell r="AQ70">
            <v>4992</v>
          </cell>
          <cell r="AR70">
            <v>644</v>
          </cell>
          <cell r="AS70">
            <v>5844</v>
          </cell>
          <cell r="AT70">
            <v>0</v>
          </cell>
          <cell r="AU70">
            <v>20698</v>
          </cell>
          <cell r="AV70">
            <v>20698</v>
          </cell>
          <cell r="AW70">
            <v>3415</v>
          </cell>
          <cell r="AX70">
            <v>0</v>
          </cell>
          <cell r="AY70">
            <v>3415</v>
          </cell>
          <cell r="AZ70">
            <v>6345</v>
          </cell>
          <cell r="BA70">
            <v>240</v>
          </cell>
          <cell r="BB70">
            <v>10000</v>
          </cell>
          <cell r="BC70">
            <v>30698</v>
          </cell>
          <cell r="BD70">
            <v>1949</v>
          </cell>
          <cell r="BE70">
            <v>477</v>
          </cell>
          <cell r="BF70">
            <v>1472</v>
          </cell>
          <cell r="BG70">
            <v>32648</v>
          </cell>
          <cell r="BH70">
            <v>8777</v>
          </cell>
          <cell r="BI70">
            <v>13661</v>
          </cell>
          <cell r="BJ70">
            <v>1795</v>
          </cell>
          <cell r="BK70">
            <v>-237</v>
          </cell>
          <cell r="BL70">
            <v>0</v>
          </cell>
          <cell r="BM70">
            <v>15219</v>
          </cell>
          <cell r="BN70">
            <v>23996</v>
          </cell>
          <cell r="BO70">
            <v>6267</v>
          </cell>
          <cell r="BP70">
            <v>0</v>
          </cell>
          <cell r="BQ70">
            <v>6267</v>
          </cell>
          <cell r="BR70">
            <v>30263</v>
          </cell>
          <cell r="BS70">
            <v>9052</v>
          </cell>
          <cell r="BT70">
            <v>5161</v>
          </cell>
          <cell r="BU70">
            <v>742</v>
          </cell>
          <cell r="BV70">
            <v>5844</v>
          </cell>
          <cell r="BW70">
            <v>0</v>
          </cell>
          <cell r="BX70">
            <v>20799</v>
          </cell>
          <cell r="BY70">
            <v>20799</v>
          </cell>
          <cell r="BZ70">
            <v>3560</v>
          </cell>
          <cell r="CA70">
            <v>0</v>
          </cell>
          <cell r="CB70">
            <v>3560</v>
          </cell>
          <cell r="CC70">
            <v>6292</v>
          </cell>
          <cell r="CD70">
            <v>287</v>
          </cell>
          <cell r="CE70">
            <v>10139</v>
          </cell>
          <cell r="CF70">
            <v>30937</v>
          </cell>
          <cell r="CG70">
            <v>-674</v>
          </cell>
          <cell r="CH70">
            <v>-2146</v>
          </cell>
          <cell r="CI70">
            <v>1472</v>
          </cell>
          <cell r="CJ70">
            <v>30263</v>
          </cell>
        </row>
        <row r="71">
          <cell r="A71">
            <v>37865</v>
          </cell>
          <cell r="B71">
            <v>8908</v>
          </cell>
          <cell r="C71">
            <v>14575</v>
          </cell>
          <cell r="D71">
            <v>3451</v>
          </cell>
          <cell r="E71">
            <v>356</v>
          </cell>
          <cell r="F71">
            <v>0</v>
          </cell>
          <cell r="G71">
            <v>18382</v>
          </cell>
          <cell r="H71">
            <v>27290</v>
          </cell>
          <cell r="I71">
            <v>6333</v>
          </cell>
          <cell r="J71">
            <v>0</v>
          </cell>
          <cell r="K71">
            <v>6333</v>
          </cell>
          <cell r="L71">
            <v>33623</v>
          </cell>
          <cell r="M71">
            <v>9585</v>
          </cell>
          <cell r="N71">
            <v>4825</v>
          </cell>
          <cell r="O71">
            <v>797</v>
          </cell>
          <cell r="P71">
            <v>5996</v>
          </cell>
          <cell r="Q71">
            <v>0</v>
          </cell>
          <cell r="R71">
            <v>21203</v>
          </cell>
          <cell r="S71">
            <v>21203</v>
          </cell>
          <cell r="T71">
            <v>4044</v>
          </cell>
          <cell r="U71">
            <v>0</v>
          </cell>
          <cell r="V71">
            <v>4044</v>
          </cell>
          <cell r="W71">
            <v>6364</v>
          </cell>
          <cell r="X71">
            <v>169</v>
          </cell>
          <cell r="Y71">
            <v>10576</v>
          </cell>
          <cell r="Z71">
            <v>31779</v>
          </cell>
          <cell r="AA71">
            <v>1844</v>
          </cell>
          <cell r="AB71">
            <v>377</v>
          </cell>
          <cell r="AC71">
            <v>1467</v>
          </cell>
          <cell r="AD71">
            <v>33623</v>
          </cell>
          <cell r="AE71">
            <v>8952</v>
          </cell>
          <cell r="AF71">
            <v>14664</v>
          </cell>
          <cell r="AG71">
            <v>3492</v>
          </cell>
          <cell r="AH71">
            <v>448</v>
          </cell>
          <cell r="AI71">
            <v>0</v>
          </cell>
          <cell r="AJ71">
            <v>18604</v>
          </cell>
          <cell r="AK71">
            <v>27556</v>
          </cell>
          <cell r="AL71">
            <v>6328</v>
          </cell>
          <cell r="AM71">
            <v>0</v>
          </cell>
          <cell r="AN71">
            <v>6328</v>
          </cell>
          <cell r="AO71">
            <v>33884</v>
          </cell>
          <cell r="AP71">
            <v>9660</v>
          </cell>
          <cell r="AQ71">
            <v>4923</v>
          </cell>
          <cell r="AR71">
            <v>1083</v>
          </cell>
          <cell r="AS71">
            <v>6004</v>
          </cell>
          <cell r="AT71">
            <v>0</v>
          </cell>
          <cell r="AU71">
            <v>21671</v>
          </cell>
          <cell r="AV71">
            <v>21671</v>
          </cell>
          <cell r="AW71">
            <v>3926</v>
          </cell>
          <cell r="AX71">
            <v>0</v>
          </cell>
          <cell r="AY71">
            <v>3926</v>
          </cell>
          <cell r="AZ71">
            <v>6333</v>
          </cell>
          <cell r="BA71">
            <v>146</v>
          </cell>
          <cell r="BB71">
            <v>10405</v>
          </cell>
          <cell r="BC71">
            <v>32076</v>
          </cell>
          <cell r="BD71">
            <v>1808</v>
          </cell>
          <cell r="BE71">
            <v>344</v>
          </cell>
          <cell r="BF71">
            <v>1464</v>
          </cell>
          <cell r="BG71">
            <v>33884</v>
          </cell>
          <cell r="BH71">
            <v>8885</v>
          </cell>
          <cell r="BI71">
            <v>15086</v>
          </cell>
          <cell r="BJ71">
            <v>5462</v>
          </cell>
          <cell r="BK71">
            <v>324</v>
          </cell>
          <cell r="BL71">
            <v>0</v>
          </cell>
          <cell r="BM71">
            <v>20871</v>
          </cell>
          <cell r="BN71">
            <v>29756</v>
          </cell>
          <cell r="BO71">
            <v>6328</v>
          </cell>
          <cell r="BP71">
            <v>0</v>
          </cell>
          <cell r="BQ71">
            <v>6328</v>
          </cell>
          <cell r="BR71">
            <v>36084</v>
          </cell>
          <cell r="BS71">
            <v>9794</v>
          </cell>
          <cell r="BT71">
            <v>5621</v>
          </cell>
          <cell r="BU71">
            <v>854</v>
          </cell>
          <cell r="BV71">
            <v>6004</v>
          </cell>
          <cell r="BW71">
            <v>0</v>
          </cell>
          <cell r="BX71">
            <v>22273</v>
          </cell>
          <cell r="BY71">
            <v>22273</v>
          </cell>
          <cell r="BZ71">
            <v>3750</v>
          </cell>
          <cell r="CA71">
            <v>0</v>
          </cell>
          <cell r="CB71">
            <v>3750</v>
          </cell>
          <cell r="CC71">
            <v>6292</v>
          </cell>
          <cell r="CD71">
            <v>135</v>
          </cell>
          <cell r="CE71">
            <v>10176</v>
          </cell>
          <cell r="CF71">
            <v>32449</v>
          </cell>
          <cell r="CG71">
            <v>3635</v>
          </cell>
          <cell r="CH71">
            <v>2171</v>
          </cell>
          <cell r="CI71">
            <v>1464</v>
          </cell>
          <cell r="CJ71">
            <v>36084</v>
          </cell>
        </row>
        <row r="72">
          <cell r="A72">
            <v>37956</v>
          </cell>
          <cell r="B72">
            <v>9085</v>
          </cell>
          <cell r="C72">
            <v>15666</v>
          </cell>
          <cell r="D72">
            <v>3472</v>
          </cell>
          <cell r="E72">
            <v>580</v>
          </cell>
          <cell r="F72">
            <v>0</v>
          </cell>
          <cell r="G72">
            <v>19719</v>
          </cell>
          <cell r="H72">
            <v>28804</v>
          </cell>
          <cell r="I72">
            <v>6408</v>
          </cell>
          <cell r="J72">
            <v>0</v>
          </cell>
          <cell r="K72">
            <v>6408</v>
          </cell>
          <cell r="L72">
            <v>35212</v>
          </cell>
          <cell r="M72">
            <v>10312</v>
          </cell>
          <cell r="N72">
            <v>4655</v>
          </cell>
          <cell r="O72">
            <v>727</v>
          </cell>
          <cell r="P72">
            <v>6187</v>
          </cell>
          <cell r="Q72">
            <v>0</v>
          </cell>
          <cell r="R72">
            <v>21881</v>
          </cell>
          <cell r="S72">
            <v>21881</v>
          </cell>
          <cell r="T72">
            <v>3770</v>
          </cell>
          <cell r="U72">
            <v>0</v>
          </cell>
          <cell r="V72">
            <v>3770</v>
          </cell>
          <cell r="W72">
            <v>6325</v>
          </cell>
          <cell r="X72">
            <v>147</v>
          </cell>
          <cell r="Y72">
            <v>10241</v>
          </cell>
          <cell r="Z72">
            <v>32123</v>
          </cell>
          <cell r="AA72">
            <v>3089</v>
          </cell>
          <cell r="AB72">
            <v>1616</v>
          </cell>
          <cell r="AC72">
            <v>1473</v>
          </cell>
          <cell r="AD72">
            <v>35212</v>
          </cell>
          <cell r="AE72">
            <v>9078</v>
          </cell>
          <cell r="AF72">
            <v>15037</v>
          </cell>
          <cell r="AG72">
            <v>3506</v>
          </cell>
          <cell r="AH72">
            <v>498</v>
          </cell>
          <cell r="AI72">
            <v>0</v>
          </cell>
          <cell r="AJ72">
            <v>19041</v>
          </cell>
          <cell r="AK72">
            <v>28118</v>
          </cell>
          <cell r="AL72">
            <v>6407</v>
          </cell>
          <cell r="AM72">
            <v>0</v>
          </cell>
          <cell r="AN72">
            <v>6407</v>
          </cell>
          <cell r="AO72">
            <v>34525</v>
          </cell>
          <cell r="AP72">
            <v>9900</v>
          </cell>
          <cell r="AQ72">
            <v>4539</v>
          </cell>
          <cell r="AR72">
            <v>614</v>
          </cell>
          <cell r="AS72">
            <v>6178</v>
          </cell>
          <cell r="AT72">
            <v>0</v>
          </cell>
          <cell r="AU72">
            <v>21231</v>
          </cell>
          <cell r="AV72">
            <v>21231</v>
          </cell>
          <cell r="AW72">
            <v>4457</v>
          </cell>
          <cell r="AX72">
            <v>0</v>
          </cell>
          <cell r="AY72">
            <v>4457</v>
          </cell>
          <cell r="AZ72">
            <v>6397</v>
          </cell>
          <cell r="BA72">
            <v>132</v>
          </cell>
          <cell r="BB72">
            <v>10987</v>
          </cell>
          <cell r="BC72">
            <v>32217</v>
          </cell>
          <cell r="BD72">
            <v>2308</v>
          </cell>
          <cell r="BE72">
            <v>836</v>
          </cell>
          <cell r="BF72">
            <v>1471</v>
          </cell>
          <cell r="BG72">
            <v>34525</v>
          </cell>
          <cell r="BH72">
            <v>9145</v>
          </cell>
          <cell r="BI72">
            <v>14848</v>
          </cell>
          <cell r="BJ72">
            <v>1511</v>
          </cell>
          <cell r="BK72">
            <v>678</v>
          </cell>
          <cell r="BL72">
            <v>0</v>
          </cell>
          <cell r="BM72">
            <v>17038</v>
          </cell>
          <cell r="BN72">
            <v>26183</v>
          </cell>
          <cell r="BO72">
            <v>6407</v>
          </cell>
          <cell r="BP72">
            <v>0</v>
          </cell>
          <cell r="BQ72">
            <v>6407</v>
          </cell>
          <cell r="BR72">
            <v>32590</v>
          </cell>
          <cell r="BS72">
            <v>9974</v>
          </cell>
          <cell r="BT72">
            <v>5385</v>
          </cell>
          <cell r="BU72">
            <v>733</v>
          </cell>
          <cell r="BV72">
            <v>6178</v>
          </cell>
          <cell r="BW72">
            <v>0</v>
          </cell>
          <cell r="BX72">
            <v>22270</v>
          </cell>
          <cell r="BY72">
            <v>22270</v>
          </cell>
          <cell r="BZ72">
            <v>4713</v>
          </cell>
          <cell r="CA72">
            <v>0</v>
          </cell>
          <cell r="CB72">
            <v>4713</v>
          </cell>
          <cell r="CC72">
            <v>6393</v>
          </cell>
          <cell r="CD72">
            <v>137</v>
          </cell>
          <cell r="CE72">
            <v>11243</v>
          </cell>
          <cell r="CF72">
            <v>33513</v>
          </cell>
          <cell r="CG72">
            <v>-923</v>
          </cell>
          <cell r="CH72">
            <v>-2394</v>
          </cell>
          <cell r="CI72">
            <v>1471</v>
          </cell>
          <cell r="CJ72">
            <v>32590</v>
          </cell>
        </row>
        <row r="73">
          <cell r="A73">
            <v>38047</v>
          </cell>
          <cell r="B73">
            <v>9259</v>
          </cell>
          <cell r="C73">
            <v>17095</v>
          </cell>
          <cell r="D73">
            <v>3480</v>
          </cell>
          <cell r="E73">
            <v>820</v>
          </cell>
          <cell r="F73">
            <v>0</v>
          </cell>
          <cell r="G73">
            <v>21395</v>
          </cell>
          <cell r="H73">
            <v>30654</v>
          </cell>
          <cell r="I73">
            <v>6492</v>
          </cell>
          <cell r="J73">
            <v>0</v>
          </cell>
          <cell r="K73">
            <v>6492</v>
          </cell>
          <cell r="L73">
            <v>37145</v>
          </cell>
          <cell r="M73">
            <v>11156</v>
          </cell>
          <cell r="N73">
            <v>4572</v>
          </cell>
          <cell r="O73">
            <v>745</v>
          </cell>
          <cell r="P73">
            <v>6418</v>
          </cell>
          <cell r="Q73">
            <v>0</v>
          </cell>
          <cell r="R73">
            <v>22892</v>
          </cell>
          <cell r="S73">
            <v>22892</v>
          </cell>
          <cell r="T73">
            <v>3358</v>
          </cell>
          <cell r="U73">
            <v>0</v>
          </cell>
          <cell r="V73">
            <v>3358</v>
          </cell>
          <cell r="W73">
            <v>6480</v>
          </cell>
          <cell r="X73">
            <v>150</v>
          </cell>
          <cell r="Y73">
            <v>9987</v>
          </cell>
          <cell r="Z73">
            <v>32879</v>
          </cell>
          <cell r="AA73">
            <v>4267</v>
          </cell>
          <cell r="AB73">
            <v>2775</v>
          </cell>
          <cell r="AC73">
            <v>1492</v>
          </cell>
          <cell r="AD73">
            <v>37145</v>
          </cell>
          <cell r="AE73">
            <v>9300</v>
          </cell>
          <cell r="AF73">
            <v>17518</v>
          </cell>
          <cell r="AG73">
            <v>3589</v>
          </cell>
          <cell r="AH73">
            <v>802</v>
          </cell>
          <cell r="AI73">
            <v>0</v>
          </cell>
          <cell r="AJ73">
            <v>21908</v>
          </cell>
          <cell r="AK73">
            <v>31209</v>
          </cell>
          <cell r="AL73">
            <v>6492</v>
          </cell>
          <cell r="AM73">
            <v>0</v>
          </cell>
          <cell r="AN73">
            <v>6492</v>
          </cell>
          <cell r="AO73">
            <v>37700</v>
          </cell>
          <cell r="AP73">
            <v>11589</v>
          </cell>
          <cell r="AQ73">
            <v>4447</v>
          </cell>
          <cell r="AR73">
            <v>587</v>
          </cell>
          <cell r="AS73">
            <v>6406</v>
          </cell>
          <cell r="AT73">
            <v>0</v>
          </cell>
          <cell r="AU73">
            <v>23029</v>
          </cell>
          <cell r="AV73">
            <v>23029</v>
          </cell>
          <cell r="AW73">
            <v>2949</v>
          </cell>
          <cell r="AX73">
            <v>0</v>
          </cell>
          <cell r="AY73">
            <v>2949</v>
          </cell>
          <cell r="AZ73">
            <v>6418</v>
          </cell>
          <cell r="BA73">
            <v>154</v>
          </cell>
          <cell r="BB73">
            <v>9522</v>
          </cell>
          <cell r="BC73">
            <v>32551</v>
          </cell>
          <cell r="BD73">
            <v>5149</v>
          </cell>
          <cell r="BE73">
            <v>3659</v>
          </cell>
          <cell r="BF73">
            <v>1491</v>
          </cell>
          <cell r="BG73">
            <v>37700</v>
          </cell>
          <cell r="BH73">
            <v>9171</v>
          </cell>
          <cell r="BI73">
            <v>17987</v>
          </cell>
          <cell r="BJ73">
            <v>5356</v>
          </cell>
          <cell r="BK73">
            <v>1210</v>
          </cell>
          <cell r="BL73">
            <v>0</v>
          </cell>
          <cell r="BM73">
            <v>24554</v>
          </cell>
          <cell r="BN73">
            <v>33725</v>
          </cell>
          <cell r="BO73">
            <v>6492</v>
          </cell>
          <cell r="BP73">
            <v>0</v>
          </cell>
          <cell r="BQ73">
            <v>6492</v>
          </cell>
          <cell r="BR73">
            <v>40217</v>
          </cell>
          <cell r="BS73">
            <v>11560</v>
          </cell>
          <cell r="BT73">
            <v>3244</v>
          </cell>
          <cell r="BU73">
            <v>578</v>
          </cell>
          <cell r="BV73">
            <v>6406</v>
          </cell>
          <cell r="BW73">
            <v>0</v>
          </cell>
          <cell r="BX73">
            <v>21789</v>
          </cell>
          <cell r="BY73">
            <v>21789</v>
          </cell>
          <cell r="BZ73">
            <v>2778</v>
          </cell>
          <cell r="CA73">
            <v>0</v>
          </cell>
          <cell r="CB73">
            <v>2778</v>
          </cell>
          <cell r="CC73">
            <v>6520</v>
          </cell>
          <cell r="CD73">
            <v>130</v>
          </cell>
          <cell r="CE73">
            <v>9429</v>
          </cell>
          <cell r="CF73">
            <v>31218</v>
          </cell>
          <cell r="CG73">
            <v>8999</v>
          </cell>
          <cell r="CH73">
            <v>7509</v>
          </cell>
          <cell r="CI73">
            <v>1491</v>
          </cell>
          <cell r="CJ73">
            <v>40217</v>
          </cell>
        </row>
        <row r="74">
          <cell r="A74">
            <v>38139</v>
          </cell>
          <cell r="B74">
            <v>9451</v>
          </cell>
          <cell r="C74">
            <v>18250</v>
          </cell>
          <cell r="D74">
            <v>3622</v>
          </cell>
          <cell r="E74">
            <v>971</v>
          </cell>
          <cell r="F74">
            <v>0</v>
          </cell>
          <cell r="G74">
            <v>22844</v>
          </cell>
          <cell r="H74">
            <v>32294</v>
          </cell>
          <cell r="I74">
            <v>6584</v>
          </cell>
          <cell r="J74">
            <v>0</v>
          </cell>
          <cell r="K74">
            <v>6584</v>
          </cell>
          <cell r="L74">
            <v>38878</v>
          </cell>
          <cell r="M74">
            <v>11840</v>
          </cell>
          <cell r="N74">
            <v>4589</v>
          </cell>
          <cell r="O74">
            <v>947</v>
          </cell>
          <cell r="P74">
            <v>6695</v>
          </cell>
          <cell r="Q74">
            <v>0</v>
          </cell>
          <cell r="R74">
            <v>24072</v>
          </cell>
          <cell r="S74">
            <v>24072</v>
          </cell>
          <cell r="T74">
            <v>3054</v>
          </cell>
          <cell r="U74">
            <v>0</v>
          </cell>
          <cell r="V74">
            <v>3054</v>
          </cell>
          <cell r="W74">
            <v>6786</v>
          </cell>
          <cell r="X74">
            <v>166</v>
          </cell>
          <cell r="Y74">
            <v>10007</v>
          </cell>
          <cell r="Z74">
            <v>34079</v>
          </cell>
          <cell r="AA74">
            <v>4799</v>
          </cell>
          <cell r="AB74">
            <v>3275</v>
          </cell>
          <cell r="AC74">
            <v>1524</v>
          </cell>
          <cell r="AD74">
            <v>38878</v>
          </cell>
          <cell r="AE74">
            <v>9392</v>
          </cell>
          <cell r="AF74">
            <v>18643</v>
          </cell>
          <cell r="AG74">
            <v>3326</v>
          </cell>
          <cell r="AH74">
            <v>1115</v>
          </cell>
          <cell r="AI74">
            <v>0</v>
          </cell>
          <cell r="AJ74">
            <v>23084</v>
          </cell>
          <cell r="AK74">
            <v>32476</v>
          </cell>
          <cell r="AL74">
            <v>6583</v>
          </cell>
          <cell r="AM74">
            <v>0</v>
          </cell>
          <cell r="AN74">
            <v>6583</v>
          </cell>
          <cell r="AO74">
            <v>39059</v>
          </cell>
          <cell r="AP74">
            <v>11808</v>
          </cell>
          <cell r="AQ74">
            <v>4844</v>
          </cell>
          <cell r="AR74">
            <v>978</v>
          </cell>
          <cell r="AS74">
            <v>6701</v>
          </cell>
          <cell r="AT74">
            <v>0</v>
          </cell>
          <cell r="AU74">
            <v>24330</v>
          </cell>
          <cell r="AV74">
            <v>24330</v>
          </cell>
          <cell r="AW74">
            <v>2784</v>
          </cell>
          <cell r="AX74">
            <v>0</v>
          </cell>
          <cell r="AY74">
            <v>2784</v>
          </cell>
          <cell r="AZ74">
            <v>6663</v>
          </cell>
          <cell r="BA74">
            <v>170</v>
          </cell>
          <cell r="BB74">
            <v>9617</v>
          </cell>
          <cell r="BC74">
            <v>33948</v>
          </cell>
          <cell r="BD74">
            <v>5111</v>
          </cell>
          <cell r="BE74">
            <v>3589</v>
          </cell>
          <cell r="BF74">
            <v>1522</v>
          </cell>
          <cell r="BG74">
            <v>39059</v>
          </cell>
          <cell r="BH74">
            <v>9523</v>
          </cell>
          <cell r="BI74">
            <v>17784</v>
          </cell>
          <cell r="BJ74">
            <v>1748</v>
          </cell>
          <cell r="BK74">
            <v>582</v>
          </cell>
          <cell r="BL74">
            <v>0</v>
          </cell>
          <cell r="BM74">
            <v>20114</v>
          </cell>
          <cell r="BN74">
            <v>29637</v>
          </cell>
          <cell r="BO74">
            <v>6583</v>
          </cell>
          <cell r="BP74">
            <v>0</v>
          </cell>
          <cell r="BQ74">
            <v>6583</v>
          </cell>
          <cell r="BR74">
            <v>36220</v>
          </cell>
          <cell r="BS74">
            <v>11587</v>
          </cell>
          <cell r="BT74">
            <v>5221</v>
          </cell>
          <cell r="BU74">
            <v>1087</v>
          </cell>
          <cell r="BV74">
            <v>6701</v>
          </cell>
          <cell r="BW74">
            <v>0</v>
          </cell>
          <cell r="BX74">
            <v>24595</v>
          </cell>
          <cell r="BY74">
            <v>24595</v>
          </cell>
          <cell r="BZ74">
            <v>2928</v>
          </cell>
          <cell r="CA74">
            <v>0</v>
          </cell>
          <cell r="CB74">
            <v>2928</v>
          </cell>
          <cell r="CC74">
            <v>6614</v>
          </cell>
          <cell r="CD74">
            <v>201</v>
          </cell>
          <cell r="CE74">
            <v>9743</v>
          </cell>
          <cell r="CF74">
            <v>34338</v>
          </cell>
          <cell r="CG74">
            <v>1882</v>
          </cell>
          <cell r="CH74">
            <v>359</v>
          </cell>
          <cell r="CI74">
            <v>1522</v>
          </cell>
          <cell r="CJ74">
            <v>36220</v>
          </cell>
        </row>
        <row r="75">
          <cell r="A75">
            <v>38231</v>
          </cell>
          <cell r="B75">
            <v>9691</v>
          </cell>
          <cell r="C75">
            <v>18907</v>
          </cell>
          <cell r="D75">
            <v>3992</v>
          </cell>
          <cell r="E75">
            <v>919</v>
          </cell>
          <cell r="F75">
            <v>0</v>
          </cell>
          <cell r="G75">
            <v>23818</v>
          </cell>
          <cell r="H75">
            <v>33509</v>
          </cell>
          <cell r="I75">
            <v>6677</v>
          </cell>
          <cell r="J75">
            <v>0</v>
          </cell>
          <cell r="K75">
            <v>6677</v>
          </cell>
          <cell r="L75">
            <v>40186</v>
          </cell>
          <cell r="M75">
            <v>12254</v>
          </cell>
          <cell r="N75">
            <v>4651</v>
          </cell>
          <cell r="O75">
            <v>1158</v>
          </cell>
          <cell r="P75">
            <v>6997</v>
          </cell>
          <cell r="Q75">
            <v>0</v>
          </cell>
          <cell r="R75">
            <v>25059</v>
          </cell>
          <cell r="S75">
            <v>25059</v>
          </cell>
          <cell r="T75">
            <v>3233</v>
          </cell>
          <cell r="U75">
            <v>0</v>
          </cell>
          <cell r="V75">
            <v>3233</v>
          </cell>
          <cell r="W75">
            <v>7173</v>
          </cell>
          <cell r="X75">
            <v>163</v>
          </cell>
          <cell r="Y75">
            <v>10569</v>
          </cell>
          <cell r="Z75">
            <v>35628</v>
          </cell>
          <cell r="AA75">
            <v>4558</v>
          </cell>
          <cell r="AB75">
            <v>2998</v>
          </cell>
          <cell r="AC75">
            <v>1560</v>
          </cell>
          <cell r="AD75">
            <v>40186</v>
          </cell>
          <cell r="AE75">
            <v>9674</v>
          </cell>
          <cell r="AF75">
            <v>18428</v>
          </cell>
          <cell r="AG75">
            <v>4102</v>
          </cell>
          <cell r="AH75">
            <v>888</v>
          </cell>
          <cell r="AI75">
            <v>0</v>
          </cell>
          <cell r="AJ75">
            <v>23418</v>
          </cell>
          <cell r="AK75">
            <v>33092</v>
          </cell>
          <cell r="AL75">
            <v>6679</v>
          </cell>
          <cell r="AM75">
            <v>0</v>
          </cell>
          <cell r="AN75">
            <v>6679</v>
          </cell>
          <cell r="AO75">
            <v>39771</v>
          </cell>
          <cell r="AP75">
            <v>12155</v>
          </cell>
          <cell r="AQ75">
            <v>4495</v>
          </cell>
          <cell r="AR75">
            <v>1324</v>
          </cell>
          <cell r="AS75">
            <v>7010</v>
          </cell>
          <cell r="AT75">
            <v>0</v>
          </cell>
          <cell r="AU75">
            <v>24983</v>
          </cell>
          <cell r="AV75">
            <v>24983</v>
          </cell>
          <cell r="AW75">
            <v>3516</v>
          </cell>
          <cell r="AX75">
            <v>0</v>
          </cell>
          <cell r="AY75">
            <v>3516</v>
          </cell>
          <cell r="AZ75">
            <v>7339</v>
          </cell>
          <cell r="BA75">
            <v>182</v>
          </cell>
          <cell r="BB75">
            <v>11037</v>
          </cell>
          <cell r="BC75">
            <v>36020</v>
          </cell>
          <cell r="BD75">
            <v>3751</v>
          </cell>
          <cell r="BE75">
            <v>2187</v>
          </cell>
          <cell r="BF75">
            <v>1564</v>
          </cell>
          <cell r="BG75">
            <v>39771</v>
          </cell>
          <cell r="BH75">
            <v>9606</v>
          </cell>
          <cell r="BI75">
            <v>18951</v>
          </cell>
          <cell r="BJ75">
            <v>6476</v>
          </cell>
          <cell r="BK75">
            <v>854</v>
          </cell>
          <cell r="BL75">
            <v>0</v>
          </cell>
          <cell r="BM75">
            <v>26281</v>
          </cell>
          <cell r="BN75">
            <v>35888</v>
          </cell>
          <cell r="BO75">
            <v>6679</v>
          </cell>
          <cell r="BP75">
            <v>0</v>
          </cell>
          <cell r="BQ75">
            <v>6679</v>
          </cell>
          <cell r="BR75">
            <v>42566</v>
          </cell>
          <cell r="BS75">
            <v>12314</v>
          </cell>
          <cell r="BT75">
            <v>4498</v>
          </cell>
          <cell r="BU75">
            <v>1106</v>
          </cell>
          <cell r="BV75">
            <v>7010</v>
          </cell>
          <cell r="BW75">
            <v>0</v>
          </cell>
          <cell r="BX75">
            <v>24927</v>
          </cell>
          <cell r="BY75">
            <v>24927</v>
          </cell>
          <cell r="BZ75">
            <v>3350</v>
          </cell>
          <cell r="CA75">
            <v>0</v>
          </cell>
          <cell r="CB75">
            <v>3350</v>
          </cell>
          <cell r="CC75">
            <v>7274</v>
          </cell>
          <cell r="CD75">
            <v>170</v>
          </cell>
          <cell r="CE75">
            <v>10794</v>
          </cell>
          <cell r="CF75">
            <v>35721</v>
          </cell>
          <cell r="CG75">
            <v>6845</v>
          </cell>
          <cell r="CH75">
            <v>5281</v>
          </cell>
          <cell r="CI75">
            <v>1564</v>
          </cell>
          <cell r="CJ75">
            <v>42566</v>
          </cell>
        </row>
        <row r="76">
          <cell r="A76">
            <v>38322</v>
          </cell>
          <cell r="B76">
            <v>9924</v>
          </cell>
          <cell r="C76">
            <v>19118</v>
          </cell>
          <cell r="D76">
            <v>4289</v>
          </cell>
          <cell r="E76">
            <v>831</v>
          </cell>
          <cell r="F76">
            <v>0</v>
          </cell>
          <cell r="G76">
            <v>24238</v>
          </cell>
          <cell r="H76">
            <v>34162</v>
          </cell>
          <cell r="I76">
            <v>6771</v>
          </cell>
          <cell r="J76">
            <v>0</v>
          </cell>
          <cell r="K76">
            <v>6771</v>
          </cell>
          <cell r="L76">
            <v>40933</v>
          </cell>
          <cell r="M76">
            <v>12554</v>
          </cell>
          <cell r="N76">
            <v>4743</v>
          </cell>
          <cell r="O76">
            <v>1230</v>
          </cell>
          <cell r="P76">
            <v>7312</v>
          </cell>
          <cell r="Q76">
            <v>0</v>
          </cell>
          <cell r="R76">
            <v>25839</v>
          </cell>
          <cell r="S76">
            <v>25839</v>
          </cell>
          <cell r="T76">
            <v>3892</v>
          </cell>
          <cell r="U76">
            <v>0</v>
          </cell>
          <cell r="V76">
            <v>3892</v>
          </cell>
          <cell r="W76">
            <v>7478</v>
          </cell>
          <cell r="X76">
            <v>159</v>
          </cell>
          <cell r="Y76">
            <v>11529</v>
          </cell>
          <cell r="Z76">
            <v>37368</v>
          </cell>
          <cell r="AA76">
            <v>3564</v>
          </cell>
          <cell r="AB76">
            <v>1969</v>
          </cell>
          <cell r="AC76">
            <v>1595</v>
          </cell>
          <cell r="AD76">
            <v>40933</v>
          </cell>
          <cell r="AE76">
            <v>10014</v>
          </cell>
          <cell r="AF76">
            <v>19321</v>
          </cell>
          <cell r="AG76">
            <v>4406</v>
          </cell>
          <cell r="AH76">
            <v>862</v>
          </cell>
          <cell r="AI76">
            <v>0</v>
          </cell>
          <cell r="AJ76">
            <v>24589</v>
          </cell>
          <cell r="AK76">
            <v>34603</v>
          </cell>
          <cell r="AL76">
            <v>6770</v>
          </cell>
          <cell r="AM76">
            <v>0</v>
          </cell>
          <cell r="AN76">
            <v>6770</v>
          </cell>
          <cell r="AO76">
            <v>41372</v>
          </cell>
          <cell r="AP76">
            <v>12614</v>
          </cell>
          <cell r="AQ76">
            <v>4741</v>
          </cell>
          <cell r="AR76">
            <v>1154</v>
          </cell>
          <cell r="AS76">
            <v>7304</v>
          </cell>
          <cell r="AT76">
            <v>0</v>
          </cell>
          <cell r="AU76">
            <v>25813</v>
          </cell>
          <cell r="AV76">
            <v>25813</v>
          </cell>
          <cell r="AW76">
            <v>3786</v>
          </cell>
          <cell r="AX76">
            <v>0</v>
          </cell>
          <cell r="AY76">
            <v>3786</v>
          </cell>
          <cell r="AZ76">
            <v>7400</v>
          </cell>
          <cell r="BA76">
            <v>135</v>
          </cell>
          <cell r="BB76">
            <v>11322</v>
          </cell>
          <cell r="BC76">
            <v>37134</v>
          </cell>
          <cell r="BD76">
            <v>4238</v>
          </cell>
          <cell r="BE76">
            <v>2642</v>
          </cell>
          <cell r="BF76">
            <v>1595</v>
          </cell>
          <cell r="BG76">
            <v>41372</v>
          </cell>
          <cell r="BH76">
            <v>10078</v>
          </cell>
          <cell r="BI76">
            <v>19197</v>
          </cell>
          <cell r="BJ76">
            <v>1861</v>
          </cell>
          <cell r="BK76">
            <v>1037</v>
          </cell>
          <cell r="BL76">
            <v>0</v>
          </cell>
          <cell r="BM76">
            <v>22095</v>
          </cell>
          <cell r="BN76">
            <v>32172</v>
          </cell>
          <cell r="BO76">
            <v>6770</v>
          </cell>
          <cell r="BP76">
            <v>0</v>
          </cell>
          <cell r="BQ76">
            <v>6770</v>
          </cell>
          <cell r="BR76">
            <v>38942</v>
          </cell>
          <cell r="BS76">
            <v>12712</v>
          </cell>
          <cell r="BT76">
            <v>5525</v>
          </cell>
          <cell r="BU76">
            <v>1290</v>
          </cell>
          <cell r="BV76">
            <v>7304</v>
          </cell>
          <cell r="BW76">
            <v>0</v>
          </cell>
          <cell r="BX76">
            <v>26831</v>
          </cell>
          <cell r="BY76">
            <v>26831</v>
          </cell>
          <cell r="BZ76">
            <v>3969</v>
          </cell>
          <cell r="CA76">
            <v>0</v>
          </cell>
          <cell r="CB76">
            <v>3969</v>
          </cell>
          <cell r="CC76">
            <v>7403</v>
          </cell>
          <cell r="CD76">
            <v>141</v>
          </cell>
          <cell r="CE76">
            <v>11512</v>
          </cell>
          <cell r="CF76">
            <v>38344</v>
          </cell>
          <cell r="CG76">
            <v>598</v>
          </cell>
          <cell r="CH76">
            <v>-997</v>
          </cell>
          <cell r="CI76">
            <v>1595</v>
          </cell>
          <cell r="CJ76">
            <v>38942</v>
          </cell>
        </row>
        <row r="77">
          <cell r="A77">
            <v>38412</v>
          </cell>
          <cell r="B77">
            <v>10134</v>
          </cell>
          <cell r="C77">
            <v>19481</v>
          </cell>
          <cell r="D77">
            <v>4457</v>
          </cell>
          <cell r="E77">
            <v>1008</v>
          </cell>
          <cell r="F77">
            <v>0</v>
          </cell>
          <cell r="G77">
            <v>24946</v>
          </cell>
          <cell r="H77">
            <v>35080</v>
          </cell>
          <cell r="I77">
            <v>6861</v>
          </cell>
          <cell r="J77">
            <v>0</v>
          </cell>
          <cell r="K77">
            <v>6861</v>
          </cell>
          <cell r="L77">
            <v>41941</v>
          </cell>
          <cell r="M77">
            <v>13016</v>
          </cell>
          <cell r="N77">
            <v>4949</v>
          </cell>
          <cell r="O77">
            <v>1151</v>
          </cell>
          <cell r="P77">
            <v>7647</v>
          </cell>
          <cell r="Q77">
            <v>0</v>
          </cell>
          <cell r="R77">
            <v>26763</v>
          </cell>
          <cell r="S77">
            <v>26763</v>
          </cell>
          <cell r="T77">
            <v>4374</v>
          </cell>
          <cell r="U77">
            <v>0</v>
          </cell>
          <cell r="V77">
            <v>4374</v>
          </cell>
          <cell r="W77">
            <v>7475</v>
          </cell>
          <cell r="X77">
            <v>169</v>
          </cell>
          <cell r="Y77">
            <v>12018</v>
          </cell>
          <cell r="Z77">
            <v>38781</v>
          </cell>
          <cell r="AA77">
            <v>3160</v>
          </cell>
          <cell r="AB77">
            <v>1531</v>
          </cell>
          <cell r="AC77">
            <v>1629</v>
          </cell>
          <cell r="AD77">
            <v>41941</v>
          </cell>
          <cell r="AE77">
            <v>10089</v>
          </cell>
          <cell r="AF77">
            <v>19678</v>
          </cell>
          <cell r="AG77">
            <v>4578</v>
          </cell>
          <cell r="AH77">
            <v>658</v>
          </cell>
          <cell r="AI77">
            <v>0</v>
          </cell>
          <cell r="AJ77">
            <v>24913</v>
          </cell>
          <cell r="AK77">
            <v>35002</v>
          </cell>
          <cell r="AL77">
            <v>6861</v>
          </cell>
          <cell r="AM77">
            <v>0</v>
          </cell>
          <cell r="AN77">
            <v>6861</v>
          </cell>
          <cell r="AO77">
            <v>41863</v>
          </cell>
          <cell r="AP77">
            <v>12941</v>
          </cell>
          <cell r="AQ77">
            <v>4967</v>
          </cell>
          <cell r="AR77">
            <v>987</v>
          </cell>
          <cell r="AS77">
            <v>7641</v>
          </cell>
          <cell r="AT77">
            <v>0</v>
          </cell>
          <cell r="AU77">
            <v>26536</v>
          </cell>
          <cell r="AV77">
            <v>26536</v>
          </cell>
          <cell r="AW77">
            <v>4201</v>
          </cell>
          <cell r="AX77">
            <v>0</v>
          </cell>
          <cell r="AY77">
            <v>4201</v>
          </cell>
          <cell r="AZ77">
            <v>7521</v>
          </cell>
          <cell r="BA77">
            <v>163</v>
          </cell>
          <cell r="BB77">
            <v>11886</v>
          </cell>
          <cell r="BC77">
            <v>38422</v>
          </cell>
          <cell r="BD77">
            <v>3441</v>
          </cell>
          <cell r="BE77">
            <v>1813</v>
          </cell>
          <cell r="BF77">
            <v>1628</v>
          </cell>
          <cell r="BG77">
            <v>41863</v>
          </cell>
          <cell r="BH77">
            <v>9951</v>
          </cell>
          <cell r="BI77">
            <v>20200</v>
          </cell>
          <cell r="BJ77">
            <v>6897</v>
          </cell>
          <cell r="BK77">
            <v>1089</v>
          </cell>
          <cell r="BL77">
            <v>0</v>
          </cell>
          <cell r="BM77">
            <v>28186</v>
          </cell>
          <cell r="BN77">
            <v>38136</v>
          </cell>
          <cell r="BO77">
            <v>6861</v>
          </cell>
          <cell r="BP77">
            <v>0</v>
          </cell>
          <cell r="BQ77">
            <v>6861</v>
          </cell>
          <cell r="BR77">
            <v>44997</v>
          </cell>
          <cell r="BS77">
            <v>12910</v>
          </cell>
          <cell r="BT77">
            <v>3786</v>
          </cell>
          <cell r="BU77">
            <v>975</v>
          </cell>
          <cell r="BV77">
            <v>7641</v>
          </cell>
          <cell r="BW77">
            <v>0</v>
          </cell>
          <cell r="BX77">
            <v>25312</v>
          </cell>
          <cell r="BY77">
            <v>25312</v>
          </cell>
          <cell r="BZ77">
            <v>3977</v>
          </cell>
          <cell r="CA77">
            <v>0</v>
          </cell>
          <cell r="CB77">
            <v>3977</v>
          </cell>
          <cell r="CC77">
            <v>7639</v>
          </cell>
          <cell r="CD77">
            <v>140</v>
          </cell>
          <cell r="CE77">
            <v>11756</v>
          </cell>
          <cell r="CF77">
            <v>37068</v>
          </cell>
          <cell r="CG77">
            <v>7929</v>
          </cell>
          <cell r="CH77">
            <v>6301</v>
          </cell>
          <cell r="CI77">
            <v>1628</v>
          </cell>
          <cell r="CJ77">
            <v>44997</v>
          </cell>
        </row>
        <row r="78">
          <cell r="A78">
            <v>38504</v>
          </cell>
          <cell r="B78">
            <v>10340</v>
          </cell>
          <cell r="C78">
            <v>20195</v>
          </cell>
          <cell r="D78">
            <v>4554</v>
          </cell>
          <cell r="E78">
            <v>1182</v>
          </cell>
          <cell r="F78">
            <v>0</v>
          </cell>
          <cell r="G78">
            <v>25931</v>
          </cell>
          <cell r="H78">
            <v>36272</v>
          </cell>
          <cell r="I78">
            <v>6947</v>
          </cell>
          <cell r="J78">
            <v>0</v>
          </cell>
          <cell r="K78">
            <v>6947</v>
          </cell>
          <cell r="L78">
            <v>43219</v>
          </cell>
          <cell r="M78">
            <v>13500</v>
          </cell>
          <cell r="N78">
            <v>5149</v>
          </cell>
          <cell r="O78">
            <v>887</v>
          </cell>
          <cell r="P78">
            <v>8007</v>
          </cell>
          <cell r="Q78">
            <v>0</v>
          </cell>
          <cell r="R78">
            <v>27544</v>
          </cell>
          <cell r="S78">
            <v>27544</v>
          </cell>
          <cell r="T78">
            <v>4517</v>
          </cell>
          <cell r="U78">
            <v>0</v>
          </cell>
          <cell r="V78">
            <v>4517</v>
          </cell>
          <cell r="W78">
            <v>7118</v>
          </cell>
          <cell r="X78">
            <v>198</v>
          </cell>
          <cell r="Y78">
            <v>11833</v>
          </cell>
          <cell r="Z78">
            <v>39377</v>
          </cell>
          <cell r="AA78">
            <v>3842</v>
          </cell>
          <cell r="AB78">
            <v>2179</v>
          </cell>
          <cell r="AC78">
            <v>1663</v>
          </cell>
          <cell r="AD78">
            <v>43219</v>
          </cell>
          <cell r="AE78">
            <v>10317</v>
          </cell>
          <cell r="AF78">
            <v>19551</v>
          </cell>
          <cell r="AG78">
            <v>4166</v>
          </cell>
          <cell r="AH78">
            <v>1438</v>
          </cell>
          <cell r="AI78">
            <v>0</v>
          </cell>
          <cell r="AJ78">
            <v>25155</v>
          </cell>
          <cell r="AK78">
            <v>35472</v>
          </cell>
          <cell r="AL78">
            <v>6953</v>
          </cell>
          <cell r="AM78">
            <v>0</v>
          </cell>
          <cell r="AN78">
            <v>6953</v>
          </cell>
          <cell r="AO78">
            <v>42424</v>
          </cell>
          <cell r="AP78">
            <v>13511</v>
          </cell>
          <cell r="AQ78">
            <v>5197</v>
          </cell>
          <cell r="AR78">
            <v>1202</v>
          </cell>
          <cell r="AS78">
            <v>8012</v>
          </cell>
          <cell r="AT78">
            <v>0</v>
          </cell>
          <cell r="AU78">
            <v>27922</v>
          </cell>
          <cell r="AV78">
            <v>27922</v>
          </cell>
          <cell r="AW78">
            <v>5200</v>
          </cell>
          <cell r="AX78">
            <v>0</v>
          </cell>
          <cell r="AY78">
            <v>5200</v>
          </cell>
          <cell r="AZ78">
            <v>7304</v>
          </cell>
          <cell r="BA78">
            <v>216</v>
          </cell>
          <cell r="BB78">
            <v>12720</v>
          </cell>
          <cell r="BC78">
            <v>40642</v>
          </cell>
          <cell r="BD78">
            <v>1782</v>
          </cell>
          <cell r="BE78">
            <v>120</v>
          </cell>
          <cell r="BF78">
            <v>1663</v>
          </cell>
          <cell r="BG78">
            <v>42424</v>
          </cell>
          <cell r="BH78">
            <v>10465</v>
          </cell>
          <cell r="BI78">
            <v>18588</v>
          </cell>
          <cell r="BJ78">
            <v>2135</v>
          </cell>
          <cell r="BK78">
            <v>789</v>
          </cell>
          <cell r="BL78">
            <v>0</v>
          </cell>
          <cell r="BM78">
            <v>21511</v>
          </cell>
          <cell r="BN78">
            <v>31976</v>
          </cell>
          <cell r="BO78">
            <v>6953</v>
          </cell>
          <cell r="BP78">
            <v>0</v>
          </cell>
          <cell r="BQ78">
            <v>6953</v>
          </cell>
          <cell r="BR78">
            <v>38929</v>
          </cell>
          <cell r="BS78">
            <v>13287</v>
          </cell>
          <cell r="BT78">
            <v>5482</v>
          </cell>
          <cell r="BU78">
            <v>1278</v>
          </cell>
          <cell r="BV78">
            <v>8012</v>
          </cell>
          <cell r="BW78">
            <v>0</v>
          </cell>
          <cell r="BX78">
            <v>28059</v>
          </cell>
          <cell r="BY78">
            <v>28059</v>
          </cell>
          <cell r="BZ78">
            <v>5474</v>
          </cell>
          <cell r="CA78">
            <v>0</v>
          </cell>
          <cell r="CB78">
            <v>5474</v>
          </cell>
          <cell r="CC78">
            <v>7261</v>
          </cell>
          <cell r="CD78">
            <v>246</v>
          </cell>
          <cell r="CE78">
            <v>12981</v>
          </cell>
          <cell r="CF78">
            <v>41040</v>
          </cell>
          <cell r="CG78">
            <v>-2112</v>
          </cell>
          <cell r="CH78">
            <v>-3774</v>
          </cell>
          <cell r="CI78">
            <v>1663</v>
          </cell>
          <cell r="CJ78">
            <v>38929</v>
          </cell>
        </row>
        <row r="79">
          <cell r="A79">
            <v>38596</v>
          </cell>
          <cell r="B79">
            <v>10584</v>
          </cell>
          <cell r="C79">
            <v>21068</v>
          </cell>
          <cell r="D79">
            <v>4816</v>
          </cell>
          <cell r="E79">
            <v>1041</v>
          </cell>
          <cell r="F79">
            <v>0</v>
          </cell>
          <cell r="G79">
            <v>26925</v>
          </cell>
          <cell r="H79">
            <v>37509</v>
          </cell>
          <cell r="I79">
            <v>7031</v>
          </cell>
          <cell r="J79">
            <v>0</v>
          </cell>
          <cell r="K79">
            <v>7031</v>
          </cell>
          <cell r="L79">
            <v>44540</v>
          </cell>
          <cell r="M79">
            <v>13973</v>
          </cell>
          <cell r="N79">
            <v>5448</v>
          </cell>
          <cell r="O79">
            <v>420</v>
          </cell>
          <cell r="P79">
            <v>8383</v>
          </cell>
          <cell r="Q79">
            <v>0</v>
          </cell>
          <cell r="R79">
            <v>28224</v>
          </cell>
          <cell r="S79">
            <v>28224</v>
          </cell>
          <cell r="T79">
            <v>4493</v>
          </cell>
          <cell r="U79">
            <v>0</v>
          </cell>
          <cell r="V79">
            <v>4493</v>
          </cell>
          <cell r="W79">
            <v>6712</v>
          </cell>
          <cell r="X79">
            <v>224</v>
          </cell>
          <cell r="Y79">
            <v>11429</v>
          </cell>
          <cell r="Z79">
            <v>39653</v>
          </cell>
          <cell r="AA79">
            <v>4887</v>
          </cell>
          <cell r="AB79">
            <v>3188</v>
          </cell>
          <cell r="AC79">
            <v>1698</v>
          </cell>
          <cell r="AD79">
            <v>44540</v>
          </cell>
          <cell r="AE79">
            <v>10611</v>
          </cell>
          <cell r="AF79">
            <v>21458</v>
          </cell>
          <cell r="AG79">
            <v>5231</v>
          </cell>
          <cell r="AH79">
            <v>1386</v>
          </cell>
          <cell r="AI79">
            <v>0</v>
          </cell>
          <cell r="AJ79">
            <v>28075</v>
          </cell>
          <cell r="AK79">
            <v>38685</v>
          </cell>
          <cell r="AL79">
            <v>7028</v>
          </cell>
          <cell r="AM79">
            <v>0</v>
          </cell>
          <cell r="AN79">
            <v>7028</v>
          </cell>
          <cell r="AO79">
            <v>45713</v>
          </cell>
          <cell r="AP79">
            <v>14088</v>
          </cell>
          <cell r="AQ79">
            <v>5459</v>
          </cell>
          <cell r="AR79">
            <v>307</v>
          </cell>
          <cell r="AS79">
            <v>8388</v>
          </cell>
          <cell r="AT79">
            <v>0</v>
          </cell>
          <cell r="AU79">
            <v>28242</v>
          </cell>
          <cell r="AV79">
            <v>28242</v>
          </cell>
          <cell r="AW79">
            <v>3949</v>
          </cell>
          <cell r="AX79">
            <v>0</v>
          </cell>
          <cell r="AY79">
            <v>3949</v>
          </cell>
          <cell r="AZ79">
            <v>6526</v>
          </cell>
          <cell r="BA79">
            <v>205</v>
          </cell>
          <cell r="BB79">
            <v>10680</v>
          </cell>
          <cell r="BC79">
            <v>38922</v>
          </cell>
          <cell r="BD79">
            <v>6791</v>
          </cell>
          <cell r="BE79">
            <v>5092</v>
          </cell>
          <cell r="BF79">
            <v>1699</v>
          </cell>
          <cell r="BG79">
            <v>45713</v>
          </cell>
          <cell r="BH79">
            <v>10543</v>
          </cell>
          <cell r="BI79">
            <v>21994</v>
          </cell>
          <cell r="BJ79">
            <v>8313</v>
          </cell>
          <cell r="BK79">
            <v>1446</v>
          </cell>
          <cell r="BL79">
            <v>0</v>
          </cell>
          <cell r="BM79">
            <v>31753</v>
          </cell>
          <cell r="BN79">
            <v>42296</v>
          </cell>
          <cell r="BO79">
            <v>7028</v>
          </cell>
          <cell r="BP79">
            <v>0</v>
          </cell>
          <cell r="BQ79">
            <v>7028</v>
          </cell>
          <cell r="BR79">
            <v>49324</v>
          </cell>
          <cell r="BS79">
            <v>14229</v>
          </cell>
          <cell r="BT79">
            <v>5724</v>
          </cell>
          <cell r="BU79">
            <v>1463</v>
          </cell>
          <cell r="BV79">
            <v>8388</v>
          </cell>
          <cell r="BW79">
            <v>0</v>
          </cell>
          <cell r="BX79">
            <v>29804</v>
          </cell>
          <cell r="BY79">
            <v>29804</v>
          </cell>
          <cell r="BZ79">
            <v>3782</v>
          </cell>
          <cell r="CA79">
            <v>0</v>
          </cell>
          <cell r="CB79">
            <v>3782</v>
          </cell>
          <cell r="CC79">
            <v>6453</v>
          </cell>
          <cell r="CD79">
            <v>197</v>
          </cell>
          <cell r="CE79">
            <v>10433</v>
          </cell>
          <cell r="CF79">
            <v>40237</v>
          </cell>
          <cell r="CG79">
            <v>9087</v>
          </cell>
          <cell r="CH79">
            <v>7388</v>
          </cell>
          <cell r="CI79">
            <v>1699</v>
          </cell>
          <cell r="CJ79">
            <v>49324</v>
          </cell>
        </row>
        <row r="80">
          <cell r="A80">
            <v>38687</v>
          </cell>
          <cell r="B80">
            <v>10905</v>
          </cell>
          <cell r="C80">
            <v>21875</v>
          </cell>
          <cell r="D80">
            <v>5480</v>
          </cell>
          <cell r="E80">
            <v>622</v>
          </cell>
          <cell r="F80">
            <v>0</v>
          </cell>
          <cell r="G80">
            <v>27978</v>
          </cell>
          <cell r="H80">
            <v>38883</v>
          </cell>
          <cell r="I80">
            <v>7122</v>
          </cell>
          <cell r="J80">
            <v>0</v>
          </cell>
          <cell r="K80">
            <v>7122</v>
          </cell>
          <cell r="L80">
            <v>46006</v>
          </cell>
          <cell r="M80">
            <v>14434</v>
          </cell>
          <cell r="N80">
            <v>5749</v>
          </cell>
          <cell r="O80">
            <v>-142</v>
          </cell>
          <cell r="P80">
            <v>8777</v>
          </cell>
          <cell r="Q80">
            <v>0</v>
          </cell>
          <cell r="R80">
            <v>28818</v>
          </cell>
          <cell r="S80">
            <v>28818</v>
          </cell>
          <cell r="T80">
            <v>4646</v>
          </cell>
          <cell r="U80">
            <v>0</v>
          </cell>
          <cell r="V80">
            <v>4646</v>
          </cell>
          <cell r="W80">
            <v>6448</v>
          </cell>
          <cell r="X80">
            <v>218</v>
          </cell>
          <cell r="Y80">
            <v>11312</v>
          </cell>
          <cell r="Z80">
            <v>40130</v>
          </cell>
          <cell r="AA80">
            <v>5876</v>
          </cell>
          <cell r="AB80">
            <v>4143</v>
          </cell>
          <cell r="AC80">
            <v>1733</v>
          </cell>
          <cell r="AD80">
            <v>46006</v>
          </cell>
          <cell r="AE80">
            <v>10886</v>
          </cell>
          <cell r="AF80">
            <v>22179</v>
          </cell>
          <cell r="AG80">
            <v>5150</v>
          </cell>
          <cell r="AH80">
            <v>116</v>
          </cell>
          <cell r="AI80">
            <v>0</v>
          </cell>
          <cell r="AJ80">
            <v>27444</v>
          </cell>
          <cell r="AK80">
            <v>38330</v>
          </cell>
          <cell r="AL80">
            <v>7120</v>
          </cell>
          <cell r="AM80">
            <v>0</v>
          </cell>
          <cell r="AN80">
            <v>7120</v>
          </cell>
          <cell r="AO80">
            <v>45450</v>
          </cell>
          <cell r="AP80">
            <v>14384</v>
          </cell>
          <cell r="AQ80">
            <v>5426</v>
          </cell>
          <cell r="AR80">
            <v>-232</v>
          </cell>
          <cell r="AS80">
            <v>8764</v>
          </cell>
          <cell r="AT80">
            <v>0</v>
          </cell>
          <cell r="AU80">
            <v>28342</v>
          </cell>
          <cell r="AV80">
            <v>28342</v>
          </cell>
          <cell r="AW80">
            <v>4656</v>
          </cell>
          <cell r="AX80">
            <v>0</v>
          </cell>
          <cell r="AY80">
            <v>4656</v>
          </cell>
          <cell r="AZ80">
            <v>6305</v>
          </cell>
          <cell r="BA80">
            <v>242</v>
          </cell>
          <cell r="BB80">
            <v>11203</v>
          </cell>
          <cell r="BC80">
            <v>39545</v>
          </cell>
          <cell r="BD80">
            <v>5905</v>
          </cell>
          <cell r="BE80">
            <v>4171</v>
          </cell>
          <cell r="BF80">
            <v>1733</v>
          </cell>
          <cell r="BG80">
            <v>45450</v>
          </cell>
          <cell r="BH80">
            <v>10941</v>
          </cell>
          <cell r="BI80">
            <v>22213</v>
          </cell>
          <cell r="BJ80">
            <v>2145</v>
          </cell>
          <cell r="BK80">
            <v>295</v>
          </cell>
          <cell r="BL80">
            <v>0</v>
          </cell>
          <cell r="BM80">
            <v>24653</v>
          </cell>
          <cell r="BN80">
            <v>35594</v>
          </cell>
          <cell r="BO80">
            <v>7120</v>
          </cell>
          <cell r="BP80">
            <v>0</v>
          </cell>
          <cell r="BQ80">
            <v>7120</v>
          </cell>
          <cell r="BR80">
            <v>42714</v>
          </cell>
          <cell r="BS80">
            <v>14501</v>
          </cell>
          <cell r="BT80">
            <v>6259</v>
          </cell>
          <cell r="BU80">
            <v>121</v>
          </cell>
          <cell r="BV80">
            <v>8764</v>
          </cell>
          <cell r="BW80">
            <v>0</v>
          </cell>
          <cell r="BX80">
            <v>29645</v>
          </cell>
          <cell r="BY80">
            <v>29645</v>
          </cell>
          <cell r="BZ80">
            <v>4818</v>
          </cell>
          <cell r="CA80">
            <v>0</v>
          </cell>
          <cell r="CB80">
            <v>4818</v>
          </cell>
          <cell r="CC80">
            <v>6318</v>
          </cell>
          <cell r="CD80">
            <v>256</v>
          </cell>
          <cell r="CE80">
            <v>11391</v>
          </cell>
          <cell r="CF80">
            <v>41036</v>
          </cell>
          <cell r="CG80">
            <v>1677</v>
          </cell>
          <cell r="CH80">
            <v>-56</v>
          </cell>
          <cell r="CI80">
            <v>1733</v>
          </cell>
          <cell r="CJ80">
            <v>42714</v>
          </cell>
        </row>
        <row r="81">
          <cell r="A81">
            <v>38777</v>
          </cell>
          <cell r="B81">
            <v>11193</v>
          </cell>
          <cell r="C81">
            <v>22468</v>
          </cell>
          <cell r="D81">
            <v>6474</v>
          </cell>
          <cell r="E81">
            <v>-73</v>
          </cell>
          <cell r="F81">
            <v>0</v>
          </cell>
          <cell r="G81">
            <v>28869</v>
          </cell>
          <cell r="H81">
            <v>40063</v>
          </cell>
          <cell r="I81">
            <v>7230</v>
          </cell>
          <cell r="J81">
            <v>0</v>
          </cell>
          <cell r="K81">
            <v>7230</v>
          </cell>
          <cell r="L81">
            <v>47292</v>
          </cell>
          <cell r="M81">
            <v>15026</v>
          </cell>
          <cell r="N81">
            <v>5932</v>
          </cell>
          <cell r="O81">
            <v>-658</v>
          </cell>
          <cell r="P81">
            <v>9169</v>
          </cell>
          <cell r="Q81">
            <v>0</v>
          </cell>
          <cell r="R81">
            <v>29469</v>
          </cell>
          <cell r="S81">
            <v>29469</v>
          </cell>
          <cell r="T81">
            <v>5375</v>
          </cell>
          <cell r="U81">
            <v>0</v>
          </cell>
          <cell r="V81">
            <v>5375</v>
          </cell>
          <cell r="W81">
            <v>6473</v>
          </cell>
          <cell r="X81">
            <v>192</v>
          </cell>
          <cell r="Y81">
            <v>12039</v>
          </cell>
          <cell r="Z81">
            <v>41509</v>
          </cell>
          <cell r="AA81">
            <v>5784</v>
          </cell>
          <cell r="AB81">
            <v>4017</v>
          </cell>
          <cell r="AC81">
            <v>1767</v>
          </cell>
          <cell r="AD81">
            <v>47292</v>
          </cell>
          <cell r="AE81">
            <v>11154</v>
          </cell>
          <cell r="AF81">
            <v>22268</v>
          </cell>
          <cell r="AG81">
            <v>6238</v>
          </cell>
          <cell r="AH81">
            <v>282</v>
          </cell>
          <cell r="AI81">
            <v>0</v>
          </cell>
          <cell r="AJ81">
            <v>28788</v>
          </cell>
          <cell r="AK81">
            <v>39942</v>
          </cell>
          <cell r="AL81">
            <v>7228</v>
          </cell>
          <cell r="AM81">
            <v>0</v>
          </cell>
          <cell r="AN81">
            <v>7228</v>
          </cell>
          <cell r="AO81">
            <v>47170</v>
          </cell>
          <cell r="AP81">
            <v>15057</v>
          </cell>
          <cell r="AQ81">
            <v>6646</v>
          </cell>
          <cell r="AR81">
            <v>-591</v>
          </cell>
          <cell r="AS81">
            <v>9165</v>
          </cell>
          <cell r="AT81">
            <v>0</v>
          </cell>
          <cell r="AU81">
            <v>30277</v>
          </cell>
          <cell r="AV81">
            <v>30277</v>
          </cell>
          <cell r="AW81">
            <v>5305</v>
          </cell>
          <cell r="AX81">
            <v>0</v>
          </cell>
          <cell r="AY81">
            <v>5305</v>
          </cell>
          <cell r="AZ81">
            <v>6724</v>
          </cell>
          <cell r="BA81">
            <v>193</v>
          </cell>
          <cell r="BB81">
            <v>12223</v>
          </cell>
          <cell r="BC81">
            <v>42500</v>
          </cell>
          <cell r="BD81">
            <v>4670</v>
          </cell>
          <cell r="BE81">
            <v>2902</v>
          </cell>
          <cell r="BF81">
            <v>1767</v>
          </cell>
          <cell r="BG81">
            <v>47170</v>
          </cell>
          <cell r="BH81">
            <v>11007</v>
          </cell>
          <cell r="BI81">
            <v>22790</v>
          </cell>
          <cell r="BJ81">
            <v>9450</v>
          </cell>
          <cell r="BK81">
            <v>1267</v>
          </cell>
          <cell r="BL81">
            <v>0</v>
          </cell>
          <cell r="BM81">
            <v>33507</v>
          </cell>
          <cell r="BN81">
            <v>44513</v>
          </cell>
          <cell r="BO81">
            <v>7228</v>
          </cell>
          <cell r="BP81">
            <v>0</v>
          </cell>
          <cell r="BQ81">
            <v>7228</v>
          </cell>
          <cell r="BR81">
            <v>51741</v>
          </cell>
          <cell r="BS81">
            <v>15034</v>
          </cell>
          <cell r="BT81">
            <v>5297</v>
          </cell>
          <cell r="BU81">
            <v>64</v>
          </cell>
          <cell r="BV81">
            <v>9165</v>
          </cell>
          <cell r="BW81">
            <v>0</v>
          </cell>
          <cell r="BX81">
            <v>29560</v>
          </cell>
          <cell r="BY81">
            <v>29560</v>
          </cell>
          <cell r="BZ81">
            <v>5099</v>
          </cell>
          <cell r="CA81">
            <v>0</v>
          </cell>
          <cell r="CB81">
            <v>5099</v>
          </cell>
          <cell r="CC81">
            <v>6819</v>
          </cell>
          <cell r="CD81">
            <v>170</v>
          </cell>
          <cell r="CE81">
            <v>12088</v>
          </cell>
          <cell r="CF81">
            <v>41648</v>
          </cell>
          <cell r="CG81">
            <v>10093</v>
          </cell>
          <cell r="CH81">
            <v>8326</v>
          </cell>
          <cell r="CI81">
            <v>1767</v>
          </cell>
          <cell r="CJ81">
            <v>51741</v>
          </cell>
        </row>
        <row r="82">
          <cell r="A82">
            <v>38869</v>
          </cell>
          <cell r="B82">
            <v>11425</v>
          </cell>
          <cell r="C82">
            <v>23551</v>
          </cell>
          <cell r="D82">
            <v>7189</v>
          </cell>
          <cell r="E82">
            <v>-191</v>
          </cell>
          <cell r="F82">
            <v>0</v>
          </cell>
          <cell r="G82">
            <v>30549</v>
          </cell>
          <cell r="H82">
            <v>41974</v>
          </cell>
          <cell r="I82">
            <v>7351</v>
          </cell>
          <cell r="J82">
            <v>0</v>
          </cell>
          <cell r="K82">
            <v>7351</v>
          </cell>
          <cell r="L82">
            <v>49325</v>
          </cell>
          <cell r="M82">
            <v>16100</v>
          </cell>
          <cell r="N82">
            <v>6201</v>
          </cell>
          <cell r="O82">
            <v>-915</v>
          </cell>
          <cell r="P82">
            <v>9534</v>
          </cell>
          <cell r="Q82">
            <v>0</v>
          </cell>
          <cell r="R82">
            <v>30921</v>
          </cell>
          <cell r="S82">
            <v>30921</v>
          </cell>
          <cell r="T82">
            <v>6192</v>
          </cell>
          <cell r="U82">
            <v>0</v>
          </cell>
          <cell r="V82">
            <v>6192</v>
          </cell>
          <cell r="W82">
            <v>6684</v>
          </cell>
          <cell r="X82">
            <v>174</v>
          </cell>
          <cell r="Y82">
            <v>13050</v>
          </cell>
          <cell r="Z82">
            <v>43971</v>
          </cell>
          <cell r="AA82">
            <v>5354</v>
          </cell>
          <cell r="AB82">
            <v>3552</v>
          </cell>
          <cell r="AC82">
            <v>1802</v>
          </cell>
          <cell r="AD82">
            <v>49325</v>
          </cell>
          <cell r="AE82">
            <v>11596</v>
          </cell>
          <cell r="AF82">
            <v>23331</v>
          </cell>
          <cell r="AG82">
            <v>7741</v>
          </cell>
          <cell r="AH82">
            <v>-147</v>
          </cell>
          <cell r="AI82">
            <v>0</v>
          </cell>
          <cell r="AJ82">
            <v>30926</v>
          </cell>
          <cell r="AK82">
            <v>42522</v>
          </cell>
          <cell r="AL82">
            <v>7353</v>
          </cell>
          <cell r="AM82">
            <v>0</v>
          </cell>
          <cell r="AN82">
            <v>7353</v>
          </cell>
          <cell r="AO82">
            <v>49875</v>
          </cell>
          <cell r="AP82">
            <v>15928</v>
          </cell>
          <cell r="AQ82">
            <v>5586</v>
          </cell>
          <cell r="AR82">
            <v>-903</v>
          </cell>
          <cell r="AS82">
            <v>9589</v>
          </cell>
          <cell r="AT82">
            <v>0</v>
          </cell>
          <cell r="AU82">
            <v>30201</v>
          </cell>
          <cell r="AV82">
            <v>30201</v>
          </cell>
          <cell r="AW82">
            <v>6248</v>
          </cell>
          <cell r="AX82">
            <v>0</v>
          </cell>
          <cell r="AY82">
            <v>6248</v>
          </cell>
          <cell r="AZ82">
            <v>6467</v>
          </cell>
          <cell r="BA82">
            <v>146</v>
          </cell>
          <cell r="BB82">
            <v>12861</v>
          </cell>
          <cell r="BC82">
            <v>43062</v>
          </cell>
          <cell r="BD82">
            <v>6813</v>
          </cell>
          <cell r="BE82">
            <v>5013</v>
          </cell>
          <cell r="BF82">
            <v>1800</v>
          </cell>
          <cell r="BG82">
            <v>49875</v>
          </cell>
          <cell r="BH82">
            <v>11766</v>
          </cell>
          <cell r="BI82">
            <v>22121</v>
          </cell>
          <cell r="BJ82">
            <v>3926</v>
          </cell>
          <cell r="BK82">
            <v>-2304</v>
          </cell>
          <cell r="BL82">
            <v>0</v>
          </cell>
          <cell r="BM82">
            <v>23743</v>
          </cell>
          <cell r="BN82">
            <v>35510</v>
          </cell>
          <cell r="BO82">
            <v>7353</v>
          </cell>
          <cell r="BP82">
            <v>0</v>
          </cell>
          <cell r="BQ82">
            <v>7353</v>
          </cell>
          <cell r="BR82">
            <v>42862</v>
          </cell>
          <cell r="BS82">
            <v>15687</v>
          </cell>
          <cell r="BT82">
            <v>5769</v>
          </cell>
          <cell r="BU82">
            <v>-3106</v>
          </cell>
          <cell r="BV82">
            <v>9589</v>
          </cell>
          <cell r="BW82">
            <v>0</v>
          </cell>
          <cell r="BX82">
            <v>27940</v>
          </cell>
          <cell r="BY82">
            <v>27940</v>
          </cell>
          <cell r="BZ82">
            <v>6515</v>
          </cell>
          <cell r="CA82">
            <v>0</v>
          </cell>
          <cell r="CB82">
            <v>6515</v>
          </cell>
          <cell r="CC82">
            <v>6443</v>
          </cell>
          <cell r="CD82">
            <v>156</v>
          </cell>
          <cell r="CE82">
            <v>13114</v>
          </cell>
          <cell r="CF82">
            <v>41054</v>
          </cell>
          <cell r="CG82">
            <v>1809</v>
          </cell>
          <cell r="CH82">
            <v>8</v>
          </cell>
          <cell r="CI82">
            <v>1800</v>
          </cell>
          <cell r="CJ82">
            <v>42862</v>
          </cell>
        </row>
        <row r="83">
          <cell r="A83">
            <v>38961</v>
          </cell>
          <cell r="B83">
            <v>11614</v>
          </cell>
          <cell r="C83">
            <v>25663</v>
          </cell>
          <cell r="D83">
            <v>7368</v>
          </cell>
          <cell r="E83">
            <v>337</v>
          </cell>
          <cell r="F83">
            <v>0</v>
          </cell>
          <cell r="G83">
            <v>33367</v>
          </cell>
          <cell r="H83">
            <v>44981</v>
          </cell>
          <cell r="I83">
            <v>7478</v>
          </cell>
          <cell r="J83">
            <v>0</v>
          </cell>
          <cell r="K83">
            <v>7478</v>
          </cell>
          <cell r="L83">
            <v>52459</v>
          </cell>
          <cell r="M83">
            <v>17696</v>
          </cell>
          <cell r="N83">
            <v>6705</v>
          </cell>
          <cell r="O83">
            <v>-1093</v>
          </cell>
          <cell r="P83">
            <v>9891</v>
          </cell>
          <cell r="Q83">
            <v>0</v>
          </cell>
          <cell r="R83">
            <v>33198</v>
          </cell>
          <cell r="S83">
            <v>33198</v>
          </cell>
          <cell r="T83">
            <v>6734</v>
          </cell>
          <cell r="U83">
            <v>0</v>
          </cell>
          <cell r="V83">
            <v>6734</v>
          </cell>
          <cell r="W83">
            <v>6901</v>
          </cell>
          <cell r="X83">
            <v>177</v>
          </cell>
          <cell r="Y83">
            <v>13813</v>
          </cell>
          <cell r="Z83">
            <v>47011</v>
          </cell>
          <cell r="AA83">
            <v>5448</v>
          </cell>
          <cell r="AB83">
            <v>3611</v>
          </cell>
          <cell r="AC83">
            <v>1837</v>
          </cell>
          <cell r="AD83">
            <v>52459</v>
          </cell>
          <cell r="AE83">
            <v>11461</v>
          </cell>
          <cell r="AF83">
            <v>25215</v>
          </cell>
          <cell r="AG83">
            <v>7550</v>
          </cell>
          <cell r="AH83">
            <v>-814</v>
          </cell>
          <cell r="AI83">
            <v>0</v>
          </cell>
          <cell r="AJ83">
            <v>31951</v>
          </cell>
          <cell r="AK83">
            <v>43413</v>
          </cell>
          <cell r="AL83">
            <v>7481</v>
          </cell>
          <cell r="AM83">
            <v>0</v>
          </cell>
          <cell r="AN83">
            <v>7481</v>
          </cell>
          <cell r="AO83">
            <v>50894</v>
          </cell>
          <cell r="AP83">
            <v>17536</v>
          </cell>
          <cell r="AQ83">
            <v>6578</v>
          </cell>
          <cell r="AR83">
            <v>-1318</v>
          </cell>
          <cell r="AS83">
            <v>9866</v>
          </cell>
          <cell r="AT83">
            <v>0</v>
          </cell>
          <cell r="AU83">
            <v>32661</v>
          </cell>
          <cell r="AV83">
            <v>32661</v>
          </cell>
          <cell r="AW83">
            <v>7132</v>
          </cell>
          <cell r="AX83">
            <v>0</v>
          </cell>
          <cell r="AY83">
            <v>7132</v>
          </cell>
          <cell r="AZ83">
            <v>7018</v>
          </cell>
          <cell r="BA83">
            <v>183</v>
          </cell>
          <cell r="BB83">
            <v>14333</v>
          </cell>
          <cell r="BC83">
            <v>46995</v>
          </cell>
          <cell r="BD83">
            <v>3899</v>
          </cell>
          <cell r="BE83">
            <v>2061</v>
          </cell>
          <cell r="BF83">
            <v>1838</v>
          </cell>
          <cell r="BG83">
            <v>50894</v>
          </cell>
          <cell r="BH83">
            <v>11393</v>
          </cell>
          <cell r="BI83">
            <v>25879</v>
          </cell>
          <cell r="BJ83">
            <v>12007</v>
          </cell>
          <cell r="BK83">
            <v>358</v>
          </cell>
          <cell r="BL83">
            <v>0</v>
          </cell>
          <cell r="BM83">
            <v>38244</v>
          </cell>
          <cell r="BN83">
            <v>49637</v>
          </cell>
          <cell r="BO83">
            <v>7481</v>
          </cell>
          <cell r="BP83">
            <v>0</v>
          </cell>
          <cell r="BQ83">
            <v>7481</v>
          </cell>
          <cell r="BR83">
            <v>57119</v>
          </cell>
          <cell r="BS83">
            <v>17683</v>
          </cell>
          <cell r="BT83">
            <v>6795</v>
          </cell>
          <cell r="BU83">
            <v>-147</v>
          </cell>
          <cell r="BV83">
            <v>9866</v>
          </cell>
          <cell r="BW83">
            <v>0</v>
          </cell>
          <cell r="BX83">
            <v>34198</v>
          </cell>
          <cell r="BY83">
            <v>34198</v>
          </cell>
          <cell r="BZ83">
            <v>6884</v>
          </cell>
          <cell r="CA83">
            <v>0</v>
          </cell>
          <cell r="CB83">
            <v>6884</v>
          </cell>
          <cell r="CC83">
            <v>6919</v>
          </cell>
          <cell r="CD83">
            <v>182</v>
          </cell>
          <cell r="CE83">
            <v>13984</v>
          </cell>
          <cell r="CF83">
            <v>48182</v>
          </cell>
          <cell r="CG83">
            <v>8937</v>
          </cell>
          <cell r="CH83">
            <v>7099</v>
          </cell>
          <cell r="CI83">
            <v>1838</v>
          </cell>
          <cell r="CJ83">
            <v>57119</v>
          </cell>
        </row>
        <row r="84">
          <cell r="A84">
            <v>39052</v>
          </cell>
          <cell r="B84">
            <v>11930</v>
          </cell>
          <cell r="C84">
            <v>27804</v>
          </cell>
          <cell r="D84">
            <v>7271</v>
          </cell>
          <cell r="E84">
            <v>750</v>
          </cell>
          <cell r="F84">
            <v>0</v>
          </cell>
          <cell r="G84">
            <v>35825</v>
          </cell>
          <cell r="H84">
            <v>47756</v>
          </cell>
          <cell r="I84">
            <v>7611</v>
          </cell>
          <cell r="J84">
            <v>0</v>
          </cell>
          <cell r="K84">
            <v>7611</v>
          </cell>
          <cell r="L84">
            <v>55367</v>
          </cell>
          <cell r="M84">
            <v>19296</v>
          </cell>
          <cell r="N84">
            <v>7124</v>
          </cell>
          <cell r="O84">
            <v>-1293</v>
          </cell>
          <cell r="P84">
            <v>10293</v>
          </cell>
          <cell r="Q84">
            <v>0</v>
          </cell>
          <cell r="R84">
            <v>35421</v>
          </cell>
          <cell r="S84">
            <v>35421</v>
          </cell>
          <cell r="T84">
            <v>6824</v>
          </cell>
          <cell r="U84">
            <v>0</v>
          </cell>
          <cell r="V84">
            <v>6824</v>
          </cell>
          <cell r="W84">
            <v>7105</v>
          </cell>
          <cell r="X84">
            <v>193</v>
          </cell>
          <cell r="Y84">
            <v>14121</v>
          </cell>
          <cell r="Z84">
            <v>49543</v>
          </cell>
          <cell r="AA84">
            <v>5824</v>
          </cell>
          <cell r="AB84">
            <v>3953</v>
          </cell>
          <cell r="AC84">
            <v>1871</v>
          </cell>
          <cell r="AD84">
            <v>55367</v>
          </cell>
          <cell r="AE84">
            <v>11958</v>
          </cell>
          <cell r="AF84">
            <v>28583</v>
          </cell>
          <cell r="AG84">
            <v>6669</v>
          </cell>
          <cell r="AH84">
            <v>2204</v>
          </cell>
          <cell r="AI84">
            <v>0</v>
          </cell>
          <cell r="AJ84">
            <v>37457</v>
          </cell>
          <cell r="AK84">
            <v>49415</v>
          </cell>
          <cell r="AL84">
            <v>7606</v>
          </cell>
          <cell r="AM84">
            <v>0</v>
          </cell>
          <cell r="AN84">
            <v>7606</v>
          </cell>
          <cell r="AO84">
            <v>57021</v>
          </cell>
          <cell r="AP84">
            <v>19622</v>
          </cell>
          <cell r="AQ84">
            <v>7589</v>
          </cell>
          <cell r="AR84">
            <v>-825</v>
          </cell>
          <cell r="AS84">
            <v>10292</v>
          </cell>
          <cell r="AT84">
            <v>0</v>
          </cell>
          <cell r="AU84">
            <v>36678</v>
          </cell>
          <cell r="AV84">
            <v>36678</v>
          </cell>
          <cell r="AW84">
            <v>6172</v>
          </cell>
          <cell r="AX84">
            <v>0</v>
          </cell>
          <cell r="AY84">
            <v>6172</v>
          </cell>
          <cell r="AZ84">
            <v>7130</v>
          </cell>
          <cell r="BA84">
            <v>210</v>
          </cell>
          <cell r="BB84">
            <v>13513</v>
          </cell>
          <cell r="BC84">
            <v>50191</v>
          </cell>
          <cell r="BD84">
            <v>6830</v>
          </cell>
          <cell r="BE84">
            <v>4959</v>
          </cell>
          <cell r="BF84">
            <v>1871</v>
          </cell>
          <cell r="BG84">
            <v>57021</v>
          </cell>
          <cell r="BH84">
            <v>12006</v>
          </cell>
          <cell r="BI84">
            <v>28746</v>
          </cell>
          <cell r="BJ84">
            <v>2790</v>
          </cell>
          <cell r="BK84">
            <v>2189</v>
          </cell>
          <cell r="BL84">
            <v>0</v>
          </cell>
          <cell r="BM84">
            <v>33725</v>
          </cell>
          <cell r="BN84">
            <v>45730</v>
          </cell>
          <cell r="BO84">
            <v>7606</v>
          </cell>
          <cell r="BP84">
            <v>0</v>
          </cell>
          <cell r="BQ84">
            <v>7606</v>
          </cell>
          <cell r="BR84">
            <v>53337</v>
          </cell>
          <cell r="BS84">
            <v>19754</v>
          </cell>
          <cell r="BT84">
            <v>8556</v>
          </cell>
          <cell r="BU84">
            <v>-460</v>
          </cell>
          <cell r="BV84">
            <v>10292</v>
          </cell>
          <cell r="BW84">
            <v>0</v>
          </cell>
          <cell r="BX84">
            <v>38142</v>
          </cell>
          <cell r="BY84">
            <v>38142</v>
          </cell>
          <cell r="BZ84">
            <v>6330</v>
          </cell>
          <cell r="CA84">
            <v>0</v>
          </cell>
          <cell r="CB84">
            <v>6330</v>
          </cell>
          <cell r="CC84">
            <v>7171</v>
          </cell>
          <cell r="CD84">
            <v>225</v>
          </cell>
          <cell r="CE84">
            <v>13726</v>
          </cell>
          <cell r="CF84">
            <v>51868</v>
          </cell>
          <cell r="CG84">
            <v>1469</v>
          </cell>
          <cell r="CH84">
            <v>-402</v>
          </cell>
          <cell r="CI84">
            <v>1871</v>
          </cell>
          <cell r="CJ84">
            <v>53337</v>
          </cell>
        </row>
        <row r="85">
          <cell r="A85">
            <v>39142</v>
          </cell>
          <cell r="B85">
            <v>12382</v>
          </cell>
          <cell r="C85">
            <v>29302</v>
          </cell>
          <cell r="D85">
            <v>7447</v>
          </cell>
          <cell r="E85">
            <v>650</v>
          </cell>
          <cell r="F85">
            <v>0</v>
          </cell>
          <cell r="G85">
            <v>37400</v>
          </cell>
          <cell r="H85">
            <v>49782</v>
          </cell>
          <cell r="I85">
            <v>7746</v>
          </cell>
          <cell r="J85">
            <v>0</v>
          </cell>
          <cell r="K85">
            <v>7746</v>
          </cell>
          <cell r="L85">
            <v>57528</v>
          </cell>
          <cell r="M85">
            <v>20520</v>
          </cell>
          <cell r="N85">
            <v>7286</v>
          </cell>
          <cell r="O85">
            <v>-1292</v>
          </cell>
          <cell r="P85">
            <v>10883</v>
          </cell>
          <cell r="Q85">
            <v>0</v>
          </cell>
          <cell r="R85">
            <v>37397</v>
          </cell>
          <cell r="S85">
            <v>37397</v>
          </cell>
          <cell r="T85">
            <v>6749</v>
          </cell>
          <cell r="U85">
            <v>0</v>
          </cell>
          <cell r="V85">
            <v>6749</v>
          </cell>
          <cell r="W85">
            <v>7283</v>
          </cell>
          <cell r="X85">
            <v>196</v>
          </cell>
          <cell r="Y85">
            <v>14228</v>
          </cell>
          <cell r="Z85">
            <v>51625</v>
          </cell>
          <cell r="AA85">
            <v>5903</v>
          </cell>
          <cell r="AB85">
            <v>4005</v>
          </cell>
          <cell r="AC85">
            <v>1898</v>
          </cell>
          <cell r="AD85">
            <v>57528</v>
          </cell>
          <cell r="AE85">
            <v>12257</v>
          </cell>
          <cell r="AF85">
            <v>29676</v>
          </cell>
          <cell r="AG85">
            <v>7516</v>
          </cell>
          <cell r="AH85">
            <v>494</v>
          </cell>
          <cell r="AI85">
            <v>0</v>
          </cell>
          <cell r="AJ85">
            <v>37687</v>
          </cell>
          <cell r="AK85">
            <v>49944</v>
          </cell>
          <cell r="AL85">
            <v>7744</v>
          </cell>
          <cell r="AM85">
            <v>0</v>
          </cell>
          <cell r="AN85">
            <v>7744</v>
          </cell>
          <cell r="AO85">
            <v>57688</v>
          </cell>
          <cell r="AP85">
            <v>20680</v>
          </cell>
          <cell r="AQ85">
            <v>7340</v>
          </cell>
          <cell r="AR85">
            <v>-1677</v>
          </cell>
          <cell r="AS85">
            <v>10864</v>
          </cell>
          <cell r="AT85">
            <v>0</v>
          </cell>
          <cell r="AU85">
            <v>37207</v>
          </cell>
          <cell r="AV85">
            <v>37207</v>
          </cell>
          <cell r="AW85">
            <v>7542</v>
          </cell>
          <cell r="AX85">
            <v>0</v>
          </cell>
          <cell r="AY85">
            <v>7542</v>
          </cell>
          <cell r="AZ85">
            <v>7256</v>
          </cell>
          <cell r="BA85">
            <v>189</v>
          </cell>
          <cell r="BB85">
            <v>14988</v>
          </cell>
          <cell r="BC85">
            <v>52194</v>
          </cell>
          <cell r="BD85">
            <v>5494</v>
          </cell>
          <cell r="BE85">
            <v>3595</v>
          </cell>
          <cell r="BF85">
            <v>1899</v>
          </cell>
          <cell r="BG85">
            <v>57688</v>
          </cell>
          <cell r="BH85">
            <v>12098</v>
          </cell>
          <cell r="BI85">
            <v>30148</v>
          </cell>
          <cell r="BJ85">
            <v>11346</v>
          </cell>
          <cell r="BK85">
            <v>1520</v>
          </cell>
          <cell r="BL85">
            <v>0</v>
          </cell>
          <cell r="BM85">
            <v>43014</v>
          </cell>
          <cell r="BN85">
            <v>55112</v>
          </cell>
          <cell r="BO85">
            <v>7744</v>
          </cell>
          <cell r="BP85">
            <v>0</v>
          </cell>
          <cell r="BQ85">
            <v>7744</v>
          </cell>
          <cell r="BR85">
            <v>62856</v>
          </cell>
          <cell r="BS85">
            <v>20664</v>
          </cell>
          <cell r="BT85">
            <v>6098</v>
          </cell>
          <cell r="BU85">
            <v>-920</v>
          </cell>
          <cell r="BV85">
            <v>10864</v>
          </cell>
          <cell r="BW85">
            <v>0</v>
          </cell>
          <cell r="BX85">
            <v>36706</v>
          </cell>
          <cell r="BY85">
            <v>36706</v>
          </cell>
          <cell r="BZ85">
            <v>7336</v>
          </cell>
          <cell r="CA85">
            <v>0</v>
          </cell>
          <cell r="CB85">
            <v>7336</v>
          </cell>
          <cell r="CC85">
            <v>7337</v>
          </cell>
          <cell r="CD85">
            <v>169</v>
          </cell>
          <cell r="CE85">
            <v>14841</v>
          </cell>
          <cell r="CF85">
            <v>51547</v>
          </cell>
          <cell r="CG85">
            <v>11309</v>
          </cell>
          <cell r="CH85">
            <v>9410</v>
          </cell>
          <cell r="CI85">
            <v>1899</v>
          </cell>
          <cell r="CJ85">
            <v>62856</v>
          </cell>
        </row>
        <row r="86">
          <cell r="A86">
            <v>39234</v>
          </cell>
          <cell r="B86">
            <v>12841</v>
          </cell>
          <cell r="C86">
            <v>30583</v>
          </cell>
          <cell r="D86">
            <v>7957</v>
          </cell>
          <cell r="E86">
            <v>167</v>
          </cell>
          <cell r="F86">
            <v>0</v>
          </cell>
          <cell r="G86">
            <v>38707</v>
          </cell>
          <cell r="H86">
            <v>51549</v>
          </cell>
          <cell r="I86">
            <v>7876</v>
          </cell>
          <cell r="J86">
            <v>0</v>
          </cell>
          <cell r="K86">
            <v>7876</v>
          </cell>
          <cell r="L86">
            <v>59425</v>
          </cell>
          <cell r="M86">
            <v>21363</v>
          </cell>
          <cell r="N86">
            <v>6933</v>
          </cell>
          <cell r="O86">
            <v>-1193</v>
          </cell>
          <cell r="P86">
            <v>11708</v>
          </cell>
          <cell r="Q86">
            <v>0</v>
          </cell>
          <cell r="R86">
            <v>38811</v>
          </cell>
          <cell r="S86">
            <v>38811</v>
          </cell>
          <cell r="T86">
            <v>6708</v>
          </cell>
          <cell r="U86">
            <v>0</v>
          </cell>
          <cell r="V86">
            <v>6708</v>
          </cell>
          <cell r="W86">
            <v>7475</v>
          </cell>
          <cell r="X86">
            <v>186</v>
          </cell>
          <cell r="Y86">
            <v>14368</v>
          </cell>
          <cell r="Z86">
            <v>53179</v>
          </cell>
          <cell r="AA86">
            <v>6246</v>
          </cell>
          <cell r="AB86">
            <v>4327</v>
          </cell>
          <cell r="AC86">
            <v>1918</v>
          </cell>
          <cell r="AD86">
            <v>59425</v>
          </cell>
          <cell r="AE86">
            <v>13080</v>
          </cell>
          <cell r="AF86">
            <v>29566</v>
          </cell>
          <cell r="AG86">
            <v>8261</v>
          </cell>
          <cell r="AH86">
            <v>-498</v>
          </cell>
          <cell r="AI86">
            <v>0</v>
          </cell>
          <cell r="AJ86">
            <v>37329</v>
          </cell>
          <cell r="AK86">
            <v>50409</v>
          </cell>
          <cell r="AL86">
            <v>7895</v>
          </cell>
          <cell r="AM86">
            <v>0</v>
          </cell>
          <cell r="AN86">
            <v>7895</v>
          </cell>
          <cell r="AO86">
            <v>58304</v>
          </cell>
          <cell r="AP86">
            <v>21023</v>
          </cell>
          <cell r="AQ86">
            <v>6498</v>
          </cell>
          <cell r="AR86">
            <v>-1328</v>
          </cell>
          <cell r="AS86">
            <v>11592</v>
          </cell>
          <cell r="AT86">
            <v>0</v>
          </cell>
          <cell r="AU86">
            <v>37785</v>
          </cell>
          <cell r="AV86">
            <v>37785</v>
          </cell>
          <cell r="AW86">
            <v>5755</v>
          </cell>
          <cell r="AX86">
            <v>0</v>
          </cell>
          <cell r="AY86">
            <v>5755</v>
          </cell>
          <cell r="AZ86">
            <v>8967</v>
          </cell>
          <cell r="BA86">
            <v>185</v>
          </cell>
          <cell r="BB86">
            <v>14907</v>
          </cell>
          <cell r="BC86">
            <v>52691</v>
          </cell>
          <cell r="BD86">
            <v>5613</v>
          </cell>
          <cell r="BE86">
            <v>3691</v>
          </cell>
          <cell r="BF86">
            <v>1922</v>
          </cell>
          <cell r="BG86">
            <v>58304</v>
          </cell>
          <cell r="BH86">
            <v>13276</v>
          </cell>
          <cell r="BI86">
            <v>28174</v>
          </cell>
          <cell r="BJ86">
            <v>4227</v>
          </cell>
          <cell r="BK86">
            <v>-2693</v>
          </cell>
          <cell r="BL86">
            <v>0</v>
          </cell>
          <cell r="BM86">
            <v>29708</v>
          </cell>
          <cell r="BN86">
            <v>42984</v>
          </cell>
          <cell r="BO86">
            <v>7895</v>
          </cell>
          <cell r="BP86">
            <v>0</v>
          </cell>
          <cell r="BQ86">
            <v>7895</v>
          </cell>
          <cell r="BR86">
            <v>50878</v>
          </cell>
          <cell r="BS86">
            <v>20782</v>
          </cell>
          <cell r="BT86">
            <v>6884</v>
          </cell>
          <cell r="BU86">
            <v>-3654</v>
          </cell>
          <cell r="BV86">
            <v>11592</v>
          </cell>
          <cell r="BW86">
            <v>0</v>
          </cell>
          <cell r="BX86">
            <v>35604</v>
          </cell>
          <cell r="BY86">
            <v>35604</v>
          </cell>
          <cell r="BZ86">
            <v>5954</v>
          </cell>
          <cell r="CA86">
            <v>0</v>
          </cell>
          <cell r="CB86">
            <v>5954</v>
          </cell>
          <cell r="CC86">
            <v>8943</v>
          </cell>
          <cell r="CD86">
            <v>187</v>
          </cell>
          <cell r="CE86">
            <v>15083</v>
          </cell>
          <cell r="CF86">
            <v>50687</v>
          </cell>
          <cell r="CG86">
            <v>192</v>
          </cell>
          <cell r="CH86">
            <v>-1730</v>
          </cell>
          <cell r="CI86">
            <v>1922</v>
          </cell>
          <cell r="CJ86">
            <v>50878</v>
          </cell>
        </row>
        <row r="87">
          <cell r="A87">
            <v>39326</v>
          </cell>
          <cell r="B87">
            <v>13107</v>
          </cell>
          <cell r="C87">
            <v>32140</v>
          </cell>
          <cell r="D87">
            <v>8423</v>
          </cell>
          <cell r="E87">
            <v>-19</v>
          </cell>
          <cell r="F87">
            <v>0</v>
          </cell>
          <cell r="G87">
            <v>40544</v>
          </cell>
          <cell r="H87">
            <v>53650</v>
          </cell>
          <cell r="I87">
            <v>8005</v>
          </cell>
          <cell r="J87">
            <v>0</v>
          </cell>
          <cell r="K87">
            <v>8005</v>
          </cell>
          <cell r="L87">
            <v>61655</v>
          </cell>
          <cell r="M87">
            <v>22079</v>
          </cell>
          <cell r="N87">
            <v>6565</v>
          </cell>
          <cell r="O87">
            <v>-1004</v>
          </cell>
          <cell r="P87">
            <v>12626</v>
          </cell>
          <cell r="Q87">
            <v>0</v>
          </cell>
          <cell r="R87">
            <v>40266</v>
          </cell>
          <cell r="S87">
            <v>40266</v>
          </cell>
          <cell r="T87">
            <v>6520</v>
          </cell>
          <cell r="U87">
            <v>0</v>
          </cell>
          <cell r="V87">
            <v>6520</v>
          </cell>
          <cell r="W87">
            <v>7798</v>
          </cell>
          <cell r="X87">
            <v>185</v>
          </cell>
          <cell r="Y87">
            <v>14503</v>
          </cell>
          <cell r="Z87">
            <v>54768</v>
          </cell>
          <cell r="AA87">
            <v>6887</v>
          </cell>
          <cell r="AB87">
            <v>4952</v>
          </cell>
          <cell r="AC87">
            <v>1935</v>
          </cell>
          <cell r="AD87">
            <v>61655</v>
          </cell>
          <cell r="AE87">
            <v>13006</v>
          </cell>
          <cell r="AF87">
            <v>32518</v>
          </cell>
          <cell r="AG87">
            <v>8149</v>
          </cell>
          <cell r="AH87">
            <v>195</v>
          </cell>
          <cell r="AI87">
            <v>0</v>
          </cell>
          <cell r="AJ87">
            <v>40862</v>
          </cell>
          <cell r="AK87">
            <v>53868</v>
          </cell>
          <cell r="AL87">
            <v>7999</v>
          </cell>
          <cell r="AM87">
            <v>0</v>
          </cell>
          <cell r="AN87">
            <v>7999</v>
          </cell>
          <cell r="AO87">
            <v>61867</v>
          </cell>
          <cell r="AP87">
            <v>22296</v>
          </cell>
          <cell r="AQ87">
            <v>7054</v>
          </cell>
          <cell r="AR87">
            <v>-404</v>
          </cell>
          <cell r="AS87">
            <v>12720</v>
          </cell>
          <cell r="AT87">
            <v>0</v>
          </cell>
          <cell r="AU87">
            <v>41667</v>
          </cell>
          <cell r="AV87">
            <v>41667</v>
          </cell>
          <cell r="AW87">
            <v>7262</v>
          </cell>
          <cell r="AX87">
            <v>0</v>
          </cell>
          <cell r="AY87">
            <v>7262</v>
          </cell>
          <cell r="AZ87">
            <v>7710</v>
          </cell>
          <cell r="BA87">
            <v>186</v>
          </cell>
          <cell r="BB87">
            <v>15158</v>
          </cell>
          <cell r="BC87">
            <v>56825</v>
          </cell>
          <cell r="BD87">
            <v>5042</v>
          </cell>
          <cell r="BE87">
            <v>3110</v>
          </cell>
          <cell r="BF87">
            <v>1932</v>
          </cell>
          <cell r="BG87">
            <v>61867</v>
          </cell>
          <cell r="BH87">
            <v>12934</v>
          </cell>
          <cell r="BI87">
            <v>33398</v>
          </cell>
          <cell r="BJ87">
            <v>12915</v>
          </cell>
          <cell r="BK87">
            <v>1376</v>
          </cell>
          <cell r="BL87">
            <v>0</v>
          </cell>
          <cell r="BM87">
            <v>47689</v>
          </cell>
          <cell r="BN87">
            <v>60622</v>
          </cell>
          <cell r="BO87">
            <v>7999</v>
          </cell>
          <cell r="BP87">
            <v>0</v>
          </cell>
          <cell r="BQ87">
            <v>7999</v>
          </cell>
          <cell r="BR87">
            <v>68621</v>
          </cell>
          <cell r="BS87">
            <v>22402</v>
          </cell>
          <cell r="BT87">
            <v>7111</v>
          </cell>
          <cell r="BU87">
            <v>744</v>
          </cell>
          <cell r="BV87">
            <v>12720</v>
          </cell>
          <cell r="BW87">
            <v>0</v>
          </cell>
          <cell r="BX87">
            <v>42978</v>
          </cell>
          <cell r="BY87">
            <v>42978</v>
          </cell>
          <cell r="BZ87">
            <v>7026</v>
          </cell>
          <cell r="CA87">
            <v>0</v>
          </cell>
          <cell r="CB87">
            <v>7026</v>
          </cell>
          <cell r="CC87">
            <v>7599</v>
          </cell>
          <cell r="CD87">
            <v>190</v>
          </cell>
          <cell r="CE87">
            <v>14815</v>
          </cell>
          <cell r="CF87">
            <v>57793</v>
          </cell>
          <cell r="CG87">
            <v>10828</v>
          </cell>
          <cell r="CH87">
            <v>8896</v>
          </cell>
          <cell r="CI87">
            <v>1932</v>
          </cell>
          <cell r="CJ87">
            <v>68621</v>
          </cell>
        </row>
        <row r="88">
          <cell r="A88">
            <v>39417</v>
          </cell>
          <cell r="B88">
            <v>13255</v>
          </cell>
          <cell r="C88">
            <v>34757</v>
          </cell>
          <cell r="D88">
            <v>8472</v>
          </cell>
          <cell r="E88">
            <v>376</v>
          </cell>
          <cell r="F88">
            <v>0</v>
          </cell>
          <cell r="G88">
            <v>43605</v>
          </cell>
          <cell r="H88">
            <v>56860</v>
          </cell>
          <cell r="I88">
            <v>8154</v>
          </cell>
          <cell r="J88">
            <v>0</v>
          </cell>
          <cell r="K88">
            <v>8154</v>
          </cell>
          <cell r="L88">
            <v>65015</v>
          </cell>
          <cell r="M88">
            <v>23187</v>
          </cell>
          <cell r="N88">
            <v>6437</v>
          </cell>
          <cell r="O88">
            <v>-721</v>
          </cell>
          <cell r="P88">
            <v>13407</v>
          </cell>
          <cell r="Q88">
            <v>0</v>
          </cell>
          <cell r="R88">
            <v>42311</v>
          </cell>
          <cell r="S88">
            <v>42311</v>
          </cell>
          <cell r="T88">
            <v>6033</v>
          </cell>
          <cell r="U88">
            <v>0</v>
          </cell>
          <cell r="V88">
            <v>6033</v>
          </cell>
          <cell r="W88">
            <v>8137</v>
          </cell>
          <cell r="X88">
            <v>192</v>
          </cell>
          <cell r="Y88">
            <v>14362</v>
          </cell>
          <cell r="Z88">
            <v>56673</v>
          </cell>
          <cell r="AA88">
            <v>8342</v>
          </cell>
          <cell r="AB88">
            <v>6387</v>
          </cell>
          <cell r="AC88">
            <v>1955</v>
          </cell>
          <cell r="AD88">
            <v>65015</v>
          </cell>
          <cell r="AE88">
            <v>13365</v>
          </cell>
          <cell r="AF88">
            <v>34761</v>
          </cell>
          <cell r="AG88">
            <v>8620</v>
          </cell>
          <cell r="AH88">
            <v>455</v>
          </cell>
          <cell r="AI88">
            <v>0</v>
          </cell>
          <cell r="AJ88">
            <v>43836</v>
          </cell>
          <cell r="AK88">
            <v>57201</v>
          </cell>
          <cell r="AL88">
            <v>8150</v>
          </cell>
          <cell r="AM88">
            <v>0</v>
          </cell>
          <cell r="AN88">
            <v>8150</v>
          </cell>
          <cell r="AO88">
            <v>65351</v>
          </cell>
          <cell r="AP88">
            <v>23063</v>
          </cell>
          <cell r="AQ88">
            <v>6000</v>
          </cell>
          <cell r="AR88">
            <v>-1373</v>
          </cell>
          <cell r="AS88">
            <v>13448</v>
          </cell>
          <cell r="AT88">
            <v>0</v>
          </cell>
          <cell r="AU88">
            <v>41138</v>
          </cell>
          <cell r="AV88">
            <v>41138</v>
          </cell>
          <cell r="AW88">
            <v>5862</v>
          </cell>
          <cell r="AX88">
            <v>0</v>
          </cell>
          <cell r="AY88">
            <v>5862</v>
          </cell>
          <cell r="AZ88">
            <v>8237</v>
          </cell>
          <cell r="BA88">
            <v>181</v>
          </cell>
          <cell r="BB88">
            <v>14280</v>
          </cell>
          <cell r="BC88">
            <v>55418</v>
          </cell>
          <cell r="BD88">
            <v>9933</v>
          </cell>
          <cell r="BE88">
            <v>7978</v>
          </cell>
          <cell r="BF88">
            <v>1955</v>
          </cell>
          <cell r="BG88">
            <v>65351</v>
          </cell>
          <cell r="BH88">
            <v>13413</v>
          </cell>
          <cell r="BI88">
            <v>34976</v>
          </cell>
          <cell r="BJ88">
            <v>3662</v>
          </cell>
          <cell r="BK88">
            <v>431</v>
          </cell>
          <cell r="BL88">
            <v>0</v>
          </cell>
          <cell r="BM88">
            <v>39070</v>
          </cell>
          <cell r="BN88">
            <v>52482</v>
          </cell>
          <cell r="BO88">
            <v>8150</v>
          </cell>
          <cell r="BP88">
            <v>0</v>
          </cell>
          <cell r="BQ88">
            <v>8150</v>
          </cell>
          <cell r="BR88">
            <v>60632</v>
          </cell>
          <cell r="BS88">
            <v>23210</v>
          </cell>
          <cell r="BT88">
            <v>6730</v>
          </cell>
          <cell r="BU88">
            <v>-939</v>
          </cell>
          <cell r="BV88">
            <v>13448</v>
          </cell>
          <cell r="BW88">
            <v>0</v>
          </cell>
          <cell r="BX88">
            <v>42449</v>
          </cell>
          <cell r="BY88">
            <v>42449</v>
          </cell>
          <cell r="BZ88">
            <v>5978</v>
          </cell>
          <cell r="CA88">
            <v>0</v>
          </cell>
          <cell r="CB88">
            <v>5978</v>
          </cell>
          <cell r="CC88">
            <v>8300</v>
          </cell>
          <cell r="CD88">
            <v>197</v>
          </cell>
          <cell r="CE88">
            <v>14474</v>
          </cell>
          <cell r="CF88">
            <v>56923</v>
          </cell>
          <cell r="CG88">
            <v>3708</v>
          </cell>
          <cell r="CH88">
            <v>1754</v>
          </cell>
          <cell r="CI88">
            <v>1955</v>
          </cell>
          <cell r="CJ88">
            <v>60632</v>
          </cell>
        </row>
        <row r="89">
          <cell r="A89">
            <v>39508</v>
          </cell>
          <cell r="B89">
            <v>13596</v>
          </cell>
          <cell r="C89">
            <v>37174</v>
          </cell>
          <cell r="D89">
            <v>8344</v>
          </cell>
          <cell r="E89">
            <v>533</v>
          </cell>
          <cell r="F89">
            <v>0</v>
          </cell>
          <cell r="G89">
            <v>46051</v>
          </cell>
          <cell r="H89">
            <v>59647</v>
          </cell>
          <cell r="I89">
            <v>8367</v>
          </cell>
          <cell r="J89">
            <v>0</v>
          </cell>
          <cell r="K89">
            <v>8367</v>
          </cell>
          <cell r="L89">
            <v>68014</v>
          </cell>
          <cell r="M89">
            <v>24468</v>
          </cell>
          <cell r="N89">
            <v>6472</v>
          </cell>
          <cell r="O89">
            <v>-626</v>
          </cell>
          <cell r="P89">
            <v>13874</v>
          </cell>
          <cell r="Q89">
            <v>0</v>
          </cell>
          <cell r="R89">
            <v>44188</v>
          </cell>
          <cell r="S89">
            <v>44188</v>
          </cell>
          <cell r="T89">
            <v>5242</v>
          </cell>
          <cell r="U89">
            <v>0</v>
          </cell>
          <cell r="V89">
            <v>5242</v>
          </cell>
          <cell r="W89">
            <v>8350</v>
          </cell>
          <cell r="X89">
            <v>198</v>
          </cell>
          <cell r="Y89">
            <v>13790</v>
          </cell>
          <cell r="Z89">
            <v>57978</v>
          </cell>
          <cell r="AA89">
            <v>10036</v>
          </cell>
          <cell r="AB89">
            <v>8051</v>
          </cell>
          <cell r="AC89">
            <v>1985</v>
          </cell>
          <cell r="AD89">
            <v>68014</v>
          </cell>
          <cell r="AE89">
            <v>13444</v>
          </cell>
          <cell r="AF89">
            <v>36128</v>
          </cell>
          <cell r="AG89">
            <v>8630</v>
          </cell>
          <cell r="AH89">
            <v>570</v>
          </cell>
          <cell r="AI89">
            <v>0</v>
          </cell>
          <cell r="AJ89">
            <v>45328</v>
          </cell>
          <cell r="AK89">
            <v>58772</v>
          </cell>
          <cell r="AL89">
            <v>8359</v>
          </cell>
          <cell r="AM89">
            <v>0</v>
          </cell>
          <cell r="AN89">
            <v>8359</v>
          </cell>
          <cell r="AO89">
            <v>67131</v>
          </cell>
          <cell r="AP89">
            <v>24019</v>
          </cell>
          <cell r="AQ89">
            <v>6588</v>
          </cell>
          <cell r="AR89">
            <v>-297</v>
          </cell>
          <cell r="AS89">
            <v>13899</v>
          </cell>
          <cell r="AT89">
            <v>0</v>
          </cell>
          <cell r="AU89">
            <v>44209</v>
          </cell>
          <cell r="AV89">
            <v>44209</v>
          </cell>
          <cell r="AW89">
            <v>5151</v>
          </cell>
          <cell r="AX89">
            <v>0</v>
          </cell>
          <cell r="AY89">
            <v>5151</v>
          </cell>
          <cell r="AZ89">
            <v>8381</v>
          </cell>
          <cell r="BA89">
            <v>222</v>
          </cell>
          <cell r="BB89">
            <v>13754</v>
          </cell>
          <cell r="BC89">
            <v>57963</v>
          </cell>
          <cell r="BD89">
            <v>9168</v>
          </cell>
          <cell r="BE89">
            <v>7184</v>
          </cell>
          <cell r="BF89">
            <v>1984</v>
          </cell>
          <cell r="BG89">
            <v>67131</v>
          </cell>
          <cell r="BH89">
            <v>13267</v>
          </cell>
          <cell r="BI89">
            <v>36409</v>
          </cell>
          <cell r="BJ89">
            <v>12937</v>
          </cell>
          <cell r="BK89">
            <v>1091</v>
          </cell>
          <cell r="BL89">
            <v>0</v>
          </cell>
          <cell r="BM89">
            <v>50437</v>
          </cell>
          <cell r="BN89">
            <v>63704</v>
          </cell>
          <cell r="BO89">
            <v>8359</v>
          </cell>
          <cell r="BP89">
            <v>0</v>
          </cell>
          <cell r="BQ89">
            <v>8359</v>
          </cell>
          <cell r="BR89">
            <v>72063</v>
          </cell>
          <cell r="BS89">
            <v>24008</v>
          </cell>
          <cell r="BT89">
            <v>5525</v>
          </cell>
          <cell r="BU89">
            <v>518</v>
          </cell>
          <cell r="BV89">
            <v>13899</v>
          </cell>
          <cell r="BW89">
            <v>0</v>
          </cell>
          <cell r="BX89">
            <v>43950</v>
          </cell>
          <cell r="BY89">
            <v>43950</v>
          </cell>
          <cell r="BZ89">
            <v>5095</v>
          </cell>
          <cell r="CA89">
            <v>0</v>
          </cell>
          <cell r="CB89">
            <v>5095</v>
          </cell>
          <cell r="CC89">
            <v>8454</v>
          </cell>
          <cell r="CD89">
            <v>198</v>
          </cell>
          <cell r="CE89">
            <v>13747</v>
          </cell>
          <cell r="CF89">
            <v>57697</v>
          </cell>
          <cell r="CG89">
            <v>14365</v>
          </cell>
          <cell r="CH89">
            <v>12381</v>
          </cell>
          <cell r="CI89">
            <v>1984</v>
          </cell>
          <cell r="CJ89">
            <v>72063</v>
          </cell>
        </row>
        <row r="90">
          <cell r="A90">
            <v>39600</v>
          </cell>
          <cell r="B90">
            <v>14330</v>
          </cell>
          <cell r="C90">
            <v>37879</v>
          </cell>
          <cell r="D90">
            <v>8345</v>
          </cell>
          <cell r="E90">
            <v>319</v>
          </cell>
          <cell r="F90">
            <v>0</v>
          </cell>
          <cell r="G90">
            <v>46543</v>
          </cell>
          <cell r="H90">
            <v>60874</v>
          </cell>
          <cell r="I90">
            <v>8650</v>
          </cell>
          <cell r="J90">
            <v>0</v>
          </cell>
          <cell r="K90">
            <v>8650</v>
          </cell>
          <cell r="L90">
            <v>69524</v>
          </cell>
          <cell r="M90">
            <v>25427</v>
          </cell>
          <cell r="N90">
            <v>6573</v>
          </cell>
          <cell r="O90">
            <v>-618</v>
          </cell>
          <cell r="P90">
            <v>14075</v>
          </cell>
          <cell r="Q90">
            <v>0</v>
          </cell>
          <cell r="R90">
            <v>45458</v>
          </cell>
          <cell r="S90">
            <v>45458</v>
          </cell>
          <cell r="T90">
            <v>4313</v>
          </cell>
          <cell r="U90">
            <v>0</v>
          </cell>
          <cell r="V90">
            <v>4313</v>
          </cell>
          <cell r="W90">
            <v>8456</v>
          </cell>
          <cell r="X90">
            <v>211</v>
          </cell>
          <cell r="Y90">
            <v>12980</v>
          </cell>
          <cell r="Z90">
            <v>58438</v>
          </cell>
          <cell r="AA90">
            <v>11086</v>
          </cell>
          <cell r="AB90">
            <v>9060</v>
          </cell>
          <cell r="AC90">
            <v>2026</v>
          </cell>
          <cell r="AD90">
            <v>69524</v>
          </cell>
          <cell r="AE90">
            <v>14198</v>
          </cell>
          <cell r="AF90">
            <v>40113</v>
          </cell>
          <cell r="AG90">
            <v>7725</v>
          </cell>
          <cell r="AH90">
            <v>339</v>
          </cell>
          <cell r="AI90">
            <v>0</v>
          </cell>
          <cell r="AJ90">
            <v>48177</v>
          </cell>
          <cell r="AK90">
            <v>62375</v>
          </cell>
          <cell r="AL90">
            <v>8627</v>
          </cell>
          <cell r="AM90">
            <v>0</v>
          </cell>
          <cell r="AN90">
            <v>8627</v>
          </cell>
          <cell r="AO90">
            <v>71002</v>
          </cell>
          <cell r="AP90">
            <v>26238</v>
          </cell>
          <cell r="AQ90">
            <v>6617</v>
          </cell>
          <cell r="AR90">
            <v>-394</v>
          </cell>
          <cell r="AS90">
            <v>14075</v>
          </cell>
          <cell r="AT90">
            <v>0</v>
          </cell>
          <cell r="AU90">
            <v>46536</v>
          </cell>
          <cell r="AV90">
            <v>46536</v>
          </cell>
          <cell r="AW90">
            <v>4616</v>
          </cell>
          <cell r="AX90">
            <v>0</v>
          </cell>
          <cell r="AY90">
            <v>4616</v>
          </cell>
          <cell r="AZ90">
            <v>8438</v>
          </cell>
          <cell r="BA90">
            <v>190</v>
          </cell>
          <cell r="BB90">
            <v>13244</v>
          </cell>
          <cell r="BC90">
            <v>59781</v>
          </cell>
          <cell r="BD90">
            <v>11221</v>
          </cell>
          <cell r="BE90">
            <v>9202</v>
          </cell>
          <cell r="BF90">
            <v>2020</v>
          </cell>
          <cell r="BG90">
            <v>71002</v>
          </cell>
          <cell r="BH90">
            <v>14409</v>
          </cell>
          <cell r="BI90">
            <v>38531</v>
          </cell>
          <cell r="BJ90">
            <v>4025</v>
          </cell>
          <cell r="BK90">
            <v>-968</v>
          </cell>
          <cell r="BL90">
            <v>0</v>
          </cell>
          <cell r="BM90">
            <v>41588</v>
          </cell>
          <cell r="BN90">
            <v>55997</v>
          </cell>
          <cell r="BO90">
            <v>8627</v>
          </cell>
          <cell r="BP90">
            <v>0</v>
          </cell>
          <cell r="BQ90">
            <v>8627</v>
          </cell>
          <cell r="BR90">
            <v>64624</v>
          </cell>
          <cell r="BS90">
            <v>26004</v>
          </cell>
          <cell r="BT90">
            <v>7056</v>
          </cell>
          <cell r="BU90">
            <v>-2820</v>
          </cell>
          <cell r="BV90">
            <v>14075</v>
          </cell>
          <cell r="BW90">
            <v>0</v>
          </cell>
          <cell r="BX90">
            <v>44315</v>
          </cell>
          <cell r="BY90">
            <v>44315</v>
          </cell>
          <cell r="BZ90">
            <v>4690</v>
          </cell>
          <cell r="CA90">
            <v>0</v>
          </cell>
          <cell r="CB90">
            <v>4690</v>
          </cell>
          <cell r="CC90">
            <v>8415</v>
          </cell>
          <cell r="CD90">
            <v>187</v>
          </cell>
          <cell r="CE90">
            <v>13291</v>
          </cell>
          <cell r="CF90">
            <v>57606</v>
          </cell>
          <cell r="CG90">
            <v>7018</v>
          </cell>
          <cell r="CH90">
            <v>4998</v>
          </cell>
          <cell r="CI90">
            <v>2020</v>
          </cell>
          <cell r="CJ90">
            <v>64624</v>
          </cell>
        </row>
        <row r="91">
          <cell r="A91">
            <v>39692</v>
          </cell>
          <cell r="B91">
            <v>15323</v>
          </cell>
          <cell r="C91">
            <v>36789</v>
          </cell>
          <cell r="D91">
            <v>8529</v>
          </cell>
          <cell r="E91">
            <v>-112</v>
          </cell>
          <cell r="F91">
            <v>0</v>
          </cell>
          <cell r="G91">
            <v>45206</v>
          </cell>
          <cell r="H91">
            <v>60528</v>
          </cell>
          <cell r="I91">
            <v>8963</v>
          </cell>
          <cell r="J91">
            <v>0</v>
          </cell>
          <cell r="K91">
            <v>8963</v>
          </cell>
          <cell r="L91">
            <v>69491</v>
          </cell>
          <cell r="M91">
            <v>25895</v>
          </cell>
          <cell r="N91">
            <v>6529</v>
          </cell>
          <cell r="O91">
            <v>-497</v>
          </cell>
          <cell r="P91">
            <v>14188</v>
          </cell>
          <cell r="Q91">
            <v>0</v>
          </cell>
          <cell r="R91">
            <v>46115</v>
          </cell>
          <cell r="S91">
            <v>46115</v>
          </cell>
          <cell r="T91">
            <v>3944</v>
          </cell>
          <cell r="U91">
            <v>0</v>
          </cell>
          <cell r="V91">
            <v>3944</v>
          </cell>
          <cell r="W91">
            <v>8513</v>
          </cell>
          <cell r="X91">
            <v>241</v>
          </cell>
          <cell r="Y91">
            <v>12698</v>
          </cell>
          <cell r="Z91">
            <v>58813</v>
          </cell>
          <cell r="AA91">
            <v>10678</v>
          </cell>
          <cell r="AB91">
            <v>8606</v>
          </cell>
          <cell r="AC91">
            <v>2072</v>
          </cell>
          <cell r="AD91">
            <v>69491</v>
          </cell>
          <cell r="AE91">
            <v>15489</v>
          </cell>
          <cell r="AF91">
            <v>35684</v>
          </cell>
          <cell r="AG91">
            <v>8691</v>
          </cell>
          <cell r="AH91">
            <v>-31</v>
          </cell>
          <cell r="AI91">
            <v>0</v>
          </cell>
          <cell r="AJ91">
            <v>44344</v>
          </cell>
          <cell r="AK91">
            <v>59833</v>
          </cell>
          <cell r="AL91">
            <v>8990</v>
          </cell>
          <cell r="AM91">
            <v>0</v>
          </cell>
          <cell r="AN91">
            <v>8990</v>
          </cell>
          <cell r="AO91">
            <v>68823</v>
          </cell>
          <cell r="AP91">
            <v>25412</v>
          </cell>
          <cell r="AQ91">
            <v>6539</v>
          </cell>
          <cell r="AR91">
            <v>-917</v>
          </cell>
          <cell r="AS91">
            <v>14116</v>
          </cell>
          <cell r="AT91">
            <v>0</v>
          </cell>
          <cell r="AU91">
            <v>45151</v>
          </cell>
          <cell r="AV91">
            <v>45151</v>
          </cell>
          <cell r="AW91">
            <v>3364</v>
          </cell>
          <cell r="AX91">
            <v>0</v>
          </cell>
          <cell r="AY91">
            <v>3364</v>
          </cell>
          <cell r="AZ91">
            <v>8436</v>
          </cell>
          <cell r="BA91">
            <v>228</v>
          </cell>
          <cell r="BB91">
            <v>12028</v>
          </cell>
          <cell r="BC91">
            <v>57179</v>
          </cell>
          <cell r="BD91">
            <v>11644</v>
          </cell>
          <cell r="BE91">
            <v>9567</v>
          </cell>
          <cell r="BF91">
            <v>2077</v>
          </cell>
          <cell r="BG91">
            <v>68823</v>
          </cell>
          <cell r="BH91">
            <v>15418</v>
          </cell>
          <cell r="BI91">
            <v>36772</v>
          </cell>
          <cell r="BJ91">
            <v>13681</v>
          </cell>
          <cell r="BK91">
            <v>1120</v>
          </cell>
          <cell r="BL91">
            <v>0</v>
          </cell>
          <cell r="BM91">
            <v>51573</v>
          </cell>
          <cell r="BN91">
            <v>66990</v>
          </cell>
          <cell r="BO91">
            <v>8990</v>
          </cell>
          <cell r="BP91">
            <v>0</v>
          </cell>
          <cell r="BQ91">
            <v>8990</v>
          </cell>
          <cell r="BR91">
            <v>75980</v>
          </cell>
          <cell r="BS91">
            <v>25515</v>
          </cell>
          <cell r="BT91">
            <v>6774</v>
          </cell>
          <cell r="BU91">
            <v>232</v>
          </cell>
          <cell r="BV91">
            <v>14116</v>
          </cell>
          <cell r="BW91">
            <v>0</v>
          </cell>
          <cell r="BX91">
            <v>46637</v>
          </cell>
          <cell r="BY91">
            <v>46637</v>
          </cell>
          <cell r="BZ91">
            <v>3275</v>
          </cell>
          <cell r="CA91">
            <v>0</v>
          </cell>
          <cell r="CB91">
            <v>3275</v>
          </cell>
          <cell r="CC91">
            <v>8324</v>
          </cell>
          <cell r="CD91">
            <v>238</v>
          </cell>
          <cell r="CE91">
            <v>11837</v>
          </cell>
          <cell r="CF91">
            <v>58474</v>
          </cell>
          <cell r="CG91">
            <v>17506</v>
          </cell>
          <cell r="CH91">
            <v>15428</v>
          </cell>
          <cell r="CI91">
            <v>2077</v>
          </cell>
          <cell r="CJ91">
            <v>75980</v>
          </cell>
        </row>
        <row r="92">
          <cell r="A92">
            <v>39783</v>
          </cell>
          <cell r="B92">
            <v>16289</v>
          </cell>
          <cell r="C92">
            <v>34074</v>
          </cell>
          <cell r="D92">
            <v>8543</v>
          </cell>
          <cell r="E92">
            <v>-319</v>
          </cell>
          <cell r="F92">
            <v>0</v>
          </cell>
          <cell r="G92">
            <v>42297</v>
          </cell>
          <cell r="H92">
            <v>58587</v>
          </cell>
          <cell r="I92">
            <v>9253</v>
          </cell>
          <cell r="J92">
            <v>0</v>
          </cell>
          <cell r="K92">
            <v>9253</v>
          </cell>
          <cell r="L92">
            <v>67840</v>
          </cell>
          <cell r="M92">
            <v>25254</v>
          </cell>
          <cell r="N92">
            <v>6063</v>
          </cell>
          <cell r="O92">
            <v>-349</v>
          </cell>
          <cell r="P92">
            <v>14298</v>
          </cell>
          <cell r="Q92">
            <v>0</v>
          </cell>
          <cell r="R92">
            <v>45265</v>
          </cell>
          <cell r="S92">
            <v>45265</v>
          </cell>
          <cell r="T92">
            <v>3959</v>
          </cell>
          <cell r="U92">
            <v>0</v>
          </cell>
          <cell r="V92">
            <v>3959</v>
          </cell>
          <cell r="W92">
            <v>8622</v>
          </cell>
          <cell r="X92">
            <v>258</v>
          </cell>
          <cell r="Y92">
            <v>12839</v>
          </cell>
          <cell r="Z92">
            <v>58104</v>
          </cell>
          <cell r="AA92">
            <v>9736</v>
          </cell>
          <cell r="AB92">
            <v>7625</v>
          </cell>
          <cell r="AC92">
            <v>2111</v>
          </cell>
          <cell r="AD92">
            <v>67840</v>
          </cell>
          <cell r="AE92">
            <v>16193</v>
          </cell>
          <cell r="AF92">
            <v>33922</v>
          </cell>
          <cell r="AG92">
            <v>8875</v>
          </cell>
          <cell r="AH92">
            <v>-433</v>
          </cell>
          <cell r="AI92">
            <v>0</v>
          </cell>
          <cell r="AJ92">
            <v>42364</v>
          </cell>
          <cell r="AK92">
            <v>58557</v>
          </cell>
          <cell r="AL92">
            <v>9258</v>
          </cell>
          <cell r="AM92">
            <v>0</v>
          </cell>
          <cell r="AN92">
            <v>9258</v>
          </cell>
          <cell r="AO92">
            <v>67815</v>
          </cell>
          <cell r="AP92">
            <v>25354</v>
          </cell>
          <cell r="AQ92">
            <v>6279</v>
          </cell>
          <cell r="AR92">
            <v>-251</v>
          </cell>
          <cell r="AS92">
            <v>14291</v>
          </cell>
          <cell r="AT92">
            <v>0</v>
          </cell>
          <cell r="AU92">
            <v>45673</v>
          </cell>
          <cell r="AV92">
            <v>45673</v>
          </cell>
          <cell r="AW92">
            <v>4209</v>
          </cell>
          <cell r="AX92">
            <v>0</v>
          </cell>
          <cell r="AY92">
            <v>4209</v>
          </cell>
          <cell r="AZ92">
            <v>8759</v>
          </cell>
          <cell r="BA92">
            <v>283</v>
          </cell>
          <cell r="BB92">
            <v>13251</v>
          </cell>
          <cell r="BC92">
            <v>58923</v>
          </cell>
          <cell r="BD92">
            <v>8892</v>
          </cell>
          <cell r="BE92">
            <v>6779</v>
          </cell>
          <cell r="BF92">
            <v>2113</v>
          </cell>
          <cell r="BG92">
            <v>67815</v>
          </cell>
          <cell r="BH92">
            <v>16236</v>
          </cell>
          <cell r="BI92">
            <v>33942</v>
          </cell>
          <cell r="BJ92">
            <v>3855</v>
          </cell>
          <cell r="BK92">
            <v>-838</v>
          </cell>
          <cell r="BL92">
            <v>0</v>
          </cell>
          <cell r="BM92">
            <v>36958</v>
          </cell>
          <cell r="BN92">
            <v>53194</v>
          </cell>
          <cell r="BO92">
            <v>9258</v>
          </cell>
          <cell r="BP92">
            <v>0</v>
          </cell>
          <cell r="BQ92">
            <v>9258</v>
          </cell>
          <cell r="BR92">
            <v>62452</v>
          </cell>
          <cell r="BS92">
            <v>25447</v>
          </cell>
          <cell r="BT92">
            <v>6968</v>
          </cell>
          <cell r="BU92">
            <v>195</v>
          </cell>
          <cell r="BV92">
            <v>14291</v>
          </cell>
          <cell r="BW92">
            <v>0</v>
          </cell>
          <cell r="BX92">
            <v>46900</v>
          </cell>
          <cell r="BY92">
            <v>46900</v>
          </cell>
          <cell r="BZ92">
            <v>4312</v>
          </cell>
          <cell r="CA92">
            <v>0</v>
          </cell>
          <cell r="CB92">
            <v>4312</v>
          </cell>
          <cell r="CC92">
            <v>8829</v>
          </cell>
          <cell r="CD92">
            <v>307</v>
          </cell>
          <cell r="CE92">
            <v>13448</v>
          </cell>
          <cell r="CF92">
            <v>60348</v>
          </cell>
          <cell r="CG92">
            <v>2104</v>
          </cell>
          <cell r="CH92">
            <v>-9</v>
          </cell>
          <cell r="CI92">
            <v>2113</v>
          </cell>
          <cell r="CJ92">
            <v>62452</v>
          </cell>
        </row>
        <row r="93">
          <cell r="A93">
            <v>39873</v>
          </cell>
          <cell r="B93">
            <v>16834</v>
          </cell>
          <cell r="C93">
            <v>31200</v>
          </cell>
          <cell r="D93">
            <v>8053</v>
          </cell>
          <cell r="E93">
            <v>-80</v>
          </cell>
          <cell r="F93">
            <v>0</v>
          </cell>
          <cell r="G93">
            <v>39173</v>
          </cell>
          <cell r="H93">
            <v>56007</v>
          </cell>
          <cell r="I93">
            <v>9490</v>
          </cell>
          <cell r="J93">
            <v>0</v>
          </cell>
          <cell r="K93">
            <v>9490</v>
          </cell>
          <cell r="L93">
            <v>65497</v>
          </cell>
          <cell r="M93">
            <v>23898</v>
          </cell>
          <cell r="N93">
            <v>5661</v>
          </cell>
          <cell r="O93">
            <v>186</v>
          </cell>
          <cell r="P93">
            <v>14303</v>
          </cell>
          <cell r="Q93">
            <v>0</v>
          </cell>
          <cell r="R93">
            <v>44048</v>
          </cell>
          <cell r="S93">
            <v>44048</v>
          </cell>
          <cell r="T93">
            <v>4240</v>
          </cell>
          <cell r="U93">
            <v>0</v>
          </cell>
          <cell r="V93">
            <v>4240</v>
          </cell>
          <cell r="W93">
            <v>8827</v>
          </cell>
          <cell r="X93">
            <v>266</v>
          </cell>
          <cell r="Y93">
            <v>13333</v>
          </cell>
          <cell r="Z93">
            <v>57382</v>
          </cell>
          <cell r="AA93">
            <v>8115</v>
          </cell>
          <cell r="AB93">
            <v>5983</v>
          </cell>
          <cell r="AC93">
            <v>2132</v>
          </cell>
          <cell r="AD93">
            <v>65497</v>
          </cell>
          <cell r="AE93">
            <v>16980</v>
          </cell>
          <cell r="AF93">
            <v>32131</v>
          </cell>
          <cell r="AG93">
            <v>8141</v>
          </cell>
          <cell r="AH93">
            <v>-532</v>
          </cell>
          <cell r="AI93">
            <v>0</v>
          </cell>
          <cell r="AJ93">
            <v>39740</v>
          </cell>
          <cell r="AK93">
            <v>56720</v>
          </cell>
          <cell r="AL93">
            <v>9491</v>
          </cell>
          <cell r="AM93">
            <v>0</v>
          </cell>
          <cell r="AN93">
            <v>9491</v>
          </cell>
          <cell r="AO93">
            <v>66211</v>
          </cell>
          <cell r="AP93">
            <v>24703</v>
          </cell>
          <cell r="AQ93">
            <v>5441</v>
          </cell>
          <cell r="AR93">
            <v>459</v>
          </cell>
          <cell r="AS93">
            <v>14339</v>
          </cell>
          <cell r="AT93">
            <v>0</v>
          </cell>
          <cell r="AU93">
            <v>44943</v>
          </cell>
          <cell r="AV93">
            <v>44943</v>
          </cell>
          <cell r="AW93">
            <v>4378</v>
          </cell>
          <cell r="AX93">
            <v>0</v>
          </cell>
          <cell r="AY93">
            <v>4378</v>
          </cell>
          <cell r="AZ93">
            <v>9762</v>
          </cell>
          <cell r="BA93">
            <v>284</v>
          </cell>
          <cell r="BB93">
            <v>14423</v>
          </cell>
          <cell r="BC93">
            <v>59366</v>
          </cell>
          <cell r="BD93">
            <v>6845</v>
          </cell>
          <cell r="BE93">
            <v>4711</v>
          </cell>
          <cell r="BF93">
            <v>2134</v>
          </cell>
          <cell r="BG93">
            <v>66211</v>
          </cell>
          <cell r="BH93">
            <v>16761</v>
          </cell>
          <cell r="BI93">
            <v>32147</v>
          </cell>
          <cell r="BJ93">
            <v>12087</v>
          </cell>
          <cell r="BK93">
            <v>79</v>
          </cell>
          <cell r="BL93">
            <v>0</v>
          </cell>
          <cell r="BM93">
            <v>44313</v>
          </cell>
          <cell r="BN93">
            <v>61074</v>
          </cell>
          <cell r="BO93">
            <v>9491</v>
          </cell>
          <cell r="BP93">
            <v>0</v>
          </cell>
          <cell r="BQ93">
            <v>9491</v>
          </cell>
          <cell r="BR93">
            <v>70565</v>
          </cell>
          <cell r="BS93">
            <v>24695</v>
          </cell>
          <cell r="BT93">
            <v>4520</v>
          </cell>
          <cell r="BU93">
            <v>688</v>
          </cell>
          <cell r="BV93">
            <v>14339</v>
          </cell>
          <cell r="BW93">
            <v>0</v>
          </cell>
          <cell r="BX93">
            <v>44243</v>
          </cell>
          <cell r="BY93">
            <v>44243</v>
          </cell>
          <cell r="BZ93">
            <v>4334</v>
          </cell>
          <cell r="CA93">
            <v>0</v>
          </cell>
          <cell r="CB93">
            <v>4334</v>
          </cell>
          <cell r="CC93">
            <v>9838</v>
          </cell>
          <cell r="CD93">
            <v>253</v>
          </cell>
          <cell r="CE93">
            <v>14426</v>
          </cell>
          <cell r="CF93">
            <v>58668</v>
          </cell>
          <cell r="CG93">
            <v>11896</v>
          </cell>
          <cell r="CH93">
            <v>9763</v>
          </cell>
          <cell r="CI93">
            <v>2134</v>
          </cell>
          <cell r="CJ93">
            <v>70565</v>
          </cell>
        </row>
        <row r="94">
          <cell r="A94">
            <v>39965</v>
          </cell>
          <cell r="B94">
            <v>16825</v>
          </cell>
          <cell r="C94">
            <v>29357</v>
          </cell>
          <cell r="D94">
            <v>7389</v>
          </cell>
          <cell r="E94">
            <v>159</v>
          </cell>
          <cell r="F94">
            <v>0</v>
          </cell>
          <cell r="G94">
            <v>36906</v>
          </cell>
          <cell r="H94">
            <v>53730</v>
          </cell>
          <cell r="I94">
            <v>9685</v>
          </cell>
          <cell r="J94">
            <v>0</v>
          </cell>
          <cell r="K94">
            <v>9685</v>
          </cell>
          <cell r="L94">
            <v>63415</v>
          </cell>
          <cell r="M94">
            <v>22502</v>
          </cell>
          <cell r="N94">
            <v>5523</v>
          </cell>
          <cell r="O94">
            <v>965</v>
          </cell>
          <cell r="P94">
            <v>14097</v>
          </cell>
          <cell r="Q94">
            <v>0</v>
          </cell>
          <cell r="R94">
            <v>43087</v>
          </cell>
          <cell r="S94">
            <v>43087</v>
          </cell>
          <cell r="T94">
            <v>4459</v>
          </cell>
          <cell r="U94">
            <v>0</v>
          </cell>
          <cell r="V94">
            <v>4459</v>
          </cell>
          <cell r="W94">
            <v>9109</v>
          </cell>
          <cell r="X94">
            <v>266</v>
          </cell>
          <cell r="Y94">
            <v>13834</v>
          </cell>
          <cell r="Z94">
            <v>56921</v>
          </cell>
          <cell r="AA94">
            <v>6494</v>
          </cell>
          <cell r="AB94">
            <v>4359</v>
          </cell>
          <cell r="AC94">
            <v>2135</v>
          </cell>
          <cell r="AD94">
            <v>63415</v>
          </cell>
          <cell r="AE94">
            <v>16952</v>
          </cell>
          <cell r="AF94">
            <v>28023</v>
          </cell>
          <cell r="AG94">
            <v>7001</v>
          </cell>
          <cell r="AH94">
            <v>808</v>
          </cell>
          <cell r="AI94">
            <v>0</v>
          </cell>
          <cell r="AJ94">
            <v>35832</v>
          </cell>
          <cell r="AK94">
            <v>52783</v>
          </cell>
          <cell r="AL94">
            <v>9688</v>
          </cell>
          <cell r="AM94">
            <v>0</v>
          </cell>
          <cell r="AN94">
            <v>9688</v>
          </cell>
          <cell r="AO94">
            <v>62471</v>
          </cell>
          <cell r="AP94">
            <v>21280</v>
          </cell>
          <cell r="AQ94">
            <v>5283</v>
          </cell>
          <cell r="AR94">
            <v>342</v>
          </cell>
          <cell r="AS94">
            <v>14233</v>
          </cell>
          <cell r="AT94">
            <v>0</v>
          </cell>
          <cell r="AU94">
            <v>41138</v>
          </cell>
          <cell r="AV94">
            <v>41138</v>
          </cell>
          <cell r="AW94">
            <v>4270</v>
          </cell>
          <cell r="AX94">
            <v>0</v>
          </cell>
          <cell r="AY94">
            <v>4270</v>
          </cell>
          <cell r="AZ94">
            <v>9127</v>
          </cell>
          <cell r="BA94">
            <v>199</v>
          </cell>
          <cell r="BB94">
            <v>13596</v>
          </cell>
          <cell r="BC94">
            <v>54734</v>
          </cell>
          <cell r="BD94">
            <v>7737</v>
          </cell>
          <cell r="BE94">
            <v>5598</v>
          </cell>
          <cell r="BF94">
            <v>2139</v>
          </cell>
          <cell r="BG94">
            <v>62471</v>
          </cell>
          <cell r="BH94">
            <v>17199</v>
          </cell>
          <cell r="BI94">
            <v>27277</v>
          </cell>
          <cell r="BJ94">
            <v>3730</v>
          </cell>
          <cell r="BK94">
            <v>-529</v>
          </cell>
          <cell r="BL94">
            <v>0</v>
          </cell>
          <cell r="BM94">
            <v>30478</v>
          </cell>
          <cell r="BN94">
            <v>47677</v>
          </cell>
          <cell r="BO94">
            <v>9688</v>
          </cell>
          <cell r="BP94">
            <v>0</v>
          </cell>
          <cell r="BQ94">
            <v>9688</v>
          </cell>
          <cell r="BR94">
            <v>57365</v>
          </cell>
          <cell r="BS94">
            <v>21176</v>
          </cell>
          <cell r="BT94">
            <v>5788</v>
          </cell>
          <cell r="BU94">
            <v>-310</v>
          </cell>
          <cell r="BV94">
            <v>14233</v>
          </cell>
          <cell r="BW94">
            <v>0</v>
          </cell>
          <cell r="BX94">
            <v>40887</v>
          </cell>
          <cell r="BY94">
            <v>40887</v>
          </cell>
          <cell r="BZ94">
            <v>4297</v>
          </cell>
          <cell r="CA94">
            <v>0</v>
          </cell>
          <cell r="CB94">
            <v>4297</v>
          </cell>
          <cell r="CC94">
            <v>9088</v>
          </cell>
          <cell r="CD94">
            <v>195</v>
          </cell>
          <cell r="CE94">
            <v>13580</v>
          </cell>
          <cell r="CF94">
            <v>54467</v>
          </cell>
          <cell r="CG94">
            <v>2898</v>
          </cell>
          <cell r="CH94">
            <v>759</v>
          </cell>
          <cell r="CI94">
            <v>2139</v>
          </cell>
          <cell r="CJ94">
            <v>57365</v>
          </cell>
        </row>
        <row r="95">
          <cell r="A95">
            <v>40057</v>
          </cell>
          <cell r="B95">
            <v>16561</v>
          </cell>
          <cell r="C95">
            <v>28530</v>
          </cell>
          <cell r="D95">
            <v>7157</v>
          </cell>
          <cell r="E95">
            <v>58</v>
          </cell>
          <cell r="F95">
            <v>0</v>
          </cell>
          <cell r="G95">
            <v>35744</v>
          </cell>
          <cell r="H95">
            <v>52305</v>
          </cell>
          <cell r="I95">
            <v>9870</v>
          </cell>
          <cell r="J95">
            <v>0</v>
          </cell>
          <cell r="K95">
            <v>9870</v>
          </cell>
          <cell r="L95">
            <v>62176</v>
          </cell>
          <cell r="M95">
            <v>21560</v>
          </cell>
          <cell r="N95">
            <v>5722</v>
          </cell>
          <cell r="O95">
            <v>1682</v>
          </cell>
          <cell r="P95">
            <v>13775</v>
          </cell>
          <cell r="Q95">
            <v>0</v>
          </cell>
          <cell r="R95">
            <v>42738</v>
          </cell>
          <cell r="S95">
            <v>42738</v>
          </cell>
          <cell r="T95">
            <v>4415</v>
          </cell>
          <cell r="U95">
            <v>0</v>
          </cell>
          <cell r="V95">
            <v>4415</v>
          </cell>
          <cell r="W95">
            <v>9401</v>
          </cell>
          <cell r="X95">
            <v>259</v>
          </cell>
          <cell r="Y95">
            <v>14075</v>
          </cell>
          <cell r="Z95">
            <v>56813</v>
          </cell>
          <cell r="AA95">
            <v>5362</v>
          </cell>
          <cell r="AB95">
            <v>3230</v>
          </cell>
          <cell r="AC95">
            <v>2132</v>
          </cell>
          <cell r="AD95">
            <v>62176</v>
          </cell>
          <cell r="AE95">
            <v>16484</v>
          </cell>
          <cell r="AF95">
            <v>29279</v>
          </cell>
          <cell r="AG95">
            <v>7161</v>
          </cell>
          <cell r="AH95">
            <v>154</v>
          </cell>
          <cell r="AI95">
            <v>0</v>
          </cell>
          <cell r="AJ95">
            <v>36594</v>
          </cell>
          <cell r="AK95">
            <v>53078</v>
          </cell>
          <cell r="AL95">
            <v>9860</v>
          </cell>
          <cell r="AM95">
            <v>0</v>
          </cell>
          <cell r="AN95">
            <v>9860</v>
          </cell>
          <cell r="AO95">
            <v>62938</v>
          </cell>
          <cell r="AP95">
            <v>22244</v>
          </cell>
          <cell r="AQ95">
            <v>10804</v>
          </cell>
          <cell r="AR95">
            <v>2137</v>
          </cell>
          <cell r="AS95">
            <v>13664</v>
          </cell>
          <cell r="AT95">
            <v>0</v>
          </cell>
          <cell r="AU95">
            <v>48848</v>
          </cell>
          <cell r="AV95">
            <v>48848</v>
          </cell>
          <cell r="AW95">
            <v>4606</v>
          </cell>
          <cell r="AX95">
            <v>0</v>
          </cell>
          <cell r="AY95">
            <v>4606</v>
          </cell>
          <cell r="AZ95">
            <v>9502</v>
          </cell>
          <cell r="BA95">
            <v>326</v>
          </cell>
          <cell r="BB95">
            <v>14434</v>
          </cell>
          <cell r="BC95">
            <v>63283</v>
          </cell>
          <cell r="BD95">
            <v>-345</v>
          </cell>
          <cell r="BE95">
            <v>-2471</v>
          </cell>
          <cell r="BF95">
            <v>2126</v>
          </cell>
          <cell r="BG95">
            <v>62938</v>
          </cell>
          <cell r="BH95">
            <v>16418</v>
          </cell>
          <cell r="BI95">
            <v>30142</v>
          </cell>
          <cell r="BJ95">
            <v>11208</v>
          </cell>
          <cell r="BK95">
            <v>1229</v>
          </cell>
          <cell r="BL95">
            <v>0</v>
          </cell>
          <cell r="BM95">
            <v>42579</v>
          </cell>
          <cell r="BN95">
            <v>58997</v>
          </cell>
          <cell r="BO95">
            <v>9860</v>
          </cell>
          <cell r="BP95">
            <v>0</v>
          </cell>
          <cell r="BQ95">
            <v>9860</v>
          </cell>
          <cell r="BR95">
            <v>68856</v>
          </cell>
          <cell r="BS95">
            <v>22288</v>
          </cell>
          <cell r="BT95">
            <v>10849</v>
          </cell>
          <cell r="BU95">
            <v>2262</v>
          </cell>
          <cell r="BV95">
            <v>13664</v>
          </cell>
          <cell r="BW95">
            <v>0</v>
          </cell>
          <cell r="BX95">
            <v>49064</v>
          </cell>
          <cell r="BY95">
            <v>49064</v>
          </cell>
          <cell r="BZ95">
            <v>4504</v>
          </cell>
          <cell r="CA95">
            <v>0</v>
          </cell>
          <cell r="CB95">
            <v>4504</v>
          </cell>
          <cell r="CC95">
            <v>9409</v>
          </cell>
          <cell r="CD95">
            <v>340</v>
          </cell>
          <cell r="CE95">
            <v>14253</v>
          </cell>
          <cell r="CF95">
            <v>63316</v>
          </cell>
          <cell r="CG95">
            <v>5540</v>
          </cell>
          <cell r="CH95">
            <v>3414</v>
          </cell>
          <cell r="CI95">
            <v>2126</v>
          </cell>
          <cell r="CJ95">
            <v>68856</v>
          </cell>
        </row>
        <row r="96">
          <cell r="A96">
            <v>40148</v>
          </cell>
          <cell r="B96">
            <v>16470</v>
          </cell>
          <cell r="C96">
            <v>29510</v>
          </cell>
          <cell r="D96">
            <v>7454</v>
          </cell>
          <cell r="E96">
            <v>-235</v>
          </cell>
          <cell r="F96">
            <v>0</v>
          </cell>
          <cell r="G96">
            <v>36728</v>
          </cell>
          <cell r="H96">
            <v>53198</v>
          </cell>
          <cell r="I96">
            <v>10056</v>
          </cell>
          <cell r="J96">
            <v>0</v>
          </cell>
          <cell r="K96">
            <v>10056</v>
          </cell>
          <cell r="L96">
            <v>63253</v>
          </cell>
          <cell r="M96">
            <v>21705</v>
          </cell>
          <cell r="N96">
            <v>5966</v>
          </cell>
          <cell r="O96">
            <v>2022</v>
          </cell>
          <cell r="P96">
            <v>13585</v>
          </cell>
          <cell r="Q96">
            <v>0</v>
          </cell>
          <cell r="R96">
            <v>43278</v>
          </cell>
          <cell r="S96">
            <v>43278</v>
          </cell>
          <cell r="T96">
            <v>4379</v>
          </cell>
          <cell r="U96">
            <v>0</v>
          </cell>
          <cell r="V96">
            <v>4379</v>
          </cell>
          <cell r="W96">
            <v>9674</v>
          </cell>
          <cell r="X96">
            <v>255</v>
          </cell>
          <cell r="Y96">
            <v>14307</v>
          </cell>
          <cell r="Z96">
            <v>57585</v>
          </cell>
          <cell r="AA96">
            <v>5668</v>
          </cell>
          <cell r="AB96">
            <v>3536</v>
          </cell>
          <cell r="AC96">
            <v>2133</v>
          </cell>
          <cell r="AD96">
            <v>63253</v>
          </cell>
          <cell r="AE96">
            <v>16177</v>
          </cell>
          <cell r="AF96">
            <v>29115</v>
          </cell>
          <cell r="AG96">
            <v>7607</v>
          </cell>
          <cell r="AH96">
            <v>-724</v>
          </cell>
          <cell r="AI96">
            <v>0</v>
          </cell>
          <cell r="AJ96">
            <v>35998</v>
          </cell>
          <cell r="AK96">
            <v>52175</v>
          </cell>
          <cell r="AL96">
            <v>10057</v>
          </cell>
          <cell r="AM96">
            <v>0</v>
          </cell>
          <cell r="AN96">
            <v>10057</v>
          </cell>
          <cell r="AO96">
            <v>62232</v>
          </cell>
          <cell r="AP96">
            <v>21265</v>
          </cell>
          <cell r="AQ96">
            <v>5670</v>
          </cell>
          <cell r="AR96">
            <v>2124</v>
          </cell>
          <cell r="AS96">
            <v>13555</v>
          </cell>
          <cell r="AT96">
            <v>0</v>
          </cell>
          <cell r="AU96">
            <v>42614</v>
          </cell>
          <cell r="AV96">
            <v>42614</v>
          </cell>
          <cell r="AW96">
            <v>4317</v>
          </cell>
          <cell r="AX96">
            <v>0</v>
          </cell>
          <cell r="AY96">
            <v>4317</v>
          </cell>
          <cell r="AZ96">
            <v>9620</v>
          </cell>
          <cell r="BA96">
            <v>238</v>
          </cell>
          <cell r="BB96">
            <v>14176</v>
          </cell>
          <cell r="BC96">
            <v>56790</v>
          </cell>
          <cell r="BD96">
            <v>5442</v>
          </cell>
          <cell r="BE96">
            <v>3310</v>
          </cell>
          <cell r="BF96">
            <v>2132</v>
          </cell>
          <cell r="BG96">
            <v>62232</v>
          </cell>
          <cell r="BH96">
            <v>16212</v>
          </cell>
          <cell r="BI96">
            <v>28953</v>
          </cell>
          <cell r="BJ96">
            <v>3363</v>
          </cell>
          <cell r="BK96">
            <v>-1081</v>
          </cell>
          <cell r="BL96">
            <v>0</v>
          </cell>
          <cell r="BM96">
            <v>31235</v>
          </cell>
          <cell r="BN96">
            <v>47447</v>
          </cell>
          <cell r="BO96">
            <v>10057</v>
          </cell>
          <cell r="BP96">
            <v>0</v>
          </cell>
          <cell r="BQ96">
            <v>10057</v>
          </cell>
          <cell r="BR96">
            <v>57504</v>
          </cell>
          <cell r="BS96">
            <v>21306</v>
          </cell>
          <cell r="BT96">
            <v>6293</v>
          </cell>
          <cell r="BU96">
            <v>2421</v>
          </cell>
          <cell r="BV96">
            <v>13555</v>
          </cell>
          <cell r="BW96">
            <v>0</v>
          </cell>
          <cell r="BX96">
            <v>43574</v>
          </cell>
          <cell r="BY96">
            <v>43574</v>
          </cell>
          <cell r="BZ96">
            <v>4443</v>
          </cell>
          <cell r="CA96">
            <v>0</v>
          </cell>
          <cell r="CB96">
            <v>4443</v>
          </cell>
          <cell r="CC96">
            <v>9681</v>
          </cell>
          <cell r="CD96">
            <v>258</v>
          </cell>
          <cell r="CE96">
            <v>14382</v>
          </cell>
          <cell r="CF96">
            <v>57956</v>
          </cell>
          <cell r="CG96">
            <v>-453</v>
          </cell>
          <cell r="CH96">
            <v>-2585</v>
          </cell>
          <cell r="CI96">
            <v>2132</v>
          </cell>
          <cell r="CJ96">
            <v>57504</v>
          </cell>
        </row>
        <row r="97">
          <cell r="A97">
            <v>40238</v>
          </cell>
          <cell r="B97">
            <v>16687</v>
          </cell>
          <cell r="C97">
            <v>31936</v>
          </cell>
          <cell r="D97">
            <v>7834</v>
          </cell>
          <cell r="E97">
            <v>-196</v>
          </cell>
          <cell r="F97">
            <v>0</v>
          </cell>
          <cell r="G97">
            <v>39575</v>
          </cell>
          <cell r="H97">
            <v>56262</v>
          </cell>
          <cell r="I97">
            <v>10240</v>
          </cell>
          <cell r="J97">
            <v>0</v>
          </cell>
          <cell r="K97">
            <v>10240</v>
          </cell>
          <cell r="L97">
            <v>66502</v>
          </cell>
          <cell r="M97">
            <v>22299</v>
          </cell>
          <cell r="N97">
            <v>5887</v>
          </cell>
          <cell r="O97">
            <v>1767</v>
          </cell>
          <cell r="P97">
            <v>13761</v>
          </cell>
          <cell r="Q97">
            <v>0</v>
          </cell>
          <cell r="R97">
            <v>43714</v>
          </cell>
          <cell r="S97">
            <v>43714</v>
          </cell>
          <cell r="T97">
            <v>4244</v>
          </cell>
          <cell r="U97">
            <v>0</v>
          </cell>
          <cell r="V97">
            <v>4244</v>
          </cell>
          <cell r="W97">
            <v>9933</v>
          </cell>
          <cell r="X97">
            <v>246</v>
          </cell>
          <cell r="Y97">
            <v>14423</v>
          </cell>
          <cell r="Z97">
            <v>58136</v>
          </cell>
          <cell r="AA97">
            <v>8366</v>
          </cell>
          <cell r="AB97">
            <v>6225</v>
          </cell>
          <cell r="AC97">
            <v>2140</v>
          </cell>
          <cell r="AD97">
            <v>66502</v>
          </cell>
          <cell r="AE97">
            <v>16844</v>
          </cell>
          <cell r="AF97">
            <v>31458</v>
          </cell>
          <cell r="AG97">
            <v>7686</v>
          </cell>
          <cell r="AH97">
            <v>-52</v>
          </cell>
          <cell r="AI97">
            <v>0</v>
          </cell>
          <cell r="AJ97">
            <v>39092</v>
          </cell>
          <cell r="AK97">
            <v>55935</v>
          </cell>
          <cell r="AL97">
            <v>10243</v>
          </cell>
          <cell r="AM97">
            <v>0</v>
          </cell>
          <cell r="AN97">
            <v>10243</v>
          </cell>
          <cell r="AO97">
            <v>66179</v>
          </cell>
          <cell r="AP97">
            <v>22340</v>
          </cell>
          <cell r="AQ97">
            <v>6212</v>
          </cell>
          <cell r="AR97">
            <v>1745</v>
          </cell>
          <cell r="AS97">
            <v>13740</v>
          </cell>
          <cell r="AT97">
            <v>0</v>
          </cell>
          <cell r="AU97">
            <v>44037</v>
          </cell>
          <cell r="AV97">
            <v>44037</v>
          </cell>
          <cell r="AW97">
            <v>4154</v>
          </cell>
          <cell r="AX97">
            <v>0</v>
          </cell>
          <cell r="AY97">
            <v>4154</v>
          </cell>
          <cell r="AZ97">
            <v>12021</v>
          </cell>
          <cell r="BA97">
            <v>215</v>
          </cell>
          <cell r="BB97">
            <v>16390</v>
          </cell>
          <cell r="BC97">
            <v>60427</v>
          </cell>
          <cell r="BD97">
            <v>5752</v>
          </cell>
          <cell r="BE97">
            <v>3611</v>
          </cell>
          <cell r="BF97">
            <v>2141</v>
          </cell>
          <cell r="BG97">
            <v>66179</v>
          </cell>
          <cell r="BH97">
            <v>16636</v>
          </cell>
          <cell r="BI97">
            <v>31371</v>
          </cell>
          <cell r="BJ97">
            <v>11298</v>
          </cell>
          <cell r="BK97">
            <v>-20</v>
          </cell>
          <cell r="BL97">
            <v>0</v>
          </cell>
          <cell r="BM97">
            <v>42648</v>
          </cell>
          <cell r="BN97">
            <v>59284</v>
          </cell>
          <cell r="BO97">
            <v>10243</v>
          </cell>
          <cell r="BP97">
            <v>0</v>
          </cell>
          <cell r="BQ97">
            <v>10243</v>
          </cell>
          <cell r="BR97">
            <v>69527</v>
          </cell>
          <cell r="BS97">
            <v>22354</v>
          </cell>
          <cell r="BT97">
            <v>5166</v>
          </cell>
          <cell r="BU97">
            <v>2004</v>
          </cell>
          <cell r="BV97">
            <v>13740</v>
          </cell>
          <cell r="BW97">
            <v>0</v>
          </cell>
          <cell r="BX97">
            <v>43263</v>
          </cell>
          <cell r="BY97">
            <v>43263</v>
          </cell>
          <cell r="BZ97">
            <v>4106</v>
          </cell>
          <cell r="CA97">
            <v>0</v>
          </cell>
          <cell r="CB97">
            <v>4106</v>
          </cell>
          <cell r="CC97">
            <v>12113</v>
          </cell>
          <cell r="CD97">
            <v>191</v>
          </cell>
          <cell r="CE97">
            <v>16410</v>
          </cell>
          <cell r="CF97">
            <v>59673</v>
          </cell>
          <cell r="CG97">
            <v>9854</v>
          </cell>
          <cell r="CH97">
            <v>7713</v>
          </cell>
          <cell r="CI97">
            <v>2141</v>
          </cell>
          <cell r="CJ97">
            <v>69527</v>
          </cell>
        </row>
        <row r="98">
          <cell r="A98">
            <v>40330</v>
          </cell>
          <cell r="B98">
            <v>16954</v>
          </cell>
          <cell r="C98">
            <v>34758</v>
          </cell>
          <cell r="D98">
            <v>8195</v>
          </cell>
          <cell r="E98">
            <v>449</v>
          </cell>
          <cell r="F98">
            <v>0</v>
          </cell>
          <cell r="G98">
            <v>43402</v>
          </cell>
          <cell r="H98">
            <v>60356</v>
          </cell>
          <cell r="I98">
            <v>10417</v>
          </cell>
          <cell r="J98">
            <v>0</v>
          </cell>
          <cell r="K98">
            <v>10417</v>
          </cell>
          <cell r="L98">
            <v>70773</v>
          </cell>
          <cell r="M98">
            <v>23055</v>
          </cell>
          <cell r="N98">
            <v>5605</v>
          </cell>
          <cell r="O98">
            <v>1347</v>
          </cell>
          <cell r="P98">
            <v>14291</v>
          </cell>
          <cell r="Q98">
            <v>0</v>
          </cell>
          <cell r="R98">
            <v>44298</v>
          </cell>
          <cell r="S98">
            <v>44298</v>
          </cell>
          <cell r="T98">
            <v>4205</v>
          </cell>
          <cell r="U98">
            <v>0</v>
          </cell>
          <cell r="V98">
            <v>4205</v>
          </cell>
          <cell r="W98">
            <v>10229</v>
          </cell>
          <cell r="X98">
            <v>253</v>
          </cell>
          <cell r="Y98">
            <v>14687</v>
          </cell>
          <cell r="Z98">
            <v>58985</v>
          </cell>
          <cell r="AA98">
            <v>11788</v>
          </cell>
          <cell r="AB98">
            <v>9635</v>
          </cell>
          <cell r="AC98">
            <v>2153</v>
          </cell>
          <cell r="AD98">
            <v>70773</v>
          </cell>
          <cell r="AE98">
            <v>17126</v>
          </cell>
          <cell r="AF98">
            <v>35322</v>
          </cell>
          <cell r="AG98">
            <v>8460</v>
          </cell>
          <cell r="AH98">
            <v>363</v>
          </cell>
          <cell r="AI98">
            <v>0</v>
          </cell>
          <cell r="AJ98">
            <v>44145</v>
          </cell>
          <cell r="AK98">
            <v>61271</v>
          </cell>
          <cell r="AL98">
            <v>10419</v>
          </cell>
          <cell r="AM98">
            <v>0</v>
          </cell>
          <cell r="AN98">
            <v>10419</v>
          </cell>
          <cell r="AO98">
            <v>71690</v>
          </cell>
          <cell r="AP98">
            <v>23625</v>
          </cell>
          <cell r="AQ98">
            <v>5600</v>
          </cell>
          <cell r="AR98">
            <v>1158</v>
          </cell>
          <cell r="AS98">
            <v>14206</v>
          </cell>
          <cell r="AT98">
            <v>0</v>
          </cell>
          <cell r="AU98">
            <v>44590</v>
          </cell>
          <cell r="AV98">
            <v>44590</v>
          </cell>
          <cell r="AW98">
            <v>4452</v>
          </cell>
          <cell r="AX98">
            <v>0</v>
          </cell>
          <cell r="AY98">
            <v>4452</v>
          </cell>
          <cell r="AZ98">
            <v>10250</v>
          </cell>
          <cell r="BA98">
            <v>290</v>
          </cell>
          <cell r="BB98">
            <v>14992</v>
          </cell>
          <cell r="BC98">
            <v>59582</v>
          </cell>
          <cell r="BD98">
            <v>12108</v>
          </cell>
          <cell r="BE98">
            <v>9955</v>
          </cell>
          <cell r="BF98">
            <v>2153</v>
          </cell>
          <cell r="BG98">
            <v>71690</v>
          </cell>
          <cell r="BH98">
            <v>17359</v>
          </cell>
          <cell r="BI98">
            <v>34722</v>
          </cell>
          <cell r="BJ98">
            <v>4620</v>
          </cell>
          <cell r="BK98">
            <v>97</v>
          </cell>
          <cell r="BL98">
            <v>0</v>
          </cell>
          <cell r="BM98">
            <v>39439</v>
          </cell>
          <cell r="BN98">
            <v>56798</v>
          </cell>
          <cell r="BO98">
            <v>10419</v>
          </cell>
          <cell r="BP98">
            <v>0</v>
          </cell>
          <cell r="BQ98">
            <v>10419</v>
          </cell>
          <cell r="BR98">
            <v>67217</v>
          </cell>
          <cell r="BS98">
            <v>23520</v>
          </cell>
          <cell r="BT98">
            <v>6311</v>
          </cell>
          <cell r="BU98">
            <v>478</v>
          </cell>
          <cell r="BV98">
            <v>14206</v>
          </cell>
          <cell r="BW98">
            <v>0</v>
          </cell>
          <cell r="BX98">
            <v>44515</v>
          </cell>
          <cell r="BY98">
            <v>44515</v>
          </cell>
          <cell r="BZ98">
            <v>4451</v>
          </cell>
          <cell r="CA98">
            <v>0</v>
          </cell>
          <cell r="CB98">
            <v>4451</v>
          </cell>
          <cell r="CC98">
            <v>10195</v>
          </cell>
          <cell r="CD98">
            <v>288</v>
          </cell>
          <cell r="CE98">
            <v>14935</v>
          </cell>
          <cell r="CF98">
            <v>59449</v>
          </cell>
          <cell r="CG98">
            <v>7768</v>
          </cell>
          <cell r="CH98">
            <v>5615</v>
          </cell>
          <cell r="CI98">
            <v>2153</v>
          </cell>
          <cell r="CJ98">
            <v>67217</v>
          </cell>
        </row>
        <row r="99">
          <cell r="A99">
            <v>40422</v>
          </cell>
          <cell r="B99">
            <v>17125</v>
          </cell>
          <cell r="C99">
            <v>36783</v>
          </cell>
          <cell r="D99">
            <v>8528</v>
          </cell>
          <cell r="E99">
            <v>1064</v>
          </cell>
          <cell r="F99">
            <v>0</v>
          </cell>
          <cell r="G99">
            <v>46375</v>
          </cell>
          <cell r="H99">
            <v>63500</v>
          </cell>
          <cell r="I99">
            <v>10588</v>
          </cell>
          <cell r="J99">
            <v>0</v>
          </cell>
          <cell r="K99">
            <v>10588</v>
          </cell>
          <cell r="L99">
            <v>74088</v>
          </cell>
          <cell r="M99">
            <v>23997</v>
          </cell>
          <cell r="N99">
            <v>5669</v>
          </cell>
          <cell r="O99">
            <v>1025</v>
          </cell>
          <cell r="P99">
            <v>14944</v>
          </cell>
          <cell r="Q99">
            <v>0</v>
          </cell>
          <cell r="R99">
            <v>45636</v>
          </cell>
          <cell r="S99">
            <v>45636</v>
          </cell>
          <cell r="T99">
            <v>4410</v>
          </cell>
          <cell r="U99">
            <v>0</v>
          </cell>
          <cell r="V99">
            <v>4410</v>
          </cell>
          <cell r="W99">
            <v>10521</v>
          </cell>
          <cell r="X99">
            <v>289</v>
          </cell>
          <cell r="Y99">
            <v>15220</v>
          </cell>
          <cell r="Z99">
            <v>60856</v>
          </cell>
          <cell r="AA99">
            <v>13232</v>
          </cell>
          <cell r="AB99">
            <v>11066</v>
          </cell>
          <cell r="AC99">
            <v>2166</v>
          </cell>
          <cell r="AD99">
            <v>74088</v>
          </cell>
          <cell r="AE99">
            <v>16986</v>
          </cell>
          <cell r="AF99">
            <v>32415</v>
          </cell>
          <cell r="AG99">
            <v>8097</v>
          </cell>
          <cell r="AH99">
            <v>1131</v>
          </cell>
          <cell r="AI99">
            <v>0</v>
          </cell>
          <cell r="AJ99">
            <v>41643</v>
          </cell>
          <cell r="AK99">
            <v>58629</v>
          </cell>
          <cell r="AL99">
            <v>10585</v>
          </cell>
          <cell r="AM99">
            <v>0</v>
          </cell>
          <cell r="AN99">
            <v>10585</v>
          </cell>
          <cell r="AO99">
            <v>69214</v>
          </cell>
          <cell r="AP99">
            <v>22976</v>
          </cell>
          <cell r="AQ99">
            <v>5287</v>
          </cell>
          <cell r="AR99">
            <v>941</v>
          </cell>
          <cell r="AS99">
            <v>15062</v>
          </cell>
          <cell r="AT99">
            <v>0</v>
          </cell>
          <cell r="AU99">
            <v>44266</v>
          </cell>
          <cell r="AV99">
            <v>44266</v>
          </cell>
          <cell r="AW99">
            <v>3926</v>
          </cell>
          <cell r="AX99">
            <v>0</v>
          </cell>
          <cell r="AY99">
            <v>3926</v>
          </cell>
          <cell r="AZ99">
            <v>10572</v>
          </cell>
          <cell r="BA99">
            <v>250</v>
          </cell>
          <cell r="BB99">
            <v>14747</v>
          </cell>
          <cell r="BC99">
            <v>59013</v>
          </cell>
          <cell r="BD99">
            <v>10200</v>
          </cell>
          <cell r="BE99">
            <v>8034</v>
          </cell>
          <cell r="BF99">
            <v>2166</v>
          </cell>
          <cell r="BG99">
            <v>69214</v>
          </cell>
          <cell r="BH99">
            <v>16936</v>
          </cell>
          <cell r="BI99">
            <v>33336</v>
          </cell>
          <cell r="BJ99">
            <v>12618</v>
          </cell>
          <cell r="BK99">
            <v>1378</v>
          </cell>
          <cell r="BL99">
            <v>0</v>
          </cell>
          <cell r="BM99">
            <v>47332</v>
          </cell>
          <cell r="BN99">
            <v>64267</v>
          </cell>
          <cell r="BO99">
            <v>10585</v>
          </cell>
          <cell r="BP99">
            <v>0</v>
          </cell>
          <cell r="BQ99">
            <v>10585</v>
          </cell>
          <cell r="BR99">
            <v>74852</v>
          </cell>
          <cell r="BS99">
            <v>23060</v>
          </cell>
          <cell r="BT99">
            <v>4609</v>
          </cell>
          <cell r="BU99">
            <v>1051</v>
          </cell>
          <cell r="BV99">
            <v>15062</v>
          </cell>
          <cell r="BW99">
            <v>0</v>
          </cell>
          <cell r="BX99">
            <v>43782</v>
          </cell>
          <cell r="BY99">
            <v>43782</v>
          </cell>
          <cell r="BZ99">
            <v>3864</v>
          </cell>
          <cell r="CA99">
            <v>0</v>
          </cell>
          <cell r="CB99">
            <v>3864</v>
          </cell>
          <cell r="CC99">
            <v>10500</v>
          </cell>
          <cell r="CD99">
            <v>260</v>
          </cell>
          <cell r="CE99">
            <v>14623</v>
          </cell>
          <cell r="CF99">
            <v>58405</v>
          </cell>
          <cell r="CG99">
            <v>16447</v>
          </cell>
          <cell r="CH99">
            <v>14280</v>
          </cell>
          <cell r="CI99">
            <v>2166</v>
          </cell>
          <cell r="CJ99">
            <v>74852</v>
          </cell>
        </row>
        <row r="100">
          <cell r="A100">
            <v>40513</v>
          </cell>
          <cell r="B100">
            <v>17332</v>
          </cell>
          <cell r="C100">
            <v>37434</v>
          </cell>
          <cell r="D100">
            <v>8718</v>
          </cell>
          <cell r="E100">
            <v>1321</v>
          </cell>
          <cell r="F100">
            <v>0</v>
          </cell>
          <cell r="G100">
            <v>47473</v>
          </cell>
          <cell r="H100">
            <v>64805</v>
          </cell>
          <cell r="I100">
            <v>10760</v>
          </cell>
          <cell r="J100">
            <v>0</v>
          </cell>
          <cell r="K100">
            <v>10760</v>
          </cell>
          <cell r="L100">
            <v>75565</v>
          </cell>
          <cell r="M100">
            <v>24681</v>
          </cell>
          <cell r="N100">
            <v>5895</v>
          </cell>
          <cell r="O100">
            <v>849</v>
          </cell>
          <cell r="P100">
            <v>15521</v>
          </cell>
          <cell r="Q100">
            <v>0</v>
          </cell>
          <cell r="R100">
            <v>46946</v>
          </cell>
          <cell r="S100">
            <v>46946</v>
          </cell>
          <cell r="T100">
            <v>4640</v>
          </cell>
          <cell r="U100">
            <v>0</v>
          </cell>
          <cell r="V100">
            <v>4640</v>
          </cell>
          <cell r="W100">
            <v>10762</v>
          </cell>
          <cell r="X100">
            <v>309</v>
          </cell>
          <cell r="Y100">
            <v>15710</v>
          </cell>
          <cell r="Z100">
            <v>62656</v>
          </cell>
          <cell r="AA100">
            <v>12909</v>
          </cell>
          <cell r="AB100">
            <v>10729</v>
          </cell>
          <cell r="AC100">
            <v>2179</v>
          </cell>
          <cell r="AD100">
            <v>75565</v>
          </cell>
          <cell r="AE100">
            <v>17270</v>
          </cell>
          <cell r="AF100">
            <v>37747</v>
          </cell>
          <cell r="AG100">
            <v>9207</v>
          </cell>
          <cell r="AH100">
            <v>1634</v>
          </cell>
          <cell r="AI100">
            <v>0</v>
          </cell>
          <cell r="AJ100">
            <v>48588</v>
          </cell>
          <cell r="AK100">
            <v>65858</v>
          </cell>
          <cell r="AL100">
            <v>10760</v>
          </cell>
          <cell r="AM100">
            <v>0</v>
          </cell>
          <cell r="AN100">
            <v>10760</v>
          </cell>
          <cell r="AO100">
            <v>76618</v>
          </cell>
          <cell r="AP100">
            <v>25681</v>
          </cell>
          <cell r="AQ100">
            <v>5874</v>
          </cell>
          <cell r="AR100">
            <v>1329</v>
          </cell>
          <cell r="AS100">
            <v>15543</v>
          </cell>
          <cell r="AT100">
            <v>0</v>
          </cell>
          <cell r="AU100">
            <v>48426</v>
          </cell>
          <cell r="AV100">
            <v>48426</v>
          </cell>
          <cell r="AW100">
            <v>5036</v>
          </cell>
          <cell r="AX100">
            <v>0</v>
          </cell>
          <cell r="AY100">
            <v>5036</v>
          </cell>
          <cell r="AZ100">
            <v>13086</v>
          </cell>
          <cell r="BA100">
            <v>344</v>
          </cell>
          <cell r="BB100">
            <v>18466</v>
          </cell>
          <cell r="BC100">
            <v>66892</v>
          </cell>
          <cell r="BD100">
            <v>9726</v>
          </cell>
          <cell r="BE100">
            <v>7547</v>
          </cell>
          <cell r="BF100">
            <v>2179</v>
          </cell>
          <cell r="BG100">
            <v>76618</v>
          </cell>
          <cell r="BH100">
            <v>17293</v>
          </cell>
          <cell r="BI100">
            <v>37327</v>
          </cell>
          <cell r="BJ100">
            <v>4114</v>
          </cell>
          <cell r="BK100">
            <v>1618</v>
          </cell>
          <cell r="BL100">
            <v>0</v>
          </cell>
          <cell r="BM100">
            <v>43060</v>
          </cell>
          <cell r="BN100">
            <v>60353</v>
          </cell>
          <cell r="BO100">
            <v>10760</v>
          </cell>
          <cell r="BP100">
            <v>0</v>
          </cell>
          <cell r="BQ100">
            <v>10760</v>
          </cell>
          <cell r="BR100">
            <v>71113</v>
          </cell>
          <cell r="BS100">
            <v>25649</v>
          </cell>
          <cell r="BT100">
            <v>6798</v>
          </cell>
          <cell r="BU100">
            <v>1624</v>
          </cell>
          <cell r="BV100">
            <v>15543</v>
          </cell>
          <cell r="BW100">
            <v>0</v>
          </cell>
          <cell r="BX100">
            <v>49614</v>
          </cell>
          <cell r="BY100">
            <v>49614</v>
          </cell>
          <cell r="BZ100">
            <v>5191</v>
          </cell>
          <cell r="CA100">
            <v>0</v>
          </cell>
          <cell r="CB100">
            <v>5191</v>
          </cell>
          <cell r="CC100">
            <v>13138</v>
          </cell>
          <cell r="CD100">
            <v>369</v>
          </cell>
          <cell r="CE100">
            <v>18699</v>
          </cell>
          <cell r="CF100">
            <v>68313</v>
          </cell>
          <cell r="CG100">
            <v>2800</v>
          </cell>
          <cell r="CH100">
            <v>622</v>
          </cell>
          <cell r="CI100">
            <v>2179</v>
          </cell>
          <cell r="CJ100">
            <v>71113</v>
          </cell>
        </row>
        <row r="101">
          <cell r="A101">
            <v>40603</v>
          </cell>
          <cell r="B101">
            <v>17752</v>
          </cell>
          <cell r="C101">
            <v>37465</v>
          </cell>
          <cell r="D101">
            <v>8706</v>
          </cell>
          <cell r="E101">
            <v>1422</v>
          </cell>
          <cell r="F101">
            <v>0</v>
          </cell>
          <cell r="G101">
            <v>47593</v>
          </cell>
          <cell r="H101">
            <v>65345</v>
          </cell>
          <cell r="I101">
            <v>10936</v>
          </cell>
          <cell r="J101">
            <v>0</v>
          </cell>
          <cell r="K101">
            <v>10936</v>
          </cell>
          <cell r="L101">
            <v>76281</v>
          </cell>
          <cell r="M101">
            <v>25196</v>
          </cell>
          <cell r="N101">
            <v>6155</v>
          </cell>
          <cell r="O101">
            <v>685</v>
          </cell>
          <cell r="P101">
            <v>15944</v>
          </cell>
          <cell r="Q101">
            <v>0</v>
          </cell>
          <cell r="R101">
            <v>47980</v>
          </cell>
          <cell r="S101">
            <v>47980</v>
          </cell>
          <cell r="T101">
            <v>4804</v>
          </cell>
          <cell r="U101">
            <v>0</v>
          </cell>
          <cell r="V101">
            <v>4804</v>
          </cell>
          <cell r="W101">
            <v>10994</v>
          </cell>
          <cell r="X101">
            <v>321</v>
          </cell>
          <cell r="Y101">
            <v>16119</v>
          </cell>
          <cell r="Z101">
            <v>64099</v>
          </cell>
          <cell r="AA101">
            <v>12183</v>
          </cell>
          <cell r="AB101">
            <v>9989</v>
          </cell>
          <cell r="AC101">
            <v>2194</v>
          </cell>
          <cell r="AD101">
            <v>76281</v>
          </cell>
          <cell r="AE101">
            <v>17676</v>
          </cell>
          <cell r="AF101">
            <v>36407</v>
          </cell>
          <cell r="AG101">
            <v>8478</v>
          </cell>
          <cell r="AH101">
            <v>1061</v>
          </cell>
          <cell r="AI101">
            <v>0</v>
          </cell>
          <cell r="AJ101">
            <v>45945</v>
          </cell>
          <cell r="AK101">
            <v>63621</v>
          </cell>
          <cell r="AL101">
            <v>10937</v>
          </cell>
          <cell r="AM101">
            <v>0</v>
          </cell>
          <cell r="AN101">
            <v>10937</v>
          </cell>
          <cell r="AO101">
            <v>74558</v>
          </cell>
          <cell r="AP101">
            <v>24741</v>
          </cell>
          <cell r="AQ101">
            <v>6851</v>
          </cell>
          <cell r="AR101">
            <v>-50</v>
          </cell>
          <cell r="AS101">
            <v>15934</v>
          </cell>
          <cell r="AT101">
            <v>0</v>
          </cell>
          <cell r="AU101">
            <v>47476</v>
          </cell>
          <cell r="AV101">
            <v>47476</v>
          </cell>
          <cell r="AW101">
            <v>4824</v>
          </cell>
          <cell r="AX101">
            <v>0</v>
          </cell>
          <cell r="AY101">
            <v>4824</v>
          </cell>
          <cell r="AZ101">
            <v>13065</v>
          </cell>
          <cell r="BA101">
            <v>311</v>
          </cell>
          <cell r="BB101">
            <v>18200</v>
          </cell>
          <cell r="BC101">
            <v>65677</v>
          </cell>
          <cell r="BD101">
            <v>8881</v>
          </cell>
          <cell r="BE101">
            <v>6687</v>
          </cell>
          <cell r="BF101">
            <v>2193</v>
          </cell>
          <cell r="BG101">
            <v>74558</v>
          </cell>
          <cell r="BH101">
            <v>17477</v>
          </cell>
          <cell r="BI101">
            <v>36252</v>
          </cell>
          <cell r="BJ101">
            <v>12335</v>
          </cell>
          <cell r="BK101">
            <v>1209</v>
          </cell>
          <cell r="BL101">
            <v>0</v>
          </cell>
          <cell r="BM101">
            <v>49797</v>
          </cell>
          <cell r="BN101">
            <v>67274</v>
          </cell>
          <cell r="BO101">
            <v>10937</v>
          </cell>
          <cell r="BP101">
            <v>0</v>
          </cell>
          <cell r="BQ101">
            <v>10937</v>
          </cell>
          <cell r="BR101">
            <v>78211</v>
          </cell>
          <cell r="BS101">
            <v>24784</v>
          </cell>
          <cell r="BT101">
            <v>5708</v>
          </cell>
          <cell r="BU101">
            <v>256</v>
          </cell>
          <cell r="BV101">
            <v>15934</v>
          </cell>
          <cell r="BW101">
            <v>0</v>
          </cell>
          <cell r="BX101">
            <v>46682</v>
          </cell>
          <cell r="BY101">
            <v>46682</v>
          </cell>
          <cell r="BZ101">
            <v>4737</v>
          </cell>
          <cell r="CA101">
            <v>0</v>
          </cell>
          <cell r="CB101">
            <v>4737</v>
          </cell>
          <cell r="CC101">
            <v>13172</v>
          </cell>
          <cell r="CD101">
            <v>276</v>
          </cell>
          <cell r="CE101">
            <v>18184</v>
          </cell>
          <cell r="CF101">
            <v>64866</v>
          </cell>
          <cell r="CG101">
            <v>13344</v>
          </cell>
          <cell r="CH101">
            <v>11151</v>
          </cell>
          <cell r="CI101">
            <v>2193</v>
          </cell>
          <cell r="CJ101">
            <v>78211</v>
          </cell>
        </row>
        <row r="102">
          <cell r="A102">
            <v>40695</v>
          </cell>
          <cell r="B102">
            <v>18182</v>
          </cell>
          <cell r="C102">
            <v>37166</v>
          </cell>
          <cell r="D102">
            <v>8609</v>
          </cell>
          <cell r="E102">
            <v>1448</v>
          </cell>
          <cell r="F102">
            <v>0</v>
          </cell>
          <cell r="G102">
            <v>47223</v>
          </cell>
          <cell r="H102">
            <v>65405</v>
          </cell>
          <cell r="I102">
            <v>11113</v>
          </cell>
          <cell r="J102">
            <v>0</v>
          </cell>
          <cell r="K102">
            <v>11113</v>
          </cell>
          <cell r="L102">
            <v>76518</v>
          </cell>
          <cell r="M102">
            <v>25220</v>
          </cell>
          <cell r="N102">
            <v>6140</v>
          </cell>
          <cell r="O102">
            <v>368</v>
          </cell>
          <cell r="P102">
            <v>16293</v>
          </cell>
          <cell r="Q102">
            <v>0</v>
          </cell>
          <cell r="R102">
            <v>48021</v>
          </cell>
          <cell r="S102">
            <v>48021</v>
          </cell>
          <cell r="T102">
            <v>4868</v>
          </cell>
          <cell r="U102">
            <v>0</v>
          </cell>
          <cell r="V102">
            <v>4868</v>
          </cell>
          <cell r="W102">
            <v>11224</v>
          </cell>
          <cell r="X102">
            <v>313</v>
          </cell>
          <cell r="Y102">
            <v>16404</v>
          </cell>
          <cell r="Z102">
            <v>64425</v>
          </cell>
          <cell r="AA102">
            <v>12093</v>
          </cell>
          <cell r="AB102">
            <v>9883</v>
          </cell>
          <cell r="AC102">
            <v>2210</v>
          </cell>
          <cell r="AD102">
            <v>76518</v>
          </cell>
          <cell r="AE102">
            <v>18197</v>
          </cell>
          <cell r="AF102">
            <v>38006</v>
          </cell>
          <cell r="AG102">
            <v>8593</v>
          </cell>
          <cell r="AH102">
            <v>1553</v>
          </cell>
          <cell r="AI102">
            <v>0</v>
          </cell>
          <cell r="AJ102">
            <v>48151</v>
          </cell>
          <cell r="AK102">
            <v>66348</v>
          </cell>
          <cell r="AL102">
            <v>11113</v>
          </cell>
          <cell r="AM102">
            <v>0</v>
          </cell>
          <cell r="AN102">
            <v>11113</v>
          </cell>
          <cell r="AO102">
            <v>77461</v>
          </cell>
          <cell r="AP102">
            <v>25199</v>
          </cell>
          <cell r="AQ102">
            <v>5382</v>
          </cell>
          <cell r="AR102">
            <v>1161</v>
          </cell>
          <cell r="AS102">
            <v>16254</v>
          </cell>
          <cell r="AT102">
            <v>0</v>
          </cell>
          <cell r="AU102">
            <v>47996</v>
          </cell>
          <cell r="AV102">
            <v>47996</v>
          </cell>
          <cell r="AW102">
            <v>4597</v>
          </cell>
          <cell r="AX102">
            <v>0</v>
          </cell>
          <cell r="AY102">
            <v>4597</v>
          </cell>
          <cell r="AZ102">
            <v>11204</v>
          </cell>
          <cell r="BA102">
            <v>300</v>
          </cell>
          <cell r="BB102">
            <v>16101</v>
          </cell>
          <cell r="BC102">
            <v>64097</v>
          </cell>
          <cell r="BD102">
            <v>13364</v>
          </cell>
          <cell r="BE102">
            <v>11153</v>
          </cell>
          <cell r="BF102">
            <v>2211</v>
          </cell>
          <cell r="BG102">
            <v>77461</v>
          </cell>
          <cell r="BH102">
            <v>18415</v>
          </cell>
          <cell r="BI102">
            <v>37705</v>
          </cell>
          <cell r="BJ102">
            <v>4826</v>
          </cell>
          <cell r="BK102">
            <v>1215</v>
          </cell>
          <cell r="BL102">
            <v>0</v>
          </cell>
          <cell r="BM102">
            <v>43746</v>
          </cell>
          <cell r="BN102">
            <v>62161</v>
          </cell>
          <cell r="BO102">
            <v>11113</v>
          </cell>
          <cell r="BP102">
            <v>0</v>
          </cell>
          <cell r="BQ102">
            <v>11113</v>
          </cell>
          <cell r="BR102">
            <v>73274</v>
          </cell>
          <cell r="BS102">
            <v>25115</v>
          </cell>
          <cell r="BT102">
            <v>6073</v>
          </cell>
          <cell r="BU102">
            <v>455</v>
          </cell>
          <cell r="BV102">
            <v>16254</v>
          </cell>
          <cell r="BW102">
            <v>0</v>
          </cell>
          <cell r="BX102">
            <v>47897</v>
          </cell>
          <cell r="BY102">
            <v>47897</v>
          </cell>
          <cell r="BZ102">
            <v>4600</v>
          </cell>
          <cell r="CA102">
            <v>0</v>
          </cell>
          <cell r="CB102">
            <v>4600</v>
          </cell>
          <cell r="CC102">
            <v>11134</v>
          </cell>
          <cell r="CD102">
            <v>307</v>
          </cell>
          <cell r="CE102">
            <v>16041</v>
          </cell>
          <cell r="CF102">
            <v>63938</v>
          </cell>
          <cell r="CG102">
            <v>9337</v>
          </cell>
          <cell r="CH102">
            <v>7126</v>
          </cell>
          <cell r="CI102">
            <v>2211</v>
          </cell>
          <cell r="CJ102">
            <v>73274</v>
          </cell>
        </row>
        <row r="103">
          <cell r="A103">
            <v>40787</v>
          </cell>
          <cell r="B103">
            <v>18434</v>
          </cell>
          <cell r="C103">
            <v>36806</v>
          </cell>
          <cell r="D103">
            <v>8465</v>
          </cell>
          <cell r="E103">
            <v>1875</v>
          </cell>
          <cell r="F103">
            <v>0</v>
          </cell>
          <cell r="G103">
            <v>47146</v>
          </cell>
          <cell r="H103">
            <v>65580</v>
          </cell>
          <cell r="I103">
            <v>11290</v>
          </cell>
          <cell r="J103">
            <v>0</v>
          </cell>
          <cell r="K103">
            <v>11290</v>
          </cell>
          <cell r="L103">
            <v>76870</v>
          </cell>
          <cell r="M103">
            <v>24848</v>
          </cell>
          <cell r="N103">
            <v>5903</v>
          </cell>
          <cell r="O103">
            <v>301</v>
          </cell>
          <cell r="P103">
            <v>16649</v>
          </cell>
          <cell r="Q103">
            <v>0</v>
          </cell>
          <cell r="R103">
            <v>47701</v>
          </cell>
          <cell r="S103">
            <v>47701</v>
          </cell>
          <cell r="T103">
            <v>4797</v>
          </cell>
          <cell r="U103">
            <v>0</v>
          </cell>
          <cell r="V103">
            <v>4797</v>
          </cell>
          <cell r="W103">
            <v>11460</v>
          </cell>
          <cell r="X103">
            <v>301</v>
          </cell>
          <cell r="Y103">
            <v>16558</v>
          </cell>
          <cell r="Z103">
            <v>64259</v>
          </cell>
          <cell r="AA103">
            <v>12611</v>
          </cell>
          <cell r="AB103">
            <v>10384</v>
          </cell>
          <cell r="AC103">
            <v>2227</v>
          </cell>
          <cell r="AD103">
            <v>76870</v>
          </cell>
          <cell r="AE103">
            <v>18567</v>
          </cell>
          <cell r="AF103">
            <v>36920</v>
          </cell>
          <cell r="AG103">
            <v>8501</v>
          </cell>
          <cell r="AH103">
            <v>1913</v>
          </cell>
          <cell r="AI103">
            <v>0</v>
          </cell>
          <cell r="AJ103">
            <v>47334</v>
          </cell>
          <cell r="AK103">
            <v>65901</v>
          </cell>
          <cell r="AL103">
            <v>11290</v>
          </cell>
          <cell r="AM103">
            <v>0</v>
          </cell>
          <cell r="AN103">
            <v>11290</v>
          </cell>
          <cell r="AO103">
            <v>77191</v>
          </cell>
          <cell r="AP103">
            <v>25273</v>
          </cell>
          <cell r="AQ103">
            <v>6368</v>
          </cell>
          <cell r="AR103">
            <v>-89</v>
          </cell>
          <cell r="AS103">
            <v>16645</v>
          </cell>
          <cell r="AT103">
            <v>0</v>
          </cell>
          <cell r="AU103">
            <v>48197</v>
          </cell>
          <cell r="AV103">
            <v>48197</v>
          </cell>
          <cell r="AW103">
            <v>5021</v>
          </cell>
          <cell r="AX103">
            <v>0</v>
          </cell>
          <cell r="AY103">
            <v>5021</v>
          </cell>
          <cell r="AZ103">
            <v>11486</v>
          </cell>
          <cell r="BA103">
            <v>344</v>
          </cell>
          <cell r="BB103">
            <v>16852</v>
          </cell>
          <cell r="BC103">
            <v>65048</v>
          </cell>
          <cell r="BD103">
            <v>12143</v>
          </cell>
          <cell r="BE103">
            <v>9916</v>
          </cell>
          <cell r="BF103">
            <v>2227</v>
          </cell>
          <cell r="BG103">
            <v>77191</v>
          </cell>
          <cell r="BH103">
            <v>18532</v>
          </cell>
          <cell r="BI103">
            <v>37750</v>
          </cell>
          <cell r="BJ103">
            <v>13203</v>
          </cell>
          <cell r="BK103">
            <v>1896</v>
          </cell>
          <cell r="BL103">
            <v>0</v>
          </cell>
          <cell r="BM103">
            <v>52849</v>
          </cell>
          <cell r="BN103">
            <v>71381</v>
          </cell>
          <cell r="BO103">
            <v>11290</v>
          </cell>
          <cell r="BP103">
            <v>0</v>
          </cell>
          <cell r="BQ103">
            <v>11290</v>
          </cell>
          <cell r="BR103">
            <v>82672</v>
          </cell>
          <cell r="BS103">
            <v>25330</v>
          </cell>
          <cell r="BT103">
            <v>5474</v>
          </cell>
          <cell r="BU103">
            <v>-15</v>
          </cell>
          <cell r="BV103">
            <v>16645</v>
          </cell>
          <cell r="BW103">
            <v>0</v>
          </cell>
          <cell r="BX103">
            <v>47434</v>
          </cell>
          <cell r="BY103">
            <v>47434</v>
          </cell>
          <cell r="BZ103">
            <v>4982</v>
          </cell>
          <cell r="CA103">
            <v>0</v>
          </cell>
          <cell r="CB103">
            <v>4982</v>
          </cell>
          <cell r="CC103">
            <v>11434</v>
          </cell>
          <cell r="CD103">
            <v>349</v>
          </cell>
          <cell r="CE103">
            <v>16765</v>
          </cell>
          <cell r="CF103">
            <v>64199</v>
          </cell>
          <cell r="CG103">
            <v>18473</v>
          </cell>
          <cell r="CH103">
            <v>16246</v>
          </cell>
          <cell r="CI103">
            <v>2227</v>
          </cell>
          <cell r="CJ103">
            <v>82672</v>
          </cell>
        </row>
        <row r="104">
          <cell r="A104">
            <v>40878</v>
          </cell>
          <cell r="B104">
            <v>18565</v>
          </cell>
          <cell r="C104">
            <v>36426</v>
          </cell>
          <cell r="D104">
            <v>8436</v>
          </cell>
          <cell r="E104">
            <v>2288</v>
          </cell>
          <cell r="F104">
            <v>0</v>
          </cell>
          <cell r="G104">
            <v>47151</v>
          </cell>
          <cell r="H104">
            <v>65715</v>
          </cell>
          <cell r="I104">
            <v>11464</v>
          </cell>
          <cell r="J104">
            <v>0</v>
          </cell>
          <cell r="K104">
            <v>11464</v>
          </cell>
          <cell r="L104">
            <v>77179</v>
          </cell>
          <cell r="M104">
            <v>24493</v>
          </cell>
          <cell r="N104">
            <v>5776</v>
          </cell>
          <cell r="O104">
            <v>585</v>
          </cell>
          <cell r="P104">
            <v>16963</v>
          </cell>
          <cell r="Q104">
            <v>0</v>
          </cell>
          <cell r="R104">
            <v>47817</v>
          </cell>
          <cell r="S104">
            <v>47817</v>
          </cell>
          <cell r="T104">
            <v>4755</v>
          </cell>
          <cell r="U104">
            <v>0</v>
          </cell>
          <cell r="V104">
            <v>4755</v>
          </cell>
          <cell r="W104">
            <v>11660</v>
          </cell>
          <cell r="X104">
            <v>320</v>
          </cell>
          <cell r="Y104">
            <v>16736</v>
          </cell>
          <cell r="Z104">
            <v>64553</v>
          </cell>
          <cell r="AA104">
            <v>12627</v>
          </cell>
          <cell r="AB104">
            <v>10382</v>
          </cell>
          <cell r="AC104">
            <v>2245</v>
          </cell>
          <cell r="AD104">
            <v>77179</v>
          </cell>
          <cell r="AE104">
            <v>18457</v>
          </cell>
          <cell r="AF104">
            <v>35311</v>
          </cell>
          <cell r="AG104">
            <v>8470</v>
          </cell>
          <cell r="AH104">
            <v>1856</v>
          </cell>
          <cell r="AI104">
            <v>0</v>
          </cell>
          <cell r="AJ104">
            <v>45637</v>
          </cell>
          <cell r="AK104">
            <v>64094</v>
          </cell>
          <cell r="AL104">
            <v>11467</v>
          </cell>
          <cell r="AM104">
            <v>0</v>
          </cell>
          <cell r="AN104">
            <v>11467</v>
          </cell>
          <cell r="AO104">
            <v>75561</v>
          </cell>
          <cell r="AP104">
            <v>23871</v>
          </cell>
          <cell r="AQ104">
            <v>5666</v>
          </cell>
          <cell r="AR104">
            <v>137</v>
          </cell>
          <cell r="AS104">
            <v>16972</v>
          </cell>
          <cell r="AT104">
            <v>0</v>
          </cell>
          <cell r="AU104">
            <v>46646</v>
          </cell>
          <cell r="AV104">
            <v>46646</v>
          </cell>
          <cell r="AW104">
            <v>4761</v>
          </cell>
          <cell r="AX104">
            <v>0</v>
          </cell>
          <cell r="AY104">
            <v>4761</v>
          </cell>
          <cell r="AZ104">
            <v>12360</v>
          </cell>
          <cell r="BA104">
            <v>247</v>
          </cell>
          <cell r="BB104">
            <v>17368</v>
          </cell>
          <cell r="BC104">
            <v>64014</v>
          </cell>
          <cell r="BD104">
            <v>11547</v>
          </cell>
          <cell r="BE104">
            <v>9302</v>
          </cell>
          <cell r="BF104">
            <v>2244</v>
          </cell>
          <cell r="BG104">
            <v>75561</v>
          </cell>
          <cell r="BH104">
            <v>18474</v>
          </cell>
          <cell r="BI104">
            <v>34902</v>
          </cell>
          <cell r="BJ104">
            <v>3782</v>
          </cell>
          <cell r="BK104">
            <v>2118</v>
          </cell>
          <cell r="BL104">
            <v>0</v>
          </cell>
          <cell r="BM104">
            <v>40802</v>
          </cell>
          <cell r="BN104">
            <v>59276</v>
          </cell>
          <cell r="BO104">
            <v>11467</v>
          </cell>
          <cell r="BP104">
            <v>0</v>
          </cell>
          <cell r="BQ104">
            <v>11467</v>
          </cell>
          <cell r="BR104">
            <v>70743</v>
          </cell>
          <cell r="BS104">
            <v>23862</v>
          </cell>
          <cell r="BT104">
            <v>6548</v>
          </cell>
          <cell r="BU104">
            <v>466</v>
          </cell>
          <cell r="BV104">
            <v>16972</v>
          </cell>
          <cell r="BW104">
            <v>0</v>
          </cell>
          <cell r="BX104">
            <v>47848</v>
          </cell>
          <cell r="BY104">
            <v>47848</v>
          </cell>
          <cell r="BZ104">
            <v>4871</v>
          </cell>
          <cell r="CA104">
            <v>0</v>
          </cell>
          <cell r="CB104">
            <v>4871</v>
          </cell>
          <cell r="CC104">
            <v>12387</v>
          </cell>
          <cell r="CD104">
            <v>264</v>
          </cell>
          <cell r="CE104">
            <v>17522</v>
          </cell>
          <cell r="CF104">
            <v>65370</v>
          </cell>
          <cell r="CG104">
            <v>5373</v>
          </cell>
          <cell r="CH104">
            <v>3129</v>
          </cell>
          <cell r="CI104">
            <v>2244</v>
          </cell>
          <cell r="CJ104">
            <v>70743</v>
          </cell>
        </row>
        <row r="105">
          <cell r="A105">
            <v>40969</v>
          </cell>
          <cell r="B105">
            <v>18799</v>
          </cell>
          <cell r="C105">
            <v>35852</v>
          </cell>
          <cell r="D105">
            <v>8369</v>
          </cell>
          <cell r="E105">
            <v>2538</v>
          </cell>
          <cell r="F105">
            <v>0</v>
          </cell>
          <cell r="G105">
            <v>46759</v>
          </cell>
          <cell r="H105">
            <v>65557</v>
          </cell>
          <cell r="I105">
            <v>11642</v>
          </cell>
          <cell r="J105">
            <v>0</v>
          </cell>
          <cell r="K105">
            <v>11642</v>
          </cell>
          <cell r="L105">
            <v>77199</v>
          </cell>
          <cell r="M105">
            <v>23953</v>
          </cell>
          <cell r="N105">
            <v>5800</v>
          </cell>
          <cell r="O105">
            <v>1027</v>
          </cell>
          <cell r="P105">
            <v>17114</v>
          </cell>
          <cell r="Q105">
            <v>0</v>
          </cell>
          <cell r="R105">
            <v>47893</v>
          </cell>
          <cell r="S105">
            <v>47893</v>
          </cell>
          <cell r="T105">
            <v>4679</v>
          </cell>
          <cell r="U105">
            <v>0</v>
          </cell>
          <cell r="V105">
            <v>4679</v>
          </cell>
          <cell r="W105">
            <v>11744</v>
          </cell>
          <cell r="X105">
            <v>350</v>
          </cell>
          <cell r="Y105">
            <v>16773</v>
          </cell>
          <cell r="Z105">
            <v>64666</v>
          </cell>
          <cell r="AA105">
            <v>12533</v>
          </cell>
          <cell r="AB105">
            <v>10267</v>
          </cell>
          <cell r="AC105">
            <v>2266</v>
          </cell>
          <cell r="AD105">
            <v>77199</v>
          </cell>
          <cell r="AE105">
            <v>18777</v>
          </cell>
          <cell r="AF105">
            <v>36898</v>
          </cell>
          <cell r="AG105">
            <v>8268</v>
          </cell>
          <cell r="AH105">
            <v>3487</v>
          </cell>
          <cell r="AI105">
            <v>0</v>
          </cell>
          <cell r="AJ105">
            <v>48653</v>
          </cell>
          <cell r="AK105">
            <v>67430</v>
          </cell>
          <cell r="AL105">
            <v>11642</v>
          </cell>
          <cell r="AM105">
            <v>0</v>
          </cell>
          <cell r="AN105">
            <v>11642</v>
          </cell>
          <cell r="AO105">
            <v>79072</v>
          </cell>
          <cell r="AP105">
            <v>24304</v>
          </cell>
          <cell r="AQ105">
            <v>5624</v>
          </cell>
          <cell r="AR105">
            <v>1721</v>
          </cell>
          <cell r="AS105">
            <v>17139</v>
          </cell>
          <cell r="AT105">
            <v>0</v>
          </cell>
          <cell r="AU105">
            <v>48788</v>
          </cell>
          <cell r="AV105">
            <v>48788</v>
          </cell>
          <cell r="AW105">
            <v>4518</v>
          </cell>
          <cell r="AX105">
            <v>0</v>
          </cell>
          <cell r="AY105">
            <v>4518</v>
          </cell>
          <cell r="AZ105">
            <v>11856</v>
          </cell>
          <cell r="BA105">
            <v>400</v>
          </cell>
          <cell r="BB105">
            <v>16773</v>
          </cell>
          <cell r="BC105">
            <v>65561</v>
          </cell>
          <cell r="BD105">
            <v>13511</v>
          </cell>
          <cell r="BE105">
            <v>11246</v>
          </cell>
          <cell r="BF105">
            <v>2265</v>
          </cell>
          <cell r="BG105">
            <v>79072</v>
          </cell>
          <cell r="BH105">
            <v>18583</v>
          </cell>
          <cell r="BI105">
            <v>36745</v>
          </cell>
          <cell r="BJ105">
            <v>11605</v>
          </cell>
          <cell r="BK105">
            <v>3749</v>
          </cell>
          <cell r="BL105">
            <v>0</v>
          </cell>
          <cell r="BM105">
            <v>52099</v>
          </cell>
          <cell r="BN105">
            <v>70682</v>
          </cell>
          <cell r="BO105">
            <v>11642</v>
          </cell>
          <cell r="BP105">
            <v>0</v>
          </cell>
          <cell r="BQ105">
            <v>11642</v>
          </cell>
          <cell r="BR105">
            <v>82324</v>
          </cell>
          <cell r="BS105">
            <v>24348</v>
          </cell>
          <cell r="BT105">
            <v>4630</v>
          </cell>
          <cell r="BU105">
            <v>2055</v>
          </cell>
          <cell r="BV105">
            <v>17139</v>
          </cell>
          <cell r="BW105">
            <v>0</v>
          </cell>
          <cell r="BX105">
            <v>48173</v>
          </cell>
          <cell r="BY105">
            <v>48173</v>
          </cell>
          <cell r="BZ105">
            <v>4451</v>
          </cell>
          <cell r="CA105">
            <v>0</v>
          </cell>
          <cell r="CB105">
            <v>4451</v>
          </cell>
          <cell r="CC105">
            <v>11960</v>
          </cell>
          <cell r="CD105">
            <v>352</v>
          </cell>
          <cell r="CE105">
            <v>16764</v>
          </cell>
          <cell r="CF105">
            <v>64936</v>
          </cell>
          <cell r="CG105">
            <v>17388</v>
          </cell>
          <cell r="CH105">
            <v>15123</v>
          </cell>
          <cell r="CI105">
            <v>2265</v>
          </cell>
          <cell r="CJ105">
            <v>82324</v>
          </cell>
        </row>
        <row r="106">
          <cell r="A106">
            <v>41061</v>
          </cell>
          <cell r="B106">
            <v>19286</v>
          </cell>
          <cell r="C106">
            <v>35011</v>
          </cell>
          <cell r="D106">
            <v>8327</v>
          </cell>
          <cell r="E106">
            <v>2532</v>
          </cell>
          <cell r="F106">
            <v>0</v>
          </cell>
          <cell r="G106">
            <v>45871</v>
          </cell>
          <cell r="H106">
            <v>65157</v>
          </cell>
          <cell r="I106">
            <v>11829</v>
          </cell>
          <cell r="J106">
            <v>0</v>
          </cell>
          <cell r="K106">
            <v>11829</v>
          </cell>
          <cell r="L106">
            <v>76985</v>
          </cell>
          <cell r="M106">
            <v>23236</v>
          </cell>
          <cell r="N106">
            <v>5882</v>
          </cell>
          <cell r="O106">
            <v>1409</v>
          </cell>
          <cell r="P106">
            <v>17055</v>
          </cell>
          <cell r="Q106">
            <v>0</v>
          </cell>
          <cell r="R106">
            <v>47581</v>
          </cell>
          <cell r="S106">
            <v>47581</v>
          </cell>
          <cell r="T106">
            <v>4568</v>
          </cell>
          <cell r="U106">
            <v>0</v>
          </cell>
          <cell r="V106">
            <v>4568</v>
          </cell>
          <cell r="W106">
            <v>11642</v>
          </cell>
          <cell r="X106">
            <v>394</v>
          </cell>
          <cell r="Y106">
            <v>16603</v>
          </cell>
          <cell r="Z106">
            <v>64185</v>
          </cell>
          <cell r="AA106">
            <v>12800</v>
          </cell>
          <cell r="AB106">
            <v>10510</v>
          </cell>
          <cell r="AC106">
            <v>2290</v>
          </cell>
          <cell r="AD106">
            <v>76985</v>
          </cell>
          <cell r="AE106">
            <v>19162</v>
          </cell>
          <cell r="AF106">
            <v>34877</v>
          </cell>
          <cell r="AG106">
            <v>8450</v>
          </cell>
          <cell r="AH106">
            <v>1480</v>
          </cell>
          <cell r="AI106">
            <v>0</v>
          </cell>
          <cell r="AJ106">
            <v>44806</v>
          </cell>
          <cell r="AK106">
            <v>63968</v>
          </cell>
          <cell r="AL106">
            <v>11816</v>
          </cell>
          <cell r="AM106">
            <v>0</v>
          </cell>
          <cell r="AN106">
            <v>11816</v>
          </cell>
          <cell r="AO106">
            <v>75784</v>
          </cell>
          <cell r="AP106">
            <v>23226</v>
          </cell>
          <cell r="AQ106">
            <v>6071</v>
          </cell>
          <cell r="AR106">
            <v>1075</v>
          </cell>
          <cell r="AS106">
            <v>17147</v>
          </cell>
          <cell r="AT106">
            <v>0</v>
          </cell>
          <cell r="AU106">
            <v>47519</v>
          </cell>
          <cell r="AV106">
            <v>47519</v>
          </cell>
          <cell r="AW106">
            <v>4697</v>
          </cell>
          <cell r="AX106">
            <v>0</v>
          </cell>
          <cell r="AY106">
            <v>4697</v>
          </cell>
          <cell r="AZ106">
            <v>11670</v>
          </cell>
          <cell r="BA106">
            <v>398</v>
          </cell>
          <cell r="BB106">
            <v>16765</v>
          </cell>
          <cell r="BC106">
            <v>64285</v>
          </cell>
          <cell r="BD106">
            <v>11499</v>
          </cell>
          <cell r="BE106">
            <v>9210</v>
          </cell>
          <cell r="BF106">
            <v>2289</v>
          </cell>
          <cell r="BG106">
            <v>75784</v>
          </cell>
          <cell r="BH106">
            <v>19364</v>
          </cell>
          <cell r="BI106">
            <v>34771</v>
          </cell>
          <cell r="BJ106">
            <v>4729</v>
          </cell>
          <cell r="BK106">
            <v>989</v>
          </cell>
          <cell r="BL106">
            <v>0</v>
          </cell>
          <cell r="BM106">
            <v>40489</v>
          </cell>
          <cell r="BN106">
            <v>59853</v>
          </cell>
          <cell r="BO106">
            <v>11816</v>
          </cell>
          <cell r="BP106">
            <v>0</v>
          </cell>
          <cell r="BQ106">
            <v>11816</v>
          </cell>
          <cell r="BR106">
            <v>71669</v>
          </cell>
          <cell r="BS106">
            <v>23127</v>
          </cell>
          <cell r="BT106">
            <v>6981</v>
          </cell>
          <cell r="BU106">
            <v>332</v>
          </cell>
          <cell r="BV106">
            <v>17147</v>
          </cell>
          <cell r="BW106">
            <v>0</v>
          </cell>
          <cell r="BX106">
            <v>47587</v>
          </cell>
          <cell r="BY106">
            <v>47587</v>
          </cell>
          <cell r="BZ106">
            <v>4671</v>
          </cell>
          <cell r="CA106">
            <v>0</v>
          </cell>
          <cell r="CB106">
            <v>4671</v>
          </cell>
          <cell r="CC106">
            <v>11589</v>
          </cell>
          <cell r="CD106">
            <v>419</v>
          </cell>
          <cell r="CE106">
            <v>16679</v>
          </cell>
          <cell r="CF106">
            <v>64266</v>
          </cell>
          <cell r="CG106">
            <v>7403</v>
          </cell>
          <cell r="CH106">
            <v>5113</v>
          </cell>
          <cell r="CI106">
            <v>2289</v>
          </cell>
          <cell r="CJ106">
            <v>71669</v>
          </cell>
        </row>
        <row r="107">
          <cell r="A107">
            <v>41153</v>
          </cell>
          <cell r="B107">
            <v>19786</v>
          </cell>
          <cell r="C107">
            <v>33668</v>
          </cell>
          <cell r="D107">
            <v>8315</v>
          </cell>
          <cell r="E107">
            <v>2048</v>
          </cell>
          <cell r="F107">
            <v>0</v>
          </cell>
          <cell r="G107">
            <v>44030</v>
          </cell>
          <cell r="H107">
            <v>63817</v>
          </cell>
          <cell r="I107">
            <v>12019</v>
          </cell>
          <cell r="J107">
            <v>0</v>
          </cell>
          <cell r="K107">
            <v>12019</v>
          </cell>
          <cell r="L107">
            <v>75836</v>
          </cell>
          <cell r="M107">
            <v>22170</v>
          </cell>
          <cell r="N107">
            <v>6142</v>
          </cell>
          <cell r="O107">
            <v>1086</v>
          </cell>
          <cell r="P107">
            <v>16908</v>
          </cell>
          <cell r="Q107">
            <v>0</v>
          </cell>
          <cell r="R107">
            <v>46306</v>
          </cell>
          <cell r="S107">
            <v>46306</v>
          </cell>
          <cell r="T107">
            <v>4600</v>
          </cell>
          <cell r="U107">
            <v>0</v>
          </cell>
          <cell r="V107">
            <v>4600</v>
          </cell>
          <cell r="W107">
            <v>11434</v>
          </cell>
          <cell r="X107">
            <v>438</v>
          </cell>
          <cell r="Y107">
            <v>16473</v>
          </cell>
          <cell r="Z107">
            <v>62779</v>
          </cell>
          <cell r="AA107">
            <v>13057</v>
          </cell>
          <cell r="AB107">
            <v>10741</v>
          </cell>
          <cell r="AC107">
            <v>2316</v>
          </cell>
          <cell r="AD107">
            <v>75836</v>
          </cell>
          <cell r="AE107">
            <v>19896</v>
          </cell>
          <cell r="AF107">
            <v>33471</v>
          </cell>
          <cell r="AG107">
            <v>8280</v>
          </cell>
          <cell r="AH107">
            <v>3058</v>
          </cell>
          <cell r="AI107">
            <v>0</v>
          </cell>
          <cell r="AJ107">
            <v>44809</v>
          </cell>
          <cell r="AK107">
            <v>64705</v>
          </cell>
          <cell r="AL107">
            <v>12025</v>
          </cell>
          <cell r="AM107">
            <v>0</v>
          </cell>
          <cell r="AN107">
            <v>12025</v>
          </cell>
          <cell r="AO107">
            <v>76730</v>
          </cell>
          <cell r="AP107">
            <v>22272</v>
          </cell>
          <cell r="AQ107">
            <v>6032</v>
          </cell>
          <cell r="AR107">
            <v>1447</v>
          </cell>
          <cell r="AS107">
            <v>16818</v>
          </cell>
          <cell r="AT107">
            <v>0</v>
          </cell>
          <cell r="AU107">
            <v>46568</v>
          </cell>
          <cell r="AV107">
            <v>46568</v>
          </cell>
          <cell r="AW107">
            <v>4654</v>
          </cell>
          <cell r="AX107">
            <v>0</v>
          </cell>
          <cell r="AY107">
            <v>4654</v>
          </cell>
          <cell r="AZ107">
            <v>11389</v>
          </cell>
          <cell r="BA107">
            <v>393</v>
          </cell>
          <cell r="BB107">
            <v>16437</v>
          </cell>
          <cell r="BC107">
            <v>63005</v>
          </cell>
          <cell r="BD107">
            <v>13725</v>
          </cell>
          <cell r="BE107">
            <v>11409</v>
          </cell>
          <cell r="BF107">
            <v>2317</v>
          </cell>
          <cell r="BG107">
            <v>76730</v>
          </cell>
          <cell r="BH107">
            <v>19873</v>
          </cell>
          <cell r="BI107">
            <v>34019</v>
          </cell>
          <cell r="BJ107">
            <v>11994</v>
          </cell>
          <cell r="BK107">
            <v>2743</v>
          </cell>
          <cell r="BL107">
            <v>0</v>
          </cell>
          <cell r="BM107">
            <v>48756</v>
          </cell>
          <cell r="BN107">
            <v>68629</v>
          </cell>
          <cell r="BO107">
            <v>12025</v>
          </cell>
          <cell r="BP107">
            <v>0</v>
          </cell>
          <cell r="BQ107">
            <v>12025</v>
          </cell>
          <cell r="BR107">
            <v>80654</v>
          </cell>
          <cell r="BS107">
            <v>22334</v>
          </cell>
          <cell r="BT107">
            <v>5459</v>
          </cell>
          <cell r="BU107">
            <v>1495</v>
          </cell>
          <cell r="BV107">
            <v>16818</v>
          </cell>
          <cell r="BW107">
            <v>0</v>
          </cell>
          <cell r="BX107">
            <v>46106</v>
          </cell>
          <cell r="BY107">
            <v>46106</v>
          </cell>
          <cell r="BZ107">
            <v>4682</v>
          </cell>
          <cell r="CA107">
            <v>0</v>
          </cell>
          <cell r="CB107">
            <v>4682</v>
          </cell>
          <cell r="CC107">
            <v>11345</v>
          </cell>
          <cell r="CD107">
            <v>392</v>
          </cell>
          <cell r="CE107">
            <v>16419</v>
          </cell>
          <cell r="CF107">
            <v>62525</v>
          </cell>
          <cell r="CG107">
            <v>18129</v>
          </cell>
          <cell r="CH107">
            <v>15812</v>
          </cell>
          <cell r="CI107">
            <v>2317</v>
          </cell>
          <cell r="CJ107">
            <v>80654</v>
          </cell>
        </row>
        <row r="108">
          <cell r="A108">
            <v>41244</v>
          </cell>
          <cell r="B108">
            <v>19973</v>
          </cell>
          <cell r="C108">
            <v>32186</v>
          </cell>
          <cell r="D108">
            <v>8444</v>
          </cell>
          <cell r="E108">
            <v>1780</v>
          </cell>
          <cell r="F108">
            <v>0</v>
          </cell>
          <cell r="G108">
            <v>42411</v>
          </cell>
          <cell r="H108">
            <v>62383</v>
          </cell>
          <cell r="I108">
            <v>12196</v>
          </cell>
          <cell r="J108">
            <v>0</v>
          </cell>
          <cell r="K108">
            <v>12196</v>
          </cell>
          <cell r="L108">
            <v>74579</v>
          </cell>
          <cell r="M108">
            <v>20861</v>
          </cell>
          <cell r="N108">
            <v>6388</v>
          </cell>
          <cell r="O108">
            <v>947</v>
          </cell>
          <cell r="P108">
            <v>16867</v>
          </cell>
          <cell r="Q108">
            <v>0</v>
          </cell>
          <cell r="R108">
            <v>45064</v>
          </cell>
          <cell r="S108">
            <v>45064</v>
          </cell>
          <cell r="T108">
            <v>4766</v>
          </cell>
          <cell r="U108">
            <v>0</v>
          </cell>
          <cell r="V108">
            <v>4766</v>
          </cell>
          <cell r="W108">
            <v>11297</v>
          </cell>
          <cell r="X108">
            <v>455</v>
          </cell>
          <cell r="Y108">
            <v>16518</v>
          </cell>
          <cell r="Z108">
            <v>61582</v>
          </cell>
          <cell r="AA108">
            <v>12997</v>
          </cell>
          <cell r="AB108">
            <v>10656</v>
          </cell>
          <cell r="AC108">
            <v>2341</v>
          </cell>
          <cell r="AD108">
            <v>74579</v>
          </cell>
          <cell r="AE108">
            <v>20221</v>
          </cell>
          <cell r="AF108">
            <v>32149</v>
          </cell>
          <cell r="AG108">
            <v>8389</v>
          </cell>
          <cell r="AH108">
            <v>1386</v>
          </cell>
          <cell r="AI108">
            <v>0</v>
          </cell>
          <cell r="AJ108">
            <v>41925</v>
          </cell>
          <cell r="AK108">
            <v>62146</v>
          </cell>
          <cell r="AL108">
            <v>12199</v>
          </cell>
          <cell r="AM108">
            <v>0</v>
          </cell>
          <cell r="AN108">
            <v>12199</v>
          </cell>
          <cell r="AO108">
            <v>74346</v>
          </cell>
          <cell r="AP108">
            <v>20769</v>
          </cell>
          <cell r="AQ108">
            <v>6473</v>
          </cell>
          <cell r="AR108">
            <v>860</v>
          </cell>
          <cell r="AS108">
            <v>16844</v>
          </cell>
          <cell r="AT108">
            <v>0</v>
          </cell>
          <cell r="AU108">
            <v>44946</v>
          </cell>
          <cell r="AV108">
            <v>44946</v>
          </cell>
          <cell r="AW108">
            <v>4451</v>
          </cell>
          <cell r="AX108">
            <v>0</v>
          </cell>
          <cell r="AY108">
            <v>4451</v>
          </cell>
          <cell r="AZ108">
            <v>11267</v>
          </cell>
          <cell r="BA108">
            <v>503</v>
          </cell>
          <cell r="BB108">
            <v>16221</v>
          </cell>
          <cell r="BC108">
            <v>61167</v>
          </cell>
          <cell r="BD108">
            <v>13179</v>
          </cell>
          <cell r="BE108">
            <v>10837</v>
          </cell>
          <cell r="BF108">
            <v>2341</v>
          </cell>
          <cell r="BG108">
            <v>74346</v>
          </cell>
          <cell r="BH108">
            <v>20239</v>
          </cell>
          <cell r="BI108">
            <v>31830</v>
          </cell>
          <cell r="BJ108">
            <v>4916</v>
          </cell>
          <cell r="BK108">
            <v>2003</v>
          </cell>
          <cell r="BL108">
            <v>0</v>
          </cell>
          <cell r="BM108">
            <v>38749</v>
          </cell>
          <cell r="BN108">
            <v>58988</v>
          </cell>
          <cell r="BO108">
            <v>12199</v>
          </cell>
          <cell r="BP108">
            <v>0</v>
          </cell>
          <cell r="BQ108">
            <v>12199</v>
          </cell>
          <cell r="BR108">
            <v>71188</v>
          </cell>
          <cell r="BS108">
            <v>20764</v>
          </cell>
          <cell r="BT108">
            <v>7404</v>
          </cell>
          <cell r="BU108">
            <v>1202</v>
          </cell>
          <cell r="BV108">
            <v>16844</v>
          </cell>
          <cell r="BW108">
            <v>0</v>
          </cell>
          <cell r="BX108">
            <v>46214</v>
          </cell>
          <cell r="BY108">
            <v>46214</v>
          </cell>
          <cell r="BZ108">
            <v>4493</v>
          </cell>
          <cell r="CA108">
            <v>0</v>
          </cell>
          <cell r="CB108">
            <v>4493</v>
          </cell>
          <cell r="CC108">
            <v>11293</v>
          </cell>
          <cell r="CD108">
            <v>532</v>
          </cell>
          <cell r="CE108">
            <v>16318</v>
          </cell>
          <cell r="CF108">
            <v>62532</v>
          </cell>
          <cell r="CG108">
            <v>8656</v>
          </cell>
          <cell r="CH108">
            <v>6315</v>
          </cell>
          <cell r="CI108">
            <v>2341</v>
          </cell>
          <cell r="CJ108">
            <v>71188</v>
          </cell>
        </row>
        <row r="109">
          <cell r="A109">
            <v>41334</v>
          </cell>
          <cell r="B109">
            <v>19959</v>
          </cell>
          <cell r="C109">
            <v>31071</v>
          </cell>
          <cell r="D109">
            <v>8762</v>
          </cell>
          <cell r="E109">
            <v>2197</v>
          </cell>
          <cell r="F109">
            <v>0</v>
          </cell>
          <cell r="G109">
            <v>42030</v>
          </cell>
          <cell r="H109">
            <v>61989</v>
          </cell>
          <cell r="I109">
            <v>12333</v>
          </cell>
          <cell r="J109">
            <v>0</v>
          </cell>
          <cell r="K109">
            <v>12333</v>
          </cell>
          <cell r="L109">
            <v>74322</v>
          </cell>
          <cell r="M109">
            <v>19861</v>
          </cell>
          <cell r="N109">
            <v>6658</v>
          </cell>
          <cell r="O109">
            <v>1497</v>
          </cell>
          <cell r="P109">
            <v>17073</v>
          </cell>
          <cell r="Q109">
            <v>0</v>
          </cell>
          <cell r="R109">
            <v>45089</v>
          </cell>
          <cell r="S109">
            <v>45089</v>
          </cell>
          <cell r="T109">
            <v>4983</v>
          </cell>
          <cell r="U109">
            <v>0</v>
          </cell>
          <cell r="V109">
            <v>4983</v>
          </cell>
          <cell r="W109">
            <v>11391</v>
          </cell>
          <cell r="X109">
            <v>456</v>
          </cell>
          <cell r="Y109">
            <v>16831</v>
          </cell>
          <cell r="Z109">
            <v>61920</v>
          </cell>
          <cell r="AA109">
            <v>12402</v>
          </cell>
          <cell r="AB109">
            <v>10036</v>
          </cell>
          <cell r="AC109">
            <v>2367</v>
          </cell>
          <cell r="AD109">
            <v>74322</v>
          </cell>
          <cell r="AE109">
            <v>19742</v>
          </cell>
          <cell r="AF109">
            <v>31328</v>
          </cell>
          <cell r="AG109">
            <v>8695</v>
          </cell>
          <cell r="AH109">
            <v>1333</v>
          </cell>
          <cell r="AI109">
            <v>0</v>
          </cell>
          <cell r="AJ109">
            <v>41356</v>
          </cell>
          <cell r="AK109">
            <v>61098</v>
          </cell>
          <cell r="AL109">
            <v>12337</v>
          </cell>
          <cell r="AM109">
            <v>0</v>
          </cell>
          <cell r="AN109">
            <v>12337</v>
          </cell>
          <cell r="AO109">
            <v>73436</v>
          </cell>
          <cell r="AP109">
            <v>19820</v>
          </cell>
          <cell r="AQ109">
            <v>6562</v>
          </cell>
          <cell r="AR109">
            <v>486</v>
          </cell>
          <cell r="AS109">
            <v>17057</v>
          </cell>
          <cell r="AT109">
            <v>0</v>
          </cell>
          <cell r="AU109">
            <v>43926</v>
          </cell>
          <cell r="AV109">
            <v>43926</v>
          </cell>
          <cell r="AW109">
            <v>5285</v>
          </cell>
          <cell r="AX109">
            <v>0</v>
          </cell>
          <cell r="AY109">
            <v>5285</v>
          </cell>
          <cell r="AZ109">
            <v>12569</v>
          </cell>
          <cell r="BA109">
            <v>457</v>
          </cell>
          <cell r="BB109">
            <v>18311</v>
          </cell>
          <cell r="BC109">
            <v>62237</v>
          </cell>
          <cell r="BD109">
            <v>11199</v>
          </cell>
          <cell r="BE109">
            <v>8833</v>
          </cell>
          <cell r="BF109">
            <v>2366</v>
          </cell>
          <cell r="BG109">
            <v>73436</v>
          </cell>
          <cell r="BH109">
            <v>19552</v>
          </cell>
          <cell r="BI109">
            <v>31232</v>
          </cell>
          <cell r="BJ109">
            <v>12187</v>
          </cell>
          <cell r="BK109">
            <v>1765</v>
          </cell>
          <cell r="BL109">
            <v>0</v>
          </cell>
          <cell r="BM109">
            <v>45184</v>
          </cell>
          <cell r="BN109">
            <v>64736</v>
          </cell>
          <cell r="BO109">
            <v>12337</v>
          </cell>
          <cell r="BP109">
            <v>0</v>
          </cell>
          <cell r="BQ109">
            <v>12337</v>
          </cell>
          <cell r="BR109">
            <v>77073</v>
          </cell>
          <cell r="BS109">
            <v>19855</v>
          </cell>
          <cell r="BT109">
            <v>5246</v>
          </cell>
          <cell r="BU109">
            <v>924</v>
          </cell>
          <cell r="BV109">
            <v>17057</v>
          </cell>
          <cell r="BW109">
            <v>0</v>
          </cell>
          <cell r="BX109">
            <v>43081</v>
          </cell>
          <cell r="BY109">
            <v>43081</v>
          </cell>
          <cell r="BZ109">
            <v>5232</v>
          </cell>
          <cell r="CA109">
            <v>0</v>
          </cell>
          <cell r="CB109">
            <v>5232</v>
          </cell>
          <cell r="CC109">
            <v>12675</v>
          </cell>
          <cell r="CD109">
            <v>403</v>
          </cell>
          <cell r="CE109">
            <v>18310</v>
          </cell>
          <cell r="CF109">
            <v>61391</v>
          </cell>
          <cell r="CG109">
            <v>15682</v>
          </cell>
          <cell r="CH109">
            <v>13316</v>
          </cell>
          <cell r="CI109">
            <v>2366</v>
          </cell>
          <cell r="CJ109">
            <v>77073</v>
          </cell>
        </row>
        <row r="110">
          <cell r="A110">
            <v>41426</v>
          </cell>
          <cell r="B110">
            <v>19997</v>
          </cell>
          <cell r="C110">
            <v>30275</v>
          </cell>
          <cell r="D110">
            <v>9147</v>
          </cell>
          <cell r="E110">
            <v>2931</v>
          </cell>
          <cell r="F110">
            <v>0</v>
          </cell>
          <cell r="G110">
            <v>42354</v>
          </cell>
          <cell r="H110">
            <v>62351</v>
          </cell>
          <cell r="I110">
            <v>12428</v>
          </cell>
          <cell r="J110">
            <v>0</v>
          </cell>
          <cell r="K110">
            <v>12428</v>
          </cell>
          <cell r="L110">
            <v>74779</v>
          </cell>
          <cell r="M110">
            <v>19365</v>
          </cell>
          <cell r="N110">
            <v>6942</v>
          </cell>
          <cell r="O110">
            <v>2230</v>
          </cell>
          <cell r="P110">
            <v>17490</v>
          </cell>
          <cell r="Q110">
            <v>0</v>
          </cell>
          <cell r="R110">
            <v>46027</v>
          </cell>
          <cell r="S110">
            <v>46027</v>
          </cell>
          <cell r="T110">
            <v>5224</v>
          </cell>
          <cell r="U110">
            <v>0</v>
          </cell>
          <cell r="V110">
            <v>5224</v>
          </cell>
          <cell r="W110">
            <v>11696</v>
          </cell>
          <cell r="X110">
            <v>447</v>
          </cell>
          <cell r="Y110">
            <v>17367</v>
          </cell>
          <cell r="Z110">
            <v>63394</v>
          </cell>
          <cell r="AA110">
            <v>11385</v>
          </cell>
          <cell r="AB110">
            <v>8994</v>
          </cell>
          <cell r="AC110">
            <v>2392</v>
          </cell>
          <cell r="AD110">
            <v>74779</v>
          </cell>
          <cell r="AE110">
            <v>19883</v>
          </cell>
          <cell r="AF110">
            <v>29990</v>
          </cell>
          <cell r="AG110">
            <v>9292</v>
          </cell>
          <cell r="AH110">
            <v>3913</v>
          </cell>
          <cell r="AI110">
            <v>0</v>
          </cell>
          <cell r="AJ110">
            <v>43196</v>
          </cell>
          <cell r="AK110">
            <v>63079</v>
          </cell>
          <cell r="AL110">
            <v>12439</v>
          </cell>
          <cell r="AM110">
            <v>0</v>
          </cell>
          <cell r="AN110">
            <v>12439</v>
          </cell>
          <cell r="AO110">
            <v>75518</v>
          </cell>
          <cell r="AP110">
            <v>19237</v>
          </cell>
          <cell r="AQ110">
            <v>7040</v>
          </cell>
          <cell r="AR110">
            <v>3419</v>
          </cell>
          <cell r="AS110">
            <v>17474</v>
          </cell>
          <cell r="AT110">
            <v>0</v>
          </cell>
          <cell r="AU110">
            <v>47170</v>
          </cell>
          <cell r="AV110">
            <v>47170</v>
          </cell>
          <cell r="AW110">
            <v>5165</v>
          </cell>
          <cell r="AX110">
            <v>0</v>
          </cell>
          <cell r="AY110">
            <v>5165</v>
          </cell>
          <cell r="AZ110">
            <v>11669</v>
          </cell>
          <cell r="BA110">
            <v>416</v>
          </cell>
          <cell r="BB110">
            <v>17250</v>
          </cell>
          <cell r="BC110">
            <v>64420</v>
          </cell>
          <cell r="BD110">
            <v>11098</v>
          </cell>
          <cell r="BE110">
            <v>8706</v>
          </cell>
          <cell r="BF110">
            <v>2392</v>
          </cell>
          <cell r="BG110">
            <v>75518</v>
          </cell>
          <cell r="BH110">
            <v>20069</v>
          </cell>
          <cell r="BI110">
            <v>29996</v>
          </cell>
          <cell r="BJ110">
            <v>5277</v>
          </cell>
          <cell r="BK110">
            <v>3146</v>
          </cell>
          <cell r="BL110">
            <v>0</v>
          </cell>
          <cell r="BM110">
            <v>38420</v>
          </cell>
          <cell r="BN110">
            <v>58489</v>
          </cell>
          <cell r="BO110">
            <v>12439</v>
          </cell>
          <cell r="BP110">
            <v>0</v>
          </cell>
          <cell r="BQ110">
            <v>12439</v>
          </cell>
          <cell r="BR110">
            <v>70928</v>
          </cell>
          <cell r="BS110">
            <v>19169</v>
          </cell>
          <cell r="BT110">
            <v>7831</v>
          </cell>
          <cell r="BU110">
            <v>2552</v>
          </cell>
          <cell r="BV110">
            <v>17474</v>
          </cell>
          <cell r="BW110">
            <v>0</v>
          </cell>
          <cell r="BX110">
            <v>47027</v>
          </cell>
          <cell r="BY110">
            <v>47027</v>
          </cell>
          <cell r="BZ110">
            <v>5141</v>
          </cell>
          <cell r="CA110">
            <v>0</v>
          </cell>
          <cell r="CB110">
            <v>5141</v>
          </cell>
          <cell r="CC110">
            <v>11592</v>
          </cell>
          <cell r="CD110">
            <v>455</v>
          </cell>
          <cell r="CE110">
            <v>17188</v>
          </cell>
          <cell r="CF110">
            <v>64214</v>
          </cell>
          <cell r="CG110">
            <v>6713</v>
          </cell>
          <cell r="CH110">
            <v>4321</v>
          </cell>
          <cell r="CI110">
            <v>2392</v>
          </cell>
          <cell r="CJ110">
            <v>70928</v>
          </cell>
        </row>
        <row r="111">
          <cell r="A111">
            <v>41518</v>
          </cell>
          <cell r="B111">
            <v>20307</v>
          </cell>
          <cell r="C111">
            <v>29937</v>
          </cell>
          <cell r="D111">
            <v>9503</v>
          </cell>
          <cell r="E111">
            <v>3517</v>
          </cell>
          <cell r="F111">
            <v>0</v>
          </cell>
          <cell r="G111">
            <v>42957</v>
          </cell>
          <cell r="H111">
            <v>63263</v>
          </cell>
          <cell r="I111">
            <v>12508</v>
          </cell>
          <cell r="J111">
            <v>0</v>
          </cell>
          <cell r="K111">
            <v>12508</v>
          </cell>
          <cell r="L111">
            <v>75771</v>
          </cell>
          <cell r="M111">
            <v>19321</v>
          </cell>
          <cell r="N111">
            <v>7228</v>
          </cell>
          <cell r="O111">
            <v>2542</v>
          </cell>
          <cell r="P111">
            <v>17973</v>
          </cell>
          <cell r="Q111">
            <v>0</v>
          </cell>
          <cell r="R111">
            <v>47065</v>
          </cell>
          <cell r="S111">
            <v>47065</v>
          </cell>
          <cell r="T111">
            <v>5274</v>
          </cell>
          <cell r="U111">
            <v>0</v>
          </cell>
          <cell r="V111">
            <v>5274</v>
          </cell>
          <cell r="W111">
            <v>12047</v>
          </cell>
          <cell r="X111">
            <v>447</v>
          </cell>
          <cell r="Y111">
            <v>17768</v>
          </cell>
          <cell r="Z111">
            <v>64833</v>
          </cell>
          <cell r="AA111">
            <v>10938</v>
          </cell>
          <cell r="AB111">
            <v>8521</v>
          </cell>
          <cell r="AC111">
            <v>2417</v>
          </cell>
          <cell r="AD111">
            <v>75771</v>
          </cell>
          <cell r="AE111">
            <v>20475</v>
          </cell>
          <cell r="AF111">
            <v>29844</v>
          </cell>
          <cell r="AG111">
            <v>9518</v>
          </cell>
          <cell r="AH111">
            <v>3297</v>
          </cell>
          <cell r="AI111">
            <v>0</v>
          </cell>
          <cell r="AJ111">
            <v>42659</v>
          </cell>
          <cell r="AK111">
            <v>63134</v>
          </cell>
          <cell r="AL111">
            <v>12493</v>
          </cell>
          <cell r="AM111">
            <v>0</v>
          </cell>
          <cell r="AN111">
            <v>12493</v>
          </cell>
          <cell r="AO111">
            <v>75627</v>
          </cell>
          <cell r="AP111">
            <v>19358</v>
          </cell>
          <cell r="AQ111">
            <v>7168</v>
          </cell>
          <cell r="AR111">
            <v>2348</v>
          </cell>
          <cell r="AS111">
            <v>18030</v>
          </cell>
          <cell r="AT111">
            <v>0</v>
          </cell>
          <cell r="AU111">
            <v>46905</v>
          </cell>
          <cell r="AV111">
            <v>46905</v>
          </cell>
          <cell r="AW111">
            <v>5160</v>
          </cell>
          <cell r="AX111">
            <v>0</v>
          </cell>
          <cell r="AY111">
            <v>5160</v>
          </cell>
          <cell r="AZ111">
            <v>12087</v>
          </cell>
          <cell r="BA111">
            <v>450</v>
          </cell>
          <cell r="BB111">
            <v>17697</v>
          </cell>
          <cell r="BC111">
            <v>64602</v>
          </cell>
          <cell r="BD111">
            <v>11025</v>
          </cell>
          <cell r="BE111">
            <v>8608</v>
          </cell>
          <cell r="BF111">
            <v>2417</v>
          </cell>
          <cell r="BG111">
            <v>75627</v>
          </cell>
          <cell r="BH111">
            <v>20456</v>
          </cell>
          <cell r="BI111">
            <v>30103</v>
          </cell>
          <cell r="BJ111">
            <v>13765</v>
          </cell>
          <cell r="BK111">
            <v>2712</v>
          </cell>
          <cell r="BL111">
            <v>0</v>
          </cell>
          <cell r="BM111">
            <v>46579</v>
          </cell>
          <cell r="BN111">
            <v>67035</v>
          </cell>
          <cell r="BO111">
            <v>12493</v>
          </cell>
          <cell r="BP111">
            <v>0</v>
          </cell>
          <cell r="BQ111">
            <v>12493</v>
          </cell>
          <cell r="BR111">
            <v>79528</v>
          </cell>
          <cell r="BS111">
            <v>19370</v>
          </cell>
          <cell r="BT111">
            <v>6107</v>
          </cell>
          <cell r="BU111">
            <v>2386</v>
          </cell>
          <cell r="BV111">
            <v>18030</v>
          </cell>
          <cell r="BW111">
            <v>0</v>
          </cell>
          <cell r="BX111">
            <v>45893</v>
          </cell>
          <cell r="BY111">
            <v>45893</v>
          </cell>
          <cell r="BZ111">
            <v>5200</v>
          </cell>
          <cell r="CA111">
            <v>0</v>
          </cell>
          <cell r="CB111">
            <v>5200</v>
          </cell>
          <cell r="CC111">
            <v>12027</v>
          </cell>
          <cell r="CD111">
            <v>435</v>
          </cell>
          <cell r="CE111">
            <v>17662</v>
          </cell>
          <cell r="CF111">
            <v>63556</v>
          </cell>
          <cell r="CG111">
            <v>15973</v>
          </cell>
          <cell r="CH111">
            <v>13556</v>
          </cell>
          <cell r="CI111">
            <v>2417</v>
          </cell>
          <cell r="CJ111">
            <v>79528</v>
          </cell>
        </row>
        <row r="112">
          <cell r="A112">
            <v>41609</v>
          </cell>
          <cell r="B112">
            <v>20740</v>
          </cell>
          <cell r="C112">
            <v>29999</v>
          </cell>
          <cell r="D112">
            <v>9787</v>
          </cell>
          <cell r="E112">
            <v>3218</v>
          </cell>
          <cell r="F112">
            <v>0</v>
          </cell>
          <cell r="G112">
            <v>43004</v>
          </cell>
          <cell r="H112">
            <v>63744</v>
          </cell>
          <cell r="I112">
            <v>12596</v>
          </cell>
          <cell r="J112">
            <v>0</v>
          </cell>
          <cell r="K112">
            <v>12596</v>
          </cell>
          <cell r="L112">
            <v>76340</v>
          </cell>
          <cell r="M112">
            <v>19429</v>
          </cell>
          <cell r="N112">
            <v>7480</v>
          </cell>
          <cell r="O112">
            <v>2192</v>
          </cell>
          <cell r="P112">
            <v>18441</v>
          </cell>
          <cell r="Q112">
            <v>0</v>
          </cell>
          <cell r="R112">
            <v>47542</v>
          </cell>
          <cell r="S112">
            <v>47542</v>
          </cell>
          <cell r="T112">
            <v>5184</v>
          </cell>
          <cell r="U112">
            <v>0</v>
          </cell>
          <cell r="V112">
            <v>5184</v>
          </cell>
          <cell r="W112">
            <v>12321</v>
          </cell>
          <cell r="X112">
            <v>455</v>
          </cell>
          <cell r="Y112">
            <v>17959</v>
          </cell>
          <cell r="Z112">
            <v>65501</v>
          </cell>
          <cell r="AA112">
            <v>10839</v>
          </cell>
          <cell r="AB112">
            <v>8396</v>
          </cell>
          <cell r="AC112">
            <v>2443</v>
          </cell>
          <cell r="AD112">
            <v>76340</v>
          </cell>
          <cell r="AE112">
            <v>20619</v>
          </cell>
          <cell r="AF112">
            <v>30226</v>
          </cell>
          <cell r="AG112">
            <v>9664</v>
          </cell>
          <cell r="AH112">
            <v>3336</v>
          </cell>
          <cell r="AI112">
            <v>0</v>
          </cell>
          <cell r="AJ112">
            <v>43226</v>
          </cell>
          <cell r="AK112">
            <v>63845</v>
          </cell>
          <cell r="AL112">
            <v>12594</v>
          </cell>
          <cell r="AM112">
            <v>0</v>
          </cell>
          <cell r="AN112">
            <v>12594</v>
          </cell>
          <cell r="AO112">
            <v>76439</v>
          </cell>
          <cell r="AP112">
            <v>19543</v>
          </cell>
          <cell r="AQ112">
            <v>7436</v>
          </cell>
          <cell r="AR112">
            <v>2048</v>
          </cell>
          <cell r="AS112">
            <v>18450</v>
          </cell>
          <cell r="AT112">
            <v>0</v>
          </cell>
          <cell r="AU112">
            <v>47476</v>
          </cell>
          <cell r="AV112">
            <v>47476</v>
          </cell>
          <cell r="AW112">
            <v>5478</v>
          </cell>
          <cell r="AX112">
            <v>0</v>
          </cell>
          <cell r="AY112">
            <v>5478</v>
          </cell>
          <cell r="AZ112">
            <v>12401</v>
          </cell>
          <cell r="BA112">
            <v>482</v>
          </cell>
          <cell r="BB112">
            <v>18361</v>
          </cell>
          <cell r="BC112">
            <v>65837</v>
          </cell>
          <cell r="BD112">
            <v>10602</v>
          </cell>
          <cell r="BE112">
            <v>8159</v>
          </cell>
          <cell r="BF112">
            <v>2443</v>
          </cell>
          <cell r="BG112">
            <v>76439</v>
          </cell>
          <cell r="BH112">
            <v>20650</v>
          </cell>
          <cell r="BI112">
            <v>30047</v>
          </cell>
          <cell r="BJ112">
            <v>5626</v>
          </cell>
          <cell r="BK112">
            <v>4366</v>
          </cell>
          <cell r="BL112">
            <v>0</v>
          </cell>
          <cell r="BM112">
            <v>40039</v>
          </cell>
          <cell r="BN112">
            <v>60689</v>
          </cell>
          <cell r="BO112">
            <v>12594</v>
          </cell>
          <cell r="BP112">
            <v>0</v>
          </cell>
          <cell r="BQ112">
            <v>12594</v>
          </cell>
          <cell r="BR112">
            <v>73283</v>
          </cell>
          <cell r="BS112">
            <v>19576</v>
          </cell>
          <cell r="BT112">
            <v>8740</v>
          </cell>
          <cell r="BU112">
            <v>2441</v>
          </cell>
          <cell r="BV112">
            <v>18450</v>
          </cell>
          <cell r="BW112">
            <v>0</v>
          </cell>
          <cell r="BX112">
            <v>49207</v>
          </cell>
          <cell r="BY112">
            <v>49207</v>
          </cell>
          <cell r="BZ112">
            <v>5481</v>
          </cell>
          <cell r="CA112">
            <v>0</v>
          </cell>
          <cell r="CB112">
            <v>5481</v>
          </cell>
          <cell r="CC112">
            <v>12450</v>
          </cell>
          <cell r="CD112">
            <v>505</v>
          </cell>
          <cell r="CE112">
            <v>18436</v>
          </cell>
          <cell r="CF112">
            <v>67643</v>
          </cell>
          <cell r="CG112">
            <v>5640</v>
          </cell>
          <cell r="CH112">
            <v>3197</v>
          </cell>
          <cell r="CI112">
            <v>2443</v>
          </cell>
          <cell r="CJ112">
            <v>73283</v>
          </cell>
        </row>
        <row r="113">
          <cell r="A113">
            <v>41699</v>
          </cell>
          <cell r="B113">
            <v>21103</v>
          </cell>
          <cell r="C113">
            <v>30137</v>
          </cell>
          <cell r="D113">
            <v>10380</v>
          </cell>
          <cell r="E113">
            <v>2384</v>
          </cell>
          <cell r="F113">
            <v>0</v>
          </cell>
          <cell r="G113">
            <v>42900</v>
          </cell>
          <cell r="H113">
            <v>64003</v>
          </cell>
          <cell r="I113">
            <v>12706</v>
          </cell>
          <cell r="J113">
            <v>0</v>
          </cell>
          <cell r="K113">
            <v>12706</v>
          </cell>
          <cell r="L113">
            <v>76709</v>
          </cell>
          <cell r="M113">
            <v>19435</v>
          </cell>
          <cell r="N113">
            <v>7609</v>
          </cell>
          <cell r="O113">
            <v>1791</v>
          </cell>
          <cell r="P113">
            <v>18922</v>
          </cell>
          <cell r="Q113">
            <v>0</v>
          </cell>
          <cell r="R113">
            <v>47757</v>
          </cell>
          <cell r="S113">
            <v>47757</v>
          </cell>
          <cell r="T113">
            <v>5191</v>
          </cell>
          <cell r="U113">
            <v>0</v>
          </cell>
          <cell r="V113">
            <v>5191</v>
          </cell>
          <cell r="W113">
            <v>12504</v>
          </cell>
          <cell r="X113">
            <v>457</v>
          </cell>
          <cell r="Y113">
            <v>18153</v>
          </cell>
          <cell r="Z113">
            <v>65909</v>
          </cell>
          <cell r="AA113">
            <v>10800</v>
          </cell>
          <cell r="AB113">
            <v>8330</v>
          </cell>
          <cell r="AC113">
            <v>2470</v>
          </cell>
          <cell r="AD113">
            <v>76709</v>
          </cell>
          <cell r="AE113">
            <v>21257</v>
          </cell>
          <cell r="AF113">
            <v>30017</v>
          </cell>
          <cell r="AG113">
            <v>10382</v>
          </cell>
          <cell r="AH113">
            <v>2402</v>
          </cell>
          <cell r="AI113">
            <v>0</v>
          </cell>
          <cell r="AJ113">
            <v>42800</v>
          </cell>
          <cell r="AK113">
            <v>64057</v>
          </cell>
          <cell r="AL113">
            <v>12707</v>
          </cell>
          <cell r="AM113">
            <v>0</v>
          </cell>
          <cell r="AN113">
            <v>12707</v>
          </cell>
          <cell r="AO113">
            <v>76765</v>
          </cell>
          <cell r="AP113">
            <v>19384</v>
          </cell>
          <cell r="AQ113">
            <v>7794</v>
          </cell>
          <cell r="AR113">
            <v>1683</v>
          </cell>
          <cell r="AS113">
            <v>18904</v>
          </cell>
          <cell r="AT113">
            <v>0</v>
          </cell>
          <cell r="AU113">
            <v>47765</v>
          </cell>
          <cell r="AV113">
            <v>47765</v>
          </cell>
          <cell r="AW113">
            <v>4848</v>
          </cell>
          <cell r="AX113">
            <v>0</v>
          </cell>
          <cell r="AY113">
            <v>4848</v>
          </cell>
          <cell r="AZ113">
            <v>12404</v>
          </cell>
          <cell r="BA113">
            <v>437</v>
          </cell>
          <cell r="BB113">
            <v>17689</v>
          </cell>
          <cell r="BC113">
            <v>65454</v>
          </cell>
          <cell r="BD113">
            <v>11311</v>
          </cell>
          <cell r="BE113">
            <v>8841</v>
          </cell>
          <cell r="BF113">
            <v>2470</v>
          </cell>
          <cell r="BG113">
            <v>76765</v>
          </cell>
          <cell r="BH113">
            <v>21055</v>
          </cell>
          <cell r="BI113">
            <v>29990</v>
          </cell>
          <cell r="BJ113">
            <v>14553</v>
          </cell>
          <cell r="BK113">
            <v>2955</v>
          </cell>
          <cell r="BL113">
            <v>0</v>
          </cell>
          <cell r="BM113">
            <v>47498</v>
          </cell>
          <cell r="BN113">
            <v>68553</v>
          </cell>
          <cell r="BO113">
            <v>12707</v>
          </cell>
          <cell r="BP113">
            <v>0</v>
          </cell>
          <cell r="BQ113">
            <v>12707</v>
          </cell>
          <cell r="BR113">
            <v>81260</v>
          </cell>
          <cell r="BS113">
            <v>19420</v>
          </cell>
          <cell r="BT113">
            <v>6193</v>
          </cell>
          <cell r="BU113">
            <v>2210</v>
          </cell>
          <cell r="BV113">
            <v>18904</v>
          </cell>
          <cell r="BW113">
            <v>0</v>
          </cell>
          <cell r="BX113">
            <v>46727</v>
          </cell>
          <cell r="BY113">
            <v>46727</v>
          </cell>
          <cell r="BZ113">
            <v>4861</v>
          </cell>
          <cell r="CA113">
            <v>0</v>
          </cell>
          <cell r="CB113">
            <v>4861</v>
          </cell>
          <cell r="CC113">
            <v>12496</v>
          </cell>
          <cell r="CD113">
            <v>383</v>
          </cell>
          <cell r="CE113">
            <v>17740</v>
          </cell>
          <cell r="CF113">
            <v>64467</v>
          </cell>
          <cell r="CG113">
            <v>16793</v>
          </cell>
          <cell r="CH113">
            <v>14323</v>
          </cell>
          <cell r="CI113">
            <v>2470</v>
          </cell>
          <cell r="CJ113">
            <v>81260</v>
          </cell>
        </row>
        <row r="114">
          <cell r="A114">
            <v>41791</v>
          </cell>
          <cell r="B114">
            <v>21513</v>
          </cell>
          <cell r="C114">
            <v>30149</v>
          </cell>
          <cell r="D114">
            <v>10753</v>
          </cell>
          <cell r="E114">
            <v>1950</v>
          </cell>
          <cell r="F114">
            <v>0</v>
          </cell>
          <cell r="G114">
            <v>42851</v>
          </cell>
          <cell r="H114">
            <v>64365</v>
          </cell>
          <cell r="I114">
            <v>12830</v>
          </cell>
          <cell r="J114">
            <v>0</v>
          </cell>
          <cell r="K114">
            <v>12830</v>
          </cell>
          <cell r="L114">
            <v>77195</v>
          </cell>
          <cell r="M114">
            <v>19305</v>
          </cell>
          <cell r="N114">
            <v>7742</v>
          </cell>
          <cell r="O114">
            <v>1805</v>
          </cell>
          <cell r="P114">
            <v>19485</v>
          </cell>
          <cell r="Q114">
            <v>0</v>
          </cell>
          <cell r="R114">
            <v>48337</v>
          </cell>
          <cell r="S114">
            <v>48337</v>
          </cell>
          <cell r="T114">
            <v>5230</v>
          </cell>
          <cell r="U114">
            <v>0</v>
          </cell>
          <cell r="V114">
            <v>5230</v>
          </cell>
          <cell r="W114">
            <v>12599</v>
          </cell>
          <cell r="X114">
            <v>443</v>
          </cell>
          <cell r="Y114">
            <v>18273</v>
          </cell>
          <cell r="Z114">
            <v>66610</v>
          </cell>
          <cell r="AA114">
            <v>10585</v>
          </cell>
          <cell r="AB114">
            <v>8087</v>
          </cell>
          <cell r="AC114">
            <v>2498</v>
          </cell>
          <cell r="AD114">
            <v>77195</v>
          </cell>
          <cell r="AE114">
            <v>21404</v>
          </cell>
          <cell r="AF114">
            <v>30260</v>
          </cell>
          <cell r="AG114">
            <v>10545</v>
          </cell>
          <cell r="AH114">
            <v>1876</v>
          </cell>
          <cell r="AI114">
            <v>0</v>
          </cell>
          <cell r="AJ114">
            <v>42682</v>
          </cell>
          <cell r="AK114">
            <v>64085</v>
          </cell>
          <cell r="AL114">
            <v>12831</v>
          </cell>
          <cell r="AM114">
            <v>0</v>
          </cell>
          <cell r="AN114">
            <v>12831</v>
          </cell>
          <cell r="AO114">
            <v>76916</v>
          </cell>
          <cell r="AP114">
            <v>19378</v>
          </cell>
          <cell r="AQ114">
            <v>7560</v>
          </cell>
          <cell r="AR114">
            <v>1853</v>
          </cell>
          <cell r="AS114">
            <v>19407</v>
          </cell>
          <cell r="AT114">
            <v>0</v>
          </cell>
          <cell r="AU114">
            <v>48198</v>
          </cell>
          <cell r="AV114">
            <v>48198</v>
          </cell>
          <cell r="AW114">
            <v>5355</v>
          </cell>
          <cell r="AX114">
            <v>0</v>
          </cell>
          <cell r="AY114">
            <v>5355</v>
          </cell>
          <cell r="AZ114">
            <v>12668</v>
          </cell>
          <cell r="BA114">
            <v>434</v>
          </cell>
          <cell r="BB114">
            <v>18458</v>
          </cell>
          <cell r="BC114">
            <v>66655</v>
          </cell>
          <cell r="BD114">
            <v>10261</v>
          </cell>
          <cell r="BE114">
            <v>7763</v>
          </cell>
          <cell r="BF114">
            <v>2498</v>
          </cell>
          <cell r="BG114">
            <v>76916</v>
          </cell>
          <cell r="BH114">
            <v>21585</v>
          </cell>
          <cell r="BI114">
            <v>30251</v>
          </cell>
          <cell r="BJ114">
            <v>6044</v>
          </cell>
          <cell r="BK114">
            <v>823</v>
          </cell>
          <cell r="BL114">
            <v>0</v>
          </cell>
          <cell r="BM114">
            <v>37118</v>
          </cell>
          <cell r="BN114">
            <v>58703</v>
          </cell>
          <cell r="BO114">
            <v>12831</v>
          </cell>
          <cell r="BP114">
            <v>0</v>
          </cell>
          <cell r="BQ114">
            <v>12831</v>
          </cell>
          <cell r="BR114">
            <v>71534</v>
          </cell>
          <cell r="BS114">
            <v>19300</v>
          </cell>
          <cell r="BT114">
            <v>8611</v>
          </cell>
          <cell r="BU114">
            <v>860</v>
          </cell>
          <cell r="BV114">
            <v>19407</v>
          </cell>
          <cell r="BW114">
            <v>0</v>
          </cell>
          <cell r="BX114">
            <v>48178</v>
          </cell>
          <cell r="BY114">
            <v>48178</v>
          </cell>
          <cell r="BZ114">
            <v>5284</v>
          </cell>
          <cell r="CA114">
            <v>0</v>
          </cell>
          <cell r="CB114">
            <v>5284</v>
          </cell>
          <cell r="CC114">
            <v>12590</v>
          </cell>
          <cell r="CD114">
            <v>492</v>
          </cell>
          <cell r="CE114">
            <v>18366</v>
          </cell>
          <cell r="CF114">
            <v>66544</v>
          </cell>
          <cell r="CG114">
            <v>4990</v>
          </cell>
          <cell r="CH114">
            <v>2492</v>
          </cell>
          <cell r="CI114">
            <v>2498</v>
          </cell>
          <cell r="CJ114">
            <v>71534</v>
          </cell>
        </row>
        <row r="115">
          <cell r="A115">
            <v>41883</v>
          </cell>
          <cell r="B115">
            <v>22028</v>
          </cell>
          <cell r="C115">
            <v>30004</v>
          </cell>
          <cell r="D115">
            <v>10787</v>
          </cell>
          <cell r="E115">
            <v>2220</v>
          </cell>
          <cell r="F115">
            <v>0</v>
          </cell>
          <cell r="G115">
            <v>43011</v>
          </cell>
          <cell r="H115">
            <v>65040</v>
          </cell>
          <cell r="I115">
            <v>12956</v>
          </cell>
          <cell r="J115">
            <v>0</v>
          </cell>
          <cell r="K115">
            <v>12956</v>
          </cell>
          <cell r="L115">
            <v>77995</v>
          </cell>
          <cell r="M115">
            <v>19122</v>
          </cell>
          <cell r="N115">
            <v>7757</v>
          </cell>
          <cell r="O115">
            <v>1953</v>
          </cell>
          <cell r="P115">
            <v>20100</v>
          </cell>
          <cell r="Q115">
            <v>0</v>
          </cell>
          <cell r="R115">
            <v>48932</v>
          </cell>
          <cell r="S115">
            <v>48932</v>
          </cell>
          <cell r="T115">
            <v>5348</v>
          </cell>
          <cell r="U115">
            <v>0</v>
          </cell>
          <cell r="V115">
            <v>5348</v>
          </cell>
          <cell r="W115">
            <v>12769</v>
          </cell>
          <cell r="X115">
            <v>433</v>
          </cell>
          <cell r="Y115">
            <v>18550</v>
          </cell>
          <cell r="Z115">
            <v>67481</v>
          </cell>
          <cell r="AA115">
            <v>10514</v>
          </cell>
          <cell r="AB115">
            <v>7988</v>
          </cell>
          <cell r="AC115">
            <v>2526</v>
          </cell>
          <cell r="AD115">
            <v>77995</v>
          </cell>
          <cell r="AE115">
            <v>21949</v>
          </cell>
          <cell r="AF115">
            <v>29841</v>
          </cell>
          <cell r="AG115">
            <v>11906</v>
          </cell>
          <cell r="AH115">
            <v>1595</v>
          </cell>
          <cell r="AI115">
            <v>0</v>
          </cell>
          <cell r="AJ115">
            <v>43342</v>
          </cell>
          <cell r="AK115">
            <v>65291</v>
          </cell>
          <cell r="AL115">
            <v>12958</v>
          </cell>
          <cell r="AM115">
            <v>0</v>
          </cell>
          <cell r="AN115">
            <v>12958</v>
          </cell>
          <cell r="AO115">
            <v>78249</v>
          </cell>
          <cell r="AP115">
            <v>19006</v>
          </cell>
          <cell r="AQ115">
            <v>7747</v>
          </cell>
          <cell r="AR115">
            <v>2003</v>
          </cell>
          <cell r="AS115">
            <v>20155</v>
          </cell>
          <cell r="AT115">
            <v>0</v>
          </cell>
          <cell r="AU115">
            <v>48911</v>
          </cell>
          <cell r="AV115">
            <v>48911</v>
          </cell>
          <cell r="AW115">
            <v>5506</v>
          </cell>
          <cell r="AX115">
            <v>0</v>
          </cell>
          <cell r="AY115">
            <v>5506</v>
          </cell>
          <cell r="AZ115">
            <v>12780</v>
          </cell>
          <cell r="BA115">
            <v>473</v>
          </cell>
          <cell r="BB115">
            <v>18759</v>
          </cell>
          <cell r="BC115">
            <v>67669</v>
          </cell>
          <cell r="BD115">
            <v>10580</v>
          </cell>
          <cell r="BE115">
            <v>8054</v>
          </cell>
          <cell r="BF115">
            <v>2526</v>
          </cell>
          <cell r="BG115">
            <v>78249</v>
          </cell>
          <cell r="BH115">
            <v>21928</v>
          </cell>
          <cell r="BI115">
            <v>29952</v>
          </cell>
          <cell r="BJ115">
            <v>17185</v>
          </cell>
          <cell r="BK115">
            <v>808</v>
          </cell>
          <cell r="BL115">
            <v>0</v>
          </cell>
          <cell r="BM115">
            <v>47946</v>
          </cell>
          <cell r="BN115">
            <v>69874</v>
          </cell>
          <cell r="BO115">
            <v>12958</v>
          </cell>
          <cell r="BP115">
            <v>0</v>
          </cell>
          <cell r="BQ115">
            <v>12958</v>
          </cell>
          <cell r="BR115">
            <v>82832</v>
          </cell>
          <cell r="BS115">
            <v>18999</v>
          </cell>
          <cell r="BT115">
            <v>7018</v>
          </cell>
          <cell r="BU115">
            <v>1994</v>
          </cell>
          <cell r="BV115">
            <v>20155</v>
          </cell>
          <cell r="BW115">
            <v>0</v>
          </cell>
          <cell r="BX115">
            <v>48165</v>
          </cell>
          <cell r="BY115">
            <v>48165</v>
          </cell>
          <cell r="BZ115">
            <v>5560</v>
          </cell>
          <cell r="CA115">
            <v>0</v>
          </cell>
          <cell r="CB115">
            <v>5560</v>
          </cell>
          <cell r="CC115">
            <v>12697</v>
          </cell>
          <cell r="CD115">
            <v>446</v>
          </cell>
          <cell r="CE115">
            <v>18703</v>
          </cell>
          <cell r="CF115">
            <v>66869</v>
          </cell>
          <cell r="CG115">
            <v>15963</v>
          </cell>
          <cell r="CH115">
            <v>13437</v>
          </cell>
          <cell r="CI115">
            <v>2526</v>
          </cell>
          <cell r="CJ115">
            <v>82832</v>
          </cell>
        </row>
        <row r="116">
          <cell r="A116">
            <v>41974</v>
          </cell>
          <cell r="B116">
            <v>22567</v>
          </cell>
          <cell r="C116">
            <v>29596</v>
          </cell>
          <cell r="D116">
            <v>10886</v>
          </cell>
          <cell r="E116">
            <v>2758</v>
          </cell>
          <cell r="F116">
            <v>0</v>
          </cell>
          <cell r="G116">
            <v>43239</v>
          </cell>
          <cell r="H116">
            <v>65806</v>
          </cell>
          <cell r="I116">
            <v>13082</v>
          </cell>
          <cell r="J116">
            <v>0</v>
          </cell>
          <cell r="K116">
            <v>13082</v>
          </cell>
          <cell r="L116">
            <v>78888</v>
          </cell>
          <cell r="M116">
            <v>18882</v>
          </cell>
          <cell r="N116">
            <v>7774</v>
          </cell>
          <cell r="O116">
            <v>1961</v>
          </cell>
          <cell r="P116">
            <v>20634</v>
          </cell>
          <cell r="Q116">
            <v>0</v>
          </cell>
          <cell r="R116">
            <v>49250</v>
          </cell>
          <cell r="S116">
            <v>49250</v>
          </cell>
          <cell r="T116">
            <v>5627</v>
          </cell>
          <cell r="U116">
            <v>0</v>
          </cell>
          <cell r="V116">
            <v>5627</v>
          </cell>
          <cell r="W116">
            <v>12992</v>
          </cell>
          <cell r="X116">
            <v>435</v>
          </cell>
          <cell r="Y116">
            <v>19054</v>
          </cell>
          <cell r="Z116">
            <v>68304</v>
          </cell>
          <cell r="AA116">
            <v>10584</v>
          </cell>
          <cell r="AB116">
            <v>8030</v>
          </cell>
          <cell r="AC116">
            <v>2554</v>
          </cell>
          <cell r="AD116">
            <v>78888</v>
          </cell>
          <cell r="AE116">
            <v>22708</v>
          </cell>
          <cell r="AF116">
            <v>29919</v>
          </cell>
          <cell r="AG116">
            <v>9398</v>
          </cell>
          <cell r="AH116">
            <v>3325</v>
          </cell>
          <cell r="AI116">
            <v>0</v>
          </cell>
          <cell r="AJ116">
            <v>42643</v>
          </cell>
          <cell r="AK116">
            <v>65351</v>
          </cell>
          <cell r="AL116">
            <v>13082</v>
          </cell>
          <cell r="AM116">
            <v>0</v>
          </cell>
          <cell r="AN116">
            <v>13082</v>
          </cell>
          <cell r="AO116">
            <v>78433</v>
          </cell>
          <cell r="AP116">
            <v>19023</v>
          </cell>
          <cell r="AQ116">
            <v>8531</v>
          </cell>
          <cell r="AR116">
            <v>1760</v>
          </cell>
          <cell r="AS116">
            <v>20652</v>
          </cell>
          <cell r="AT116">
            <v>0</v>
          </cell>
          <cell r="AU116">
            <v>49965</v>
          </cell>
          <cell r="AV116">
            <v>49965</v>
          </cell>
          <cell r="AW116">
            <v>5341</v>
          </cell>
          <cell r="AX116">
            <v>0</v>
          </cell>
          <cell r="AY116">
            <v>5341</v>
          </cell>
          <cell r="AZ116">
            <v>14178</v>
          </cell>
          <cell r="BA116">
            <v>382</v>
          </cell>
          <cell r="BB116">
            <v>19901</v>
          </cell>
          <cell r="BC116">
            <v>69866</v>
          </cell>
          <cell r="BD116">
            <v>8567</v>
          </cell>
          <cell r="BE116">
            <v>6012</v>
          </cell>
          <cell r="BF116">
            <v>2555</v>
          </cell>
          <cell r="BG116">
            <v>78433</v>
          </cell>
          <cell r="BH116">
            <v>22766</v>
          </cell>
          <cell r="BI116">
            <v>29850</v>
          </cell>
          <cell r="BJ116">
            <v>5460</v>
          </cell>
          <cell r="BK116">
            <v>4698</v>
          </cell>
          <cell r="BL116">
            <v>0</v>
          </cell>
          <cell r="BM116">
            <v>40008</v>
          </cell>
          <cell r="BN116">
            <v>62774</v>
          </cell>
          <cell r="BO116">
            <v>13082</v>
          </cell>
          <cell r="BP116">
            <v>0</v>
          </cell>
          <cell r="BQ116">
            <v>13082</v>
          </cell>
          <cell r="BR116">
            <v>75856</v>
          </cell>
          <cell r="BS116">
            <v>19071</v>
          </cell>
          <cell r="BT116">
            <v>10010</v>
          </cell>
          <cell r="BU116">
            <v>2256</v>
          </cell>
          <cell r="BV116">
            <v>20652</v>
          </cell>
          <cell r="BW116">
            <v>0</v>
          </cell>
          <cell r="BX116">
            <v>51988</v>
          </cell>
          <cell r="BY116">
            <v>51988</v>
          </cell>
          <cell r="BZ116">
            <v>5333</v>
          </cell>
          <cell r="CA116">
            <v>0</v>
          </cell>
          <cell r="CB116">
            <v>5333</v>
          </cell>
          <cell r="CC116">
            <v>14270</v>
          </cell>
          <cell r="CD116">
            <v>396</v>
          </cell>
          <cell r="CE116">
            <v>19999</v>
          </cell>
          <cell r="CF116">
            <v>71986</v>
          </cell>
          <cell r="CG116">
            <v>3869</v>
          </cell>
          <cell r="CH116">
            <v>1314</v>
          </cell>
          <cell r="CI116">
            <v>2555</v>
          </cell>
          <cell r="CJ116">
            <v>75856</v>
          </cell>
        </row>
        <row r="117">
          <cell r="A117">
            <v>42064</v>
          </cell>
          <cell r="B117">
            <v>23007</v>
          </cell>
          <cell r="C117">
            <v>29003</v>
          </cell>
          <cell r="D117">
            <v>11400</v>
          </cell>
          <cell r="E117">
            <v>2855</v>
          </cell>
          <cell r="F117">
            <v>0</v>
          </cell>
          <cell r="G117">
            <v>43258</v>
          </cell>
          <cell r="H117">
            <v>66265</v>
          </cell>
          <cell r="I117">
            <v>13215</v>
          </cell>
          <cell r="J117">
            <v>0</v>
          </cell>
          <cell r="K117">
            <v>13215</v>
          </cell>
          <cell r="L117">
            <v>79480</v>
          </cell>
          <cell r="M117">
            <v>18642</v>
          </cell>
          <cell r="N117">
            <v>7837</v>
          </cell>
          <cell r="O117">
            <v>1611</v>
          </cell>
          <cell r="P117">
            <v>20952</v>
          </cell>
          <cell r="Q117">
            <v>0</v>
          </cell>
          <cell r="R117">
            <v>49041</v>
          </cell>
          <cell r="S117">
            <v>49041</v>
          </cell>
          <cell r="T117">
            <v>5984</v>
          </cell>
          <cell r="U117">
            <v>0</v>
          </cell>
          <cell r="V117">
            <v>5984</v>
          </cell>
          <cell r="W117">
            <v>13194</v>
          </cell>
          <cell r="X117">
            <v>437</v>
          </cell>
          <cell r="Y117">
            <v>19615</v>
          </cell>
          <cell r="Z117">
            <v>68656</v>
          </cell>
          <cell r="AA117">
            <v>10824</v>
          </cell>
          <cell r="AB117">
            <v>8239</v>
          </cell>
          <cell r="AC117">
            <v>2585</v>
          </cell>
          <cell r="AD117">
            <v>79480</v>
          </cell>
          <cell r="AE117">
            <v>22981</v>
          </cell>
          <cell r="AF117">
            <v>28882</v>
          </cell>
          <cell r="AG117">
            <v>11999</v>
          </cell>
          <cell r="AH117">
            <v>3336</v>
          </cell>
          <cell r="AI117">
            <v>0</v>
          </cell>
          <cell r="AJ117">
            <v>44217</v>
          </cell>
          <cell r="AK117">
            <v>67198</v>
          </cell>
          <cell r="AL117">
            <v>13214</v>
          </cell>
          <cell r="AM117">
            <v>0</v>
          </cell>
          <cell r="AN117">
            <v>13214</v>
          </cell>
          <cell r="AO117">
            <v>80412</v>
          </cell>
          <cell r="AP117">
            <v>18617</v>
          </cell>
          <cell r="AQ117">
            <v>7352</v>
          </cell>
          <cell r="AR117">
            <v>2174</v>
          </cell>
          <cell r="AS117">
            <v>20967</v>
          </cell>
          <cell r="AT117">
            <v>0</v>
          </cell>
          <cell r="AU117">
            <v>49109</v>
          </cell>
          <cell r="AV117">
            <v>49109</v>
          </cell>
          <cell r="AW117">
            <v>6004</v>
          </cell>
          <cell r="AX117">
            <v>0</v>
          </cell>
          <cell r="AY117">
            <v>6004</v>
          </cell>
          <cell r="AZ117">
            <v>13517</v>
          </cell>
          <cell r="BA117">
            <v>467</v>
          </cell>
          <cell r="BB117">
            <v>19989</v>
          </cell>
          <cell r="BC117">
            <v>69098</v>
          </cell>
          <cell r="BD117">
            <v>11314</v>
          </cell>
          <cell r="BE117">
            <v>8729</v>
          </cell>
          <cell r="BF117">
            <v>2585</v>
          </cell>
          <cell r="BG117">
            <v>80412</v>
          </cell>
          <cell r="BH117">
            <v>22759</v>
          </cell>
          <cell r="BI117">
            <v>28893</v>
          </cell>
          <cell r="BJ117">
            <v>16814</v>
          </cell>
          <cell r="BK117">
            <v>4019</v>
          </cell>
          <cell r="BL117">
            <v>0</v>
          </cell>
          <cell r="BM117">
            <v>49725</v>
          </cell>
          <cell r="BN117">
            <v>72484</v>
          </cell>
          <cell r="BO117">
            <v>13214</v>
          </cell>
          <cell r="BP117">
            <v>0</v>
          </cell>
          <cell r="BQ117">
            <v>13214</v>
          </cell>
          <cell r="BR117">
            <v>85698</v>
          </cell>
          <cell r="BS117">
            <v>18653</v>
          </cell>
          <cell r="BT117">
            <v>4566</v>
          </cell>
          <cell r="BU117">
            <v>2773</v>
          </cell>
          <cell r="BV117">
            <v>20967</v>
          </cell>
          <cell r="BW117">
            <v>0</v>
          </cell>
          <cell r="BX117">
            <v>46959</v>
          </cell>
          <cell r="BY117">
            <v>46959</v>
          </cell>
          <cell r="BZ117">
            <v>6067</v>
          </cell>
          <cell r="CA117">
            <v>0</v>
          </cell>
          <cell r="CB117">
            <v>6067</v>
          </cell>
          <cell r="CC117">
            <v>13593</v>
          </cell>
          <cell r="CD117">
            <v>406</v>
          </cell>
          <cell r="CE117">
            <v>20067</v>
          </cell>
          <cell r="CF117">
            <v>67026</v>
          </cell>
          <cell r="CG117">
            <v>18672</v>
          </cell>
          <cell r="CH117">
            <v>16087</v>
          </cell>
          <cell r="CI117">
            <v>2585</v>
          </cell>
          <cell r="CJ117">
            <v>85698</v>
          </cell>
        </row>
        <row r="118">
          <cell r="A118">
            <v>42156</v>
          </cell>
          <cell r="B118">
            <v>23303</v>
          </cell>
          <cell r="C118">
            <v>28572</v>
          </cell>
          <cell r="D118">
            <v>12295</v>
          </cell>
          <cell r="E118">
            <v>2570</v>
          </cell>
          <cell r="F118">
            <v>0</v>
          </cell>
          <cell r="G118">
            <v>43438</v>
          </cell>
          <cell r="H118">
            <v>66741</v>
          </cell>
          <cell r="I118">
            <v>13359</v>
          </cell>
          <cell r="J118">
            <v>0</v>
          </cell>
          <cell r="K118">
            <v>13359</v>
          </cell>
          <cell r="L118">
            <v>80099</v>
          </cell>
          <cell r="M118">
            <v>18549</v>
          </cell>
          <cell r="N118">
            <v>7879</v>
          </cell>
          <cell r="O118">
            <v>1177</v>
          </cell>
          <cell r="P118">
            <v>21059</v>
          </cell>
          <cell r="Q118">
            <v>0</v>
          </cell>
          <cell r="R118">
            <v>48664</v>
          </cell>
          <cell r="S118">
            <v>48664</v>
          </cell>
          <cell r="T118">
            <v>6262</v>
          </cell>
          <cell r="U118">
            <v>0</v>
          </cell>
          <cell r="V118">
            <v>6262</v>
          </cell>
          <cell r="W118">
            <v>13454</v>
          </cell>
          <cell r="X118">
            <v>447</v>
          </cell>
          <cell r="Y118">
            <v>20163</v>
          </cell>
          <cell r="Z118">
            <v>68827</v>
          </cell>
          <cell r="AA118">
            <v>11272</v>
          </cell>
          <cell r="AB118">
            <v>8651</v>
          </cell>
          <cell r="AC118">
            <v>2621</v>
          </cell>
          <cell r="AD118">
            <v>80099</v>
          </cell>
          <cell r="AE118">
            <v>23338</v>
          </cell>
          <cell r="AF118">
            <v>28391</v>
          </cell>
          <cell r="AG118">
            <v>12420</v>
          </cell>
          <cell r="AH118">
            <v>1813</v>
          </cell>
          <cell r="AI118">
            <v>0</v>
          </cell>
          <cell r="AJ118">
            <v>42624</v>
          </cell>
          <cell r="AK118">
            <v>65962</v>
          </cell>
          <cell r="AL118">
            <v>13353</v>
          </cell>
          <cell r="AM118">
            <v>0</v>
          </cell>
          <cell r="AN118">
            <v>13353</v>
          </cell>
          <cell r="AO118">
            <v>79315</v>
          </cell>
          <cell r="AP118">
            <v>18419</v>
          </cell>
          <cell r="AQ118">
            <v>8224</v>
          </cell>
          <cell r="AR118">
            <v>701</v>
          </cell>
          <cell r="AS118">
            <v>21106</v>
          </cell>
          <cell r="AT118">
            <v>0</v>
          </cell>
          <cell r="AU118">
            <v>48449</v>
          </cell>
          <cell r="AV118">
            <v>48449</v>
          </cell>
          <cell r="AW118">
            <v>6488</v>
          </cell>
          <cell r="AX118">
            <v>0</v>
          </cell>
          <cell r="AY118">
            <v>6488</v>
          </cell>
          <cell r="AZ118">
            <v>14845</v>
          </cell>
          <cell r="BA118">
            <v>457</v>
          </cell>
          <cell r="BB118">
            <v>21790</v>
          </cell>
          <cell r="BC118">
            <v>70239</v>
          </cell>
          <cell r="BD118">
            <v>9076</v>
          </cell>
          <cell r="BE118">
            <v>6458</v>
          </cell>
          <cell r="BF118">
            <v>2618</v>
          </cell>
          <cell r="BG118">
            <v>79315</v>
          </cell>
          <cell r="BH118">
            <v>23515</v>
          </cell>
          <cell r="BI118">
            <v>28374</v>
          </cell>
          <cell r="BJ118">
            <v>7160</v>
          </cell>
          <cell r="BK118">
            <v>471</v>
          </cell>
          <cell r="BL118">
            <v>0</v>
          </cell>
          <cell r="BM118">
            <v>36004</v>
          </cell>
          <cell r="BN118">
            <v>59519</v>
          </cell>
          <cell r="BO118">
            <v>13353</v>
          </cell>
          <cell r="BP118">
            <v>0</v>
          </cell>
          <cell r="BQ118">
            <v>13353</v>
          </cell>
          <cell r="BR118">
            <v>72872</v>
          </cell>
          <cell r="BS118">
            <v>18366</v>
          </cell>
          <cell r="BT118">
            <v>10253</v>
          </cell>
          <cell r="BU118">
            <v>-416</v>
          </cell>
          <cell r="BV118">
            <v>21106</v>
          </cell>
          <cell r="BW118">
            <v>0</v>
          </cell>
          <cell r="BX118">
            <v>49309</v>
          </cell>
          <cell r="BY118">
            <v>49309</v>
          </cell>
          <cell r="BZ118">
            <v>6355</v>
          </cell>
          <cell r="CA118">
            <v>0</v>
          </cell>
          <cell r="CB118">
            <v>6355</v>
          </cell>
          <cell r="CC118">
            <v>14765</v>
          </cell>
          <cell r="CD118">
            <v>540</v>
          </cell>
          <cell r="CE118">
            <v>21660</v>
          </cell>
          <cell r="CF118">
            <v>70969</v>
          </cell>
          <cell r="CG118">
            <v>1903</v>
          </cell>
          <cell r="CH118">
            <v>-715</v>
          </cell>
          <cell r="CI118">
            <v>2618</v>
          </cell>
          <cell r="CJ118">
            <v>72872</v>
          </cell>
        </row>
        <row r="119">
          <cell r="A119">
            <v>42248</v>
          </cell>
          <cell r="B119">
            <v>23585</v>
          </cell>
          <cell r="C119">
            <v>28519</v>
          </cell>
          <cell r="D119">
            <v>13052</v>
          </cell>
          <cell r="E119">
            <v>2291</v>
          </cell>
          <cell r="F119">
            <v>0</v>
          </cell>
          <cell r="G119">
            <v>43861</v>
          </cell>
          <cell r="H119">
            <v>67446</v>
          </cell>
          <cell r="I119">
            <v>13507</v>
          </cell>
          <cell r="J119">
            <v>0</v>
          </cell>
          <cell r="K119">
            <v>13507</v>
          </cell>
          <cell r="L119">
            <v>80953</v>
          </cell>
          <cell r="M119">
            <v>18658</v>
          </cell>
          <cell r="N119">
            <v>7852</v>
          </cell>
          <cell r="O119">
            <v>867</v>
          </cell>
          <cell r="P119">
            <v>21087</v>
          </cell>
          <cell r="Q119">
            <v>0</v>
          </cell>
          <cell r="R119">
            <v>48464</v>
          </cell>
          <cell r="S119">
            <v>48464</v>
          </cell>
          <cell r="T119">
            <v>6270</v>
          </cell>
          <cell r="U119">
            <v>0</v>
          </cell>
          <cell r="V119">
            <v>6270</v>
          </cell>
          <cell r="W119">
            <v>13690</v>
          </cell>
          <cell r="X119">
            <v>461</v>
          </cell>
          <cell r="Y119">
            <v>20421</v>
          </cell>
          <cell r="Z119">
            <v>68885</v>
          </cell>
          <cell r="AA119">
            <v>12068</v>
          </cell>
          <cell r="AB119">
            <v>9410</v>
          </cell>
          <cell r="AC119">
            <v>2658</v>
          </cell>
          <cell r="AD119">
            <v>80953</v>
          </cell>
          <cell r="AE119">
            <v>23452</v>
          </cell>
          <cell r="AF119">
            <v>28567</v>
          </cell>
          <cell r="AG119">
            <v>12809</v>
          </cell>
          <cell r="AH119">
            <v>2353</v>
          </cell>
          <cell r="AI119">
            <v>0</v>
          </cell>
          <cell r="AJ119">
            <v>43729</v>
          </cell>
          <cell r="AK119">
            <v>67181</v>
          </cell>
          <cell r="AL119">
            <v>13512</v>
          </cell>
          <cell r="AM119">
            <v>0</v>
          </cell>
          <cell r="AN119">
            <v>13512</v>
          </cell>
          <cell r="AO119">
            <v>80693</v>
          </cell>
          <cell r="AP119">
            <v>18690</v>
          </cell>
          <cell r="AQ119">
            <v>7838</v>
          </cell>
          <cell r="AR119">
            <v>738</v>
          </cell>
          <cell r="AS119">
            <v>21010</v>
          </cell>
          <cell r="AT119">
            <v>0</v>
          </cell>
          <cell r="AU119">
            <v>48276</v>
          </cell>
          <cell r="AV119">
            <v>48276</v>
          </cell>
          <cell r="AW119">
            <v>6263</v>
          </cell>
          <cell r="AX119">
            <v>0</v>
          </cell>
          <cell r="AY119">
            <v>6263</v>
          </cell>
          <cell r="AZ119">
            <v>13654</v>
          </cell>
          <cell r="BA119">
            <v>435</v>
          </cell>
          <cell r="BB119">
            <v>20351</v>
          </cell>
          <cell r="BC119">
            <v>68628</v>
          </cell>
          <cell r="BD119">
            <v>12066</v>
          </cell>
          <cell r="BE119">
            <v>9406</v>
          </cell>
          <cell r="BF119">
            <v>2660</v>
          </cell>
          <cell r="BG119">
            <v>80693</v>
          </cell>
          <cell r="BH119">
            <v>23433</v>
          </cell>
          <cell r="BI119">
            <v>28559</v>
          </cell>
          <cell r="BJ119">
            <v>18458</v>
          </cell>
          <cell r="BK119">
            <v>1448</v>
          </cell>
          <cell r="BL119">
            <v>0</v>
          </cell>
          <cell r="BM119">
            <v>48465</v>
          </cell>
          <cell r="BN119">
            <v>71898</v>
          </cell>
          <cell r="BO119">
            <v>13512</v>
          </cell>
          <cell r="BP119">
            <v>0</v>
          </cell>
          <cell r="BQ119">
            <v>13512</v>
          </cell>
          <cell r="BR119">
            <v>85410</v>
          </cell>
          <cell r="BS119">
            <v>18627</v>
          </cell>
          <cell r="BT119">
            <v>7254</v>
          </cell>
          <cell r="BU119">
            <v>678</v>
          </cell>
          <cell r="BV119">
            <v>21010</v>
          </cell>
          <cell r="BW119">
            <v>0</v>
          </cell>
          <cell r="BX119">
            <v>47569</v>
          </cell>
          <cell r="BY119">
            <v>47569</v>
          </cell>
          <cell r="BZ119">
            <v>6320</v>
          </cell>
          <cell r="CA119">
            <v>0</v>
          </cell>
          <cell r="CB119">
            <v>6320</v>
          </cell>
          <cell r="CC119">
            <v>13549</v>
          </cell>
          <cell r="CD119">
            <v>398</v>
          </cell>
          <cell r="CE119">
            <v>20267</v>
          </cell>
          <cell r="CF119">
            <v>67836</v>
          </cell>
          <cell r="CG119">
            <v>17573</v>
          </cell>
          <cell r="CH119">
            <v>14913</v>
          </cell>
          <cell r="CI119">
            <v>2660</v>
          </cell>
          <cell r="CJ119">
            <v>85410</v>
          </cell>
        </row>
        <row r="120">
          <cell r="A120">
            <v>42339</v>
          </cell>
          <cell r="B120">
            <v>23870</v>
          </cell>
          <cell r="C120">
            <v>28849</v>
          </cell>
          <cell r="D120">
            <v>13110</v>
          </cell>
          <cell r="E120">
            <v>2174</v>
          </cell>
          <cell r="F120">
            <v>0</v>
          </cell>
          <cell r="G120">
            <v>44133</v>
          </cell>
          <cell r="H120">
            <v>68003</v>
          </cell>
          <cell r="I120">
            <v>13651</v>
          </cell>
          <cell r="J120">
            <v>0</v>
          </cell>
          <cell r="K120">
            <v>13651</v>
          </cell>
          <cell r="L120">
            <v>81653</v>
          </cell>
          <cell r="M120">
            <v>18917</v>
          </cell>
          <cell r="N120">
            <v>7723</v>
          </cell>
          <cell r="O120">
            <v>581</v>
          </cell>
          <cell r="P120">
            <v>21136</v>
          </cell>
          <cell r="Q120">
            <v>0</v>
          </cell>
          <cell r="R120">
            <v>48356</v>
          </cell>
          <cell r="S120">
            <v>48356</v>
          </cell>
          <cell r="T120">
            <v>6042</v>
          </cell>
          <cell r="U120">
            <v>0</v>
          </cell>
          <cell r="V120">
            <v>6042</v>
          </cell>
          <cell r="W120">
            <v>13899</v>
          </cell>
          <cell r="X120">
            <v>493</v>
          </cell>
          <cell r="Y120">
            <v>20435</v>
          </cell>
          <cell r="Z120">
            <v>68791</v>
          </cell>
          <cell r="AA120">
            <v>12863</v>
          </cell>
          <cell r="AB120">
            <v>10171</v>
          </cell>
          <cell r="AC120">
            <v>2692</v>
          </cell>
          <cell r="AD120">
            <v>81653</v>
          </cell>
          <cell r="AE120">
            <v>23980</v>
          </cell>
          <cell r="AF120">
            <v>28817</v>
          </cell>
          <cell r="AG120">
            <v>13462</v>
          </cell>
          <cell r="AH120">
            <v>2597</v>
          </cell>
          <cell r="AI120">
            <v>0</v>
          </cell>
          <cell r="AJ120">
            <v>44875</v>
          </cell>
          <cell r="AK120">
            <v>68855</v>
          </cell>
          <cell r="AL120">
            <v>13651</v>
          </cell>
          <cell r="AM120">
            <v>0</v>
          </cell>
          <cell r="AN120">
            <v>13651</v>
          </cell>
          <cell r="AO120">
            <v>82507</v>
          </cell>
          <cell r="AP120">
            <v>18931</v>
          </cell>
          <cell r="AQ120">
            <v>7729</v>
          </cell>
          <cell r="AR120">
            <v>1036</v>
          </cell>
          <cell r="AS120">
            <v>21138</v>
          </cell>
          <cell r="AT120">
            <v>0</v>
          </cell>
          <cell r="AU120">
            <v>48834</v>
          </cell>
          <cell r="AV120">
            <v>48834</v>
          </cell>
          <cell r="AW120">
            <v>5860</v>
          </cell>
          <cell r="AX120">
            <v>0</v>
          </cell>
          <cell r="AY120">
            <v>5860</v>
          </cell>
          <cell r="AZ120">
            <v>14142</v>
          </cell>
          <cell r="BA120">
            <v>509</v>
          </cell>
          <cell r="BB120">
            <v>20511</v>
          </cell>
          <cell r="BC120">
            <v>69345</v>
          </cell>
          <cell r="BD120">
            <v>13162</v>
          </cell>
          <cell r="BE120">
            <v>10469</v>
          </cell>
          <cell r="BF120">
            <v>2692</v>
          </cell>
          <cell r="BG120">
            <v>82507</v>
          </cell>
          <cell r="BH120">
            <v>24061</v>
          </cell>
          <cell r="BI120">
            <v>28856</v>
          </cell>
          <cell r="BJ120">
            <v>7823</v>
          </cell>
          <cell r="BK120">
            <v>4231</v>
          </cell>
          <cell r="BL120">
            <v>0</v>
          </cell>
          <cell r="BM120">
            <v>40910</v>
          </cell>
          <cell r="BN120">
            <v>64972</v>
          </cell>
          <cell r="BO120">
            <v>13651</v>
          </cell>
          <cell r="BP120">
            <v>0</v>
          </cell>
          <cell r="BQ120">
            <v>13651</v>
          </cell>
          <cell r="BR120">
            <v>78623</v>
          </cell>
          <cell r="BS120">
            <v>19024</v>
          </cell>
          <cell r="BT120">
            <v>9518</v>
          </cell>
          <cell r="BU120">
            <v>1647</v>
          </cell>
          <cell r="BV120">
            <v>21138</v>
          </cell>
          <cell r="BW120">
            <v>0</v>
          </cell>
          <cell r="BX120">
            <v>51327</v>
          </cell>
          <cell r="BY120">
            <v>51327</v>
          </cell>
          <cell r="BZ120">
            <v>5859</v>
          </cell>
          <cell r="CA120">
            <v>0</v>
          </cell>
          <cell r="CB120">
            <v>5859</v>
          </cell>
          <cell r="CC120">
            <v>14255</v>
          </cell>
          <cell r="CD120">
            <v>523</v>
          </cell>
          <cell r="CE120">
            <v>20636</v>
          </cell>
          <cell r="CF120">
            <v>71964</v>
          </cell>
          <cell r="CG120">
            <v>6660</v>
          </cell>
          <cell r="CH120">
            <v>3967</v>
          </cell>
          <cell r="CI120">
            <v>2692</v>
          </cell>
          <cell r="CJ120">
            <v>78623</v>
          </cell>
        </row>
        <row r="121">
          <cell r="A121">
            <v>42430</v>
          </cell>
          <cell r="B121">
            <v>24089</v>
          </cell>
          <cell r="C121">
            <v>29105</v>
          </cell>
          <cell r="D121">
            <v>13076</v>
          </cell>
          <cell r="E121">
            <v>1880</v>
          </cell>
          <cell r="F121">
            <v>0</v>
          </cell>
          <cell r="G121">
            <v>44060</v>
          </cell>
          <cell r="H121">
            <v>68149</v>
          </cell>
          <cell r="I121">
            <v>13779</v>
          </cell>
          <cell r="J121">
            <v>0</v>
          </cell>
          <cell r="K121">
            <v>13779</v>
          </cell>
          <cell r="L121">
            <v>81927</v>
          </cell>
          <cell r="M121">
            <v>19052</v>
          </cell>
          <cell r="N121">
            <v>7827</v>
          </cell>
          <cell r="O121">
            <v>330</v>
          </cell>
          <cell r="P121">
            <v>21247</v>
          </cell>
          <cell r="Q121">
            <v>0</v>
          </cell>
          <cell r="R121">
            <v>48456</v>
          </cell>
          <cell r="S121">
            <v>48456</v>
          </cell>
          <cell r="T121">
            <v>5753</v>
          </cell>
          <cell r="U121">
            <v>0</v>
          </cell>
          <cell r="V121">
            <v>5753</v>
          </cell>
          <cell r="W121">
            <v>14042</v>
          </cell>
          <cell r="X121">
            <v>553</v>
          </cell>
          <cell r="Y121">
            <v>20348</v>
          </cell>
          <cell r="Z121">
            <v>68804</v>
          </cell>
          <cell r="AA121">
            <v>13124</v>
          </cell>
          <cell r="AB121">
            <v>10407</v>
          </cell>
          <cell r="AC121">
            <v>2717</v>
          </cell>
          <cell r="AD121">
            <v>81927</v>
          </cell>
          <cell r="AE121">
            <v>24122</v>
          </cell>
          <cell r="AF121">
            <v>29139</v>
          </cell>
          <cell r="AG121">
            <v>12926</v>
          </cell>
          <cell r="AH121">
            <v>1748</v>
          </cell>
          <cell r="AI121">
            <v>0</v>
          </cell>
          <cell r="AJ121">
            <v>43814</v>
          </cell>
          <cell r="AK121">
            <v>67936</v>
          </cell>
          <cell r="AL121">
            <v>13779</v>
          </cell>
          <cell r="AM121">
            <v>0</v>
          </cell>
          <cell r="AN121">
            <v>13779</v>
          </cell>
          <cell r="AO121">
            <v>81716</v>
          </cell>
          <cell r="AP121">
            <v>19073</v>
          </cell>
          <cell r="AQ121">
            <v>7633</v>
          </cell>
          <cell r="AR121">
            <v>238</v>
          </cell>
          <cell r="AS121">
            <v>21258</v>
          </cell>
          <cell r="AT121">
            <v>0</v>
          </cell>
          <cell r="AU121">
            <v>48202</v>
          </cell>
          <cell r="AV121">
            <v>48202</v>
          </cell>
          <cell r="AW121">
            <v>6001</v>
          </cell>
          <cell r="AX121">
            <v>0</v>
          </cell>
          <cell r="AY121">
            <v>6001</v>
          </cell>
          <cell r="AZ121">
            <v>13800</v>
          </cell>
          <cell r="BA121">
            <v>524</v>
          </cell>
          <cell r="BB121">
            <v>20325</v>
          </cell>
          <cell r="BC121">
            <v>68527</v>
          </cell>
          <cell r="BD121">
            <v>13189</v>
          </cell>
          <cell r="BE121">
            <v>10471</v>
          </cell>
          <cell r="BF121">
            <v>2718</v>
          </cell>
          <cell r="BG121">
            <v>81716</v>
          </cell>
          <cell r="BH121">
            <v>23884</v>
          </cell>
          <cell r="BI121">
            <v>29143</v>
          </cell>
          <cell r="BJ121">
            <v>18110</v>
          </cell>
          <cell r="BK121">
            <v>2518</v>
          </cell>
          <cell r="BL121">
            <v>0</v>
          </cell>
          <cell r="BM121">
            <v>49771</v>
          </cell>
          <cell r="BN121">
            <v>73655</v>
          </cell>
          <cell r="BO121">
            <v>13779</v>
          </cell>
          <cell r="BP121">
            <v>0</v>
          </cell>
          <cell r="BQ121">
            <v>13779</v>
          </cell>
          <cell r="BR121">
            <v>87434</v>
          </cell>
          <cell r="BS121">
            <v>19093</v>
          </cell>
          <cell r="BT121">
            <v>5018</v>
          </cell>
          <cell r="BU121">
            <v>862</v>
          </cell>
          <cell r="BV121">
            <v>21258</v>
          </cell>
          <cell r="BW121">
            <v>0</v>
          </cell>
          <cell r="BX121">
            <v>46231</v>
          </cell>
          <cell r="BY121">
            <v>46231</v>
          </cell>
          <cell r="BZ121">
            <v>6107</v>
          </cell>
          <cell r="CA121">
            <v>0</v>
          </cell>
          <cell r="CB121">
            <v>6107</v>
          </cell>
          <cell r="CC121">
            <v>13870</v>
          </cell>
          <cell r="CD121">
            <v>453</v>
          </cell>
          <cell r="CE121">
            <v>20430</v>
          </cell>
          <cell r="CF121">
            <v>66662</v>
          </cell>
          <cell r="CG121">
            <v>20773</v>
          </cell>
          <cell r="CH121">
            <v>18055</v>
          </cell>
          <cell r="CI121">
            <v>2718</v>
          </cell>
          <cell r="CJ121">
            <v>87434</v>
          </cell>
        </row>
        <row r="122">
          <cell r="A122">
            <v>42522</v>
          </cell>
          <cell r="B122">
            <v>24257</v>
          </cell>
          <cell r="C122">
            <v>29042</v>
          </cell>
          <cell r="D122">
            <v>12933</v>
          </cell>
          <cell r="E122">
            <v>1542</v>
          </cell>
          <cell r="F122">
            <v>0</v>
          </cell>
          <cell r="G122">
            <v>43517</v>
          </cell>
          <cell r="H122">
            <v>67774</v>
          </cell>
          <cell r="I122">
            <v>13891</v>
          </cell>
          <cell r="J122">
            <v>0</v>
          </cell>
          <cell r="K122">
            <v>13891</v>
          </cell>
          <cell r="L122">
            <v>81665</v>
          </cell>
          <cell r="M122">
            <v>18942</v>
          </cell>
          <cell r="N122">
            <v>8249</v>
          </cell>
          <cell r="O122">
            <v>135</v>
          </cell>
          <cell r="P122">
            <v>21389</v>
          </cell>
          <cell r="Q122">
            <v>0</v>
          </cell>
          <cell r="R122">
            <v>48716</v>
          </cell>
          <cell r="S122">
            <v>48716</v>
          </cell>
          <cell r="T122">
            <v>5780</v>
          </cell>
          <cell r="U122">
            <v>0</v>
          </cell>
          <cell r="V122">
            <v>5780</v>
          </cell>
          <cell r="W122">
            <v>13974</v>
          </cell>
          <cell r="X122">
            <v>594</v>
          </cell>
          <cell r="Y122">
            <v>20348</v>
          </cell>
          <cell r="Z122">
            <v>69064</v>
          </cell>
          <cell r="AA122">
            <v>12601</v>
          </cell>
          <cell r="AB122">
            <v>9869</v>
          </cell>
          <cell r="AC122">
            <v>2733</v>
          </cell>
          <cell r="AD122">
            <v>81665</v>
          </cell>
          <cell r="AE122">
            <v>24205</v>
          </cell>
          <cell r="AF122">
            <v>29290</v>
          </cell>
          <cell r="AG122">
            <v>12713</v>
          </cell>
          <cell r="AH122">
            <v>1338</v>
          </cell>
          <cell r="AI122">
            <v>0</v>
          </cell>
          <cell r="AJ122">
            <v>43342</v>
          </cell>
          <cell r="AK122">
            <v>67547</v>
          </cell>
          <cell r="AL122">
            <v>13896</v>
          </cell>
          <cell r="AM122">
            <v>0</v>
          </cell>
          <cell r="AN122">
            <v>13896</v>
          </cell>
          <cell r="AO122">
            <v>81443</v>
          </cell>
          <cell r="AP122">
            <v>19062</v>
          </cell>
          <cell r="AQ122">
            <v>8053</v>
          </cell>
          <cell r="AR122">
            <v>-235</v>
          </cell>
          <cell r="AS122">
            <v>21388</v>
          </cell>
          <cell r="AT122">
            <v>0</v>
          </cell>
          <cell r="AU122">
            <v>48267</v>
          </cell>
          <cell r="AV122">
            <v>48267</v>
          </cell>
          <cell r="AW122">
            <v>5649</v>
          </cell>
          <cell r="AX122">
            <v>0</v>
          </cell>
          <cell r="AY122">
            <v>5649</v>
          </cell>
          <cell r="AZ122">
            <v>14151</v>
          </cell>
          <cell r="BA122">
            <v>646</v>
          </cell>
          <cell r="BB122">
            <v>20447</v>
          </cell>
          <cell r="BC122">
            <v>68714</v>
          </cell>
          <cell r="BD122">
            <v>12728</v>
          </cell>
          <cell r="BE122">
            <v>9993</v>
          </cell>
          <cell r="BF122">
            <v>2735</v>
          </cell>
          <cell r="BG122">
            <v>81443</v>
          </cell>
          <cell r="BH122">
            <v>24377</v>
          </cell>
          <cell r="BI122">
            <v>29268</v>
          </cell>
          <cell r="BJ122">
            <v>7359</v>
          </cell>
          <cell r="BK122">
            <v>-237</v>
          </cell>
          <cell r="BL122">
            <v>0</v>
          </cell>
          <cell r="BM122">
            <v>36390</v>
          </cell>
          <cell r="BN122">
            <v>60767</v>
          </cell>
          <cell r="BO122">
            <v>13896</v>
          </cell>
          <cell r="BP122">
            <v>0</v>
          </cell>
          <cell r="BQ122">
            <v>13896</v>
          </cell>
          <cell r="BR122">
            <v>74663</v>
          </cell>
          <cell r="BS122">
            <v>19024</v>
          </cell>
          <cell r="BT122">
            <v>9228</v>
          </cell>
          <cell r="BU122">
            <v>-1405</v>
          </cell>
          <cell r="BV122">
            <v>21388</v>
          </cell>
          <cell r="BW122">
            <v>0</v>
          </cell>
          <cell r="BX122">
            <v>48234</v>
          </cell>
          <cell r="BY122">
            <v>48234</v>
          </cell>
          <cell r="BZ122">
            <v>5479</v>
          </cell>
          <cell r="CA122">
            <v>0</v>
          </cell>
          <cell r="CB122">
            <v>5479</v>
          </cell>
          <cell r="CC122">
            <v>14076</v>
          </cell>
          <cell r="CD122">
            <v>783</v>
          </cell>
          <cell r="CE122">
            <v>20338</v>
          </cell>
          <cell r="CF122">
            <v>68572</v>
          </cell>
          <cell r="CG122">
            <v>6091</v>
          </cell>
          <cell r="CH122">
            <v>3356</v>
          </cell>
          <cell r="CI122">
            <v>2735</v>
          </cell>
          <cell r="CJ122">
            <v>74663</v>
          </cell>
        </row>
        <row r="123">
          <cell r="A123">
            <v>42614</v>
          </cell>
          <cell r="B123">
            <v>24501</v>
          </cell>
          <cell r="C123">
            <v>28846</v>
          </cell>
          <cell r="D123">
            <v>12799</v>
          </cell>
          <cell r="E123">
            <v>1597</v>
          </cell>
          <cell r="F123">
            <v>0</v>
          </cell>
          <cell r="G123">
            <v>43242</v>
          </cell>
          <cell r="H123">
            <v>67743</v>
          </cell>
          <cell r="I123">
            <v>13998</v>
          </cell>
          <cell r="J123">
            <v>0</v>
          </cell>
          <cell r="K123">
            <v>13998</v>
          </cell>
          <cell r="L123">
            <v>81742</v>
          </cell>
          <cell r="M123">
            <v>18711</v>
          </cell>
          <cell r="N123">
            <v>8407</v>
          </cell>
          <cell r="O123">
            <v>296</v>
          </cell>
          <cell r="P123">
            <v>21523</v>
          </cell>
          <cell r="Q123">
            <v>0</v>
          </cell>
          <cell r="R123">
            <v>48936</v>
          </cell>
          <cell r="S123">
            <v>48936</v>
          </cell>
          <cell r="T123">
            <v>6189</v>
          </cell>
          <cell r="U123">
            <v>0</v>
          </cell>
          <cell r="V123">
            <v>6189</v>
          </cell>
          <cell r="W123">
            <v>13832</v>
          </cell>
          <cell r="X123">
            <v>622</v>
          </cell>
          <cell r="Y123">
            <v>20643</v>
          </cell>
          <cell r="Z123">
            <v>69579</v>
          </cell>
          <cell r="AA123">
            <v>12163</v>
          </cell>
          <cell r="AB123">
            <v>9418</v>
          </cell>
          <cell r="AC123">
            <v>2745</v>
          </cell>
          <cell r="AD123">
            <v>81742</v>
          </cell>
          <cell r="AE123">
            <v>24507</v>
          </cell>
          <cell r="AF123">
            <v>28616</v>
          </cell>
          <cell r="AG123">
            <v>13181</v>
          </cell>
          <cell r="AH123">
            <v>1552</v>
          </cell>
          <cell r="AI123">
            <v>0</v>
          </cell>
          <cell r="AJ123">
            <v>43349</v>
          </cell>
          <cell r="AK123">
            <v>67855</v>
          </cell>
          <cell r="AL123">
            <v>13993</v>
          </cell>
          <cell r="AM123">
            <v>0</v>
          </cell>
          <cell r="AN123">
            <v>13993</v>
          </cell>
          <cell r="AO123">
            <v>81848</v>
          </cell>
          <cell r="AP123">
            <v>18614</v>
          </cell>
          <cell r="AQ123">
            <v>9097</v>
          </cell>
          <cell r="AR123">
            <v>-2001</v>
          </cell>
          <cell r="AS123">
            <v>21522</v>
          </cell>
          <cell r="AT123">
            <v>0</v>
          </cell>
          <cell r="AU123">
            <v>47231</v>
          </cell>
          <cell r="AV123">
            <v>47231</v>
          </cell>
          <cell r="AW123">
            <v>5754</v>
          </cell>
          <cell r="AX123">
            <v>0</v>
          </cell>
          <cell r="AY123">
            <v>5754</v>
          </cell>
          <cell r="AZ123">
            <v>13827</v>
          </cell>
          <cell r="BA123">
            <v>607</v>
          </cell>
          <cell r="BB123">
            <v>20188</v>
          </cell>
          <cell r="BC123">
            <v>67420</v>
          </cell>
          <cell r="BD123">
            <v>14428</v>
          </cell>
          <cell r="BE123">
            <v>11687</v>
          </cell>
          <cell r="BF123">
            <v>2742</v>
          </cell>
          <cell r="BG123">
            <v>81848</v>
          </cell>
          <cell r="BH123">
            <v>24484</v>
          </cell>
          <cell r="BI123">
            <v>28564</v>
          </cell>
          <cell r="BJ123">
            <v>18940</v>
          </cell>
          <cell r="BK123">
            <v>632</v>
          </cell>
          <cell r="BL123">
            <v>0</v>
          </cell>
          <cell r="BM123">
            <v>48136</v>
          </cell>
          <cell r="BN123">
            <v>72620</v>
          </cell>
          <cell r="BO123">
            <v>13993</v>
          </cell>
          <cell r="BP123">
            <v>0</v>
          </cell>
          <cell r="BQ123">
            <v>13993</v>
          </cell>
          <cell r="BR123">
            <v>86613</v>
          </cell>
          <cell r="BS123">
            <v>18530</v>
          </cell>
          <cell r="BT123">
            <v>9019</v>
          </cell>
          <cell r="BU123">
            <v>-2149</v>
          </cell>
          <cell r="BV123">
            <v>21522</v>
          </cell>
          <cell r="BW123">
            <v>0</v>
          </cell>
          <cell r="BX123">
            <v>46923</v>
          </cell>
          <cell r="BY123">
            <v>46923</v>
          </cell>
          <cell r="BZ123">
            <v>5819</v>
          </cell>
          <cell r="CA123">
            <v>0</v>
          </cell>
          <cell r="CB123">
            <v>5819</v>
          </cell>
          <cell r="CC123">
            <v>13709</v>
          </cell>
          <cell r="CD123">
            <v>545</v>
          </cell>
          <cell r="CE123">
            <v>20073</v>
          </cell>
          <cell r="CF123">
            <v>66996</v>
          </cell>
          <cell r="CG123">
            <v>19617</v>
          </cell>
          <cell r="CH123">
            <v>16875</v>
          </cell>
          <cell r="CI123">
            <v>2742</v>
          </cell>
          <cell r="CJ123">
            <v>86613</v>
          </cell>
        </row>
        <row r="124">
          <cell r="A124">
            <v>42705</v>
          </cell>
          <cell r="B124">
            <v>24984</v>
          </cell>
          <cell r="C124">
            <v>28646</v>
          </cell>
          <cell r="D124">
            <v>12876</v>
          </cell>
          <cell r="E124">
            <v>1826</v>
          </cell>
          <cell r="F124">
            <v>0</v>
          </cell>
          <cell r="G124">
            <v>43349</v>
          </cell>
          <cell r="H124">
            <v>68332</v>
          </cell>
          <cell r="I124">
            <v>14110</v>
          </cell>
          <cell r="J124">
            <v>0</v>
          </cell>
          <cell r="K124">
            <v>14110</v>
          </cell>
          <cell r="L124">
            <v>82442</v>
          </cell>
          <cell r="M124">
            <v>18546</v>
          </cell>
          <cell r="N124">
            <v>8259</v>
          </cell>
          <cell r="O124">
            <v>760</v>
          </cell>
          <cell r="P124">
            <v>21657</v>
          </cell>
          <cell r="Q124">
            <v>0</v>
          </cell>
          <cell r="R124">
            <v>49222</v>
          </cell>
          <cell r="S124">
            <v>49222</v>
          </cell>
          <cell r="T124">
            <v>6629</v>
          </cell>
          <cell r="U124">
            <v>0</v>
          </cell>
          <cell r="V124">
            <v>6629</v>
          </cell>
          <cell r="W124">
            <v>13718</v>
          </cell>
          <cell r="X124">
            <v>674</v>
          </cell>
          <cell r="Y124">
            <v>21021</v>
          </cell>
          <cell r="Z124">
            <v>70243</v>
          </cell>
          <cell r="AA124">
            <v>12200</v>
          </cell>
          <cell r="AB124">
            <v>9440</v>
          </cell>
          <cell r="AC124">
            <v>2760</v>
          </cell>
          <cell r="AD124">
            <v>82442</v>
          </cell>
          <cell r="AE124">
            <v>24895</v>
          </cell>
          <cell r="AF124">
            <v>28520</v>
          </cell>
          <cell r="AG124">
            <v>12643</v>
          </cell>
          <cell r="AH124">
            <v>2044</v>
          </cell>
          <cell r="AI124">
            <v>0</v>
          </cell>
          <cell r="AJ124">
            <v>43207</v>
          </cell>
          <cell r="AK124">
            <v>68102</v>
          </cell>
          <cell r="AL124">
            <v>14109</v>
          </cell>
          <cell r="AM124">
            <v>0</v>
          </cell>
          <cell r="AN124">
            <v>14109</v>
          </cell>
          <cell r="AO124">
            <v>82211</v>
          </cell>
          <cell r="AP124">
            <v>18482</v>
          </cell>
          <cell r="AQ124">
            <v>7990</v>
          </cell>
          <cell r="AR124">
            <v>659</v>
          </cell>
          <cell r="AS124">
            <v>21661</v>
          </cell>
          <cell r="AT124">
            <v>0</v>
          </cell>
          <cell r="AU124">
            <v>48792</v>
          </cell>
          <cell r="AV124">
            <v>48792</v>
          </cell>
          <cell r="AW124">
            <v>7292</v>
          </cell>
          <cell r="AX124">
            <v>0</v>
          </cell>
          <cell r="AY124">
            <v>7292</v>
          </cell>
          <cell r="AZ124">
            <v>13613</v>
          </cell>
          <cell r="BA124">
            <v>619</v>
          </cell>
          <cell r="BB124">
            <v>21523</v>
          </cell>
          <cell r="BC124">
            <v>70315</v>
          </cell>
          <cell r="BD124">
            <v>11896</v>
          </cell>
          <cell r="BE124">
            <v>9137</v>
          </cell>
          <cell r="BF124">
            <v>2759</v>
          </cell>
          <cell r="BG124">
            <v>82211</v>
          </cell>
          <cell r="BH124">
            <v>24991</v>
          </cell>
          <cell r="BI124">
            <v>28594</v>
          </cell>
          <cell r="BJ124">
            <v>7376</v>
          </cell>
          <cell r="BK124">
            <v>3795</v>
          </cell>
          <cell r="BL124">
            <v>0</v>
          </cell>
          <cell r="BM124">
            <v>39766</v>
          </cell>
          <cell r="BN124">
            <v>64756</v>
          </cell>
          <cell r="BO124">
            <v>14109</v>
          </cell>
          <cell r="BP124">
            <v>0</v>
          </cell>
          <cell r="BQ124">
            <v>14109</v>
          </cell>
          <cell r="BR124">
            <v>78866</v>
          </cell>
          <cell r="BS124">
            <v>18580</v>
          </cell>
          <cell r="BT124">
            <v>9729</v>
          </cell>
          <cell r="BU124">
            <v>1373</v>
          </cell>
          <cell r="BV124">
            <v>21661</v>
          </cell>
          <cell r="BW124">
            <v>0</v>
          </cell>
          <cell r="BX124">
            <v>51344</v>
          </cell>
          <cell r="BY124">
            <v>51344</v>
          </cell>
          <cell r="BZ124">
            <v>7304</v>
          </cell>
          <cell r="CA124">
            <v>0</v>
          </cell>
          <cell r="CB124">
            <v>7304</v>
          </cell>
          <cell r="CC124">
            <v>13738</v>
          </cell>
          <cell r="CD124">
            <v>629</v>
          </cell>
          <cell r="CE124">
            <v>21671</v>
          </cell>
          <cell r="CF124">
            <v>73014</v>
          </cell>
          <cell r="CG124">
            <v>5851</v>
          </cell>
          <cell r="CH124">
            <v>3092</v>
          </cell>
          <cell r="CI124">
            <v>2759</v>
          </cell>
          <cell r="CJ124">
            <v>78866</v>
          </cell>
        </row>
        <row r="125">
          <cell r="A125">
            <v>42795</v>
          </cell>
          <cell r="B125">
            <v>25624</v>
          </cell>
          <cell r="C125">
            <v>28527</v>
          </cell>
          <cell r="D125">
            <v>13074</v>
          </cell>
          <cell r="E125">
            <v>1975</v>
          </cell>
          <cell r="F125">
            <v>0</v>
          </cell>
          <cell r="G125">
            <v>43576</v>
          </cell>
          <cell r="H125">
            <v>69200</v>
          </cell>
          <cell r="I125">
            <v>14234</v>
          </cell>
          <cell r="J125">
            <v>0</v>
          </cell>
          <cell r="K125">
            <v>14234</v>
          </cell>
          <cell r="L125">
            <v>83434</v>
          </cell>
          <cell r="M125">
            <v>18550</v>
          </cell>
          <cell r="N125">
            <v>8101</v>
          </cell>
          <cell r="O125">
            <v>953</v>
          </cell>
          <cell r="P125">
            <v>21788</v>
          </cell>
          <cell r="Q125">
            <v>0</v>
          </cell>
          <cell r="R125">
            <v>49392</v>
          </cell>
          <cell r="S125">
            <v>49392</v>
          </cell>
          <cell r="T125">
            <v>7014</v>
          </cell>
          <cell r="U125">
            <v>0</v>
          </cell>
          <cell r="V125">
            <v>7014</v>
          </cell>
          <cell r="W125">
            <v>13705</v>
          </cell>
          <cell r="X125">
            <v>723</v>
          </cell>
          <cell r="Y125">
            <v>21442</v>
          </cell>
          <cell r="Z125">
            <v>70834</v>
          </cell>
          <cell r="AA125">
            <v>12600</v>
          </cell>
          <cell r="AB125">
            <v>9820</v>
          </cell>
          <cell r="AC125">
            <v>2780</v>
          </cell>
          <cell r="AD125">
            <v>83434</v>
          </cell>
          <cell r="AE125">
            <v>25638</v>
          </cell>
          <cell r="AF125">
            <v>28871</v>
          </cell>
          <cell r="AG125">
            <v>12949</v>
          </cell>
          <cell r="AH125">
            <v>1938</v>
          </cell>
          <cell r="AI125">
            <v>0</v>
          </cell>
          <cell r="AJ125">
            <v>43758</v>
          </cell>
          <cell r="AK125">
            <v>69396</v>
          </cell>
          <cell r="AL125">
            <v>14234</v>
          </cell>
          <cell r="AM125">
            <v>0</v>
          </cell>
          <cell r="AN125">
            <v>14234</v>
          </cell>
          <cell r="AO125">
            <v>83629</v>
          </cell>
          <cell r="AP125">
            <v>18575</v>
          </cell>
          <cell r="AQ125">
            <v>7663</v>
          </cell>
          <cell r="AR125">
            <v>996</v>
          </cell>
          <cell r="AS125">
            <v>21786</v>
          </cell>
          <cell r="AT125">
            <v>0</v>
          </cell>
          <cell r="AU125">
            <v>49021</v>
          </cell>
          <cell r="AV125">
            <v>49021</v>
          </cell>
          <cell r="AW125">
            <v>6951</v>
          </cell>
          <cell r="AX125">
            <v>0</v>
          </cell>
          <cell r="AY125">
            <v>6951</v>
          </cell>
          <cell r="AZ125">
            <v>15934</v>
          </cell>
          <cell r="BA125">
            <v>770</v>
          </cell>
          <cell r="BB125">
            <v>23655</v>
          </cell>
          <cell r="BC125">
            <v>72676</v>
          </cell>
          <cell r="BD125">
            <v>10954</v>
          </cell>
          <cell r="BE125">
            <v>8174</v>
          </cell>
          <cell r="BF125">
            <v>2780</v>
          </cell>
          <cell r="BG125">
            <v>83629</v>
          </cell>
          <cell r="BH125">
            <v>25386</v>
          </cell>
          <cell r="BI125">
            <v>28878</v>
          </cell>
          <cell r="BJ125">
            <v>18137</v>
          </cell>
          <cell r="BK125">
            <v>2781</v>
          </cell>
          <cell r="BL125">
            <v>0</v>
          </cell>
          <cell r="BM125">
            <v>49796</v>
          </cell>
          <cell r="BN125">
            <v>75182</v>
          </cell>
          <cell r="BO125">
            <v>14234</v>
          </cell>
          <cell r="BP125">
            <v>0</v>
          </cell>
          <cell r="BQ125">
            <v>14234</v>
          </cell>
          <cell r="BR125">
            <v>89416</v>
          </cell>
          <cell r="BS125">
            <v>18597</v>
          </cell>
          <cell r="BT125">
            <v>5097</v>
          </cell>
          <cell r="BU125">
            <v>1658</v>
          </cell>
          <cell r="BV125">
            <v>21786</v>
          </cell>
          <cell r="BW125">
            <v>0</v>
          </cell>
          <cell r="BX125">
            <v>47138</v>
          </cell>
          <cell r="BY125">
            <v>47138</v>
          </cell>
          <cell r="BZ125">
            <v>7089</v>
          </cell>
          <cell r="CA125">
            <v>0</v>
          </cell>
          <cell r="CB125">
            <v>7089</v>
          </cell>
          <cell r="CC125">
            <v>16012</v>
          </cell>
          <cell r="CD125">
            <v>667</v>
          </cell>
          <cell r="CE125">
            <v>23768</v>
          </cell>
          <cell r="CF125">
            <v>70907</v>
          </cell>
          <cell r="CG125">
            <v>18509</v>
          </cell>
          <cell r="CH125">
            <v>15729</v>
          </cell>
          <cell r="CI125">
            <v>2780</v>
          </cell>
          <cell r="CJ125">
            <v>89416</v>
          </cell>
        </row>
        <row r="126">
          <cell r="A126">
            <v>42887</v>
          </cell>
          <cell r="B126">
            <v>26192</v>
          </cell>
          <cell r="C126">
            <v>28447</v>
          </cell>
          <cell r="D126">
            <v>13604</v>
          </cell>
          <cell r="E126">
            <v>1875</v>
          </cell>
          <cell r="F126">
            <v>0</v>
          </cell>
          <cell r="G126">
            <v>43925</v>
          </cell>
          <cell r="H126">
            <v>70117</v>
          </cell>
          <cell r="I126">
            <v>14370</v>
          </cell>
          <cell r="J126">
            <v>0</v>
          </cell>
          <cell r="K126">
            <v>14370</v>
          </cell>
          <cell r="L126">
            <v>84487</v>
          </cell>
          <cell r="M126">
            <v>18623</v>
          </cell>
          <cell r="N126">
            <v>8153</v>
          </cell>
          <cell r="O126">
            <v>879</v>
          </cell>
          <cell r="P126">
            <v>21918</v>
          </cell>
          <cell r="Q126">
            <v>0</v>
          </cell>
          <cell r="R126">
            <v>49572</v>
          </cell>
          <cell r="S126">
            <v>49572</v>
          </cell>
          <cell r="T126">
            <v>7409</v>
          </cell>
          <cell r="U126">
            <v>0</v>
          </cell>
          <cell r="V126">
            <v>7409</v>
          </cell>
          <cell r="W126">
            <v>13887</v>
          </cell>
          <cell r="X126">
            <v>741</v>
          </cell>
          <cell r="Y126">
            <v>22036</v>
          </cell>
          <cell r="Z126">
            <v>71609</v>
          </cell>
          <cell r="AA126">
            <v>12878</v>
          </cell>
          <cell r="AB126">
            <v>10072</v>
          </cell>
          <cell r="AC126">
            <v>2806</v>
          </cell>
          <cell r="AD126">
            <v>84487</v>
          </cell>
          <cell r="AE126">
            <v>26305</v>
          </cell>
          <cell r="AF126">
            <v>28174</v>
          </cell>
          <cell r="AG126">
            <v>13877</v>
          </cell>
          <cell r="AH126">
            <v>1715</v>
          </cell>
          <cell r="AI126">
            <v>0</v>
          </cell>
          <cell r="AJ126">
            <v>43766</v>
          </cell>
          <cell r="AK126">
            <v>70071</v>
          </cell>
          <cell r="AL126">
            <v>14366</v>
          </cell>
          <cell r="AM126">
            <v>0</v>
          </cell>
          <cell r="AN126">
            <v>14366</v>
          </cell>
          <cell r="AO126">
            <v>84437</v>
          </cell>
          <cell r="AP126">
            <v>18646</v>
          </cell>
          <cell r="AQ126">
            <v>8558</v>
          </cell>
          <cell r="AR126">
            <v>1221</v>
          </cell>
          <cell r="AS126">
            <v>21918</v>
          </cell>
          <cell r="AT126">
            <v>0</v>
          </cell>
          <cell r="AU126">
            <v>50343</v>
          </cell>
          <cell r="AV126">
            <v>50343</v>
          </cell>
          <cell r="AW126">
            <v>6860</v>
          </cell>
          <cell r="AX126">
            <v>0</v>
          </cell>
          <cell r="AY126">
            <v>6860</v>
          </cell>
          <cell r="AZ126">
            <v>13863</v>
          </cell>
          <cell r="BA126">
            <v>777</v>
          </cell>
          <cell r="BB126">
            <v>21500</v>
          </cell>
          <cell r="BC126">
            <v>71843</v>
          </cell>
          <cell r="BD126">
            <v>12594</v>
          </cell>
          <cell r="BE126">
            <v>9789</v>
          </cell>
          <cell r="BF126">
            <v>2805</v>
          </cell>
          <cell r="BG126">
            <v>84437</v>
          </cell>
          <cell r="BH126">
            <v>26490</v>
          </cell>
          <cell r="BI126">
            <v>28151</v>
          </cell>
          <cell r="BJ126">
            <v>8041</v>
          </cell>
          <cell r="BK126">
            <v>-19</v>
          </cell>
          <cell r="BL126">
            <v>0</v>
          </cell>
          <cell r="BM126">
            <v>36174</v>
          </cell>
          <cell r="BN126">
            <v>62664</v>
          </cell>
          <cell r="BO126">
            <v>14366</v>
          </cell>
          <cell r="BP126">
            <v>0</v>
          </cell>
          <cell r="BQ126">
            <v>14366</v>
          </cell>
          <cell r="BR126">
            <v>77030</v>
          </cell>
          <cell r="BS126">
            <v>18614</v>
          </cell>
          <cell r="BT126">
            <v>9964</v>
          </cell>
          <cell r="BU126">
            <v>-21</v>
          </cell>
          <cell r="BV126">
            <v>21918</v>
          </cell>
          <cell r="BW126">
            <v>0</v>
          </cell>
          <cell r="BX126">
            <v>50474</v>
          </cell>
          <cell r="BY126">
            <v>50474</v>
          </cell>
          <cell r="BZ126">
            <v>6627</v>
          </cell>
          <cell r="CA126">
            <v>0</v>
          </cell>
          <cell r="CB126">
            <v>6627</v>
          </cell>
          <cell r="CC126">
            <v>13788</v>
          </cell>
          <cell r="CD126">
            <v>955</v>
          </cell>
          <cell r="CE126">
            <v>21370</v>
          </cell>
          <cell r="CF126">
            <v>71844</v>
          </cell>
          <cell r="CG126">
            <v>5186</v>
          </cell>
          <cell r="CH126">
            <v>2381</v>
          </cell>
          <cell r="CI126">
            <v>2805</v>
          </cell>
          <cell r="CJ126">
            <v>77030</v>
          </cell>
        </row>
        <row r="127">
          <cell r="A127">
            <v>42979</v>
          </cell>
          <cell r="B127">
            <v>26614</v>
          </cell>
          <cell r="C127">
            <v>28345</v>
          </cell>
          <cell r="D127">
            <v>14312</v>
          </cell>
          <cell r="E127">
            <v>1645</v>
          </cell>
          <cell r="F127">
            <v>0</v>
          </cell>
          <cell r="G127">
            <v>44302</v>
          </cell>
          <cell r="H127">
            <v>70916</v>
          </cell>
          <cell r="I127">
            <v>14503</v>
          </cell>
          <cell r="J127">
            <v>0</v>
          </cell>
          <cell r="K127">
            <v>14503</v>
          </cell>
          <cell r="L127">
            <v>85419</v>
          </cell>
          <cell r="M127">
            <v>18637</v>
          </cell>
          <cell r="N127">
            <v>8258</v>
          </cell>
          <cell r="O127">
            <v>819</v>
          </cell>
          <cell r="P127">
            <v>22047</v>
          </cell>
          <cell r="Q127">
            <v>0</v>
          </cell>
          <cell r="R127">
            <v>49761</v>
          </cell>
          <cell r="S127">
            <v>49761</v>
          </cell>
          <cell r="T127">
            <v>7982</v>
          </cell>
          <cell r="U127">
            <v>0</v>
          </cell>
          <cell r="V127">
            <v>7982</v>
          </cell>
          <cell r="W127">
            <v>14100</v>
          </cell>
          <cell r="X127">
            <v>718</v>
          </cell>
          <cell r="Y127">
            <v>22801</v>
          </cell>
          <cell r="Z127">
            <v>72562</v>
          </cell>
          <cell r="AA127">
            <v>12858</v>
          </cell>
          <cell r="AB127">
            <v>10026</v>
          </cell>
          <cell r="AC127">
            <v>2832</v>
          </cell>
          <cell r="AD127">
            <v>85419</v>
          </cell>
          <cell r="AE127">
            <v>26654</v>
          </cell>
          <cell r="AF127">
            <v>28409</v>
          </cell>
          <cell r="AG127">
            <v>13906</v>
          </cell>
          <cell r="AH127">
            <v>2028</v>
          </cell>
          <cell r="AI127">
            <v>0</v>
          </cell>
          <cell r="AJ127">
            <v>44343</v>
          </cell>
          <cell r="AK127">
            <v>70998</v>
          </cell>
          <cell r="AL127">
            <v>14504</v>
          </cell>
          <cell r="AM127">
            <v>0</v>
          </cell>
          <cell r="AN127">
            <v>14504</v>
          </cell>
          <cell r="AO127">
            <v>85502</v>
          </cell>
          <cell r="AP127">
            <v>18678</v>
          </cell>
          <cell r="AQ127">
            <v>8292</v>
          </cell>
          <cell r="AR127">
            <v>219</v>
          </cell>
          <cell r="AS127">
            <v>22047</v>
          </cell>
          <cell r="AT127">
            <v>0</v>
          </cell>
          <cell r="AU127">
            <v>49236</v>
          </cell>
          <cell r="AV127">
            <v>49236</v>
          </cell>
          <cell r="AW127">
            <v>8395</v>
          </cell>
          <cell r="AX127">
            <v>0</v>
          </cell>
          <cell r="AY127">
            <v>8395</v>
          </cell>
          <cell r="AZ127">
            <v>14109</v>
          </cell>
          <cell r="BA127">
            <v>665</v>
          </cell>
          <cell r="BB127">
            <v>23169</v>
          </cell>
          <cell r="BC127">
            <v>72405</v>
          </cell>
          <cell r="BD127">
            <v>13096</v>
          </cell>
          <cell r="BE127">
            <v>10263</v>
          </cell>
          <cell r="BF127">
            <v>2833</v>
          </cell>
          <cell r="BG127">
            <v>85502</v>
          </cell>
          <cell r="BH127">
            <v>26619</v>
          </cell>
          <cell r="BI127">
            <v>28345</v>
          </cell>
          <cell r="BJ127">
            <v>19962</v>
          </cell>
          <cell r="BK127">
            <v>1148</v>
          </cell>
          <cell r="BL127">
            <v>0</v>
          </cell>
          <cell r="BM127">
            <v>49454</v>
          </cell>
          <cell r="BN127">
            <v>76073</v>
          </cell>
          <cell r="BO127">
            <v>14504</v>
          </cell>
          <cell r="BP127">
            <v>0</v>
          </cell>
          <cell r="BQ127">
            <v>14504</v>
          </cell>
          <cell r="BR127">
            <v>90577</v>
          </cell>
          <cell r="BS127">
            <v>18588</v>
          </cell>
          <cell r="BT127">
            <v>7163</v>
          </cell>
          <cell r="BU127">
            <v>57</v>
          </cell>
          <cell r="BV127">
            <v>22047</v>
          </cell>
          <cell r="BW127">
            <v>0</v>
          </cell>
          <cell r="BX127">
            <v>47855</v>
          </cell>
          <cell r="BY127">
            <v>47855</v>
          </cell>
          <cell r="BZ127">
            <v>8499</v>
          </cell>
          <cell r="CA127">
            <v>0</v>
          </cell>
          <cell r="CB127">
            <v>8499</v>
          </cell>
          <cell r="CC127">
            <v>13983</v>
          </cell>
          <cell r="CD127">
            <v>590</v>
          </cell>
          <cell r="CE127">
            <v>23072</v>
          </cell>
          <cell r="CF127">
            <v>70926</v>
          </cell>
          <cell r="CG127">
            <v>19651</v>
          </cell>
          <cell r="CH127">
            <v>16817</v>
          </cell>
          <cell r="CI127">
            <v>2833</v>
          </cell>
          <cell r="CJ127">
            <v>90577</v>
          </cell>
        </row>
        <row r="128">
          <cell r="A128">
            <v>43070</v>
          </cell>
          <cell r="B128">
            <v>26926</v>
          </cell>
          <cell r="C128">
            <v>28278</v>
          </cell>
          <cell r="D128">
            <v>14892</v>
          </cell>
          <cell r="E128">
            <v>1415</v>
          </cell>
          <cell r="F128">
            <v>0</v>
          </cell>
          <cell r="G128">
            <v>44585</v>
          </cell>
          <cell r="H128">
            <v>71511</v>
          </cell>
          <cell r="I128">
            <v>14611</v>
          </cell>
          <cell r="J128">
            <v>0</v>
          </cell>
          <cell r="K128">
            <v>14611</v>
          </cell>
          <cell r="L128">
            <v>86122</v>
          </cell>
          <cell r="M128">
            <v>18611</v>
          </cell>
          <cell r="N128">
            <v>8193</v>
          </cell>
          <cell r="O128">
            <v>820</v>
          </cell>
          <cell r="P128">
            <v>22176</v>
          </cell>
          <cell r="Q128">
            <v>0</v>
          </cell>
          <cell r="R128">
            <v>49801</v>
          </cell>
          <cell r="S128">
            <v>49801</v>
          </cell>
          <cell r="T128">
            <v>8673</v>
          </cell>
          <cell r="U128">
            <v>0</v>
          </cell>
          <cell r="V128">
            <v>8673</v>
          </cell>
          <cell r="W128">
            <v>14306</v>
          </cell>
          <cell r="X128">
            <v>692</v>
          </cell>
          <cell r="Y128">
            <v>23671</v>
          </cell>
          <cell r="Z128">
            <v>73472</v>
          </cell>
          <cell r="AA128">
            <v>12650</v>
          </cell>
          <cell r="AB128">
            <v>9792</v>
          </cell>
          <cell r="AC128">
            <v>2858</v>
          </cell>
          <cell r="AD128">
            <v>86122</v>
          </cell>
          <cell r="AE128">
            <v>26813</v>
          </cell>
          <cell r="AF128">
            <v>28343</v>
          </cell>
          <cell r="AG128">
            <v>15353</v>
          </cell>
          <cell r="AH128">
            <v>1031</v>
          </cell>
          <cell r="AI128">
            <v>0</v>
          </cell>
          <cell r="AJ128">
            <v>44726</v>
          </cell>
          <cell r="AK128">
            <v>71540</v>
          </cell>
          <cell r="AL128">
            <v>14636</v>
          </cell>
          <cell r="AM128">
            <v>0</v>
          </cell>
          <cell r="AN128">
            <v>14636</v>
          </cell>
          <cell r="AO128">
            <v>86176</v>
          </cell>
          <cell r="AP128">
            <v>18556</v>
          </cell>
          <cell r="AQ128">
            <v>7984</v>
          </cell>
          <cell r="AR128">
            <v>1195</v>
          </cell>
          <cell r="AS128">
            <v>22178</v>
          </cell>
          <cell r="AT128">
            <v>0</v>
          </cell>
          <cell r="AU128">
            <v>49913</v>
          </cell>
          <cell r="AV128">
            <v>49913</v>
          </cell>
          <cell r="AW128">
            <v>8669</v>
          </cell>
          <cell r="AX128">
            <v>0</v>
          </cell>
          <cell r="AY128">
            <v>8669</v>
          </cell>
          <cell r="AZ128">
            <v>14335</v>
          </cell>
          <cell r="BA128">
            <v>703</v>
          </cell>
          <cell r="BB128">
            <v>23708</v>
          </cell>
          <cell r="BC128">
            <v>73621</v>
          </cell>
          <cell r="BD128">
            <v>12554</v>
          </cell>
          <cell r="BE128">
            <v>9696</v>
          </cell>
          <cell r="BF128">
            <v>2858</v>
          </cell>
          <cell r="BG128">
            <v>86176</v>
          </cell>
          <cell r="BH128">
            <v>26932</v>
          </cell>
          <cell r="BI128">
            <v>28421</v>
          </cell>
          <cell r="BJ128">
            <v>8981</v>
          </cell>
          <cell r="BK128">
            <v>2828</v>
          </cell>
          <cell r="BL128">
            <v>0</v>
          </cell>
          <cell r="BM128">
            <v>40231</v>
          </cell>
          <cell r="BN128">
            <v>67162</v>
          </cell>
          <cell r="BO128">
            <v>14636</v>
          </cell>
          <cell r="BP128">
            <v>0</v>
          </cell>
          <cell r="BQ128">
            <v>14636</v>
          </cell>
          <cell r="BR128">
            <v>81799</v>
          </cell>
          <cell r="BS128">
            <v>18653</v>
          </cell>
          <cell r="BT128">
            <v>10160</v>
          </cell>
          <cell r="BU128">
            <v>1968</v>
          </cell>
          <cell r="BV128">
            <v>22178</v>
          </cell>
          <cell r="BW128">
            <v>0</v>
          </cell>
          <cell r="BX128">
            <v>52959</v>
          </cell>
          <cell r="BY128">
            <v>52959</v>
          </cell>
          <cell r="BZ128">
            <v>8679</v>
          </cell>
          <cell r="CA128">
            <v>0</v>
          </cell>
          <cell r="CB128">
            <v>8679</v>
          </cell>
          <cell r="CC128">
            <v>14475</v>
          </cell>
          <cell r="CD128">
            <v>714</v>
          </cell>
          <cell r="CE128">
            <v>23868</v>
          </cell>
          <cell r="CF128">
            <v>76828</v>
          </cell>
          <cell r="CG128">
            <v>4971</v>
          </cell>
          <cell r="CH128">
            <v>2113</v>
          </cell>
          <cell r="CI128">
            <v>2858</v>
          </cell>
          <cell r="CJ128">
            <v>81799</v>
          </cell>
        </row>
      </sheetData>
      <sheetData sheetId="18">
        <row r="1">
          <cell r="B1" t="str">
            <v>Operating Surplus</v>
          </cell>
          <cell r="C1" t="str">
            <v>Property income receivable - Interest ;</v>
          </cell>
          <cell r="D1" t="str">
            <v>Property income receivable - Dividends ;</v>
          </cell>
          <cell r="E1" t="str">
            <v>Property income receivable - Reinvested earnings ;</v>
          </cell>
          <cell r="F1" t="str">
            <v>Property income receivable - Property income attributed to insurance policyholders ;</v>
          </cell>
          <cell r="G1" t="str">
            <v>Property income receivable - Rent on natural assets ;</v>
          </cell>
          <cell r="H1" t="str">
            <v>Total property income receivable ;</v>
          </cell>
          <cell r="I1" t="str">
            <v>Total primary income receivable ;</v>
          </cell>
          <cell r="J1" t="str">
            <v>Secondary income receivable - Non-life insurance claims ;</v>
          </cell>
          <cell r="K1" t="str">
            <v>Secondary income receivable - Other current transfers ;</v>
          </cell>
          <cell r="L1" t="str">
            <v>Total secondary income receivable ;</v>
          </cell>
          <cell r="M1" t="str">
            <v>TOTAL GROSS INCOME ;</v>
          </cell>
          <cell r="N1" t="str">
            <v>Property income payable - Interest ;</v>
          </cell>
          <cell r="O1" t="str">
            <v>Property income payable - Dividends ;</v>
          </cell>
          <cell r="P1" t="str">
            <v>Property income payable - Reinvested earnings ;</v>
          </cell>
          <cell r="Q1" t="str">
            <v>Property income payable - Rent on natural assets ;</v>
          </cell>
          <cell r="R1" t="str">
            <v>Total property income payable ;</v>
          </cell>
          <cell r="S1" t="str">
            <v>Total primary income payable ;</v>
          </cell>
          <cell r="T1" t="str">
            <v>Secondary income payable - Current taxes on income, wealth, etc - Income taxes ;</v>
          </cell>
          <cell r="U1" t="str">
            <v>Secondary income payable - Current taxes on income, wealth, etc - Other ;</v>
          </cell>
          <cell r="V1" t="str">
            <v>Secondary income payable - Current taxes on income, wealth, etc - Total ;</v>
          </cell>
          <cell r="W1" t="str">
            <v>Secondary income payable - Net non-life insurance premiums ;</v>
          </cell>
          <cell r="X1" t="str">
            <v>Secondary income payable - Current transfers to non-profit institutions ;</v>
          </cell>
          <cell r="Y1" t="str">
            <v>Secondary income payable - Other current transfers ;</v>
          </cell>
          <cell r="Z1" t="str">
            <v>Total secondary income payable ;</v>
          </cell>
          <cell r="AA1" t="str">
            <v>Total income payable ;</v>
          </cell>
          <cell r="AB1" t="str">
            <v>Gross disposable income ;</v>
          </cell>
          <cell r="AC1" t="str">
            <v>Net saving ;</v>
          </cell>
          <cell r="AD1" t="str">
            <v>Consumption of fixed capital ;</v>
          </cell>
          <cell r="AE1" t="str">
            <v>TOTAL USE OF GROSS INCOME ;</v>
          </cell>
          <cell r="AF1" t="str">
            <v>Gross operating surplus ;</v>
          </cell>
          <cell r="AG1" t="str">
            <v>Property income receivable - Interest ;</v>
          </cell>
          <cell r="AH1" t="str">
            <v>Property income receivable - Dividends ;</v>
          </cell>
          <cell r="AI1" t="str">
            <v>Property income receivable - Reinvested earnings ;</v>
          </cell>
          <cell r="AJ1" t="str">
            <v>Property income receivable - Property income attributed to insurance policyholders ;</v>
          </cell>
          <cell r="AK1" t="str">
            <v>Property income receivable - Rent on natural assets ;</v>
          </cell>
          <cell r="AL1" t="str">
            <v>Total property income receivable ;</v>
          </cell>
          <cell r="AM1" t="str">
            <v>Total primary income receivable ;</v>
          </cell>
          <cell r="AN1" t="str">
            <v>Secondary income receivable - Non-life insurance claims ;</v>
          </cell>
          <cell r="AO1" t="str">
            <v>Secondary income receivable - Other current transfers ;</v>
          </cell>
          <cell r="AP1" t="str">
            <v>Total secondary income receivable ;</v>
          </cell>
          <cell r="AQ1" t="str">
            <v>TOTAL GROSS INCOME ;</v>
          </cell>
          <cell r="AR1" t="str">
            <v>Property income payable - Interest ;</v>
          </cell>
          <cell r="AS1" t="str">
            <v>Property income payable - Dividends ;</v>
          </cell>
          <cell r="AT1" t="str">
            <v>Property income payable - Reinvested earnings ;</v>
          </cell>
          <cell r="AU1" t="str">
            <v>Property income payable - Rent on natural assets ;</v>
          </cell>
          <cell r="AV1" t="str">
            <v>Total property income payable ;</v>
          </cell>
          <cell r="AW1" t="str">
            <v>Total primary income payable ;</v>
          </cell>
          <cell r="AX1" t="str">
            <v>Secondary income payable - Current taxes on income, wealth, etc - Income taxes ;</v>
          </cell>
          <cell r="AY1" t="str">
            <v>Secondary income payable - Current taxes on income, wealth, etc - Other ;</v>
          </cell>
          <cell r="AZ1" t="str">
            <v>Secondary income payable - Current taxes on income, wealth, etc - Total ;</v>
          </cell>
          <cell r="BA1" t="str">
            <v>Secondary income payable - Net non-life insurance premiums ;</v>
          </cell>
          <cell r="BB1" t="str">
            <v>Secondary income payable - Current transfers to non-profit institutions ;</v>
          </cell>
          <cell r="BC1" t="str">
            <v>Secondary income payable - Other current transfers ;</v>
          </cell>
          <cell r="BD1" t="str">
            <v>Total secondary income payable ;</v>
          </cell>
          <cell r="BE1" t="str">
            <v>Total income payable ;</v>
          </cell>
          <cell r="BF1" t="str">
            <v>Gross disposable income ;</v>
          </cell>
          <cell r="BG1" t="str">
            <v>Net saving ;</v>
          </cell>
          <cell r="BH1" t="str">
            <v>Consumption of fixed capital ;</v>
          </cell>
          <cell r="BI1" t="str">
            <v>TOTAL USE OF GROSS INCOME ;</v>
          </cell>
          <cell r="BJ1" t="str">
            <v>Gross operating surplus ;</v>
          </cell>
          <cell r="BK1" t="str">
            <v>Property income receivable - Interest ;</v>
          </cell>
          <cell r="BL1" t="str">
            <v>Property income receivable - Dividends ;</v>
          </cell>
          <cell r="BM1" t="str">
            <v>Property income receivable - Reinvested earnings ;</v>
          </cell>
          <cell r="BN1" t="str">
            <v>Property income receivable - Property income attributed to insurance policyholders ;</v>
          </cell>
          <cell r="BO1" t="str">
            <v>Property income receivable - Rent on natural assets ;</v>
          </cell>
          <cell r="BP1" t="str">
            <v>Total property income receivable ;</v>
          </cell>
          <cell r="BQ1" t="str">
            <v>Total primary income receivable ;</v>
          </cell>
          <cell r="BR1" t="str">
            <v>Secondary income receivable - Non-life insurance claims ;</v>
          </cell>
          <cell r="BS1" t="str">
            <v>Secondary income receivable - Other current transfers ;</v>
          </cell>
          <cell r="BT1" t="str">
            <v>Total secondary income receivable ;</v>
          </cell>
          <cell r="BU1" t="str">
            <v>TOTAL GROSS INCOME ;</v>
          </cell>
          <cell r="BV1" t="str">
            <v>Property income payable - Interest ;</v>
          </cell>
          <cell r="BW1" t="str">
            <v>Property income payable - Dividends ;</v>
          </cell>
          <cell r="BX1" t="str">
            <v>Property income payable - Reinvested earnings ;</v>
          </cell>
          <cell r="BY1" t="str">
            <v>Property income payable - Rent on natural assets ;</v>
          </cell>
          <cell r="BZ1" t="str">
            <v>Total property income payable ;</v>
          </cell>
          <cell r="CA1" t="str">
            <v>Total primary income payable ;</v>
          </cell>
          <cell r="CB1" t="str">
            <v>Secondary income payable - Current taxes on income, wealth, etc - Income taxes ;</v>
          </cell>
          <cell r="CC1" t="str">
            <v>Secondary income payable - Current taxes on income, wealth, etc - Other ;</v>
          </cell>
          <cell r="CD1" t="str">
            <v>Secondary income payable - Current taxes on income, wealth, etc - Total ;</v>
          </cell>
          <cell r="CE1" t="str">
            <v>Secondary income payable - Net non-life insurance premiums ;</v>
          </cell>
          <cell r="CF1" t="str">
            <v>Secondary income payable - Current transfers to non-profit institutions ;</v>
          </cell>
          <cell r="CG1" t="str">
            <v>Secondary income payable - Other current transfers ;</v>
          </cell>
          <cell r="CH1" t="str">
            <v>Total secondary income payable ;</v>
          </cell>
          <cell r="CI1" t="str">
            <v>Total income payable ;</v>
          </cell>
          <cell r="CJ1" t="str">
            <v>Gross disposable income ;</v>
          </cell>
          <cell r="CK1" t="str">
            <v>Net saving ;</v>
          </cell>
          <cell r="CL1" t="str">
            <v>Consumption of fixed capital ;</v>
          </cell>
          <cell r="CM1" t="str">
            <v>TOTAL USE OF GROSS INCOME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Seasonally Adjusted</v>
          </cell>
          <cell r="AG3" t="str">
            <v>Seasonally Adjusted</v>
          </cell>
          <cell r="AH3" t="str">
            <v>Seasonally Adjusted</v>
          </cell>
          <cell r="AI3" t="str">
            <v>Seasonally Adjusted</v>
          </cell>
          <cell r="AJ3" t="str">
            <v>Seasonally Adjusted</v>
          </cell>
          <cell r="AK3" t="str">
            <v>Seasonally Adjusted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row>
        <row r="7">
          <cell r="B7">
            <v>32387</v>
          </cell>
          <cell r="C7">
            <v>32387</v>
          </cell>
          <cell r="D7">
            <v>32387</v>
          </cell>
          <cell r="E7">
            <v>32387</v>
          </cell>
          <cell r="F7">
            <v>32387</v>
          </cell>
          <cell r="G7">
            <v>32387</v>
          </cell>
          <cell r="H7">
            <v>32387</v>
          </cell>
          <cell r="I7">
            <v>32387</v>
          </cell>
          <cell r="J7">
            <v>32387</v>
          </cell>
          <cell r="K7">
            <v>32387</v>
          </cell>
          <cell r="L7">
            <v>32387</v>
          </cell>
          <cell r="M7">
            <v>32387</v>
          </cell>
          <cell r="N7">
            <v>32387</v>
          </cell>
          <cell r="O7">
            <v>32387</v>
          </cell>
          <cell r="P7">
            <v>32387</v>
          </cell>
          <cell r="Q7">
            <v>32387</v>
          </cell>
          <cell r="R7">
            <v>32387</v>
          </cell>
          <cell r="S7">
            <v>32387</v>
          </cell>
          <cell r="T7">
            <v>32387</v>
          </cell>
          <cell r="U7">
            <v>32387</v>
          </cell>
          <cell r="V7">
            <v>32387</v>
          </cell>
          <cell r="W7">
            <v>32387</v>
          </cell>
          <cell r="X7">
            <v>32387</v>
          </cell>
          <cell r="Y7">
            <v>32387</v>
          </cell>
          <cell r="Z7">
            <v>32387</v>
          </cell>
          <cell r="AA7">
            <v>32387</v>
          </cell>
          <cell r="AB7">
            <v>32387</v>
          </cell>
          <cell r="AC7">
            <v>32387</v>
          </cell>
          <cell r="AD7">
            <v>32387</v>
          </cell>
          <cell r="AE7">
            <v>32387</v>
          </cell>
          <cell r="AF7">
            <v>32387</v>
          </cell>
          <cell r="AG7">
            <v>32387</v>
          </cell>
          <cell r="AH7">
            <v>32387</v>
          </cell>
          <cell r="AI7">
            <v>32387</v>
          </cell>
          <cell r="AJ7">
            <v>32387</v>
          </cell>
          <cell r="AK7">
            <v>32387</v>
          </cell>
          <cell r="AL7">
            <v>32387</v>
          </cell>
          <cell r="AM7">
            <v>32387</v>
          </cell>
          <cell r="AN7">
            <v>32387</v>
          </cell>
          <cell r="AO7">
            <v>32387</v>
          </cell>
          <cell r="AP7">
            <v>32387</v>
          </cell>
          <cell r="AQ7">
            <v>32387</v>
          </cell>
          <cell r="AR7">
            <v>32387</v>
          </cell>
          <cell r="AS7">
            <v>32387</v>
          </cell>
          <cell r="AT7">
            <v>32387</v>
          </cell>
          <cell r="AU7">
            <v>32387</v>
          </cell>
          <cell r="AV7">
            <v>32387</v>
          </cell>
          <cell r="AW7">
            <v>32387</v>
          </cell>
          <cell r="AX7">
            <v>32387</v>
          </cell>
          <cell r="AY7">
            <v>32387</v>
          </cell>
          <cell r="AZ7">
            <v>32387</v>
          </cell>
          <cell r="BA7">
            <v>32387</v>
          </cell>
          <cell r="BB7">
            <v>32387</v>
          </cell>
          <cell r="BC7">
            <v>32387</v>
          </cell>
          <cell r="BD7">
            <v>32387</v>
          </cell>
          <cell r="BE7">
            <v>32387</v>
          </cell>
          <cell r="BF7">
            <v>32387</v>
          </cell>
          <cell r="BG7">
            <v>32387</v>
          </cell>
          <cell r="BH7">
            <v>32387</v>
          </cell>
          <cell r="BI7">
            <v>32387</v>
          </cell>
          <cell r="BJ7">
            <v>32387</v>
          </cell>
          <cell r="BK7">
            <v>32387</v>
          </cell>
          <cell r="BL7">
            <v>32387</v>
          </cell>
          <cell r="BM7">
            <v>32387</v>
          </cell>
          <cell r="BN7">
            <v>32387</v>
          </cell>
          <cell r="BO7">
            <v>32387</v>
          </cell>
          <cell r="BP7">
            <v>32387</v>
          </cell>
          <cell r="BQ7">
            <v>32387</v>
          </cell>
          <cell r="BR7">
            <v>32387</v>
          </cell>
          <cell r="BS7">
            <v>32387</v>
          </cell>
          <cell r="BT7">
            <v>32387</v>
          </cell>
          <cell r="BU7">
            <v>32387</v>
          </cell>
          <cell r="BV7">
            <v>32387</v>
          </cell>
          <cell r="BW7">
            <v>32387</v>
          </cell>
          <cell r="BX7">
            <v>32387</v>
          </cell>
          <cell r="BY7">
            <v>32387</v>
          </cell>
          <cell r="BZ7">
            <v>32387</v>
          </cell>
          <cell r="CA7">
            <v>32387</v>
          </cell>
          <cell r="CB7">
            <v>32387</v>
          </cell>
          <cell r="CC7">
            <v>32387</v>
          </cell>
          <cell r="CD7">
            <v>32387</v>
          </cell>
          <cell r="CE7">
            <v>32387</v>
          </cell>
          <cell r="CF7">
            <v>32387</v>
          </cell>
          <cell r="CG7">
            <v>32387</v>
          </cell>
          <cell r="CH7">
            <v>32387</v>
          </cell>
          <cell r="CI7">
            <v>32387</v>
          </cell>
          <cell r="CJ7">
            <v>32387</v>
          </cell>
          <cell r="CK7">
            <v>32387</v>
          </cell>
          <cell r="CL7">
            <v>32387</v>
          </cell>
          <cell r="CM7">
            <v>32387</v>
          </cell>
        </row>
        <row r="8">
          <cell r="B8">
            <v>43070</v>
          </cell>
          <cell r="C8">
            <v>43070</v>
          </cell>
          <cell r="D8">
            <v>43070</v>
          </cell>
          <cell r="E8">
            <v>43070</v>
          </cell>
          <cell r="F8">
            <v>43070</v>
          </cell>
          <cell r="G8">
            <v>43070</v>
          </cell>
          <cell r="H8">
            <v>43070</v>
          </cell>
          <cell r="I8">
            <v>43070</v>
          </cell>
          <cell r="J8">
            <v>43070</v>
          </cell>
          <cell r="K8">
            <v>43070</v>
          </cell>
          <cell r="L8">
            <v>43070</v>
          </cell>
          <cell r="M8">
            <v>43070</v>
          </cell>
          <cell r="N8">
            <v>43070</v>
          </cell>
          <cell r="O8">
            <v>43070</v>
          </cell>
          <cell r="P8">
            <v>43070</v>
          </cell>
          <cell r="Q8">
            <v>43070</v>
          </cell>
          <cell r="R8">
            <v>43070</v>
          </cell>
          <cell r="S8">
            <v>43070</v>
          </cell>
          <cell r="T8">
            <v>43070</v>
          </cell>
          <cell r="U8">
            <v>43070</v>
          </cell>
          <cell r="V8">
            <v>43070</v>
          </cell>
          <cell r="W8">
            <v>43070</v>
          </cell>
          <cell r="X8">
            <v>43070</v>
          </cell>
          <cell r="Y8">
            <v>43070</v>
          </cell>
          <cell r="Z8">
            <v>43070</v>
          </cell>
          <cell r="AA8">
            <v>43070</v>
          </cell>
          <cell r="AB8">
            <v>43070</v>
          </cell>
          <cell r="AC8">
            <v>43070</v>
          </cell>
          <cell r="AD8">
            <v>43070</v>
          </cell>
          <cell r="AE8">
            <v>43070</v>
          </cell>
          <cell r="AF8">
            <v>43070</v>
          </cell>
          <cell r="AG8">
            <v>43070</v>
          </cell>
          <cell r="AH8">
            <v>43070</v>
          </cell>
          <cell r="AI8">
            <v>43070</v>
          </cell>
          <cell r="AJ8">
            <v>43070</v>
          </cell>
          <cell r="AK8">
            <v>43070</v>
          </cell>
          <cell r="AL8">
            <v>43070</v>
          </cell>
          <cell r="AM8">
            <v>43070</v>
          </cell>
          <cell r="AN8">
            <v>43070</v>
          </cell>
          <cell r="AO8">
            <v>43070</v>
          </cell>
          <cell r="AP8">
            <v>43070</v>
          </cell>
          <cell r="AQ8">
            <v>43070</v>
          </cell>
          <cell r="AR8">
            <v>43070</v>
          </cell>
          <cell r="AS8">
            <v>43070</v>
          </cell>
          <cell r="AT8">
            <v>43070</v>
          </cell>
          <cell r="AU8">
            <v>43070</v>
          </cell>
          <cell r="AV8">
            <v>43070</v>
          </cell>
          <cell r="AW8">
            <v>43070</v>
          </cell>
          <cell r="AX8">
            <v>43070</v>
          </cell>
          <cell r="AY8">
            <v>43070</v>
          </cell>
          <cell r="AZ8">
            <v>43070</v>
          </cell>
          <cell r="BA8">
            <v>43070</v>
          </cell>
          <cell r="BB8">
            <v>43070</v>
          </cell>
          <cell r="BC8">
            <v>43070</v>
          </cell>
          <cell r="BD8">
            <v>43070</v>
          </cell>
          <cell r="BE8">
            <v>43070</v>
          </cell>
          <cell r="BF8">
            <v>43070</v>
          </cell>
          <cell r="BG8">
            <v>43070</v>
          </cell>
          <cell r="BH8">
            <v>43070</v>
          </cell>
          <cell r="BI8">
            <v>43070</v>
          </cell>
          <cell r="BJ8">
            <v>43070</v>
          </cell>
          <cell r="BK8">
            <v>43070</v>
          </cell>
          <cell r="BL8">
            <v>43070</v>
          </cell>
          <cell r="BM8">
            <v>43070</v>
          </cell>
          <cell r="BN8">
            <v>43070</v>
          </cell>
          <cell r="BO8">
            <v>43070</v>
          </cell>
          <cell r="BP8">
            <v>43070</v>
          </cell>
          <cell r="BQ8">
            <v>43070</v>
          </cell>
          <cell r="BR8">
            <v>43070</v>
          </cell>
          <cell r="BS8">
            <v>43070</v>
          </cell>
          <cell r="BT8">
            <v>43070</v>
          </cell>
          <cell r="BU8">
            <v>43070</v>
          </cell>
          <cell r="BV8">
            <v>43070</v>
          </cell>
          <cell r="BW8">
            <v>43070</v>
          </cell>
          <cell r="BX8">
            <v>43070</v>
          </cell>
          <cell r="BY8">
            <v>43070</v>
          </cell>
          <cell r="BZ8">
            <v>43070</v>
          </cell>
          <cell r="CA8">
            <v>43070</v>
          </cell>
          <cell r="CB8">
            <v>43070</v>
          </cell>
          <cell r="CC8">
            <v>43070</v>
          </cell>
          <cell r="CD8">
            <v>43070</v>
          </cell>
          <cell r="CE8">
            <v>43070</v>
          </cell>
          <cell r="CF8">
            <v>43070</v>
          </cell>
          <cell r="CG8">
            <v>43070</v>
          </cell>
          <cell r="CH8">
            <v>43070</v>
          </cell>
          <cell r="CI8">
            <v>43070</v>
          </cell>
          <cell r="CJ8">
            <v>43070</v>
          </cell>
          <cell r="CK8">
            <v>43070</v>
          </cell>
          <cell r="CL8">
            <v>43070</v>
          </cell>
          <cell r="CM8">
            <v>43070</v>
          </cell>
        </row>
        <row r="9">
          <cell r="B9">
            <v>118</v>
          </cell>
          <cell r="C9">
            <v>118</v>
          </cell>
          <cell r="D9">
            <v>118</v>
          </cell>
          <cell r="E9">
            <v>118</v>
          </cell>
          <cell r="F9">
            <v>118</v>
          </cell>
          <cell r="G9">
            <v>118</v>
          </cell>
          <cell r="H9">
            <v>118</v>
          </cell>
          <cell r="I9">
            <v>118</v>
          </cell>
          <cell r="J9">
            <v>118</v>
          </cell>
          <cell r="K9">
            <v>118</v>
          </cell>
          <cell r="L9">
            <v>118</v>
          </cell>
          <cell r="M9">
            <v>118</v>
          </cell>
          <cell r="N9">
            <v>118</v>
          </cell>
          <cell r="O9">
            <v>118</v>
          </cell>
          <cell r="P9">
            <v>118</v>
          </cell>
          <cell r="Q9">
            <v>118</v>
          </cell>
          <cell r="R9">
            <v>118</v>
          </cell>
          <cell r="S9">
            <v>118</v>
          </cell>
          <cell r="T9">
            <v>118</v>
          </cell>
          <cell r="U9">
            <v>118</v>
          </cell>
          <cell r="V9">
            <v>118</v>
          </cell>
          <cell r="W9">
            <v>118</v>
          </cell>
          <cell r="X9">
            <v>118</v>
          </cell>
          <cell r="Y9">
            <v>118</v>
          </cell>
          <cell r="Z9">
            <v>118</v>
          </cell>
          <cell r="AA9">
            <v>118</v>
          </cell>
          <cell r="AB9">
            <v>118</v>
          </cell>
          <cell r="AC9">
            <v>118</v>
          </cell>
          <cell r="AD9">
            <v>118</v>
          </cell>
          <cell r="AE9">
            <v>118</v>
          </cell>
          <cell r="AF9">
            <v>118</v>
          </cell>
          <cell r="AG9">
            <v>118</v>
          </cell>
          <cell r="AH9">
            <v>118</v>
          </cell>
          <cell r="AI9">
            <v>118</v>
          </cell>
          <cell r="AJ9">
            <v>118</v>
          </cell>
          <cell r="AK9">
            <v>118</v>
          </cell>
          <cell r="AL9">
            <v>118</v>
          </cell>
          <cell r="AM9">
            <v>118</v>
          </cell>
          <cell r="AN9">
            <v>118</v>
          </cell>
          <cell r="AO9">
            <v>118</v>
          </cell>
          <cell r="AP9">
            <v>118</v>
          </cell>
          <cell r="AQ9">
            <v>118</v>
          </cell>
          <cell r="AR9">
            <v>118</v>
          </cell>
          <cell r="AS9">
            <v>118</v>
          </cell>
          <cell r="AT9">
            <v>118</v>
          </cell>
          <cell r="AU9">
            <v>118</v>
          </cell>
          <cell r="AV9">
            <v>118</v>
          </cell>
          <cell r="AW9">
            <v>118</v>
          </cell>
          <cell r="AX9">
            <v>118</v>
          </cell>
          <cell r="AY9">
            <v>118</v>
          </cell>
          <cell r="AZ9">
            <v>118</v>
          </cell>
          <cell r="BA9">
            <v>118</v>
          </cell>
          <cell r="BB9">
            <v>118</v>
          </cell>
          <cell r="BC9">
            <v>118</v>
          </cell>
          <cell r="BD9">
            <v>118</v>
          </cell>
          <cell r="BE9">
            <v>118</v>
          </cell>
          <cell r="BF9">
            <v>118</v>
          </cell>
          <cell r="BG9">
            <v>118</v>
          </cell>
          <cell r="BH9">
            <v>118</v>
          </cell>
          <cell r="BI9">
            <v>118</v>
          </cell>
          <cell r="BJ9">
            <v>118</v>
          </cell>
          <cell r="BK9">
            <v>118</v>
          </cell>
          <cell r="BL9">
            <v>118</v>
          </cell>
          <cell r="BM9">
            <v>118</v>
          </cell>
          <cell r="BN9">
            <v>118</v>
          </cell>
          <cell r="BO9">
            <v>118</v>
          </cell>
          <cell r="BP9">
            <v>118</v>
          </cell>
          <cell r="BQ9">
            <v>118</v>
          </cell>
          <cell r="BR9">
            <v>118</v>
          </cell>
          <cell r="BS9">
            <v>118</v>
          </cell>
          <cell r="BT9">
            <v>118</v>
          </cell>
          <cell r="BU9">
            <v>118</v>
          </cell>
          <cell r="BV9">
            <v>118</v>
          </cell>
          <cell r="BW9">
            <v>118</v>
          </cell>
          <cell r="BX9">
            <v>118</v>
          </cell>
          <cell r="BY9">
            <v>118</v>
          </cell>
          <cell r="BZ9">
            <v>118</v>
          </cell>
          <cell r="CA9">
            <v>118</v>
          </cell>
          <cell r="CB9">
            <v>118</v>
          </cell>
          <cell r="CC9">
            <v>118</v>
          </cell>
          <cell r="CD9">
            <v>118</v>
          </cell>
          <cell r="CE9">
            <v>118</v>
          </cell>
          <cell r="CF9">
            <v>118</v>
          </cell>
          <cell r="CG9">
            <v>118</v>
          </cell>
          <cell r="CH9">
            <v>118</v>
          </cell>
          <cell r="CI9">
            <v>118</v>
          </cell>
          <cell r="CJ9">
            <v>118</v>
          </cell>
          <cell r="CK9">
            <v>118</v>
          </cell>
          <cell r="CL9">
            <v>118</v>
          </cell>
          <cell r="CM9">
            <v>118</v>
          </cell>
        </row>
        <row r="10">
          <cell r="B10" t="str">
            <v>A85125817K</v>
          </cell>
          <cell r="C10" t="str">
            <v>A85125818L</v>
          </cell>
          <cell r="D10" t="str">
            <v>A85125819R</v>
          </cell>
          <cell r="E10" t="str">
            <v>A85125820X</v>
          </cell>
          <cell r="F10" t="str">
            <v>A85125821A</v>
          </cell>
          <cell r="G10" t="str">
            <v>A85125822C</v>
          </cell>
          <cell r="H10" t="str">
            <v>A85125823F</v>
          </cell>
          <cell r="I10" t="str">
            <v>A85125824J</v>
          </cell>
          <cell r="J10" t="str">
            <v>A85125825K</v>
          </cell>
          <cell r="K10" t="str">
            <v>A85125826L</v>
          </cell>
          <cell r="L10" t="str">
            <v>A85125827R</v>
          </cell>
          <cell r="M10" t="str">
            <v>A85125828T</v>
          </cell>
          <cell r="N10" t="str">
            <v>A85125829V</v>
          </cell>
          <cell r="O10" t="str">
            <v>A85125830C</v>
          </cell>
          <cell r="P10" t="str">
            <v>A85125831F</v>
          </cell>
          <cell r="Q10" t="str">
            <v>A85125832J</v>
          </cell>
          <cell r="R10" t="str">
            <v>A85125833K</v>
          </cell>
          <cell r="S10" t="str">
            <v>A85125834L</v>
          </cell>
          <cell r="T10" t="str">
            <v>A85125835R</v>
          </cell>
          <cell r="U10" t="str">
            <v>A85125836T</v>
          </cell>
          <cell r="V10" t="str">
            <v>A85125837V</v>
          </cell>
          <cell r="W10" t="str">
            <v>A85125838W</v>
          </cell>
          <cell r="X10" t="str">
            <v>A85125839X</v>
          </cell>
          <cell r="Y10" t="str">
            <v>A85125840J</v>
          </cell>
          <cell r="Z10" t="str">
            <v>A85125841K</v>
          </cell>
          <cell r="AA10" t="str">
            <v>A85125842L</v>
          </cell>
          <cell r="AB10" t="str">
            <v>A85125843R</v>
          </cell>
          <cell r="AC10" t="str">
            <v>A85125811W</v>
          </cell>
          <cell r="AD10" t="str">
            <v>A85125844T</v>
          </cell>
          <cell r="AE10" t="str">
            <v>A85125845V</v>
          </cell>
          <cell r="AF10" t="str">
            <v>A85125846W</v>
          </cell>
          <cell r="AG10" t="str">
            <v>A85125847X</v>
          </cell>
          <cell r="AH10" t="str">
            <v>A85125848A</v>
          </cell>
          <cell r="AI10" t="str">
            <v>A85125849C</v>
          </cell>
          <cell r="AJ10" t="str">
            <v>A85125850L</v>
          </cell>
          <cell r="AK10" t="str">
            <v>A85125851R</v>
          </cell>
          <cell r="AL10" t="str">
            <v>A85125852T</v>
          </cell>
          <cell r="AM10" t="str">
            <v>A85125853V</v>
          </cell>
          <cell r="AN10" t="str">
            <v>A85125854W</v>
          </cell>
          <cell r="AO10" t="str">
            <v>A85125855X</v>
          </cell>
          <cell r="AP10" t="str">
            <v>A85125856A</v>
          </cell>
          <cell r="AQ10" t="str">
            <v>A85125857C</v>
          </cell>
          <cell r="AR10" t="str">
            <v>A85125858F</v>
          </cell>
          <cell r="AS10" t="str">
            <v>A85125859J</v>
          </cell>
          <cell r="AT10" t="str">
            <v>A85125860T</v>
          </cell>
          <cell r="AU10" t="str">
            <v>A85125861V</v>
          </cell>
          <cell r="AV10" t="str">
            <v>A85125862W</v>
          </cell>
          <cell r="AW10" t="str">
            <v>A85125863X</v>
          </cell>
          <cell r="AX10" t="str">
            <v>A85125864A</v>
          </cell>
          <cell r="AY10" t="str">
            <v>A85125865C</v>
          </cell>
          <cell r="AZ10" t="str">
            <v>A85125866F</v>
          </cell>
          <cell r="BA10" t="str">
            <v>A85125867J</v>
          </cell>
          <cell r="BB10" t="str">
            <v>A85125868K</v>
          </cell>
          <cell r="BC10" t="str">
            <v>A85125869L</v>
          </cell>
          <cell r="BD10" t="str">
            <v>A85125870W</v>
          </cell>
          <cell r="BE10" t="str">
            <v>A85125871X</v>
          </cell>
          <cell r="BF10" t="str">
            <v>A85125872A</v>
          </cell>
          <cell r="BG10" t="str">
            <v>A85125813A</v>
          </cell>
          <cell r="BH10" t="str">
            <v>A85125873C</v>
          </cell>
          <cell r="BI10" t="str">
            <v>A85125874F</v>
          </cell>
          <cell r="BJ10" t="str">
            <v>A85125875J</v>
          </cell>
          <cell r="BK10" t="str">
            <v>A85125876K</v>
          </cell>
          <cell r="BL10" t="str">
            <v>A85125877L</v>
          </cell>
          <cell r="BM10" t="str">
            <v>A85125878R</v>
          </cell>
          <cell r="BN10" t="str">
            <v>A85125879T</v>
          </cell>
          <cell r="BO10" t="str">
            <v>A85125880A</v>
          </cell>
          <cell r="BP10" t="str">
            <v>A85125881C</v>
          </cell>
          <cell r="BQ10" t="str">
            <v>A85125882F</v>
          </cell>
          <cell r="BR10" t="str">
            <v>A85125883J</v>
          </cell>
          <cell r="BS10" t="str">
            <v>A85125884K</v>
          </cell>
          <cell r="BT10" t="str">
            <v>A85125885L</v>
          </cell>
          <cell r="BU10" t="str">
            <v>A85125886R</v>
          </cell>
          <cell r="BV10" t="str">
            <v>A85125887T</v>
          </cell>
          <cell r="BW10" t="str">
            <v>A85125888V</v>
          </cell>
          <cell r="BX10" t="str">
            <v>A85125889W</v>
          </cell>
          <cell r="BY10" t="str">
            <v>A85125890F</v>
          </cell>
          <cell r="BZ10" t="str">
            <v>A85125891J</v>
          </cell>
          <cell r="CA10" t="str">
            <v>A85125892K</v>
          </cell>
          <cell r="CB10" t="str">
            <v>A85125893L</v>
          </cell>
          <cell r="CC10" t="str">
            <v>A85125894R</v>
          </cell>
          <cell r="CD10" t="str">
            <v>A85125895T</v>
          </cell>
          <cell r="CE10" t="str">
            <v>A85125896V</v>
          </cell>
          <cell r="CF10" t="str">
            <v>A85125897W</v>
          </cell>
          <cell r="CG10" t="str">
            <v>A85125898X</v>
          </cell>
          <cell r="CH10" t="str">
            <v>A85125899A</v>
          </cell>
          <cell r="CI10" t="str">
            <v>A85125900X</v>
          </cell>
          <cell r="CJ10" t="str">
            <v>A85125901A</v>
          </cell>
          <cell r="CK10" t="str">
            <v>A85125815F</v>
          </cell>
          <cell r="CL10" t="str">
            <v>A85125902C</v>
          </cell>
          <cell r="CM10" t="str">
            <v>A85125903F</v>
          </cell>
        </row>
        <row r="11">
          <cell r="B11">
            <v>16567</v>
          </cell>
          <cell r="C11">
            <v>2437</v>
          </cell>
          <cell r="D11">
            <v>85</v>
          </cell>
          <cell r="E11">
            <v>335</v>
          </cell>
          <cell r="F11">
            <v>57</v>
          </cell>
          <cell r="G11">
            <v>0</v>
          </cell>
          <cell r="H11">
            <v>2915</v>
          </cell>
          <cell r="I11">
            <v>19481</v>
          </cell>
          <cell r="J11">
            <v>390</v>
          </cell>
          <cell r="K11">
            <v>360</v>
          </cell>
          <cell r="L11">
            <v>750</v>
          </cell>
          <cell r="M11">
            <v>20231</v>
          </cell>
          <cell r="N11">
            <v>7503</v>
          </cell>
          <cell r="O11">
            <v>1672</v>
          </cell>
          <cell r="P11">
            <v>638</v>
          </cell>
          <cell r="Q11">
            <v>275</v>
          </cell>
          <cell r="R11">
            <v>10087</v>
          </cell>
          <cell r="S11">
            <v>10087</v>
          </cell>
          <cell r="T11">
            <v>2252</v>
          </cell>
          <cell r="U11">
            <v>13</v>
          </cell>
          <cell r="V11">
            <v>2265</v>
          </cell>
          <cell r="W11">
            <v>578</v>
          </cell>
          <cell r="X11">
            <v>18</v>
          </cell>
          <cell r="Y11">
            <v>97</v>
          </cell>
          <cell r="Z11">
            <v>2958</v>
          </cell>
          <cell r="AA11">
            <v>13045</v>
          </cell>
          <cell r="AB11">
            <v>7186</v>
          </cell>
          <cell r="AC11">
            <v>344</v>
          </cell>
          <cell r="AD11">
            <v>6842</v>
          </cell>
          <cell r="AE11">
            <v>20231</v>
          </cell>
          <cell r="AF11">
            <v>16771</v>
          </cell>
          <cell r="AG11">
            <v>2423</v>
          </cell>
          <cell r="AH11">
            <v>77</v>
          </cell>
          <cell r="AI11">
            <v>261</v>
          </cell>
          <cell r="AJ11">
            <v>57</v>
          </cell>
          <cell r="AK11">
            <v>0</v>
          </cell>
          <cell r="AL11">
            <v>2819</v>
          </cell>
          <cell r="AM11">
            <v>19590</v>
          </cell>
          <cell r="AN11">
            <v>391</v>
          </cell>
          <cell r="AO11">
            <v>386</v>
          </cell>
          <cell r="AP11">
            <v>777</v>
          </cell>
          <cell r="AQ11">
            <v>20367</v>
          </cell>
          <cell r="AR11">
            <v>7614</v>
          </cell>
          <cell r="AS11">
            <v>1793</v>
          </cell>
          <cell r="AT11">
            <v>652</v>
          </cell>
          <cell r="AU11">
            <v>290</v>
          </cell>
          <cell r="AV11">
            <v>10349</v>
          </cell>
          <cell r="AW11">
            <v>10349</v>
          </cell>
          <cell r="AX11">
            <v>2383</v>
          </cell>
          <cell r="AY11">
            <v>14</v>
          </cell>
          <cell r="AZ11">
            <v>2397</v>
          </cell>
          <cell r="BA11">
            <v>579</v>
          </cell>
          <cell r="BB11">
            <v>18</v>
          </cell>
          <cell r="BC11">
            <v>100</v>
          </cell>
          <cell r="BD11">
            <v>3093</v>
          </cell>
          <cell r="BE11">
            <v>13442</v>
          </cell>
          <cell r="BF11">
            <v>6924</v>
          </cell>
          <cell r="BG11">
            <v>91</v>
          </cell>
          <cell r="BH11">
            <v>6833</v>
          </cell>
          <cell r="BI11">
            <v>20367</v>
          </cell>
          <cell r="BJ11">
            <v>17620</v>
          </cell>
          <cell r="BK11">
            <v>2423</v>
          </cell>
          <cell r="BL11">
            <v>79</v>
          </cell>
          <cell r="BM11">
            <v>261</v>
          </cell>
          <cell r="BN11">
            <v>57</v>
          </cell>
          <cell r="BO11">
            <v>0</v>
          </cell>
          <cell r="BP11">
            <v>2821</v>
          </cell>
          <cell r="BQ11">
            <v>20441</v>
          </cell>
          <cell r="BR11">
            <v>382</v>
          </cell>
          <cell r="BS11">
            <v>392</v>
          </cell>
          <cell r="BT11">
            <v>774</v>
          </cell>
          <cell r="BU11">
            <v>21215</v>
          </cell>
          <cell r="BV11">
            <v>7598</v>
          </cell>
          <cell r="BW11">
            <v>2695</v>
          </cell>
          <cell r="BX11">
            <v>671</v>
          </cell>
          <cell r="BY11">
            <v>252</v>
          </cell>
          <cell r="BZ11">
            <v>11216</v>
          </cell>
          <cell r="CA11">
            <v>11216</v>
          </cell>
          <cell r="CB11">
            <v>2466</v>
          </cell>
          <cell r="CC11">
            <v>16</v>
          </cell>
          <cell r="CD11">
            <v>2482</v>
          </cell>
          <cell r="CE11">
            <v>579</v>
          </cell>
          <cell r="CF11">
            <v>18</v>
          </cell>
          <cell r="CG11">
            <v>92</v>
          </cell>
          <cell r="CH11">
            <v>3171</v>
          </cell>
          <cell r="CI11">
            <v>14387</v>
          </cell>
          <cell r="CJ11">
            <v>6828</v>
          </cell>
          <cell r="CK11">
            <v>-5</v>
          </cell>
          <cell r="CL11">
            <v>6833</v>
          </cell>
          <cell r="CM11">
            <v>21215</v>
          </cell>
        </row>
        <row r="12">
          <cell r="B12">
            <v>16909</v>
          </cell>
          <cell r="C12">
            <v>2642</v>
          </cell>
          <cell r="D12">
            <v>92</v>
          </cell>
          <cell r="E12">
            <v>418</v>
          </cell>
          <cell r="F12">
            <v>58</v>
          </cell>
          <cell r="G12">
            <v>0</v>
          </cell>
          <cell r="H12">
            <v>3210</v>
          </cell>
          <cell r="I12">
            <v>20119</v>
          </cell>
          <cell r="J12">
            <v>391</v>
          </cell>
          <cell r="K12">
            <v>366</v>
          </cell>
          <cell r="L12">
            <v>757</v>
          </cell>
          <cell r="M12">
            <v>20876</v>
          </cell>
          <cell r="N12">
            <v>8123</v>
          </cell>
          <cell r="O12">
            <v>1695</v>
          </cell>
          <cell r="P12">
            <v>635</v>
          </cell>
          <cell r="Q12">
            <v>264</v>
          </cell>
          <cell r="R12">
            <v>10716</v>
          </cell>
          <cell r="S12">
            <v>10716</v>
          </cell>
          <cell r="T12">
            <v>2202</v>
          </cell>
          <cell r="U12">
            <v>17</v>
          </cell>
          <cell r="V12">
            <v>2219</v>
          </cell>
          <cell r="W12">
            <v>586</v>
          </cell>
          <cell r="X12">
            <v>19</v>
          </cell>
          <cell r="Y12">
            <v>102</v>
          </cell>
          <cell r="Z12">
            <v>2926</v>
          </cell>
          <cell r="AA12">
            <v>13642</v>
          </cell>
          <cell r="AB12">
            <v>7234</v>
          </cell>
          <cell r="AC12">
            <v>271</v>
          </cell>
          <cell r="AD12">
            <v>6963</v>
          </cell>
          <cell r="AE12">
            <v>20876</v>
          </cell>
          <cell r="AF12">
            <v>16725</v>
          </cell>
          <cell r="AG12">
            <v>2649</v>
          </cell>
          <cell r="AH12">
            <v>96</v>
          </cell>
          <cell r="AI12">
            <v>456</v>
          </cell>
          <cell r="AJ12">
            <v>58</v>
          </cell>
          <cell r="AK12">
            <v>0</v>
          </cell>
          <cell r="AL12">
            <v>3258</v>
          </cell>
          <cell r="AM12">
            <v>19983</v>
          </cell>
          <cell r="AN12">
            <v>392</v>
          </cell>
          <cell r="AO12">
            <v>349</v>
          </cell>
          <cell r="AP12">
            <v>741</v>
          </cell>
          <cell r="AQ12">
            <v>20725</v>
          </cell>
          <cell r="AR12">
            <v>8025</v>
          </cell>
          <cell r="AS12">
            <v>1529</v>
          </cell>
          <cell r="AT12">
            <v>608</v>
          </cell>
          <cell r="AU12">
            <v>237</v>
          </cell>
          <cell r="AV12">
            <v>10399</v>
          </cell>
          <cell r="AW12">
            <v>10399</v>
          </cell>
          <cell r="AX12">
            <v>2090</v>
          </cell>
          <cell r="AY12">
            <v>17</v>
          </cell>
          <cell r="AZ12">
            <v>2107</v>
          </cell>
          <cell r="BA12">
            <v>586</v>
          </cell>
          <cell r="BB12">
            <v>19</v>
          </cell>
          <cell r="BC12">
            <v>100</v>
          </cell>
          <cell r="BD12">
            <v>2813</v>
          </cell>
          <cell r="BE12">
            <v>13212</v>
          </cell>
          <cell r="BF12">
            <v>7512</v>
          </cell>
          <cell r="BG12">
            <v>551</v>
          </cell>
          <cell r="BH12">
            <v>6961</v>
          </cell>
          <cell r="BI12">
            <v>20725</v>
          </cell>
          <cell r="BJ12">
            <v>18356</v>
          </cell>
          <cell r="BK12">
            <v>2649</v>
          </cell>
          <cell r="BL12">
            <v>97</v>
          </cell>
          <cell r="BM12">
            <v>456</v>
          </cell>
          <cell r="BN12">
            <v>58</v>
          </cell>
          <cell r="BO12">
            <v>0</v>
          </cell>
          <cell r="BP12">
            <v>3260</v>
          </cell>
          <cell r="BQ12">
            <v>21616</v>
          </cell>
          <cell r="BR12">
            <v>391</v>
          </cell>
          <cell r="BS12">
            <v>341</v>
          </cell>
          <cell r="BT12">
            <v>732</v>
          </cell>
          <cell r="BU12">
            <v>22347</v>
          </cell>
          <cell r="BV12">
            <v>7940</v>
          </cell>
          <cell r="BW12">
            <v>738</v>
          </cell>
          <cell r="BX12">
            <v>565</v>
          </cell>
          <cell r="BY12">
            <v>258</v>
          </cell>
          <cell r="BZ12">
            <v>9501</v>
          </cell>
          <cell r="CA12">
            <v>9501</v>
          </cell>
          <cell r="CB12">
            <v>2649</v>
          </cell>
          <cell r="CC12">
            <v>17</v>
          </cell>
          <cell r="CD12">
            <v>2666</v>
          </cell>
          <cell r="CE12">
            <v>586</v>
          </cell>
          <cell r="CF12">
            <v>19</v>
          </cell>
          <cell r="CG12">
            <v>97</v>
          </cell>
          <cell r="CH12">
            <v>3369</v>
          </cell>
          <cell r="CI12">
            <v>12869</v>
          </cell>
          <cell r="CJ12">
            <v>9478</v>
          </cell>
          <cell r="CK12">
            <v>2517</v>
          </cell>
          <cell r="CL12">
            <v>6961</v>
          </cell>
          <cell r="CM12">
            <v>22347</v>
          </cell>
        </row>
        <row r="13">
          <cell r="B13">
            <v>17493</v>
          </cell>
          <cell r="C13">
            <v>2864</v>
          </cell>
          <cell r="D13">
            <v>94</v>
          </cell>
          <cell r="E13">
            <v>471</v>
          </cell>
          <cell r="F13">
            <v>60</v>
          </cell>
          <cell r="G13">
            <v>0</v>
          </cell>
          <cell r="H13">
            <v>3489</v>
          </cell>
          <cell r="I13">
            <v>20982</v>
          </cell>
          <cell r="J13">
            <v>390</v>
          </cell>
          <cell r="K13">
            <v>377</v>
          </cell>
          <cell r="L13">
            <v>768</v>
          </cell>
          <cell r="M13">
            <v>21749</v>
          </cell>
          <cell r="N13">
            <v>8817</v>
          </cell>
          <cell r="O13">
            <v>1777</v>
          </cell>
          <cell r="P13">
            <v>610</v>
          </cell>
          <cell r="Q13">
            <v>251</v>
          </cell>
          <cell r="R13">
            <v>11456</v>
          </cell>
          <cell r="S13">
            <v>11456</v>
          </cell>
          <cell r="T13">
            <v>2144</v>
          </cell>
          <cell r="U13">
            <v>20</v>
          </cell>
          <cell r="V13">
            <v>2164</v>
          </cell>
          <cell r="W13">
            <v>594</v>
          </cell>
          <cell r="X13">
            <v>20</v>
          </cell>
          <cell r="Y13">
            <v>106</v>
          </cell>
          <cell r="Z13">
            <v>2885</v>
          </cell>
          <cell r="AA13">
            <v>14340</v>
          </cell>
          <cell r="AB13">
            <v>7409</v>
          </cell>
          <cell r="AC13">
            <v>291</v>
          </cell>
          <cell r="AD13">
            <v>7118</v>
          </cell>
          <cell r="AE13">
            <v>21749</v>
          </cell>
          <cell r="AF13">
            <v>17307</v>
          </cell>
          <cell r="AG13">
            <v>2872</v>
          </cell>
          <cell r="AH13">
            <v>98</v>
          </cell>
          <cell r="AI13">
            <v>482</v>
          </cell>
          <cell r="AJ13">
            <v>60</v>
          </cell>
          <cell r="AK13">
            <v>0</v>
          </cell>
          <cell r="AL13">
            <v>3512</v>
          </cell>
          <cell r="AM13">
            <v>20819</v>
          </cell>
          <cell r="AN13">
            <v>385</v>
          </cell>
          <cell r="AO13">
            <v>384</v>
          </cell>
          <cell r="AP13">
            <v>769</v>
          </cell>
          <cell r="AQ13">
            <v>21588</v>
          </cell>
          <cell r="AR13">
            <v>8758</v>
          </cell>
          <cell r="AS13">
            <v>1813</v>
          </cell>
          <cell r="AT13">
            <v>627</v>
          </cell>
          <cell r="AU13">
            <v>275</v>
          </cell>
          <cell r="AV13">
            <v>11474</v>
          </cell>
          <cell r="AW13">
            <v>11474</v>
          </cell>
          <cell r="AX13">
            <v>2091</v>
          </cell>
          <cell r="AY13">
            <v>19</v>
          </cell>
          <cell r="AZ13">
            <v>2110</v>
          </cell>
          <cell r="BA13">
            <v>594</v>
          </cell>
          <cell r="BB13">
            <v>20</v>
          </cell>
          <cell r="BC13">
            <v>106</v>
          </cell>
          <cell r="BD13">
            <v>2830</v>
          </cell>
          <cell r="BE13">
            <v>14304</v>
          </cell>
          <cell r="BF13">
            <v>7284</v>
          </cell>
          <cell r="BG13">
            <v>169</v>
          </cell>
          <cell r="BH13">
            <v>7115</v>
          </cell>
          <cell r="BI13">
            <v>21588</v>
          </cell>
          <cell r="BJ13">
            <v>15712</v>
          </cell>
          <cell r="BK13">
            <v>2872</v>
          </cell>
          <cell r="BL13">
            <v>83</v>
          </cell>
          <cell r="BM13">
            <v>482</v>
          </cell>
          <cell r="BN13">
            <v>60</v>
          </cell>
          <cell r="BO13">
            <v>0</v>
          </cell>
          <cell r="BP13">
            <v>3497</v>
          </cell>
          <cell r="BQ13">
            <v>19208</v>
          </cell>
          <cell r="BR13">
            <v>396</v>
          </cell>
          <cell r="BS13">
            <v>384</v>
          </cell>
          <cell r="BT13">
            <v>780</v>
          </cell>
          <cell r="BU13">
            <v>19988</v>
          </cell>
          <cell r="BV13">
            <v>8790</v>
          </cell>
          <cell r="BW13">
            <v>2728</v>
          </cell>
          <cell r="BX13">
            <v>646</v>
          </cell>
          <cell r="BY13">
            <v>227</v>
          </cell>
          <cell r="BZ13">
            <v>12392</v>
          </cell>
          <cell r="CA13">
            <v>12392</v>
          </cell>
          <cell r="CB13">
            <v>1707</v>
          </cell>
          <cell r="CC13">
            <v>17</v>
          </cell>
          <cell r="CD13">
            <v>1724</v>
          </cell>
          <cell r="CE13">
            <v>594</v>
          </cell>
          <cell r="CF13">
            <v>20</v>
          </cell>
          <cell r="CG13">
            <v>108</v>
          </cell>
          <cell r="CH13">
            <v>2447</v>
          </cell>
          <cell r="CI13">
            <v>14838</v>
          </cell>
          <cell r="CJ13">
            <v>5150</v>
          </cell>
          <cell r="CK13">
            <v>-1965</v>
          </cell>
          <cell r="CL13">
            <v>7115</v>
          </cell>
          <cell r="CM13">
            <v>19988</v>
          </cell>
        </row>
        <row r="14">
          <cell r="B14">
            <v>18261</v>
          </cell>
          <cell r="C14">
            <v>3103</v>
          </cell>
          <cell r="D14">
            <v>91</v>
          </cell>
          <cell r="E14">
            <v>442</v>
          </cell>
          <cell r="F14">
            <v>63</v>
          </cell>
          <cell r="G14">
            <v>0</v>
          </cell>
          <cell r="H14">
            <v>3700</v>
          </cell>
          <cell r="I14">
            <v>21961</v>
          </cell>
          <cell r="J14">
            <v>384</v>
          </cell>
          <cell r="K14">
            <v>397</v>
          </cell>
          <cell r="L14">
            <v>780</v>
          </cell>
          <cell r="M14">
            <v>22741</v>
          </cell>
          <cell r="N14">
            <v>9586</v>
          </cell>
          <cell r="O14">
            <v>1901</v>
          </cell>
          <cell r="P14">
            <v>557</v>
          </cell>
          <cell r="Q14">
            <v>238</v>
          </cell>
          <cell r="R14">
            <v>12282</v>
          </cell>
          <cell r="S14">
            <v>12282</v>
          </cell>
          <cell r="T14">
            <v>2048</v>
          </cell>
          <cell r="U14">
            <v>20</v>
          </cell>
          <cell r="V14">
            <v>2068</v>
          </cell>
          <cell r="W14">
            <v>603</v>
          </cell>
          <cell r="X14">
            <v>23</v>
          </cell>
          <cell r="Y14">
            <v>112</v>
          </cell>
          <cell r="Z14">
            <v>2806</v>
          </cell>
          <cell r="AA14">
            <v>15088</v>
          </cell>
          <cell r="AB14">
            <v>7653</v>
          </cell>
          <cell r="AC14">
            <v>347</v>
          </cell>
          <cell r="AD14">
            <v>7306</v>
          </cell>
          <cell r="AE14">
            <v>22741</v>
          </cell>
          <cell r="AF14">
            <v>18471</v>
          </cell>
          <cell r="AG14">
            <v>3040</v>
          </cell>
          <cell r="AH14">
            <v>90</v>
          </cell>
          <cell r="AI14">
            <v>496</v>
          </cell>
          <cell r="AJ14">
            <v>62</v>
          </cell>
          <cell r="AK14">
            <v>0</v>
          </cell>
          <cell r="AL14">
            <v>3688</v>
          </cell>
          <cell r="AM14">
            <v>22159</v>
          </cell>
          <cell r="AN14">
            <v>396</v>
          </cell>
          <cell r="AO14">
            <v>378</v>
          </cell>
          <cell r="AP14">
            <v>775</v>
          </cell>
          <cell r="AQ14">
            <v>22934</v>
          </cell>
          <cell r="AR14">
            <v>9610</v>
          </cell>
          <cell r="AS14">
            <v>1978</v>
          </cell>
          <cell r="AT14">
            <v>601</v>
          </cell>
          <cell r="AU14">
            <v>233</v>
          </cell>
          <cell r="AV14">
            <v>12421</v>
          </cell>
          <cell r="AW14">
            <v>12421</v>
          </cell>
          <cell r="AX14">
            <v>2283</v>
          </cell>
          <cell r="AY14">
            <v>22</v>
          </cell>
          <cell r="AZ14">
            <v>2305</v>
          </cell>
          <cell r="BA14">
            <v>603</v>
          </cell>
          <cell r="BB14">
            <v>22</v>
          </cell>
          <cell r="BC14">
            <v>111</v>
          </cell>
          <cell r="BD14">
            <v>3041</v>
          </cell>
          <cell r="BE14">
            <v>15462</v>
          </cell>
          <cell r="BF14">
            <v>7472</v>
          </cell>
          <cell r="BG14">
            <v>176</v>
          </cell>
          <cell r="BH14">
            <v>7296</v>
          </cell>
          <cell r="BI14">
            <v>22934</v>
          </cell>
          <cell r="BJ14">
            <v>17434</v>
          </cell>
          <cell r="BK14">
            <v>3040</v>
          </cell>
          <cell r="BL14">
            <v>101</v>
          </cell>
          <cell r="BM14">
            <v>496</v>
          </cell>
          <cell r="BN14">
            <v>62</v>
          </cell>
          <cell r="BO14">
            <v>0</v>
          </cell>
          <cell r="BP14">
            <v>3699</v>
          </cell>
          <cell r="BQ14">
            <v>21134</v>
          </cell>
          <cell r="BR14">
            <v>396</v>
          </cell>
          <cell r="BS14">
            <v>383</v>
          </cell>
          <cell r="BT14">
            <v>779</v>
          </cell>
          <cell r="BU14">
            <v>21913</v>
          </cell>
          <cell r="BV14">
            <v>9706</v>
          </cell>
          <cell r="BW14">
            <v>1051</v>
          </cell>
          <cell r="BX14">
            <v>601</v>
          </cell>
          <cell r="BY14">
            <v>298</v>
          </cell>
          <cell r="BZ14">
            <v>11656</v>
          </cell>
          <cell r="CA14">
            <v>11656</v>
          </cell>
          <cell r="CB14">
            <v>2005</v>
          </cell>
          <cell r="CC14">
            <v>22</v>
          </cell>
          <cell r="CD14">
            <v>2027</v>
          </cell>
          <cell r="CE14">
            <v>603</v>
          </cell>
          <cell r="CF14">
            <v>22</v>
          </cell>
          <cell r="CG14">
            <v>122</v>
          </cell>
          <cell r="CH14">
            <v>2773</v>
          </cell>
          <cell r="CI14">
            <v>14430</v>
          </cell>
          <cell r="CJ14">
            <v>7483</v>
          </cell>
          <cell r="CK14">
            <v>187</v>
          </cell>
          <cell r="CL14">
            <v>7296</v>
          </cell>
          <cell r="CM14">
            <v>21913</v>
          </cell>
        </row>
        <row r="15">
          <cell r="B15">
            <v>18933</v>
          </cell>
          <cell r="C15">
            <v>3298</v>
          </cell>
          <cell r="D15">
            <v>89</v>
          </cell>
          <cell r="E15">
            <v>379</v>
          </cell>
          <cell r="F15">
            <v>68</v>
          </cell>
          <cell r="G15">
            <v>0</v>
          </cell>
          <cell r="H15">
            <v>3834</v>
          </cell>
          <cell r="I15">
            <v>22767</v>
          </cell>
          <cell r="J15">
            <v>382</v>
          </cell>
          <cell r="K15">
            <v>418</v>
          </cell>
          <cell r="L15">
            <v>799</v>
          </cell>
          <cell r="M15">
            <v>23567</v>
          </cell>
          <cell r="N15">
            <v>10195</v>
          </cell>
          <cell r="O15">
            <v>2046</v>
          </cell>
          <cell r="P15">
            <v>475</v>
          </cell>
          <cell r="Q15">
            <v>228</v>
          </cell>
          <cell r="R15">
            <v>12944</v>
          </cell>
          <cell r="S15">
            <v>12944</v>
          </cell>
          <cell r="T15">
            <v>1897</v>
          </cell>
          <cell r="U15">
            <v>21</v>
          </cell>
          <cell r="V15">
            <v>1918</v>
          </cell>
          <cell r="W15">
            <v>612</v>
          </cell>
          <cell r="X15">
            <v>25</v>
          </cell>
          <cell r="Y15">
            <v>116</v>
          </cell>
          <cell r="Z15">
            <v>2672</v>
          </cell>
          <cell r="AA15">
            <v>15616</v>
          </cell>
          <cell r="AB15">
            <v>7951</v>
          </cell>
          <cell r="AC15">
            <v>445</v>
          </cell>
          <cell r="AD15">
            <v>7506</v>
          </cell>
          <cell r="AE15">
            <v>23567</v>
          </cell>
          <cell r="AF15">
            <v>18963</v>
          </cell>
          <cell r="AG15">
            <v>3358</v>
          </cell>
          <cell r="AH15">
            <v>83</v>
          </cell>
          <cell r="AI15">
            <v>306</v>
          </cell>
          <cell r="AJ15">
            <v>69</v>
          </cell>
          <cell r="AK15">
            <v>1</v>
          </cell>
          <cell r="AL15">
            <v>3817</v>
          </cell>
          <cell r="AM15">
            <v>22779</v>
          </cell>
          <cell r="AN15">
            <v>378</v>
          </cell>
          <cell r="AO15">
            <v>442</v>
          </cell>
          <cell r="AP15">
            <v>820</v>
          </cell>
          <cell r="AQ15">
            <v>23600</v>
          </cell>
          <cell r="AR15">
            <v>10239</v>
          </cell>
          <cell r="AS15">
            <v>1946</v>
          </cell>
          <cell r="AT15">
            <v>426</v>
          </cell>
          <cell r="AU15">
            <v>220</v>
          </cell>
          <cell r="AV15">
            <v>12831</v>
          </cell>
          <cell r="AW15">
            <v>12831</v>
          </cell>
          <cell r="AX15">
            <v>1750</v>
          </cell>
          <cell r="AY15">
            <v>19</v>
          </cell>
          <cell r="AZ15">
            <v>1769</v>
          </cell>
          <cell r="BA15">
            <v>612</v>
          </cell>
          <cell r="BB15">
            <v>26</v>
          </cell>
          <cell r="BC15">
            <v>120</v>
          </cell>
          <cell r="BD15">
            <v>2527</v>
          </cell>
          <cell r="BE15">
            <v>15358</v>
          </cell>
          <cell r="BF15">
            <v>8241</v>
          </cell>
          <cell r="BG15">
            <v>723</v>
          </cell>
          <cell r="BH15">
            <v>7518</v>
          </cell>
          <cell r="BI15">
            <v>23600</v>
          </cell>
          <cell r="BJ15">
            <v>19985</v>
          </cell>
          <cell r="BK15">
            <v>3358</v>
          </cell>
          <cell r="BL15">
            <v>84</v>
          </cell>
          <cell r="BM15">
            <v>306</v>
          </cell>
          <cell r="BN15">
            <v>69</v>
          </cell>
          <cell r="BO15">
            <v>1</v>
          </cell>
          <cell r="BP15">
            <v>3818</v>
          </cell>
          <cell r="BQ15">
            <v>23802</v>
          </cell>
          <cell r="BR15">
            <v>370</v>
          </cell>
          <cell r="BS15">
            <v>443</v>
          </cell>
          <cell r="BT15">
            <v>812</v>
          </cell>
          <cell r="BU15">
            <v>24615</v>
          </cell>
          <cell r="BV15">
            <v>10210</v>
          </cell>
          <cell r="BW15">
            <v>2861</v>
          </cell>
          <cell r="BX15">
            <v>451</v>
          </cell>
          <cell r="BY15">
            <v>192</v>
          </cell>
          <cell r="BZ15">
            <v>13714</v>
          </cell>
          <cell r="CA15">
            <v>13714</v>
          </cell>
          <cell r="CB15">
            <v>1822</v>
          </cell>
          <cell r="CC15">
            <v>21</v>
          </cell>
          <cell r="CD15">
            <v>1843</v>
          </cell>
          <cell r="CE15">
            <v>612</v>
          </cell>
          <cell r="CF15">
            <v>26</v>
          </cell>
          <cell r="CG15">
            <v>105</v>
          </cell>
          <cell r="CH15">
            <v>2585</v>
          </cell>
          <cell r="CI15">
            <v>16300</v>
          </cell>
          <cell r="CJ15">
            <v>8315</v>
          </cell>
          <cell r="CK15">
            <v>797</v>
          </cell>
          <cell r="CL15">
            <v>7518</v>
          </cell>
          <cell r="CM15">
            <v>24615</v>
          </cell>
        </row>
        <row r="16">
          <cell r="B16">
            <v>19236</v>
          </cell>
          <cell r="C16">
            <v>3372</v>
          </cell>
          <cell r="D16">
            <v>90</v>
          </cell>
          <cell r="E16">
            <v>323</v>
          </cell>
          <cell r="F16">
            <v>71</v>
          </cell>
          <cell r="G16">
            <v>1</v>
          </cell>
          <cell r="H16">
            <v>3857</v>
          </cell>
          <cell r="I16">
            <v>23093</v>
          </cell>
          <cell r="J16">
            <v>390</v>
          </cell>
          <cell r="K16">
            <v>423</v>
          </cell>
          <cell r="L16">
            <v>813</v>
          </cell>
          <cell r="M16">
            <v>23907</v>
          </cell>
          <cell r="N16">
            <v>10414</v>
          </cell>
          <cell r="O16">
            <v>2102</v>
          </cell>
          <cell r="P16">
            <v>450</v>
          </cell>
          <cell r="Q16">
            <v>225</v>
          </cell>
          <cell r="R16">
            <v>13191</v>
          </cell>
          <cell r="S16">
            <v>13191</v>
          </cell>
          <cell r="T16">
            <v>1789</v>
          </cell>
          <cell r="U16">
            <v>20</v>
          </cell>
          <cell r="V16">
            <v>1809</v>
          </cell>
          <cell r="W16">
            <v>621</v>
          </cell>
          <cell r="X16">
            <v>27</v>
          </cell>
          <cell r="Y16">
            <v>120</v>
          </cell>
          <cell r="Z16">
            <v>2577</v>
          </cell>
          <cell r="AA16">
            <v>15768</v>
          </cell>
          <cell r="AB16">
            <v>8138</v>
          </cell>
          <cell r="AC16">
            <v>444</v>
          </cell>
          <cell r="AD16">
            <v>7694</v>
          </cell>
          <cell r="AE16">
            <v>23907</v>
          </cell>
          <cell r="AF16">
            <v>19159</v>
          </cell>
          <cell r="AG16">
            <v>3392</v>
          </cell>
          <cell r="AH16">
            <v>93</v>
          </cell>
          <cell r="AI16">
            <v>298</v>
          </cell>
          <cell r="AJ16">
            <v>71</v>
          </cell>
          <cell r="AK16">
            <v>1</v>
          </cell>
          <cell r="AL16">
            <v>3855</v>
          </cell>
          <cell r="AM16">
            <v>23014</v>
          </cell>
          <cell r="AN16">
            <v>533</v>
          </cell>
          <cell r="AO16">
            <v>415</v>
          </cell>
          <cell r="AP16">
            <v>948</v>
          </cell>
          <cell r="AQ16">
            <v>23962</v>
          </cell>
          <cell r="AR16">
            <v>10498</v>
          </cell>
          <cell r="AS16">
            <v>2131</v>
          </cell>
          <cell r="AT16">
            <v>443</v>
          </cell>
          <cell r="AU16">
            <v>231</v>
          </cell>
          <cell r="AV16">
            <v>13303</v>
          </cell>
          <cell r="AW16">
            <v>13303</v>
          </cell>
          <cell r="AX16">
            <v>1759</v>
          </cell>
          <cell r="AY16">
            <v>20</v>
          </cell>
          <cell r="AZ16">
            <v>1779</v>
          </cell>
          <cell r="BA16">
            <v>621</v>
          </cell>
          <cell r="BB16">
            <v>27</v>
          </cell>
          <cell r="BC16">
            <v>119</v>
          </cell>
          <cell r="BD16">
            <v>2547</v>
          </cell>
          <cell r="BE16">
            <v>15850</v>
          </cell>
          <cell r="BF16">
            <v>8112</v>
          </cell>
          <cell r="BG16">
            <v>413</v>
          </cell>
          <cell r="BH16">
            <v>7699</v>
          </cell>
          <cell r="BI16">
            <v>23962</v>
          </cell>
          <cell r="BJ16">
            <v>20825</v>
          </cell>
          <cell r="BK16">
            <v>3392</v>
          </cell>
          <cell r="BL16">
            <v>96</v>
          </cell>
          <cell r="BM16">
            <v>298</v>
          </cell>
          <cell r="BN16">
            <v>71</v>
          </cell>
          <cell r="BO16">
            <v>1</v>
          </cell>
          <cell r="BP16">
            <v>3858</v>
          </cell>
          <cell r="BQ16">
            <v>24682</v>
          </cell>
          <cell r="BR16">
            <v>532</v>
          </cell>
          <cell r="BS16">
            <v>405</v>
          </cell>
          <cell r="BT16">
            <v>937</v>
          </cell>
          <cell r="BU16">
            <v>25619</v>
          </cell>
          <cell r="BV16">
            <v>10379</v>
          </cell>
          <cell r="BW16">
            <v>1037</v>
          </cell>
          <cell r="BX16">
            <v>402</v>
          </cell>
          <cell r="BY16">
            <v>251</v>
          </cell>
          <cell r="BZ16">
            <v>12068</v>
          </cell>
          <cell r="CA16">
            <v>12068</v>
          </cell>
          <cell r="CB16">
            <v>2223</v>
          </cell>
          <cell r="CC16">
            <v>20</v>
          </cell>
          <cell r="CD16">
            <v>2243</v>
          </cell>
          <cell r="CE16">
            <v>621</v>
          </cell>
          <cell r="CF16">
            <v>27</v>
          </cell>
          <cell r="CG16">
            <v>116</v>
          </cell>
          <cell r="CH16">
            <v>3007</v>
          </cell>
          <cell r="CI16">
            <v>15074</v>
          </cell>
          <cell r="CJ16">
            <v>10545</v>
          </cell>
          <cell r="CK16">
            <v>2846</v>
          </cell>
          <cell r="CL16">
            <v>7699</v>
          </cell>
          <cell r="CM16">
            <v>25619</v>
          </cell>
        </row>
        <row r="17">
          <cell r="B17">
            <v>19117</v>
          </cell>
          <cell r="C17">
            <v>3301</v>
          </cell>
          <cell r="D17">
            <v>97</v>
          </cell>
          <cell r="E17">
            <v>277</v>
          </cell>
          <cell r="F17">
            <v>71</v>
          </cell>
          <cell r="G17">
            <v>1</v>
          </cell>
          <cell r="H17">
            <v>3747</v>
          </cell>
          <cell r="I17">
            <v>22864</v>
          </cell>
          <cell r="J17">
            <v>411</v>
          </cell>
          <cell r="K17">
            <v>415</v>
          </cell>
          <cell r="L17">
            <v>826</v>
          </cell>
          <cell r="M17">
            <v>23690</v>
          </cell>
          <cell r="N17">
            <v>10245</v>
          </cell>
          <cell r="O17">
            <v>2043</v>
          </cell>
          <cell r="P17">
            <v>439</v>
          </cell>
          <cell r="Q17">
            <v>239</v>
          </cell>
          <cell r="R17">
            <v>12967</v>
          </cell>
          <cell r="S17">
            <v>12967</v>
          </cell>
          <cell r="T17">
            <v>1815</v>
          </cell>
          <cell r="U17">
            <v>21</v>
          </cell>
          <cell r="V17">
            <v>1836</v>
          </cell>
          <cell r="W17">
            <v>629</v>
          </cell>
          <cell r="X17">
            <v>28</v>
          </cell>
          <cell r="Y17">
            <v>127</v>
          </cell>
          <cell r="Z17">
            <v>2619</v>
          </cell>
          <cell r="AA17">
            <v>15586</v>
          </cell>
          <cell r="AB17">
            <v>8104</v>
          </cell>
          <cell r="AC17">
            <v>241</v>
          </cell>
          <cell r="AD17">
            <v>7863</v>
          </cell>
          <cell r="AE17">
            <v>23690</v>
          </cell>
          <cell r="AF17">
            <v>19330</v>
          </cell>
          <cell r="AG17">
            <v>3286</v>
          </cell>
          <cell r="AH17">
            <v>99</v>
          </cell>
          <cell r="AI17">
            <v>391</v>
          </cell>
          <cell r="AJ17">
            <v>72</v>
          </cell>
          <cell r="AK17">
            <v>1</v>
          </cell>
          <cell r="AL17">
            <v>3849</v>
          </cell>
          <cell r="AM17">
            <v>23179</v>
          </cell>
          <cell r="AN17">
            <v>440</v>
          </cell>
          <cell r="AO17">
            <v>412</v>
          </cell>
          <cell r="AP17">
            <v>852</v>
          </cell>
          <cell r="AQ17">
            <v>24032</v>
          </cell>
          <cell r="AR17">
            <v>10206</v>
          </cell>
          <cell r="AS17">
            <v>2195</v>
          </cell>
          <cell r="AT17">
            <v>394</v>
          </cell>
          <cell r="AU17">
            <v>237</v>
          </cell>
          <cell r="AV17">
            <v>13032</v>
          </cell>
          <cell r="AW17">
            <v>13032</v>
          </cell>
          <cell r="AX17">
            <v>1841</v>
          </cell>
          <cell r="AY17">
            <v>23</v>
          </cell>
          <cell r="AZ17">
            <v>1864</v>
          </cell>
          <cell r="BA17">
            <v>629</v>
          </cell>
          <cell r="BB17">
            <v>28</v>
          </cell>
          <cell r="BC17">
            <v>123</v>
          </cell>
          <cell r="BD17">
            <v>2644</v>
          </cell>
          <cell r="BE17">
            <v>15676</v>
          </cell>
          <cell r="BF17">
            <v>8355</v>
          </cell>
          <cell r="BG17">
            <v>492</v>
          </cell>
          <cell r="BH17">
            <v>7863</v>
          </cell>
          <cell r="BI17">
            <v>24032</v>
          </cell>
          <cell r="BJ17">
            <v>17625</v>
          </cell>
          <cell r="BK17">
            <v>3286</v>
          </cell>
          <cell r="BL17">
            <v>82</v>
          </cell>
          <cell r="BM17">
            <v>391</v>
          </cell>
          <cell r="BN17">
            <v>72</v>
          </cell>
          <cell r="BO17">
            <v>1</v>
          </cell>
          <cell r="BP17">
            <v>3832</v>
          </cell>
          <cell r="BQ17">
            <v>21458</v>
          </cell>
          <cell r="BR17">
            <v>452</v>
          </cell>
          <cell r="BS17">
            <v>412</v>
          </cell>
          <cell r="BT17">
            <v>864</v>
          </cell>
          <cell r="BU17">
            <v>22321</v>
          </cell>
          <cell r="BV17">
            <v>10259</v>
          </cell>
          <cell r="BW17">
            <v>3239</v>
          </cell>
          <cell r="BX17">
            <v>409</v>
          </cell>
          <cell r="BY17">
            <v>196</v>
          </cell>
          <cell r="BZ17">
            <v>14104</v>
          </cell>
          <cell r="CA17">
            <v>14104</v>
          </cell>
          <cell r="CB17">
            <v>1508</v>
          </cell>
          <cell r="CC17">
            <v>21</v>
          </cell>
          <cell r="CD17">
            <v>1529</v>
          </cell>
          <cell r="CE17">
            <v>629</v>
          </cell>
          <cell r="CF17">
            <v>28</v>
          </cell>
          <cell r="CG17">
            <v>129</v>
          </cell>
          <cell r="CH17">
            <v>2314</v>
          </cell>
          <cell r="CI17">
            <v>16419</v>
          </cell>
          <cell r="CJ17">
            <v>5903</v>
          </cell>
          <cell r="CK17">
            <v>-1961</v>
          </cell>
          <cell r="CL17">
            <v>7863</v>
          </cell>
          <cell r="CM17">
            <v>22321</v>
          </cell>
        </row>
        <row r="18">
          <cell r="B18">
            <v>19016</v>
          </cell>
          <cell r="C18">
            <v>3122</v>
          </cell>
          <cell r="D18">
            <v>100</v>
          </cell>
          <cell r="E18">
            <v>189</v>
          </cell>
          <cell r="F18">
            <v>69</v>
          </cell>
          <cell r="G18">
            <v>1</v>
          </cell>
          <cell r="H18">
            <v>3481</v>
          </cell>
          <cell r="I18">
            <v>22497</v>
          </cell>
          <cell r="J18">
            <v>442</v>
          </cell>
          <cell r="K18">
            <v>401</v>
          </cell>
          <cell r="L18">
            <v>843</v>
          </cell>
          <cell r="M18">
            <v>23340</v>
          </cell>
          <cell r="N18">
            <v>9839</v>
          </cell>
          <cell r="O18">
            <v>2031</v>
          </cell>
          <cell r="P18">
            <v>361</v>
          </cell>
          <cell r="Q18">
            <v>260</v>
          </cell>
          <cell r="R18">
            <v>12491</v>
          </cell>
          <cell r="S18">
            <v>12491</v>
          </cell>
          <cell r="T18">
            <v>2043</v>
          </cell>
          <cell r="U18">
            <v>23</v>
          </cell>
          <cell r="V18">
            <v>2066</v>
          </cell>
          <cell r="W18">
            <v>637</v>
          </cell>
          <cell r="X18">
            <v>27</v>
          </cell>
          <cell r="Y18">
            <v>139</v>
          </cell>
          <cell r="Z18">
            <v>2869</v>
          </cell>
          <cell r="AA18">
            <v>15360</v>
          </cell>
          <cell r="AB18">
            <v>7980</v>
          </cell>
          <cell r="AC18">
            <v>-44</v>
          </cell>
          <cell r="AD18">
            <v>8023</v>
          </cell>
          <cell r="AE18">
            <v>23340</v>
          </cell>
          <cell r="AF18">
            <v>18939</v>
          </cell>
          <cell r="AG18">
            <v>3111</v>
          </cell>
          <cell r="AH18">
            <v>91</v>
          </cell>
          <cell r="AI18">
            <v>81</v>
          </cell>
          <cell r="AJ18">
            <v>70</v>
          </cell>
          <cell r="AK18">
            <v>1</v>
          </cell>
          <cell r="AL18">
            <v>3354</v>
          </cell>
          <cell r="AM18">
            <v>22293</v>
          </cell>
          <cell r="AN18">
            <v>420</v>
          </cell>
          <cell r="AO18">
            <v>410</v>
          </cell>
          <cell r="AP18">
            <v>830</v>
          </cell>
          <cell r="AQ18">
            <v>23123</v>
          </cell>
          <cell r="AR18">
            <v>9837</v>
          </cell>
          <cell r="AS18">
            <v>1865</v>
          </cell>
          <cell r="AT18">
            <v>539</v>
          </cell>
          <cell r="AU18">
            <v>256</v>
          </cell>
          <cell r="AV18">
            <v>12498</v>
          </cell>
          <cell r="AW18">
            <v>12498</v>
          </cell>
          <cell r="AX18">
            <v>2047</v>
          </cell>
          <cell r="AY18">
            <v>18</v>
          </cell>
          <cell r="AZ18">
            <v>2065</v>
          </cell>
          <cell r="BA18">
            <v>637</v>
          </cell>
          <cell r="BB18">
            <v>27</v>
          </cell>
          <cell r="BC18">
            <v>138</v>
          </cell>
          <cell r="BD18">
            <v>2867</v>
          </cell>
          <cell r="BE18">
            <v>15365</v>
          </cell>
          <cell r="BF18">
            <v>7758</v>
          </cell>
          <cell r="BG18">
            <v>-254</v>
          </cell>
          <cell r="BH18">
            <v>8012</v>
          </cell>
          <cell r="BI18">
            <v>23123</v>
          </cell>
          <cell r="BJ18">
            <v>18001</v>
          </cell>
          <cell r="BK18">
            <v>3111</v>
          </cell>
          <cell r="BL18">
            <v>105</v>
          </cell>
          <cell r="BM18">
            <v>81</v>
          </cell>
          <cell r="BN18">
            <v>70</v>
          </cell>
          <cell r="BO18">
            <v>1</v>
          </cell>
          <cell r="BP18">
            <v>3368</v>
          </cell>
          <cell r="BQ18">
            <v>21369</v>
          </cell>
          <cell r="BR18">
            <v>419</v>
          </cell>
          <cell r="BS18">
            <v>421</v>
          </cell>
          <cell r="BT18">
            <v>841</v>
          </cell>
          <cell r="BU18">
            <v>22209</v>
          </cell>
          <cell r="BV18">
            <v>9917</v>
          </cell>
          <cell r="BW18">
            <v>991</v>
          </cell>
          <cell r="BX18">
            <v>534</v>
          </cell>
          <cell r="BY18">
            <v>327</v>
          </cell>
          <cell r="BZ18">
            <v>11769</v>
          </cell>
          <cell r="CA18">
            <v>11769</v>
          </cell>
          <cell r="CB18">
            <v>1794</v>
          </cell>
          <cell r="CC18">
            <v>18</v>
          </cell>
          <cell r="CD18">
            <v>1812</v>
          </cell>
          <cell r="CE18">
            <v>637</v>
          </cell>
          <cell r="CF18">
            <v>27</v>
          </cell>
          <cell r="CG18">
            <v>155</v>
          </cell>
          <cell r="CH18">
            <v>2631</v>
          </cell>
          <cell r="CI18">
            <v>14400</v>
          </cell>
          <cell r="CJ18">
            <v>7809</v>
          </cell>
          <cell r="CK18">
            <v>-203</v>
          </cell>
          <cell r="CL18">
            <v>8012</v>
          </cell>
          <cell r="CM18">
            <v>22209</v>
          </cell>
        </row>
        <row r="19">
          <cell r="B19">
            <v>19189</v>
          </cell>
          <cell r="C19">
            <v>2897</v>
          </cell>
          <cell r="D19">
            <v>94</v>
          </cell>
          <cell r="E19">
            <v>78</v>
          </cell>
          <cell r="F19">
            <v>66</v>
          </cell>
          <cell r="G19">
            <v>1</v>
          </cell>
          <cell r="H19">
            <v>3136</v>
          </cell>
          <cell r="I19">
            <v>22324</v>
          </cell>
          <cell r="J19">
            <v>476</v>
          </cell>
          <cell r="K19">
            <v>396</v>
          </cell>
          <cell r="L19">
            <v>871</v>
          </cell>
          <cell r="M19">
            <v>23196</v>
          </cell>
          <cell r="N19">
            <v>9387</v>
          </cell>
          <cell r="O19">
            <v>2052</v>
          </cell>
          <cell r="P19">
            <v>218</v>
          </cell>
          <cell r="Q19">
            <v>279</v>
          </cell>
          <cell r="R19">
            <v>11937</v>
          </cell>
          <cell r="S19">
            <v>11937</v>
          </cell>
          <cell r="T19">
            <v>2228</v>
          </cell>
          <cell r="U19">
            <v>24</v>
          </cell>
          <cell r="V19">
            <v>2252</v>
          </cell>
          <cell r="W19">
            <v>645</v>
          </cell>
          <cell r="X19">
            <v>25</v>
          </cell>
          <cell r="Y19">
            <v>153</v>
          </cell>
          <cell r="Z19">
            <v>3075</v>
          </cell>
          <cell r="AA19">
            <v>15012</v>
          </cell>
          <cell r="AB19">
            <v>8184</v>
          </cell>
          <cell r="AC19">
            <v>0</v>
          </cell>
          <cell r="AD19">
            <v>8184</v>
          </cell>
          <cell r="AE19">
            <v>23196</v>
          </cell>
          <cell r="AF19">
            <v>18665</v>
          </cell>
          <cell r="AG19">
            <v>2919</v>
          </cell>
          <cell r="AH19">
            <v>115</v>
          </cell>
          <cell r="AI19">
            <v>169</v>
          </cell>
          <cell r="AJ19">
            <v>65</v>
          </cell>
          <cell r="AK19">
            <v>1</v>
          </cell>
          <cell r="AL19">
            <v>3268</v>
          </cell>
          <cell r="AM19">
            <v>21933</v>
          </cell>
          <cell r="AN19">
            <v>481</v>
          </cell>
          <cell r="AO19">
            <v>386</v>
          </cell>
          <cell r="AP19">
            <v>867</v>
          </cell>
          <cell r="AQ19">
            <v>22800</v>
          </cell>
          <cell r="AR19">
            <v>9363</v>
          </cell>
          <cell r="AS19">
            <v>1923</v>
          </cell>
          <cell r="AT19">
            <v>75</v>
          </cell>
          <cell r="AU19">
            <v>284</v>
          </cell>
          <cell r="AV19">
            <v>11644</v>
          </cell>
          <cell r="AW19">
            <v>11644</v>
          </cell>
          <cell r="AX19">
            <v>2090</v>
          </cell>
          <cell r="AY19">
            <v>30</v>
          </cell>
          <cell r="AZ19">
            <v>2120</v>
          </cell>
          <cell r="BA19">
            <v>644</v>
          </cell>
          <cell r="BB19">
            <v>24</v>
          </cell>
          <cell r="BC19">
            <v>157</v>
          </cell>
          <cell r="BD19">
            <v>2946</v>
          </cell>
          <cell r="BE19">
            <v>14590</v>
          </cell>
          <cell r="BF19">
            <v>8210</v>
          </cell>
          <cell r="BG19">
            <v>25</v>
          </cell>
          <cell r="BH19">
            <v>8186</v>
          </cell>
          <cell r="BI19">
            <v>22800</v>
          </cell>
          <cell r="BJ19">
            <v>19660</v>
          </cell>
          <cell r="BK19">
            <v>2919</v>
          </cell>
          <cell r="BL19">
            <v>112</v>
          </cell>
          <cell r="BM19">
            <v>169</v>
          </cell>
          <cell r="BN19">
            <v>65</v>
          </cell>
          <cell r="BO19">
            <v>1</v>
          </cell>
          <cell r="BP19">
            <v>3266</v>
          </cell>
          <cell r="BQ19">
            <v>22926</v>
          </cell>
          <cell r="BR19">
            <v>472</v>
          </cell>
          <cell r="BS19">
            <v>383</v>
          </cell>
          <cell r="BT19">
            <v>855</v>
          </cell>
          <cell r="BU19">
            <v>23780</v>
          </cell>
          <cell r="BV19">
            <v>9341</v>
          </cell>
          <cell r="BW19">
            <v>2763</v>
          </cell>
          <cell r="BX19">
            <v>112</v>
          </cell>
          <cell r="BY19">
            <v>246</v>
          </cell>
          <cell r="BZ19">
            <v>12461</v>
          </cell>
          <cell r="CA19">
            <v>12461</v>
          </cell>
          <cell r="CB19">
            <v>2190</v>
          </cell>
          <cell r="CC19">
            <v>32</v>
          </cell>
          <cell r="CD19">
            <v>2222</v>
          </cell>
          <cell r="CE19">
            <v>644</v>
          </cell>
          <cell r="CF19">
            <v>24</v>
          </cell>
          <cell r="CG19">
            <v>136</v>
          </cell>
          <cell r="CH19">
            <v>3027</v>
          </cell>
          <cell r="CI19">
            <v>15488</v>
          </cell>
          <cell r="CJ19">
            <v>8292</v>
          </cell>
          <cell r="CK19">
            <v>107</v>
          </cell>
          <cell r="CL19">
            <v>8186</v>
          </cell>
          <cell r="CM19">
            <v>23780</v>
          </cell>
        </row>
        <row r="20">
          <cell r="B20">
            <v>19334</v>
          </cell>
          <cell r="C20">
            <v>2649</v>
          </cell>
          <cell r="D20">
            <v>82</v>
          </cell>
          <cell r="E20">
            <v>10</v>
          </cell>
          <cell r="F20">
            <v>63</v>
          </cell>
          <cell r="G20">
            <v>1</v>
          </cell>
          <cell r="H20">
            <v>2806</v>
          </cell>
          <cell r="I20">
            <v>22140</v>
          </cell>
          <cell r="J20">
            <v>509</v>
          </cell>
          <cell r="K20">
            <v>401</v>
          </cell>
          <cell r="L20">
            <v>910</v>
          </cell>
          <cell r="M20">
            <v>23050</v>
          </cell>
          <cell r="N20">
            <v>8993</v>
          </cell>
          <cell r="O20">
            <v>2141</v>
          </cell>
          <cell r="P20">
            <v>108</v>
          </cell>
          <cell r="Q20">
            <v>288</v>
          </cell>
          <cell r="R20">
            <v>11531</v>
          </cell>
          <cell r="S20">
            <v>11531</v>
          </cell>
          <cell r="T20">
            <v>2243</v>
          </cell>
          <cell r="U20">
            <v>24</v>
          </cell>
          <cell r="V20">
            <v>2267</v>
          </cell>
          <cell r="W20">
            <v>652</v>
          </cell>
          <cell r="X20">
            <v>24</v>
          </cell>
          <cell r="Y20">
            <v>163</v>
          </cell>
          <cell r="Z20">
            <v>3105</v>
          </cell>
          <cell r="AA20">
            <v>14636</v>
          </cell>
          <cell r="AB20">
            <v>8413</v>
          </cell>
          <cell r="AC20">
            <v>82</v>
          </cell>
          <cell r="AD20">
            <v>8332</v>
          </cell>
          <cell r="AE20">
            <v>23050</v>
          </cell>
          <cell r="AF20">
            <v>19976</v>
          </cell>
          <cell r="AG20">
            <v>2637</v>
          </cell>
          <cell r="AH20">
            <v>70</v>
          </cell>
          <cell r="AI20">
            <v>-88</v>
          </cell>
          <cell r="AJ20">
            <v>63</v>
          </cell>
          <cell r="AK20">
            <v>1</v>
          </cell>
          <cell r="AL20">
            <v>2682</v>
          </cell>
          <cell r="AM20">
            <v>22658</v>
          </cell>
          <cell r="AN20">
            <v>509</v>
          </cell>
          <cell r="AO20">
            <v>400</v>
          </cell>
          <cell r="AP20">
            <v>909</v>
          </cell>
          <cell r="AQ20">
            <v>23567</v>
          </cell>
          <cell r="AR20">
            <v>8949</v>
          </cell>
          <cell r="AS20">
            <v>2505</v>
          </cell>
          <cell r="AT20">
            <v>102</v>
          </cell>
          <cell r="AU20">
            <v>294</v>
          </cell>
          <cell r="AV20">
            <v>11851</v>
          </cell>
          <cell r="AW20">
            <v>11851</v>
          </cell>
          <cell r="AX20">
            <v>2620</v>
          </cell>
          <cell r="AY20">
            <v>23</v>
          </cell>
          <cell r="AZ20">
            <v>2644</v>
          </cell>
          <cell r="BA20">
            <v>652</v>
          </cell>
          <cell r="BB20">
            <v>24</v>
          </cell>
          <cell r="BC20">
            <v>162</v>
          </cell>
          <cell r="BD20">
            <v>3482</v>
          </cell>
          <cell r="BE20">
            <v>15332</v>
          </cell>
          <cell r="BF20">
            <v>8235</v>
          </cell>
          <cell r="BG20">
            <v>-99</v>
          </cell>
          <cell r="BH20">
            <v>8334</v>
          </cell>
          <cell r="BI20">
            <v>23567</v>
          </cell>
          <cell r="BJ20">
            <v>21769</v>
          </cell>
          <cell r="BK20">
            <v>2637</v>
          </cell>
          <cell r="BL20">
            <v>73</v>
          </cell>
          <cell r="BM20">
            <v>-88</v>
          </cell>
          <cell r="BN20">
            <v>63</v>
          </cell>
          <cell r="BO20">
            <v>1</v>
          </cell>
          <cell r="BP20">
            <v>2685</v>
          </cell>
          <cell r="BQ20">
            <v>24454</v>
          </cell>
          <cell r="BR20">
            <v>508</v>
          </cell>
          <cell r="BS20">
            <v>392</v>
          </cell>
          <cell r="BT20">
            <v>900</v>
          </cell>
          <cell r="BU20">
            <v>25354</v>
          </cell>
          <cell r="BV20">
            <v>8843</v>
          </cell>
          <cell r="BW20">
            <v>1336</v>
          </cell>
          <cell r="BX20">
            <v>59</v>
          </cell>
          <cell r="BY20">
            <v>321</v>
          </cell>
          <cell r="BZ20">
            <v>10559</v>
          </cell>
          <cell r="CA20">
            <v>10559</v>
          </cell>
          <cell r="CB20">
            <v>3277</v>
          </cell>
          <cell r="CC20">
            <v>23</v>
          </cell>
          <cell r="CD20">
            <v>3300</v>
          </cell>
          <cell r="CE20">
            <v>652</v>
          </cell>
          <cell r="CF20">
            <v>24</v>
          </cell>
          <cell r="CG20">
            <v>158</v>
          </cell>
          <cell r="CH20">
            <v>4134</v>
          </cell>
          <cell r="CI20">
            <v>14693</v>
          </cell>
          <cell r="CJ20">
            <v>10661</v>
          </cell>
          <cell r="CK20">
            <v>2327</v>
          </cell>
          <cell r="CL20">
            <v>8334</v>
          </cell>
          <cell r="CM20">
            <v>25354</v>
          </cell>
        </row>
        <row r="21">
          <cell r="B21">
            <v>18019</v>
          </cell>
          <cell r="C21">
            <v>2425</v>
          </cell>
          <cell r="D21">
            <v>76</v>
          </cell>
          <cell r="E21">
            <v>-13</v>
          </cell>
          <cell r="F21">
            <v>61</v>
          </cell>
          <cell r="G21">
            <v>1</v>
          </cell>
          <cell r="H21">
            <v>2549</v>
          </cell>
          <cell r="I21">
            <v>20568</v>
          </cell>
          <cell r="J21">
            <v>534</v>
          </cell>
          <cell r="K21">
            <v>410</v>
          </cell>
          <cell r="L21">
            <v>944</v>
          </cell>
          <cell r="M21">
            <v>21513</v>
          </cell>
          <cell r="N21">
            <v>8637</v>
          </cell>
          <cell r="O21">
            <v>2174</v>
          </cell>
          <cell r="P21">
            <v>69</v>
          </cell>
          <cell r="Q21">
            <v>286</v>
          </cell>
          <cell r="R21">
            <v>11165</v>
          </cell>
          <cell r="S21">
            <v>11165</v>
          </cell>
          <cell r="T21">
            <v>2140</v>
          </cell>
          <cell r="U21">
            <v>22</v>
          </cell>
          <cell r="V21">
            <v>2162</v>
          </cell>
          <cell r="W21">
            <v>660</v>
          </cell>
          <cell r="X21">
            <v>23</v>
          </cell>
          <cell r="Y21">
            <v>160</v>
          </cell>
          <cell r="Z21">
            <v>3004</v>
          </cell>
          <cell r="AA21">
            <v>14169</v>
          </cell>
          <cell r="AB21">
            <v>7343</v>
          </cell>
          <cell r="AC21">
            <v>-1094</v>
          </cell>
          <cell r="AD21">
            <v>8437</v>
          </cell>
          <cell r="AE21">
            <v>21513</v>
          </cell>
          <cell r="AF21">
            <v>18118</v>
          </cell>
          <cell r="AG21">
            <v>2410</v>
          </cell>
          <cell r="AH21">
            <v>74</v>
          </cell>
          <cell r="AI21">
            <v>57</v>
          </cell>
          <cell r="AJ21">
            <v>61</v>
          </cell>
          <cell r="AK21">
            <v>1</v>
          </cell>
          <cell r="AL21">
            <v>2603</v>
          </cell>
          <cell r="AM21">
            <v>20721</v>
          </cell>
          <cell r="AN21">
            <v>542</v>
          </cell>
          <cell r="AO21">
            <v>409</v>
          </cell>
          <cell r="AP21">
            <v>951</v>
          </cell>
          <cell r="AQ21">
            <v>21672</v>
          </cell>
          <cell r="AR21">
            <v>8645</v>
          </cell>
          <cell r="AS21">
            <v>1815</v>
          </cell>
          <cell r="AT21">
            <v>111</v>
          </cell>
          <cell r="AU21">
            <v>278</v>
          </cell>
          <cell r="AV21">
            <v>10849</v>
          </cell>
          <cell r="AW21">
            <v>10849</v>
          </cell>
          <cell r="AX21">
            <v>1880</v>
          </cell>
          <cell r="AY21">
            <v>19</v>
          </cell>
          <cell r="AZ21">
            <v>1900</v>
          </cell>
          <cell r="BA21">
            <v>660</v>
          </cell>
          <cell r="BB21">
            <v>23</v>
          </cell>
          <cell r="BC21">
            <v>159</v>
          </cell>
          <cell r="BD21">
            <v>2743</v>
          </cell>
          <cell r="BE21">
            <v>13592</v>
          </cell>
          <cell r="BF21">
            <v>8080</v>
          </cell>
          <cell r="BG21">
            <v>-362</v>
          </cell>
          <cell r="BH21">
            <v>8442</v>
          </cell>
          <cell r="BI21">
            <v>21672</v>
          </cell>
          <cell r="BJ21">
            <v>16291</v>
          </cell>
          <cell r="BK21">
            <v>2410</v>
          </cell>
          <cell r="BL21">
            <v>59</v>
          </cell>
          <cell r="BM21">
            <v>57</v>
          </cell>
          <cell r="BN21">
            <v>61</v>
          </cell>
          <cell r="BO21">
            <v>1</v>
          </cell>
          <cell r="BP21">
            <v>2588</v>
          </cell>
          <cell r="BQ21">
            <v>18880</v>
          </cell>
          <cell r="BR21">
            <v>555</v>
          </cell>
          <cell r="BS21">
            <v>405</v>
          </cell>
          <cell r="BT21">
            <v>961</v>
          </cell>
          <cell r="BU21">
            <v>19840</v>
          </cell>
          <cell r="BV21">
            <v>8716</v>
          </cell>
          <cell r="BW21">
            <v>2691</v>
          </cell>
          <cell r="BX21">
            <v>118</v>
          </cell>
          <cell r="BY21">
            <v>231</v>
          </cell>
          <cell r="BZ21">
            <v>11755</v>
          </cell>
          <cell r="CA21">
            <v>11755</v>
          </cell>
          <cell r="CB21">
            <v>1566</v>
          </cell>
          <cell r="CC21">
            <v>18</v>
          </cell>
          <cell r="CD21">
            <v>1584</v>
          </cell>
          <cell r="CE21">
            <v>660</v>
          </cell>
          <cell r="CF21">
            <v>23</v>
          </cell>
          <cell r="CG21">
            <v>166</v>
          </cell>
          <cell r="CH21">
            <v>2433</v>
          </cell>
          <cell r="CI21">
            <v>14188</v>
          </cell>
          <cell r="CJ21">
            <v>5652</v>
          </cell>
          <cell r="CK21">
            <v>-2790</v>
          </cell>
          <cell r="CL21">
            <v>8442</v>
          </cell>
          <cell r="CM21">
            <v>19840</v>
          </cell>
        </row>
        <row r="22">
          <cell r="B22">
            <v>17969</v>
          </cell>
          <cell r="C22">
            <v>2250</v>
          </cell>
          <cell r="D22">
            <v>82</v>
          </cell>
          <cell r="E22">
            <v>1</v>
          </cell>
          <cell r="F22">
            <v>59</v>
          </cell>
          <cell r="G22">
            <v>1</v>
          </cell>
          <cell r="H22">
            <v>2392</v>
          </cell>
          <cell r="I22">
            <v>20361</v>
          </cell>
          <cell r="J22">
            <v>545</v>
          </cell>
          <cell r="K22">
            <v>411</v>
          </cell>
          <cell r="L22">
            <v>956</v>
          </cell>
          <cell r="M22">
            <v>21317</v>
          </cell>
          <cell r="N22">
            <v>8216</v>
          </cell>
          <cell r="O22">
            <v>2013</v>
          </cell>
          <cell r="P22">
            <v>77</v>
          </cell>
          <cell r="Q22">
            <v>274</v>
          </cell>
          <cell r="R22">
            <v>10579</v>
          </cell>
          <cell r="S22">
            <v>10579</v>
          </cell>
          <cell r="T22">
            <v>2109</v>
          </cell>
          <cell r="U22">
            <v>19</v>
          </cell>
          <cell r="V22">
            <v>2128</v>
          </cell>
          <cell r="W22">
            <v>667</v>
          </cell>
          <cell r="X22">
            <v>23</v>
          </cell>
          <cell r="Y22">
            <v>153</v>
          </cell>
          <cell r="Z22">
            <v>2970</v>
          </cell>
          <cell r="AA22">
            <v>13550</v>
          </cell>
          <cell r="AB22">
            <v>7767</v>
          </cell>
          <cell r="AC22">
            <v>-723</v>
          </cell>
          <cell r="AD22">
            <v>8490</v>
          </cell>
          <cell r="AE22">
            <v>21317</v>
          </cell>
          <cell r="AF22">
            <v>17378</v>
          </cell>
          <cell r="AG22">
            <v>2235</v>
          </cell>
          <cell r="AH22">
            <v>80</v>
          </cell>
          <cell r="AI22">
            <v>-22</v>
          </cell>
          <cell r="AJ22">
            <v>59</v>
          </cell>
          <cell r="AK22">
            <v>1</v>
          </cell>
          <cell r="AL22">
            <v>2353</v>
          </cell>
          <cell r="AM22">
            <v>19731</v>
          </cell>
          <cell r="AN22">
            <v>538</v>
          </cell>
          <cell r="AO22">
            <v>432</v>
          </cell>
          <cell r="AP22">
            <v>969</v>
          </cell>
          <cell r="AQ22">
            <v>20700</v>
          </cell>
          <cell r="AR22">
            <v>8238</v>
          </cell>
          <cell r="AS22">
            <v>2302</v>
          </cell>
          <cell r="AT22">
            <v>78</v>
          </cell>
          <cell r="AU22">
            <v>278</v>
          </cell>
          <cell r="AV22">
            <v>10896</v>
          </cell>
          <cell r="AW22">
            <v>10896</v>
          </cell>
          <cell r="AX22">
            <v>2055</v>
          </cell>
          <cell r="AY22">
            <v>20</v>
          </cell>
          <cell r="AZ22">
            <v>2075</v>
          </cell>
          <cell r="BA22">
            <v>667</v>
          </cell>
          <cell r="BB22">
            <v>24</v>
          </cell>
          <cell r="BC22">
            <v>162</v>
          </cell>
          <cell r="BD22">
            <v>2929</v>
          </cell>
          <cell r="BE22">
            <v>13825</v>
          </cell>
          <cell r="BF22">
            <v>6875</v>
          </cell>
          <cell r="BG22">
            <v>-1634</v>
          </cell>
          <cell r="BH22">
            <v>8510</v>
          </cell>
          <cell r="BI22">
            <v>20700</v>
          </cell>
          <cell r="BJ22">
            <v>16690</v>
          </cell>
          <cell r="BK22">
            <v>2235</v>
          </cell>
          <cell r="BL22">
            <v>98</v>
          </cell>
          <cell r="BM22">
            <v>-22</v>
          </cell>
          <cell r="BN22">
            <v>59</v>
          </cell>
          <cell r="BO22">
            <v>1</v>
          </cell>
          <cell r="BP22">
            <v>2372</v>
          </cell>
          <cell r="BQ22">
            <v>19061</v>
          </cell>
          <cell r="BR22">
            <v>535</v>
          </cell>
          <cell r="BS22">
            <v>453</v>
          </cell>
          <cell r="BT22">
            <v>988</v>
          </cell>
          <cell r="BU22">
            <v>20050</v>
          </cell>
          <cell r="BV22">
            <v>8283</v>
          </cell>
          <cell r="BW22">
            <v>1405</v>
          </cell>
          <cell r="BX22">
            <v>72</v>
          </cell>
          <cell r="BY22">
            <v>354</v>
          </cell>
          <cell r="BZ22">
            <v>10115</v>
          </cell>
          <cell r="CA22">
            <v>10115</v>
          </cell>
          <cell r="CB22">
            <v>1797</v>
          </cell>
          <cell r="CC22">
            <v>21</v>
          </cell>
          <cell r="CD22">
            <v>1818</v>
          </cell>
          <cell r="CE22">
            <v>667</v>
          </cell>
          <cell r="CF22">
            <v>24</v>
          </cell>
          <cell r="CG22">
            <v>188</v>
          </cell>
          <cell r="CH22">
            <v>2697</v>
          </cell>
          <cell r="CI22">
            <v>12812</v>
          </cell>
          <cell r="CJ22">
            <v>7238</v>
          </cell>
          <cell r="CK22">
            <v>-1272</v>
          </cell>
          <cell r="CL22">
            <v>8510</v>
          </cell>
          <cell r="CM22">
            <v>20050</v>
          </cell>
        </row>
        <row r="23">
          <cell r="B23">
            <v>18327</v>
          </cell>
          <cell r="C23">
            <v>2102</v>
          </cell>
          <cell r="D23">
            <v>99</v>
          </cell>
          <cell r="E23">
            <v>48</v>
          </cell>
          <cell r="F23">
            <v>57</v>
          </cell>
          <cell r="G23">
            <v>1</v>
          </cell>
          <cell r="H23">
            <v>2306</v>
          </cell>
          <cell r="I23">
            <v>20633</v>
          </cell>
          <cell r="J23">
            <v>555</v>
          </cell>
          <cell r="K23">
            <v>402</v>
          </cell>
          <cell r="L23">
            <v>957</v>
          </cell>
          <cell r="M23">
            <v>21589</v>
          </cell>
          <cell r="N23">
            <v>7586</v>
          </cell>
          <cell r="O23">
            <v>1865</v>
          </cell>
          <cell r="P23">
            <v>61</v>
          </cell>
          <cell r="Q23">
            <v>259</v>
          </cell>
          <cell r="R23">
            <v>9771</v>
          </cell>
          <cell r="S23">
            <v>9771</v>
          </cell>
          <cell r="T23">
            <v>2277</v>
          </cell>
          <cell r="U23">
            <v>19</v>
          </cell>
          <cell r="V23">
            <v>2296</v>
          </cell>
          <cell r="W23">
            <v>674</v>
          </cell>
          <cell r="X23">
            <v>22</v>
          </cell>
          <cell r="Y23">
            <v>153</v>
          </cell>
          <cell r="Z23">
            <v>3145</v>
          </cell>
          <cell r="AA23">
            <v>12916</v>
          </cell>
          <cell r="AB23">
            <v>8673</v>
          </cell>
          <cell r="AC23">
            <v>152</v>
          </cell>
          <cell r="AD23">
            <v>8521</v>
          </cell>
          <cell r="AE23">
            <v>21589</v>
          </cell>
          <cell r="AF23">
            <v>18616</v>
          </cell>
          <cell r="AG23">
            <v>2133</v>
          </cell>
          <cell r="AH23">
            <v>101</v>
          </cell>
          <cell r="AI23">
            <v>-2</v>
          </cell>
          <cell r="AJ23">
            <v>57</v>
          </cell>
          <cell r="AK23">
            <v>1</v>
          </cell>
          <cell r="AL23">
            <v>2290</v>
          </cell>
          <cell r="AM23">
            <v>20906</v>
          </cell>
          <cell r="AN23">
            <v>553</v>
          </cell>
          <cell r="AO23">
            <v>382</v>
          </cell>
          <cell r="AP23">
            <v>935</v>
          </cell>
          <cell r="AQ23">
            <v>21840</v>
          </cell>
          <cell r="AR23">
            <v>7668</v>
          </cell>
          <cell r="AS23">
            <v>1801</v>
          </cell>
          <cell r="AT23">
            <v>32</v>
          </cell>
          <cell r="AU23">
            <v>263</v>
          </cell>
          <cell r="AV23">
            <v>9765</v>
          </cell>
          <cell r="AW23">
            <v>9765</v>
          </cell>
          <cell r="AX23">
            <v>2339</v>
          </cell>
          <cell r="AY23">
            <v>19</v>
          </cell>
          <cell r="AZ23">
            <v>2358</v>
          </cell>
          <cell r="BA23">
            <v>673</v>
          </cell>
          <cell r="BB23">
            <v>38</v>
          </cell>
          <cell r="BC23">
            <v>184</v>
          </cell>
          <cell r="BD23">
            <v>3253</v>
          </cell>
          <cell r="BE23">
            <v>13018</v>
          </cell>
          <cell r="BF23">
            <v>8822</v>
          </cell>
          <cell r="BG23">
            <v>322</v>
          </cell>
          <cell r="BH23">
            <v>8500</v>
          </cell>
          <cell r="BI23">
            <v>21840</v>
          </cell>
          <cell r="BJ23">
            <v>19485</v>
          </cell>
          <cell r="BK23">
            <v>2077</v>
          </cell>
          <cell r="BL23">
            <v>93</v>
          </cell>
          <cell r="BM23">
            <v>-2</v>
          </cell>
          <cell r="BN23">
            <v>57</v>
          </cell>
          <cell r="BO23">
            <v>1</v>
          </cell>
          <cell r="BP23">
            <v>2226</v>
          </cell>
          <cell r="BQ23">
            <v>21711</v>
          </cell>
          <cell r="BR23">
            <v>544</v>
          </cell>
          <cell r="BS23">
            <v>374</v>
          </cell>
          <cell r="BT23">
            <v>918</v>
          </cell>
          <cell r="BU23">
            <v>22629</v>
          </cell>
          <cell r="BV23">
            <v>7445</v>
          </cell>
          <cell r="BW23">
            <v>2579</v>
          </cell>
          <cell r="BX23">
            <v>79</v>
          </cell>
          <cell r="BY23">
            <v>228</v>
          </cell>
          <cell r="BZ23">
            <v>10331</v>
          </cell>
          <cell r="CA23">
            <v>10331</v>
          </cell>
          <cell r="CB23">
            <v>2555</v>
          </cell>
          <cell r="CC23">
            <v>20</v>
          </cell>
          <cell r="CD23">
            <v>2575</v>
          </cell>
          <cell r="CE23">
            <v>673</v>
          </cell>
          <cell r="CF23">
            <v>40</v>
          </cell>
          <cell r="CG23">
            <v>164</v>
          </cell>
          <cell r="CH23">
            <v>3452</v>
          </cell>
          <cell r="CI23">
            <v>13783</v>
          </cell>
          <cell r="CJ23">
            <v>8846</v>
          </cell>
          <cell r="CK23">
            <v>346</v>
          </cell>
          <cell r="CL23">
            <v>8500</v>
          </cell>
          <cell r="CM23">
            <v>22629</v>
          </cell>
        </row>
        <row r="24">
          <cell r="B24">
            <v>19083</v>
          </cell>
          <cell r="C24">
            <v>1959</v>
          </cell>
          <cell r="D24">
            <v>104</v>
          </cell>
          <cell r="E24">
            <v>38</v>
          </cell>
          <cell r="F24">
            <v>55</v>
          </cell>
          <cell r="G24">
            <v>1</v>
          </cell>
          <cell r="H24">
            <v>2156</v>
          </cell>
          <cell r="I24">
            <v>21239</v>
          </cell>
          <cell r="J24">
            <v>563</v>
          </cell>
          <cell r="K24">
            <v>395</v>
          </cell>
          <cell r="L24">
            <v>958</v>
          </cell>
          <cell r="M24">
            <v>22197</v>
          </cell>
          <cell r="N24">
            <v>6822</v>
          </cell>
          <cell r="O24">
            <v>1883</v>
          </cell>
          <cell r="P24">
            <v>34</v>
          </cell>
          <cell r="Q24">
            <v>250</v>
          </cell>
          <cell r="R24">
            <v>8989</v>
          </cell>
          <cell r="S24">
            <v>8989</v>
          </cell>
          <cell r="T24">
            <v>2526</v>
          </cell>
          <cell r="U24">
            <v>20</v>
          </cell>
          <cell r="V24">
            <v>2545</v>
          </cell>
          <cell r="W24">
            <v>681</v>
          </cell>
          <cell r="X24">
            <v>21</v>
          </cell>
          <cell r="Y24">
            <v>161</v>
          </cell>
          <cell r="Z24">
            <v>3408</v>
          </cell>
          <cell r="AA24">
            <v>12397</v>
          </cell>
          <cell r="AB24">
            <v>9801</v>
          </cell>
          <cell r="AC24">
            <v>1229</v>
          </cell>
          <cell r="AD24">
            <v>8571</v>
          </cell>
          <cell r="AE24">
            <v>22197</v>
          </cell>
          <cell r="AF24">
            <v>18875</v>
          </cell>
          <cell r="AG24">
            <v>1953</v>
          </cell>
          <cell r="AH24">
            <v>107</v>
          </cell>
          <cell r="AI24">
            <v>154</v>
          </cell>
          <cell r="AJ24">
            <v>55</v>
          </cell>
          <cell r="AK24">
            <v>1</v>
          </cell>
          <cell r="AL24">
            <v>2269</v>
          </cell>
          <cell r="AM24">
            <v>21144</v>
          </cell>
          <cell r="AN24">
            <v>564</v>
          </cell>
          <cell r="AO24">
            <v>401</v>
          </cell>
          <cell r="AP24">
            <v>965</v>
          </cell>
          <cell r="AQ24">
            <v>22108</v>
          </cell>
          <cell r="AR24">
            <v>6820</v>
          </cell>
          <cell r="AS24">
            <v>1635</v>
          </cell>
          <cell r="AT24">
            <v>79</v>
          </cell>
          <cell r="AU24">
            <v>238</v>
          </cell>
          <cell r="AV24">
            <v>8771</v>
          </cell>
          <cell r="AW24">
            <v>8771</v>
          </cell>
          <cell r="AX24">
            <v>2532</v>
          </cell>
          <cell r="AY24">
            <v>19</v>
          </cell>
          <cell r="AZ24">
            <v>2551</v>
          </cell>
          <cell r="BA24">
            <v>681</v>
          </cell>
          <cell r="BB24">
            <v>24</v>
          </cell>
          <cell r="BC24">
            <v>176</v>
          </cell>
          <cell r="BD24">
            <v>3431</v>
          </cell>
          <cell r="BE24">
            <v>12203</v>
          </cell>
          <cell r="BF24">
            <v>9906</v>
          </cell>
          <cell r="BG24">
            <v>1338</v>
          </cell>
          <cell r="BH24">
            <v>8568</v>
          </cell>
          <cell r="BI24">
            <v>22108</v>
          </cell>
          <cell r="BJ24">
            <v>20442</v>
          </cell>
          <cell r="BK24">
            <v>1954</v>
          </cell>
          <cell r="BL24">
            <v>112</v>
          </cell>
          <cell r="BM24">
            <v>154</v>
          </cell>
          <cell r="BN24">
            <v>55</v>
          </cell>
          <cell r="BO24">
            <v>1</v>
          </cell>
          <cell r="BP24">
            <v>2276</v>
          </cell>
          <cell r="BQ24">
            <v>22717</v>
          </cell>
          <cell r="BR24">
            <v>563</v>
          </cell>
          <cell r="BS24">
            <v>394</v>
          </cell>
          <cell r="BT24">
            <v>957</v>
          </cell>
          <cell r="BU24">
            <v>23674</v>
          </cell>
          <cell r="BV24">
            <v>6652</v>
          </cell>
          <cell r="BW24">
            <v>1000</v>
          </cell>
          <cell r="BX24">
            <v>33</v>
          </cell>
          <cell r="BY24">
            <v>242</v>
          </cell>
          <cell r="BZ24">
            <v>7927</v>
          </cell>
          <cell r="CA24">
            <v>7927</v>
          </cell>
          <cell r="CB24">
            <v>3090</v>
          </cell>
          <cell r="CC24">
            <v>19</v>
          </cell>
          <cell r="CD24">
            <v>3109</v>
          </cell>
          <cell r="CE24">
            <v>681</v>
          </cell>
          <cell r="CF24">
            <v>26</v>
          </cell>
          <cell r="CG24">
            <v>179</v>
          </cell>
          <cell r="CH24">
            <v>3995</v>
          </cell>
          <cell r="CI24">
            <v>11922</v>
          </cell>
          <cell r="CJ24">
            <v>11753</v>
          </cell>
          <cell r="CK24">
            <v>3185</v>
          </cell>
          <cell r="CL24">
            <v>8568</v>
          </cell>
          <cell r="CM24">
            <v>23674</v>
          </cell>
        </row>
        <row r="25">
          <cell r="B25">
            <v>19447</v>
          </cell>
          <cell r="C25">
            <v>1805</v>
          </cell>
          <cell r="D25">
            <v>97</v>
          </cell>
          <cell r="E25">
            <v>56</v>
          </cell>
          <cell r="F25">
            <v>53</v>
          </cell>
          <cell r="G25">
            <v>1</v>
          </cell>
          <cell r="H25">
            <v>2012</v>
          </cell>
          <cell r="I25">
            <v>21459</v>
          </cell>
          <cell r="J25">
            <v>564</v>
          </cell>
          <cell r="K25">
            <v>397</v>
          </cell>
          <cell r="L25">
            <v>961</v>
          </cell>
          <cell r="M25">
            <v>22420</v>
          </cell>
          <cell r="N25">
            <v>6102</v>
          </cell>
          <cell r="O25">
            <v>1964</v>
          </cell>
          <cell r="P25">
            <v>48</v>
          </cell>
          <cell r="Q25">
            <v>243</v>
          </cell>
          <cell r="R25">
            <v>8356</v>
          </cell>
          <cell r="S25">
            <v>8356</v>
          </cell>
          <cell r="T25">
            <v>2606</v>
          </cell>
          <cell r="U25">
            <v>19</v>
          </cell>
          <cell r="V25">
            <v>2625</v>
          </cell>
          <cell r="W25">
            <v>690</v>
          </cell>
          <cell r="X25">
            <v>21</v>
          </cell>
          <cell r="Y25">
            <v>173</v>
          </cell>
          <cell r="Z25">
            <v>3509</v>
          </cell>
          <cell r="AA25">
            <v>11865</v>
          </cell>
          <cell r="AB25">
            <v>10555</v>
          </cell>
          <cell r="AC25">
            <v>1882</v>
          </cell>
          <cell r="AD25">
            <v>8673</v>
          </cell>
          <cell r="AE25">
            <v>22420</v>
          </cell>
          <cell r="AF25">
            <v>19921</v>
          </cell>
          <cell r="AG25">
            <v>1787</v>
          </cell>
          <cell r="AH25">
            <v>106</v>
          </cell>
          <cell r="AI25">
            <v>3</v>
          </cell>
          <cell r="AJ25">
            <v>53</v>
          </cell>
          <cell r="AK25">
            <v>1</v>
          </cell>
          <cell r="AL25">
            <v>1950</v>
          </cell>
          <cell r="AM25">
            <v>21871</v>
          </cell>
          <cell r="AN25">
            <v>568</v>
          </cell>
          <cell r="AO25">
            <v>400</v>
          </cell>
          <cell r="AP25">
            <v>968</v>
          </cell>
          <cell r="AQ25">
            <v>22838</v>
          </cell>
          <cell r="AR25">
            <v>5972</v>
          </cell>
          <cell r="AS25">
            <v>2203</v>
          </cell>
          <cell r="AT25">
            <v>53</v>
          </cell>
          <cell r="AU25">
            <v>249</v>
          </cell>
          <cell r="AV25">
            <v>8477</v>
          </cell>
          <cell r="AW25">
            <v>8477</v>
          </cell>
          <cell r="AX25">
            <v>2692</v>
          </cell>
          <cell r="AY25">
            <v>20</v>
          </cell>
          <cell r="AZ25">
            <v>2713</v>
          </cell>
          <cell r="BA25">
            <v>689</v>
          </cell>
          <cell r="BB25">
            <v>19</v>
          </cell>
          <cell r="BC25">
            <v>172</v>
          </cell>
          <cell r="BD25">
            <v>3593</v>
          </cell>
          <cell r="BE25">
            <v>12070</v>
          </cell>
          <cell r="BF25">
            <v>10768</v>
          </cell>
          <cell r="BG25">
            <v>2097</v>
          </cell>
          <cell r="BH25">
            <v>8672</v>
          </cell>
          <cell r="BI25">
            <v>22838</v>
          </cell>
          <cell r="BJ25">
            <v>18342</v>
          </cell>
          <cell r="BK25">
            <v>1784</v>
          </cell>
          <cell r="BL25">
            <v>81</v>
          </cell>
          <cell r="BM25">
            <v>3</v>
          </cell>
          <cell r="BN25">
            <v>53</v>
          </cell>
          <cell r="BO25">
            <v>1</v>
          </cell>
          <cell r="BP25">
            <v>1922</v>
          </cell>
          <cell r="BQ25">
            <v>20264</v>
          </cell>
          <cell r="BR25">
            <v>580</v>
          </cell>
          <cell r="BS25">
            <v>393</v>
          </cell>
          <cell r="BT25">
            <v>973</v>
          </cell>
          <cell r="BU25">
            <v>21237</v>
          </cell>
          <cell r="BV25">
            <v>5990</v>
          </cell>
          <cell r="BW25">
            <v>2995</v>
          </cell>
          <cell r="BX25">
            <v>64</v>
          </cell>
          <cell r="BY25">
            <v>246</v>
          </cell>
          <cell r="BZ25">
            <v>9296</v>
          </cell>
          <cell r="CA25">
            <v>9296</v>
          </cell>
          <cell r="CB25">
            <v>2350</v>
          </cell>
          <cell r="CC25">
            <v>19</v>
          </cell>
          <cell r="CD25">
            <v>2369</v>
          </cell>
          <cell r="CE25">
            <v>689</v>
          </cell>
          <cell r="CF25">
            <v>16</v>
          </cell>
          <cell r="CG25">
            <v>169</v>
          </cell>
          <cell r="CH25">
            <v>3244</v>
          </cell>
          <cell r="CI25">
            <v>12539</v>
          </cell>
          <cell r="CJ25">
            <v>8698</v>
          </cell>
          <cell r="CK25">
            <v>26</v>
          </cell>
          <cell r="CL25">
            <v>8672</v>
          </cell>
          <cell r="CM25">
            <v>21237</v>
          </cell>
        </row>
        <row r="26">
          <cell r="B26">
            <v>19508</v>
          </cell>
          <cell r="C26">
            <v>1655</v>
          </cell>
          <cell r="D26">
            <v>94</v>
          </cell>
          <cell r="E26">
            <v>90</v>
          </cell>
          <cell r="F26">
            <v>51</v>
          </cell>
          <cell r="G26">
            <v>1</v>
          </cell>
          <cell r="H26">
            <v>1891</v>
          </cell>
          <cell r="I26">
            <v>21399</v>
          </cell>
          <cell r="J26">
            <v>555</v>
          </cell>
          <cell r="K26">
            <v>407</v>
          </cell>
          <cell r="L26">
            <v>962</v>
          </cell>
          <cell r="M26">
            <v>22361</v>
          </cell>
          <cell r="N26">
            <v>5591</v>
          </cell>
          <cell r="O26">
            <v>2110</v>
          </cell>
          <cell r="P26">
            <v>154</v>
          </cell>
          <cell r="Q26">
            <v>239</v>
          </cell>
          <cell r="R26">
            <v>8094</v>
          </cell>
          <cell r="S26">
            <v>8094</v>
          </cell>
          <cell r="T26">
            <v>2648</v>
          </cell>
          <cell r="U26">
            <v>18</v>
          </cell>
          <cell r="V26">
            <v>2666</v>
          </cell>
          <cell r="W26">
            <v>700</v>
          </cell>
          <cell r="X26">
            <v>24</v>
          </cell>
          <cell r="Y26">
            <v>182</v>
          </cell>
          <cell r="Z26">
            <v>3572</v>
          </cell>
          <cell r="AA26">
            <v>11666</v>
          </cell>
          <cell r="AB26">
            <v>10695</v>
          </cell>
          <cell r="AC26">
            <v>1874</v>
          </cell>
          <cell r="AD26">
            <v>8821</v>
          </cell>
          <cell r="AE26">
            <v>22361</v>
          </cell>
          <cell r="AF26">
            <v>19451</v>
          </cell>
          <cell r="AG26">
            <v>1700</v>
          </cell>
          <cell r="AH26">
            <v>76</v>
          </cell>
          <cell r="AI26">
            <v>-18</v>
          </cell>
          <cell r="AJ26">
            <v>52</v>
          </cell>
          <cell r="AK26">
            <v>1</v>
          </cell>
          <cell r="AL26">
            <v>1810</v>
          </cell>
          <cell r="AM26">
            <v>21261</v>
          </cell>
          <cell r="AN26">
            <v>553</v>
          </cell>
          <cell r="AO26">
            <v>405</v>
          </cell>
          <cell r="AP26">
            <v>958</v>
          </cell>
          <cell r="AQ26">
            <v>22219</v>
          </cell>
          <cell r="AR26">
            <v>5672</v>
          </cell>
          <cell r="AS26">
            <v>2105</v>
          </cell>
          <cell r="AT26">
            <v>32</v>
          </cell>
          <cell r="AU26">
            <v>249</v>
          </cell>
          <cell r="AV26">
            <v>8058</v>
          </cell>
          <cell r="AW26">
            <v>8058</v>
          </cell>
          <cell r="AX26">
            <v>2551</v>
          </cell>
          <cell r="AY26">
            <v>18</v>
          </cell>
          <cell r="AZ26">
            <v>2569</v>
          </cell>
          <cell r="BA26">
            <v>699</v>
          </cell>
          <cell r="BB26">
            <v>22</v>
          </cell>
          <cell r="BC26">
            <v>178</v>
          </cell>
          <cell r="BD26">
            <v>3468</v>
          </cell>
          <cell r="BE26">
            <v>11526</v>
          </cell>
          <cell r="BF26">
            <v>10693</v>
          </cell>
          <cell r="BG26">
            <v>1882</v>
          </cell>
          <cell r="BH26">
            <v>8812</v>
          </cell>
          <cell r="BI26">
            <v>22219</v>
          </cell>
          <cell r="BJ26">
            <v>18483</v>
          </cell>
          <cell r="BK26">
            <v>1745</v>
          </cell>
          <cell r="BL26">
            <v>101</v>
          </cell>
          <cell r="BM26">
            <v>-18</v>
          </cell>
          <cell r="BN26">
            <v>52</v>
          </cell>
          <cell r="BO26">
            <v>1</v>
          </cell>
          <cell r="BP26">
            <v>1881</v>
          </cell>
          <cell r="BQ26">
            <v>20364</v>
          </cell>
          <cell r="BR26">
            <v>550</v>
          </cell>
          <cell r="BS26">
            <v>428</v>
          </cell>
          <cell r="BT26">
            <v>978</v>
          </cell>
          <cell r="BU26">
            <v>21342</v>
          </cell>
          <cell r="BV26">
            <v>5989</v>
          </cell>
          <cell r="BW26">
            <v>1350</v>
          </cell>
          <cell r="BX26">
            <v>11</v>
          </cell>
          <cell r="BY26">
            <v>243</v>
          </cell>
          <cell r="BZ26">
            <v>7593</v>
          </cell>
          <cell r="CA26">
            <v>7593</v>
          </cell>
          <cell r="CB26">
            <v>2138</v>
          </cell>
          <cell r="CC26">
            <v>19</v>
          </cell>
          <cell r="CD26">
            <v>2157</v>
          </cell>
          <cell r="CE26">
            <v>699</v>
          </cell>
          <cell r="CF26">
            <v>21</v>
          </cell>
          <cell r="CG26">
            <v>203</v>
          </cell>
          <cell r="CH26">
            <v>3081</v>
          </cell>
          <cell r="CI26">
            <v>10674</v>
          </cell>
          <cell r="CJ26">
            <v>10668</v>
          </cell>
          <cell r="CK26">
            <v>1856</v>
          </cell>
          <cell r="CL26">
            <v>8812</v>
          </cell>
          <cell r="CM26">
            <v>21342</v>
          </cell>
        </row>
        <row r="27">
          <cell r="B27">
            <v>19692</v>
          </cell>
          <cell r="C27">
            <v>1534</v>
          </cell>
          <cell r="D27">
            <v>99</v>
          </cell>
          <cell r="E27">
            <v>162</v>
          </cell>
          <cell r="F27">
            <v>49</v>
          </cell>
          <cell r="G27">
            <v>1</v>
          </cell>
          <cell r="H27">
            <v>1845</v>
          </cell>
          <cell r="I27">
            <v>21537</v>
          </cell>
          <cell r="J27">
            <v>539</v>
          </cell>
          <cell r="K27">
            <v>422</v>
          </cell>
          <cell r="L27">
            <v>962</v>
          </cell>
          <cell r="M27">
            <v>22499</v>
          </cell>
          <cell r="N27">
            <v>5320</v>
          </cell>
          <cell r="O27">
            <v>2189</v>
          </cell>
          <cell r="P27">
            <v>303</v>
          </cell>
          <cell r="Q27">
            <v>237</v>
          </cell>
          <cell r="R27">
            <v>8050</v>
          </cell>
          <cell r="S27">
            <v>8050</v>
          </cell>
          <cell r="T27">
            <v>2712</v>
          </cell>
          <cell r="U27">
            <v>17</v>
          </cell>
          <cell r="V27">
            <v>2729</v>
          </cell>
          <cell r="W27">
            <v>710</v>
          </cell>
          <cell r="X27">
            <v>26</v>
          </cell>
          <cell r="Y27">
            <v>184</v>
          </cell>
          <cell r="Z27">
            <v>3649</v>
          </cell>
          <cell r="AA27">
            <v>11699</v>
          </cell>
          <cell r="AB27">
            <v>10800</v>
          </cell>
          <cell r="AC27">
            <v>1817</v>
          </cell>
          <cell r="AD27">
            <v>8982</v>
          </cell>
          <cell r="AE27">
            <v>22499</v>
          </cell>
          <cell r="AF27">
            <v>19103</v>
          </cell>
          <cell r="AG27">
            <v>1489</v>
          </cell>
          <cell r="AH27">
            <v>98</v>
          </cell>
          <cell r="AI27">
            <v>347</v>
          </cell>
          <cell r="AJ27">
            <v>49</v>
          </cell>
          <cell r="AK27">
            <v>1</v>
          </cell>
          <cell r="AL27">
            <v>1984</v>
          </cell>
          <cell r="AM27">
            <v>21086</v>
          </cell>
          <cell r="AN27">
            <v>539</v>
          </cell>
          <cell r="AO27">
            <v>417</v>
          </cell>
          <cell r="AP27">
            <v>956</v>
          </cell>
          <cell r="AQ27">
            <v>22043</v>
          </cell>
          <cell r="AR27">
            <v>5233</v>
          </cell>
          <cell r="AS27">
            <v>2047</v>
          </cell>
          <cell r="AT27">
            <v>399</v>
          </cell>
          <cell r="AU27">
            <v>219</v>
          </cell>
          <cell r="AV27">
            <v>7898</v>
          </cell>
          <cell r="AW27">
            <v>7898</v>
          </cell>
          <cell r="AX27">
            <v>2670</v>
          </cell>
          <cell r="AY27">
            <v>16</v>
          </cell>
          <cell r="AZ27">
            <v>2685</v>
          </cell>
          <cell r="BA27">
            <v>711</v>
          </cell>
          <cell r="BB27">
            <v>30</v>
          </cell>
          <cell r="BC27">
            <v>190</v>
          </cell>
          <cell r="BD27">
            <v>3616</v>
          </cell>
          <cell r="BE27">
            <v>11514</v>
          </cell>
          <cell r="BF27">
            <v>10529</v>
          </cell>
          <cell r="BG27">
            <v>1532</v>
          </cell>
          <cell r="BH27">
            <v>8997</v>
          </cell>
          <cell r="BI27">
            <v>22043</v>
          </cell>
          <cell r="BJ27">
            <v>20038</v>
          </cell>
          <cell r="BK27">
            <v>1455</v>
          </cell>
          <cell r="BL27">
            <v>83</v>
          </cell>
          <cell r="BM27">
            <v>347</v>
          </cell>
          <cell r="BN27">
            <v>49</v>
          </cell>
          <cell r="BO27">
            <v>2</v>
          </cell>
          <cell r="BP27">
            <v>1935</v>
          </cell>
          <cell r="BQ27">
            <v>21973</v>
          </cell>
          <cell r="BR27">
            <v>533</v>
          </cell>
          <cell r="BS27">
            <v>403</v>
          </cell>
          <cell r="BT27">
            <v>936</v>
          </cell>
          <cell r="BU27">
            <v>22909</v>
          </cell>
          <cell r="BV27">
            <v>5056</v>
          </cell>
          <cell r="BW27">
            <v>2842</v>
          </cell>
          <cell r="BX27">
            <v>454</v>
          </cell>
          <cell r="BY27">
            <v>222</v>
          </cell>
          <cell r="BZ27">
            <v>8574</v>
          </cell>
          <cell r="CA27">
            <v>8574</v>
          </cell>
          <cell r="CB27">
            <v>3052</v>
          </cell>
          <cell r="CC27">
            <v>16</v>
          </cell>
          <cell r="CD27">
            <v>3068</v>
          </cell>
          <cell r="CE27">
            <v>711</v>
          </cell>
          <cell r="CF27">
            <v>32</v>
          </cell>
          <cell r="CG27">
            <v>163</v>
          </cell>
          <cell r="CH27">
            <v>3974</v>
          </cell>
          <cell r="CI27">
            <v>12547</v>
          </cell>
          <cell r="CJ27">
            <v>10362</v>
          </cell>
          <cell r="CK27">
            <v>1365</v>
          </cell>
          <cell r="CL27">
            <v>8997</v>
          </cell>
          <cell r="CM27">
            <v>22909</v>
          </cell>
        </row>
        <row r="28">
          <cell r="B28">
            <v>20282</v>
          </cell>
          <cell r="C28">
            <v>1464</v>
          </cell>
          <cell r="D28">
            <v>113</v>
          </cell>
          <cell r="E28">
            <v>232</v>
          </cell>
          <cell r="F28">
            <v>48</v>
          </cell>
          <cell r="G28">
            <v>1</v>
          </cell>
          <cell r="H28">
            <v>1858</v>
          </cell>
          <cell r="I28">
            <v>22140</v>
          </cell>
          <cell r="J28">
            <v>525</v>
          </cell>
          <cell r="K28">
            <v>432</v>
          </cell>
          <cell r="L28">
            <v>956</v>
          </cell>
          <cell r="M28">
            <v>23096</v>
          </cell>
          <cell r="N28">
            <v>5144</v>
          </cell>
          <cell r="O28">
            <v>2123</v>
          </cell>
          <cell r="P28">
            <v>434</v>
          </cell>
          <cell r="Q28">
            <v>239</v>
          </cell>
          <cell r="R28">
            <v>7939</v>
          </cell>
          <cell r="S28">
            <v>7939</v>
          </cell>
          <cell r="T28">
            <v>2801</v>
          </cell>
          <cell r="U28">
            <v>17</v>
          </cell>
          <cell r="V28">
            <v>2818</v>
          </cell>
          <cell r="W28">
            <v>720</v>
          </cell>
          <cell r="X28">
            <v>26</v>
          </cell>
          <cell r="Y28">
            <v>196</v>
          </cell>
          <cell r="Z28">
            <v>3761</v>
          </cell>
          <cell r="AA28">
            <v>11700</v>
          </cell>
          <cell r="AB28">
            <v>11396</v>
          </cell>
          <cell r="AC28">
            <v>2261</v>
          </cell>
          <cell r="AD28">
            <v>9135</v>
          </cell>
          <cell r="AE28">
            <v>23096</v>
          </cell>
          <cell r="AF28">
            <v>20826</v>
          </cell>
          <cell r="AG28">
            <v>1469</v>
          </cell>
          <cell r="AH28">
            <v>134</v>
          </cell>
          <cell r="AI28">
            <v>114</v>
          </cell>
          <cell r="AJ28">
            <v>48</v>
          </cell>
          <cell r="AK28">
            <v>1</v>
          </cell>
          <cell r="AL28">
            <v>1766</v>
          </cell>
          <cell r="AM28">
            <v>22592</v>
          </cell>
          <cell r="AN28">
            <v>525</v>
          </cell>
          <cell r="AO28">
            <v>443</v>
          </cell>
          <cell r="AP28">
            <v>968</v>
          </cell>
          <cell r="AQ28">
            <v>23560</v>
          </cell>
          <cell r="AR28">
            <v>5193</v>
          </cell>
          <cell r="AS28">
            <v>2281</v>
          </cell>
          <cell r="AT28">
            <v>473</v>
          </cell>
          <cell r="AU28">
            <v>251</v>
          </cell>
          <cell r="AV28">
            <v>8198</v>
          </cell>
          <cell r="AW28">
            <v>8198</v>
          </cell>
          <cell r="AX28">
            <v>2919</v>
          </cell>
          <cell r="AY28">
            <v>18</v>
          </cell>
          <cell r="AZ28">
            <v>2937</v>
          </cell>
          <cell r="BA28">
            <v>721</v>
          </cell>
          <cell r="BB28">
            <v>27</v>
          </cell>
          <cell r="BC28">
            <v>190</v>
          </cell>
          <cell r="BD28">
            <v>3875</v>
          </cell>
          <cell r="BE28">
            <v>12074</v>
          </cell>
          <cell r="BF28">
            <v>11487</v>
          </cell>
          <cell r="BG28">
            <v>2350</v>
          </cell>
          <cell r="BH28">
            <v>9137</v>
          </cell>
          <cell r="BI28">
            <v>23560</v>
          </cell>
          <cell r="BJ28">
            <v>22504</v>
          </cell>
          <cell r="BK28">
            <v>1472</v>
          </cell>
          <cell r="BL28">
            <v>139</v>
          </cell>
          <cell r="BM28">
            <v>114</v>
          </cell>
          <cell r="BN28">
            <v>48</v>
          </cell>
          <cell r="BO28">
            <v>1</v>
          </cell>
          <cell r="BP28">
            <v>1774</v>
          </cell>
          <cell r="BQ28">
            <v>24278</v>
          </cell>
          <cell r="BR28">
            <v>525</v>
          </cell>
          <cell r="BS28">
            <v>435</v>
          </cell>
          <cell r="BT28">
            <v>960</v>
          </cell>
          <cell r="BU28">
            <v>25238</v>
          </cell>
          <cell r="BV28">
            <v>5058</v>
          </cell>
          <cell r="BW28">
            <v>1714</v>
          </cell>
          <cell r="BX28">
            <v>431</v>
          </cell>
          <cell r="BY28">
            <v>256</v>
          </cell>
          <cell r="BZ28">
            <v>7459</v>
          </cell>
          <cell r="CA28">
            <v>7459</v>
          </cell>
          <cell r="CB28">
            <v>3381</v>
          </cell>
          <cell r="CC28">
            <v>18</v>
          </cell>
          <cell r="CD28">
            <v>3399</v>
          </cell>
          <cell r="CE28">
            <v>721</v>
          </cell>
          <cell r="CF28">
            <v>29</v>
          </cell>
          <cell r="CG28">
            <v>193</v>
          </cell>
          <cell r="CH28">
            <v>4342</v>
          </cell>
          <cell r="CI28">
            <v>11801</v>
          </cell>
          <cell r="CJ28">
            <v>13437</v>
          </cell>
          <cell r="CK28">
            <v>4300</v>
          </cell>
          <cell r="CL28">
            <v>9137</v>
          </cell>
          <cell r="CM28">
            <v>25238</v>
          </cell>
        </row>
        <row r="29">
          <cell r="B29">
            <v>21124</v>
          </cell>
          <cell r="C29">
            <v>1444</v>
          </cell>
          <cell r="D29">
            <v>118</v>
          </cell>
          <cell r="E29">
            <v>342</v>
          </cell>
          <cell r="F29">
            <v>49</v>
          </cell>
          <cell r="G29">
            <v>1</v>
          </cell>
          <cell r="H29">
            <v>1954</v>
          </cell>
          <cell r="I29">
            <v>23078</v>
          </cell>
          <cell r="J29">
            <v>512</v>
          </cell>
          <cell r="K29">
            <v>460</v>
          </cell>
          <cell r="L29">
            <v>972</v>
          </cell>
          <cell r="M29">
            <v>24050</v>
          </cell>
          <cell r="N29">
            <v>4964</v>
          </cell>
          <cell r="O29">
            <v>2121</v>
          </cell>
          <cell r="P29">
            <v>485</v>
          </cell>
          <cell r="Q29">
            <v>244</v>
          </cell>
          <cell r="R29">
            <v>7815</v>
          </cell>
          <cell r="S29">
            <v>7815</v>
          </cell>
          <cell r="T29">
            <v>2857</v>
          </cell>
          <cell r="U29">
            <v>18</v>
          </cell>
          <cell r="V29">
            <v>2875</v>
          </cell>
          <cell r="W29">
            <v>731</v>
          </cell>
          <cell r="X29">
            <v>26</v>
          </cell>
          <cell r="Y29">
            <v>201</v>
          </cell>
          <cell r="Z29">
            <v>3832</v>
          </cell>
          <cell r="AA29">
            <v>11646</v>
          </cell>
          <cell r="AB29">
            <v>12404</v>
          </cell>
          <cell r="AC29">
            <v>3134</v>
          </cell>
          <cell r="AD29">
            <v>9270</v>
          </cell>
          <cell r="AE29">
            <v>24050</v>
          </cell>
          <cell r="AF29">
            <v>20716</v>
          </cell>
          <cell r="AG29">
            <v>1434</v>
          </cell>
          <cell r="AH29">
            <v>92</v>
          </cell>
          <cell r="AI29">
            <v>357</v>
          </cell>
          <cell r="AJ29">
            <v>48</v>
          </cell>
          <cell r="AK29">
            <v>2</v>
          </cell>
          <cell r="AL29">
            <v>1933</v>
          </cell>
          <cell r="AM29">
            <v>22649</v>
          </cell>
          <cell r="AN29">
            <v>506</v>
          </cell>
          <cell r="AO29">
            <v>470</v>
          </cell>
          <cell r="AP29">
            <v>976</v>
          </cell>
          <cell r="AQ29">
            <v>23625</v>
          </cell>
          <cell r="AR29">
            <v>5027</v>
          </cell>
          <cell r="AS29">
            <v>2227</v>
          </cell>
          <cell r="AT29">
            <v>385</v>
          </cell>
          <cell r="AU29">
            <v>241</v>
          </cell>
          <cell r="AV29">
            <v>7879</v>
          </cell>
          <cell r="AW29">
            <v>7879</v>
          </cell>
          <cell r="AX29">
            <v>2763</v>
          </cell>
          <cell r="AY29">
            <v>19</v>
          </cell>
          <cell r="AZ29">
            <v>2782</v>
          </cell>
          <cell r="BA29">
            <v>730</v>
          </cell>
          <cell r="BB29">
            <v>21</v>
          </cell>
          <cell r="BC29">
            <v>194</v>
          </cell>
          <cell r="BD29">
            <v>3727</v>
          </cell>
          <cell r="BE29">
            <v>11606</v>
          </cell>
          <cell r="BF29">
            <v>12019</v>
          </cell>
          <cell r="BG29">
            <v>2751</v>
          </cell>
          <cell r="BH29">
            <v>9269</v>
          </cell>
          <cell r="BI29">
            <v>23625</v>
          </cell>
          <cell r="BJ29">
            <v>19094</v>
          </cell>
          <cell r="BK29">
            <v>1431</v>
          </cell>
          <cell r="BL29">
            <v>68</v>
          </cell>
          <cell r="BM29">
            <v>357</v>
          </cell>
          <cell r="BN29">
            <v>48</v>
          </cell>
          <cell r="BO29">
            <v>1</v>
          </cell>
          <cell r="BP29">
            <v>1905</v>
          </cell>
          <cell r="BQ29">
            <v>20999</v>
          </cell>
          <cell r="BR29">
            <v>515</v>
          </cell>
          <cell r="BS29">
            <v>459</v>
          </cell>
          <cell r="BT29">
            <v>974</v>
          </cell>
          <cell r="BU29">
            <v>21973</v>
          </cell>
          <cell r="BV29">
            <v>5061</v>
          </cell>
          <cell r="BW29">
            <v>3057</v>
          </cell>
          <cell r="BX29">
            <v>412</v>
          </cell>
          <cell r="BY29">
            <v>240</v>
          </cell>
          <cell r="BZ29">
            <v>8770</v>
          </cell>
          <cell r="CA29">
            <v>8770</v>
          </cell>
          <cell r="CB29">
            <v>2546</v>
          </cell>
          <cell r="CC29">
            <v>18</v>
          </cell>
          <cell r="CD29">
            <v>2564</v>
          </cell>
          <cell r="CE29">
            <v>730</v>
          </cell>
          <cell r="CF29">
            <v>18</v>
          </cell>
          <cell r="CG29">
            <v>192</v>
          </cell>
          <cell r="CH29">
            <v>3505</v>
          </cell>
          <cell r="CI29">
            <v>12275</v>
          </cell>
          <cell r="CJ29">
            <v>9698</v>
          </cell>
          <cell r="CK29">
            <v>429</v>
          </cell>
          <cell r="CL29">
            <v>9269</v>
          </cell>
          <cell r="CM29">
            <v>21973</v>
          </cell>
        </row>
        <row r="30">
          <cell r="B30">
            <v>21635</v>
          </cell>
          <cell r="C30">
            <v>1429</v>
          </cell>
          <cell r="D30">
            <v>110</v>
          </cell>
          <cell r="E30">
            <v>442</v>
          </cell>
          <cell r="F30">
            <v>51</v>
          </cell>
          <cell r="G30">
            <v>1</v>
          </cell>
          <cell r="H30">
            <v>2033</v>
          </cell>
          <cell r="I30">
            <v>23668</v>
          </cell>
          <cell r="J30">
            <v>497</v>
          </cell>
          <cell r="K30">
            <v>515</v>
          </cell>
          <cell r="L30">
            <v>1013</v>
          </cell>
          <cell r="M30">
            <v>24681</v>
          </cell>
          <cell r="N30">
            <v>4763</v>
          </cell>
          <cell r="O30">
            <v>2307</v>
          </cell>
          <cell r="P30">
            <v>419</v>
          </cell>
          <cell r="Q30">
            <v>246</v>
          </cell>
          <cell r="R30">
            <v>7736</v>
          </cell>
          <cell r="S30">
            <v>7736</v>
          </cell>
          <cell r="T30">
            <v>2790</v>
          </cell>
          <cell r="U30">
            <v>18</v>
          </cell>
          <cell r="V30">
            <v>2808</v>
          </cell>
          <cell r="W30">
            <v>742</v>
          </cell>
          <cell r="X30">
            <v>26</v>
          </cell>
          <cell r="Y30">
            <v>198</v>
          </cell>
          <cell r="Z30">
            <v>3774</v>
          </cell>
          <cell r="AA30">
            <v>11509</v>
          </cell>
          <cell r="AB30">
            <v>13172</v>
          </cell>
          <cell r="AC30">
            <v>3774</v>
          </cell>
          <cell r="AD30">
            <v>9398</v>
          </cell>
          <cell r="AE30">
            <v>24681</v>
          </cell>
          <cell r="AF30">
            <v>22095</v>
          </cell>
          <cell r="AG30">
            <v>1459</v>
          </cell>
          <cell r="AH30">
            <v>137</v>
          </cell>
          <cell r="AI30">
            <v>369</v>
          </cell>
          <cell r="AJ30">
            <v>51</v>
          </cell>
          <cell r="AK30">
            <v>2</v>
          </cell>
          <cell r="AL30">
            <v>2018</v>
          </cell>
          <cell r="AM30">
            <v>24113</v>
          </cell>
          <cell r="AN30">
            <v>507</v>
          </cell>
          <cell r="AO30">
            <v>447</v>
          </cell>
          <cell r="AP30">
            <v>954</v>
          </cell>
          <cell r="AQ30">
            <v>25067</v>
          </cell>
          <cell r="AR30">
            <v>4691</v>
          </cell>
          <cell r="AS30">
            <v>1836</v>
          </cell>
          <cell r="AT30">
            <v>527</v>
          </cell>
          <cell r="AU30">
            <v>248</v>
          </cell>
          <cell r="AV30">
            <v>7302</v>
          </cell>
          <cell r="AW30">
            <v>7302</v>
          </cell>
          <cell r="AX30">
            <v>2859</v>
          </cell>
          <cell r="AY30">
            <v>17</v>
          </cell>
          <cell r="AZ30">
            <v>2876</v>
          </cell>
          <cell r="BA30">
            <v>740</v>
          </cell>
          <cell r="BB30">
            <v>29</v>
          </cell>
          <cell r="BC30">
            <v>233</v>
          </cell>
          <cell r="BD30">
            <v>3878</v>
          </cell>
          <cell r="BE30">
            <v>11181</v>
          </cell>
          <cell r="BF30">
            <v>13886</v>
          </cell>
          <cell r="BG30">
            <v>4494</v>
          </cell>
          <cell r="BH30">
            <v>9392</v>
          </cell>
          <cell r="BI30">
            <v>25067</v>
          </cell>
          <cell r="BJ30">
            <v>21003</v>
          </cell>
          <cell r="BK30">
            <v>1503</v>
          </cell>
          <cell r="BL30">
            <v>198</v>
          </cell>
          <cell r="BM30">
            <v>369</v>
          </cell>
          <cell r="BN30">
            <v>51</v>
          </cell>
          <cell r="BO30">
            <v>1</v>
          </cell>
          <cell r="BP30">
            <v>2121</v>
          </cell>
          <cell r="BQ30">
            <v>23125</v>
          </cell>
          <cell r="BR30">
            <v>503</v>
          </cell>
          <cell r="BS30">
            <v>480</v>
          </cell>
          <cell r="BT30">
            <v>983</v>
          </cell>
          <cell r="BU30">
            <v>24108</v>
          </cell>
          <cell r="BV30">
            <v>4947</v>
          </cell>
          <cell r="BW30">
            <v>1026</v>
          </cell>
          <cell r="BX30">
            <v>466</v>
          </cell>
          <cell r="BY30">
            <v>239</v>
          </cell>
          <cell r="BZ30">
            <v>6678</v>
          </cell>
          <cell r="CA30">
            <v>6678</v>
          </cell>
          <cell r="CB30">
            <v>2378</v>
          </cell>
          <cell r="CC30">
            <v>17</v>
          </cell>
          <cell r="CD30">
            <v>2395</v>
          </cell>
          <cell r="CE30">
            <v>740</v>
          </cell>
          <cell r="CF30">
            <v>29</v>
          </cell>
          <cell r="CG30">
            <v>267</v>
          </cell>
          <cell r="CH30">
            <v>3431</v>
          </cell>
          <cell r="CI30">
            <v>10109</v>
          </cell>
          <cell r="CJ30">
            <v>13999</v>
          </cell>
          <cell r="CK30">
            <v>4607</v>
          </cell>
          <cell r="CL30">
            <v>9392</v>
          </cell>
          <cell r="CM30">
            <v>24108</v>
          </cell>
        </row>
        <row r="31">
          <cell r="B31">
            <v>21926</v>
          </cell>
          <cell r="C31">
            <v>1378</v>
          </cell>
          <cell r="D31">
            <v>97</v>
          </cell>
          <cell r="E31">
            <v>465</v>
          </cell>
          <cell r="F31">
            <v>54</v>
          </cell>
          <cell r="G31">
            <v>1</v>
          </cell>
          <cell r="H31">
            <v>1994</v>
          </cell>
          <cell r="I31">
            <v>23920</v>
          </cell>
          <cell r="J31">
            <v>481</v>
          </cell>
          <cell r="K31">
            <v>570</v>
          </cell>
          <cell r="L31">
            <v>1051</v>
          </cell>
          <cell r="M31">
            <v>24972</v>
          </cell>
          <cell r="N31">
            <v>4549</v>
          </cell>
          <cell r="O31">
            <v>2657</v>
          </cell>
          <cell r="P31">
            <v>299</v>
          </cell>
          <cell r="Q31">
            <v>240</v>
          </cell>
          <cell r="R31">
            <v>7745</v>
          </cell>
          <cell r="S31">
            <v>7745</v>
          </cell>
          <cell r="T31">
            <v>2669</v>
          </cell>
          <cell r="U31">
            <v>18</v>
          </cell>
          <cell r="V31">
            <v>2687</v>
          </cell>
          <cell r="W31">
            <v>755</v>
          </cell>
          <cell r="X31">
            <v>27</v>
          </cell>
          <cell r="Y31">
            <v>198</v>
          </cell>
          <cell r="Z31">
            <v>3667</v>
          </cell>
          <cell r="AA31">
            <v>11411</v>
          </cell>
          <cell r="AB31">
            <v>13560</v>
          </cell>
          <cell r="AC31">
            <v>4033</v>
          </cell>
          <cell r="AD31">
            <v>9527</v>
          </cell>
          <cell r="AE31">
            <v>24972</v>
          </cell>
          <cell r="AF31">
            <v>21730</v>
          </cell>
          <cell r="AG31">
            <v>1381</v>
          </cell>
          <cell r="AH31">
            <v>82</v>
          </cell>
          <cell r="AI31">
            <v>715</v>
          </cell>
          <cell r="AJ31">
            <v>54</v>
          </cell>
          <cell r="AK31">
            <v>1</v>
          </cell>
          <cell r="AL31">
            <v>2233</v>
          </cell>
          <cell r="AM31">
            <v>23964</v>
          </cell>
          <cell r="AN31">
            <v>479</v>
          </cell>
          <cell r="AO31">
            <v>648</v>
          </cell>
          <cell r="AP31">
            <v>1127</v>
          </cell>
          <cell r="AQ31">
            <v>25091</v>
          </cell>
          <cell r="AR31">
            <v>4599</v>
          </cell>
          <cell r="AS31">
            <v>2992</v>
          </cell>
          <cell r="AT31">
            <v>366</v>
          </cell>
          <cell r="AU31">
            <v>239</v>
          </cell>
          <cell r="AV31">
            <v>8196</v>
          </cell>
          <cell r="AW31">
            <v>8196</v>
          </cell>
          <cell r="AX31">
            <v>2709</v>
          </cell>
          <cell r="AY31">
            <v>19</v>
          </cell>
          <cell r="AZ31">
            <v>2728</v>
          </cell>
          <cell r="BA31">
            <v>756</v>
          </cell>
          <cell r="BB31">
            <v>25</v>
          </cell>
          <cell r="BC31">
            <v>238</v>
          </cell>
          <cell r="BD31">
            <v>3747</v>
          </cell>
          <cell r="BE31">
            <v>11943</v>
          </cell>
          <cell r="BF31">
            <v>13148</v>
          </cell>
          <cell r="BG31">
            <v>3621</v>
          </cell>
          <cell r="BH31">
            <v>9528</v>
          </cell>
          <cell r="BI31">
            <v>25091</v>
          </cell>
          <cell r="BJ31">
            <v>22793</v>
          </cell>
          <cell r="BK31">
            <v>1345</v>
          </cell>
          <cell r="BL31">
            <v>64</v>
          </cell>
          <cell r="BM31">
            <v>860</v>
          </cell>
          <cell r="BN31">
            <v>54</v>
          </cell>
          <cell r="BO31">
            <v>2</v>
          </cell>
          <cell r="BP31">
            <v>2325</v>
          </cell>
          <cell r="BQ31">
            <v>25119</v>
          </cell>
          <cell r="BR31">
            <v>475</v>
          </cell>
          <cell r="BS31">
            <v>613</v>
          </cell>
          <cell r="BT31">
            <v>1089</v>
          </cell>
          <cell r="BU31">
            <v>26207</v>
          </cell>
          <cell r="BV31">
            <v>4451</v>
          </cell>
          <cell r="BW31">
            <v>3840</v>
          </cell>
          <cell r="BX31">
            <v>440</v>
          </cell>
          <cell r="BY31">
            <v>244</v>
          </cell>
          <cell r="BZ31">
            <v>8975</v>
          </cell>
          <cell r="CA31">
            <v>8975</v>
          </cell>
          <cell r="CB31">
            <v>3493</v>
          </cell>
          <cell r="CC31">
            <v>19</v>
          </cell>
          <cell r="CD31">
            <v>3512</v>
          </cell>
          <cell r="CE31">
            <v>756</v>
          </cell>
          <cell r="CF31">
            <v>27</v>
          </cell>
          <cell r="CG31">
            <v>182</v>
          </cell>
          <cell r="CH31">
            <v>4477</v>
          </cell>
          <cell r="CI31">
            <v>13452</v>
          </cell>
          <cell r="CJ31">
            <v>12755</v>
          </cell>
          <cell r="CK31">
            <v>3227</v>
          </cell>
          <cell r="CL31">
            <v>9528</v>
          </cell>
          <cell r="CM31">
            <v>26207</v>
          </cell>
        </row>
        <row r="32">
          <cell r="B32">
            <v>22138</v>
          </cell>
          <cell r="C32">
            <v>1309</v>
          </cell>
          <cell r="D32">
            <v>95</v>
          </cell>
          <cell r="E32">
            <v>396</v>
          </cell>
          <cell r="F32">
            <v>57</v>
          </cell>
          <cell r="G32">
            <v>1</v>
          </cell>
          <cell r="H32">
            <v>1859</v>
          </cell>
          <cell r="I32">
            <v>23998</v>
          </cell>
          <cell r="J32">
            <v>469</v>
          </cell>
          <cell r="K32">
            <v>588</v>
          </cell>
          <cell r="L32">
            <v>1057</v>
          </cell>
          <cell r="M32">
            <v>25055</v>
          </cell>
          <cell r="N32">
            <v>4399</v>
          </cell>
          <cell r="O32">
            <v>2979</v>
          </cell>
          <cell r="P32">
            <v>373</v>
          </cell>
          <cell r="Q32">
            <v>235</v>
          </cell>
          <cell r="R32">
            <v>7986</v>
          </cell>
          <cell r="S32">
            <v>7986</v>
          </cell>
          <cell r="T32">
            <v>2597</v>
          </cell>
          <cell r="U32">
            <v>18</v>
          </cell>
          <cell r="V32">
            <v>2615</v>
          </cell>
          <cell r="W32">
            <v>766</v>
          </cell>
          <cell r="X32">
            <v>26</v>
          </cell>
          <cell r="Y32">
            <v>206</v>
          </cell>
          <cell r="Z32">
            <v>3613</v>
          </cell>
          <cell r="AA32">
            <v>11599</v>
          </cell>
          <cell r="AB32">
            <v>13455</v>
          </cell>
          <cell r="AC32">
            <v>3806</v>
          </cell>
          <cell r="AD32">
            <v>9650</v>
          </cell>
          <cell r="AE32">
            <v>25055</v>
          </cell>
          <cell r="AF32">
            <v>21895</v>
          </cell>
          <cell r="AG32">
            <v>1299</v>
          </cell>
          <cell r="AH32">
            <v>96</v>
          </cell>
          <cell r="AI32">
            <v>176</v>
          </cell>
          <cell r="AJ32">
            <v>57</v>
          </cell>
          <cell r="AK32">
            <v>1</v>
          </cell>
          <cell r="AL32">
            <v>1629</v>
          </cell>
          <cell r="AM32">
            <v>23523</v>
          </cell>
          <cell r="AN32">
            <v>467</v>
          </cell>
          <cell r="AO32">
            <v>575</v>
          </cell>
          <cell r="AP32">
            <v>1042</v>
          </cell>
          <cell r="AQ32">
            <v>24565</v>
          </cell>
          <cell r="AR32">
            <v>4374</v>
          </cell>
          <cell r="AS32">
            <v>3057</v>
          </cell>
          <cell r="AT32">
            <v>180</v>
          </cell>
          <cell r="AU32">
            <v>239</v>
          </cell>
          <cell r="AV32">
            <v>7849</v>
          </cell>
          <cell r="AW32">
            <v>7849</v>
          </cell>
          <cell r="AX32">
            <v>2490</v>
          </cell>
          <cell r="AY32">
            <v>19</v>
          </cell>
          <cell r="AZ32">
            <v>2509</v>
          </cell>
          <cell r="BA32">
            <v>766</v>
          </cell>
          <cell r="BB32">
            <v>27</v>
          </cell>
          <cell r="BC32">
            <v>225</v>
          </cell>
          <cell r="BD32">
            <v>3526</v>
          </cell>
          <cell r="BE32">
            <v>11375</v>
          </cell>
          <cell r="BF32">
            <v>13190</v>
          </cell>
          <cell r="BG32">
            <v>3539</v>
          </cell>
          <cell r="BH32">
            <v>9651</v>
          </cell>
          <cell r="BI32">
            <v>24565</v>
          </cell>
          <cell r="BJ32">
            <v>23551</v>
          </cell>
          <cell r="BK32">
            <v>1303</v>
          </cell>
          <cell r="BL32">
            <v>97</v>
          </cell>
          <cell r="BM32">
            <v>211</v>
          </cell>
          <cell r="BN32">
            <v>57</v>
          </cell>
          <cell r="BO32">
            <v>1</v>
          </cell>
          <cell r="BP32">
            <v>1670</v>
          </cell>
          <cell r="BQ32">
            <v>25221</v>
          </cell>
          <cell r="BR32">
            <v>468</v>
          </cell>
          <cell r="BS32">
            <v>566</v>
          </cell>
          <cell r="BT32">
            <v>1033</v>
          </cell>
          <cell r="BU32">
            <v>26254</v>
          </cell>
          <cell r="BV32">
            <v>4246</v>
          </cell>
          <cell r="BW32">
            <v>2299</v>
          </cell>
          <cell r="BX32">
            <v>143</v>
          </cell>
          <cell r="BY32">
            <v>242</v>
          </cell>
          <cell r="BZ32">
            <v>6930</v>
          </cell>
          <cell r="CA32">
            <v>6930</v>
          </cell>
          <cell r="CB32">
            <v>2868</v>
          </cell>
          <cell r="CC32">
            <v>19</v>
          </cell>
          <cell r="CD32">
            <v>2887</v>
          </cell>
          <cell r="CE32">
            <v>766</v>
          </cell>
          <cell r="CF32">
            <v>28</v>
          </cell>
          <cell r="CG32">
            <v>224</v>
          </cell>
          <cell r="CH32">
            <v>3904</v>
          </cell>
          <cell r="CI32">
            <v>10834</v>
          </cell>
          <cell r="CJ32">
            <v>15420</v>
          </cell>
          <cell r="CK32">
            <v>5769</v>
          </cell>
          <cell r="CL32">
            <v>9651</v>
          </cell>
          <cell r="CM32">
            <v>26254</v>
          </cell>
        </row>
        <row r="33">
          <cell r="B33">
            <v>22233</v>
          </cell>
          <cell r="C33">
            <v>1266</v>
          </cell>
          <cell r="D33">
            <v>105</v>
          </cell>
          <cell r="E33">
            <v>341</v>
          </cell>
          <cell r="F33">
            <v>61</v>
          </cell>
          <cell r="G33">
            <v>1</v>
          </cell>
          <cell r="H33">
            <v>1774</v>
          </cell>
          <cell r="I33">
            <v>24007</v>
          </cell>
          <cell r="J33">
            <v>474</v>
          </cell>
          <cell r="K33">
            <v>567</v>
          </cell>
          <cell r="L33">
            <v>1041</v>
          </cell>
          <cell r="M33">
            <v>25048</v>
          </cell>
          <cell r="N33">
            <v>4299</v>
          </cell>
          <cell r="O33">
            <v>3133</v>
          </cell>
          <cell r="P33">
            <v>720</v>
          </cell>
          <cell r="Q33">
            <v>234</v>
          </cell>
          <cell r="R33">
            <v>8386</v>
          </cell>
          <cell r="S33">
            <v>8386</v>
          </cell>
          <cell r="T33">
            <v>2675</v>
          </cell>
          <cell r="U33">
            <v>19</v>
          </cell>
          <cell r="V33">
            <v>2694</v>
          </cell>
          <cell r="W33">
            <v>770</v>
          </cell>
          <cell r="X33">
            <v>24</v>
          </cell>
          <cell r="Y33">
            <v>221</v>
          </cell>
          <cell r="Z33">
            <v>3709</v>
          </cell>
          <cell r="AA33">
            <v>12095</v>
          </cell>
          <cell r="AB33">
            <v>12953</v>
          </cell>
          <cell r="AC33">
            <v>3201</v>
          </cell>
          <cell r="AD33">
            <v>9751</v>
          </cell>
          <cell r="AE33">
            <v>25048</v>
          </cell>
          <cell r="AF33">
            <v>22738</v>
          </cell>
          <cell r="AG33">
            <v>1270</v>
          </cell>
          <cell r="AH33">
            <v>92</v>
          </cell>
          <cell r="AI33">
            <v>376</v>
          </cell>
          <cell r="AJ33">
            <v>61</v>
          </cell>
          <cell r="AK33">
            <v>2</v>
          </cell>
          <cell r="AL33">
            <v>1801</v>
          </cell>
          <cell r="AM33">
            <v>24539</v>
          </cell>
          <cell r="AN33">
            <v>471</v>
          </cell>
          <cell r="AO33">
            <v>555</v>
          </cell>
          <cell r="AP33">
            <v>1026</v>
          </cell>
          <cell r="AQ33">
            <v>25565</v>
          </cell>
          <cell r="AR33">
            <v>4326</v>
          </cell>
          <cell r="AS33">
            <v>2999</v>
          </cell>
          <cell r="AT33">
            <v>576</v>
          </cell>
          <cell r="AU33">
            <v>226</v>
          </cell>
          <cell r="AV33">
            <v>8127</v>
          </cell>
          <cell r="AW33">
            <v>8127</v>
          </cell>
          <cell r="AX33">
            <v>2691</v>
          </cell>
          <cell r="AY33">
            <v>18</v>
          </cell>
          <cell r="AZ33">
            <v>2708</v>
          </cell>
          <cell r="BA33">
            <v>770</v>
          </cell>
          <cell r="BB33">
            <v>25</v>
          </cell>
          <cell r="BC33">
            <v>224</v>
          </cell>
          <cell r="BD33">
            <v>3727</v>
          </cell>
          <cell r="BE33">
            <v>11854</v>
          </cell>
          <cell r="BF33">
            <v>13711</v>
          </cell>
          <cell r="BG33">
            <v>3957</v>
          </cell>
          <cell r="BH33">
            <v>9754</v>
          </cell>
          <cell r="BI33">
            <v>25565</v>
          </cell>
          <cell r="BJ33">
            <v>21014</v>
          </cell>
          <cell r="BK33">
            <v>1269</v>
          </cell>
          <cell r="BL33">
            <v>67</v>
          </cell>
          <cell r="BM33">
            <v>160</v>
          </cell>
          <cell r="BN33">
            <v>61</v>
          </cell>
          <cell r="BO33">
            <v>1</v>
          </cell>
          <cell r="BP33">
            <v>1558</v>
          </cell>
          <cell r="BQ33">
            <v>22573</v>
          </cell>
          <cell r="BR33">
            <v>476</v>
          </cell>
          <cell r="BS33">
            <v>544</v>
          </cell>
          <cell r="BT33">
            <v>1020</v>
          </cell>
          <cell r="BU33">
            <v>23593</v>
          </cell>
          <cell r="BV33">
            <v>4378</v>
          </cell>
          <cell r="BW33">
            <v>3828</v>
          </cell>
          <cell r="BX33">
            <v>623</v>
          </cell>
          <cell r="BY33">
            <v>228</v>
          </cell>
          <cell r="BZ33">
            <v>9056</v>
          </cell>
          <cell r="CA33">
            <v>9056</v>
          </cell>
          <cell r="CB33">
            <v>2271</v>
          </cell>
          <cell r="CC33">
            <v>17</v>
          </cell>
          <cell r="CD33">
            <v>2288</v>
          </cell>
          <cell r="CE33">
            <v>770</v>
          </cell>
          <cell r="CF33">
            <v>23</v>
          </cell>
          <cell r="CG33">
            <v>227</v>
          </cell>
          <cell r="CH33">
            <v>3308</v>
          </cell>
          <cell r="CI33">
            <v>12364</v>
          </cell>
          <cell r="CJ33">
            <v>11229</v>
          </cell>
          <cell r="CK33">
            <v>1475</v>
          </cell>
          <cell r="CL33">
            <v>9754</v>
          </cell>
          <cell r="CM33">
            <v>23593</v>
          </cell>
        </row>
        <row r="34">
          <cell r="B34">
            <v>22362</v>
          </cell>
          <cell r="C34">
            <v>1292</v>
          </cell>
          <cell r="D34">
            <v>119</v>
          </cell>
          <cell r="E34">
            <v>394</v>
          </cell>
          <cell r="F34">
            <v>66</v>
          </cell>
          <cell r="G34">
            <v>2</v>
          </cell>
          <cell r="H34">
            <v>1872</v>
          </cell>
          <cell r="I34">
            <v>24234</v>
          </cell>
          <cell r="J34">
            <v>498</v>
          </cell>
          <cell r="K34">
            <v>541</v>
          </cell>
          <cell r="L34">
            <v>1038</v>
          </cell>
          <cell r="M34">
            <v>25273</v>
          </cell>
          <cell r="N34">
            <v>4333</v>
          </cell>
          <cell r="O34">
            <v>3228</v>
          </cell>
          <cell r="P34">
            <v>1160</v>
          </cell>
          <cell r="Q34">
            <v>232</v>
          </cell>
          <cell r="R34">
            <v>8953</v>
          </cell>
          <cell r="S34">
            <v>8953</v>
          </cell>
          <cell r="T34">
            <v>2923</v>
          </cell>
          <cell r="U34">
            <v>19</v>
          </cell>
          <cell r="V34">
            <v>2942</v>
          </cell>
          <cell r="W34">
            <v>766</v>
          </cell>
          <cell r="X34">
            <v>23</v>
          </cell>
          <cell r="Y34">
            <v>229</v>
          </cell>
          <cell r="Z34">
            <v>3960</v>
          </cell>
          <cell r="AA34">
            <v>12913</v>
          </cell>
          <cell r="AB34">
            <v>12360</v>
          </cell>
          <cell r="AC34">
            <v>2534</v>
          </cell>
          <cell r="AD34">
            <v>9826</v>
          </cell>
          <cell r="AE34">
            <v>25273</v>
          </cell>
          <cell r="AF34">
            <v>21947</v>
          </cell>
          <cell r="AG34">
            <v>1269</v>
          </cell>
          <cell r="AH34">
            <v>143</v>
          </cell>
          <cell r="AI34">
            <v>456</v>
          </cell>
          <cell r="AJ34">
            <v>66</v>
          </cell>
          <cell r="AK34">
            <v>2</v>
          </cell>
          <cell r="AL34">
            <v>1934</v>
          </cell>
          <cell r="AM34">
            <v>23881</v>
          </cell>
          <cell r="AN34">
            <v>492</v>
          </cell>
          <cell r="AO34">
            <v>538</v>
          </cell>
          <cell r="AP34">
            <v>1030</v>
          </cell>
          <cell r="AQ34">
            <v>24911</v>
          </cell>
          <cell r="AR34">
            <v>4344</v>
          </cell>
          <cell r="AS34">
            <v>3192</v>
          </cell>
          <cell r="AT34">
            <v>1514</v>
          </cell>
          <cell r="AU34">
            <v>238</v>
          </cell>
          <cell r="AV34">
            <v>9288</v>
          </cell>
          <cell r="AW34">
            <v>9288</v>
          </cell>
          <cell r="AX34">
            <v>2865</v>
          </cell>
          <cell r="AY34">
            <v>20</v>
          </cell>
          <cell r="AZ34">
            <v>2884</v>
          </cell>
          <cell r="BA34">
            <v>769</v>
          </cell>
          <cell r="BB34">
            <v>22</v>
          </cell>
          <cell r="BC34">
            <v>230</v>
          </cell>
          <cell r="BD34">
            <v>3905</v>
          </cell>
          <cell r="BE34">
            <v>13193</v>
          </cell>
          <cell r="BF34">
            <v>11718</v>
          </cell>
          <cell r="BG34">
            <v>1881</v>
          </cell>
          <cell r="BH34">
            <v>9837</v>
          </cell>
          <cell r="BI34">
            <v>24911</v>
          </cell>
          <cell r="BJ34">
            <v>20915</v>
          </cell>
          <cell r="BK34">
            <v>1290</v>
          </cell>
          <cell r="BL34">
            <v>218</v>
          </cell>
          <cell r="BM34">
            <v>495</v>
          </cell>
          <cell r="BN34">
            <v>66</v>
          </cell>
          <cell r="BO34">
            <v>1</v>
          </cell>
          <cell r="BP34">
            <v>2070</v>
          </cell>
          <cell r="BQ34">
            <v>22985</v>
          </cell>
          <cell r="BR34">
            <v>489</v>
          </cell>
          <cell r="BS34">
            <v>583</v>
          </cell>
          <cell r="BT34">
            <v>1073</v>
          </cell>
          <cell r="BU34">
            <v>24058</v>
          </cell>
          <cell r="BV34">
            <v>4540</v>
          </cell>
          <cell r="BW34">
            <v>2010</v>
          </cell>
          <cell r="BX34">
            <v>1408</v>
          </cell>
          <cell r="BY34">
            <v>226</v>
          </cell>
          <cell r="BZ34">
            <v>8184</v>
          </cell>
          <cell r="CA34">
            <v>8184</v>
          </cell>
          <cell r="CB34">
            <v>2456</v>
          </cell>
          <cell r="CC34">
            <v>20</v>
          </cell>
          <cell r="CD34">
            <v>2476</v>
          </cell>
          <cell r="CE34">
            <v>769</v>
          </cell>
          <cell r="CF34">
            <v>22</v>
          </cell>
          <cell r="CG34">
            <v>272</v>
          </cell>
          <cell r="CH34">
            <v>3538</v>
          </cell>
          <cell r="CI34">
            <v>11723</v>
          </cell>
          <cell r="CJ34">
            <v>12335</v>
          </cell>
          <cell r="CK34">
            <v>2498</v>
          </cell>
          <cell r="CL34">
            <v>9837</v>
          </cell>
          <cell r="CM34">
            <v>24058</v>
          </cell>
        </row>
        <row r="35">
          <cell r="B35">
            <v>22482</v>
          </cell>
          <cell r="C35">
            <v>1389</v>
          </cell>
          <cell r="D35">
            <v>116</v>
          </cell>
          <cell r="E35">
            <v>534</v>
          </cell>
          <cell r="F35">
            <v>72</v>
          </cell>
          <cell r="G35">
            <v>3</v>
          </cell>
          <cell r="H35">
            <v>2115</v>
          </cell>
          <cell r="I35">
            <v>24597</v>
          </cell>
          <cell r="J35">
            <v>526</v>
          </cell>
          <cell r="K35">
            <v>550</v>
          </cell>
          <cell r="L35">
            <v>1076</v>
          </cell>
          <cell r="M35">
            <v>25673</v>
          </cell>
          <cell r="N35">
            <v>4631</v>
          </cell>
          <cell r="O35">
            <v>3415</v>
          </cell>
          <cell r="P35">
            <v>1436</v>
          </cell>
          <cell r="Q35">
            <v>234</v>
          </cell>
          <cell r="R35">
            <v>9715</v>
          </cell>
          <cell r="S35">
            <v>9715</v>
          </cell>
          <cell r="T35">
            <v>3144</v>
          </cell>
          <cell r="U35">
            <v>20</v>
          </cell>
          <cell r="V35">
            <v>3164</v>
          </cell>
          <cell r="W35">
            <v>760</v>
          </cell>
          <cell r="X35">
            <v>23</v>
          </cell>
          <cell r="Y35">
            <v>225</v>
          </cell>
          <cell r="Z35">
            <v>4172</v>
          </cell>
          <cell r="AA35">
            <v>13888</v>
          </cell>
          <cell r="AB35">
            <v>11785</v>
          </cell>
          <cell r="AC35">
            <v>1896</v>
          </cell>
          <cell r="AD35">
            <v>9889</v>
          </cell>
          <cell r="AE35">
            <v>25673</v>
          </cell>
          <cell r="AF35">
            <v>22574</v>
          </cell>
          <cell r="AG35">
            <v>1388</v>
          </cell>
          <cell r="AH35">
            <v>106</v>
          </cell>
          <cell r="AI35">
            <v>408</v>
          </cell>
          <cell r="AJ35">
            <v>73</v>
          </cell>
          <cell r="AK35">
            <v>2</v>
          </cell>
          <cell r="AL35">
            <v>1979</v>
          </cell>
          <cell r="AM35">
            <v>24553</v>
          </cell>
          <cell r="AN35">
            <v>535</v>
          </cell>
          <cell r="AO35">
            <v>558</v>
          </cell>
          <cell r="AP35">
            <v>1093</v>
          </cell>
          <cell r="AQ35">
            <v>25646</v>
          </cell>
          <cell r="AR35">
            <v>4460</v>
          </cell>
          <cell r="AS35">
            <v>3512</v>
          </cell>
          <cell r="AT35">
            <v>1284</v>
          </cell>
          <cell r="AU35">
            <v>241</v>
          </cell>
          <cell r="AV35">
            <v>9497</v>
          </cell>
          <cell r="AW35">
            <v>9497</v>
          </cell>
          <cell r="AX35">
            <v>3242</v>
          </cell>
          <cell r="AY35">
            <v>20</v>
          </cell>
          <cell r="AZ35">
            <v>3263</v>
          </cell>
          <cell r="BA35">
            <v>757</v>
          </cell>
          <cell r="BB35">
            <v>23</v>
          </cell>
          <cell r="BC35">
            <v>221</v>
          </cell>
          <cell r="BD35">
            <v>4264</v>
          </cell>
          <cell r="BE35">
            <v>13762</v>
          </cell>
          <cell r="BF35">
            <v>11884</v>
          </cell>
          <cell r="BG35">
            <v>2006</v>
          </cell>
          <cell r="BH35">
            <v>9878</v>
          </cell>
          <cell r="BI35">
            <v>25646</v>
          </cell>
          <cell r="BJ35">
            <v>23657</v>
          </cell>
          <cell r="BK35">
            <v>1359</v>
          </cell>
          <cell r="BL35">
            <v>78</v>
          </cell>
          <cell r="BM35">
            <v>542</v>
          </cell>
          <cell r="BN35">
            <v>73</v>
          </cell>
          <cell r="BO35">
            <v>4</v>
          </cell>
          <cell r="BP35">
            <v>2055</v>
          </cell>
          <cell r="BQ35">
            <v>25713</v>
          </cell>
          <cell r="BR35">
            <v>532</v>
          </cell>
          <cell r="BS35">
            <v>529</v>
          </cell>
          <cell r="BT35">
            <v>1061</v>
          </cell>
          <cell r="BU35">
            <v>26774</v>
          </cell>
          <cell r="BV35">
            <v>4326</v>
          </cell>
          <cell r="BW35">
            <v>4722</v>
          </cell>
          <cell r="BX35">
            <v>1377</v>
          </cell>
          <cell r="BY35">
            <v>248</v>
          </cell>
          <cell r="BZ35">
            <v>10673</v>
          </cell>
          <cell r="CA35">
            <v>10673</v>
          </cell>
          <cell r="CB35">
            <v>4011</v>
          </cell>
          <cell r="CC35">
            <v>21</v>
          </cell>
          <cell r="CD35">
            <v>4032</v>
          </cell>
          <cell r="CE35">
            <v>757</v>
          </cell>
          <cell r="CF35">
            <v>24</v>
          </cell>
          <cell r="CG35">
            <v>179</v>
          </cell>
          <cell r="CH35">
            <v>4992</v>
          </cell>
          <cell r="CI35">
            <v>15665</v>
          </cell>
          <cell r="CJ35">
            <v>11109</v>
          </cell>
          <cell r="CK35">
            <v>1231</v>
          </cell>
          <cell r="CL35">
            <v>9878</v>
          </cell>
          <cell r="CM35">
            <v>26774</v>
          </cell>
        </row>
        <row r="36">
          <cell r="B36">
            <v>22559</v>
          </cell>
          <cell r="C36">
            <v>1519</v>
          </cell>
          <cell r="D36">
            <v>100</v>
          </cell>
          <cell r="E36">
            <v>634</v>
          </cell>
          <cell r="F36">
            <v>78</v>
          </cell>
          <cell r="G36">
            <v>4</v>
          </cell>
          <cell r="H36">
            <v>2335</v>
          </cell>
          <cell r="I36">
            <v>24894</v>
          </cell>
          <cell r="J36">
            <v>546</v>
          </cell>
          <cell r="K36">
            <v>585</v>
          </cell>
          <cell r="L36">
            <v>1132</v>
          </cell>
          <cell r="M36">
            <v>26026</v>
          </cell>
          <cell r="N36">
            <v>5089</v>
          </cell>
          <cell r="O36">
            <v>3658</v>
          </cell>
          <cell r="P36">
            <v>1397</v>
          </cell>
          <cell r="Q36">
            <v>242</v>
          </cell>
          <cell r="R36">
            <v>10386</v>
          </cell>
          <cell r="S36">
            <v>10386</v>
          </cell>
          <cell r="T36">
            <v>3191</v>
          </cell>
          <cell r="U36">
            <v>21</v>
          </cell>
          <cell r="V36">
            <v>3212</v>
          </cell>
          <cell r="W36">
            <v>759</v>
          </cell>
          <cell r="X36">
            <v>23</v>
          </cell>
          <cell r="Y36">
            <v>227</v>
          </cell>
          <cell r="Z36">
            <v>4220</v>
          </cell>
          <cell r="AA36">
            <v>14606</v>
          </cell>
          <cell r="AB36">
            <v>11420</v>
          </cell>
          <cell r="AC36">
            <v>1459</v>
          </cell>
          <cell r="AD36">
            <v>9961</v>
          </cell>
          <cell r="AE36">
            <v>26026</v>
          </cell>
          <cell r="AF36">
            <v>22638</v>
          </cell>
          <cell r="AG36">
            <v>1520</v>
          </cell>
          <cell r="AH36">
            <v>100</v>
          </cell>
          <cell r="AI36">
            <v>757</v>
          </cell>
          <cell r="AJ36">
            <v>78</v>
          </cell>
          <cell r="AK36">
            <v>4</v>
          </cell>
          <cell r="AL36">
            <v>2458</v>
          </cell>
          <cell r="AM36">
            <v>25097</v>
          </cell>
          <cell r="AN36">
            <v>546</v>
          </cell>
          <cell r="AO36">
            <v>565</v>
          </cell>
          <cell r="AP36">
            <v>1111</v>
          </cell>
          <cell r="AQ36">
            <v>26208</v>
          </cell>
          <cell r="AR36">
            <v>5146</v>
          </cell>
          <cell r="AS36">
            <v>3645</v>
          </cell>
          <cell r="AT36">
            <v>1384</v>
          </cell>
          <cell r="AU36">
            <v>216</v>
          </cell>
          <cell r="AV36">
            <v>10391</v>
          </cell>
          <cell r="AW36">
            <v>10391</v>
          </cell>
          <cell r="AX36">
            <v>3222</v>
          </cell>
          <cell r="AY36">
            <v>21</v>
          </cell>
          <cell r="AZ36">
            <v>3243</v>
          </cell>
          <cell r="BA36">
            <v>756</v>
          </cell>
          <cell r="BB36">
            <v>23</v>
          </cell>
          <cell r="BC36">
            <v>226</v>
          </cell>
          <cell r="BD36">
            <v>4248</v>
          </cell>
          <cell r="BE36">
            <v>14638</v>
          </cell>
          <cell r="BF36">
            <v>11569</v>
          </cell>
          <cell r="BG36">
            <v>1608</v>
          </cell>
          <cell r="BH36">
            <v>9961</v>
          </cell>
          <cell r="BI36">
            <v>26208</v>
          </cell>
          <cell r="BJ36">
            <v>24329</v>
          </cell>
          <cell r="BK36">
            <v>1527</v>
          </cell>
          <cell r="BL36">
            <v>98</v>
          </cell>
          <cell r="BM36">
            <v>810</v>
          </cell>
          <cell r="BN36">
            <v>78</v>
          </cell>
          <cell r="BO36">
            <v>4</v>
          </cell>
          <cell r="BP36">
            <v>2518</v>
          </cell>
          <cell r="BQ36">
            <v>26847</v>
          </cell>
          <cell r="BR36">
            <v>548</v>
          </cell>
          <cell r="BS36">
            <v>555</v>
          </cell>
          <cell r="BT36">
            <v>1103</v>
          </cell>
          <cell r="BU36">
            <v>27950</v>
          </cell>
          <cell r="BV36">
            <v>4986</v>
          </cell>
          <cell r="BW36">
            <v>2865</v>
          </cell>
          <cell r="BX36">
            <v>1359</v>
          </cell>
          <cell r="BY36">
            <v>219</v>
          </cell>
          <cell r="BZ36">
            <v>9429</v>
          </cell>
          <cell r="CA36">
            <v>9429</v>
          </cell>
          <cell r="CB36">
            <v>3778</v>
          </cell>
          <cell r="CC36">
            <v>21</v>
          </cell>
          <cell r="CD36">
            <v>3799</v>
          </cell>
          <cell r="CE36">
            <v>756</v>
          </cell>
          <cell r="CF36">
            <v>23</v>
          </cell>
          <cell r="CG36">
            <v>221</v>
          </cell>
          <cell r="CH36">
            <v>4799</v>
          </cell>
          <cell r="CI36">
            <v>14228</v>
          </cell>
          <cell r="CJ36">
            <v>13722</v>
          </cell>
          <cell r="CK36">
            <v>3761</v>
          </cell>
          <cell r="CL36">
            <v>9961</v>
          </cell>
          <cell r="CM36">
            <v>27950</v>
          </cell>
        </row>
        <row r="37">
          <cell r="B37">
            <v>22655</v>
          </cell>
          <cell r="C37">
            <v>1625</v>
          </cell>
          <cell r="D37">
            <v>80</v>
          </cell>
          <cell r="E37">
            <v>690</v>
          </cell>
          <cell r="F37">
            <v>82</v>
          </cell>
          <cell r="G37">
            <v>5</v>
          </cell>
          <cell r="H37">
            <v>2482</v>
          </cell>
          <cell r="I37">
            <v>25137</v>
          </cell>
          <cell r="J37">
            <v>549</v>
          </cell>
          <cell r="K37">
            <v>627</v>
          </cell>
          <cell r="L37">
            <v>1176</v>
          </cell>
          <cell r="M37">
            <v>26313</v>
          </cell>
          <cell r="N37">
            <v>5430</v>
          </cell>
          <cell r="O37">
            <v>3856</v>
          </cell>
          <cell r="P37">
            <v>1194</v>
          </cell>
          <cell r="Q37">
            <v>248</v>
          </cell>
          <cell r="R37">
            <v>10728</v>
          </cell>
          <cell r="S37">
            <v>10728</v>
          </cell>
          <cell r="T37">
            <v>3087</v>
          </cell>
          <cell r="U37">
            <v>21</v>
          </cell>
          <cell r="V37">
            <v>3109</v>
          </cell>
          <cell r="W37">
            <v>760</v>
          </cell>
          <cell r="X37">
            <v>22</v>
          </cell>
          <cell r="Y37">
            <v>235</v>
          </cell>
          <cell r="Z37">
            <v>4126</v>
          </cell>
          <cell r="AA37">
            <v>14854</v>
          </cell>
          <cell r="AB37">
            <v>11459</v>
          </cell>
          <cell r="AC37">
            <v>1392</v>
          </cell>
          <cell r="AD37">
            <v>10067</v>
          </cell>
          <cell r="AE37">
            <v>26313</v>
          </cell>
          <cell r="AF37">
            <v>22827</v>
          </cell>
          <cell r="AG37">
            <v>1652</v>
          </cell>
          <cell r="AH37">
            <v>90</v>
          </cell>
          <cell r="AI37">
            <v>641</v>
          </cell>
          <cell r="AJ37">
            <v>82</v>
          </cell>
          <cell r="AK37">
            <v>5</v>
          </cell>
          <cell r="AL37">
            <v>2470</v>
          </cell>
          <cell r="AM37">
            <v>25297</v>
          </cell>
          <cell r="AN37">
            <v>547</v>
          </cell>
          <cell r="AO37">
            <v>630</v>
          </cell>
          <cell r="AP37">
            <v>1177</v>
          </cell>
          <cell r="AQ37">
            <v>26474</v>
          </cell>
          <cell r="AR37">
            <v>5597</v>
          </cell>
          <cell r="AS37">
            <v>3735</v>
          </cell>
          <cell r="AT37">
            <v>1390</v>
          </cell>
          <cell r="AU37">
            <v>276</v>
          </cell>
          <cell r="AV37">
            <v>10997</v>
          </cell>
          <cell r="AW37">
            <v>10997</v>
          </cell>
          <cell r="AX37">
            <v>3028</v>
          </cell>
          <cell r="AY37">
            <v>22</v>
          </cell>
          <cell r="AZ37">
            <v>3050</v>
          </cell>
          <cell r="BA37">
            <v>760</v>
          </cell>
          <cell r="BB37">
            <v>23</v>
          </cell>
          <cell r="BC37">
            <v>242</v>
          </cell>
          <cell r="BD37">
            <v>4074</v>
          </cell>
          <cell r="BE37">
            <v>15072</v>
          </cell>
          <cell r="BF37">
            <v>11402</v>
          </cell>
          <cell r="BG37">
            <v>1336</v>
          </cell>
          <cell r="BH37">
            <v>10066</v>
          </cell>
          <cell r="BI37">
            <v>26474</v>
          </cell>
          <cell r="BJ37">
            <v>21087</v>
          </cell>
          <cell r="BK37">
            <v>1657</v>
          </cell>
          <cell r="BL37">
            <v>66</v>
          </cell>
          <cell r="BM37">
            <v>415</v>
          </cell>
          <cell r="BN37">
            <v>82</v>
          </cell>
          <cell r="BO37">
            <v>4</v>
          </cell>
          <cell r="BP37">
            <v>2223</v>
          </cell>
          <cell r="BQ37">
            <v>23310</v>
          </cell>
          <cell r="BR37">
            <v>550</v>
          </cell>
          <cell r="BS37">
            <v>622</v>
          </cell>
          <cell r="BT37">
            <v>1172</v>
          </cell>
          <cell r="BU37">
            <v>24482</v>
          </cell>
          <cell r="BV37">
            <v>5693</v>
          </cell>
          <cell r="BW37">
            <v>4813</v>
          </cell>
          <cell r="BX37">
            <v>1649</v>
          </cell>
          <cell r="BY37">
            <v>281</v>
          </cell>
          <cell r="BZ37">
            <v>12435</v>
          </cell>
          <cell r="CA37">
            <v>12435</v>
          </cell>
          <cell r="CB37">
            <v>2578</v>
          </cell>
          <cell r="CC37">
            <v>21</v>
          </cell>
          <cell r="CD37">
            <v>2599</v>
          </cell>
          <cell r="CE37">
            <v>760</v>
          </cell>
          <cell r="CF37">
            <v>23</v>
          </cell>
          <cell r="CG37">
            <v>247</v>
          </cell>
          <cell r="CH37">
            <v>3629</v>
          </cell>
          <cell r="CI37">
            <v>16064</v>
          </cell>
          <cell r="CJ37">
            <v>8418</v>
          </cell>
          <cell r="CK37">
            <v>-1648</v>
          </cell>
          <cell r="CL37">
            <v>10066</v>
          </cell>
          <cell r="CM37">
            <v>24482</v>
          </cell>
        </row>
        <row r="38">
          <cell r="B38">
            <v>22873</v>
          </cell>
          <cell r="C38">
            <v>1681</v>
          </cell>
          <cell r="D38">
            <v>72</v>
          </cell>
          <cell r="E38">
            <v>642</v>
          </cell>
          <cell r="F38">
            <v>85</v>
          </cell>
          <cell r="G38">
            <v>4</v>
          </cell>
          <cell r="H38">
            <v>2485</v>
          </cell>
          <cell r="I38">
            <v>25358</v>
          </cell>
          <cell r="J38">
            <v>535</v>
          </cell>
          <cell r="K38">
            <v>648</v>
          </cell>
          <cell r="L38">
            <v>1183</v>
          </cell>
          <cell r="M38">
            <v>26541</v>
          </cell>
          <cell r="N38">
            <v>5519</v>
          </cell>
          <cell r="O38">
            <v>4162</v>
          </cell>
          <cell r="P38">
            <v>1098</v>
          </cell>
          <cell r="Q38">
            <v>257</v>
          </cell>
          <cell r="R38">
            <v>11036</v>
          </cell>
          <cell r="S38">
            <v>11036</v>
          </cell>
          <cell r="T38">
            <v>2873</v>
          </cell>
          <cell r="U38">
            <v>21</v>
          </cell>
          <cell r="V38">
            <v>2894</v>
          </cell>
          <cell r="W38">
            <v>757</v>
          </cell>
          <cell r="X38">
            <v>21</v>
          </cell>
          <cell r="Y38">
            <v>250</v>
          </cell>
          <cell r="Z38">
            <v>3922</v>
          </cell>
          <cell r="AA38">
            <v>14958</v>
          </cell>
          <cell r="AB38">
            <v>11583</v>
          </cell>
          <cell r="AC38">
            <v>1374</v>
          </cell>
          <cell r="AD38">
            <v>10209</v>
          </cell>
          <cell r="AE38">
            <v>26541</v>
          </cell>
          <cell r="AF38">
            <v>22420</v>
          </cell>
          <cell r="AG38">
            <v>1670</v>
          </cell>
          <cell r="AH38">
            <v>63</v>
          </cell>
          <cell r="AI38">
            <v>680</v>
          </cell>
          <cell r="AJ38">
            <v>84</v>
          </cell>
          <cell r="AK38">
            <v>5</v>
          </cell>
          <cell r="AL38">
            <v>2502</v>
          </cell>
          <cell r="AM38">
            <v>24922</v>
          </cell>
          <cell r="AN38">
            <v>544</v>
          </cell>
          <cell r="AO38">
            <v>683</v>
          </cell>
          <cell r="AP38">
            <v>1227</v>
          </cell>
          <cell r="AQ38">
            <v>26150</v>
          </cell>
          <cell r="AR38">
            <v>5488</v>
          </cell>
          <cell r="AS38">
            <v>4394</v>
          </cell>
          <cell r="AT38">
            <v>851</v>
          </cell>
          <cell r="AU38">
            <v>250</v>
          </cell>
          <cell r="AV38">
            <v>10983</v>
          </cell>
          <cell r="AW38">
            <v>10983</v>
          </cell>
          <cell r="AX38">
            <v>2922</v>
          </cell>
          <cell r="AY38">
            <v>20</v>
          </cell>
          <cell r="AZ38">
            <v>2942</v>
          </cell>
          <cell r="BA38">
            <v>768</v>
          </cell>
          <cell r="BB38">
            <v>19</v>
          </cell>
          <cell r="BC38">
            <v>234</v>
          </cell>
          <cell r="BD38">
            <v>3963</v>
          </cell>
          <cell r="BE38">
            <v>14946</v>
          </cell>
          <cell r="BF38">
            <v>11203</v>
          </cell>
          <cell r="BG38">
            <v>1010</v>
          </cell>
          <cell r="BH38">
            <v>10193</v>
          </cell>
          <cell r="BI38">
            <v>26150</v>
          </cell>
          <cell r="BJ38">
            <v>21412</v>
          </cell>
          <cell r="BK38">
            <v>1687</v>
          </cell>
          <cell r="BL38">
            <v>100</v>
          </cell>
          <cell r="BM38">
            <v>716</v>
          </cell>
          <cell r="BN38">
            <v>84</v>
          </cell>
          <cell r="BO38">
            <v>4</v>
          </cell>
          <cell r="BP38">
            <v>2591</v>
          </cell>
          <cell r="BQ38">
            <v>24003</v>
          </cell>
          <cell r="BR38">
            <v>541</v>
          </cell>
          <cell r="BS38">
            <v>739</v>
          </cell>
          <cell r="BT38">
            <v>1280</v>
          </cell>
          <cell r="BU38">
            <v>25283</v>
          </cell>
          <cell r="BV38">
            <v>5714</v>
          </cell>
          <cell r="BW38">
            <v>2802</v>
          </cell>
          <cell r="BX38">
            <v>575</v>
          </cell>
          <cell r="BY38">
            <v>234</v>
          </cell>
          <cell r="BZ38">
            <v>9325</v>
          </cell>
          <cell r="CA38">
            <v>9325</v>
          </cell>
          <cell r="CB38">
            <v>2579</v>
          </cell>
          <cell r="CC38">
            <v>21</v>
          </cell>
          <cell r="CD38">
            <v>2600</v>
          </cell>
          <cell r="CE38">
            <v>768</v>
          </cell>
          <cell r="CF38">
            <v>19</v>
          </cell>
          <cell r="CG38">
            <v>285</v>
          </cell>
          <cell r="CH38">
            <v>3672</v>
          </cell>
          <cell r="CI38">
            <v>12997</v>
          </cell>
          <cell r="CJ38">
            <v>12287</v>
          </cell>
          <cell r="CK38">
            <v>2093</v>
          </cell>
          <cell r="CL38">
            <v>10193</v>
          </cell>
          <cell r="CM38">
            <v>25283</v>
          </cell>
        </row>
        <row r="39">
          <cell r="B39">
            <v>23449</v>
          </cell>
          <cell r="C39">
            <v>1689</v>
          </cell>
          <cell r="D39">
            <v>98</v>
          </cell>
          <cell r="E39">
            <v>535</v>
          </cell>
          <cell r="F39">
            <v>88</v>
          </cell>
          <cell r="G39">
            <v>4</v>
          </cell>
          <cell r="H39">
            <v>2414</v>
          </cell>
          <cell r="I39">
            <v>25863</v>
          </cell>
          <cell r="J39">
            <v>515</v>
          </cell>
          <cell r="K39">
            <v>629</v>
          </cell>
          <cell r="L39">
            <v>1144</v>
          </cell>
          <cell r="M39">
            <v>27007</v>
          </cell>
          <cell r="N39">
            <v>5419</v>
          </cell>
          <cell r="O39">
            <v>4542</v>
          </cell>
          <cell r="P39">
            <v>1176</v>
          </cell>
          <cell r="Q39">
            <v>263</v>
          </cell>
          <cell r="R39">
            <v>11400</v>
          </cell>
          <cell r="S39">
            <v>11400</v>
          </cell>
          <cell r="T39">
            <v>2740</v>
          </cell>
          <cell r="U39">
            <v>22</v>
          </cell>
          <cell r="V39">
            <v>2761</v>
          </cell>
          <cell r="W39">
            <v>751</v>
          </cell>
          <cell r="X39">
            <v>20</v>
          </cell>
          <cell r="Y39">
            <v>263</v>
          </cell>
          <cell r="Z39">
            <v>3795</v>
          </cell>
          <cell r="AA39">
            <v>15196</v>
          </cell>
          <cell r="AB39">
            <v>11811</v>
          </cell>
          <cell r="AC39">
            <v>1448</v>
          </cell>
          <cell r="AD39">
            <v>10363</v>
          </cell>
          <cell r="AE39">
            <v>27007</v>
          </cell>
          <cell r="AF39">
            <v>23600</v>
          </cell>
          <cell r="AG39">
            <v>1685</v>
          </cell>
          <cell r="AH39">
            <v>90</v>
          </cell>
          <cell r="AI39">
            <v>526</v>
          </cell>
          <cell r="AJ39">
            <v>88</v>
          </cell>
          <cell r="AK39">
            <v>4</v>
          </cell>
          <cell r="AL39">
            <v>2393</v>
          </cell>
          <cell r="AM39">
            <v>25993</v>
          </cell>
          <cell r="AN39">
            <v>508</v>
          </cell>
          <cell r="AO39">
            <v>611</v>
          </cell>
          <cell r="AP39">
            <v>1119</v>
          </cell>
          <cell r="AQ39">
            <v>27112</v>
          </cell>
          <cell r="AR39">
            <v>5301</v>
          </cell>
          <cell r="AS39">
            <v>4148</v>
          </cell>
          <cell r="AT39">
            <v>1104</v>
          </cell>
          <cell r="AU39">
            <v>245</v>
          </cell>
          <cell r="AV39">
            <v>10798</v>
          </cell>
          <cell r="AW39">
            <v>10798</v>
          </cell>
          <cell r="AX39">
            <v>2755</v>
          </cell>
          <cell r="AY39">
            <v>21</v>
          </cell>
          <cell r="AZ39">
            <v>2776</v>
          </cell>
          <cell r="BA39">
            <v>746</v>
          </cell>
          <cell r="BB39">
            <v>23</v>
          </cell>
          <cell r="BC39">
            <v>280</v>
          </cell>
          <cell r="BD39">
            <v>3826</v>
          </cell>
          <cell r="BE39">
            <v>14624</v>
          </cell>
          <cell r="BF39">
            <v>12489</v>
          </cell>
          <cell r="BG39">
            <v>2112</v>
          </cell>
          <cell r="BH39">
            <v>10377</v>
          </cell>
          <cell r="BI39">
            <v>27112</v>
          </cell>
          <cell r="BJ39">
            <v>24710</v>
          </cell>
          <cell r="BK39">
            <v>1655</v>
          </cell>
          <cell r="BL39">
            <v>63</v>
          </cell>
          <cell r="BM39">
            <v>657</v>
          </cell>
          <cell r="BN39">
            <v>88</v>
          </cell>
          <cell r="BO39">
            <v>5</v>
          </cell>
          <cell r="BP39">
            <v>2469</v>
          </cell>
          <cell r="BQ39">
            <v>27179</v>
          </cell>
          <cell r="BR39">
            <v>506</v>
          </cell>
          <cell r="BS39">
            <v>576</v>
          </cell>
          <cell r="BT39">
            <v>1083</v>
          </cell>
          <cell r="BU39">
            <v>28262</v>
          </cell>
          <cell r="BV39">
            <v>5188</v>
          </cell>
          <cell r="BW39">
            <v>5523</v>
          </cell>
          <cell r="BX39">
            <v>1585</v>
          </cell>
          <cell r="BY39">
            <v>255</v>
          </cell>
          <cell r="BZ39">
            <v>12550</v>
          </cell>
          <cell r="CA39">
            <v>12550</v>
          </cell>
          <cell r="CB39">
            <v>3460</v>
          </cell>
          <cell r="CC39">
            <v>22</v>
          </cell>
          <cell r="CD39">
            <v>3482</v>
          </cell>
          <cell r="CE39">
            <v>746</v>
          </cell>
          <cell r="CF39">
            <v>24</v>
          </cell>
          <cell r="CG39">
            <v>228</v>
          </cell>
          <cell r="CH39">
            <v>4480</v>
          </cell>
          <cell r="CI39">
            <v>17030</v>
          </cell>
          <cell r="CJ39">
            <v>11232</v>
          </cell>
          <cell r="CK39">
            <v>855</v>
          </cell>
          <cell r="CL39">
            <v>10377</v>
          </cell>
          <cell r="CM39">
            <v>28262</v>
          </cell>
        </row>
        <row r="40">
          <cell r="B40">
            <v>24077</v>
          </cell>
          <cell r="C40">
            <v>1663</v>
          </cell>
          <cell r="D40">
            <v>157</v>
          </cell>
          <cell r="E40">
            <v>456</v>
          </cell>
          <cell r="F40">
            <v>91</v>
          </cell>
          <cell r="G40">
            <v>5</v>
          </cell>
          <cell r="H40">
            <v>2372</v>
          </cell>
          <cell r="I40">
            <v>26448</v>
          </cell>
          <cell r="J40">
            <v>502</v>
          </cell>
          <cell r="K40">
            <v>617</v>
          </cell>
          <cell r="L40">
            <v>1119</v>
          </cell>
          <cell r="M40">
            <v>27567</v>
          </cell>
          <cell r="N40">
            <v>5338</v>
          </cell>
          <cell r="O40">
            <v>4829</v>
          </cell>
          <cell r="P40">
            <v>1276</v>
          </cell>
          <cell r="Q40">
            <v>263</v>
          </cell>
          <cell r="R40">
            <v>11706</v>
          </cell>
          <cell r="S40">
            <v>11706</v>
          </cell>
          <cell r="T40">
            <v>2753</v>
          </cell>
          <cell r="U40">
            <v>22</v>
          </cell>
          <cell r="V40">
            <v>2775</v>
          </cell>
          <cell r="W40">
            <v>757</v>
          </cell>
          <cell r="X40">
            <v>21</v>
          </cell>
          <cell r="Y40">
            <v>271</v>
          </cell>
          <cell r="Z40">
            <v>3824</v>
          </cell>
          <cell r="AA40">
            <v>15530</v>
          </cell>
          <cell r="AB40">
            <v>12037</v>
          </cell>
          <cell r="AC40">
            <v>1533</v>
          </cell>
          <cell r="AD40">
            <v>10504</v>
          </cell>
          <cell r="AE40">
            <v>27567</v>
          </cell>
          <cell r="AF40">
            <v>24179</v>
          </cell>
          <cell r="AG40">
            <v>1694</v>
          </cell>
          <cell r="AH40">
            <v>136</v>
          </cell>
          <cell r="AI40">
            <v>413</v>
          </cell>
          <cell r="AJ40">
            <v>91</v>
          </cell>
          <cell r="AK40">
            <v>5</v>
          </cell>
          <cell r="AL40">
            <v>2339</v>
          </cell>
          <cell r="AM40">
            <v>26518</v>
          </cell>
          <cell r="AN40">
            <v>503</v>
          </cell>
          <cell r="AO40">
            <v>617</v>
          </cell>
          <cell r="AP40">
            <v>1120</v>
          </cell>
          <cell r="AQ40">
            <v>27638</v>
          </cell>
          <cell r="AR40">
            <v>5465</v>
          </cell>
          <cell r="AS40">
            <v>5251</v>
          </cell>
          <cell r="AT40">
            <v>1476</v>
          </cell>
          <cell r="AU40">
            <v>292</v>
          </cell>
          <cell r="AV40">
            <v>12484</v>
          </cell>
          <cell r="AW40">
            <v>12484</v>
          </cell>
          <cell r="AX40">
            <v>2561</v>
          </cell>
          <cell r="AY40">
            <v>23</v>
          </cell>
          <cell r="AZ40">
            <v>2583</v>
          </cell>
          <cell r="BA40">
            <v>755</v>
          </cell>
          <cell r="BB40">
            <v>18</v>
          </cell>
          <cell r="BC40">
            <v>270</v>
          </cell>
          <cell r="BD40">
            <v>3626</v>
          </cell>
          <cell r="BE40">
            <v>16110</v>
          </cell>
          <cell r="BF40">
            <v>11528</v>
          </cell>
          <cell r="BG40">
            <v>1024</v>
          </cell>
          <cell r="BH40">
            <v>10504</v>
          </cell>
          <cell r="BI40">
            <v>27638</v>
          </cell>
          <cell r="BJ40">
            <v>25887</v>
          </cell>
          <cell r="BK40">
            <v>1703</v>
          </cell>
          <cell r="BL40">
            <v>126</v>
          </cell>
          <cell r="BM40">
            <v>483</v>
          </cell>
          <cell r="BN40">
            <v>91</v>
          </cell>
          <cell r="BO40">
            <v>5</v>
          </cell>
          <cell r="BP40">
            <v>2408</v>
          </cell>
          <cell r="BQ40">
            <v>28296</v>
          </cell>
          <cell r="BR40">
            <v>505</v>
          </cell>
          <cell r="BS40">
            <v>605</v>
          </cell>
          <cell r="BT40">
            <v>1110</v>
          </cell>
          <cell r="BU40">
            <v>29405</v>
          </cell>
          <cell r="BV40">
            <v>5274</v>
          </cell>
          <cell r="BW40">
            <v>4343</v>
          </cell>
          <cell r="BX40">
            <v>1024</v>
          </cell>
          <cell r="BY40">
            <v>294</v>
          </cell>
          <cell r="BZ40">
            <v>10935</v>
          </cell>
          <cell r="CA40">
            <v>10935</v>
          </cell>
          <cell r="CB40">
            <v>2902</v>
          </cell>
          <cell r="CC40">
            <v>22</v>
          </cell>
          <cell r="CD40">
            <v>2924</v>
          </cell>
          <cell r="CE40">
            <v>755</v>
          </cell>
          <cell r="CF40">
            <v>18</v>
          </cell>
          <cell r="CG40">
            <v>261</v>
          </cell>
          <cell r="CH40">
            <v>3958</v>
          </cell>
          <cell r="CI40">
            <v>14892</v>
          </cell>
          <cell r="CJ40">
            <v>14513</v>
          </cell>
          <cell r="CK40">
            <v>4009</v>
          </cell>
          <cell r="CL40">
            <v>10504</v>
          </cell>
          <cell r="CM40">
            <v>29405</v>
          </cell>
        </row>
        <row r="41">
          <cell r="B41">
            <v>24420</v>
          </cell>
          <cell r="C41">
            <v>1658</v>
          </cell>
          <cell r="D41">
            <v>203</v>
          </cell>
          <cell r="E41">
            <v>402</v>
          </cell>
          <cell r="F41">
            <v>91</v>
          </cell>
          <cell r="G41">
            <v>5</v>
          </cell>
          <cell r="H41">
            <v>2359</v>
          </cell>
          <cell r="I41">
            <v>26779</v>
          </cell>
          <cell r="J41">
            <v>512</v>
          </cell>
          <cell r="K41">
            <v>641</v>
          </cell>
          <cell r="L41">
            <v>1153</v>
          </cell>
          <cell r="M41">
            <v>27932</v>
          </cell>
          <cell r="N41">
            <v>5361</v>
          </cell>
          <cell r="O41">
            <v>4963</v>
          </cell>
          <cell r="P41">
            <v>1208</v>
          </cell>
          <cell r="Q41">
            <v>273</v>
          </cell>
          <cell r="R41">
            <v>11806</v>
          </cell>
          <cell r="S41">
            <v>11806</v>
          </cell>
          <cell r="T41">
            <v>2854</v>
          </cell>
          <cell r="U41">
            <v>22</v>
          </cell>
          <cell r="V41">
            <v>2877</v>
          </cell>
          <cell r="W41">
            <v>804</v>
          </cell>
          <cell r="X41">
            <v>22</v>
          </cell>
          <cell r="Y41">
            <v>275</v>
          </cell>
          <cell r="Z41">
            <v>3978</v>
          </cell>
          <cell r="AA41">
            <v>15783</v>
          </cell>
          <cell r="AB41">
            <v>12149</v>
          </cell>
          <cell r="AC41">
            <v>1555</v>
          </cell>
          <cell r="AD41">
            <v>10595</v>
          </cell>
          <cell r="AE41">
            <v>27932</v>
          </cell>
          <cell r="AF41">
            <v>24465</v>
          </cell>
          <cell r="AG41">
            <v>1619</v>
          </cell>
          <cell r="AH41">
            <v>242</v>
          </cell>
          <cell r="AI41">
            <v>441</v>
          </cell>
          <cell r="AJ41">
            <v>91</v>
          </cell>
          <cell r="AK41">
            <v>6</v>
          </cell>
          <cell r="AL41">
            <v>2400</v>
          </cell>
          <cell r="AM41">
            <v>26865</v>
          </cell>
          <cell r="AN41">
            <v>507</v>
          </cell>
          <cell r="AO41">
            <v>595</v>
          </cell>
          <cell r="AP41">
            <v>1102</v>
          </cell>
          <cell r="AQ41">
            <v>27967</v>
          </cell>
          <cell r="AR41">
            <v>5223</v>
          </cell>
          <cell r="AS41">
            <v>4813</v>
          </cell>
          <cell r="AT41">
            <v>1325</v>
          </cell>
          <cell r="AU41">
            <v>255</v>
          </cell>
          <cell r="AV41">
            <v>11617</v>
          </cell>
          <cell r="AW41">
            <v>11617</v>
          </cell>
          <cell r="AX41">
            <v>3067</v>
          </cell>
          <cell r="AY41">
            <v>23</v>
          </cell>
          <cell r="AZ41">
            <v>3090</v>
          </cell>
          <cell r="BA41">
            <v>800</v>
          </cell>
          <cell r="BB41">
            <v>22</v>
          </cell>
          <cell r="BC41">
            <v>265</v>
          </cell>
          <cell r="BD41">
            <v>4177</v>
          </cell>
          <cell r="BE41">
            <v>15794</v>
          </cell>
          <cell r="BF41">
            <v>12173</v>
          </cell>
          <cell r="BG41">
            <v>1576</v>
          </cell>
          <cell r="BH41">
            <v>10597</v>
          </cell>
          <cell r="BI41">
            <v>27967</v>
          </cell>
          <cell r="BJ41">
            <v>22504</v>
          </cell>
          <cell r="BK41">
            <v>1627</v>
          </cell>
          <cell r="BL41">
            <v>175</v>
          </cell>
          <cell r="BM41">
            <v>207</v>
          </cell>
          <cell r="BN41">
            <v>91</v>
          </cell>
          <cell r="BO41">
            <v>5</v>
          </cell>
          <cell r="BP41">
            <v>2105</v>
          </cell>
          <cell r="BQ41">
            <v>24609</v>
          </cell>
          <cell r="BR41">
            <v>509</v>
          </cell>
          <cell r="BS41">
            <v>595</v>
          </cell>
          <cell r="BT41">
            <v>1104</v>
          </cell>
          <cell r="BU41">
            <v>25713</v>
          </cell>
          <cell r="BV41">
            <v>5333</v>
          </cell>
          <cell r="BW41">
            <v>5703</v>
          </cell>
          <cell r="BX41">
            <v>1569</v>
          </cell>
          <cell r="BY41">
            <v>262</v>
          </cell>
          <cell r="BZ41">
            <v>12866</v>
          </cell>
          <cell r="CA41">
            <v>12866</v>
          </cell>
          <cell r="CB41">
            <v>2672</v>
          </cell>
          <cell r="CC41">
            <v>22</v>
          </cell>
          <cell r="CD41">
            <v>2694</v>
          </cell>
          <cell r="CE41">
            <v>800</v>
          </cell>
          <cell r="CF41">
            <v>22</v>
          </cell>
          <cell r="CG41">
            <v>273</v>
          </cell>
          <cell r="CH41">
            <v>3789</v>
          </cell>
          <cell r="CI41">
            <v>16655</v>
          </cell>
          <cell r="CJ41">
            <v>9058</v>
          </cell>
          <cell r="CK41">
            <v>-1539</v>
          </cell>
          <cell r="CL41">
            <v>10597</v>
          </cell>
          <cell r="CM41">
            <v>25713</v>
          </cell>
        </row>
        <row r="42">
          <cell r="B42">
            <v>24295</v>
          </cell>
          <cell r="C42">
            <v>1687</v>
          </cell>
          <cell r="D42">
            <v>193</v>
          </cell>
          <cell r="E42">
            <v>388</v>
          </cell>
          <cell r="F42">
            <v>88</v>
          </cell>
          <cell r="G42">
            <v>5</v>
          </cell>
          <cell r="H42">
            <v>2362</v>
          </cell>
          <cell r="I42">
            <v>26657</v>
          </cell>
          <cell r="J42">
            <v>546</v>
          </cell>
          <cell r="K42">
            <v>682</v>
          </cell>
          <cell r="L42">
            <v>1227</v>
          </cell>
          <cell r="M42">
            <v>27884</v>
          </cell>
          <cell r="N42">
            <v>5386</v>
          </cell>
          <cell r="O42">
            <v>5004</v>
          </cell>
          <cell r="P42">
            <v>951</v>
          </cell>
          <cell r="Q42">
            <v>283</v>
          </cell>
          <cell r="R42">
            <v>11623</v>
          </cell>
          <cell r="S42">
            <v>11623</v>
          </cell>
          <cell r="T42">
            <v>3054</v>
          </cell>
          <cell r="U42">
            <v>24</v>
          </cell>
          <cell r="V42">
            <v>3077</v>
          </cell>
          <cell r="W42">
            <v>900</v>
          </cell>
          <cell r="X42">
            <v>22</v>
          </cell>
          <cell r="Y42">
            <v>273</v>
          </cell>
          <cell r="Z42">
            <v>4272</v>
          </cell>
          <cell r="AA42">
            <v>15896</v>
          </cell>
          <cell r="AB42">
            <v>11989</v>
          </cell>
          <cell r="AC42">
            <v>1361</v>
          </cell>
          <cell r="AD42">
            <v>10628</v>
          </cell>
          <cell r="AE42">
            <v>27884</v>
          </cell>
          <cell r="AF42">
            <v>24222</v>
          </cell>
          <cell r="AG42">
            <v>1656</v>
          </cell>
          <cell r="AH42">
            <v>203</v>
          </cell>
          <cell r="AI42">
            <v>379</v>
          </cell>
          <cell r="AJ42">
            <v>89</v>
          </cell>
          <cell r="AK42">
            <v>6</v>
          </cell>
          <cell r="AL42">
            <v>2332</v>
          </cell>
          <cell r="AM42">
            <v>26555</v>
          </cell>
          <cell r="AN42">
            <v>538</v>
          </cell>
          <cell r="AO42">
            <v>752</v>
          </cell>
          <cell r="AP42">
            <v>1290</v>
          </cell>
          <cell r="AQ42">
            <v>27845</v>
          </cell>
          <cell r="AR42">
            <v>5414</v>
          </cell>
          <cell r="AS42">
            <v>4941</v>
          </cell>
          <cell r="AT42">
            <v>694</v>
          </cell>
          <cell r="AU42">
            <v>271</v>
          </cell>
          <cell r="AV42">
            <v>11321</v>
          </cell>
          <cell r="AW42">
            <v>11321</v>
          </cell>
          <cell r="AX42">
            <v>3000</v>
          </cell>
          <cell r="AY42">
            <v>21</v>
          </cell>
          <cell r="AZ42">
            <v>3021</v>
          </cell>
          <cell r="BA42">
            <v>881</v>
          </cell>
          <cell r="BB42">
            <v>25</v>
          </cell>
          <cell r="BC42">
            <v>283</v>
          </cell>
          <cell r="BD42">
            <v>4210</v>
          </cell>
          <cell r="BE42">
            <v>15531</v>
          </cell>
          <cell r="BF42">
            <v>12314</v>
          </cell>
          <cell r="BG42">
            <v>1658</v>
          </cell>
          <cell r="BH42">
            <v>10657</v>
          </cell>
          <cell r="BI42">
            <v>27845</v>
          </cell>
          <cell r="BJ42">
            <v>23285</v>
          </cell>
          <cell r="BK42">
            <v>1662</v>
          </cell>
          <cell r="BL42">
            <v>338</v>
          </cell>
          <cell r="BM42">
            <v>396</v>
          </cell>
          <cell r="BN42">
            <v>89</v>
          </cell>
          <cell r="BO42">
            <v>5</v>
          </cell>
          <cell r="BP42">
            <v>2490</v>
          </cell>
          <cell r="BQ42">
            <v>25775</v>
          </cell>
          <cell r="BR42">
            <v>535</v>
          </cell>
          <cell r="BS42">
            <v>812</v>
          </cell>
          <cell r="BT42">
            <v>1347</v>
          </cell>
          <cell r="BU42">
            <v>27122</v>
          </cell>
          <cell r="BV42">
            <v>5575</v>
          </cell>
          <cell r="BW42">
            <v>3377</v>
          </cell>
          <cell r="BX42">
            <v>425</v>
          </cell>
          <cell r="BY42">
            <v>251</v>
          </cell>
          <cell r="BZ42">
            <v>9628</v>
          </cell>
          <cell r="CA42">
            <v>9628</v>
          </cell>
          <cell r="CB42">
            <v>2710</v>
          </cell>
          <cell r="CC42">
            <v>22</v>
          </cell>
          <cell r="CD42">
            <v>2732</v>
          </cell>
          <cell r="CE42">
            <v>881</v>
          </cell>
          <cell r="CF42">
            <v>25</v>
          </cell>
          <cell r="CG42">
            <v>338</v>
          </cell>
          <cell r="CH42">
            <v>3976</v>
          </cell>
          <cell r="CI42">
            <v>13604</v>
          </cell>
          <cell r="CJ42">
            <v>13518</v>
          </cell>
          <cell r="CK42">
            <v>2861</v>
          </cell>
          <cell r="CL42">
            <v>10657</v>
          </cell>
          <cell r="CM42">
            <v>27122</v>
          </cell>
        </row>
        <row r="43">
          <cell r="B43">
            <v>23869</v>
          </cell>
          <cell r="C43">
            <v>1724</v>
          </cell>
          <cell r="D43">
            <v>143</v>
          </cell>
          <cell r="E43">
            <v>392</v>
          </cell>
          <cell r="F43">
            <v>85</v>
          </cell>
          <cell r="G43">
            <v>5</v>
          </cell>
          <cell r="H43">
            <v>2349</v>
          </cell>
          <cell r="I43">
            <v>26218</v>
          </cell>
          <cell r="J43">
            <v>584</v>
          </cell>
          <cell r="K43">
            <v>696</v>
          </cell>
          <cell r="L43">
            <v>1280</v>
          </cell>
          <cell r="M43">
            <v>27498</v>
          </cell>
          <cell r="N43">
            <v>5318</v>
          </cell>
          <cell r="O43">
            <v>5013</v>
          </cell>
          <cell r="P43">
            <v>798</v>
          </cell>
          <cell r="Q43">
            <v>290</v>
          </cell>
          <cell r="R43">
            <v>11419</v>
          </cell>
          <cell r="S43">
            <v>11419</v>
          </cell>
          <cell r="T43">
            <v>3277</v>
          </cell>
          <cell r="U43">
            <v>26</v>
          </cell>
          <cell r="V43">
            <v>3302</v>
          </cell>
          <cell r="W43">
            <v>1016</v>
          </cell>
          <cell r="X43">
            <v>21</v>
          </cell>
          <cell r="Y43">
            <v>277</v>
          </cell>
          <cell r="Z43">
            <v>4616</v>
          </cell>
          <cell r="AA43">
            <v>16035</v>
          </cell>
          <cell r="AB43">
            <v>11462</v>
          </cell>
          <cell r="AC43">
            <v>822</v>
          </cell>
          <cell r="AD43">
            <v>10641</v>
          </cell>
          <cell r="AE43">
            <v>27498</v>
          </cell>
          <cell r="AF43">
            <v>24091</v>
          </cell>
          <cell r="AG43">
            <v>1786</v>
          </cell>
          <cell r="AH43">
            <v>121</v>
          </cell>
          <cell r="AI43">
            <v>394</v>
          </cell>
          <cell r="AJ43">
            <v>84</v>
          </cell>
          <cell r="AK43">
            <v>4</v>
          </cell>
          <cell r="AL43">
            <v>2388</v>
          </cell>
          <cell r="AM43">
            <v>26480</v>
          </cell>
          <cell r="AN43">
            <v>597</v>
          </cell>
          <cell r="AO43">
            <v>666</v>
          </cell>
          <cell r="AP43">
            <v>1264</v>
          </cell>
          <cell r="AQ43">
            <v>27743</v>
          </cell>
          <cell r="AR43">
            <v>5446</v>
          </cell>
          <cell r="AS43">
            <v>5076</v>
          </cell>
          <cell r="AT43">
            <v>944</v>
          </cell>
          <cell r="AU43">
            <v>322</v>
          </cell>
          <cell r="AV43">
            <v>11787</v>
          </cell>
          <cell r="AW43">
            <v>11787</v>
          </cell>
          <cell r="AX43">
            <v>3121</v>
          </cell>
          <cell r="AY43">
            <v>28</v>
          </cell>
          <cell r="AZ43">
            <v>3149</v>
          </cell>
          <cell r="BA43">
            <v>1035</v>
          </cell>
          <cell r="BB43">
            <v>17</v>
          </cell>
          <cell r="BC43">
            <v>276</v>
          </cell>
          <cell r="BD43">
            <v>4477</v>
          </cell>
          <cell r="BE43">
            <v>16265</v>
          </cell>
          <cell r="BF43">
            <v>11479</v>
          </cell>
          <cell r="BG43">
            <v>861</v>
          </cell>
          <cell r="BH43">
            <v>10617</v>
          </cell>
          <cell r="BI43">
            <v>27743</v>
          </cell>
          <cell r="BJ43">
            <v>25143</v>
          </cell>
          <cell r="BK43">
            <v>1767</v>
          </cell>
          <cell r="BL43">
            <v>86</v>
          </cell>
          <cell r="BM43">
            <v>488</v>
          </cell>
          <cell r="BN43">
            <v>84</v>
          </cell>
          <cell r="BO43">
            <v>6</v>
          </cell>
          <cell r="BP43">
            <v>2431</v>
          </cell>
          <cell r="BQ43">
            <v>27574</v>
          </cell>
          <cell r="BR43">
            <v>596</v>
          </cell>
          <cell r="BS43">
            <v>631</v>
          </cell>
          <cell r="BT43">
            <v>1226</v>
          </cell>
          <cell r="BU43">
            <v>28801</v>
          </cell>
          <cell r="BV43">
            <v>5361</v>
          </cell>
          <cell r="BW43">
            <v>6515</v>
          </cell>
          <cell r="BX43">
            <v>1414</v>
          </cell>
          <cell r="BY43">
            <v>336</v>
          </cell>
          <cell r="BZ43">
            <v>13626</v>
          </cell>
          <cell r="CA43">
            <v>13626</v>
          </cell>
          <cell r="CB43">
            <v>3323</v>
          </cell>
          <cell r="CC43">
            <v>29</v>
          </cell>
          <cell r="CD43">
            <v>3352</v>
          </cell>
          <cell r="CE43">
            <v>1035</v>
          </cell>
          <cell r="CF43">
            <v>18</v>
          </cell>
          <cell r="CG43">
            <v>226</v>
          </cell>
          <cell r="CH43">
            <v>4630</v>
          </cell>
          <cell r="CI43">
            <v>18256</v>
          </cell>
          <cell r="CJ43">
            <v>10545</v>
          </cell>
          <cell r="CK43">
            <v>-73</v>
          </cell>
          <cell r="CL43">
            <v>10617</v>
          </cell>
          <cell r="CM43">
            <v>28801</v>
          </cell>
        </row>
        <row r="44">
          <cell r="B44">
            <v>23525</v>
          </cell>
          <cell r="C44">
            <v>1726</v>
          </cell>
          <cell r="D44">
            <v>93</v>
          </cell>
          <cell r="E44">
            <v>487</v>
          </cell>
          <cell r="F44">
            <v>81</v>
          </cell>
          <cell r="G44">
            <v>6</v>
          </cell>
          <cell r="H44">
            <v>2394</v>
          </cell>
          <cell r="I44">
            <v>25919</v>
          </cell>
          <cell r="J44">
            <v>612</v>
          </cell>
          <cell r="K44">
            <v>693</v>
          </cell>
          <cell r="L44">
            <v>1305</v>
          </cell>
          <cell r="M44">
            <v>27224</v>
          </cell>
          <cell r="N44">
            <v>5189</v>
          </cell>
          <cell r="O44">
            <v>5167</v>
          </cell>
          <cell r="P44">
            <v>952</v>
          </cell>
          <cell r="Q44">
            <v>293</v>
          </cell>
          <cell r="R44">
            <v>11600</v>
          </cell>
          <cell r="S44">
            <v>11600</v>
          </cell>
          <cell r="T44">
            <v>3481</v>
          </cell>
          <cell r="U44">
            <v>29</v>
          </cell>
          <cell r="V44">
            <v>3510</v>
          </cell>
          <cell r="W44">
            <v>1112</v>
          </cell>
          <cell r="X44">
            <v>19</v>
          </cell>
          <cell r="Y44">
            <v>284</v>
          </cell>
          <cell r="Z44">
            <v>4926</v>
          </cell>
          <cell r="AA44">
            <v>16526</v>
          </cell>
          <cell r="AB44">
            <v>10698</v>
          </cell>
          <cell r="AC44">
            <v>13</v>
          </cell>
          <cell r="AD44">
            <v>10684</v>
          </cell>
          <cell r="AE44">
            <v>27224</v>
          </cell>
          <cell r="AF44">
            <v>23395</v>
          </cell>
          <cell r="AG44">
            <v>1705</v>
          </cell>
          <cell r="AH44">
            <v>88</v>
          </cell>
          <cell r="AI44">
            <v>448</v>
          </cell>
          <cell r="AJ44">
            <v>81</v>
          </cell>
          <cell r="AK44">
            <v>6</v>
          </cell>
          <cell r="AL44">
            <v>2328</v>
          </cell>
          <cell r="AM44">
            <v>25723</v>
          </cell>
          <cell r="AN44">
            <v>611</v>
          </cell>
          <cell r="AO44">
            <v>526</v>
          </cell>
          <cell r="AP44">
            <v>1137</v>
          </cell>
          <cell r="AQ44">
            <v>26860</v>
          </cell>
          <cell r="AR44">
            <v>5073</v>
          </cell>
          <cell r="AS44">
            <v>5100</v>
          </cell>
          <cell r="AT44">
            <v>798</v>
          </cell>
          <cell r="AU44">
            <v>272</v>
          </cell>
          <cell r="AV44">
            <v>11243</v>
          </cell>
          <cell r="AW44">
            <v>11243</v>
          </cell>
          <cell r="AX44">
            <v>3708</v>
          </cell>
          <cell r="AY44">
            <v>28</v>
          </cell>
          <cell r="AZ44">
            <v>3736</v>
          </cell>
          <cell r="BA44">
            <v>1116</v>
          </cell>
          <cell r="BB44">
            <v>20</v>
          </cell>
          <cell r="BC44">
            <v>273</v>
          </cell>
          <cell r="BD44">
            <v>5145</v>
          </cell>
          <cell r="BE44">
            <v>16388</v>
          </cell>
          <cell r="BF44">
            <v>10472</v>
          </cell>
          <cell r="BG44">
            <v>-204</v>
          </cell>
          <cell r="BH44">
            <v>10677</v>
          </cell>
          <cell r="BI44">
            <v>26860</v>
          </cell>
          <cell r="BJ44">
            <v>25051</v>
          </cell>
          <cell r="BK44">
            <v>1706</v>
          </cell>
          <cell r="BL44">
            <v>76</v>
          </cell>
          <cell r="BM44">
            <v>871</v>
          </cell>
          <cell r="BN44">
            <v>81</v>
          </cell>
          <cell r="BO44">
            <v>5</v>
          </cell>
          <cell r="BP44">
            <v>2740</v>
          </cell>
          <cell r="BQ44">
            <v>27792</v>
          </cell>
          <cell r="BR44">
            <v>614</v>
          </cell>
          <cell r="BS44">
            <v>513</v>
          </cell>
          <cell r="BT44">
            <v>1127</v>
          </cell>
          <cell r="BU44">
            <v>28919</v>
          </cell>
          <cell r="BV44">
            <v>4900</v>
          </cell>
          <cell r="BW44">
            <v>4090</v>
          </cell>
          <cell r="BX44">
            <v>364</v>
          </cell>
          <cell r="BY44">
            <v>273</v>
          </cell>
          <cell r="BZ44">
            <v>9628</v>
          </cell>
          <cell r="CA44">
            <v>9628</v>
          </cell>
          <cell r="CB44">
            <v>4340</v>
          </cell>
          <cell r="CC44">
            <v>27</v>
          </cell>
          <cell r="CD44">
            <v>4367</v>
          </cell>
          <cell r="CE44">
            <v>1116</v>
          </cell>
          <cell r="CF44">
            <v>20</v>
          </cell>
          <cell r="CG44">
            <v>262</v>
          </cell>
          <cell r="CH44">
            <v>5765</v>
          </cell>
          <cell r="CI44">
            <v>15393</v>
          </cell>
          <cell r="CJ44">
            <v>13526</v>
          </cell>
          <cell r="CK44">
            <v>2850</v>
          </cell>
          <cell r="CL44">
            <v>10677</v>
          </cell>
          <cell r="CM44">
            <v>28919</v>
          </cell>
        </row>
        <row r="45">
          <cell r="B45">
            <v>23674</v>
          </cell>
          <cell r="C45">
            <v>1660</v>
          </cell>
          <cell r="D45">
            <v>76</v>
          </cell>
          <cell r="E45">
            <v>558</v>
          </cell>
          <cell r="F45">
            <v>78</v>
          </cell>
          <cell r="G45">
            <v>6</v>
          </cell>
          <cell r="H45">
            <v>2379</v>
          </cell>
          <cell r="I45">
            <v>26053</v>
          </cell>
          <cell r="J45">
            <v>620</v>
          </cell>
          <cell r="K45">
            <v>717</v>
          </cell>
          <cell r="L45">
            <v>1337</v>
          </cell>
          <cell r="M45">
            <v>27390</v>
          </cell>
          <cell r="N45">
            <v>4929</v>
          </cell>
          <cell r="O45">
            <v>5161</v>
          </cell>
          <cell r="P45">
            <v>1105</v>
          </cell>
          <cell r="Q45">
            <v>285</v>
          </cell>
          <cell r="R45">
            <v>11480</v>
          </cell>
          <cell r="S45">
            <v>11480</v>
          </cell>
          <cell r="T45">
            <v>3658</v>
          </cell>
          <cell r="U45">
            <v>33</v>
          </cell>
          <cell r="V45">
            <v>3691</v>
          </cell>
          <cell r="W45">
            <v>1161</v>
          </cell>
          <cell r="X45">
            <v>19</v>
          </cell>
          <cell r="Y45">
            <v>296</v>
          </cell>
          <cell r="Z45">
            <v>5166</v>
          </cell>
          <cell r="AA45">
            <v>16646</v>
          </cell>
          <cell r="AB45">
            <v>10744</v>
          </cell>
          <cell r="AC45">
            <v>-62</v>
          </cell>
          <cell r="AD45">
            <v>10806</v>
          </cell>
          <cell r="AE45">
            <v>27390</v>
          </cell>
          <cell r="AF45">
            <v>23292</v>
          </cell>
          <cell r="AG45">
            <v>1658</v>
          </cell>
          <cell r="AH45">
            <v>88</v>
          </cell>
          <cell r="AI45">
            <v>559</v>
          </cell>
          <cell r="AJ45">
            <v>79</v>
          </cell>
          <cell r="AK45">
            <v>7</v>
          </cell>
          <cell r="AL45">
            <v>2391</v>
          </cell>
          <cell r="AM45">
            <v>25683</v>
          </cell>
          <cell r="AN45">
            <v>616</v>
          </cell>
          <cell r="AO45">
            <v>700</v>
          </cell>
          <cell r="AP45">
            <v>1316</v>
          </cell>
          <cell r="AQ45">
            <v>27000</v>
          </cell>
          <cell r="AR45">
            <v>4925</v>
          </cell>
          <cell r="AS45">
            <v>5176</v>
          </cell>
          <cell r="AT45">
            <v>1197</v>
          </cell>
          <cell r="AU45">
            <v>295</v>
          </cell>
          <cell r="AV45">
            <v>11592</v>
          </cell>
          <cell r="AW45">
            <v>11592</v>
          </cell>
          <cell r="AX45">
            <v>3536</v>
          </cell>
          <cell r="AY45">
            <v>31</v>
          </cell>
          <cell r="AZ45">
            <v>3567</v>
          </cell>
          <cell r="BA45">
            <v>1163</v>
          </cell>
          <cell r="BB45">
            <v>20</v>
          </cell>
          <cell r="BC45">
            <v>309</v>
          </cell>
          <cell r="BD45">
            <v>5059</v>
          </cell>
          <cell r="BE45">
            <v>16651</v>
          </cell>
          <cell r="BF45">
            <v>10349</v>
          </cell>
          <cell r="BG45">
            <v>-452</v>
          </cell>
          <cell r="BH45">
            <v>10800</v>
          </cell>
          <cell r="BI45">
            <v>27000</v>
          </cell>
          <cell r="BJ45">
            <v>21546</v>
          </cell>
          <cell r="BK45">
            <v>1654</v>
          </cell>
          <cell r="BL45">
            <v>62</v>
          </cell>
          <cell r="BM45">
            <v>680</v>
          </cell>
          <cell r="BN45">
            <v>79</v>
          </cell>
          <cell r="BO45">
            <v>5</v>
          </cell>
          <cell r="BP45">
            <v>2480</v>
          </cell>
          <cell r="BQ45">
            <v>24027</v>
          </cell>
          <cell r="BR45">
            <v>619</v>
          </cell>
          <cell r="BS45">
            <v>677</v>
          </cell>
          <cell r="BT45">
            <v>1296</v>
          </cell>
          <cell r="BU45">
            <v>25323</v>
          </cell>
          <cell r="BV45">
            <v>5023</v>
          </cell>
          <cell r="BW45">
            <v>5967</v>
          </cell>
          <cell r="BX45">
            <v>1409</v>
          </cell>
          <cell r="BY45">
            <v>303</v>
          </cell>
          <cell r="BZ45">
            <v>12702</v>
          </cell>
          <cell r="CA45">
            <v>12702</v>
          </cell>
          <cell r="CB45">
            <v>3036</v>
          </cell>
          <cell r="CC45">
            <v>30</v>
          </cell>
          <cell r="CD45">
            <v>3066</v>
          </cell>
          <cell r="CE45">
            <v>1163</v>
          </cell>
          <cell r="CF45">
            <v>21</v>
          </cell>
          <cell r="CG45">
            <v>295</v>
          </cell>
          <cell r="CH45">
            <v>4544</v>
          </cell>
          <cell r="CI45">
            <v>17246</v>
          </cell>
          <cell r="CJ45">
            <v>8076</v>
          </cell>
          <cell r="CK45">
            <v>-2724</v>
          </cell>
          <cell r="CL45">
            <v>10800</v>
          </cell>
          <cell r="CM45">
            <v>25323</v>
          </cell>
        </row>
        <row r="46">
          <cell r="B46">
            <v>24230</v>
          </cell>
          <cell r="C46">
            <v>1566</v>
          </cell>
          <cell r="D46">
            <v>84</v>
          </cell>
          <cell r="E46">
            <v>636</v>
          </cell>
          <cell r="F46">
            <v>75</v>
          </cell>
          <cell r="G46">
            <v>7</v>
          </cell>
          <cell r="H46">
            <v>2368</v>
          </cell>
          <cell r="I46">
            <v>26598</v>
          </cell>
          <cell r="J46">
            <v>614</v>
          </cell>
          <cell r="K46">
            <v>814</v>
          </cell>
          <cell r="L46">
            <v>1427</v>
          </cell>
          <cell r="M46">
            <v>28025</v>
          </cell>
          <cell r="N46">
            <v>4639</v>
          </cell>
          <cell r="O46">
            <v>5029</v>
          </cell>
          <cell r="P46">
            <v>1418</v>
          </cell>
          <cell r="Q46">
            <v>297</v>
          </cell>
          <cell r="R46">
            <v>11383</v>
          </cell>
          <cell r="S46">
            <v>11383</v>
          </cell>
          <cell r="T46">
            <v>3706</v>
          </cell>
          <cell r="U46">
            <v>36</v>
          </cell>
          <cell r="V46">
            <v>3742</v>
          </cell>
          <cell r="W46">
            <v>1169</v>
          </cell>
          <cell r="X46">
            <v>18</v>
          </cell>
          <cell r="Y46">
            <v>307</v>
          </cell>
          <cell r="Z46">
            <v>5235</v>
          </cell>
          <cell r="AA46">
            <v>16618</v>
          </cell>
          <cell r="AB46">
            <v>11407</v>
          </cell>
          <cell r="AC46">
            <v>409</v>
          </cell>
          <cell r="AD46">
            <v>10998</v>
          </cell>
          <cell r="AE46">
            <v>28025</v>
          </cell>
          <cell r="AF46">
            <v>24536</v>
          </cell>
          <cell r="AG46">
            <v>1592</v>
          </cell>
          <cell r="AH46">
            <v>68</v>
          </cell>
          <cell r="AI46">
            <v>808</v>
          </cell>
          <cell r="AJ46">
            <v>76</v>
          </cell>
          <cell r="AK46">
            <v>6</v>
          </cell>
          <cell r="AL46">
            <v>2549</v>
          </cell>
          <cell r="AM46">
            <v>27085</v>
          </cell>
          <cell r="AN46">
            <v>623</v>
          </cell>
          <cell r="AO46">
            <v>796</v>
          </cell>
          <cell r="AP46">
            <v>1420</v>
          </cell>
          <cell r="AQ46">
            <v>28505</v>
          </cell>
          <cell r="AR46">
            <v>4832</v>
          </cell>
          <cell r="AS46">
            <v>5255</v>
          </cell>
          <cell r="AT46">
            <v>1557</v>
          </cell>
          <cell r="AU46">
            <v>291</v>
          </cell>
          <cell r="AV46">
            <v>11935</v>
          </cell>
          <cell r="AW46">
            <v>11935</v>
          </cell>
          <cell r="AX46">
            <v>3721</v>
          </cell>
          <cell r="AY46">
            <v>39</v>
          </cell>
          <cell r="AZ46">
            <v>3760</v>
          </cell>
          <cell r="BA46">
            <v>1173</v>
          </cell>
          <cell r="BB46">
            <v>16</v>
          </cell>
          <cell r="BC46">
            <v>304</v>
          </cell>
          <cell r="BD46">
            <v>5253</v>
          </cell>
          <cell r="BE46">
            <v>17188</v>
          </cell>
          <cell r="BF46">
            <v>11318</v>
          </cell>
          <cell r="BG46">
            <v>330</v>
          </cell>
          <cell r="BH46">
            <v>10988</v>
          </cell>
          <cell r="BI46">
            <v>28505</v>
          </cell>
          <cell r="BJ46">
            <v>23651</v>
          </cell>
          <cell r="BK46">
            <v>1610</v>
          </cell>
          <cell r="BL46">
            <v>121</v>
          </cell>
          <cell r="BM46">
            <v>148</v>
          </cell>
          <cell r="BN46">
            <v>76</v>
          </cell>
          <cell r="BO46">
            <v>5</v>
          </cell>
          <cell r="BP46">
            <v>1960</v>
          </cell>
          <cell r="BQ46">
            <v>25611</v>
          </cell>
          <cell r="BR46">
            <v>619</v>
          </cell>
          <cell r="BS46">
            <v>867</v>
          </cell>
          <cell r="BT46">
            <v>1486</v>
          </cell>
          <cell r="BU46">
            <v>27097</v>
          </cell>
          <cell r="BV46">
            <v>4969</v>
          </cell>
          <cell r="BW46">
            <v>3877</v>
          </cell>
          <cell r="BX46">
            <v>1333</v>
          </cell>
          <cell r="BY46">
            <v>269</v>
          </cell>
          <cell r="BZ46">
            <v>10448</v>
          </cell>
          <cell r="CA46">
            <v>10448</v>
          </cell>
          <cell r="CB46">
            <v>3388</v>
          </cell>
          <cell r="CC46">
            <v>41</v>
          </cell>
          <cell r="CD46">
            <v>3429</v>
          </cell>
          <cell r="CE46">
            <v>1173</v>
          </cell>
          <cell r="CF46">
            <v>16</v>
          </cell>
          <cell r="CG46">
            <v>377</v>
          </cell>
          <cell r="CH46">
            <v>4995</v>
          </cell>
          <cell r="CI46">
            <v>15443</v>
          </cell>
          <cell r="CJ46">
            <v>11654</v>
          </cell>
          <cell r="CK46">
            <v>666</v>
          </cell>
          <cell r="CL46">
            <v>10988</v>
          </cell>
          <cell r="CM46">
            <v>27097</v>
          </cell>
        </row>
        <row r="47">
          <cell r="B47">
            <v>24934</v>
          </cell>
          <cell r="C47">
            <v>1478</v>
          </cell>
          <cell r="D47">
            <v>91</v>
          </cell>
          <cell r="E47">
            <v>725</v>
          </cell>
          <cell r="F47">
            <v>72</v>
          </cell>
          <cell r="G47">
            <v>8</v>
          </cell>
          <cell r="H47">
            <v>2374</v>
          </cell>
          <cell r="I47">
            <v>27309</v>
          </cell>
          <cell r="J47">
            <v>609</v>
          </cell>
          <cell r="K47">
            <v>949</v>
          </cell>
          <cell r="L47">
            <v>1558</v>
          </cell>
          <cell r="M47">
            <v>28867</v>
          </cell>
          <cell r="N47">
            <v>4427</v>
          </cell>
          <cell r="O47">
            <v>4783</v>
          </cell>
          <cell r="P47">
            <v>1657</v>
          </cell>
          <cell r="Q47">
            <v>336</v>
          </cell>
          <cell r="R47">
            <v>11202</v>
          </cell>
          <cell r="S47">
            <v>11202</v>
          </cell>
          <cell r="T47">
            <v>3890</v>
          </cell>
          <cell r="U47">
            <v>37</v>
          </cell>
          <cell r="V47">
            <v>3926</v>
          </cell>
          <cell r="W47">
            <v>1165</v>
          </cell>
          <cell r="X47">
            <v>17</v>
          </cell>
          <cell r="Y47">
            <v>328</v>
          </cell>
          <cell r="Z47">
            <v>5436</v>
          </cell>
          <cell r="AA47">
            <v>16639</v>
          </cell>
          <cell r="AB47">
            <v>12228</v>
          </cell>
          <cell r="AC47">
            <v>1014</v>
          </cell>
          <cell r="AD47">
            <v>11214</v>
          </cell>
          <cell r="AE47">
            <v>28867</v>
          </cell>
          <cell r="AF47">
            <v>25046</v>
          </cell>
          <cell r="AG47">
            <v>1442</v>
          </cell>
          <cell r="AH47">
            <v>100</v>
          </cell>
          <cell r="AI47">
            <v>362</v>
          </cell>
          <cell r="AJ47">
            <v>72</v>
          </cell>
          <cell r="AK47">
            <v>7</v>
          </cell>
          <cell r="AL47">
            <v>1983</v>
          </cell>
          <cell r="AM47">
            <v>27029</v>
          </cell>
          <cell r="AN47">
            <v>602</v>
          </cell>
          <cell r="AO47">
            <v>944</v>
          </cell>
          <cell r="AP47">
            <v>1546</v>
          </cell>
          <cell r="AQ47">
            <v>28575</v>
          </cell>
          <cell r="AR47">
            <v>4177</v>
          </cell>
          <cell r="AS47">
            <v>4499</v>
          </cell>
          <cell r="AT47">
            <v>1029</v>
          </cell>
          <cell r="AU47">
            <v>318</v>
          </cell>
          <cell r="AV47">
            <v>10022</v>
          </cell>
          <cell r="AW47">
            <v>10022</v>
          </cell>
          <cell r="AX47">
            <v>3910</v>
          </cell>
          <cell r="AY47">
            <v>38</v>
          </cell>
          <cell r="AZ47">
            <v>3948</v>
          </cell>
          <cell r="BA47">
            <v>1153</v>
          </cell>
          <cell r="BB47">
            <v>19</v>
          </cell>
          <cell r="BC47">
            <v>330</v>
          </cell>
          <cell r="BD47">
            <v>5451</v>
          </cell>
          <cell r="BE47">
            <v>15473</v>
          </cell>
          <cell r="BF47">
            <v>13103</v>
          </cell>
          <cell r="BG47">
            <v>1866</v>
          </cell>
          <cell r="BH47">
            <v>11237</v>
          </cell>
          <cell r="BI47">
            <v>28575</v>
          </cell>
          <cell r="BJ47">
            <v>26023</v>
          </cell>
          <cell r="BK47">
            <v>1431</v>
          </cell>
          <cell r="BL47">
            <v>72</v>
          </cell>
          <cell r="BM47">
            <v>501</v>
          </cell>
          <cell r="BN47">
            <v>72</v>
          </cell>
          <cell r="BO47">
            <v>11</v>
          </cell>
          <cell r="BP47">
            <v>2085</v>
          </cell>
          <cell r="BQ47">
            <v>28109</v>
          </cell>
          <cell r="BR47">
            <v>600</v>
          </cell>
          <cell r="BS47">
            <v>894</v>
          </cell>
          <cell r="BT47">
            <v>1494</v>
          </cell>
          <cell r="BU47">
            <v>29602</v>
          </cell>
          <cell r="BV47">
            <v>4121</v>
          </cell>
          <cell r="BW47">
            <v>6010</v>
          </cell>
          <cell r="BX47">
            <v>1470</v>
          </cell>
          <cell r="BY47">
            <v>334</v>
          </cell>
          <cell r="BZ47">
            <v>11935</v>
          </cell>
          <cell r="CA47">
            <v>11935</v>
          </cell>
          <cell r="CB47">
            <v>4132</v>
          </cell>
          <cell r="CC47">
            <v>39</v>
          </cell>
          <cell r="CD47">
            <v>4171</v>
          </cell>
          <cell r="CE47">
            <v>1153</v>
          </cell>
          <cell r="CF47">
            <v>19</v>
          </cell>
          <cell r="CG47">
            <v>269</v>
          </cell>
          <cell r="CH47">
            <v>5612</v>
          </cell>
          <cell r="CI47">
            <v>17547</v>
          </cell>
          <cell r="CJ47">
            <v>12055</v>
          </cell>
          <cell r="CK47">
            <v>819</v>
          </cell>
          <cell r="CL47">
            <v>11237</v>
          </cell>
          <cell r="CM47">
            <v>29602</v>
          </cell>
        </row>
        <row r="48">
          <cell r="B48">
            <v>25420</v>
          </cell>
          <cell r="C48">
            <v>1418</v>
          </cell>
          <cell r="D48">
            <v>98</v>
          </cell>
          <cell r="E48">
            <v>735</v>
          </cell>
          <cell r="F48">
            <v>69</v>
          </cell>
          <cell r="G48">
            <v>9</v>
          </cell>
          <cell r="H48">
            <v>2329</v>
          </cell>
          <cell r="I48">
            <v>27749</v>
          </cell>
          <cell r="J48">
            <v>615</v>
          </cell>
          <cell r="K48">
            <v>1044</v>
          </cell>
          <cell r="L48">
            <v>1659</v>
          </cell>
          <cell r="M48">
            <v>29408</v>
          </cell>
          <cell r="N48">
            <v>4365</v>
          </cell>
          <cell r="O48">
            <v>4743</v>
          </cell>
          <cell r="P48">
            <v>1524</v>
          </cell>
          <cell r="Q48">
            <v>375</v>
          </cell>
          <cell r="R48">
            <v>11006</v>
          </cell>
          <cell r="S48">
            <v>11006</v>
          </cell>
          <cell r="T48">
            <v>3810</v>
          </cell>
          <cell r="U48">
            <v>36</v>
          </cell>
          <cell r="V48">
            <v>3846</v>
          </cell>
          <cell r="W48">
            <v>1164</v>
          </cell>
          <cell r="X48">
            <v>20</v>
          </cell>
          <cell r="Y48">
            <v>360</v>
          </cell>
          <cell r="Z48">
            <v>5389</v>
          </cell>
          <cell r="AA48">
            <v>16395</v>
          </cell>
          <cell r="AB48">
            <v>13013</v>
          </cell>
          <cell r="AC48">
            <v>1589</v>
          </cell>
          <cell r="AD48">
            <v>11423</v>
          </cell>
          <cell r="AE48">
            <v>29408</v>
          </cell>
          <cell r="AF48">
            <v>25145</v>
          </cell>
          <cell r="AG48">
            <v>1441</v>
          </cell>
          <cell r="AH48">
            <v>122</v>
          </cell>
          <cell r="AI48">
            <v>1088</v>
          </cell>
          <cell r="AJ48">
            <v>69</v>
          </cell>
          <cell r="AK48">
            <v>10</v>
          </cell>
          <cell r="AL48">
            <v>2730</v>
          </cell>
          <cell r="AM48">
            <v>27875</v>
          </cell>
          <cell r="AN48">
            <v>608</v>
          </cell>
          <cell r="AO48">
            <v>1083</v>
          </cell>
          <cell r="AP48">
            <v>1692</v>
          </cell>
          <cell r="AQ48">
            <v>29566</v>
          </cell>
          <cell r="AR48">
            <v>4418</v>
          </cell>
          <cell r="AS48">
            <v>4899</v>
          </cell>
          <cell r="AT48">
            <v>2655</v>
          </cell>
          <cell r="AU48">
            <v>398</v>
          </cell>
          <cell r="AV48">
            <v>12371</v>
          </cell>
          <cell r="AW48">
            <v>12371</v>
          </cell>
          <cell r="AX48">
            <v>3780</v>
          </cell>
          <cell r="AY48">
            <v>33</v>
          </cell>
          <cell r="AZ48">
            <v>3813</v>
          </cell>
          <cell r="BA48">
            <v>1164</v>
          </cell>
          <cell r="BB48">
            <v>14</v>
          </cell>
          <cell r="BC48">
            <v>337</v>
          </cell>
          <cell r="BD48">
            <v>5328</v>
          </cell>
          <cell r="BE48">
            <v>17699</v>
          </cell>
          <cell r="BF48">
            <v>11868</v>
          </cell>
          <cell r="BG48">
            <v>443</v>
          </cell>
          <cell r="BH48">
            <v>11424</v>
          </cell>
          <cell r="BI48">
            <v>29566</v>
          </cell>
          <cell r="BJ48">
            <v>26864</v>
          </cell>
          <cell r="BK48">
            <v>1443</v>
          </cell>
          <cell r="BL48">
            <v>102</v>
          </cell>
          <cell r="BM48">
            <v>1487</v>
          </cell>
          <cell r="BN48">
            <v>69</v>
          </cell>
          <cell r="BO48">
            <v>9</v>
          </cell>
          <cell r="BP48">
            <v>3110</v>
          </cell>
          <cell r="BQ48">
            <v>29974</v>
          </cell>
          <cell r="BR48">
            <v>612</v>
          </cell>
          <cell r="BS48">
            <v>1059</v>
          </cell>
          <cell r="BT48">
            <v>1671</v>
          </cell>
          <cell r="BU48">
            <v>31645</v>
          </cell>
          <cell r="BV48">
            <v>4277</v>
          </cell>
          <cell r="BW48">
            <v>3790</v>
          </cell>
          <cell r="BX48">
            <v>2229</v>
          </cell>
          <cell r="BY48">
            <v>394</v>
          </cell>
          <cell r="BZ48">
            <v>10690</v>
          </cell>
          <cell r="CA48">
            <v>10690</v>
          </cell>
          <cell r="CB48">
            <v>4366</v>
          </cell>
          <cell r="CC48">
            <v>31</v>
          </cell>
          <cell r="CD48">
            <v>4397</v>
          </cell>
          <cell r="CE48">
            <v>1164</v>
          </cell>
          <cell r="CF48">
            <v>14</v>
          </cell>
          <cell r="CG48">
            <v>327</v>
          </cell>
          <cell r="CH48">
            <v>5902</v>
          </cell>
          <cell r="CI48">
            <v>16592</v>
          </cell>
          <cell r="CJ48">
            <v>15053</v>
          </cell>
          <cell r="CK48">
            <v>3629</v>
          </cell>
          <cell r="CL48">
            <v>11424</v>
          </cell>
          <cell r="CM48">
            <v>31645</v>
          </cell>
        </row>
        <row r="49">
          <cell r="B49">
            <v>25638</v>
          </cell>
          <cell r="C49">
            <v>1418</v>
          </cell>
          <cell r="D49">
            <v>124</v>
          </cell>
          <cell r="E49">
            <v>684</v>
          </cell>
          <cell r="F49">
            <v>67</v>
          </cell>
          <cell r="G49">
            <v>12</v>
          </cell>
          <cell r="H49">
            <v>2305</v>
          </cell>
          <cell r="I49">
            <v>27943</v>
          </cell>
          <cell r="J49">
            <v>635</v>
          </cell>
          <cell r="K49">
            <v>1065</v>
          </cell>
          <cell r="L49">
            <v>1700</v>
          </cell>
          <cell r="M49">
            <v>29643</v>
          </cell>
          <cell r="N49">
            <v>4486</v>
          </cell>
          <cell r="O49">
            <v>5069</v>
          </cell>
          <cell r="P49">
            <v>1191</v>
          </cell>
          <cell r="Q49">
            <v>392</v>
          </cell>
          <cell r="R49">
            <v>11137</v>
          </cell>
          <cell r="S49">
            <v>11137</v>
          </cell>
          <cell r="T49">
            <v>3764</v>
          </cell>
          <cell r="U49">
            <v>36</v>
          </cell>
          <cell r="V49">
            <v>3800</v>
          </cell>
          <cell r="W49">
            <v>1167</v>
          </cell>
          <cell r="X49">
            <v>24</v>
          </cell>
          <cell r="Y49">
            <v>402</v>
          </cell>
          <cell r="Z49">
            <v>5393</v>
          </cell>
          <cell r="AA49">
            <v>16531</v>
          </cell>
          <cell r="AB49">
            <v>13113</v>
          </cell>
          <cell r="AC49">
            <v>1493</v>
          </cell>
          <cell r="AD49">
            <v>11620</v>
          </cell>
          <cell r="AE49">
            <v>29643</v>
          </cell>
          <cell r="AF49">
            <v>25995</v>
          </cell>
          <cell r="AG49">
            <v>1388</v>
          </cell>
          <cell r="AH49">
            <v>73</v>
          </cell>
          <cell r="AI49">
            <v>595</v>
          </cell>
          <cell r="AJ49">
            <v>67</v>
          </cell>
          <cell r="AK49">
            <v>12</v>
          </cell>
          <cell r="AL49">
            <v>2135</v>
          </cell>
          <cell r="AM49">
            <v>28130</v>
          </cell>
          <cell r="AN49">
            <v>644</v>
          </cell>
          <cell r="AO49">
            <v>657</v>
          </cell>
          <cell r="AP49">
            <v>1301</v>
          </cell>
          <cell r="AQ49">
            <v>29431</v>
          </cell>
          <cell r="AR49">
            <v>4519</v>
          </cell>
          <cell r="AS49">
            <v>4740</v>
          </cell>
          <cell r="AT49">
            <v>439</v>
          </cell>
          <cell r="AU49">
            <v>397</v>
          </cell>
          <cell r="AV49">
            <v>10096</v>
          </cell>
          <cell r="AW49">
            <v>10096</v>
          </cell>
          <cell r="AX49">
            <v>3679</v>
          </cell>
          <cell r="AY49">
            <v>37</v>
          </cell>
          <cell r="AZ49">
            <v>3716</v>
          </cell>
          <cell r="BA49">
            <v>1170</v>
          </cell>
          <cell r="BB49">
            <v>29</v>
          </cell>
          <cell r="BC49">
            <v>437</v>
          </cell>
          <cell r="BD49">
            <v>5351</v>
          </cell>
          <cell r="BE49">
            <v>15447</v>
          </cell>
          <cell r="BF49">
            <v>13984</v>
          </cell>
          <cell r="BG49">
            <v>2368</v>
          </cell>
          <cell r="BH49">
            <v>11615</v>
          </cell>
          <cell r="BI49">
            <v>29431</v>
          </cell>
          <cell r="BJ49">
            <v>24108</v>
          </cell>
          <cell r="BK49">
            <v>1387</v>
          </cell>
          <cell r="BL49">
            <v>51</v>
          </cell>
          <cell r="BM49">
            <v>708</v>
          </cell>
          <cell r="BN49">
            <v>67</v>
          </cell>
          <cell r="BO49">
            <v>9</v>
          </cell>
          <cell r="BP49">
            <v>2222</v>
          </cell>
          <cell r="BQ49">
            <v>26330</v>
          </cell>
          <cell r="BR49">
            <v>648</v>
          </cell>
          <cell r="BS49">
            <v>650</v>
          </cell>
          <cell r="BT49">
            <v>1297</v>
          </cell>
          <cell r="BU49">
            <v>27627</v>
          </cell>
          <cell r="BV49">
            <v>4598</v>
          </cell>
          <cell r="BW49">
            <v>5967</v>
          </cell>
          <cell r="BX49">
            <v>605</v>
          </cell>
          <cell r="BY49">
            <v>406</v>
          </cell>
          <cell r="BZ49">
            <v>11576</v>
          </cell>
          <cell r="CA49">
            <v>11576</v>
          </cell>
          <cell r="CB49">
            <v>3236</v>
          </cell>
          <cell r="CC49">
            <v>36</v>
          </cell>
          <cell r="CD49">
            <v>3272</v>
          </cell>
          <cell r="CE49">
            <v>1170</v>
          </cell>
          <cell r="CF49">
            <v>29</v>
          </cell>
          <cell r="CG49">
            <v>409</v>
          </cell>
          <cell r="CH49">
            <v>4880</v>
          </cell>
          <cell r="CI49">
            <v>16456</v>
          </cell>
          <cell r="CJ49">
            <v>11172</v>
          </cell>
          <cell r="CK49">
            <v>-444</v>
          </cell>
          <cell r="CL49">
            <v>11615</v>
          </cell>
          <cell r="CM49">
            <v>27627</v>
          </cell>
        </row>
        <row r="50">
          <cell r="B50">
            <v>25867</v>
          </cell>
          <cell r="C50">
            <v>1460</v>
          </cell>
          <cell r="D50">
            <v>156</v>
          </cell>
          <cell r="E50">
            <v>516</v>
          </cell>
          <cell r="F50">
            <v>66</v>
          </cell>
          <cell r="G50">
            <v>18</v>
          </cell>
          <cell r="H50">
            <v>2217</v>
          </cell>
          <cell r="I50">
            <v>28084</v>
          </cell>
          <cell r="J50">
            <v>669</v>
          </cell>
          <cell r="K50">
            <v>1034</v>
          </cell>
          <cell r="L50">
            <v>1703</v>
          </cell>
          <cell r="M50">
            <v>29787</v>
          </cell>
          <cell r="N50">
            <v>4618</v>
          </cell>
          <cell r="O50">
            <v>5253</v>
          </cell>
          <cell r="P50">
            <v>1021</v>
          </cell>
          <cell r="Q50">
            <v>380</v>
          </cell>
          <cell r="R50">
            <v>11270</v>
          </cell>
          <cell r="S50">
            <v>11270</v>
          </cell>
          <cell r="T50">
            <v>3836</v>
          </cell>
          <cell r="U50">
            <v>39</v>
          </cell>
          <cell r="V50">
            <v>3875</v>
          </cell>
          <cell r="W50">
            <v>1169</v>
          </cell>
          <cell r="X50">
            <v>28</v>
          </cell>
          <cell r="Y50">
            <v>437</v>
          </cell>
          <cell r="Z50">
            <v>5508</v>
          </cell>
          <cell r="AA50">
            <v>16779</v>
          </cell>
          <cell r="AB50">
            <v>13008</v>
          </cell>
          <cell r="AC50">
            <v>1189</v>
          </cell>
          <cell r="AD50">
            <v>11819</v>
          </cell>
          <cell r="AE50">
            <v>29787</v>
          </cell>
          <cell r="AF50">
            <v>25737</v>
          </cell>
          <cell r="AG50">
            <v>1466</v>
          </cell>
          <cell r="AH50">
            <v>176</v>
          </cell>
          <cell r="AI50">
            <v>383</v>
          </cell>
          <cell r="AJ50">
            <v>67</v>
          </cell>
          <cell r="AK50">
            <v>12</v>
          </cell>
          <cell r="AL50">
            <v>2104</v>
          </cell>
          <cell r="AM50">
            <v>27841</v>
          </cell>
          <cell r="AN50">
            <v>661</v>
          </cell>
          <cell r="AO50">
            <v>530</v>
          </cell>
          <cell r="AP50">
            <v>1191</v>
          </cell>
          <cell r="AQ50">
            <v>29032</v>
          </cell>
          <cell r="AR50">
            <v>4600</v>
          </cell>
          <cell r="AS50">
            <v>5787</v>
          </cell>
          <cell r="AT50">
            <v>927</v>
          </cell>
          <cell r="AU50">
            <v>374</v>
          </cell>
          <cell r="AV50">
            <v>11689</v>
          </cell>
          <cell r="AW50">
            <v>11689</v>
          </cell>
          <cell r="AX50">
            <v>3907</v>
          </cell>
          <cell r="AY50">
            <v>40</v>
          </cell>
          <cell r="AZ50">
            <v>3947</v>
          </cell>
          <cell r="BA50">
            <v>1172</v>
          </cell>
          <cell r="BB50">
            <v>28</v>
          </cell>
          <cell r="BC50">
            <v>415</v>
          </cell>
          <cell r="BD50">
            <v>5561</v>
          </cell>
          <cell r="BE50">
            <v>17249</v>
          </cell>
          <cell r="BF50">
            <v>11783</v>
          </cell>
          <cell r="BG50">
            <v>-27</v>
          </cell>
          <cell r="BH50">
            <v>11810</v>
          </cell>
          <cell r="BI50">
            <v>29032</v>
          </cell>
          <cell r="BJ50">
            <v>24884</v>
          </cell>
          <cell r="BK50">
            <v>1475</v>
          </cell>
          <cell r="BL50">
            <v>301</v>
          </cell>
          <cell r="BM50">
            <v>-280</v>
          </cell>
          <cell r="BN50">
            <v>67</v>
          </cell>
          <cell r="BO50">
            <v>13</v>
          </cell>
          <cell r="BP50">
            <v>1575</v>
          </cell>
          <cell r="BQ50">
            <v>26459</v>
          </cell>
          <cell r="BR50">
            <v>655</v>
          </cell>
          <cell r="BS50">
            <v>572</v>
          </cell>
          <cell r="BT50">
            <v>1228</v>
          </cell>
          <cell r="BU50">
            <v>27687</v>
          </cell>
          <cell r="BV50">
            <v>4701</v>
          </cell>
          <cell r="BW50">
            <v>4059</v>
          </cell>
          <cell r="BX50">
            <v>799</v>
          </cell>
          <cell r="BY50">
            <v>352</v>
          </cell>
          <cell r="BZ50">
            <v>9910</v>
          </cell>
          <cell r="CA50">
            <v>9910</v>
          </cell>
          <cell r="CB50">
            <v>3581</v>
          </cell>
          <cell r="CC50">
            <v>42</v>
          </cell>
          <cell r="CD50">
            <v>3623</v>
          </cell>
          <cell r="CE50">
            <v>1172</v>
          </cell>
          <cell r="CF50">
            <v>28</v>
          </cell>
          <cell r="CG50">
            <v>512</v>
          </cell>
          <cell r="CH50">
            <v>5335</v>
          </cell>
          <cell r="CI50">
            <v>15245</v>
          </cell>
          <cell r="CJ50">
            <v>12441</v>
          </cell>
          <cell r="CK50">
            <v>631</v>
          </cell>
          <cell r="CL50">
            <v>11810</v>
          </cell>
          <cell r="CM50">
            <v>27687</v>
          </cell>
        </row>
        <row r="51">
          <cell r="B51">
            <v>26413</v>
          </cell>
          <cell r="C51">
            <v>1500</v>
          </cell>
          <cell r="D51">
            <v>169</v>
          </cell>
          <cell r="E51">
            <v>309</v>
          </cell>
          <cell r="F51">
            <v>65</v>
          </cell>
          <cell r="G51">
            <v>27</v>
          </cell>
          <cell r="H51">
            <v>2070</v>
          </cell>
          <cell r="I51">
            <v>28483</v>
          </cell>
          <cell r="J51">
            <v>704</v>
          </cell>
          <cell r="K51">
            <v>1008</v>
          </cell>
          <cell r="L51">
            <v>1712</v>
          </cell>
          <cell r="M51">
            <v>30195</v>
          </cell>
          <cell r="N51">
            <v>4625</v>
          </cell>
          <cell r="O51">
            <v>5310</v>
          </cell>
          <cell r="P51">
            <v>1126</v>
          </cell>
          <cell r="Q51">
            <v>364</v>
          </cell>
          <cell r="R51">
            <v>11425</v>
          </cell>
          <cell r="S51">
            <v>11425</v>
          </cell>
          <cell r="T51">
            <v>3890</v>
          </cell>
          <cell r="U51">
            <v>42</v>
          </cell>
          <cell r="V51">
            <v>3932</v>
          </cell>
          <cell r="W51">
            <v>1165</v>
          </cell>
          <cell r="X51">
            <v>29</v>
          </cell>
          <cell r="Y51">
            <v>474</v>
          </cell>
          <cell r="Z51">
            <v>5600</v>
          </cell>
          <cell r="AA51">
            <v>17025</v>
          </cell>
          <cell r="AB51">
            <v>13170</v>
          </cell>
          <cell r="AC51">
            <v>1143</v>
          </cell>
          <cell r="AD51">
            <v>12027</v>
          </cell>
          <cell r="AE51">
            <v>30195</v>
          </cell>
          <cell r="AF51">
            <v>26056</v>
          </cell>
          <cell r="AG51">
            <v>1527</v>
          </cell>
          <cell r="AH51">
            <v>211</v>
          </cell>
          <cell r="AI51">
            <v>539</v>
          </cell>
          <cell r="AJ51">
            <v>66</v>
          </cell>
          <cell r="AK51">
            <v>33</v>
          </cell>
          <cell r="AL51">
            <v>2375</v>
          </cell>
          <cell r="AM51">
            <v>28431</v>
          </cell>
          <cell r="AN51">
            <v>707</v>
          </cell>
          <cell r="AO51">
            <v>1057</v>
          </cell>
          <cell r="AP51">
            <v>1764</v>
          </cell>
          <cell r="AQ51">
            <v>30195</v>
          </cell>
          <cell r="AR51">
            <v>4713</v>
          </cell>
          <cell r="AS51">
            <v>4932</v>
          </cell>
          <cell r="AT51">
            <v>1339</v>
          </cell>
          <cell r="AU51">
            <v>357</v>
          </cell>
          <cell r="AV51">
            <v>11342</v>
          </cell>
          <cell r="AW51">
            <v>11342</v>
          </cell>
          <cell r="AX51">
            <v>3881</v>
          </cell>
          <cell r="AY51">
            <v>42</v>
          </cell>
          <cell r="AZ51">
            <v>3923</v>
          </cell>
          <cell r="BA51">
            <v>1163</v>
          </cell>
          <cell r="BB51">
            <v>27</v>
          </cell>
          <cell r="BC51">
            <v>479</v>
          </cell>
          <cell r="BD51">
            <v>5592</v>
          </cell>
          <cell r="BE51">
            <v>16934</v>
          </cell>
          <cell r="BF51">
            <v>13261</v>
          </cell>
          <cell r="BG51">
            <v>1229</v>
          </cell>
          <cell r="BH51">
            <v>12032</v>
          </cell>
          <cell r="BI51">
            <v>30195</v>
          </cell>
          <cell r="BJ51">
            <v>26935</v>
          </cell>
          <cell r="BK51">
            <v>1516</v>
          </cell>
          <cell r="BL51">
            <v>151</v>
          </cell>
          <cell r="BM51">
            <v>713</v>
          </cell>
          <cell r="BN51">
            <v>66</v>
          </cell>
          <cell r="BO51">
            <v>36</v>
          </cell>
          <cell r="BP51">
            <v>2483</v>
          </cell>
          <cell r="BQ51">
            <v>29418</v>
          </cell>
          <cell r="BR51">
            <v>705</v>
          </cell>
          <cell r="BS51">
            <v>998</v>
          </cell>
          <cell r="BT51">
            <v>1703</v>
          </cell>
          <cell r="BU51">
            <v>31121</v>
          </cell>
          <cell r="BV51">
            <v>4677</v>
          </cell>
          <cell r="BW51">
            <v>6633</v>
          </cell>
          <cell r="BX51">
            <v>1731</v>
          </cell>
          <cell r="BY51">
            <v>375</v>
          </cell>
          <cell r="BZ51">
            <v>13415</v>
          </cell>
          <cell r="CA51">
            <v>13415</v>
          </cell>
          <cell r="CB51">
            <v>4078</v>
          </cell>
          <cell r="CC51">
            <v>43</v>
          </cell>
          <cell r="CD51">
            <v>4121</v>
          </cell>
          <cell r="CE51">
            <v>1163</v>
          </cell>
          <cell r="CF51">
            <v>25</v>
          </cell>
          <cell r="CG51">
            <v>385</v>
          </cell>
          <cell r="CH51">
            <v>5695</v>
          </cell>
          <cell r="CI51">
            <v>19110</v>
          </cell>
          <cell r="CJ51">
            <v>12011</v>
          </cell>
          <cell r="CK51">
            <v>-22</v>
          </cell>
          <cell r="CL51">
            <v>12032</v>
          </cell>
          <cell r="CM51">
            <v>31121</v>
          </cell>
        </row>
        <row r="52">
          <cell r="B52">
            <v>26977</v>
          </cell>
          <cell r="C52">
            <v>1530</v>
          </cell>
          <cell r="D52">
            <v>171</v>
          </cell>
          <cell r="E52">
            <v>187</v>
          </cell>
          <cell r="F52">
            <v>65</v>
          </cell>
          <cell r="G52">
            <v>35</v>
          </cell>
          <cell r="H52">
            <v>1987</v>
          </cell>
          <cell r="I52">
            <v>28964</v>
          </cell>
          <cell r="J52">
            <v>734</v>
          </cell>
          <cell r="K52">
            <v>981</v>
          </cell>
          <cell r="L52">
            <v>1715</v>
          </cell>
          <cell r="M52">
            <v>30679</v>
          </cell>
          <cell r="N52">
            <v>4610</v>
          </cell>
          <cell r="O52">
            <v>5197</v>
          </cell>
          <cell r="P52">
            <v>1424</v>
          </cell>
          <cell r="Q52">
            <v>364</v>
          </cell>
          <cell r="R52">
            <v>11595</v>
          </cell>
          <cell r="S52">
            <v>11595</v>
          </cell>
          <cell r="T52">
            <v>3827</v>
          </cell>
          <cell r="U52">
            <v>43</v>
          </cell>
          <cell r="V52">
            <v>3870</v>
          </cell>
          <cell r="W52">
            <v>1165</v>
          </cell>
          <cell r="X52">
            <v>30</v>
          </cell>
          <cell r="Y52">
            <v>506</v>
          </cell>
          <cell r="Z52">
            <v>5570</v>
          </cell>
          <cell r="AA52">
            <v>17165</v>
          </cell>
          <cell r="AB52">
            <v>13514</v>
          </cell>
          <cell r="AC52">
            <v>1288</v>
          </cell>
          <cell r="AD52">
            <v>12226</v>
          </cell>
          <cell r="AE52">
            <v>30679</v>
          </cell>
          <cell r="AF52">
            <v>27100</v>
          </cell>
          <cell r="AG52">
            <v>1531</v>
          </cell>
          <cell r="AH52">
            <v>128</v>
          </cell>
          <cell r="AI52">
            <v>-19</v>
          </cell>
          <cell r="AJ52">
            <v>65</v>
          </cell>
          <cell r="AK52">
            <v>33</v>
          </cell>
          <cell r="AL52">
            <v>1738</v>
          </cell>
          <cell r="AM52">
            <v>28838</v>
          </cell>
          <cell r="AN52">
            <v>743</v>
          </cell>
          <cell r="AO52">
            <v>951</v>
          </cell>
          <cell r="AP52">
            <v>1694</v>
          </cell>
          <cell r="AQ52">
            <v>30532</v>
          </cell>
          <cell r="AR52">
            <v>4519</v>
          </cell>
          <cell r="AS52">
            <v>5414</v>
          </cell>
          <cell r="AT52">
            <v>1540</v>
          </cell>
          <cell r="AU52">
            <v>364</v>
          </cell>
          <cell r="AV52">
            <v>11837</v>
          </cell>
          <cell r="AW52">
            <v>11837</v>
          </cell>
          <cell r="AX52">
            <v>3924</v>
          </cell>
          <cell r="AY52">
            <v>43</v>
          </cell>
          <cell r="AZ52">
            <v>3967</v>
          </cell>
          <cell r="BA52">
            <v>1164</v>
          </cell>
          <cell r="BB52">
            <v>30</v>
          </cell>
          <cell r="BC52">
            <v>494</v>
          </cell>
          <cell r="BD52">
            <v>5655</v>
          </cell>
          <cell r="BE52">
            <v>17493</v>
          </cell>
          <cell r="BF52">
            <v>13039</v>
          </cell>
          <cell r="BG52">
            <v>812</v>
          </cell>
          <cell r="BH52">
            <v>12227</v>
          </cell>
          <cell r="BI52">
            <v>30532</v>
          </cell>
          <cell r="BJ52">
            <v>28997</v>
          </cell>
          <cell r="BK52">
            <v>1534</v>
          </cell>
          <cell r="BL52">
            <v>108</v>
          </cell>
          <cell r="BM52">
            <v>351</v>
          </cell>
          <cell r="BN52">
            <v>65</v>
          </cell>
          <cell r="BO52">
            <v>32</v>
          </cell>
          <cell r="BP52">
            <v>2090</v>
          </cell>
          <cell r="BQ52">
            <v>31087</v>
          </cell>
          <cell r="BR52">
            <v>747</v>
          </cell>
          <cell r="BS52">
            <v>928</v>
          </cell>
          <cell r="BT52">
            <v>1676</v>
          </cell>
          <cell r="BU52">
            <v>32763</v>
          </cell>
          <cell r="BV52">
            <v>4397</v>
          </cell>
          <cell r="BW52">
            <v>4110</v>
          </cell>
          <cell r="BX52">
            <v>1085</v>
          </cell>
          <cell r="BY52">
            <v>359</v>
          </cell>
          <cell r="BZ52">
            <v>9950</v>
          </cell>
          <cell r="CA52">
            <v>9950</v>
          </cell>
          <cell r="CB52">
            <v>4486</v>
          </cell>
          <cell r="CC52">
            <v>40</v>
          </cell>
          <cell r="CD52">
            <v>4526</v>
          </cell>
          <cell r="CE52">
            <v>1164</v>
          </cell>
          <cell r="CF52">
            <v>33</v>
          </cell>
          <cell r="CG52">
            <v>483</v>
          </cell>
          <cell r="CH52">
            <v>6206</v>
          </cell>
          <cell r="CI52">
            <v>16156</v>
          </cell>
          <cell r="CJ52">
            <v>16606</v>
          </cell>
          <cell r="CK52">
            <v>4379</v>
          </cell>
          <cell r="CL52">
            <v>12227</v>
          </cell>
          <cell r="CM52">
            <v>32763</v>
          </cell>
        </row>
        <row r="53">
          <cell r="B53">
            <v>27076</v>
          </cell>
          <cell r="C53">
            <v>1562</v>
          </cell>
          <cell r="D53">
            <v>164</v>
          </cell>
          <cell r="E53">
            <v>146</v>
          </cell>
          <cell r="F53">
            <v>66</v>
          </cell>
          <cell r="G53">
            <v>35</v>
          </cell>
          <cell r="H53">
            <v>1974</v>
          </cell>
          <cell r="I53">
            <v>29050</v>
          </cell>
          <cell r="J53">
            <v>765</v>
          </cell>
          <cell r="K53">
            <v>934</v>
          </cell>
          <cell r="L53">
            <v>1699</v>
          </cell>
          <cell r="M53">
            <v>30750</v>
          </cell>
          <cell r="N53">
            <v>4587</v>
          </cell>
          <cell r="O53">
            <v>5460</v>
          </cell>
          <cell r="P53">
            <v>1421</v>
          </cell>
          <cell r="Q53">
            <v>376</v>
          </cell>
          <cell r="R53">
            <v>11845</v>
          </cell>
          <cell r="S53">
            <v>11845</v>
          </cell>
          <cell r="T53">
            <v>3787</v>
          </cell>
          <cell r="U53">
            <v>43</v>
          </cell>
          <cell r="V53">
            <v>3830</v>
          </cell>
          <cell r="W53">
            <v>1171</v>
          </cell>
          <cell r="X53">
            <v>32</v>
          </cell>
          <cell r="Y53">
            <v>521</v>
          </cell>
          <cell r="Z53">
            <v>5555</v>
          </cell>
          <cell r="AA53">
            <v>17400</v>
          </cell>
          <cell r="AB53">
            <v>13350</v>
          </cell>
          <cell r="AC53">
            <v>956</v>
          </cell>
          <cell r="AD53">
            <v>12394</v>
          </cell>
          <cell r="AE53">
            <v>30750</v>
          </cell>
          <cell r="AF53">
            <v>27885</v>
          </cell>
          <cell r="AG53">
            <v>1540</v>
          </cell>
          <cell r="AH53">
            <v>152</v>
          </cell>
          <cell r="AI53">
            <v>273</v>
          </cell>
          <cell r="AJ53">
            <v>66</v>
          </cell>
          <cell r="AK53">
            <v>33</v>
          </cell>
          <cell r="AL53">
            <v>2063</v>
          </cell>
          <cell r="AM53">
            <v>29948</v>
          </cell>
          <cell r="AN53">
            <v>759</v>
          </cell>
          <cell r="AO53">
            <v>986</v>
          </cell>
          <cell r="AP53">
            <v>1745</v>
          </cell>
          <cell r="AQ53">
            <v>31693</v>
          </cell>
          <cell r="AR53">
            <v>4624</v>
          </cell>
          <cell r="AS53">
            <v>5418</v>
          </cell>
          <cell r="AT53">
            <v>1196</v>
          </cell>
          <cell r="AU53">
            <v>382</v>
          </cell>
          <cell r="AV53">
            <v>11619</v>
          </cell>
          <cell r="AW53">
            <v>11619</v>
          </cell>
          <cell r="AX53">
            <v>3737</v>
          </cell>
          <cell r="AY53">
            <v>44</v>
          </cell>
          <cell r="AZ53">
            <v>3781</v>
          </cell>
          <cell r="BA53">
            <v>1171</v>
          </cell>
          <cell r="BB53">
            <v>30</v>
          </cell>
          <cell r="BC53">
            <v>554</v>
          </cell>
          <cell r="BD53">
            <v>5536</v>
          </cell>
          <cell r="BE53">
            <v>17154</v>
          </cell>
          <cell r="BF53">
            <v>14539</v>
          </cell>
          <cell r="BG53">
            <v>2142</v>
          </cell>
          <cell r="BH53">
            <v>12397</v>
          </cell>
          <cell r="BI53">
            <v>31693</v>
          </cell>
          <cell r="BJ53">
            <v>25955</v>
          </cell>
          <cell r="BK53">
            <v>1541</v>
          </cell>
          <cell r="BL53">
            <v>104</v>
          </cell>
          <cell r="BM53">
            <v>379</v>
          </cell>
          <cell r="BN53">
            <v>66</v>
          </cell>
          <cell r="BO53">
            <v>30</v>
          </cell>
          <cell r="BP53">
            <v>2119</v>
          </cell>
          <cell r="BQ53">
            <v>28074</v>
          </cell>
          <cell r="BR53">
            <v>765</v>
          </cell>
          <cell r="BS53">
            <v>989</v>
          </cell>
          <cell r="BT53">
            <v>1753</v>
          </cell>
          <cell r="BU53">
            <v>29827</v>
          </cell>
          <cell r="BV53">
            <v>4679</v>
          </cell>
          <cell r="BW53">
            <v>6624</v>
          </cell>
          <cell r="BX53">
            <v>1352</v>
          </cell>
          <cell r="BY53">
            <v>385</v>
          </cell>
          <cell r="BZ53">
            <v>13040</v>
          </cell>
          <cell r="CA53">
            <v>13040</v>
          </cell>
          <cell r="CB53">
            <v>3332</v>
          </cell>
          <cell r="CC53">
            <v>43</v>
          </cell>
          <cell r="CD53">
            <v>3375</v>
          </cell>
          <cell r="CE53">
            <v>1171</v>
          </cell>
          <cell r="CF53">
            <v>30</v>
          </cell>
          <cell r="CG53">
            <v>504</v>
          </cell>
          <cell r="CH53">
            <v>5079</v>
          </cell>
          <cell r="CI53">
            <v>18119</v>
          </cell>
          <cell r="CJ53">
            <v>11708</v>
          </cell>
          <cell r="CK53">
            <v>-689</v>
          </cell>
          <cell r="CL53">
            <v>12397</v>
          </cell>
          <cell r="CM53">
            <v>29827</v>
          </cell>
        </row>
        <row r="54">
          <cell r="B54">
            <v>26839</v>
          </cell>
          <cell r="C54">
            <v>1651</v>
          </cell>
          <cell r="D54">
            <v>160</v>
          </cell>
          <cell r="E54">
            <v>353</v>
          </cell>
          <cell r="F54">
            <v>69</v>
          </cell>
          <cell r="G54">
            <v>28</v>
          </cell>
          <cell r="H54">
            <v>2261</v>
          </cell>
          <cell r="I54">
            <v>29100</v>
          </cell>
          <cell r="J54">
            <v>807</v>
          </cell>
          <cell r="K54">
            <v>885</v>
          </cell>
          <cell r="L54">
            <v>1692</v>
          </cell>
          <cell r="M54">
            <v>30792</v>
          </cell>
          <cell r="N54">
            <v>4641</v>
          </cell>
          <cell r="O54">
            <v>6081</v>
          </cell>
          <cell r="P54">
            <v>1375</v>
          </cell>
          <cell r="Q54">
            <v>397</v>
          </cell>
          <cell r="R54">
            <v>12494</v>
          </cell>
          <cell r="S54">
            <v>12494</v>
          </cell>
          <cell r="T54">
            <v>3973</v>
          </cell>
          <cell r="U54">
            <v>42</v>
          </cell>
          <cell r="V54">
            <v>4015</v>
          </cell>
          <cell r="W54">
            <v>1185</v>
          </cell>
          <cell r="X54">
            <v>33</v>
          </cell>
          <cell r="Y54">
            <v>512</v>
          </cell>
          <cell r="Z54">
            <v>5745</v>
          </cell>
          <cell r="AA54">
            <v>18239</v>
          </cell>
          <cell r="AB54">
            <v>12552</v>
          </cell>
          <cell r="AC54">
            <v>26</v>
          </cell>
          <cell r="AD54">
            <v>12527</v>
          </cell>
          <cell r="AE54">
            <v>30792</v>
          </cell>
          <cell r="AF54">
            <v>26286</v>
          </cell>
          <cell r="AG54">
            <v>1660</v>
          </cell>
          <cell r="AH54">
            <v>225</v>
          </cell>
          <cell r="AI54">
            <v>126</v>
          </cell>
          <cell r="AJ54">
            <v>68</v>
          </cell>
          <cell r="AK54">
            <v>38</v>
          </cell>
          <cell r="AL54">
            <v>2117</v>
          </cell>
          <cell r="AM54">
            <v>28403</v>
          </cell>
          <cell r="AN54">
            <v>1107</v>
          </cell>
          <cell r="AO54">
            <v>836</v>
          </cell>
          <cell r="AP54">
            <v>1943</v>
          </cell>
          <cell r="AQ54">
            <v>30347</v>
          </cell>
          <cell r="AR54">
            <v>4691</v>
          </cell>
          <cell r="AS54">
            <v>5345</v>
          </cell>
          <cell r="AT54">
            <v>1557</v>
          </cell>
          <cell r="AU54">
            <v>387</v>
          </cell>
          <cell r="AV54">
            <v>11980</v>
          </cell>
          <cell r="AW54">
            <v>11980</v>
          </cell>
          <cell r="AX54">
            <v>3823</v>
          </cell>
          <cell r="AY54">
            <v>44</v>
          </cell>
          <cell r="AZ54">
            <v>3867</v>
          </cell>
          <cell r="BA54">
            <v>1183</v>
          </cell>
          <cell r="BB54">
            <v>37</v>
          </cell>
          <cell r="BC54">
            <v>497</v>
          </cell>
          <cell r="BD54">
            <v>5584</v>
          </cell>
          <cell r="BE54">
            <v>17564</v>
          </cell>
          <cell r="BF54">
            <v>12783</v>
          </cell>
          <cell r="BG54">
            <v>241</v>
          </cell>
          <cell r="BH54">
            <v>12542</v>
          </cell>
          <cell r="BI54">
            <v>30347</v>
          </cell>
          <cell r="BJ54">
            <v>25504</v>
          </cell>
          <cell r="BK54">
            <v>1662</v>
          </cell>
          <cell r="BL54">
            <v>388</v>
          </cell>
          <cell r="BM54">
            <v>-529</v>
          </cell>
          <cell r="BN54">
            <v>68</v>
          </cell>
          <cell r="BO54">
            <v>39</v>
          </cell>
          <cell r="BP54">
            <v>1628</v>
          </cell>
          <cell r="BQ54">
            <v>27132</v>
          </cell>
          <cell r="BR54">
            <v>1097</v>
          </cell>
          <cell r="BS54">
            <v>893</v>
          </cell>
          <cell r="BT54">
            <v>1989</v>
          </cell>
          <cell r="BU54">
            <v>29122</v>
          </cell>
          <cell r="BV54">
            <v>4782</v>
          </cell>
          <cell r="BW54">
            <v>3741</v>
          </cell>
          <cell r="BX54">
            <v>1523</v>
          </cell>
          <cell r="BY54">
            <v>375</v>
          </cell>
          <cell r="BZ54">
            <v>10421</v>
          </cell>
          <cell r="CA54">
            <v>10421</v>
          </cell>
          <cell r="CB54">
            <v>3501</v>
          </cell>
          <cell r="CC54">
            <v>46</v>
          </cell>
          <cell r="CD54">
            <v>3547</v>
          </cell>
          <cell r="CE54">
            <v>1183</v>
          </cell>
          <cell r="CF54">
            <v>37</v>
          </cell>
          <cell r="CG54">
            <v>630</v>
          </cell>
          <cell r="CH54">
            <v>5398</v>
          </cell>
          <cell r="CI54">
            <v>15818</v>
          </cell>
          <cell r="CJ54">
            <v>13304</v>
          </cell>
          <cell r="CK54">
            <v>761</v>
          </cell>
          <cell r="CL54">
            <v>12542</v>
          </cell>
          <cell r="CM54">
            <v>29122</v>
          </cell>
        </row>
        <row r="55">
          <cell r="B55">
            <v>27297</v>
          </cell>
          <cell r="C55">
            <v>1805</v>
          </cell>
          <cell r="D55">
            <v>202</v>
          </cell>
          <cell r="E55">
            <v>436</v>
          </cell>
          <cell r="F55">
            <v>72</v>
          </cell>
          <cell r="G55">
            <v>20</v>
          </cell>
          <cell r="H55">
            <v>2535</v>
          </cell>
          <cell r="I55">
            <v>29832</v>
          </cell>
          <cell r="J55">
            <v>854</v>
          </cell>
          <cell r="K55">
            <v>899</v>
          </cell>
          <cell r="L55">
            <v>1753</v>
          </cell>
          <cell r="M55">
            <v>31586</v>
          </cell>
          <cell r="N55">
            <v>4859</v>
          </cell>
          <cell r="O55">
            <v>6431</v>
          </cell>
          <cell r="P55">
            <v>1374</v>
          </cell>
          <cell r="Q55">
            <v>419</v>
          </cell>
          <cell r="R55">
            <v>13083</v>
          </cell>
          <cell r="S55">
            <v>13083</v>
          </cell>
          <cell r="T55">
            <v>4465</v>
          </cell>
          <cell r="U55">
            <v>43</v>
          </cell>
          <cell r="V55">
            <v>4508</v>
          </cell>
          <cell r="W55">
            <v>1201</v>
          </cell>
          <cell r="X55">
            <v>31</v>
          </cell>
          <cell r="Y55">
            <v>519</v>
          </cell>
          <cell r="Z55">
            <v>6260</v>
          </cell>
          <cell r="AA55">
            <v>19342</v>
          </cell>
          <cell r="AB55">
            <v>12243</v>
          </cell>
          <cell r="AC55">
            <v>-402</v>
          </cell>
          <cell r="AD55">
            <v>12645</v>
          </cell>
          <cell r="AE55">
            <v>31586</v>
          </cell>
          <cell r="AF55">
            <v>26827</v>
          </cell>
          <cell r="AG55">
            <v>1782</v>
          </cell>
          <cell r="AH55">
            <v>138</v>
          </cell>
          <cell r="AI55">
            <v>656</v>
          </cell>
          <cell r="AJ55">
            <v>73</v>
          </cell>
          <cell r="AK55">
            <v>10</v>
          </cell>
          <cell r="AL55">
            <v>2658</v>
          </cell>
          <cell r="AM55">
            <v>29485</v>
          </cell>
          <cell r="AN55">
            <v>862</v>
          </cell>
          <cell r="AO55">
            <v>907</v>
          </cell>
          <cell r="AP55">
            <v>1768</v>
          </cell>
          <cell r="AQ55">
            <v>31254</v>
          </cell>
          <cell r="AR55">
            <v>4710</v>
          </cell>
          <cell r="AS55">
            <v>8110</v>
          </cell>
          <cell r="AT55">
            <v>1290</v>
          </cell>
          <cell r="AU55">
            <v>426</v>
          </cell>
          <cell r="AV55">
            <v>14536</v>
          </cell>
          <cell r="AW55">
            <v>14536</v>
          </cell>
          <cell r="AX55">
            <v>4554</v>
          </cell>
          <cell r="AY55">
            <v>41</v>
          </cell>
          <cell r="AZ55">
            <v>4595</v>
          </cell>
          <cell r="BA55">
            <v>1204</v>
          </cell>
          <cell r="BB55">
            <v>31</v>
          </cell>
          <cell r="BC55">
            <v>503</v>
          </cell>
          <cell r="BD55">
            <v>6332</v>
          </cell>
          <cell r="BE55">
            <v>20869</v>
          </cell>
          <cell r="BF55">
            <v>10385</v>
          </cell>
          <cell r="BG55">
            <v>-2246</v>
          </cell>
          <cell r="BH55">
            <v>12631</v>
          </cell>
          <cell r="BI55">
            <v>31254</v>
          </cell>
          <cell r="BJ55">
            <v>28197</v>
          </cell>
          <cell r="BK55">
            <v>1773</v>
          </cell>
          <cell r="BL55">
            <v>100</v>
          </cell>
          <cell r="BM55">
            <v>863</v>
          </cell>
          <cell r="BN55">
            <v>73</v>
          </cell>
          <cell r="BO55">
            <v>14</v>
          </cell>
          <cell r="BP55">
            <v>2822</v>
          </cell>
          <cell r="BQ55">
            <v>31020</v>
          </cell>
          <cell r="BR55">
            <v>858</v>
          </cell>
          <cell r="BS55">
            <v>864</v>
          </cell>
          <cell r="BT55">
            <v>1721</v>
          </cell>
          <cell r="BU55">
            <v>32741</v>
          </cell>
          <cell r="BV55">
            <v>4688</v>
          </cell>
          <cell r="BW55">
            <v>10955</v>
          </cell>
          <cell r="BX55">
            <v>1628</v>
          </cell>
          <cell r="BY55">
            <v>447</v>
          </cell>
          <cell r="BZ55">
            <v>17719</v>
          </cell>
          <cell r="CA55">
            <v>17719</v>
          </cell>
          <cell r="CB55">
            <v>4781</v>
          </cell>
          <cell r="CC55">
            <v>41</v>
          </cell>
          <cell r="CD55">
            <v>4822</v>
          </cell>
          <cell r="CE55">
            <v>1204</v>
          </cell>
          <cell r="CF55">
            <v>28</v>
          </cell>
          <cell r="CG55">
            <v>413</v>
          </cell>
          <cell r="CH55">
            <v>6466</v>
          </cell>
          <cell r="CI55">
            <v>24184</v>
          </cell>
          <cell r="CJ55">
            <v>8557</v>
          </cell>
          <cell r="CK55">
            <v>-4074</v>
          </cell>
          <cell r="CL55">
            <v>12631</v>
          </cell>
          <cell r="CM55">
            <v>32741</v>
          </cell>
        </row>
        <row r="56">
          <cell r="B56">
            <v>28894</v>
          </cell>
          <cell r="C56">
            <v>1994</v>
          </cell>
          <cell r="D56">
            <v>250</v>
          </cell>
          <cell r="E56">
            <v>482</v>
          </cell>
          <cell r="F56">
            <v>75</v>
          </cell>
          <cell r="G56">
            <v>15</v>
          </cell>
          <cell r="H56">
            <v>2816</v>
          </cell>
          <cell r="I56">
            <v>31709</v>
          </cell>
          <cell r="J56">
            <v>889</v>
          </cell>
          <cell r="K56">
            <v>1013</v>
          </cell>
          <cell r="L56">
            <v>1902</v>
          </cell>
          <cell r="M56">
            <v>33612</v>
          </cell>
          <cell r="N56">
            <v>5193</v>
          </cell>
          <cell r="O56">
            <v>6278</v>
          </cell>
          <cell r="P56">
            <v>1454</v>
          </cell>
          <cell r="Q56">
            <v>436</v>
          </cell>
          <cell r="R56">
            <v>13362</v>
          </cell>
          <cell r="S56">
            <v>13362</v>
          </cell>
          <cell r="T56">
            <v>5138</v>
          </cell>
          <cell r="U56">
            <v>45</v>
          </cell>
          <cell r="V56">
            <v>5184</v>
          </cell>
          <cell r="W56">
            <v>1215</v>
          </cell>
          <cell r="X56">
            <v>31</v>
          </cell>
          <cell r="Y56">
            <v>554</v>
          </cell>
          <cell r="Z56">
            <v>6984</v>
          </cell>
          <cell r="AA56">
            <v>20345</v>
          </cell>
          <cell r="AB56">
            <v>13266</v>
          </cell>
          <cell r="AC56">
            <v>487</v>
          </cell>
          <cell r="AD56">
            <v>12779</v>
          </cell>
          <cell r="AE56">
            <v>33612</v>
          </cell>
          <cell r="AF56">
            <v>28991</v>
          </cell>
          <cell r="AG56">
            <v>2016</v>
          </cell>
          <cell r="AH56">
            <v>210</v>
          </cell>
          <cell r="AI56">
            <v>776</v>
          </cell>
          <cell r="AJ56">
            <v>75</v>
          </cell>
          <cell r="AK56">
            <v>16</v>
          </cell>
          <cell r="AL56">
            <v>3093</v>
          </cell>
          <cell r="AM56">
            <v>32084</v>
          </cell>
          <cell r="AN56">
            <v>894</v>
          </cell>
          <cell r="AO56">
            <v>964</v>
          </cell>
          <cell r="AP56">
            <v>1857</v>
          </cell>
          <cell r="AQ56">
            <v>33942</v>
          </cell>
          <cell r="AR56">
            <v>5256</v>
          </cell>
          <cell r="AS56">
            <v>5734</v>
          </cell>
          <cell r="AT56">
            <v>1389</v>
          </cell>
          <cell r="AU56">
            <v>442</v>
          </cell>
          <cell r="AV56">
            <v>12821</v>
          </cell>
          <cell r="AW56">
            <v>12821</v>
          </cell>
          <cell r="AX56">
            <v>5041</v>
          </cell>
          <cell r="AY56">
            <v>45</v>
          </cell>
          <cell r="AZ56">
            <v>5086</v>
          </cell>
          <cell r="BA56">
            <v>1216</v>
          </cell>
          <cell r="BB56">
            <v>28</v>
          </cell>
          <cell r="BC56">
            <v>548</v>
          </cell>
          <cell r="BD56">
            <v>6878</v>
          </cell>
          <cell r="BE56">
            <v>19699</v>
          </cell>
          <cell r="BF56">
            <v>14242</v>
          </cell>
          <cell r="BG56">
            <v>1466</v>
          </cell>
          <cell r="BH56">
            <v>12776</v>
          </cell>
          <cell r="BI56">
            <v>33942</v>
          </cell>
          <cell r="BJ56">
            <v>30495</v>
          </cell>
          <cell r="BK56">
            <v>2022</v>
          </cell>
          <cell r="BL56">
            <v>184</v>
          </cell>
          <cell r="BM56">
            <v>1104</v>
          </cell>
          <cell r="BN56">
            <v>75</v>
          </cell>
          <cell r="BO56">
            <v>14</v>
          </cell>
          <cell r="BP56">
            <v>3399</v>
          </cell>
          <cell r="BQ56">
            <v>33894</v>
          </cell>
          <cell r="BR56">
            <v>898</v>
          </cell>
          <cell r="BS56">
            <v>933</v>
          </cell>
          <cell r="BT56">
            <v>1832</v>
          </cell>
          <cell r="BU56">
            <v>35726</v>
          </cell>
          <cell r="BV56">
            <v>5133</v>
          </cell>
          <cell r="BW56">
            <v>3369</v>
          </cell>
          <cell r="BX56">
            <v>892</v>
          </cell>
          <cell r="BY56">
            <v>429</v>
          </cell>
          <cell r="BZ56">
            <v>9823</v>
          </cell>
          <cell r="CA56">
            <v>9823</v>
          </cell>
          <cell r="CB56">
            <v>5732</v>
          </cell>
          <cell r="CC56">
            <v>43</v>
          </cell>
          <cell r="CD56">
            <v>5775</v>
          </cell>
          <cell r="CE56">
            <v>1216</v>
          </cell>
          <cell r="CF56">
            <v>32</v>
          </cell>
          <cell r="CG56">
            <v>533</v>
          </cell>
          <cell r="CH56">
            <v>7556</v>
          </cell>
          <cell r="CI56">
            <v>17378</v>
          </cell>
          <cell r="CJ56">
            <v>18347</v>
          </cell>
          <cell r="CK56">
            <v>5571</v>
          </cell>
          <cell r="CL56">
            <v>12776</v>
          </cell>
          <cell r="CM56">
            <v>35726</v>
          </cell>
        </row>
        <row r="57">
          <cell r="B57">
            <v>31019</v>
          </cell>
          <cell r="C57">
            <v>2192</v>
          </cell>
          <cell r="D57">
            <v>286</v>
          </cell>
          <cell r="E57">
            <v>660</v>
          </cell>
          <cell r="F57">
            <v>76</v>
          </cell>
          <cell r="G57">
            <v>16</v>
          </cell>
          <cell r="H57">
            <v>3230</v>
          </cell>
          <cell r="I57">
            <v>34248</v>
          </cell>
          <cell r="J57">
            <v>877</v>
          </cell>
          <cell r="K57">
            <v>1108</v>
          </cell>
          <cell r="L57">
            <v>1985</v>
          </cell>
          <cell r="M57">
            <v>36233</v>
          </cell>
          <cell r="N57">
            <v>5610</v>
          </cell>
          <cell r="O57">
            <v>5946</v>
          </cell>
          <cell r="P57">
            <v>1498</v>
          </cell>
          <cell r="Q57">
            <v>455</v>
          </cell>
          <cell r="R57">
            <v>13509</v>
          </cell>
          <cell r="S57">
            <v>13509</v>
          </cell>
          <cell r="T57">
            <v>5668</v>
          </cell>
          <cell r="U57">
            <v>48</v>
          </cell>
          <cell r="V57">
            <v>5716</v>
          </cell>
          <cell r="W57">
            <v>1225</v>
          </cell>
          <cell r="X57">
            <v>32</v>
          </cell>
          <cell r="Y57">
            <v>598</v>
          </cell>
          <cell r="Z57">
            <v>7571</v>
          </cell>
          <cell r="AA57">
            <v>21080</v>
          </cell>
          <cell r="AB57">
            <v>15153</v>
          </cell>
          <cell r="AC57">
            <v>2197</v>
          </cell>
          <cell r="AD57">
            <v>12956</v>
          </cell>
          <cell r="AE57">
            <v>36233</v>
          </cell>
          <cell r="AF57">
            <v>31319</v>
          </cell>
          <cell r="AG57">
            <v>2183</v>
          </cell>
          <cell r="AH57">
            <v>433</v>
          </cell>
          <cell r="AI57">
            <v>-260</v>
          </cell>
          <cell r="AJ57">
            <v>76</v>
          </cell>
          <cell r="AK57">
            <v>17</v>
          </cell>
          <cell r="AL57">
            <v>2448</v>
          </cell>
          <cell r="AM57">
            <v>33767</v>
          </cell>
          <cell r="AN57">
            <v>875</v>
          </cell>
          <cell r="AO57">
            <v>1133</v>
          </cell>
          <cell r="AP57">
            <v>2008</v>
          </cell>
          <cell r="AQ57">
            <v>35776</v>
          </cell>
          <cell r="AR57">
            <v>5668</v>
          </cell>
          <cell r="AS57">
            <v>5804</v>
          </cell>
          <cell r="AT57">
            <v>1546</v>
          </cell>
          <cell r="AU57">
            <v>446</v>
          </cell>
          <cell r="AV57">
            <v>13464</v>
          </cell>
          <cell r="AW57">
            <v>13464</v>
          </cell>
          <cell r="AX57">
            <v>5762</v>
          </cell>
          <cell r="AY57">
            <v>51</v>
          </cell>
          <cell r="AZ57">
            <v>5813</v>
          </cell>
          <cell r="BA57">
            <v>1225</v>
          </cell>
          <cell r="BB57">
            <v>31</v>
          </cell>
          <cell r="BC57">
            <v>625</v>
          </cell>
          <cell r="BD57">
            <v>7694</v>
          </cell>
          <cell r="BE57">
            <v>21158</v>
          </cell>
          <cell r="BF57">
            <v>14618</v>
          </cell>
          <cell r="BG57">
            <v>1664</v>
          </cell>
          <cell r="BH57">
            <v>12954</v>
          </cell>
          <cell r="BI57">
            <v>35776</v>
          </cell>
          <cell r="BJ57">
            <v>29682</v>
          </cell>
          <cell r="BK57">
            <v>2185</v>
          </cell>
          <cell r="BL57">
            <v>295</v>
          </cell>
          <cell r="BM57">
            <v>-151</v>
          </cell>
          <cell r="BN57">
            <v>76</v>
          </cell>
          <cell r="BO57">
            <v>13</v>
          </cell>
          <cell r="BP57">
            <v>2419</v>
          </cell>
          <cell r="BQ57">
            <v>32101</v>
          </cell>
          <cell r="BR57">
            <v>883</v>
          </cell>
          <cell r="BS57">
            <v>1141</v>
          </cell>
          <cell r="BT57">
            <v>2024</v>
          </cell>
          <cell r="BU57">
            <v>34125</v>
          </cell>
          <cell r="BV57">
            <v>5705</v>
          </cell>
          <cell r="BW57">
            <v>7992</v>
          </cell>
          <cell r="BX57">
            <v>1721</v>
          </cell>
          <cell r="BY57">
            <v>446</v>
          </cell>
          <cell r="BZ57">
            <v>15863</v>
          </cell>
          <cell r="CA57">
            <v>15863</v>
          </cell>
          <cell r="CB57">
            <v>5188</v>
          </cell>
          <cell r="CC57">
            <v>50</v>
          </cell>
          <cell r="CD57">
            <v>5238</v>
          </cell>
          <cell r="CE57">
            <v>1225</v>
          </cell>
          <cell r="CF57">
            <v>29</v>
          </cell>
          <cell r="CG57">
            <v>576</v>
          </cell>
          <cell r="CH57">
            <v>7068</v>
          </cell>
          <cell r="CI57">
            <v>22931</v>
          </cell>
          <cell r="CJ57">
            <v>11194</v>
          </cell>
          <cell r="CK57">
            <v>-1760</v>
          </cell>
          <cell r="CL57">
            <v>12954</v>
          </cell>
          <cell r="CM57">
            <v>34125</v>
          </cell>
        </row>
        <row r="58">
          <cell r="B58">
            <v>32307</v>
          </cell>
          <cell r="C58">
            <v>2369</v>
          </cell>
          <cell r="D58">
            <v>296</v>
          </cell>
          <cell r="E58">
            <v>852</v>
          </cell>
          <cell r="F58">
            <v>76</v>
          </cell>
          <cell r="G58">
            <v>20</v>
          </cell>
          <cell r="H58">
            <v>3613</v>
          </cell>
          <cell r="I58">
            <v>35920</v>
          </cell>
          <cell r="J58">
            <v>808</v>
          </cell>
          <cell r="K58">
            <v>1086</v>
          </cell>
          <cell r="L58">
            <v>1894</v>
          </cell>
          <cell r="M58">
            <v>37814</v>
          </cell>
          <cell r="N58">
            <v>6004</v>
          </cell>
          <cell r="O58">
            <v>5874</v>
          </cell>
          <cell r="P58">
            <v>1479</v>
          </cell>
          <cell r="Q58">
            <v>476</v>
          </cell>
          <cell r="R58">
            <v>13832</v>
          </cell>
          <cell r="S58">
            <v>13832</v>
          </cell>
          <cell r="T58">
            <v>5750</v>
          </cell>
          <cell r="U58">
            <v>48</v>
          </cell>
          <cell r="V58">
            <v>5797</v>
          </cell>
          <cell r="W58">
            <v>1235</v>
          </cell>
          <cell r="X58">
            <v>35</v>
          </cell>
          <cell r="Y58">
            <v>614</v>
          </cell>
          <cell r="Z58">
            <v>7682</v>
          </cell>
          <cell r="AA58">
            <v>21514</v>
          </cell>
          <cell r="AB58">
            <v>16299</v>
          </cell>
          <cell r="AC58">
            <v>3124</v>
          </cell>
          <cell r="AD58">
            <v>13175</v>
          </cell>
          <cell r="AE58">
            <v>37814</v>
          </cell>
          <cell r="AF58">
            <v>32213</v>
          </cell>
          <cell r="AG58">
            <v>2356</v>
          </cell>
          <cell r="AH58">
            <v>166</v>
          </cell>
          <cell r="AI58">
            <v>1720</v>
          </cell>
          <cell r="AJ58">
            <v>76</v>
          </cell>
          <cell r="AK58">
            <v>20</v>
          </cell>
          <cell r="AL58">
            <v>4339</v>
          </cell>
          <cell r="AM58">
            <v>36552</v>
          </cell>
          <cell r="AN58">
            <v>838</v>
          </cell>
          <cell r="AO58">
            <v>1233</v>
          </cell>
          <cell r="AP58">
            <v>2070</v>
          </cell>
          <cell r="AQ58">
            <v>38622</v>
          </cell>
          <cell r="AR58">
            <v>5870</v>
          </cell>
          <cell r="AS58">
            <v>5775</v>
          </cell>
          <cell r="AT58">
            <v>1598</v>
          </cell>
          <cell r="AU58">
            <v>476</v>
          </cell>
          <cell r="AV58">
            <v>13719</v>
          </cell>
          <cell r="AW58">
            <v>13719</v>
          </cell>
          <cell r="AX58">
            <v>5874</v>
          </cell>
          <cell r="AY58">
            <v>46</v>
          </cell>
          <cell r="AZ58">
            <v>5920</v>
          </cell>
          <cell r="BA58">
            <v>1232</v>
          </cell>
          <cell r="BB58">
            <v>41</v>
          </cell>
          <cell r="BC58">
            <v>603</v>
          </cell>
          <cell r="BD58">
            <v>7796</v>
          </cell>
          <cell r="BE58">
            <v>21514</v>
          </cell>
          <cell r="BF58">
            <v>17108</v>
          </cell>
          <cell r="BG58">
            <v>3944</v>
          </cell>
          <cell r="BH58">
            <v>13164</v>
          </cell>
          <cell r="BI58">
            <v>38622</v>
          </cell>
          <cell r="BJ58">
            <v>30596</v>
          </cell>
          <cell r="BK58">
            <v>2354</v>
          </cell>
          <cell r="BL58">
            <v>286</v>
          </cell>
          <cell r="BM58">
            <v>1079</v>
          </cell>
          <cell r="BN58">
            <v>76</v>
          </cell>
          <cell r="BO58">
            <v>21</v>
          </cell>
          <cell r="BP58">
            <v>3817</v>
          </cell>
          <cell r="BQ58">
            <v>34413</v>
          </cell>
          <cell r="BR58">
            <v>830</v>
          </cell>
          <cell r="BS58">
            <v>1271</v>
          </cell>
          <cell r="BT58">
            <v>2101</v>
          </cell>
          <cell r="BU58">
            <v>36514</v>
          </cell>
          <cell r="BV58">
            <v>5984</v>
          </cell>
          <cell r="BW58">
            <v>3427</v>
          </cell>
          <cell r="BX58">
            <v>1623</v>
          </cell>
          <cell r="BY58">
            <v>472</v>
          </cell>
          <cell r="BZ58">
            <v>11507</v>
          </cell>
          <cell r="CA58">
            <v>11507</v>
          </cell>
          <cell r="CB58">
            <v>5338</v>
          </cell>
          <cell r="CC58">
            <v>49</v>
          </cell>
          <cell r="CD58">
            <v>5387</v>
          </cell>
          <cell r="CE58">
            <v>1232</v>
          </cell>
          <cell r="CF58">
            <v>41</v>
          </cell>
          <cell r="CG58">
            <v>725</v>
          </cell>
          <cell r="CH58">
            <v>7386</v>
          </cell>
          <cell r="CI58">
            <v>18892</v>
          </cell>
          <cell r="CJ58">
            <v>17621</v>
          </cell>
          <cell r="CK58">
            <v>4457</v>
          </cell>
          <cell r="CL58">
            <v>13164</v>
          </cell>
          <cell r="CM58">
            <v>36514</v>
          </cell>
        </row>
        <row r="59">
          <cell r="B59">
            <v>32620</v>
          </cell>
          <cell r="C59">
            <v>2487</v>
          </cell>
          <cell r="D59">
            <v>279</v>
          </cell>
          <cell r="E59">
            <v>977</v>
          </cell>
          <cell r="F59">
            <v>75</v>
          </cell>
          <cell r="G59">
            <v>20</v>
          </cell>
          <cell r="H59">
            <v>3839</v>
          </cell>
          <cell r="I59">
            <v>36459</v>
          </cell>
          <cell r="J59">
            <v>716</v>
          </cell>
          <cell r="K59">
            <v>988</v>
          </cell>
          <cell r="L59">
            <v>1704</v>
          </cell>
          <cell r="M59">
            <v>38163</v>
          </cell>
          <cell r="N59">
            <v>6228</v>
          </cell>
          <cell r="O59">
            <v>6246</v>
          </cell>
          <cell r="P59">
            <v>1231</v>
          </cell>
          <cell r="Q59">
            <v>508</v>
          </cell>
          <cell r="R59">
            <v>14213</v>
          </cell>
          <cell r="S59">
            <v>14213</v>
          </cell>
          <cell r="T59">
            <v>5440</v>
          </cell>
          <cell r="U59">
            <v>48</v>
          </cell>
          <cell r="V59">
            <v>5488</v>
          </cell>
          <cell r="W59">
            <v>1246</v>
          </cell>
          <cell r="X59">
            <v>36</v>
          </cell>
          <cell r="Y59">
            <v>318</v>
          </cell>
          <cell r="Z59">
            <v>7087</v>
          </cell>
          <cell r="AA59">
            <v>21300</v>
          </cell>
          <cell r="AB59">
            <v>16862</v>
          </cell>
          <cell r="AC59">
            <v>3455</v>
          </cell>
          <cell r="AD59">
            <v>13407</v>
          </cell>
          <cell r="AE59">
            <v>38163</v>
          </cell>
          <cell r="AF59">
            <v>33089</v>
          </cell>
          <cell r="AG59">
            <v>2514</v>
          </cell>
          <cell r="AH59">
            <v>321</v>
          </cell>
          <cell r="AI59">
            <v>787</v>
          </cell>
          <cell r="AJ59">
            <v>75</v>
          </cell>
          <cell r="AK59">
            <v>21</v>
          </cell>
          <cell r="AL59">
            <v>3718</v>
          </cell>
          <cell r="AM59">
            <v>36807</v>
          </cell>
          <cell r="AN59">
            <v>693</v>
          </cell>
          <cell r="AO59">
            <v>811</v>
          </cell>
          <cell r="AP59">
            <v>1504</v>
          </cell>
          <cell r="AQ59">
            <v>38311</v>
          </cell>
          <cell r="AR59">
            <v>6335</v>
          </cell>
          <cell r="AS59">
            <v>6585</v>
          </cell>
          <cell r="AT59">
            <v>1145</v>
          </cell>
          <cell r="AU59">
            <v>522</v>
          </cell>
          <cell r="AV59">
            <v>14588</v>
          </cell>
          <cell r="AW59">
            <v>14588</v>
          </cell>
          <cell r="AX59">
            <v>5472</v>
          </cell>
          <cell r="AY59">
            <v>47</v>
          </cell>
          <cell r="AZ59">
            <v>5519</v>
          </cell>
          <cell r="BA59">
            <v>1247</v>
          </cell>
          <cell r="BB59">
            <v>32</v>
          </cell>
          <cell r="BC59">
            <v>324</v>
          </cell>
          <cell r="BD59">
            <v>7121</v>
          </cell>
          <cell r="BE59">
            <v>21709</v>
          </cell>
          <cell r="BF59">
            <v>16602</v>
          </cell>
          <cell r="BG59">
            <v>3181</v>
          </cell>
          <cell r="BH59">
            <v>13421</v>
          </cell>
          <cell r="BI59">
            <v>38311</v>
          </cell>
          <cell r="BJ59">
            <v>34590</v>
          </cell>
          <cell r="BK59">
            <v>2502</v>
          </cell>
          <cell r="BL59">
            <v>235</v>
          </cell>
          <cell r="BM59">
            <v>1007</v>
          </cell>
          <cell r="BN59">
            <v>75</v>
          </cell>
          <cell r="BO59">
            <v>24</v>
          </cell>
          <cell r="BP59">
            <v>3843</v>
          </cell>
          <cell r="BQ59">
            <v>38433</v>
          </cell>
          <cell r="BR59">
            <v>690</v>
          </cell>
          <cell r="BS59">
            <v>786</v>
          </cell>
          <cell r="BT59">
            <v>1476</v>
          </cell>
          <cell r="BU59">
            <v>39908</v>
          </cell>
          <cell r="BV59">
            <v>6315</v>
          </cell>
          <cell r="BW59">
            <v>9802</v>
          </cell>
          <cell r="BX59">
            <v>1462</v>
          </cell>
          <cell r="BY59">
            <v>545</v>
          </cell>
          <cell r="BZ59">
            <v>18124</v>
          </cell>
          <cell r="CA59">
            <v>18124</v>
          </cell>
          <cell r="CB59">
            <v>5775</v>
          </cell>
          <cell r="CC59">
            <v>47</v>
          </cell>
          <cell r="CD59">
            <v>5822</v>
          </cell>
          <cell r="CE59">
            <v>1247</v>
          </cell>
          <cell r="CF59">
            <v>29</v>
          </cell>
          <cell r="CG59">
            <v>276</v>
          </cell>
          <cell r="CH59">
            <v>7373</v>
          </cell>
          <cell r="CI59">
            <v>25497</v>
          </cell>
          <cell r="CJ59">
            <v>14411</v>
          </cell>
          <cell r="CK59">
            <v>990</v>
          </cell>
          <cell r="CL59">
            <v>13421</v>
          </cell>
          <cell r="CM59">
            <v>39908</v>
          </cell>
        </row>
        <row r="60">
          <cell r="B60">
            <v>32103</v>
          </cell>
          <cell r="C60">
            <v>2509</v>
          </cell>
          <cell r="D60">
            <v>268</v>
          </cell>
          <cell r="E60">
            <v>991</v>
          </cell>
          <cell r="F60">
            <v>75</v>
          </cell>
          <cell r="G60">
            <v>20</v>
          </cell>
          <cell r="H60">
            <v>3863</v>
          </cell>
          <cell r="I60">
            <v>35966</v>
          </cell>
          <cell r="J60">
            <v>645</v>
          </cell>
          <cell r="K60">
            <v>899</v>
          </cell>
          <cell r="L60">
            <v>1544</v>
          </cell>
          <cell r="M60">
            <v>37510</v>
          </cell>
          <cell r="N60">
            <v>6202</v>
          </cell>
          <cell r="O60">
            <v>6316</v>
          </cell>
          <cell r="P60">
            <v>1162</v>
          </cell>
          <cell r="Q60">
            <v>568</v>
          </cell>
          <cell r="R60">
            <v>14248</v>
          </cell>
          <cell r="S60">
            <v>14248</v>
          </cell>
          <cell r="T60">
            <v>4985</v>
          </cell>
          <cell r="U60">
            <v>49</v>
          </cell>
          <cell r="V60">
            <v>5034</v>
          </cell>
          <cell r="W60">
            <v>1252</v>
          </cell>
          <cell r="X60">
            <v>34</v>
          </cell>
          <cell r="Y60">
            <v>301</v>
          </cell>
          <cell r="Z60">
            <v>6621</v>
          </cell>
          <cell r="AA60">
            <v>20869</v>
          </cell>
          <cell r="AB60">
            <v>16641</v>
          </cell>
          <cell r="AC60">
            <v>3013</v>
          </cell>
          <cell r="AD60">
            <v>13628</v>
          </cell>
          <cell r="AE60">
            <v>37510</v>
          </cell>
          <cell r="AF60">
            <v>31575</v>
          </cell>
          <cell r="AG60">
            <v>2513</v>
          </cell>
          <cell r="AH60">
            <v>283</v>
          </cell>
          <cell r="AI60">
            <v>741</v>
          </cell>
          <cell r="AJ60">
            <v>75</v>
          </cell>
          <cell r="AK60">
            <v>21</v>
          </cell>
          <cell r="AL60">
            <v>3634</v>
          </cell>
          <cell r="AM60">
            <v>35209</v>
          </cell>
          <cell r="AN60">
            <v>635</v>
          </cell>
          <cell r="AO60">
            <v>966</v>
          </cell>
          <cell r="AP60">
            <v>1601</v>
          </cell>
          <cell r="AQ60">
            <v>36810</v>
          </cell>
          <cell r="AR60">
            <v>6292</v>
          </cell>
          <cell r="AS60">
            <v>6027</v>
          </cell>
          <cell r="AT60">
            <v>1178</v>
          </cell>
          <cell r="AU60">
            <v>530</v>
          </cell>
          <cell r="AV60">
            <v>14028</v>
          </cell>
          <cell r="AW60">
            <v>14028</v>
          </cell>
          <cell r="AX60">
            <v>4754</v>
          </cell>
          <cell r="AY60">
            <v>50</v>
          </cell>
          <cell r="AZ60">
            <v>4804</v>
          </cell>
          <cell r="BA60">
            <v>1253</v>
          </cell>
          <cell r="BB60">
            <v>36</v>
          </cell>
          <cell r="BC60">
            <v>521</v>
          </cell>
          <cell r="BD60">
            <v>6615</v>
          </cell>
          <cell r="BE60">
            <v>20643</v>
          </cell>
          <cell r="BF60">
            <v>16167</v>
          </cell>
          <cell r="BG60">
            <v>2536</v>
          </cell>
          <cell r="BH60">
            <v>13631</v>
          </cell>
          <cell r="BI60">
            <v>36810</v>
          </cell>
          <cell r="BJ60">
            <v>33324</v>
          </cell>
          <cell r="BK60">
            <v>2522</v>
          </cell>
          <cell r="BL60">
            <v>262</v>
          </cell>
          <cell r="BM60">
            <v>1046</v>
          </cell>
          <cell r="BN60">
            <v>75</v>
          </cell>
          <cell r="BO60">
            <v>19</v>
          </cell>
          <cell r="BP60">
            <v>3924</v>
          </cell>
          <cell r="BQ60">
            <v>37248</v>
          </cell>
          <cell r="BR60">
            <v>638</v>
          </cell>
          <cell r="BS60">
            <v>914</v>
          </cell>
          <cell r="BT60">
            <v>1552</v>
          </cell>
          <cell r="BU60">
            <v>38801</v>
          </cell>
          <cell r="BV60">
            <v>6174</v>
          </cell>
          <cell r="BW60">
            <v>3187</v>
          </cell>
          <cell r="BX60">
            <v>612</v>
          </cell>
          <cell r="BY60">
            <v>511</v>
          </cell>
          <cell r="BZ60">
            <v>10484</v>
          </cell>
          <cell r="CA60">
            <v>10484</v>
          </cell>
          <cell r="CB60">
            <v>5350</v>
          </cell>
          <cell r="CC60">
            <v>49</v>
          </cell>
          <cell r="CD60">
            <v>5399</v>
          </cell>
          <cell r="CE60">
            <v>1253</v>
          </cell>
          <cell r="CF60">
            <v>42</v>
          </cell>
          <cell r="CG60">
            <v>502</v>
          </cell>
          <cell r="CH60">
            <v>7196</v>
          </cell>
          <cell r="CI60">
            <v>17680</v>
          </cell>
          <cell r="CJ60">
            <v>21121</v>
          </cell>
          <cell r="CK60">
            <v>7490</v>
          </cell>
          <cell r="CL60">
            <v>13631</v>
          </cell>
          <cell r="CM60">
            <v>38801</v>
          </cell>
        </row>
        <row r="61">
          <cell r="B61">
            <v>31451</v>
          </cell>
          <cell r="C61">
            <v>2434</v>
          </cell>
          <cell r="D61">
            <v>261</v>
          </cell>
          <cell r="E61">
            <v>961</v>
          </cell>
          <cell r="F61">
            <v>76</v>
          </cell>
          <cell r="G61">
            <v>21</v>
          </cell>
          <cell r="H61">
            <v>3753</v>
          </cell>
          <cell r="I61">
            <v>35204</v>
          </cell>
          <cell r="J61">
            <v>635</v>
          </cell>
          <cell r="K61">
            <v>915</v>
          </cell>
          <cell r="L61">
            <v>1550</v>
          </cell>
          <cell r="M61">
            <v>36754</v>
          </cell>
          <cell r="N61">
            <v>5940</v>
          </cell>
          <cell r="O61">
            <v>6150</v>
          </cell>
          <cell r="P61">
            <v>1176</v>
          </cell>
          <cell r="Q61">
            <v>619</v>
          </cell>
          <cell r="R61">
            <v>13885</v>
          </cell>
          <cell r="S61">
            <v>13885</v>
          </cell>
          <cell r="T61">
            <v>4643</v>
          </cell>
          <cell r="U61">
            <v>57</v>
          </cell>
          <cell r="V61">
            <v>4700</v>
          </cell>
          <cell r="W61">
            <v>1249</v>
          </cell>
          <cell r="X61">
            <v>32</v>
          </cell>
          <cell r="Y61">
            <v>306</v>
          </cell>
          <cell r="Z61">
            <v>6286</v>
          </cell>
          <cell r="AA61">
            <v>20171</v>
          </cell>
          <cell r="AB61">
            <v>16583</v>
          </cell>
          <cell r="AC61">
            <v>2757</v>
          </cell>
          <cell r="AD61">
            <v>13826</v>
          </cell>
          <cell r="AE61">
            <v>36754</v>
          </cell>
          <cell r="AF61">
            <v>32054</v>
          </cell>
          <cell r="AG61">
            <v>2446</v>
          </cell>
          <cell r="AH61">
            <v>250</v>
          </cell>
          <cell r="AI61">
            <v>1077</v>
          </cell>
          <cell r="AJ61">
            <v>76</v>
          </cell>
          <cell r="AK61">
            <v>20</v>
          </cell>
          <cell r="AL61">
            <v>3869</v>
          </cell>
          <cell r="AM61">
            <v>35923</v>
          </cell>
          <cell r="AN61">
            <v>640</v>
          </cell>
          <cell r="AO61">
            <v>914</v>
          </cell>
          <cell r="AP61">
            <v>1554</v>
          </cell>
          <cell r="AQ61">
            <v>37477</v>
          </cell>
          <cell r="AR61">
            <v>5869</v>
          </cell>
          <cell r="AS61">
            <v>6577</v>
          </cell>
          <cell r="AT61">
            <v>787</v>
          </cell>
          <cell r="AU61">
            <v>631</v>
          </cell>
          <cell r="AV61">
            <v>13864</v>
          </cell>
          <cell r="AW61">
            <v>13864</v>
          </cell>
          <cell r="AX61">
            <v>4784</v>
          </cell>
          <cell r="AY61">
            <v>58</v>
          </cell>
          <cell r="AZ61">
            <v>4842</v>
          </cell>
          <cell r="BA61">
            <v>1250</v>
          </cell>
          <cell r="BB61">
            <v>32</v>
          </cell>
          <cell r="BC61">
            <v>280</v>
          </cell>
          <cell r="BD61">
            <v>6404</v>
          </cell>
          <cell r="BE61">
            <v>20268</v>
          </cell>
          <cell r="BF61">
            <v>17209</v>
          </cell>
          <cell r="BG61">
            <v>3384</v>
          </cell>
          <cell r="BH61">
            <v>13826</v>
          </cell>
          <cell r="BI61">
            <v>37477</v>
          </cell>
          <cell r="BJ61">
            <v>30427</v>
          </cell>
          <cell r="BK61">
            <v>2452</v>
          </cell>
          <cell r="BL61">
            <v>171</v>
          </cell>
          <cell r="BM61">
            <v>1182</v>
          </cell>
          <cell r="BN61">
            <v>76</v>
          </cell>
          <cell r="BO61">
            <v>17</v>
          </cell>
          <cell r="BP61">
            <v>3897</v>
          </cell>
          <cell r="BQ61">
            <v>34325</v>
          </cell>
          <cell r="BR61">
            <v>646</v>
          </cell>
          <cell r="BS61">
            <v>963</v>
          </cell>
          <cell r="BT61">
            <v>1609</v>
          </cell>
          <cell r="BU61">
            <v>35934</v>
          </cell>
          <cell r="BV61">
            <v>5874</v>
          </cell>
          <cell r="BW61">
            <v>9133</v>
          </cell>
          <cell r="BX61">
            <v>1025</v>
          </cell>
          <cell r="BY61">
            <v>624</v>
          </cell>
          <cell r="BZ61">
            <v>16657</v>
          </cell>
          <cell r="CA61">
            <v>16657</v>
          </cell>
          <cell r="CB61">
            <v>4370</v>
          </cell>
          <cell r="CC61">
            <v>57</v>
          </cell>
          <cell r="CD61">
            <v>4427</v>
          </cell>
          <cell r="CE61">
            <v>1250</v>
          </cell>
          <cell r="CF61">
            <v>29</v>
          </cell>
          <cell r="CG61">
            <v>272</v>
          </cell>
          <cell r="CH61">
            <v>5977</v>
          </cell>
          <cell r="CI61">
            <v>22634</v>
          </cell>
          <cell r="CJ61">
            <v>13300</v>
          </cell>
          <cell r="CK61">
            <v>-526</v>
          </cell>
          <cell r="CL61">
            <v>13826</v>
          </cell>
          <cell r="CM61">
            <v>35934</v>
          </cell>
        </row>
        <row r="62">
          <cell r="B62">
            <v>31340</v>
          </cell>
          <cell r="C62">
            <v>2307</v>
          </cell>
          <cell r="D62">
            <v>243</v>
          </cell>
          <cell r="E62">
            <v>1075</v>
          </cell>
          <cell r="F62">
            <v>78</v>
          </cell>
          <cell r="G62">
            <v>25</v>
          </cell>
          <cell r="H62">
            <v>3728</v>
          </cell>
          <cell r="I62">
            <v>35069</v>
          </cell>
          <cell r="J62">
            <v>687</v>
          </cell>
          <cell r="K62">
            <v>1026</v>
          </cell>
          <cell r="L62">
            <v>1713</v>
          </cell>
          <cell r="M62">
            <v>36781</v>
          </cell>
          <cell r="N62">
            <v>5614</v>
          </cell>
          <cell r="O62">
            <v>6038</v>
          </cell>
          <cell r="P62">
            <v>994</v>
          </cell>
          <cell r="Q62">
            <v>627</v>
          </cell>
          <cell r="R62">
            <v>13273</v>
          </cell>
          <cell r="S62">
            <v>13273</v>
          </cell>
          <cell r="T62">
            <v>4470</v>
          </cell>
          <cell r="U62">
            <v>72</v>
          </cell>
          <cell r="V62">
            <v>4541</v>
          </cell>
          <cell r="W62">
            <v>1234</v>
          </cell>
          <cell r="X62">
            <v>35</v>
          </cell>
          <cell r="Y62">
            <v>345</v>
          </cell>
          <cell r="Z62">
            <v>6155</v>
          </cell>
          <cell r="AA62">
            <v>19428</v>
          </cell>
          <cell r="AB62">
            <v>17354</v>
          </cell>
          <cell r="AC62">
            <v>3341</v>
          </cell>
          <cell r="AD62">
            <v>14013</v>
          </cell>
          <cell r="AE62">
            <v>36781</v>
          </cell>
          <cell r="AF62">
            <v>30419</v>
          </cell>
          <cell r="AG62">
            <v>2278</v>
          </cell>
          <cell r="AH62">
            <v>231</v>
          </cell>
          <cell r="AI62">
            <v>1239</v>
          </cell>
          <cell r="AJ62">
            <v>78</v>
          </cell>
          <cell r="AK62">
            <v>24</v>
          </cell>
          <cell r="AL62">
            <v>3850</v>
          </cell>
          <cell r="AM62">
            <v>34269</v>
          </cell>
          <cell r="AN62">
            <v>666</v>
          </cell>
          <cell r="AO62">
            <v>957</v>
          </cell>
          <cell r="AP62">
            <v>1623</v>
          </cell>
          <cell r="AQ62">
            <v>35892</v>
          </cell>
          <cell r="AR62">
            <v>5560</v>
          </cell>
          <cell r="AS62">
            <v>5584</v>
          </cell>
          <cell r="AT62">
            <v>1907</v>
          </cell>
          <cell r="AU62">
            <v>689</v>
          </cell>
          <cell r="AV62">
            <v>13740</v>
          </cell>
          <cell r="AW62">
            <v>13740</v>
          </cell>
          <cell r="AX62">
            <v>4470</v>
          </cell>
          <cell r="AY62">
            <v>62</v>
          </cell>
          <cell r="AZ62">
            <v>4532</v>
          </cell>
          <cell r="BA62">
            <v>1236</v>
          </cell>
          <cell r="BB62">
            <v>31</v>
          </cell>
          <cell r="BC62">
            <v>352</v>
          </cell>
          <cell r="BD62">
            <v>6150</v>
          </cell>
          <cell r="BE62">
            <v>19890</v>
          </cell>
          <cell r="BF62">
            <v>16002</v>
          </cell>
          <cell r="BG62">
            <v>1996</v>
          </cell>
          <cell r="BH62">
            <v>14006</v>
          </cell>
          <cell r="BI62">
            <v>35892</v>
          </cell>
          <cell r="BJ62">
            <v>28906</v>
          </cell>
          <cell r="BK62">
            <v>2268</v>
          </cell>
          <cell r="BL62">
            <v>376</v>
          </cell>
          <cell r="BM62">
            <v>613</v>
          </cell>
          <cell r="BN62">
            <v>78</v>
          </cell>
          <cell r="BO62">
            <v>28</v>
          </cell>
          <cell r="BP62">
            <v>3362</v>
          </cell>
          <cell r="BQ62">
            <v>32268</v>
          </cell>
          <cell r="BR62">
            <v>661</v>
          </cell>
          <cell r="BS62">
            <v>999</v>
          </cell>
          <cell r="BT62">
            <v>1659</v>
          </cell>
          <cell r="BU62">
            <v>33927</v>
          </cell>
          <cell r="BV62">
            <v>5671</v>
          </cell>
          <cell r="BW62">
            <v>3032</v>
          </cell>
          <cell r="BX62">
            <v>1917</v>
          </cell>
          <cell r="BY62">
            <v>694</v>
          </cell>
          <cell r="BZ62">
            <v>11313</v>
          </cell>
          <cell r="CA62">
            <v>11313</v>
          </cell>
          <cell r="CB62">
            <v>4038</v>
          </cell>
          <cell r="CC62">
            <v>65</v>
          </cell>
          <cell r="CD62">
            <v>4103</v>
          </cell>
          <cell r="CE62">
            <v>1236</v>
          </cell>
          <cell r="CF62">
            <v>31</v>
          </cell>
          <cell r="CG62">
            <v>428</v>
          </cell>
          <cell r="CH62">
            <v>5798</v>
          </cell>
          <cell r="CI62">
            <v>17111</v>
          </cell>
          <cell r="CJ62">
            <v>16816</v>
          </cell>
          <cell r="CK62">
            <v>2810</v>
          </cell>
          <cell r="CL62">
            <v>14006</v>
          </cell>
          <cell r="CM62">
            <v>33927</v>
          </cell>
        </row>
        <row r="63">
          <cell r="B63">
            <v>31878</v>
          </cell>
          <cell r="C63">
            <v>2168</v>
          </cell>
          <cell r="D63">
            <v>252</v>
          </cell>
          <cell r="E63">
            <v>1050</v>
          </cell>
          <cell r="F63">
            <v>80</v>
          </cell>
          <cell r="G63">
            <v>30</v>
          </cell>
          <cell r="H63">
            <v>3580</v>
          </cell>
          <cell r="I63">
            <v>35457</v>
          </cell>
          <cell r="J63">
            <v>756</v>
          </cell>
          <cell r="K63">
            <v>1110</v>
          </cell>
          <cell r="L63">
            <v>1866</v>
          </cell>
          <cell r="M63">
            <v>37323</v>
          </cell>
          <cell r="N63">
            <v>5346</v>
          </cell>
          <cell r="O63">
            <v>6133</v>
          </cell>
          <cell r="P63">
            <v>761</v>
          </cell>
          <cell r="Q63">
            <v>586</v>
          </cell>
          <cell r="R63">
            <v>12827</v>
          </cell>
          <cell r="S63">
            <v>12827</v>
          </cell>
          <cell r="T63">
            <v>4482</v>
          </cell>
          <cell r="U63">
            <v>87</v>
          </cell>
          <cell r="V63">
            <v>4569</v>
          </cell>
          <cell r="W63">
            <v>1215</v>
          </cell>
          <cell r="X63">
            <v>39</v>
          </cell>
          <cell r="Y63">
            <v>397</v>
          </cell>
          <cell r="Z63">
            <v>6220</v>
          </cell>
          <cell r="AA63">
            <v>19046</v>
          </cell>
          <cell r="AB63">
            <v>18277</v>
          </cell>
          <cell r="AC63">
            <v>4079</v>
          </cell>
          <cell r="AD63">
            <v>14198</v>
          </cell>
          <cell r="AE63">
            <v>37323</v>
          </cell>
          <cell r="AF63">
            <v>32288</v>
          </cell>
          <cell r="AG63">
            <v>2189</v>
          </cell>
          <cell r="AH63">
            <v>254</v>
          </cell>
          <cell r="AI63">
            <v>878</v>
          </cell>
          <cell r="AJ63">
            <v>80</v>
          </cell>
          <cell r="AK63">
            <v>31</v>
          </cell>
          <cell r="AL63">
            <v>3431</v>
          </cell>
          <cell r="AM63">
            <v>35719</v>
          </cell>
          <cell r="AN63">
            <v>773</v>
          </cell>
          <cell r="AO63">
            <v>1166</v>
          </cell>
          <cell r="AP63">
            <v>1938</v>
          </cell>
          <cell r="AQ63">
            <v>37657</v>
          </cell>
          <cell r="AR63">
            <v>5399</v>
          </cell>
          <cell r="AS63">
            <v>6177</v>
          </cell>
          <cell r="AT63">
            <v>118</v>
          </cell>
          <cell r="AU63">
            <v>531</v>
          </cell>
          <cell r="AV63">
            <v>12225</v>
          </cell>
          <cell r="AW63">
            <v>12225</v>
          </cell>
          <cell r="AX63">
            <v>4385</v>
          </cell>
          <cell r="AY63">
            <v>96</v>
          </cell>
          <cell r="AZ63">
            <v>4481</v>
          </cell>
          <cell r="BA63">
            <v>1211</v>
          </cell>
          <cell r="BB63">
            <v>41</v>
          </cell>
          <cell r="BC63">
            <v>397</v>
          </cell>
          <cell r="BD63">
            <v>6130</v>
          </cell>
          <cell r="BE63">
            <v>18355</v>
          </cell>
          <cell r="BF63">
            <v>19302</v>
          </cell>
          <cell r="BG63">
            <v>5105</v>
          </cell>
          <cell r="BH63">
            <v>14197</v>
          </cell>
          <cell r="BI63">
            <v>37657</v>
          </cell>
          <cell r="BJ63">
            <v>33063</v>
          </cell>
          <cell r="BK63">
            <v>2182</v>
          </cell>
          <cell r="BL63">
            <v>196</v>
          </cell>
          <cell r="BM63">
            <v>1108</v>
          </cell>
          <cell r="BN63">
            <v>80</v>
          </cell>
          <cell r="BO63">
            <v>32</v>
          </cell>
          <cell r="BP63">
            <v>3598</v>
          </cell>
          <cell r="BQ63">
            <v>36661</v>
          </cell>
          <cell r="BR63">
            <v>767</v>
          </cell>
          <cell r="BS63">
            <v>1132</v>
          </cell>
          <cell r="BT63">
            <v>1899</v>
          </cell>
          <cell r="BU63">
            <v>38560</v>
          </cell>
          <cell r="BV63">
            <v>5385</v>
          </cell>
          <cell r="BW63">
            <v>9433</v>
          </cell>
          <cell r="BX63">
            <v>456</v>
          </cell>
          <cell r="BY63">
            <v>557</v>
          </cell>
          <cell r="BZ63">
            <v>15831</v>
          </cell>
          <cell r="CA63">
            <v>15831</v>
          </cell>
          <cell r="CB63">
            <v>4650</v>
          </cell>
          <cell r="CC63">
            <v>95</v>
          </cell>
          <cell r="CD63">
            <v>4745</v>
          </cell>
          <cell r="CE63">
            <v>1211</v>
          </cell>
          <cell r="CF63">
            <v>39</v>
          </cell>
          <cell r="CG63">
            <v>339</v>
          </cell>
          <cell r="CH63">
            <v>6333</v>
          </cell>
          <cell r="CI63">
            <v>22164</v>
          </cell>
          <cell r="CJ63">
            <v>16395</v>
          </cell>
          <cell r="CK63">
            <v>2198</v>
          </cell>
          <cell r="CL63">
            <v>14197</v>
          </cell>
          <cell r="CM63">
            <v>38560</v>
          </cell>
        </row>
        <row r="64">
          <cell r="B64">
            <v>32568</v>
          </cell>
          <cell r="C64">
            <v>2043</v>
          </cell>
          <cell r="D64">
            <v>265</v>
          </cell>
          <cell r="E64">
            <v>1068</v>
          </cell>
          <cell r="F64">
            <v>81</v>
          </cell>
          <cell r="G64">
            <v>33</v>
          </cell>
          <cell r="H64">
            <v>3490</v>
          </cell>
          <cell r="I64">
            <v>36059</v>
          </cell>
          <cell r="J64">
            <v>803</v>
          </cell>
          <cell r="K64">
            <v>1135</v>
          </cell>
          <cell r="L64">
            <v>1938</v>
          </cell>
          <cell r="M64">
            <v>37997</v>
          </cell>
          <cell r="N64">
            <v>5186</v>
          </cell>
          <cell r="O64">
            <v>6261</v>
          </cell>
          <cell r="P64">
            <v>826</v>
          </cell>
          <cell r="Q64">
            <v>559</v>
          </cell>
          <cell r="R64">
            <v>12832</v>
          </cell>
          <cell r="S64">
            <v>12832</v>
          </cell>
          <cell r="T64">
            <v>4673</v>
          </cell>
          <cell r="U64">
            <v>98</v>
          </cell>
          <cell r="V64">
            <v>4771</v>
          </cell>
          <cell r="W64">
            <v>1197</v>
          </cell>
          <cell r="X64">
            <v>40</v>
          </cell>
          <cell r="Y64">
            <v>428</v>
          </cell>
          <cell r="Z64">
            <v>6437</v>
          </cell>
          <cell r="AA64">
            <v>19269</v>
          </cell>
          <cell r="AB64">
            <v>18728</v>
          </cell>
          <cell r="AC64">
            <v>4354</v>
          </cell>
          <cell r="AD64">
            <v>14374</v>
          </cell>
          <cell r="AE64">
            <v>37997</v>
          </cell>
          <cell r="AF64">
            <v>32858</v>
          </cell>
          <cell r="AG64">
            <v>2048</v>
          </cell>
          <cell r="AH64">
            <v>293</v>
          </cell>
          <cell r="AI64">
            <v>1058</v>
          </cell>
          <cell r="AJ64">
            <v>81</v>
          </cell>
          <cell r="AK64">
            <v>33</v>
          </cell>
          <cell r="AL64">
            <v>3514</v>
          </cell>
          <cell r="AM64">
            <v>36371</v>
          </cell>
          <cell r="AN64">
            <v>817</v>
          </cell>
          <cell r="AO64">
            <v>1202</v>
          </cell>
          <cell r="AP64">
            <v>2019</v>
          </cell>
          <cell r="AQ64">
            <v>38390</v>
          </cell>
          <cell r="AR64">
            <v>5228</v>
          </cell>
          <cell r="AS64">
            <v>6539</v>
          </cell>
          <cell r="AT64">
            <v>591</v>
          </cell>
          <cell r="AU64">
            <v>570</v>
          </cell>
          <cell r="AV64">
            <v>12928</v>
          </cell>
          <cell r="AW64">
            <v>12928</v>
          </cell>
          <cell r="AX64">
            <v>4659</v>
          </cell>
          <cell r="AY64">
            <v>102</v>
          </cell>
          <cell r="AZ64">
            <v>4761</v>
          </cell>
          <cell r="BA64">
            <v>1197</v>
          </cell>
          <cell r="BB64">
            <v>43</v>
          </cell>
          <cell r="BC64">
            <v>456</v>
          </cell>
          <cell r="BD64">
            <v>6457</v>
          </cell>
          <cell r="BE64">
            <v>19385</v>
          </cell>
          <cell r="BF64">
            <v>19005</v>
          </cell>
          <cell r="BG64">
            <v>4628</v>
          </cell>
          <cell r="BH64">
            <v>14377</v>
          </cell>
          <cell r="BI64">
            <v>38390</v>
          </cell>
          <cell r="BJ64">
            <v>35071</v>
          </cell>
          <cell r="BK64">
            <v>2060</v>
          </cell>
          <cell r="BL64">
            <v>286</v>
          </cell>
          <cell r="BM64">
            <v>1344</v>
          </cell>
          <cell r="BN64">
            <v>81</v>
          </cell>
          <cell r="BO64">
            <v>31</v>
          </cell>
          <cell r="BP64">
            <v>3802</v>
          </cell>
          <cell r="BQ64">
            <v>38873</v>
          </cell>
          <cell r="BR64">
            <v>820</v>
          </cell>
          <cell r="BS64">
            <v>1128</v>
          </cell>
          <cell r="BT64">
            <v>1948</v>
          </cell>
          <cell r="BU64">
            <v>40821</v>
          </cell>
          <cell r="BV64">
            <v>5143</v>
          </cell>
          <cell r="BW64">
            <v>3456</v>
          </cell>
          <cell r="BX64">
            <v>-9</v>
          </cell>
          <cell r="BY64">
            <v>542</v>
          </cell>
          <cell r="BZ64">
            <v>9132</v>
          </cell>
          <cell r="CA64">
            <v>9132</v>
          </cell>
          <cell r="CB64">
            <v>5228</v>
          </cell>
          <cell r="CC64">
            <v>101</v>
          </cell>
          <cell r="CD64">
            <v>5329</v>
          </cell>
          <cell r="CE64">
            <v>1197</v>
          </cell>
          <cell r="CF64">
            <v>51</v>
          </cell>
          <cell r="CG64">
            <v>452</v>
          </cell>
          <cell r="CH64">
            <v>7030</v>
          </cell>
          <cell r="CI64">
            <v>16161</v>
          </cell>
          <cell r="CJ64">
            <v>24659</v>
          </cell>
          <cell r="CK64">
            <v>10282</v>
          </cell>
          <cell r="CL64">
            <v>14377</v>
          </cell>
          <cell r="CM64">
            <v>40821</v>
          </cell>
        </row>
        <row r="65">
          <cell r="B65">
            <v>33386</v>
          </cell>
          <cell r="C65">
            <v>1986</v>
          </cell>
          <cell r="D65">
            <v>286</v>
          </cell>
          <cell r="E65">
            <v>1142</v>
          </cell>
          <cell r="F65">
            <v>82</v>
          </cell>
          <cell r="G65">
            <v>33</v>
          </cell>
          <cell r="H65">
            <v>3529</v>
          </cell>
          <cell r="I65">
            <v>36915</v>
          </cell>
          <cell r="J65">
            <v>805</v>
          </cell>
          <cell r="K65">
            <v>1106</v>
          </cell>
          <cell r="L65">
            <v>1911</v>
          </cell>
          <cell r="M65">
            <v>38826</v>
          </cell>
          <cell r="N65">
            <v>5193</v>
          </cell>
          <cell r="O65">
            <v>6371</v>
          </cell>
          <cell r="P65">
            <v>1186</v>
          </cell>
          <cell r="Q65">
            <v>586</v>
          </cell>
          <cell r="R65">
            <v>13336</v>
          </cell>
          <cell r="S65">
            <v>13336</v>
          </cell>
          <cell r="T65">
            <v>4993</v>
          </cell>
          <cell r="U65">
            <v>103</v>
          </cell>
          <cell r="V65">
            <v>5096</v>
          </cell>
          <cell r="W65">
            <v>1184</v>
          </cell>
          <cell r="X65">
            <v>38</v>
          </cell>
          <cell r="Y65">
            <v>435</v>
          </cell>
          <cell r="Z65">
            <v>6754</v>
          </cell>
          <cell r="AA65">
            <v>20089</v>
          </cell>
          <cell r="AB65">
            <v>18736</v>
          </cell>
          <cell r="AC65">
            <v>4209</v>
          </cell>
          <cell r="AD65">
            <v>14527</v>
          </cell>
          <cell r="AE65">
            <v>38826</v>
          </cell>
          <cell r="AF65">
            <v>33181</v>
          </cell>
          <cell r="AG65">
            <v>1954</v>
          </cell>
          <cell r="AH65">
            <v>252</v>
          </cell>
          <cell r="AI65">
            <v>1179</v>
          </cell>
          <cell r="AJ65">
            <v>82</v>
          </cell>
          <cell r="AK65">
            <v>34</v>
          </cell>
          <cell r="AL65">
            <v>3501</v>
          </cell>
          <cell r="AM65">
            <v>36683</v>
          </cell>
          <cell r="AN65">
            <v>796</v>
          </cell>
          <cell r="AO65">
            <v>1020</v>
          </cell>
          <cell r="AP65">
            <v>1817</v>
          </cell>
          <cell r="AQ65">
            <v>38499</v>
          </cell>
          <cell r="AR65">
            <v>5008</v>
          </cell>
          <cell r="AS65">
            <v>6183</v>
          </cell>
          <cell r="AT65">
            <v>1628</v>
          </cell>
          <cell r="AU65">
            <v>547</v>
          </cell>
          <cell r="AV65">
            <v>13365</v>
          </cell>
          <cell r="AW65">
            <v>13365</v>
          </cell>
          <cell r="AX65">
            <v>5088</v>
          </cell>
          <cell r="AY65">
            <v>93</v>
          </cell>
          <cell r="AZ65">
            <v>5181</v>
          </cell>
          <cell r="BA65">
            <v>1185</v>
          </cell>
          <cell r="BB65">
            <v>37</v>
          </cell>
          <cell r="BC65">
            <v>419</v>
          </cell>
          <cell r="BD65">
            <v>6823</v>
          </cell>
          <cell r="BE65">
            <v>20188</v>
          </cell>
          <cell r="BF65">
            <v>18311</v>
          </cell>
          <cell r="BG65">
            <v>3780</v>
          </cell>
          <cell r="BH65">
            <v>14531</v>
          </cell>
          <cell r="BI65">
            <v>38499</v>
          </cell>
          <cell r="BJ65">
            <v>31377</v>
          </cell>
          <cell r="BK65">
            <v>1960</v>
          </cell>
          <cell r="BL65">
            <v>179</v>
          </cell>
          <cell r="BM65">
            <v>1281</v>
          </cell>
          <cell r="BN65">
            <v>82</v>
          </cell>
          <cell r="BO65">
            <v>31</v>
          </cell>
          <cell r="BP65">
            <v>3534</v>
          </cell>
          <cell r="BQ65">
            <v>34911</v>
          </cell>
          <cell r="BR65">
            <v>805</v>
          </cell>
          <cell r="BS65">
            <v>1065</v>
          </cell>
          <cell r="BT65">
            <v>1870</v>
          </cell>
          <cell r="BU65">
            <v>36780</v>
          </cell>
          <cell r="BV65">
            <v>4999</v>
          </cell>
          <cell r="BW65">
            <v>8696</v>
          </cell>
          <cell r="BX65">
            <v>1890</v>
          </cell>
          <cell r="BY65">
            <v>540</v>
          </cell>
          <cell r="BZ65">
            <v>16125</v>
          </cell>
          <cell r="CA65">
            <v>16125</v>
          </cell>
          <cell r="CB65">
            <v>4653</v>
          </cell>
          <cell r="CC65">
            <v>91</v>
          </cell>
          <cell r="CD65">
            <v>4744</v>
          </cell>
          <cell r="CE65">
            <v>1185</v>
          </cell>
          <cell r="CF65">
            <v>32</v>
          </cell>
          <cell r="CG65">
            <v>394</v>
          </cell>
          <cell r="CH65">
            <v>6355</v>
          </cell>
          <cell r="CI65">
            <v>22481</v>
          </cell>
          <cell r="CJ65">
            <v>14300</v>
          </cell>
          <cell r="CK65">
            <v>-231</v>
          </cell>
          <cell r="CL65">
            <v>14531</v>
          </cell>
          <cell r="CM65">
            <v>36780</v>
          </cell>
        </row>
        <row r="66">
          <cell r="B66">
            <v>34512</v>
          </cell>
          <cell r="C66">
            <v>2013</v>
          </cell>
          <cell r="D66">
            <v>332</v>
          </cell>
          <cell r="E66">
            <v>1165</v>
          </cell>
          <cell r="F66">
            <v>83</v>
          </cell>
          <cell r="G66">
            <v>31</v>
          </cell>
          <cell r="H66">
            <v>3624</v>
          </cell>
          <cell r="I66">
            <v>38135</v>
          </cell>
          <cell r="J66">
            <v>765</v>
          </cell>
          <cell r="K66">
            <v>1075</v>
          </cell>
          <cell r="L66">
            <v>1841</v>
          </cell>
          <cell r="M66">
            <v>39976</v>
          </cell>
          <cell r="N66">
            <v>5346</v>
          </cell>
          <cell r="O66">
            <v>6290</v>
          </cell>
          <cell r="P66">
            <v>1612</v>
          </cell>
          <cell r="Q66">
            <v>629</v>
          </cell>
          <cell r="R66">
            <v>13877</v>
          </cell>
          <cell r="S66">
            <v>13877</v>
          </cell>
          <cell r="T66">
            <v>5277</v>
          </cell>
          <cell r="U66">
            <v>109</v>
          </cell>
          <cell r="V66">
            <v>5386</v>
          </cell>
          <cell r="W66">
            <v>1173</v>
          </cell>
          <cell r="X66">
            <v>36</v>
          </cell>
          <cell r="Y66">
            <v>466</v>
          </cell>
          <cell r="Z66">
            <v>7061</v>
          </cell>
          <cell r="AA66">
            <v>20938</v>
          </cell>
          <cell r="AB66">
            <v>19038</v>
          </cell>
          <cell r="AC66">
            <v>4381</v>
          </cell>
          <cell r="AD66">
            <v>14658</v>
          </cell>
          <cell r="AE66">
            <v>39976</v>
          </cell>
          <cell r="AF66">
            <v>34143</v>
          </cell>
          <cell r="AG66">
            <v>1991</v>
          </cell>
          <cell r="AH66">
            <v>330</v>
          </cell>
          <cell r="AI66">
            <v>1284</v>
          </cell>
          <cell r="AJ66">
            <v>83</v>
          </cell>
          <cell r="AK66">
            <v>28</v>
          </cell>
          <cell r="AL66">
            <v>3717</v>
          </cell>
          <cell r="AM66">
            <v>37860</v>
          </cell>
          <cell r="AN66">
            <v>778</v>
          </cell>
          <cell r="AO66">
            <v>1049</v>
          </cell>
          <cell r="AP66">
            <v>1827</v>
          </cell>
          <cell r="AQ66">
            <v>39687</v>
          </cell>
          <cell r="AR66">
            <v>5432</v>
          </cell>
          <cell r="AS66">
            <v>6324</v>
          </cell>
          <cell r="AT66">
            <v>1605</v>
          </cell>
          <cell r="AU66">
            <v>688</v>
          </cell>
          <cell r="AV66">
            <v>14049</v>
          </cell>
          <cell r="AW66">
            <v>14049</v>
          </cell>
          <cell r="AX66">
            <v>5259</v>
          </cell>
          <cell r="AY66">
            <v>115</v>
          </cell>
          <cell r="AZ66">
            <v>5374</v>
          </cell>
          <cell r="BA66">
            <v>1174</v>
          </cell>
          <cell r="BB66">
            <v>33</v>
          </cell>
          <cell r="BC66">
            <v>453</v>
          </cell>
          <cell r="BD66">
            <v>7033</v>
          </cell>
          <cell r="BE66">
            <v>21082</v>
          </cell>
          <cell r="BF66">
            <v>18605</v>
          </cell>
          <cell r="BG66">
            <v>3946</v>
          </cell>
          <cell r="BH66">
            <v>14659</v>
          </cell>
          <cell r="BI66">
            <v>39687</v>
          </cell>
          <cell r="BJ66">
            <v>32796</v>
          </cell>
          <cell r="BK66">
            <v>1979</v>
          </cell>
          <cell r="BL66">
            <v>486</v>
          </cell>
          <cell r="BM66">
            <v>679</v>
          </cell>
          <cell r="BN66">
            <v>83</v>
          </cell>
          <cell r="BO66">
            <v>32</v>
          </cell>
          <cell r="BP66">
            <v>3260</v>
          </cell>
          <cell r="BQ66">
            <v>36055</v>
          </cell>
          <cell r="BR66">
            <v>772</v>
          </cell>
          <cell r="BS66">
            <v>1113</v>
          </cell>
          <cell r="BT66">
            <v>1886</v>
          </cell>
          <cell r="BU66">
            <v>37941</v>
          </cell>
          <cell r="BV66">
            <v>5541</v>
          </cell>
          <cell r="BW66">
            <v>3494</v>
          </cell>
          <cell r="BX66">
            <v>1566</v>
          </cell>
          <cell r="BY66">
            <v>696</v>
          </cell>
          <cell r="BZ66">
            <v>11298</v>
          </cell>
          <cell r="CA66">
            <v>11298</v>
          </cell>
          <cell r="CB66">
            <v>4741</v>
          </cell>
          <cell r="CC66">
            <v>120</v>
          </cell>
          <cell r="CD66">
            <v>4861</v>
          </cell>
          <cell r="CE66">
            <v>1174</v>
          </cell>
          <cell r="CF66">
            <v>33</v>
          </cell>
          <cell r="CG66">
            <v>556</v>
          </cell>
          <cell r="CH66">
            <v>6623</v>
          </cell>
          <cell r="CI66">
            <v>17921</v>
          </cell>
          <cell r="CJ66">
            <v>20020</v>
          </cell>
          <cell r="CK66">
            <v>5361</v>
          </cell>
          <cell r="CL66">
            <v>14659</v>
          </cell>
          <cell r="CM66">
            <v>37941</v>
          </cell>
        </row>
        <row r="67">
          <cell r="B67">
            <v>36032</v>
          </cell>
          <cell r="C67">
            <v>2093</v>
          </cell>
          <cell r="D67">
            <v>388</v>
          </cell>
          <cell r="E67">
            <v>1125</v>
          </cell>
          <cell r="F67">
            <v>82</v>
          </cell>
          <cell r="G67">
            <v>28</v>
          </cell>
          <cell r="H67">
            <v>3716</v>
          </cell>
          <cell r="I67">
            <v>39748</v>
          </cell>
          <cell r="J67">
            <v>722</v>
          </cell>
          <cell r="K67">
            <v>1051</v>
          </cell>
          <cell r="L67">
            <v>1773</v>
          </cell>
          <cell r="M67">
            <v>41521</v>
          </cell>
          <cell r="N67">
            <v>5507</v>
          </cell>
          <cell r="O67">
            <v>6383</v>
          </cell>
          <cell r="P67">
            <v>1779</v>
          </cell>
          <cell r="Q67">
            <v>642</v>
          </cell>
          <cell r="R67">
            <v>14310</v>
          </cell>
          <cell r="S67">
            <v>14310</v>
          </cell>
          <cell r="T67">
            <v>5568</v>
          </cell>
          <cell r="U67">
            <v>119</v>
          </cell>
          <cell r="V67">
            <v>5687</v>
          </cell>
          <cell r="W67">
            <v>1162</v>
          </cell>
          <cell r="X67">
            <v>39</v>
          </cell>
          <cell r="Y67">
            <v>532</v>
          </cell>
          <cell r="Z67">
            <v>7420</v>
          </cell>
          <cell r="AA67">
            <v>21730</v>
          </cell>
          <cell r="AB67">
            <v>19791</v>
          </cell>
          <cell r="AC67">
            <v>5013</v>
          </cell>
          <cell r="AD67">
            <v>14778</v>
          </cell>
          <cell r="AE67">
            <v>41521</v>
          </cell>
          <cell r="AF67">
            <v>36200</v>
          </cell>
          <cell r="AG67">
            <v>2135</v>
          </cell>
          <cell r="AH67">
            <v>396</v>
          </cell>
          <cell r="AI67">
            <v>978</v>
          </cell>
          <cell r="AJ67">
            <v>82</v>
          </cell>
          <cell r="AK67">
            <v>31</v>
          </cell>
          <cell r="AL67">
            <v>3622</v>
          </cell>
          <cell r="AM67">
            <v>39822</v>
          </cell>
          <cell r="AN67">
            <v>710</v>
          </cell>
          <cell r="AO67">
            <v>1142</v>
          </cell>
          <cell r="AP67">
            <v>1852</v>
          </cell>
          <cell r="AQ67">
            <v>41675</v>
          </cell>
          <cell r="AR67">
            <v>5590</v>
          </cell>
          <cell r="AS67">
            <v>6471</v>
          </cell>
          <cell r="AT67">
            <v>1548</v>
          </cell>
          <cell r="AU67">
            <v>621</v>
          </cell>
          <cell r="AV67">
            <v>14230</v>
          </cell>
          <cell r="AW67">
            <v>14230</v>
          </cell>
          <cell r="AX67">
            <v>5475</v>
          </cell>
          <cell r="AY67">
            <v>114</v>
          </cell>
          <cell r="AZ67">
            <v>5589</v>
          </cell>
          <cell r="BA67">
            <v>1162</v>
          </cell>
          <cell r="BB67">
            <v>39</v>
          </cell>
          <cell r="BC67">
            <v>704</v>
          </cell>
          <cell r="BD67">
            <v>7495</v>
          </cell>
          <cell r="BE67">
            <v>21724</v>
          </cell>
          <cell r="BF67">
            <v>19950</v>
          </cell>
          <cell r="BG67">
            <v>5180</v>
          </cell>
          <cell r="BH67">
            <v>14770</v>
          </cell>
          <cell r="BI67">
            <v>41675</v>
          </cell>
          <cell r="BJ67">
            <v>37068</v>
          </cell>
          <cell r="BK67">
            <v>2132</v>
          </cell>
          <cell r="BL67">
            <v>317</v>
          </cell>
          <cell r="BM67">
            <v>978</v>
          </cell>
          <cell r="BN67">
            <v>82</v>
          </cell>
          <cell r="BO67">
            <v>31</v>
          </cell>
          <cell r="BP67">
            <v>3541</v>
          </cell>
          <cell r="BQ67">
            <v>40609</v>
          </cell>
          <cell r="BR67">
            <v>705</v>
          </cell>
          <cell r="BS67">
            <v>1077</v>
          </cell>
          <cell r="BT67">
            <v>1782</v>
          </cell>
          <cell r="BU67">
            <v>42391</v>
          </cell>
          <cell r="BV67">
            <v>5583</v>
          </cell>
          <cell r="BW67">
            <v>9899</v>
          </cell>
          <cell r="BX67">
            <v>1967</v>
          </cell>
          <cell r="BY67">
            <v>653</v>
          </cell>
          <cell r="BZ67">
            <v>18102</v>
          </cell>
          <cell r="CA67">
            <v>18102</v>
          </cell>
          <cell r="CB67">
            <v>5836</v>
          </cell>
          <cell r="CC67">
            <v>113</v>
          </cell>
          <cell r="CD67">
            <v>5949</v>
          </cell>
          <cell r="CE67">
            <v>1162</v>
          </cell>
          <cell r="CF67">
            <v>38</v>
          </cell>
          <cell r="CG67">
            <v>598</v>
          </cell>
          <cell r="CH67">
            <v>7746</v>
          </cell>
          <cell r="CI67">
            <v>25848</v>
          </cell>
          <cell r="CJ67">
            <v>16542</v>
          </cell>
          <cell r="CK67">
            <v>1772</v>
          </cell>
          <cell r="CL67">
            <v>14770</v>
          </cell>
          <cell r="CM67">
            <v>42391</v>
          </cell>
        </row>
        <row r="68">
          <cell r="B68">
            <v>37256</v>
          </cell>
          <cell r="C68">
            <v>2147</v>
          </cell>
          <cell r="D68">
            <v>422</v>
          </cell>
          <cell r="E68">
            <v>1159</v>
          </cell>
          <cell r="F68">
            <v>83</v>
          </cell>
          <cell r="G68">
            <v>27</v>
          </cell>
          <cell r="H68">
            <v>3840</v>
          </cell>
          <cell r="I68">
            <v>41095</v>
          </cell>
          <cell r="J68">
            <v>691</v>
          </cell>
          <cell r="K68">
            <v>981</v>
          </cell>
          <cell r="L68">
            <v>1671</v>
          </cell>
          <cell r="M68">
            <v>42767</v>
          </cell>
          <cell r="N68">
            <v>5528</v>
          </cell>
          <cell r="O68">
            <v>6706</v>
          </cell>
          <cell r="P68">
            <v>1930</v>
          </cell>
          <cell r="Q68">
            <v>629</v>
          </cell>
          <cell r="R68">
            <v>14793</v>
          </cell>
          <cell r="S68">
            <v>14793</v>
          </cell>
          <cell r="T68">
            <v>5660</v>
          </cell>
          <cell r="U68">
            <v>124</v>
          </cell>
          <cell r="V68">
            <v>5783</v>
          </cell>
          <cell r="W68">
            <v>1151</v>
          </cell>
          <cell r="X68">
            <v>41</v>
          </cell>
          <cell r="Y68">
            <v>609</v>
          </cell>
          <cell r="Z68">
            <v>7585</v>
          </cell>
          <cell r="AA68">
            <v>22378</v>
          </cell>
          <cell r="AB68">
            <v>20389</v>
          </cell>
          <cell r="AC68">
            <v>5486</v>
          </cell>
          <cell r="AD68">
            <v>14902</v>
          </cell>
          <cell r="AE68">
            <v>42767</v>
          </cell>
          <cell r="AF68">
            <v>37782</v>
          </cell>
          <cell r="AG68">
            <v>2157</v>
          </cell>
          <cell r="AH68">
            <v>441</v>
          </cell>
          <cell r="AI68">
            <v>1162</v>
          </cell>
          <cell r="AJ68">
            <v>83</v>
          </cell>
          <cell r="AK68">
            <v>26</v>
          </cell>
          <cell r="AL68">
            <v>3868</v>
          </cell>
          <cell r="AM68">
            <v>41651</v>
          </cell>
          <cell r="AN68">
            <v>677</v>
          </cell>
          <cell r="AO68">
            <v>951</v>
          </cell>
          <cell r="AP68">
            <v>1629</v>
          </cell>
          <cell r="AQ68">
            <v>43279</v>
          </cell>
          <cell r="AR68">
            <v>5495</v>
          </cell>
          <cell r="AS68">
            <v>6344</v>
          </cell>
          <cell r="AT68">
            <v>1991</v>
          </cell>
          <cell r="AU68">
            <v>618</v>
          </cell>
          <cell r="AV68">
            <v>14448</v>
          </cell>
          <cell r="AW68">
            <v>14448</v>
          </cell>
          <cell r="AX68">
            <v>5721</v>
          </cell>
          <cell r="AY68">
            <v>129</v>
          </cell>
          <cell r="AZ68">
            <v>5850</v>
          </cell>
          <cell r="BA68">
            <v>1151</v>
          </cell>
          <cell r="BB68">
            <v>44</v>
          </cell>
          <cell r="BC68">
            <v>644</v>
          </cell>
          <cell r="BD68">
            <v>7689</v>
          </cell>
          <cell r="BE68">
            <v>22137</v>
          </cell>
          <cell r="BF68">
            <v>21143</v>
          </cell>
          <cell r="BG68">
            <v>6245</v>
          </cell>
          <cell r="BH68">
            <v>14898</v>
          </cell>
          <cell r="BI68">
            <v>43279</v>
          </cell>
          <cell r="BJ68">
            <v>40521</v>
          </cell>
          <cell r="BK68">
            <v>2169</v>
          </cell>
          <cell r="BL68">
            <v>445</v>
          </cell>
          <cell r="BM68">
            <v>1162</v>
          </cell>
          <cell r="BN68">
            <v>83</v>
          </cell>
          <cell r="BO68">
            <v>24</v>
          </cell>
          <cell r="BP68">
            <v>3882</v>
          </cell>
          <cell r="BQ68">
            <v>44403</v>
          </cell>
          <cell r="BR68">
            <v>679</v>
          </cell>
          <cell r="BS68">
            <v>888</v>
          </cell>
          <cell r="BT68">
            <v>1567</v>
          </cell>
          <cell r="BU68">
            <v>45970</v>
          </cell>
          <cell r="BV68">
            <v>5489</v>
          </cell>
          <cell r="BW68">
            <v>3042</v>
          </cell>
          <cell r="BX68">
            <v>1352</v>
          </cell>
          <cell r="BY68">
            <v>587</v>
          </cell>
          <cell r="BZ68">
            <v>10470</v>
          </cell>
          <cell r="CA68">
            <v>10470</v>
          </cell>
          <cell r="CB68">
            <v>6404</v>
          </cell>
          <cell r="CC68">
            <v>129</v>
          </cell>
          <cell r="CD68">
            <v>6533</v>
          </cell>
          <cell r="CE68">
            <v>1151</v>
          </cell>
          <cell r="CF68">
            <v>52</v>
          </cell>
          <cell r="CG68">
            <v>633</v>
          </cell>
          <cell r="CH68">
            <v>8369</v>
          </cell>
          <cell r="CI68">
            <v>18839</v>
          </cell>
          <cell r="CJ68">
            <v>27131</v>
          </cell>
          <cell r="CK68">
            <v>12233</v>
          </cell>
          <cell r="CL68">
            <v>14898</v>
          </cell>
          <cell r="CM68">
            <v>45970</v>
          </cell>
        </row>
        <row r="69">
          <cell r="B69">
            <v>37918</v>
          </cell>
          <cell r="C69">
            <v>2178</v>
          </cell>
          <cell r="D69">
            <v>410</v>
          </cell>
          <cell r="E69">
            <v>1267</v>
          </cell>
          <cell r="F69">
            <v>86</v>
          </cell>
          <cell r="G69">
            <v>32</v>
          </cell>
          <cell r="H69">
            <v>3973</v>
          </cell>
          <cell r="I69">
            <v>41891</v>
          </cell>
          <cell r="J69">
            <v>669</v>
          </cell>
          <cell r="K69">
            <v>875</v>
          </cell>
          <cell r="L69">
            <v>1544</v>
          </cell>
          <cell r="M69">
            <v>43434</v>
          </cell>
          <cell r="N69">
            <v>5441</v>
          </cell>
          <cell r="O69">
            <v>6887</v>
          </cell>
          <cell r="P69">
            <v>2031</v>
          </cell>
          <cell r="Q69">
            <v>600</v>
          </cell>
          <cell r="R69">
            <v>14959</v>
          </cell>
          <cell r="S69">
            <v>14959</v>
          </cell>
          <cell r="T69">
            <v>5557</v>
          </cell>
          <cell r="U69">
            <v>120</v>
          </cell>
          <cell r="V69">
            <v>5677</v>
          </cell>
          <cell r="W69">
            <v>1142</v>
          </cell>
          <cell r="X69">
            <v>46</v>
          </cell>
          <cell r="Y69">
            <v>656</v>
          </cell>
          <cell r="Z69">
            <v>7521</v>
          </cell>
          <cell r="AA69">
            <v>22479</v>
          </cell>
          <cell r="AB69">
            <v>20955</v>
          </cell>
          <cell r="AC69">
            <v>5941</v>
          </cell>
          <cell r="AD69">
            <v>15014</v>
          </cell>
          <cell r="AE69">
            <v>43434</v>
          </cell>
          <cell r="AF69">
            <v>37557</v>
          </cell>
          <cell r="AG69">
            <v>2173</v>
          </cell>
          <cell r="AH69">
            <v>395</v>
          </cell>
          <cell r="AI69">
            <v>1310</v>
          </cell>
          <cell r="AJ69">
            <v>86</v>
          </cell>
          <cell r="AK69">
            <v>26</v>
          </cell>
          <cell r="AL69">
            <v>3990</v>
          </cell>
          <cell r="AM69">
            <v>41547</v>
          </cell>
          <cell r="AN69">
            <v>691</v>
          </cell>
          <cell r="AO69">
            <v>860</v>
          </cell>
          <cell r="AP69">
            <v>1550</v>
          </cell>
          <cell r="AQ69">
            <v>43097</v>
          </cell>
          <cell r="AR69">
            <v>5448</v>
          </cell>
          <cell r="AS69">
            <v>7322</v>
          </cell>
          <cell r="AT69">
            <v>2174</v>
          </cell>
          <cell r="AU69">
            <v>624</v>
          </cell>
          <cell r="AV69">
            <v>15567</v>
          </cell>
          <cell r="AW69">
            <v>15567</v>
          </cell>
          <cell r="AX69">
            <v>5920</v>
          </cell>
          <cell r="AY69">
            <v>120</v>
          </cell>
          <cell r="AZ69">
            <v>6040</v>
          </cell>
          <cell r="BA69">
            <v>1142</v>
          </cell>
          <cell r="BB69">
            <v>48</v>
          </cell>
          <cell r="BC69">
            <v>640</v>
          </cell>
          <cell r="BD69">
            <v>7870</v>
          </cell>
          <cell r="BE69">
            <v>23437</v>
          </cell>
          <cell r="BF69">
            <v>19660</v>
          </cell>
          <cell r="BG69">
            <v>4643</v>
          </cell>
          <cell r="BH69">
            <v>15017</v>
          </cell>
          <cell r="BI69">
            <v>43097</v>
          </cell>
          <cell r="BJ69">
            <v>35359</v>
          </cell>
          <cell r="BK69">
            <v>2180</v>
          </cell>
          <cell r="BL69">
            <v>288</v>
          </cell>
          <cell r="BM69">
            <v>1310</v>
          </cell>
          <cell r="BN69">
            <v>86</v>
          </cell>
          <cell r="BO69">
            <v>24</v>
          </cell>
          <cell r="BP69">
            <v>3888</v>
          </cell>
          <cell r="BQ69">
            <v>39247</v>
          </cell>
          <cell r="BR69">
            <v>699</v>
          </cell>
          <cell r="BS69">
            <v>906</v>
          </cell>
          <cell r="BT69">
            <v>1605</v>
          </cell>
          <cell r="BU69">
            <v>40852</v>
          </cell>
          <cell r="BV69">
            <v>5450</v>
          </cell>
          <cell r="BW69">
            <v>10384</v>
          </cell>
          <cell r="BX69">
            <v>2437</v>
          </cell>
          <cell r="BY69">
            <v>614</v>
          </cell>
          <cell r="BZ69">
            <v>18885</v>
          </cell>
          <cell r="CA69">
            <v>18885</v>
          </cell>
          <cell r="CB69">
            <v>5381</v>
          </cell>
          <cell r="CC69">
            <v>116</v>
          </cell>
          <cell r="CD69">
            <v>5497</v>
          </cell>
          <cell r="CE69">
            <v>1142</v>
          </cell>
          <cell r="CF69">
            <v>41</v>
          </cell>
          <cell r="CG69">
            <v>600</v>
          </cell>
          <cell r="CH69">
            <v>7280</v>
          </cell>
          <cell r="CI69">
            <v>26165</v>
          </cell>
          <cell r="CJ69">
            <v>14687</v>
          </cell>
          <cell r="CK69">
            <v>-330</v>
          </cell>
          <cell r="CL69">
            <v>15017</v>
          </cell>
          <cell r="CM69">
            <v>40852</v>
          </cell>
        </row>
        <row r="70">
          <cell r="B70">
            <v>38498</v>
          </cell>
          <cell r="C70">
            <v>2219</v>
          </cell>
          <cell r="D70">
            <v>376</v>
          </cell>
          <cell r="E70">
            <v>1351</v>
          </cell>
          <cell r="F70">
            <v>92</v>
          </cell>
          <cell r="G70">
            <v>37</v>
          </cell>
          <cell r="H70">
            <v>4076</v>
          </cell>
          <cell r="I70">
            <v>42574</v>
          </cell>
          <cell r="J70">
            <v>649</v>
          </cell>
          <cell r="K70">
            <v>810</v>
          </cell>
          <cell r="L70">
            <v>1459</v>
          </cell>
          <cell r="M70">
            <v>44033</v>
          </cell>
          <cell r="N70">
            <v>5399</v>
          </cell>
          <cell r="O70">
            <v>7057</v>
          </cell>
          <cell r="P70">
            <v>1769</v>
          </cell>
          <cell r="Q70">
            <v>578</v>
          </cell>
          <cell r="R70">
            <v>14803</v>
          </cell>
          <cell r="S70">
            <v>14803</v>
          </cell>
          <cell r="T70">
            <v>5496</v>
          </cell>
          <cell r="U70">
            <v>113</v>
          </cell>
          <cell r="V70">
            <v>5609</v>
          </cell>
          <cell r="W70">
            <v>1135</v>
          </cell>
          <cell r="X70">
            <v>55</v>
          </cell>
          <cell r="Y70">
            <v>656</v>
          </cell>
          <cell r="Z70">
            <v>7455</v>
          </cell>
          <cell r="AA70">
            <v>22258</v>
          </cell>
          <cell r="AB70">
            <v>21775</v>
          </cell>
          <cell r="AC70">
            <v>6681</v>
          </cell>
          <cell r="AD70">
            <v>15094</v>
          </cell>
          <cell r="AE70">
            <v>44033</v>
          </cell>
          <cell r="AF70">
            <v>38374</v>
          </cell>
          <cell r="AG70">
            <v>2190</v>
          </cell>
          <cell r="AH70">
            <v>386</v>
          </cell>
          <cell r="AI70">
            <v>1373</v>
          </cell>
          <cell r="AJ70">
            <v>91</v>
          </cell>
          <cell r="AK70">
            <v>45</v>
          </cell>
          <cell r="AL70">
            <v>4086</v>
          </cell>
          <cell r="AM70">
            <v>42460</v>
          </cell>
          <cell r="AN70">
            <v>639</v>
          </cell>
          <cell r="AO70">
            <v>816</v>
          </cell>
          <cell r="AP70">
            <v>1455</v>
          </cell>
          <cell r="AQ70">
            <v>43915</v>
          </cell>
          <cell r="AR70">
            <v>5382</v>
          </cell>
          <cell r="AS70">
            <v>7097</v>
          </cell>
          <cell r="AT70">
            <v>1784</v>
          </cell>
          <cell r="AU70">
            <v>559</v>
          </cell>
          <cell r="AV70">
            <v>14822</v>
          </cell>
          <cell r="AW70">
            <v>14822</v>
          </cell>
          <cell r="AX70">
            <v>4908</v>
          </cell>
          <cell r="AY70">
            <v>113</v>
          </cell>
          <cell r="AZ70">
            <v>5021</v>
          </cell>
          <cell r="BA70">
            <v>1133</v>
          </cell>
          <cell r="BB70">
            <v>43</v>
          </cell>
          <cell r="BC70">
            <v>665</v>
          </cell>
          <cell r="BD70">
            <v>6862</v>
          </cell>
          <cell r="BE70">
            <v>21685</v>
          </cell>
          <cell r="BF70">
            <v>22231</v>
          </cell>
          <cell r="BG70">
            <v>7104</v>
          </cell>
          <cell r="BH70">
            <v>15127</v>
          </cell>
          <cell r="BI70">
            <v>43915</v>
          </cell>
          <cell r="BJ70">
            <v>36928</v>
          </cell>
          <cell r="BK70">
            <v>2176</v>
          </cell>
          <cell r="BL70">
            <v>544</v>
          </cell>
          <cell r="BM70">
            <v>1373</v>
          </cell>
          <cell r="BN70">
            <v>91</v>
          </cell>
          <cell r="BO70">
            <v>49</v>
          </cell>
          <cell r="BP70">
            <v>4233</v>
          </cell>
          <cell r="BQ70">
            <v>41161</v>
          </cell>
          <cell r="BR70">
            <v>636</v>
          </cell>
          <cell r="BS70">
            <v>889</v>
          </cell>
          <cell r="BT70">
            <v>1525</v>
          </cell>
          <cell r="BU70">
            <v>42686</v>
          </cell>
          <cell r="BV70">
            <v>5392</v>
          </cell>
          <cell r="BW70">
            <v>3834</v>
          </cell>
          <cell r="BX70">
            <v>1678</v>
          </cell>
          <cell r="BY70">
            <v>564</v>
          </cell>
          <cell r="BZ70">
            <v>11468</v>
          </cell>
          <cell r="CA70">
            <v>11468</v>
          </cell>
          <cell r="CB70">
            <v>4441</v>
          </cell>
          <cell r="CC70">
            <v>118</v>
          </cell>
          <cell r="CD70">
            <v>4559</v>
          </cell>
          <cell r="CE70">
            <v>1133</v>
          </cell>
          <cell r="CF70">
            <v>43</v>
          </cell>
          <cell r="CG70">
            <v>825</v>
          </cell>
          <cell r="CH70">
            <v>6561</v>
          </cell>
          <cell r="CI70">
            <v>18030</v>
          </cell>
          <cell r="CJ70">
            <v>24656</v>
          </cell>
          <cell r="CK70">
            <v>9529</v>
          </cell>
          <cell r="CL70">
            <v>15127</v>
          </cell>
          <cell r="CM70">
            <v>42686</v>
          </cell>
        </row>
        <row r="71">
          <cell r="B71">
            <v>39391</v>
          </cell>
          <cell r="C71">
            <v>2335</v>
          </cell>
          <cell r="D71">
            <v>337</v>
          </cell>
          <cell r="E71">
            <v>1349</v>
          </cell>
          <cell r="F71">
            <v>100</v>
          </cell>
          <cell r="G71">
            <v>40</v>
          </cell>
          <cell r="H71">
            <v>4160</v>
          </cell>
          <cell r="I71">
            <v>43550</v>
          </cell>
          <cell r="J71">
            <v>625</v>
          </cell>
          <cell r="K71">
            <v>852</v>
          </cell>
          <cell r="L71">
            <v>1476</v>
          </cell>
          <cell r="M71">
            <v>45027</v>
          </cell>
          <cell r="N71">
            <v>5508</v>
          </cell>
          <cell r="O71">
            <v>7083</v>
          </cell>
          <cell r="P71">
            <v>1489</v>
          </cell>
          <cell r="Q71">
            <v>556</v>
          </cell>
          <cell r="R71">
            <v>14635</v>
          </cell>
          <cell r="S71">
            <v>14635</v>
          </cell>
          <cell r="T71">
            <v>5691</v>
          </cell>
          <cell r="U71">
            <v>107</v>
          </cell>
          <cell r="V71">
            <v>5798</v>
          </cell>
          <cell r="W71">
            <v>1129</v>
          </cell>
          <cell r="X71">
            <v>69</v>
          </cell>
          <cell r="Y71">
            <v>618</v>
          </cell>
          <cell r="Z71">
            <v>7613</v>
          </cell>
          <cell r="AA71">
            <v>22248</v>
          </cell>
          <cell r="AB71">
            <v>22779</v>
          </cell>
          <cell r="AC71">
            <v>7621</v>
          </cell>
          <cell r="AD71">
            <v>15158</v>
          </cell>
          <cell r="AE71">
            <v>45027</v>
          </cell>
          <cell r="AF71">
            <v>39260</v>
          </cell>
          <cell r="AG71">
            <v>2364</v>
          </cell>
          <cell r="AH71">
            <v>323</v>
          </cell>
          <cell r="AI71">
            <v>1341</v>
          </cell>
          <cell r="AJ71">
            <v>101</v>
          </cell>
          <cell r="AK71">
            <v>38</v>
          </cell>
          <cell r="AL71">
            <v>4167</v>
          </cell>
          <cell r="AM71">
            <v>43427</v>
          </cell>
          <cell r="AN71">
            <v>624</v>
          </cell>
          <cell r="AO71">
            <v>841</v>
          </cell>
          <cell r="AP71">
            <v>1465</v>
          </cell>
          <cell r="AQ71">
            <v>44892</v>
          </cell>
          <cell r="AR71">
            <v>5488</v>
          </cell>
          <cell r="AS71">
            <v>6595</v>
          </cell>
          <cell r="AT71">
            <v>1494</v>
          </cell>
          <cell r="AU71">
            <v>563</v>
          </cell>
          <cell r="AV71">
            <v>14140</v>
          </cell>
          <cell r="AW71">
            <v>14140</v>
          </cell>
          <cell r="AX71">
            <v>5887</v>
          </cell>
          <cell r="AY71">
            <v>104</v>
          </cell>
          <cell r="AZ71">
            <v>5991</v>
          </cell>
          <cell r="BA71">
            <v>1130</v>
          </cell>
          <cell r="BB71">
            <v>81</v>
          </cell>
          <cell r="BC71">
            <v>491</v>
          </cell>
          <cell r="BD71">
            <v>7692</v>
          </cell>
          <cell r="BE71">
            <v>21832</v>
          </cell>
          <cell r="BF71">
            <v>23060</v>
          </cell>
          <cell r="BG71">
            <v>7920</v>
          </cell>
          <cell r="BH71">
            <v>15140</v>
          </cell>
          <cell r="BI71">
            <v>44892</v>
          </cell>
          <cell r="BJ71">
            <v>40169</v>
          </cell>
          <cell r="BK71">
            <v>2364</v>
          </cell>
          <cell r="BL71">
            <v>270</v>
          </cell>
          <cell r="BM71">
            <v>1341</v>
          </cell>
          <cell r="BN71">
            <v>101</v>
          </cell>
          <cell r="BO71">
            <v>37</v>
          </cell>
          <cell r="BP71">
            <v>4113</v>
          </cell>
          <cell r="BQ71">
            <v>44282</v>
          </cell>
          <cell r="BR71">
            <v>618</v>
          </cell>
          <cell r="BS71">
            <v>770</v>
          </cell>
          <cell r="BT71">
            <v>1389</v>
          </cell>
          <cell r="BU71">
            <v>45670</v>
          </cell>
          <cell r="BV71">
            <v>5480</v>
          </cell>
          <cell r="BW71">
            <v>10442</v>
          </cell>
          <cell r="BX71">
            <v>2021</v>
          </cell>
          <cell r="BY71">
            <v>596</v>
          </cell>
          <cell r="BZ71">
            <v>18540</v>
          </cell>
          <cell r="CA71">
            <v>18540</v>
          </cell>
          <cell r="CB71">
            <v>6304</v>
          </cell>
          <cell r="CC71">
            <v>103</v>
          </cell>
          <cell r="CD71">
            <v>6407</v>
          </cell>
          <cell r="CE71">
            <v>1130</v>
          </cell>
          <cell r="CF71">
            <v>78</v>
          </cell>
          <cell r="CG71">
            <v>425</v>
          </cell>
          <cell r="CH71">
            <v>8041</v>
          </cell>
          <cell r="CI71">
            <v>26580</v>
          </cell>
          <cell r="CJ71">
            <v>19090</v>
          </cell>
          <cell r="CK71">
            <v>3950</v>
          </cell>
          <cell r="CL71">
            <v>15140</v>
          </cell>
          <cell r="CM71">
            <v>45670</v>
          </cell>
        </row>
        <row r="72">
          <cell r="B72">
            <v>40018</v>
          </cell>
          <cell r="C72">
            <v>2509</v>
          </cell>
          <cell r="D72">
            <v>291</v>
          </cell>
          <cell r="E72">
            <v>1367</v>
          </cell>
          <cell r="F72">
            <v>106</v>
          </cell>
          <cell r="G72">
            <v>37</v>
          </cell>
          <cell r="H72">
            <v>4310</v>
          </cell>
          <cell r="I72">
            <v>44328</v>
          </cell>
          <cell r="J72">
            <v>604</v>
          </cell>
          <cell r="K72">
            <v>976</v>
          </cell>
          <cell r="L72">
            <v>1581</v>
          </cell>
          <cell r="M72">
            <v>45909</v>
          </cell>
          <cell r="N72">
            <v>5727</v>
          </cell>
          <cell r="O72">
            <v>7496</v>
          </cell>
          <cell r="P72">
            <v>1404</v>
          </cell>
          <cell r="Q72">
            <v>543</v>
          </cell>
          <cell r="R72">
            <v>15171</v>
          </cell>
          <cell r="S72">
            <v>15171</v>
          </cell>
          <cell r="T72">
            <v>6110</v>
          </cell>
          <cell r="U72">
            <v>108</v>
          </cell>
          <cell r="V72">
            <v>6217</v>
          </cell>
          <cell r="W72">
            <v>1122</v>
          </cell>
          <cell r="X72">
            <v>85</v>
          </cell>
          <cell r="Y72">
            <v>583</v>
          </cell>
          <cell r="Z72">
            <v>8007</v>
          </cell>
          <cell r="AA72">
            <v>23178</v>
          </cell>
          <cell r="AB72">
            <v>22731</v>
          </cell>
          <cell r="AC72">
            <v>7469</v>
          </cell>
          <cell r="AD72">
            <v>15262</v>
          </cell>
          <cell r="AE72">
            <v>45909</v>
          </cell>
          <cell r="AF72">
            <v>40388</v>
          </cell>
          <cell r="AG72">
            <v>2438</v>
          </cell>
          <cell r="AH72">
            <v>313</v>
          </cell>
          <cell r="AI72">
            <v>1338</v>
          </cell>
          <cell r="AJ72">
            <v>106</v>
          </cell>
          <cell r="AK72">
            <v>36</v>
          </cell>
          <cell r="AL72">
            <v>4231</v>
          </cell>
          <cell r="AM72">
            <v>44619</v>
          </cell>
          <cell r="AN72">
            <v>609</v>
          </cell>
          <cell r="AO72">
            <v>910</v>
          </cell>
          <cell r="AP72">
            <v>1520</v>
          </cell>
          <cell r="AQ72">
            <v>46138</v>
          </cell>
          <cell r="AR72">
            <v>5676</v>
          </cell>
          <cell r="AS72">
            <v>8128</v>
          </cell>
          <cell r="AT72">
            <v>1014</v>
          </cell>
          <cell r="AU72">
            <v>542</v>
          </cell>
          <cell r="AV72">
            <v>15360</v>
          </cell>
          <cell r="AW72">
            <v>15360</v>
          </cell>
          <cell r="AX72">
            <v>6230</v>
          </cell>
          <cell r="AY72">
            <v>107</v>
          </cell>
          <cell r="AZ72">
            <v>6337</v>
          </cell>
          <cell r="BA72">
            <v>1121</v>
          </cell>
          <cell r="BB72">
            <v>82</v>
          </cell>
          <cell r="BC72">
            <v>567</v>
          </cell>
          <cell r="BD72">
            <v>8107</v>
          </cell>
          <cell r="BE72">
            <v>23467</v>
          </cell>
          <cell r="BF72">
            <v>22671</v>
          </cell>
          <cell r="BG72">
            <v>7422</v>
          </cell>
          <cell r="BH72">
            <v>15250</v>
          </cell>
          <cell r="BI72">
            <v>46138</v>
          </cell>
          <cell r="BJ72">
            <v>43332</v>
          </cell>
          <cell r="BK72">
            <v>2447</v>
          </cell>
          <cell r="BL72">
            <v>318</v>
          </cell>
          <cell r="BM72">
            <v>1338</v>
          </cell>
          <cell r="BN72">
            <v>106</v>
          </cell>
          <cell r="BO72">
            <v>35</v>
          </cell>
          <cell r="BP72">
            <v>4243</v>
          </cell>
          <cell r="BQ72">
            <v>47574</v>
          </cell>
          <cell r="BR72">
            <v>611</v>
          </cell>
          <cell r="BS72">
            <v>843</v>
          </cell>
          <cell r="BT72">
            <v>1454</v>
          </cell>
          <cell r="BU72">
            <v>49028</v>
          </cell>
          <cell r="BV72">
            <v>5672</v>
          </cell>
          <cell r="BW72">
            <v>3776</v>
          </cell>
          <cell r="BX72">
            <v>361</v>
          </cell>
          <cell r="BY72">
            <v>515</v>
          </cell>
          <cell r="BZ72">
            <v>10324</v>
          </cell>
          <cell r="CA72">
            <v>10324</v>
          </cell>
          <cell r="CB72">
            <v>6963</v>
          </cell>
          <cell r="CC72">
            <v>107</v>
          </cell>
          <cell r="CD72">
            <v>7070</v>
          </cell>
          <cell r="CE72">
            <v>1121</v>
          </cell>
          <cell r="CF72">
            <v>94</v>
          </cell>
          <cell r="CG72">
            <v>553</v>
          </cell>
          <cell r="CH72">
            <v>8839</v>
          </cell>
          <cell r="CI72">
            <v>19163</v>
          </cell>
          <cell r="CJ72">
            <v>29865</v>
          </cell>
          <cell r="CK72">
            <v>14616</v>
          </cell>
          <cell r="CL72">
            <v>15250</v>
          </cell>
          <cell r="CM72">
            <v>49028</v>
          </cell>
        </row>
        <row r="73">
          <cell r="B73">
            <v>39880</v>
          </cell>
          <cell r="C73">
            <v>2688</v>
          </cell>
          <cell r="D73">
            <v>262</v>
          </cell>
          <cell r="E73">
            <v>1408</v>
          </cell>
          <cell r="F73">
            <v>110</v>
          </cell>
          <cell r="G73">
            <v>32</v>
          </cell>
          <cell r="H73">
            <v>4501</v>
          </cell>
          <cell r="I73">
            <v>44380</v>
          </cell>
          <cell r="J73">
            <v>598</v>
          </cell>
          <cell r="K73">
            <v>1061</v>
          </cell>
          <cell r="L73">
            <v>1659</v>
          </cell>
          <cell r="M73">
            <v>46039</v>
          </cell>
          <cell r="N73">
            <v>6023</v>
          </cell>
          <cell r="O73">
            <v>8346</v>
          </cell>
          <cell r="P73">
            <v>1566</v>
          </cell>
          <cell r="Q73">
            <v>554</v>
          </cell>
          <cell r="R73">
            <v>16488</v>
          </cell>
          <cell r="S73">
            <v>16488</v>
          </cell>
          <cell r="T73">
            <v>6536</v>
          </cell>
          <cell r="U73">
            <v>113</v>
          </cell>
          <cell r="V73">
            <v>6648</v>
          </cell>
          <cell r="W73">
            <v>1109</v>
          </cell>
          <cell r="X73">
            <v>97</v>
          </cell>
          <cell r="Y73">
            <v>572</v>
          </cell>
          <cell r="Z73">
            <v>8426</v>
          </cell>
          <cell r="AA73">
            <v>24915</v>
          </cell>
          <cell r="AB73">
            <v>21125</v>
          </cell>
          <cell r="AC73">
            <v>5667</v>
          </cell>
          <cell r="AD73">
            <v>15458</v>
          </cell>
          <cell r="AE73">
            <v>46039</v>
          </cell>
          <cell r="AF73">
            <v>40207</v>
          </cell>
          <cell r="AG73">
            <v>2765</v>
          </cell>
          <cell r="AH73">
            <v>251</v>
          </cell>
          <cell r="AI73">
            <v>1416</v>
          </cell>
          <cell r="AJ73">
            <v>110</v>
          </cell>
          <cell r="AK73">
            <v>33</v>
          </cell>
          <cell r="AL73">
            <v>4575</v>
          </cell>
          <cell r="AM73">
            <v>44782</v>
          </cell>
          <cell r="AN73">
            <v>590</v>
          </cell>
          <cell r="AO73">
            <v>1161</v>
          </cell>
          <cell r="AP73">
            <v>1751</v>
          </cell>
          <cell r="AQ73">
            <v>46533</v>
          </cell>
          <cell r="AR73">
            <v>6153</v>
          </cell>
          <cell r="AS73">
            <v>7290</v>
          </cell>
          <cell r="AT73">
            <v>2208</v>
          </cell>
          <cell r="AU73">
            <v>563</v>
          </cell>
          <cell r="AV73">
            <v>16214</v>
          </cell>
          <cell r="AW73">
            <v>16214</v>
          </cell>
          <cell r="AX73">
            <v>6419</v>
          </cell>
          <cell r="AY73">
            <v>115</v>
          </cell>
          <cell r="AZ73">
            <v>6534</v>
          </cell>
          <cell r="BA73">
            <v>1110</v>
          </cell>
          <cell r="BB73">
            <v>92</v>
          </cell>
          <cell r="BC73">
            <v>549</v>
          </cell>
          <cell r="BD73">
            <v>8284</v>
          </cell>
          <cell r="BE73">
            <v>24498</v>
          </cell>
          <cell r="BF73">
            <v>22035</v>
          </cell>
          <cell r="BG73">
            <v>6587</v>
          </cell>
          <cell r="BH73">
            <v>15448</v>
          </cell>
          <cell r="BI73">
            <v>46533</v>
          </cell>
          <cell r="BJ73">
            <v>37848</v>
          </cell>
          <cell r="BK73">
            <v>2771</v>
          </cell>
          <cell r="BL73">
            <v>185</v>
          </cell>
          <cell r="BM73">
            <v>1416</v>
          </cell>
          <cell r="BN73">
            <v>110</v>
          </cell>
          <cell r="BO73">
            <v>32</v>
          </cell>
          <cell r="BP73">
            <v>4513</v>
          </cell>
          <cell r="BQ73">
            <v>42362</v>
          </cell>
          <cell r="BR73">
            <v>598</v>
          </cell>
          <cell r="BS73">
            <v>1235</v>
          </cell>
          <cell r="BT73">
            <v>1834</v>
          </cell>
          <cell r="BU73">
            <v>44196</v>
          </cell>
          <cell r="BV73">
            <v>6156</v>
          </cell>
          <cell r="BW73">
            <v>11056</v>
          </cell>
          <cell r="BX73">
            <v>2414</v>
          </cell>
          <cell r="BY73">
            <v>555</v>
          </cell>
          <cell r="BZ73">
            <v>20181</v>
          </cell>
          <cell r="CA73">
            <v>20181</v>
          </cell>
          <cell r="CB73">
            <v>5787</v>
          </cell>
          <cell r="CC73">
            <v>111</v>
          </cell>
          <cell r="CD73">
            <v>5898</v>
          </cell>
          <cell r="CE73">
            <v>1110</v>
          </cell>
          <cell r="CF73">
            <v>79</v>
          </cell>
          <cell r="CG73">
            <v>517</v>
          </cell>
          <cell r="CH73">
            <v>7603</v>
          </cell>
          <cell r="CI73">
            <v>27784</v>
          </cell>
          <cell r="CJ73">
            <v>16412</v>
          </cell>
          <cell r="CK73">
            <v>964</v>
          </cell>
          <cell r="CL73">
            <v>15448</v>
          </cell>
          <cell r="CM73">
            <v>44196</v>
          </cell>
        </row>
        <row r="74">
          <cell r="B74">
            <v>40807</v>
          </cell>
          <cell r="C74">
            <v>2801</v>
          </cell>
          <cell r="D74">
            <v>277</v>
          </cell>
          <cell r="E74">
            <v>1536</v>
          </cell>
          <cell r="F74">
            <v>112</v>
          </cell>
          <cell r="G74">
            <v>31</v>
          </cell>
          <cell r="H74">
            <v>4757</v>
          </cell>
          <cell r="I74">
            <v>45564</v>
          </cell>
          <cell r="J74">
            <v>600</v>
          </cell>
          <cell r="K74">
            <v>1037</v>
          </cell>
          <cell r="L74">
            <v>1637</v>
          </cell>
          <cell r="M74">
            <v>47201</v>
          </cell>
          <cell r="N74">
            <v>6320</v>
          </cell>
          <cell r="O74">
            <v>8918</v>
          </cell>
          <cell r="P74">
            <v>2130</v>
          </cell>
          <cell r="Q74">
            <v>607</v>
          </cell>
          <cell r="R74">
            <v>17975</v>
          </cell>
          <cell r="S74">
            <v>17975</v>
          </cell>
          <cell r="T74">
            <v>6760</v>
          </cell>
          <cell r="U74">
            <v>117</v>
          </cell>
          <cell r="V74">
            <v>6877</v>
          </cell>
          <cell r="W74">
            <v>1088</v>
          </cell>
          <cell r="X74">
            <v>103</v>
          </cell>
          <cell r="Y74">
            <v>592</v>
          </cell>
          <cell r="Z74">
            <v>8660</v>
          </cell>
          <cell r="AA74">
            <v>26635</v>
          </cell>
          <cell r="AB74">
            <v>20566</v>
          </cell>
          <cell r="AC74">
            <v>4826</v>
          </cell>
          <cell r="AD74">
            <v>15740</v>
          </cell>
          <cell r="AE74">
            <v>47201</v>
          </cell>
          <cell r="AF74">
            <v>40282</v>
          </cell>
          <cell r="AG74">
            <v>2782</v>
          </cell>
          <cell r="AH74">
            <v>243</v>
          </cell>
          <cell r="AI74">
            <v>1572</v>
          </cell>
          <cell r="AJ74">
            <v>112</v>
          </cell>
          <cell r="AK74">
            <v>30</v>
          </cell>
          <cell r="AL74">
            <v>4740</v>
          </cell>
          <cell r="AM74">
            <v>45022</v>
          </cell>
          <cell r="AN74">
            <v>601</v>
          </cell>
          <cell r="AO74">
            <v>1103</v>
          </cell>
          <cell r="AP74">
            <v>1704</v>
          </cell>
          <cell r="AQ74">
            <v>46725</v>
          </cell>
          <cell r="AR74">
            <v>6180</v>
          </cell>
          <cell r="AS74">
            <v>10138</v>
          </cell>
          <cell r="AT74">
            <v>1534</v>
          </cell>
          <cell r="AU74">
            <v>568</v>
          </cell>
          <cell r="AV74">
            <v>18421</v>
          </cell>
          <cell r="AW74">
            <v>18421</v>
          </cell>
          <cell r="AX74">
            <v>6778</v>
          </cell>
          <cell r="AY74">
            <v>117</v>
          </cell>
          <cell r="AZ74">
            <v>6894</v>
          </cell>
          <cell r="BA74">
            <v>1095</v>
          </cell>
          <cell r="BB74">
            <v>113</v>
          </cell>
          <cell r="BC74">
            <v>620</v>
          </cell>
          <cell r="BD74">
            <v>8722</v>
          </cell>
          <cell r="BE74">
            <v>27143</v>
          </cell>
          <cell r="BF74">
            <v>19583</v>
          </cell>
          <cell r="BG74">
            <v>3848</v>
          </cell>
          <cell r="BH74">
            <v>15735</v>
          </cell>
          <cell r="BI74">
            <v>46725</v>
          </cell>
          <cell r="BJ74">
            <v>38597</v>
          </cell>
          <cell r="BK74">
            <v>2768</v>
          </cell>
          <cell r="BL74">
            <v>341</v>
          </cell>
          <cell r="BM74">
            <v>1572</v>
          </cell>
          <cell r="BN74">
            <v>112</v>
          </cell>
          <cell r="BO74">
            <v>35</v>
          </cell>
          <cell r="BP74">
            <v>4828</v>
          </cell>
          <cell r="BQ74">
            <v>43425</v>
          </cell>
          <cell r="BR74">
            <v>597</v>
          </cell>
          <cell r="BS74">
            <v>1207</v>
          </cell>
          <cell r="BT74">
            <v>1804</v>
          </cell>
          <cell r="BU74">
            <v>45229</v>
          </cell>
          <cell r="BV74">
            <v>6190</v>
          </cell>
          <cell r="BW74">
            <v>5916</v>
          </cell>
          <cell r="BX74">
            <v>1408</v>
          </cell>
          <cell r="BY74">
            <v>567</v>
          </cell>
          <cell r="BZ74">
            <v>14082</v>
          </cell>
          <cell r="CA74">
            <v>14082</v>
          </cell>
          <cell r="CB74">
            <v>6169</v>
          </cell>
          <cell r="CC74">
            <v>121</v>
          </cell>
          <cell r="CD74">
            <v>6290</v>
          </cell>
          <cell r="CE74">
            <v>1095</v>
          </cell>
          <cell r="CF74">
            <v>117</v>
          </cell>
          <cell r="CG74">
            <v>755</v>
          </cell>
          <cell r="CH74">
            <v>8257</v>
          </cell>
          <cell r="CI74">
            <v>22338</v>
          </cell>
          <cell r="CJ74">
            <v>22891</v>
          </cell>
          <cell r="CK74">
            <v>7156</v>
          </cell>
          <cell r="CL74">
            <v>15735</v>
          </cell>
          <cell r="CM74">
            <v>45229</v>
          </cell>
        </row>
        <row r="75">
          <cell r="B75">
            <v>41233</v>
          </cell>
          <cell r="C75">
            <v>2830</v>
          </cell>
          <cell r="D75">
            <v>325</v>
          </cell>
          <cell r="E75">
            <v>1686</v>
          </cell>
          <cell r="F75">
            <v>113</v>
          </cell>
          <cell r="G75">
            <v>35</v>
          </cell>
          <cell r="H75">
            <v>4990</v>
          </cell>
          <cell r="I75">
            <v>46223</v>
          </cell>
          <cell r="J75">
            <v>611</v>
          </cell>
          <cell r="K75">
            <v>990</v>
          </cell>
          <cell r="L75">
            <v>1601</v>
          </cell>
          <cell r="M75">
            <v>47824</v>
          </cell>
          <cell r="N75">
            <v>6586</v>
          </cell>
          <cell r="O75">
            <v>9231</v>
          </cell>
          <cell r="P75">
            <v>2922</v>
          </cell>
          <cell r="Q75">
            <v>669</v>
          </cell>
          <cell r="R75">
            <v>19407</v>
          </cell>
          <cell r="S75">
            <v>19407</v>
          </cell>
          <cell r="T75">
            <v>6904</v>
          </cell>
          <cell r="U75">
            <v>118</v>
          </cell>
          <cell r="V75">
            <v>7021</v>
          </cell>
          <cell r="W75">
            <v>1064</v>
          </cell>
          <cell r="X75">
            <v>105</v>
          </cell>
          <cell r="Y75">
            <v>617</v>
          </cell>
          <cell r="Z75">
            <v>8808</v>
          </cell>
          <cell r="AA75">
            <v>28215</v>
          </cell>
          <cell r="AB75">
            <v>19609</v>
          </cell>
          <cell r="AC75">
            <v>3555</v>
          </cell>
          <cell r="AD75">
            <v>16054</v>
          </cell>
          <cell r="AE75">
            <v>47824</v>
          </cell>
          <cell r="AF75">
            <v>40869</v>
          </cell>
          <cell r="AG75">
            <v>2854</v>
          </cell>
          <cell r="AH75">
            <v>352</v>
          </cell>
          <cell r="AI75">
            <v>1544</v>
          </cell>
          <cell r="AJ75">
            <v>113</v>
          </cell>
          <cell r="AK75">
            <v>30</v>
          </cell>
          <cell r="AL75">
            <v>4892</v>
          </cell>
          <cell r="AM75">
            <v>45762</v>
          </cell>
          <cell r="AN75">
            <v>617</v>
          </cell>
          <cell r="AO75">
            <v>909</v>
          </cell>
          <cell r="AP75">
            <v>1526</v>
          </cell>
          <cell r="AQ75">
            <v>47288</v>
          </cell>
          <cell r="AR75">
            <v>6686</v>
          </cell>
          <cell r="AS75">
            <v>8810</v>
          </cell>
          <cell r="AT75">
            <v>2866</v>
          </cell>
          <cell r="AU75">
            <v>698</v>
          </cell>
          <cell r="AV75">
            <v>19061</v>
          </cell>
          <cell r="AW75">
            <v>19061</v>
          </cell>
          <cell r="AX75">
            <v>7047</v>
          </cell>
          <cell r="AY75">
            <v>120</v>
          </cell>
          <cell r="AZ75">
            <v>7166</v>
          </cell>
          <cell r="BA75">
            <v>1060</v>
          </cell>
          <cell r="BB75">
            <v>98</v>
          </cell>
          <cell r="BC75">
            <v>677</v>
          </cell>
          <cell r="BD75">
            <v>9001</v>
          </cell>
          <cell r="BE75">
            <v>28062</v>
          </cell>
          <cell r="BF75">
            <v>19225</v>
          </cell>
          <cell r="BG75">
            <v>3146</v>
          </cell>
          <cell r="BH75">
            <v>16080</v>
          </cell>
          <cell r="BI75">
            <v>47288</v>
          </cell>
          <cell r="BJ75">
            <v>41876</v>
          </cell>
          <cell r="BK75">
            <v>2857</v>
          </cell>
          <cell r="BL75">
            <v>303</v>
          </cell>
          <cell r="BM75">
            <v>1544</v>
          </cell>
          <cell r="BN75">
            <v>113</v>
          </cell>
          <cell r="BO75">
            <v>27</v>
          </cell>
          <cell r="BP75">
            <v>4843</v>
          </cell>
          <cell r="BQ75">
            <v>46719</v>
          </cell>
          <cell r="BR75">
            <v>610</v>
          </cell>
          <cell r="BS75">
            <v>840</v>
          </cell>
          <cell r="BT75">
            <v>1450</v>
          </cell>
          <cell r="BU75">
            <v>48169</v>
          </cell>
          <cell r="BV75">
            <v>6674</v>
          </cell>
          <cell r="BW75">
            <v>13679</v>
          </cell>
          <cell r="BX75">
            <v>3480</v>
          </cell>
          <cell r="BY75">
            <v>744</v>
          </cell>
          <cell r="BZ75">
            <v>24577</v>
          </cell>
          <cell r="CA75">
            <v>24577</v>
          </cell>
          <cell r="CB75">
            <v>7585</v>
          </cell>
          <cell r="CC75">
            <v>119</v>
          </cell>
          <cell r="CD75">
            <v>7704</v>
          </cell>
          <cell r="CE75">
            <v>1060</v>
          </cell>
          <cell r="CF75">
            <v>96</v>
          </cell>
          <cell r="CG75">
            <v>585</v>
          </cell>
          <cell r="CH75">
            <v>9445</v>
          </cell>
          <cell r="CI75">
            <v>34022</v>
          </cell>
          <cell r="CJ75">
            <v>14148</v>
          </cell>
          <cell r="CK75">
            <v>-1932</v>
          </cell>
          <cell r="CL75">
            <v>16080</v>
          </cell>
          <cell r="CM75">
            <v>48169</v>
          </cell>
        </row>
        <row r="76">
          <cell r="B76">
            <v>41924</v>
          </cell>
          <cell r="C76">
            <v>2800</v>
          </cell>
          <cell r="D76">
            <v>370</v>
          </cell>
          <cell r="E76">
            <v>1826</v>
          </cell>
          <cell r="F76">
            <v>115</v>
          </cell>
          <cell r="G76">
            <v>38</v>
          </cell>
          <cell r="H76">
            <v>5148</v>
          </cell>
          <cell r="I76">
            <v>47072</v>
          </cell>
          <cell r="J76">
            <v>625</v>
          </cell>
          <cell r="K76">
            <v>997</v>
          </cell>
          <cell r="L76">
            <v>1621</v>
          </cell>
          <cell r="M76">
            <v>48694</v>
          </cell>
          <cell r="N76">
            <v>6771</v>
          </cell>
          <cell r="O76">
            <v>9215</v>
          </cell>
          <cell r="P76">
            <v>3540</v>
          </cell>
          <cell r="Q76">
            <v>747</v>
          </cell>
          <cell r="R76">
            <v>20273</v>
          </cell>
          <cell r="S76">
            <v>20273</v>
          </cell>
          <cell r="T76">
            <v>6992</v>
          </cell>
          <cell r="U76">
            <v>115</v>
          </cell>
          <cell r="V76">
            <v>7108</v>
          </cell>
          <cell r="W76">
            <v>1047</v>
          </cell>
          <cell r="X76">
            <v>101</v>
          </cell>
          <cell r="Y76">
            <v>618</v>
          </cell>
          <cell r="Z76">
            <v>8874</v>
          </cell>
          <cell r="AA76">
            <v>29148</v>
          </cell>
          <cell r="AB76">
            <v>19546</v>
          </cell>
          <cell r="AC76">
            <v>3173</v>
          </cell>
          <cell r="AD76">
            <v>16373</v>
          </cell>
          <cell r="AE76">
            <v>48694</v>
          </cell>
          <cell r="AF76">
            <v>42069</v>
          </cell>
          <cell r="AG76">
            <v>2788</v>
          </cell>
          <cell r="AH76">
            <v>372</v>
          </cell>
          <cell r="AI76">
            <v>2026</v>
          </cell>
          <cell r="AJ76">
            <v>115</v>
          </cell>
          <cell r="AK76">
            <v>42</v>
          </cell>
          <cell r="AL76">
            <v>5343</v>
          </cell>
          <cell r="AM76">
            <v>47413</v>
          </cell>
          <cell r="AN76">
            <v>617</v>
          </cell>
          <cell r="AO76">
            <v>1022</v>
          </cell>
          <cell r="AP76">
            <v>1639</v>
          </cell>
          <cell r="AQ76">
            <v>49052</v>
          </cell>
          <cell r="AR76">
            <v>6757</v>
          </cell>
          <cell r="AS76">
            <v>8768</v>
          </cell>
          <cell r="AT76">
            <v>4160</v>
          </cell>
          <cell r="AU76">
            <v>785</v>
          </cell>
          <cell r="AV76">
            <v>20471</v>
          </cell>
          <cell r="AW76">
            <v>20471</v>
          </cell>
          <cell r="AX76">
            <v>6893</v>
          </cell>
          <cell r="AY76">
            <v>115</v>
          </cell>
          <cell r="AZ76">
            <v>7008</v>
          </cell>
          <cell r="BA76">
            <v>1045</v>
          </cell>
          <cell r="BB76">
            <v>104</v>
          </cell>
          <cell r="BC76">
            <v>631</v>
          </cell>
          <cell r="BD76">
            <v>8788</v>
          </cell>
          <cell r="BE76">
            <v>29258</v>
          </cell>
          <cell r="BF76">
            <v>19794</v>
          </cell>
          <cell r="BG76">
            <v>3427</v>
          </cell>
          <cell r="BH76">
            <v>16367</v>
          </cell>
          <cell r="BI76">
            <v>49052</v>
          </cell>
          <cell r="BJ76">
            <v>45339</v>
          </cell>
          <cell r="BK76">
            <v>2793</v>
          </cell>
          <cell r="BL76">
            <v>374</v>
          </cell>
          <cell r="BM76">
            <v>2026</v>
          </cell>
          <cell r="BN76">
            <v>115</v>
          </cell>
          <cell r="BO76">
            <v>41</v>
          </cell>
          <cell r="BP76">
            <v>5348</v>
          </cell>
          <cell r="BQ76">
            <v>50687</v>
          </cell>
          <cell r="BR76">
            <v>619</v>
          </cell>
          <cell r="BS76">
            <v>940</v>
          </cell>
          <cell r="BT76">
            <v>1559</v>
          </cell>
          <cell r="BU76">
            <v>52246</v>
          </cell>
          <cell r="BV76">
            <v>6756</v>
          </cell>
          <cell r="BW76">
            <v>4048</v>
          </cell>
          <cell r="BX76">
            <v>3495</v>
          </cell>
          <cell r="BY76">
            <v>750</v>
          </cell>
          <cell r="BZ76">
            <v>15050</v>
          </cell>
          <cell r="CA76">
            <v>15050</v>
          </cell>
          <cell r="CB76">
            <v>7686</v>
          </cell>
          <cell r="CC76">
            <v>115</v>
          </cell>
          <cell r="CD76">
            <v>7801</v>
          </cell>
          <cell r="CE76">
            <v>1045</v>
          </cell>
          <cell r="CF76">
            <v>115</v>
          </cell>
          <cell r="CG76">
            <v>608</v>
          </cell>
          <cell r="CH76">
            <v>9570</v>
          </cell>
          <cell r="CI76">
            <v>24619</v>
          </cell>
          <cell r="CJ76">
            <v>27627</v>
          </cell>
          <cell r="CK76">
            <v>11260</v>
          </cell>
          <cell r="CL76">
            <v>16367</v>
          </cell>
          <cell r="CM76">
            <v>52246</v>
          </cell>
        </row>
        <row r="77">
          <cell r="B77">
            <v>42213</v>
          </cell>
          <cell r="C77">
            <v>2815</v>
          </cell>
          <cell r="D77">
            <v>369</v>
          </cell>
          <cell r="E77">
            <v>1848</v>
          </cell>
          <cell r="F77">
            <v>118</v>
          </cell>
          <cell r="G77">
            <v>35</v>
          </cell>
          <cell r="H77">
            <v>5185</v>
          </cell>
          <cell r="I77">
            <v>47399</v>
          </cell>
          <cell r="J77">
            <v>636</v>
          </cell>
          <cell r="K77">
            <v>1075</v>
          </cell>
          <cell r="L77">
            <v>1711</v>
          </cell>
          <cell r="M77">
            <v>49110</v>
          </cell>
          <cell r="N77">
            <v>6919</v>
          </cell>
          <cell r="O77">
            <v>9256</v>
          </cell>
          <cell r="P77">
            <v>3855</v>
          </cell>
          <cell r="Q77">
            <v>836</v>
          </cell>
          <cell r="R77">
            <v>20866</v>
          </cell>
          <cell r="S77">
            <v>20866</v>
          </cell>
          <cell r="T77">
            <v>7167</v>
          </cell>
          <cell r="U77">
            <v>115</v>
          </cell>
          <cell r="V77">
            <v>7283</v>
          </cell>
          <cell r="W77">
            <v>1048</v>
          </cell>
          <cell r="X77">
            <v>96</v>
          </cell>
          <cell r="Y77">
            <v>617</v>
          </cell>
          <cell r="Z77">
            <v>9044</v>
          </cell>
          <cell r="AA77">
            <v>29910</v>
          </cell>
          <cell r="AB77">
            <v>19200</v>
          </cell>
          <cell r="AC77">
            <v>2508</v>
          </cell>
          <cell r="AD77">
            <v>16692</v>
          </cell>
          <cell r="AE77">
            <v>49110</v>
          </cell>
          <cell r="AF77">
            <v>43755</v>
          </cell>
          <cell r="AG77">
            <v>2810</v>
          </cell>
          <cell r="AH77">
            <v>378</v>
          </cell>
          <cell r="AI77">
            <v>1710</v>
          </cell>
          <cell r="AJ77">
            <v>118</v>
          </cell>
          <cell r="AK77">
            <v>41</v>
          </cell>
          <cell r="AL77">
            <v>5058</v>
          </cell>
          <cell r="AM77">
            <v>48813</v>
          </cell>
          <cell r="AN77">
            <v>639</v>
          </cell>
          <cell r="AO77">
            <v>1173</v>
          </cell>
          <cell r="AP77">
            <v>1813</v>
          </cell>
          <cell r="AQ77">
            <v>50625</v>
          </cell>
          <cell r="AR77">
            <v>6966</v>
          </cell>
          <cell r="AS77">
            <v>10188</v>
          </cell>
          <cell r="AT77">
            <v>3559</v>
          </cell>
          <cell r="AU77">
            <v>727</v>
          </cell>
          <cell r="AV77">
            <v>21440</v>
          </cell>
          <cell r="AW77">
            <v>21440</v>
          </cell>
          <cell r="AX77">
            <v>7095</v>
          </cell>
          <cell r="AY77">
            <v>113</v>
          </cell>
          <cell r="AZ77">
            <v>7208</v>
          </cell>
          <cell r="BA77">
            <v>1047</v>
          </cell>
          <cell r="BB77">
            <v>96</v>
          </cell>
          <cell r="BC77">
            <v>622</v>
          </cell>
          <cell r="BD77">
            <v>8973</v>
          </cell>
          <cell r="BE77">
            <v>30413</v>
          </cell>
          <cell r="BF77">
            <v>20212</v>
          </cell>
          <cell r="BG77">
            <v>3529</v>
          </cell>
          <cell r="BH77">
            <v>16683</v>
          </cell>
          <cell r="BI77">
            <v>50625</v>
          </cell>
          <cell r="BJ77">
            <v>41128</v>
          </cell>
          <cell r="BK77">
            <v>2814</v>
          </cell>
          <cell r="BL77">
            <v>291</v>
          </cell>
          <cell r="BM77">
            <v>1710</v>
          </cell>
          <cell r="BN77">
            <v>118</v>
          </cell>
          <cell r="BO77">
            <v>41</v>
          </cell>
          <cell r="BP77">
            <v>4975</v>
          </cell>
          <cell r="BQ77">
            <v>46102</v>
          </cell>
          <cell r="BR77">
            <v>648</v>
          </cell>
          <cell r="BS77">
            <v>1248</v>
          </cell>
          <cell r="BT77">
            <v>1896</v>
          </cell>
          <cell r="BU77">
            <v>47998</v>
          </cell>
          <cell r="BV77">
            <v>6975</v>
          </cell>
          <cell r="BW77">
            <v>14898</v>
          </cell>
          <cell r="BX77">
            <v>3696</v>
          </cell>
          <cell r="BY77">
            <v>715</v>
          </cell>
          <cell r="BZ77">
            <v>26283</v>
          </cell>
          <cell r="CA77">
            <v>26283</v>
          </cell>
          <cell r="CB77">
            <v>6316</v>
          </cell>
          <cell r="CC77">
            <v>110</v>
          </cell>
          <cell r="CD77">
            <v>6426</v>
          </cell>
          <cell r="CE77">
            <v>1047</v>
          </cell>
          <cell r="CF77">
            <v>83</v>
          </cell>
          <cell r="CG77">
            <v>596</v>
          </cell>
          <cell r="CH77">
            <v>8151</v>
          </cell>
          <cell r="CI77">
            <v>34434</v>
          </cell>
          <cell r="CJ77">
            <v>13564</v>
          </cell>
          <cell r="CK77">
            <v>-3119</v>
          </cell>
          <cell r="CL77">
            <v>16683</v>
          </cell>
          <cell r="CM77">
            <v>47998</v>
          </cell>
        </row>
        <row r="78">
          <cell r="B78">
            <v>45293</v>
          </cell>
          <cell r="C78">
            <v>2906</v>
          </cell>
          <cell r="D78">
            <v>326</v>
          </cell>
          <cell r="E78">
            <v>1746</v>
          </cell>
          <cell r="F78">
            <v>123</v>
          </cell>
          <cell r="G78">
            <v>29</v>
          </cell>
          <cell r="H78">
            <v>5130</v>
          </cell>
          <cell r="I78">
            <v>50424</v>
          </cell>
          <cell r="J78">
            <v>641</v>
          </cell>
          <cell r="K78">
            <v>1172</v>
          </cell>
          <cell r="L78">
            <v>1813</v>
          </cell>
          <cell r="M78">
            <v>52237</v>
          </cell>
          <cell r="N78">
            <v>7101</v>
          </cell>
          <cell r="O78">
            <v>9744</v>
          </cell>
          <cell r="P78">
            <v>3783</v>
          </cell>
          <cell r="Q78">
            <v>923</v>
          </cell>
          <cell r="R78">
            <v>21551</v>
          </cell>
          <cell r="S78">
            <v>21551</v>
          </cell>
          <cell r="T78">
            <v>7571</v>
          </cell>
          <cell r="U78">
            <v>120</v>
          </cell>
          <cell r="V78">
            <v>7692</v>
          </cell>
          <cell r="W78">
            <v>1065</v>
          </cell>
          <cell r="X78">
            <v>90</v>
          </cell>
          <cell r="Y78">
            <v>637</v>
          </cell>
          <cell r="Z78">
            <v>9484</v>
          </cell>
          <cell r="AA78">
            <v>31034</v>
          </cell>
          <cell r="AB78">
            <v>21202</v>
          </cell>
          <cell r="AC78">
            <v>4182</v>
          </cell>
          <cell r="AD78">
            <v>17020</v>
          </cell>
          <cell r="AE78">
            <v>52237</v>
          </cell>
          <cell r="AF78">
            <v>43063</v>
          </cell>
          <cell r="AG78">
            <v>2852</v>
          </cell>
          <cell r="AH78">
            <v>327</v>
          </cell>
          <cell r="AI78">
            <v>1912</v>
          </cell>
          <cell r="AJ78">
            <v>122</v>
          </cell>
          <cell r="AK78">
            <v>21</v>
          </cell>
          <cell r="AL78">
            <v>5234</v>
          </cell>
          <cell r="AM78">
            <v>48297</v>
          </cell>
          <cell r="AN78">
            <v>649</v>
          </cell>
          <cell r="AO78">
            <v>1071</v>
          </cell>
          <cell r="AP78">
            <v>1720</v>
          </cell>
          <cell r="AQ78">
            <v>50016</v>
          </cell>
          <cell r="AR78">
            <v>6980</v>
          </cell>
          <cell r="AS78">
            <v>8619</v>
          </cell>
          <cell r="AT78">
            <v>3621</v>
          </cell>
          <cell r="AU78">
            <v>1029</v>
          </cell>
          <cell r="AV78">
            <v>20250</v>
          </cell>
          <cell r="AW78">
            <v>20250</v>
          </cell>
          <cell r="AX78">
            <v>7606</v>
          </cell>
          <cell r="AY78">
            <v>120</v>
          </cell>
          <cell r="AZ78">
            <v>7726</v>
          </cell>
          <cell r="BA78">
            <v>1065</v>
          </cell>
          <cell r="BB78">
            <v>87</v>
          </cell>
          <cell r="BC78">
            <v>602</v>
          </cell>
          <cell r="BD78">
            <v>9479</v>
          </cell>
          <cell r="BE78">
            <v>29729</v>
          </cell>
          <cell r="BF78">
            <v>20287</v>
          </cell>
          <cell r="BG78">
            <v>3257</v>
          </cell>
          <cell r="BH78">
            <v>17030</v>
          </cell>
          <cell r="BI78">
            <v>50016</v>
          </cell>
          <cell r="BJ78">
            <v>41225</v>
          </cell>
          <cell r="BK78">
            <v>2839</v>
          </cell>
          <cell r="BL78">
            <v>444</v>
          </cell>
          <cell r="BM78">
            <v>1912</v>
          </cell>
          <cell r="BN78">
            <v>122</v>
          </cell>
          <cell r="BO78">
            <v>25</v>
          </cell>
          <cell r="BP78">
            <v>5343</v>
          </cell>
          <cell r="BQ78">
            <v>46568</v>
          </cell>
          <cell r="BR78">
            <v>646</v>
          </cell>
          <cell r="BS78">
            <v>1197</v>
          </cell>
          <cell r="BT78">
            <v>1843</v>
          </cell>
          <cell r="BU78">
            <v>48411</v>
          </cell>
          <cell r="BV78">
            <v>6988</v>
          </cell>
          <cell r="BW78">
            <v>3977</v>
          </cell>
          <cell r="BX78">
            <v>3523</v>
          </cell>
          <cell r="BY78">
            <v>1016</v>
          </cell>
          <cell r="BZ78">
            <v>15503</v>
          </cell>
          <cell r="CA78">
            <v>15503</v>
          </cell>
          <cell r="CB78">
            <v>7004</v>
          </cell>
          <cell r="CC78">
            <v>124</v>
          </cell>
          <cell r="CD78">
            <v>7128</v>
          </cell>
          <cell r="CE78">
            <v>1065</v>
          </cell>
          <cell r="CF78">
            <v>93</v>
          </cell>
          <cell r="CG78">
            <v>730</v>
          </cell>
          <cell r="CH78">
            <v>9016</v>
          </cell>
          <cell r="CI78">
            <v>24519</v>
          </cell>
          <cell r="CJ78">
            <v>23892</v>
          </cell>
          <cell r="CK78">
            <v>6861</v>
          </cell>
          <cell r="CL78">
            <v>17030</v>
          </cell>
          <cell r="CM78">
            <v>48411</v>
          </cell>
        </row>
        <row r="79">
          <cell r="B79">
            <v>46559</v>
          </cell>
          <cell r="C79">
            <v>3044</v>
          </cell>
          <cell r="D79">
            <v>293</v>
          </cell>
          <cell r="E79">
            <v>1648</v>
          </cell>
          <cell r="F79">
            <v>127</v>
          </cell>
          <cell r="G79">
            <v>27</v>
          </cell>
          <cell r="H79">
            <v>5140</v>
          </cell>
          <cell r="I79">
            <v>51699</v>
          </cell>
          <cell r="J79">
            <v>650</v>
          </cell>
          <cell r="K79">
            <v>1270</v>
          </cell>
          <cell r="L79">
            <v>1921</v>
          </cell>
          <cell r="M79">
            <v>53619</v>
          </cell>
          <cell r="N79">
            <v>7404</v>
          </cell>
          <cell r="O79">
            <v>10425</v>
          </cell>
          <cell r="P79">
            <v>3697</v>
          </cell>
          <cell r="Q79">
            <v>1001</v>
          </cell>
          <cell r="R79">
            <v>22527</v>
          </cell>
          <cell r="S79">
            <v>22527</v>
          </cell>
          <cell r="T79">
            <v>8081</v>
          </cell>
          <cell r="U79">
            <v>130</v>
          </cell>
          <cell r="V79">
            <v>8211</v>
          </cell>
          <cell r="W79">
            <v>1088</v>
          </cell>
          <cell r="X79">
            <v>82</v>
          </cell>
          <cell r="Y79">
            <v>689</v>
          </cell>
          <cell r="Z79">
            <v>10069</v>
          </cell>
          <cell r="AA79">
            <v>32597</v>
          </cell>
          <cell r="AB79">
            <v>21023</v>
          </cell>
          <cell r="AC79">
            <v>3662</v>
          </cell>
          <cell r="AD79">
            <v>17361</v>
          </cell>
          <cell r="AE79">
            <v>53619</v>
          </cell>
          <cell r="AF79">
            <v>46928</v>
          </cell>
          <cell r="AG79">
            <v>3110</v>
          </cell>
          <cell r="AH79">
            <v>289</v>
          </cell>
          <cell r="AI79">
            <v>1487</v>
          </cell>
          <cell r="AJ79">
            <v>128</v>
          </cell>
          <cell r="AK79">
            <v>27</v>
          </cell>
          <cell r="AL79">
            <v>5041</v>
          </cell>
          <cell r="AM79">
            <v>51969</v>
          </cell>
          <cell r="AN79">
            <v>643</v>
          </cell>
          <cell r="AO79">
            <v>1281</v>
          </cell>
          <cell r="AP79">
            <v>1924</v>
          </cell>
          <cell r="AQ79">
            <v>53893</v>
          </cell>
          <cell r="AR79">
            <v>7459</v>
          </cell>
          <cell r="AS79">
            <v>11392</v>
          </cell>
          <cell r="AT79">
            <v>4028</v>
          </cell>
          <cell r="AU79">
            <v>968</v>
          </cell>
          <cell r="AV79">
            <v>23846</v>
          </cell>
          <cell r="AW79">
            <v>23846</v>
          </cell>
          <cell r="AX79">
            <v>8050</v>
          </cell>
          <cell r="AY79">
            <v>132</v>
          </cell>
          <cell r="AZ79">
            <v>8181</v>
          </cell>
          <cell r="BA79">
            <v>1092</v>
          </cell>
          <cell r="BB79">
            <v>87</v>
          </cell>
          <cell r="BC79">
            <v>720</v>
          </cell>
          <cell r="BD79">
            <v>10080</v>
          </cell>
          <cell r="BE79">
            <v>33926</v>
          </cell>
          <cell r="BF79">
            <v>19966</v>
          </cell>
          <cell r="BG79">
            <v>2602</v>
          </cell>
          <cell r="BH79">
            <v>17364</v>
          </cell>
          <cell r="BI79">
            <v>53893</v>
          </cell>
          <cell r="BJ79">
            <v>48133</v>
          </cell>
          <cell r="BK79">
            <v>3116</v>
          </cell>
          <cell r="BL79">
            <v>253</v>
          </cell>
          <cell r="BM79">
            <v>1349</v>
          </cell>
          <cell r="BN79">
            <v>128</v>
          </cell>
          <cell r="BO79">
            <v>23</v>
          </cell>
          <cell r="BP79">
            <v>4869</v>
          </cell>
          <cell r="BQ79">
            <v>53002</v>
          </cell>
          <cell r="BR79">
            <v>635</v>
          </cell>
          <cell r="BS79">
            <v>1156</v>
          </cell>
          <cell r="BT79">
            <v>1791</v>
          </cell>
          <cell r="BU79">
            <v>54793</v>
          </cell>
          <cell r="BV79">
            <v>7443</v>
          </cell>
          <cell r="BW79">
            <v>17257</v>
          </cell>
          <cell r="BX79">
            <v>4682</v>
          </cell>
          <cell r="BY79">
            <v>1038</v>
          </cell>
          <cell r="BZ79">
            <v>30421</v>
          </cell>
          <cell r="CA79">
            <v>30421</v>
          </cell>
          <cell r="CB79">
            <v>8691</v>
          </cell>
          <cell r="CC79">
            <v>131</v>
          </cell>
          <cell r="CD79">
            <v>8822</v>
          </cell>
          <cell r="CE79">
            <v>1092</v>
          </cell>
          <cell r="CF79">
            <v>85</v>
          </cell>
          <cell r="CG79">
            <v>631</v>
          </cell>
          <cell r="CH79">
            <v>10630</v>
          </cell>
          <cell r="CI79">
            <v>41050</v>
          </cell>
          <cell r="CJ79">
            <v>13743</v>
          </cell>
          <cell r="CK79">
            <v>-3622</v>
          </cell>
          <cell r="CL79">
            <v>17364</v>
          </cell>
          <cell r="CM79">
            <v>54793</v>
          </cell>
        </row>
        <row r="80">
          <cell r="B80">
            <v>48001</v>
          </cell>
          <cell r="C80">
            <v>3173</v>
          </cell>
          <cell r="D80">
            <v>301</v>
          </cell>
          <cell r="E80">
            <v>1682</v>
          </cell>
          <cell r="F80">
            <v>132</v>
          </cell>
          <cell r="G80">
            <v>30</v>
          </cell>
          <cell r="H80">
            <v>5317</v>
          </cell>
          <cell r="I80">
            <v>53318</v>
          </cell>
          <cell r="J80">
            <v>666</v>
          </cell>
          <cell r="K80">
            <v>1387</v>
          </cell>
          <cell r="L80">
            <v>2054</v>
          </cell>
          <cell r="M80">
            <v>55372</v>
          </cell>
          <cell r="N80">
            <v>7754</v>
          </cell>
          <cell r="O80">
            <v>11060</v>
          </cell>
          <cell r="P80">
            <v>3774</v>
          </cell>
          <cell r="Q80">
            <v>1066</v>
          </cell>
          <cell r="R80">
            <v>23654</v>
          </cell>
          <cell r="S80">
            <v>23654</v>
          </cell>
          <cell r="T80">
            <v>8485</v>
          </cell>
          <cell r="U80">
            <v>142</v>
          </cell>
          <cell r="V80">
            <v>8627</v>
          </cell>
          <cell r="W80">
            <v>1111</v>
          </cell>
          <cell r="X80">
            <v>76</v>
          </cell>
          <cell r="Y80">
            <v>758</v>
          </cell>
          <cell r="Z80">
            <v>10572</v>
          </cell>
          <cell r="AA80">
            <v>34226</v>
          </cell>
          <cell r="AB80">
            <v>21146</v>
          </cell>
          <cell r="AC80">
            <v>3432</v>
          </cell>
          <cell r="AD80">
            <v>17714</v>
          </cell>
          <cell r="AE80">
            <v>55372</v>
          </cell>
          <cell r="AF80">
            <v>48922</v>
          </cell>
          <cell r="AG80">
            <v>3191</v>
          </cell>
          <cell r="AH80">
            <v>272</v>
          </cell>
          <cell r="AI80">
            <v>1704</v>
          </cell>
          <cell r="AJ80">
            <v>132</v>
          </cell>
          <cell r="AK80">
            <v>31</v>
          </cell>
          <cell r="AL80">
            <v>5329</v>
          </cell>
          <cell r="AM80">
            <v>54252</v>
          </cell>
          <cell r="AN80">
            <v>648</v>
          </cell>
          <cell r="AO80">
            <v>1429</v>
          </cell>
          <cell r="AP80">
            <v>2077</v>
          </cell>
          <cell r="AQ80">
            <v>56329</v>
          </cell>
          <cell r="AR80">
            <v>7802</v>
          </cell>
          <cell r="AS80">
            <v>10759</v>
          </cell>
          <cell r="AT80">
            <v>3631</v>
          </cell>
          <cell r="AU80">
            <v>1046</v>
          </cell>
          <cell r="AV80">
            <v>23237</v>
          </cell>
          <cell r="AW80">
            <v>23237</v>
          </cell>
          <cell r="AX80">
            <v>8628</v>
          </cell>
          <cell r="AY80">
            <v>142</v>
          </cell>
          <cell r="AZ80">
            <v>8769</v>
          </cell>
          <cell r="BA80">
            <v>1110</v>
          </cell>
          <cell r="BB80">
            <v>71</v>
          </cell>
          <cell r="BC80">
            <v>1047</v>
          </cell>
          <cell r="BD80">
            <v>10998</v>
          </cell>
          <cell r="BE80">
            <v>34235</v>
          </cell>
          <cell r="BF80">
            <v>22094</v>
          </cell>
          <cell r="BG80">
            <v>4383</v>
          </cell>
          <cell r="BH80">
            <v>17711</v>
          </cell>
          <cell r="BI80">
            <v>56329</v>
          </cell>
          <cell r="BJ80">
            <v>52800</v>
          </cell>
          <cell r="BK80">
            <v>3194</v>
          </cell>
          <cell r="BL80">
            <v>269</v>
          </cell>
          <cell r="BM80">
            <v>1624</v>
          </cell>
          <cell r="BN80">
            <v>132</v>
          </cell>
          <cell r="BO80">
            <v>30</v>
          </cell>
          <cell r="BP80">
            <v>5249</v>
          </cell>
          <cell r="BQ80">
            <v>58049</v>
          </cell>
          <cell r="BR80">
            <v>652</v>
          </cell>
          <cell r="BS80">
            <v>1301</v>
          </cell>
          <cell r="BT80">
            <v>1953</v>
          </cell>
          <cell r="BU80">
            <v>60002</v>
          </cell>
          <cell r="BV80">
            <v>7801</v>
          </cell>
          <cell r="BW80">
            <v>4824</v>
          </cell>
          <cell r="BX80">
            <v>2953</v>
          </cell>
          <cell r="BY80">
            <v>1008</v>
          </cell>
          <cell r="BZ80">
            <v>16586</v>
          </cell>
          <cell r="CA80">
            <v>16586</v>
          </cell>
          <cell r="CB80">
            <v>9558</v>
          </cell>
          <cell r="CC80">
            <v>141</v>
          </cell>
          <cell r="CD80">
            <v>9699</v>
          </cell>
          <cell r="CE80">
            <v>1110</v>
          </cell>
          <cell r="CF80">
            <v>77</v>
          </cell>
          <cell r="CG80">
            <v>998</v>
          </cell>
          <cell r="CH80">
            <v>11884</v>
          </cell>
          <cell r="CI80">
            <v>28471</v>
          </cell>
          <cell r="CJ80">
            <v>31531</v>
          </cell>
          <cell r="CK80">
            <v>13820</v>
          </cell>
          <cell r="CL80">
            <v>17711</v>
          </cell>
          <cell r="CM80">
            <v>60002</v>
          </cell>
        </row>
        <row r="81">
          <cell r="B81">
            <v>48987</v>
          </cell>
          <cell r="C81">
            <v>3319</v>
          </cell>
          <cell r="D81">
            <v>355</v>
          </cell>
          <cell r="E81">
            <v>1823</v>
          </cell>
          <cell r="F81">
            <v>135</v>
          </cell>
          <cell r="G81">
            <v>31</v>
          </cell>
          <cell r="H81">
            <v>5663</v>
          </cell>
          <cell r="I81">
            <v>54650</v>
          </cell>
          <cell r="J81">
            <v>681</v>
          </cell>
          <cell r="K81">
            <v>1460</v>
          </cell>
          <cell r="L81">
            <v>2141</v>
          </cell>
          <cell r="M81">
            <v>56791</v>
          </cell>
          <cell r="N81">
            <v>8159</v>
          </cell>
          <cell r="O81">
            <v>11558</v>
          </cell>
          <cell r="P81">
            <v>4169</v>
          </cell>
          <cell r="Q81">
            <v>1124</v>
          </cell>
          <cell r="R81">
            <v>25011</v>
          </cell>
          <cell r="S81">
            <v>25011</v>
          </cell>
          <cell r="T81">
            <v>8803</v>
          </cell>
          <cell r="U81">
            <v>155</v>
          </cell>
          <cell r="V81">
            <v>8959</v>
          </cell>
          <cell r="W81">
            <v>1139</v>
          </cell>
          <cell r="X81">
            <v>73</v>
          </cell>
          <cell r="Y81">
            <v>818</v>
          </cell>
          <cell r="Z81">
            <v>10989</v>
          </cell>
          <cell r="AA81">
            <v>35999</v>
          </cell>
          <cell r="AB81">
            <v>20791</v>
          </cell>
          <cell r="AC81">
            <v>2684</v>
          </cell>
          <cell r="AD81">
            <v>18107</v>
          </cell>
          <cell r="AE81">
            <v>56791</v>
          </cell>
          <cell r="AF81">
            <v>49342</v>
          </cell>
          <cell r="AG81">
            <v>3280</v>
          </cell>
          <cell r="AH81">
            <v>366</v>
          </cell>
          <cell r="AI81">
            <v>1876</v>
          </cell>
          <cell r="AJ81">
            <v>135</v>
          </cell>
          <cell r="AK81">
            <v>36</v>
          </cell>
          <cell r="AL81">
            <v>5692</v>
          </cell>
          <cell r="AM81">
            <v>55034</v>
          </cell>
          <cell r="AN81">
            <v>713</v>
          </cell>
          <cell r="AO81">
            <v>1451</v>
          </cell>
          <cell r="AP81">
            <v>2163</v>
          </cell>
          <cell r="AQ81">
            <v>57198</v>
          </cell>
          <cell r="AR81">
            <v>8146</v>
          </cell>
          <cell r="AS81">
            <v>12725</v>
          </cell>
          <cell r="AT81">
            <v>3894</v>
          </cell>
          <cell r="AU81">
            <v>1125</v>
          </cell>
          <cell r="AV81">
            <v>25890</v>
          </cell>
          <cell r="AW81">
            <v>25890</v>
          </cell>
          <cell r="AX81">
            <v>8724</v>
          </cell>
          <cell r="AY81">
            <v>154</v>
          </cell>
          <cell r="AZ81">
            <v>8878</v>
          </cell>
          <cell r="BA81">
            <v>1137</v>
          </cell>
          <cell r="BB81">
            <v>74</v>
          </cell>
          <cell r="BC81">
            <v>851</v>
          </cell>
          <cell r="BD81">
            <v>10939</v>
          </cell>
          <cell r="BE81">
            <v>36829</v>
          </cell>
          <cell r="BF81">
            <v>20369</v>
          </cell>
          <cell r="BG81">
            <v>2268</v>
          </cell>
          <cell r="BH81">
            <v>18100</v>
          </cell>
          <cell r="BI81">
            <v>57198</v>
          </cell>
          <cell r="BJ81">
            <v>46069</v>
          </cell>
          <cell r="BK81">
            <v>3282</v>
          </cell>
          <cell r="BL81">
            <v>290</v>
          </cell>
          <cell r="BM81">
            <v>2119</v>
          </cell>
          <cell r="BN81">
            <v>135</v>
          </cell>
          <cell r="BO81">
            <v>35</v>
          </cell>
          <cell r="BP81">
            <v>5861</v>
          </cell>
          <cell r="BQ81">
            <v>51930</v>
          </cell>
          <cell r="BR81">
            <v>722</v>
          </cell>
          <cell r="BS81">
            <v>1568</v>
          </cell>
          <cell r="BT81">
            <v>2289</v>
          </cell>
          <cell r="BU81">
            <v>54219</v>
          </cell>
          <cell r="BV81">
            <v>8158</v>
          </cell>
          <cell r="BW81">
            <v>18595</v>
          </cell>
          <cell r="BX81">
            <v>3960</v>
          </cell>
          <cell r="BY81">
            <v>1099</v>
          </cell>
          <cell r="BZ81">
            <v>31812</v>
          </cell>
          <cell r="CA81">
            <v>31812</v>
          </cell>
          <cell r="CB81">
            <v>7693</v>
          </cell>
          <cell r="CC81">
            <v>151</v>
          </cell>
          <cell r="CD81">
            <v>7844</v>
          </cell>
          <cell r="CE81">
            <v>1137</v>
          </cell>
          <cell r="CF81">
            <v>64</v>
          </cell>
          <cell r="CG81">
            <v>817</v>
          </cell>
          <cell r="CH81">
            <v>9863</v>
          </cell>
          <cell r="CI81">
            <v>41675</v>
          </cell>
          <cell r="CJ81">
            <v>12544</v>
          </cell>
          <cell r="CK81">
            <v>-5556</v>
          </cell>
          <cell r="CL81">
            <v>18100</v>
          </cell>
          <cell r="CM81">
            <v>54219</v>
          </cell>
        </row>
        <row r="82">
          <cell r="B82">
            <v>50606</v>
          </cell>
          <cell r="C82">
            <v>3559</v>
          </cell>
          <cell r="D82">
            <v>398</v>
          </cell>
          <cell r="E82">
            <v>2077</v>
          </cell>
          <cell r="F82">
            <v>137</v>
          </cell>
          <cell r="G82">
            <v>28</v>
          </cell>
          <cell r="H82">
            <v>6199</v>
          </cell>
          <cell r="I82">
            <v>56804</v>
          </cell>
          <cell r="J82">
            <v>682</v>
          </cell>
          <cell r="K82">
            <v>1455</v>
          </cell>
          <cell r="L82">
            <v>2136</v>
          </cell>
          <cell r="M82">
            <v>58941</v>
          </cell>
          <cell r="N82">
            <v>8696</v>
          </cell>
          <cell r="O82">
            <v>12297</v>
          </cell>
          <cell r="P82">
            <v>4851</v>
          </cell>
          <cell r="Q82">
            <v>1160</v>
          </cell>
          <cell r="R82">
            <v>27003</v>
          </cell>
          <cell r="S82">
            <v>27003</v>
          </cell>
          <cell r="T82">
            <v>9113</v>
          </cell>
          <cell r="U82">
            <v>166</v>
          </cell>
          <cell r="V82">
            <v>9279</v>
          </cell>
          <cell r="W82">
            <v>1175</v>
          </cell>
          <cell r="X82">
            <v>76</v>
          </cell>
          <cell r="Y82">
            <v>867</v>
          </cell>
          <cell r="Z82">
            <v>11397</v>
          </cell>
          <cell r="AA82">
            <v>38400</v>
          </cell>
          <cell r="AB82">
            <v>20540</v>
          </cell>
          <cell r="AC82">
            <v>1991</v>
          </cell>
          <cell r="AD82">
            <v>18549</v>
          </cell>
          <cell r="AE82">
            <v>58941</v>
          </cell>
          <cell r="AF82">
            <v>48861</v>
          </cell>
          <cell r="AG82">
            <v>3537</v>
          </cell>
          <cell r="AH82">
            <v>407</v>
          </cell>
          <cell r="AI82">
            <v>2022</v>
          </cell>
          <cell r="AJ82">
            <v>138</v>
          </cell>
          <cell r="AK82">
            <v>22</v>
          </cell>
          <cell r="AL82">
            <v>6125</v>
          </cell>
          <cell r="AM82">
            <v>54986</v>
          </cell>
          <cell r="AN82">
            <v>672</v>
          </cell>
          <cell r="AO82">
            <v>1468</v>
          </cell>
          <cell r="AP82">
            <v>2140</v>
          </cell>
          <cell r="AQ82">
            <v>57126</v>
          </cell>
          <cell r="AR82">
            <v>8606</v>
          </cell>
          <cell r="AS82">
            <v>11376</v>
          </cell>
          <cell r="AT82">
            <v>4902</v>
          </cell>
          <cell r="AU82">
            <v>1198</v>
          </cell>
          <cell r="AV82">
            <v>26083</v>
          </cell>
          <cell r="AW82">
            <v>26083</v>
          </cell>
          <cell r="AX82">
            <v>9067</v>
          </cell>
          <cell r="AY82">
            <v>168</v>
          </cell>
          <cell r="AZ82">
            <v>9235</v>
          </cell>
          <cell r="BA82">
            <v>1171</v>
          </cell>
          <cell r="BB82">
            <v>77</v>
          </cell>
          <cell r="BC82">
            <v>842</v>
          </cell>
          <cell r="BD82">
            <v>11324</v>
          </cell>
          <cell r="BE82">
            <v>37407</v>
          </cell>
          <cell r="BF82">
            <v>19719</v>
          </cell>
          <cell r="BG82">
            <v>1186</v>
          </cell>
          <cell r="BH82">
            <v>18532</v>
          </cell>
          <cell r="BI82">
            <v>57126</v>
          </cell>
          <cell r="BJ82">
            <v>46966</v>
          </cell>
          <cell r="BK82">
            <v>3527</v>
          </cell>
          <cell r="BL82">
            <v>538</v>
          </cell>
          <cell r="BM82">
            <v>1997</v>
          </cell>
          <cell r="BN82">
            <v>138</v>
          </cell>
          <cell r="BO82">
            <v>27</v>
          </cell>
          <cell r="BP82">
            <v>6226</v>
          </cell>
          <cell r="BQ82">
            <v>53192</v>
          </cell>
          <cell r="BR82">
            <v>671</v>
          </cell>
          <cell r="BS82">
            <v>1643</v>
          </cell>
          <cell r="BT82">
            <v>2313</v>
          </cell>
          <cell r="BU82">
            <v>55505</v>
          </cell>
          <cell r="BV82">
            <v>8610</v>
          </cell>
          <cell r="BW82">
            <v>5177</v>
          </cell>
          <cell r="BX82">
            <v>4900</v>
          </cell>
          <cell r="BY82">
            <v>1174</v>
          </cell>
          <cell r="BZ82">
            <v>19861</v>
          </cell>
          <cell r="CA82">
            <v>19861</v>
          </cell>
          <cell r="CB82">
            <v>8484</v>
          </cell>
          <cell r="CC82">
            <v>172</v>
          </cell>
          <cell r="CD82">
            <v>8656</v>
          </cell>
          <cell r="CE82">
            <v>1171</v>
          </cell>
          <cell r="CF82">
            <v>84</v>
          </cell>
          <cell r="CG82">
            <v>1017</v>
          </cell>
          <cell r="CH82">
            <v>10929</v>
          </cell>
          <cell r="CI82">
            <v>30790</v>
          </cell>
          <cell r="CJ82">
            <v>24716</v>
          </cell>
          <cell r="CK82">
            <v>6183</v>
          </cell>
          <cell r="CL82">
            <v>18532</v>
          </cell>
          <cell r="CM82">
            <v>55505</v>
          </cell>
        </row>
        <row r="83">
          <cell r="B83">
            <v>52495</v>
          </cell>
          <cell r="C83">
            <v>3930</v>
          </cell>
          <cell r="D83">
            <v>388</v>
          </cell>
          <cell r="E83">
            <v>2366</v>
          </cell>
          <cell r="F83">
            <v>138</v>
          </cell>
          <cell r="G83">
            <v>24</v>
          </cell>
          <cell r="H83">
            <v>6846</v>
          </cell>
          <cell r="I83">
            <v>59341</v>
          </cell>
          <cell r="J83">
            <v>673</v>
          </cell>
          <cell r="K83">
            <v>1468</v>
          </cell>
          <cell r="L83">
            <v>2140</v>
          </cell>
          <cell r="M83">
            <v>61481</v>
          </cell>
          <cell r="N83">
            <v>9429</v>
          </cell>
          <cell r="O83">
            <v>13444</v>
          </cell>
          <cell r="P83">
            <v>5412</v>
          </cell>
          <cell r="Q83">
            <v>1156</v>
          </cell>
          <cell r="R83">
            <v>29441</v>
          </cell>
          <cell r="S83">
            <v>29441</v>
          </cell>
          <cell r="T83">
            <v>9561</v>
          </cell>
          <cell r="U83">
            <v>174</v>
          </cell>
          <cell r="V83">
            <v>9734</v>
          </cell>
          <cell r="W83">
            <v>1217</v>
          </cell>
          <cell r="X83">
            <v>90</v>
          </cell>
          <cell r="Y83">
            <v>914</v>
          </cell>
          <cell r="Z83">
            <v>11955</v>
          </cell>
          <cell r="AA83">
            <v>41396</v>
          </cell>
          <cell r="AB83">
            <v>20085</v>
          </cell>
          <cell r="AC83">
            <v>1071</v>
          </cell>
          <cell r="AD83">
            <v>19014</v>
          </cell>
          <cell r="AE83">
            <v>61481</v>
          </cell>
          <cell r="AF83">
            <v>53188</v>
          </cell>
          <cell r="AG83">
            <v>3926</v>
          </cell>
          <cell r="AH83">
            <v>422</v>
          </cell>
          <cell r="AI83">
            <v>2366</v>
          </cell>
          <cell r="AJ83">
            <v>137</v>
          </cell>
          <cell r="AK83">
            <v>27</v>
          </cell>
          <cell r="AL83">
            <v>6878</v>
          </cell>
          <cell r="AM83">
            <v>60067</v>
          </cell>
          <cell r="AN83">
            <v>672</v>
          </cell>
          <cell r="AO83">
            <v>1438</v>
          </cell>
          <cell r="AP83">
            <v>2110</v>
          </cell>
          <cell r="AQ83">
            <v>62177</v>
          </cell>
          <cell r="AR83">
            <v>9448</v>
          </cell>
          <cell r="AS83">
            <v>13552</v>
          </cell>
          <cell r="AT83">
            <v>5821</v>
          </cell>
          <cell r="AU83">
            <v>1159</v>
          </cell>
          <cell r="AV83">
            <v>29980</v>
          </cell>
          <cell r="AW83">
            <v>29980</v>
          </cell>
          <cell r="AX83">
            <v>9603</v>
          </cell>
          <cell r="AY83">
            <v>177</v>
          </cell>
          <cell r="AZ83">
            <v>9780</v>
          </cell>
          <cell r="BA83">
            <v>1221</v>
          </cell>
          <cell r="BB83">
            <v>86</v>
          </cell>
          <cell r="BC83">
            <v>915</v>
          </cell>
          <cell r="BD83">
            <v>12002</v>
          </cell>
          <cell r="BE83">
            <v>41982</v>
          </cell>
          <cell r="BF83">
            <v>20195</v>
          </cell>
          <cell r="BG83">
            <v>1161</v>
          </cell>
          <cell r="BH83">
            <v>19034</v>
          </cell>
          <cell r="BI83">
            <v>62177</v>
          </cell>
          <cell r="BJ83">
            <v>54596</v>
          </cell>
          <cell r="BK83">
            <v>3933</v>
          </cell>
          <cell r="BL83">
            <v>369</v>
          </cell>
          <cell r="BM83">
            <v>2228</v>
          </cell>
          <cell r="BN83">
            <v>137</v>
          </cell>
          <cell r="BO83">
            <v>23</v>
          </cell>
          <cell r="BP83">
            <v>6690</v>
          </cell>
          <cell r="BQ83">
            <v>61286</v>
          </cell>
          <cell r="BR83">
            <v>661</v>
          </cell>
          <cell r="BS83">
            <v>1288</v>
          </cell>
          <cell r="BT83">
            <v>1949</v>
          </cell>
          <cell r="BU83">
            <v>63235</v>
          </cell>
          <cell r="BV83">
            <v>9428</v>
          </cell>
          <cell r="BW83">
            <v>21403</v>
          </cell>
          <cell r="BX83">
            <v>6443</v>
          </cell>
          <cell r="BY83">
            <v>1248</v>
          </cell>
          <cell r="BZ83">
            <v>38523</v>
          </cell>
          <cell r="CA83">
            <v>38523</v>
          </cell>
          <cell r="CB83">
            <v>10377</v>
          </cell>
          <cell r="CC83">
            <v>177</v>
          </cell>
          <cell r="CD83">
            <v>10554</v>
          </cell>
          <cell r="CE83">
            <v>1221</v>
          </cell>
          <cell r="CF83">
            <v>84</v>
          </cell>
          <cell r="CG83">
            <v>791</v>
          </cell>
          <cell r="CH83">
            <v>12649</v>
          </cell>
          <cell r="CI83">
            <v>51172</v>
          </cell>
          <cell r="CJ83">
            <v>12063</v>
          </cell>
          <cell r="CK83">
            <v>-6970</v>
          </cell>
          <cell r="CL83">
            <v>19034</v>
          </cell>
          <cell r="CM83">
            <v>63235</v>
          </cell>
        </row>
        <row r="84">
          <cell r="B84">
            <v>54327</v>
          </cell>
          <cell r="C84">
            <v>4340</v>
          </cell>
          <cell r="D84">
            <v>352</v>
          </cell>
          <cell r="E84">
            <v>2678</v>
          </cell>
          <cell r="F84">
            <v>140</v>
          </cell>
          <cell r="G84">
            <v>23</v>
          </cell>
          <cell r="H84">
            <v>7532</v>
          </cell>
          <cell r="I84">
            <v>61859</v>
          </cell>
          <cell r="J84">
            <v>676</v>
          </cell>
          <cell r="K84">
            <v>1498</v>
          </cell>
          <cell r="L84">
            <v>2174</v>
          </cell>
          <cell r="M84">
            <v>64033</v>
          </cell>
          <cell r="N84">
            <v>10200</v>
          </cell>
          <cell r="O84">
            <v>14226</v>
          </cell>
          <cell r="P84">
            <v>5524</v>
          </cell>
          <cell r="Q84">
            <v>1164</v>
          </cell>
          <cell r="R84">
            <v>31114</v>
          </cell>
          <cell r="S84">
            <v>31114</v>
          </cell>
          <cell r="T84">
            <v>10153</v>
          </cell>
          <cell r="U84">
            <v>180</v>
          </cell>
          <cell r="V84">
            <v>10334</v>
          </cell>
          <cell r="W84">
            <v>1256</v>
          </cell>
          <cell r="X84">
            <v>107</v>
          </cell>
          <cell r="Y84">
            <v>949</v>
          </cell>
          <cell r="Z84">
            <v>12645</v>
          </cell>
          <cell r="AA84">
            <v>43759</v>
          </cell>
          <cell r="AB84">
            <v>20274</v>
          </cell>
          <cell r="AC84">
            <v>805</v>
          </cell>
          <cell r="AD84">
            <v>19469</v>
          </cell>
          <cell r="AE84">
            <v>64033</v>
          </cell>
          <cell r="AF84">
            <v>54778</v>
          </cell>
          <cell r="AG84">
            <v>4353</v>
          </cell>
          <cell r="AH84">
            <v>313</v>
          </cell>
          <cell r="AI84">
            <v>2709</v>
          </cell>
          <cell r="AJ84">
            <v>140</v>
          </cell>
          <cell r="AK84">
            <v>23</v>
          </cell>
          <cell r="AL84">
            <v>7538</v>
          </cell>
          <cell r="AM84">
            <v>62316</v>
          </cell>
          <cell r="AN84">
            <v>677</v>
          </cell>
          <cell r="AO84">
            <v>1467</v>
          </cell>
          <cell r="AP84">
            <v>2145</v>
          </cell>
          <cell r="AQ84">
            <v>64461</v>
          </cell>
          <cell r="AR84">
            <v>10278</v>
          </cell>
          <cell r="AS84">
            <v>15192</v>
          </cell>
          <cell r="AT84">
            <v>5264</v>
          </cell>
          <cell r="AU84">
            <v>1089</v>
          </cell>
          <cell r="AV84">
            <v>31823</v>
          </cell>
          <cell r="AW84">
            <v>31823</v>
          </cell>
          <cell r="AX84">
            <v>9925</v>
          </cell>
          <cell r="AY84">
            <v>175</v>
          </cell>
          <cell r="AZ84">
            <v>10099</v>
          </cell>
          <cell r="BA84">
            <v>1255</v>
          </cell>
          <cell r="BB84">
            <v>102</v>
          </cell>
          <cell r="BC84">
            <v>953</v>
          </cell>
          <cell r="BD84">
            <v>12410</v>
          </cell>
          <cell r="BE84">
            <v>44232</v>
          </cell>
          <cell r="BF84">
            <v>20228</v>
          </cell>
          <cell r="BG84">
            <v>762</v>
          </cell>
          <cell r="BH84">
            <v>19466</v>
          </cell>
          <cell r="BI84">
            <v>64461</v>
          </cell>
          <cell r="BJ84">
            <v>59203</v>
          </cell>
          <cell r="BK84">
            <v>4355</v>
          </cell>
          <cell r="BL84">
            <v>310</v>
          </cell>
          <cell r="BM84">
            <v>2629</v>
          </cell>
          <cell r="BN84">
            <v>140</v>
          </cell>
          <cell r="BO84">
            <v>22</v>
          </cell>
          <cell r="BP84">
            <v>7456</v>
          </cell>
          <cell r="BQ84">
            <v>66659</v>
          </cell>
          <cell r="BR84">
            <v>683</v>
          </cell>
          <cell r="BS84">
            <v>1322</v>
          </cell>
          <cell r="BT84">
            <v>2004</v>
          </cell>
          <cell r="BU84">
            <v>68664</v>
          </cell>
          <cell r="BV84">
            <v>10281</v>
          </cell>
          <cell r="BW84">
            <v>6604</v>
          </cell>
          <cell r="BX84">
            <v>4562</v>
          </cell>
          <cell r="BY84">
            <v>1064</v>
          </cell>
          <cell r="BZ84">
            <v>22510</v>
          </cell>
          <cell r="CA84">
            <v>22510</v>
          </cell>
          <cell r="CB84">
            <v>10953</v>
          </cell>
          <cell r="CC84">
            <v>173</v>
          </cell>
          <cell r="CD84">
            <v>11126</v>
          </cell>
          <cell r="CE84">
            <v>1255</v>
          </cell>
          <cell r="CF84">
            <v>106</v>
          </cell>
          <cell r="CG84">
            <v>904</v>
          </cell>
          <cell r="CH84">
            <v>13392</v>
          </cell>
          <cell r="CI84">
            <v>35902</v>
          </cell>
          <cell r="CJ84">
            <v>32761</v>
          </cell>
          <cell r="CK84">
            <v>13295</v>
          </cell>
          <cell r="CL84">
            <v>19466</v>
          </cell>
          <cell r="CM84">
            <v>68664</v>
          </cell>
        </row>
        <row r="85">
          <cell r="B85">
            <v>55904</v>
          </cell>
          <cell r="C85">
            <v>4675</v>
          </cell>
          <cell r="D85">
            <v>336</v>
          </cell>
          <cell r="E85">
            <v>2972</v>
          </cell>
          <cell r="F85">
            <v>145</v>
          </cell>
          <cell r="G85">
            <v>25</v>
          </cell>
          <cell r="H85">
            <v>8152</v>
          </cell>
          <cell r="I85">
            <v>64057</v>
          </cell>
          <cell r="J85">
            <v>722</v>
          </cell>
          <cell r="K85">
            <v>1513</v>
          </cell>
          <cell r="L85">
            <v>2236</v>
          </cell>
          <cell r="M85">
            <v>66292</v>
          </cell>
          <cell r="N85">
            <v>10627</v>
          </cell>
          <cell r="O85">
            <v>14373</v>
          </cell>
          <cell r="P85">
            <v>5198</v>
          </cell>
          <cell r="Q85">
            <v>1193</v>
          </cell>
          <cell r="R85">
            <v>31391</v>
          </cell>
          <cell r="S85">
            <v>31391</v>
          </cell>
          <cell r="T85">
            <v>10199</v>
          </cell>
          <cell r="U85">
            <v>188</v>
          </cell>
          <cell r="V85">
            <v>10387</v>
          </cell>
          <cell r="W85">
            <v>1282</v>
          </cell>
          <cell r="X85">
            <v>117</v>
          </cell>
          <cell r="Y85">
            <v>944</v>
          </cell>
          <cell r="Z85">
            <v>12730</v>
          </cell>
          <cell r="AA85">
            <v>44122</v>
          </cell>
          <cell r="AB85">
            <v>22171</v>
          </cell>
          <cell r="AC85">
            <v>2300</v>
          </cell>
          <cell r="AD85">
            <v>19871</v>
          </cell>
          <cell r="AE85">
            <v>66292</v>
          </cell>
          <cell r="AF85">
            <v>56288</v>
          </cell>
          <cell r="AG85">
            <v>4716</v>
          </cell>
          <cell r="AH85">
            <v>323</v>
          </cell>
          <cell r="AI85">
            <v>2972</v>
          </cell>
          <cell r="AJ85">
            <v>145</v>
          </cell>
          <cell r="AK85">
            <v>21</v>
          </cell>
          <cell r="AL85">
            <v>8176</v>
          </cell>
          <cell r="AM85">
            <v>64464</v>
          </cell>
          <cell r="AN85">
            <v>719</v>
          </cell>
          <cell r="AO85">
            <v>1608</v>
          </cell>
          <cell r="AP85">
            <v>2327</v>
          </cell>
          <cell r="AQ85">
            <v>66791</v>
          </cell>
          <cell r="AR85">
            <v>10653</v>
          </cell>
          <cell r="AS85">
            <v>13679</v>
          </cell>
          <cell r="AT85">
            <v>5292</v>
          </cell>
          <cell r="AU85">
            <v>1255</v>
          </cell>
          <cell r="AV85">
            <v>30879</v>
          </cell>
          <cell r="AW85">
            <v>30879</v>
          </cell>
          <cell r="AX85">
            <v>10443</v>
          </cell>
          <cell r="AY85">
            <v>190</v>
          </cell>
          <cell r="AZ85">
            <v>10633</v>
          </cell>
          <cell r="BA85">
            <v>1283</v>
          </cell>
          <cell r="BB85">
            <v>135</v>
          </cell>
          <cell r="BC85">
            <v>943</v>
          </cell>
          <cell r="BD85">
            <v>12994</v>
          </cell>
          <cell r="BE85">
            <v>43873</v>
          </cell>
          <cell r="BF85">
            <v>22918</v>
          </cell>
          <cell r="BG85">
            <v>3046</v>
          </cell>
          <cell r="BH85">
            <v>19872</v>
          </cell>
          <cell r="BI85">
            <v>66791</v>
          </cell>
          <cell r="BJ85">
            <v>52022</v>
          </cell>
          <cell r="BK85">
            <v>4714</v>
          </cell>
          <cell r="BL85">
            <v>257</v>
          </cell>
          <cell r="BM85">
            <v>3215</v>
          </cell>
          <cell r="BN85">
            <v>145</v>
          </cell>
          <cell r="BO85">
            <v>21</v>
          </cell>
          <cell r="BP85">
            <v>8351</v>
          </cell>
          <cell r="BQ85">
            <v>60373</v>
          </cell>
          <cell r="BR85">
            <v>724</v>
          </cell>
          <cell r="BS85">
            <v>1716</v>
          </cell>
          <cell r="BT85">
            <v>2440</v>
          </cell>
          <cell r="BU85">
            <v>62813</v>
          </cell>
          <cell r="BV85">
            <v>10665</v>
          </cell>
          <cell r="BW85">
            <v>21160</v>
          </cell>
          <cell r="BX85">
            <v>5338</v>
          </cell>
          <cell r="BY85">
            <v>1207</v>
          </cell>
          <cell r="BZ85">
            <v>38370</v>
          </cell>
          <cell r="CA85">
            <v>38370</v>
          </cell>
          <cell r="CB85">
            <v>9076</v>
          </cell>
          <cell r="CC85">
            <v>188</v>
          </cell>
          <cell r="CD85">
            <v>9264</v>
          </cell>
          <cell r="CE85">
            <v>1283</v>
          </cell>
          <cell r="CF85">
            <v>119</v>
          </cell>
          <cell r="CG85">
            <v>923</v>
          </cell>
          <cell r="CH85">
            <v>11589</v>
          </cell>
          <cell r="CI85">
            <v>49959</v>
          </cell>
          <cell r="CJ85">
            <v>12855</v>
          </cell>
          <cell r="CK85">
            <v>-7017</v>
          </cell>
          <cell r="CL85">
            <v>19872</v>
          </cell>
          <cell r="CM85">
            <v>62813</v>
          </cell>
        </row>
        <row r="86">
          <cell r="B86">
            <v>55083</v>
          </cell>
          <cell r="C86">
            <v>4908</v>
          </cell>
          <cell r="D86">
            <v>348</v>
          </cell>
          <cell r="E86">
            <v>3170</v>
          </cell>
          <cell r="F86">
            <v>152</v>
          </cell>
          <cell r="G86">
            <v>26</v>
          </cell>
          <cell r="H86">
            <v>8604</v>
          </cell>
          <cell r="I86">
            <v>63688</v>
          </cell>
          <cell r="J86">
            <v>820</v>
          </cell>
          <cell r="K86">
            <v>1499</v>
          </cell>
          <cell r="L86">
            <v>2319</v>
          </cell>
          <cell r="M86">
            <v>66006</v>
          </cell>
          <cell r="N86">
            <v>11429</v>
          </cell>
          <cell r="O86">
            <v>14246</v>
          </cell>
          <cell r="P86">
            <v>5029</v>
          </cell>
          <cell r="Q86">
            <v>1226</v>
          </cell>
          <cell r="R86">
            <v>31931</v>
          </cell>
          <cell r="S86">
            <v>31931</v>
          </cell>
          <cell r="T86">
            <v>9876</v>
          </cell>
          <cell r="U86">
            <v>199</v>
          </cell>
          <cell r="V86">
            <v>10075</v>
          </cell>
          <cell r="W86">
            <v>1293</v>
          </cell>
          <cell r="X86">
            <v>116</v>
          </cell>
          <cell r="Y86">
            <v>862</v>
          </cell>
          <cell r="Z86">
            <v>12346</v>
          </cell>
          <cell r="AA86">
            <v>44277</v>
          </cell>
          <cell r="AB86">
            <v>21729</v>
          </cell>
          <cell r="AC86">
            <v>1522</v>
          </cell>
          <cell r="AD86">
            <v>20207</v>
          </cell>
          <cell r="AE86">
            <v>66006</v>
          </cell>
          <cell r="AF86">
            <v>54534</v>
          </cell>
          <cell r="AG86">
            <v>4930</v>
          </cell>
          <cell r="AH86">
            <v>378</v>
          </cell>
          <cell r="AI86">
            <v>3134</v>
          </cell>
          <cell r="AJ86">
            <v>151</v>
          </cell>
          <cell r="AK86">
            <v>32</v>
          </cell>
          <cell r="AL86">
            <v>8625</v>
          </cell>
          <cell r="AM86">
            <v>63160</v>
          </cell>
          <cell r="AN86">
            <v>978</v>
          </cell>
          <cell r="AO86">
            <v>1055</v>
          </cell>
          <cell r="AP86">
            <v>2033</v>
          </cell>
          <cell r="AQ86">
            <v>65192</v>
          </cell>
          <cell r="AR86">
            <v>11253</v>
          </cell>
          <cell r="AS86">
            <v>14203</v>
          </cell>
          <cell r="AT86">
            <v>5129</v>
          </cell>
          <cell r="AU86">
            <v>1226</v>
          </cell>
          <cell r="AV86">
            <v>31812</v>
          </cell>
          <cell r="AW86">
            <v>31812</v>
          </cell>
          <cell r="AX86">
            <v>10175</v>
          </cell>
          <cell r="AY86">
            <v>200</v>
          </cell>
          <cell r="AZ86">
            <v>10375</v>
          </cell>
          <cell r="BA86">
            <v>1303</v>
          </cell>
          <cell r="BB86">
            <v>105</v>
          </cell>
          <cell r="BC86">
            <v>906</v>
          </cell>
          <cell r="BD86">
            <v>12690</v>
          </cell>
          <cell r="BE86">
            <v>44502</v>
          </cell>
          <cell r="BF86">
            <v>20691</v>
          </cell>
          <cell r="BG86">
            <v>440</v>
          </cell>
          <cell r="BH86">
            <v>20250</v>
          </cell>
          <cell r="BI86">
            <v>65192</v>
          </cell>
          <cell r="BJ86">
            <v>52629</v>
          </cell>
          <cell r="BK86">
            <v>4922</v>
          </cell>
          <cell r="BL86">
            <v>507</v>
          </cell>
          <cell r="BM86">
            <v>3109</v>
          </cell>
          <cell r="BN86">
            <v>151</v>
          </cell>
          <cell r="BO86">
            <v>36</v>
          </cell>
          <cell r="BP86">
            <v>8726</v>
          </cell>
          <cell r="BQ86">
            <v>61355</v>
          </cell>
          <cell r="BR86">
            <v>980</v>
          </cell>
          <cell r="BS86">
            <v>1197</v>
          </cell>
          <cell r="BT86">
            <v>2177</v>
          </cell>
          <cell r="BU86">
            <v>63532</v>
          </cell>
          <cell r="BV86">
            <v>11252</v>
          </cell>
          <cell r="BW86">
            <v>6280</v>
          </cell>
          <cell r="BX86">
            <v>6089</v>
          </cell>
          <cell r="BY86">
            <v>1204</v>
          </cell>
          <cell r="BZ86">
            <v>24824</v>
          </cell>
          <cell r="CA86">
            <v>24824</v>
          </cell>
          <cell r="CB86">
            <v>9672</v>
          </cell>
          <cell r="CC86">
            <v>204</v>
          </cell>
          <cell r="CD86">
            <v>9876</v>
          </cell>
          <cell r="CE86">
            <v>1303</v>
          </cell>
          <cell r="CF86">
            <v>118</v>
          </cell>
          <cell r="CG86">
            <v>1109</v>
          </cell>
          <cell r="CH86">
            <v>12406</v>
          </cell>
          <cell r="CI86">
            <v>37230</v>
          </cell>
          <cell r="CJ86">
            <v>26302</v>
          </cell>
          <cell r="CK86">
            <v>6052</v>
          </cell>
          <cell r="CL86">
            <v>20250</v>
          </cell>
          <cell r="CM86">
            <v>63532</v>
          </cell>
        </row>
        <row r="87">
          <cell r="B87">
            <v>55036</v>
          </cell>
          <cell r="C87">
            <v>5132</v>
          </cell>
          <cell r="D87">
            <v>376</v>
          </cell>
          <cell r="E87">
            <v>3284</v>
          </cell>
          <cell r="F87">
            <v>161</v>
          </cell>
          <cell r="G87">
            <v>25</v>
          </cell>
          <cell r="H87">
            <v>8979</v>
          </cell>
          <cell r="I87">
            <v>64015</v>
          </cell>
          <cell r="J87">
            <v>954</v>
          </cell>
          <cell r="K87">
            <v>1463</v>
          </cell>
          <cell r="L87">
            <v>2417</v>
          </cell>
          <cell r="M87">
            <v>66432</v>
          </cell>
          <cell r="N87">
            <v>12339</v>
          </cell>
          <cell r="O87">
            <v>14294</v>
          </cell>
          <cell r="P87">
            <v>5234</v>
          </cell>
          <cell r="Q87">
            <v>1206</v>
          </cell>
          <cell r="R87">
            <v>33073</v>
          </cell>
          <cell r="S87">
            <v>33073</v>
          </cell>
          <cell r="T87">
            <v>9578</v>
          </cell>
          <cell r="U87">
            <v>211</v>
          </cell>
          <cell r="V87">
            <v>9789</v>
          </cell>
          <cell r="W87">
            <v>1298</v>
          </cell>
          <cell r="X87">
            <v>112</v>
          </cell>
          <cell r="Y87">
            <v>759</v>
          </cell>
          <cell r="Z87">
            <v>11958</v>
          </cell>
          <cell r="AA87">
            <v>45031</v>
          </cell>
          <cell r="AB87">
            <v>21400</v>
          </cell>
          <cell r="AC87">
            <v>878</v>
          </cell>
          <cell r="AD87">
            <v>20523</v>
          </cell>
          <cell r="AE87">
            <v>66432</v>
          </cell>
          <cell r="AF87">
            <v>54669</v>
          </cell>
          <cell r="AG87">
            <v>5086</v>
          </cell>
          <cell r="AH87">
            <v>357</v>
          </cell>
          <cell r="AI87">
            <v>3414</v>
          </cell>
          <cell r="AJ87">
            <v>162</v>
          </cell>
          <cell r="AK87">
            <v>25</v>
          </cell>
          <cell r="AL87">
            <v>9044</v>
          </cell>
          <cell r="AM87">
            <v>63713</v>
          </cell>
          <cell r="AN87">
            <v>959</v>
          </cell>
          <cell r="AO87">
            <v>1485</v>
          </cell>
          <cell r="AP87">
            <v>2443</v>
          </cell>
          <cell r="AQ87">
            <v>66157</v>
          </cell>
          <cell r="AR87">
            <v>12461</v>
          </cell>
          <cell r="AS87">
            <v>14524</v>
          </cell>
          <cell r="AT87">
            <v>4632</v>
          </cell>
          <cell r="AU87">
            <v>1200</v>
          </cell>
          <cell r="AV87">
            <v>32817</v>
          </cell>
          <cell r="AW87">
            <v>32817</v>
          </cell>
          <cell r="AX87">
            <v>9000</v>
          </cell>
          <cell r="AY87">
            <v>210</v>
          </cell>
          <cell r="AZ87">
            <v>9209</v>
          </cell>
          <cell r="BA87">
            <v>1291</v>
          </cell>
          <cell r="BB87">
            <v>112</v>
          </cell>
          <cell r="BC87">
            <v>732</v>
          </cell>
          <cell r="BD87">
            <v>11344</v>
          </cell>
          <cell r="BE87">
            <v>44161</v>
          </cell>
          <cell r="BF87">
            <v>21995</v>
          </cell>
          <cell r="BG87">
            <v>1501</v>
          </cell>
          <cell r="BH87">
            <v>20494</v>
          </cell>
          <cell r="BI87">
            <v>66157</v>
          </cell>
          <cell r="BJ87">
            <v>56120</v>
          </cell>
          <cell r="BK87">
            <v>5092</v>
          </cell>
          <cell r="BL87">
            <v>307</v>
          </cell>
          <cell r="BM87">
            <v>3276</v>
          </cell>
          <cell r="BN87">
            <v>162</v>
          </cell>
          <cell r="BO87">
            <v>22</v>
          </cell>
          <cell r="BP87">
            <v>8858</v>
          </cell>
          <cell r="BQ87">
            <v>64978</v>
          </cell>
          <cell r="BR87">
            <v>943</v>
          </cell>
          <cell r="BS87">
            <v>1319</v>
          </cell>
          <cell r="BT87">
            <v>2262</v>
          </cell>
          <cell r="BU87">
            <v>67240</v>
          </cell>
          <cell r="BV87">
            <v>12449</v>
          </cell>
          <cell r="BW87">
            <v>23527</v>
          </cell>
          <cell r="BX87">
            <v>5106</v>
          </cell>
          <cell r="BY87">
            <v>1295</v>
          </cell>
          <cell r="BZ87">
            <v>42376</v>
          </cell>
          <cell r="CA87">
            <v>42376</v>
          </cell>
          <cell r="CB87">
            <v>9719</v>
          </cell>
          <cell r="CC87">
            <v>209</v>
          </cell>
          <cell r="CD87">
            <v>9928</v>
          </cell>
          <cell r="CE87">
            <v>1291</v>
          </cell>
          <cell r="CF87">
            <v>108</v>
          </cell>
          <cell r="CG87">
            <v>626</v>
          </cell>
          <cell r="CH87">
            <v>11952</v>
          </cell>
          <cell r="CI87">
            <v>54328</v>
          </cell>
          <cell r="CJ87">
            <v>12912</v>
          </cell>
          <cell r="CK87">
            <v>-7582</v>
          </cell>
          <cell r="CL87">
            <v>20494</v>
          </cell>
          <cell r="CM87">
            <v>67240</v>
          </cell>
        </row>
        <row r="88">
          <cell r="B88">
            <v>55132</v>
          </cell>
          <cell r="C88">
            <v>5490</v>
          </cell>
          <cell r="D88">
            <v>389</v>
          </cell>
          <cell r="E88">
            <v>3400</v>
          </cell>
          <cell r="F88">
            <v>168</v>
          </cell>
          <cell r="G88">
            <v>25</v>
          </cell>
          <cell r="H88">
            <v>9472</v>
          </cell>
          <cell r="I88">
            <v>64604</v>
          </cell>
          <cell r="J88">
            <v>1070</v>
          </cell>
          <cell r="K88">
            <v>1429</v>
          </cell>
          <cell r="L88">
            <v>2500</v>
          </cell>
          <cell r="M88">
            <v>67104</v>
          </cell>
          <cell r="N88">
            <v>13349</v>
          </cell>
          <cell r="O88">
            <v>14669</v>
          </cell>
          <cell r="P88">
            <v>5547</v>
          </cell>
          <cell r="Q88">
            <v>1190</v>
          </cell>
          <cell r="R88">
            <v>34755</v>
          </cell>
          <cell r="S88">
            <v>34755</v>
          </cell>
          <cell r="T88">
            <v>9913</v>
          </cell>
          <cell r="U88">
            <v>219</v>
          </cell>
          <cell r="V88">
            <v>10132</v>
          </cell>
          <cell r="W88">
            <v>1314</v>
          </cell>
          <cell r="X88">
            <v>120</v>
          </cell>
          <cell r="Y88">
            <v>712</v>
          </cell>
          <cell r="Z88">
            <v>12278</v>
          </cell>
          <cell r="AA88">
            <v>47033</v>
          </cell>
          <cell r="AB88">
            <v>20071</v>
          </cell>
          <cell r="AC88">
            <v>-806</v>
          </cell>
          <cell r="AD88">
            <v>20876</v>
          </cell>
          <cell r="AE88">
            <v>67104</v>
          </cell>
          <cell r="AF88">
            <v>55235</v>
          </cell>
          <cell r="AG88">
            <v>5428</v>
          </cell>
          <cell r="AH88">
            <v>386</v>
          </cell>
          <cell r="AI88">
            <v>3251</v>
          </cell>
          <cell r="AJ88">
            <v>169</v>
          </cell>
          <cell r="AK88">
            <v>24</v>
          </cell>
          <cell r="AL88">
            <v>9259</v>
          </cell>
          <cell r="AM88">
            <v>64494</v>
          </cell>
          <cell r="AN88">
            <v>1088</v>
          </cell>
          <cell r="AO88">
            <v>1915</v>
          </cell>
          <cell r="AP88">
            <v>3003</v>
          </cell>
          <cell r="AQ88">
            <v>67497</v>
          </cell>
          <cell r="AR88">
            <v>13227</v>
          </cell>
          <cell r="AS88">
            <v>14627</v>
          </cell>
          <cell r="AT88">
            <v>6190</v>
          </cell>
          <cell r="AU88">
            <v>1251</v>
          </cell>
          <cell r="AV88">
            <v>35294</v>
          </cell>
          <cell r="AW88">
            <v>35294</v>
          </cell>
          <cell r="AX88">
            <v>9986</v>
          </cell>
          <cell r="AY88">
            <v>220</v>
          </cell>
          <cell r="AZ88">
            <v>10207</v>
          </cell>
          <cell r="BA88">
            <v>1311</v>
          </cell>
          <cell r="BB88">
            <v>115</v>
          </cell>
          <cell r="BC88">
            <v>659</v>
          </cell>
          <cell r="BD88">
            <v>12292</v>
          </cell>
          <cell r="BE88">
            <v>47586</v>
          </cell>
          <cell r="BF88">
            <v>19911</v>
          </cell>
          <cell r="BG88">
            <v>-962</v>
          </cell>
          <cell r="BH88">
            <v>20873</v>
          </cell>
          <cell r="BI88">
            <v>67497</v>
          </cell>
          <cell r="BJ88">
            <v>59884</v>
          </cell>
          <cell r="BK88">
            <v>5431</v>
          </cell>
          <cell r="BL88">
            <v>388</v>
          </cell>
          <cell r="BM88">
            <v>3171</v>
          </cell>
          <cell r="BN88">
            <v>169</v>
          </cell>
          <cell r="BO88">
            <v>23</v>
          </cell>
          <cell r="BP88">
            <v>9181</v>
          </cell>
          <cell r="BQ88">
            <v>69065</v>
          </cell>
          <cell r="BR88">
            <v>1098</v>
          </cell>
          <cell r="BS88">
            <v>1731</v>
          </cell>
          <cell r="BT88">
            <v>2829</v>
          </cell>
          <cell r="BU88">
            <v>71894</v>
          </cell>
          <cell r="BV88">
            <v>13229</v>
          </cell>
          <cell r="BW88">
            <v>6659</v>
          </cell>
          <cell r="BX88">
            <v>6000</v>
          </cell>
          <cell r="BY88">
            <v>1230</v>
          </cell>
          <cell r="BZ88">
            <v>27118</v>
          </cell>
          <cell r="CA88">
            <v>27118</v>
          </cell>
          <cell r="CB88">
            <v>10992</v>
          </cell>
          <cell r="CC88">
            <v>218</v>
          </cell>
          <cell r="CD88">
            <v>11210</v>
          </cell>
          <cell r="CE88">
            <v>1311</v>
          </cell>
          <cell r="CF88">
            <v>118</v>
          </cell>
          <cell r="CG88">
            <v>619</v>
          </cell>
          <cell r="CH88">
            <v>13258</v>
          </cell>
          <cell r="CI88">
            <v>40377</v>
          </cell>
          <cell r="CJ88">
            <v>31517</v>
          </cell>
          <cell r="CK88">
            <v>10644</v>
          </cell>
          <cell r="CL88">
            <v>20873</v>
          </cell>
          <cell r="CM88">
            <v>71894</v>
          </cell>
        </row>
        <row r="89">
          <cell r="B89">
            <v>55552</v>
          </cell>
          <cell r="C89">
            <v>5953</v>
          </cell>
          <cell r="D89">
            <v>383</v>
          </cell>
          <cell r="E89">
            <v>3605</v>
          </cell>
          <cell r="F89">
            <v>173</v>
          </cell>
          <cell r="G89">
            <v>28</v>
          </cell>
          <cell r="H89">
            <v>10143</v>
          </cell>
          <cell r="I89">
            <v>65694</v>
          </cell>
          <cell r="J89">
            <v>1115</v>
          </cell>
          <cell r="K89">
            <v>1402</v>
          </cell>
          <cell r="L89">
            <v>2517</v>
          </cell>
          <cell r="M89">
            <v>68211</v>
          </cell>
          <cell r="N89">
            <v>14087</v>
          </cell>
          <cell r="O89">
            <v>15026</v>
          </cell>
          <cell r="P89">
            <v>5800</v>
          </cell>
          <cell r="Q89">
            <v>1321</v>
          </cell>
          <cell r="R89">
            <v>36235</v>
          </cell>
          <cell r="S89">
            <v>36235</v>
          </cell>
          <cell r="T89">
            <v>11005</v>
          </cell>
          <cell r="U89">
            <v>224</v>
          </cell>
          <cell r="V89">
            <v>11229</v>
          </cell>
          <cell r="W89">
            <v>1360</v>
          </cell>
          <cell r="X89">
            <v>137</v>
          </cell>
          <cell r="Y89">
            <v>735</v>
          </cell>
          <cell r="Z89">
            <v>13461</v>
          </cell>
          <cell r="AA89">
            <v>49696</v>
          </cell>
          <cell r="AB89">
            <v>18515</v>
          </cell>
          <cell r="AC89">
            <v>-2857</v>
          </cell>
          <cell r="AD89">
            <v>21372</v>
          </cell>
          <cell r="AE89">
            <v>68211</v>
          </cell>
          <cell r="AF89">
            <v>57058</v>
          </cell>
          <cell r="AG89">
            <v>5939</v>
          </cell>
          <cell r="AH89">
            <v>409</v>
          </cell>
          <cell r="AI89">
            <v>3573</v>
          </cell>
          <cell r="AJ89">
            <v>174</v>
          </cell>
          <cell r="AK89">
            <v>23</v>
          </cell>
          <cell r="AL89">
            <v>10118</v>
          </cell>
          <cell r="AM89">
            <v>67176</v>
          </cell>
          <cell r="AN89">
            <v>1129</v>
          </cell>
          <cell r="AO89">
            <v>1398</v>
          </cell>
          <cell r="AP89">
            <v>2527</v>
          </cell>
          <cell r="AQ89">
            <v>69704</v>
          </cell>
          <cell r="AR89">
            <v>14065</v>
          </cell>
          <cell r="AS89">
            <v>14516</v>
          </cell>
          <cell r="AT89">
            <v>5657</v>
          </cell>
          <cell r="AU89">
            <v>1246</v>
          </cell>
          <cell r="AV89">
            <v>35483</v>
          </cell>
          <cell r="AW89">
            <v>35483</v>
          </cell>
          <cell r="AX89">
            <v>10857</v>
          </cell>
          <cell r="AY89">
            <v>226</v>
          </cell>
          <cell r="AZ89">
            <v>11084</v>
          </cell>
          <cell r="BA89">
            <v>1358</v>
          </cell>
          <cell r="BB89">
            <v>138</v>
          </cell>
          <cell r="BC89">
            <v>769</v>
          </cell>
          <cell r="BD89">
            <v>13348</v>
          </cell>
          <cell r="BE89">
            <v>48832</v>
          </cell>
          <cell r="BF89">
            <v>20872</v>
          </cell>
          <cell r="BG89">
            <v>-489</v>
          </cell>
          <cell r="BH89">
            <v>21361</v>
          </cell>
          <cell r="BI89">
            <v>69704</v>
          </cell>
          <cell r="BJ89">
            <v>52471</v>
          </cell>
          <cell r="BK89">
            <v>5931</v>
          </cell>
          <cell r="BL89">
            <v>326</v>
          </cell>
          <cell r="BM89">
            <v>3816</v>
          </cell>
          <cell r="BN89">
            <v>174</v>
          </cell>
          <cell r="BO89">
            <v>22</v>
          </cell>
          <cell r="BP89">
            <v>10269</v>
          </cell>
          <cell r="BQ89">
            <v>62740</v>
          </cell>
          <cell r="BR89">
            <v>1132</v>
          </cell>
          <cell r="BS89">
            <v>1468</v>
          </cell>
          <cell r="BT89">
            <v>2600</v>
          </cell>
          <cell r="BU89">
            <v>65340</v>
          </cell>
          <cell r="BV89">
            <v>14078</v>
          </cell>
          <cell r="BW89">
            <v>22509</v>
          </cell>
          <cell r="BX89">
            <v>4387</v>
          </cell>
          <cell r="BY89">
            <v>1181</v>
          </cell>
          <cell r="BZ89">
            <v>42154</v>
          </cell>
          <cell r="CA89">
            <v>42154</v>
          </cell>
          <cell r="CB89">
            <v>9358</v>
          </cell>
          <cell r="CC89">
            <v>225</v>
          </cell>
          <cell r="CD89">
            <v>9583</v>
          </cell>
          <cell r="CE89">
            <v>1358</v>
          </cell>
          <cell r="CF89">
            <v>123</v>
          </cell>
          <cell r="CG89">
            <v>754</v>
          </cell>
          <cell r="CH89">
            <v>11818</v>
          </cell>
          <cell r="CI89">
            <v>53972</v>
          </cell>
          <cell r="CJ89">
            <v>11367</v>
          </cell>
          <cell r="CK89">
            <v>-9993</v>
          </cell>
          <cell r="CL89">
            <v>21361</v>
          </cell>
          <cell r="CM89">
            <v>65340</v>
          </cell>
        </row>
        <row r="90">
          <cell r="B90">
            <v>64156</v>
          </cell>
          <cell r="C90">
            <v>6337</v>
          </cell>
          <cell r="D90">
            <v>367</v>
          </cell>
          <cell r="E90">
            <v>3766</v>
          </cell>
          <cell r="F90">
            <v>177</v>
          </cell>
          <cell r="G90">
            <v>32</v>
          </cell>
          <cell r="H90">
            <v>10680</v>
          </cell>
          <cell r="I90">
            <v>74836</v>
          </cell>
          <cell r="J90">
            <v>1097</v>
          </cell>
          <cell r="K90">
            <v>1331</v>
          </cell>
          <cell r="L90">
            <v>2428</v>
          </cell>
          <cell r="M90">
            <v>77264</v>
          </cell>
          <cell r="N90">
            <v>14230</v>
          </cell>
          <cell r="O90">
            <v>15136</v>
          </cell>
          <cell r="P90">
            <v>5804</v>
          </cell>
          <cell r="Q90">
            <v>1684</v>
          </cell>
          <cell r="R90">
            <v>36854</v>
          </cell>
          <cell r="S90">
            <v>36854</v>
          </cell>
          <cell r="T90">
            <v>12075</v>
          </cell>
          <cell r="U90">
            <v>226</v>
          </cell>
          <cell r="V90">
            <v>12301</v>
          </cell>
          <cell r="W90">
            <v>1438</v>
          </cell>
          <cell r="X90">
            <v>143</v>
          </cell>
          <cell r="Y90">
            <v>781</v>
          </cell>
          <cell r="Z90">
            <v>14663</v>
          </cell>
          <cell r="AA90">
            <v>51517</v>
          </cell>
          <cell r="AB90">
            <v>25746</v>
          </cell>
          <cell r="AC90">
            <v>3714</v>
          </cell>
          <cell r="AD90">
            <v>22032</v>
          </cell>
          <cell r="AE90">
            <v>77264</v>
          </cell>
          <cell r="AF90">
            <v>60814</v>
          </cell>
          <cell r="AG90">
            <v>6441</v>
          </cell>
          <cell r="AH90">
            <v>350</v>
          </cell>
          <cell r="AI90">
            <v>3834</v>
          </cell>
          <cell r="AJ90">
            <v>176</v>
          </cell>
          <cell r="AK90">
            <v>40</v>
          </cell>
          <cell r="AL90">
            <v>10840</v>
          </cell>
          <cell r="AM90">
            <v>71655</v>
          </cell>
          <cell r="AN90">
            <v>1092</v>
          </cell>
          <cell r="AO90">
            <v>1342</v>
          </cell>
          <cell r="AP90">
            <v>2435</v>
          </cell>
          <cell r="AQ90">
            <v>74090</v>
          </cell>
          <cell r="AR90">
            <v>14627</v>
          </cell>
          <cell r="AS90">
            <v>15906</v>
          </cell>
          <cell r="AT90">
            <v>5718</v>
          </cell>
          <cell r="AU90">
            <v>1651</v>
          </cell>
          <cell r="AV90">
            <v>37902</v>
          </cell>
          <cell r="AW90">
            <v>37902</v>
          </cell>
          <cell r="AX90">
            <v>12286</v>
          </cell>
          <cell r="AY90">
            <v>221</v>
          </cell>
          <cell r="AZ90">
            <v>12507</v>
          </cell>
          <cell r="BA90">
            <v>1430</v>
          </cell>
          <cell r="BB90">
            <v>154</v>
          </cell>
          <cell r="BC90">
            <v>801</v>
          </cell>
          <cell r="BD90">
            <v>14893</v>
          </cell>
          <cell r="BE90">
            <v>52795</v>
          </cell>
          <cell r="BF90">
            <v>21295</v>
          </cell>
          <cell r="BG90">
            <v>-662</v>
          </cell>
          <cell r="BH90">
            <v>21957</v>
          </cell>
          <cell r="BI90">
            <v>74090</v>
          </cell>
          <cell r="BJ90">
            <v>58804</v>
          </cell>
          <cell r="BK90">
            <v>6442</v>
          </cell>
          <cell r="BL90">
            <v>469</v>
          </cell>
          <cell r="BM90">
            <v>3809</v>
          </cell>
          <cell r="BN90">
            <v>176</v>
          </cell>
          <cell r="BO90">
            <v>44</v>
          </cell>
          <cell r="BP90">
            <v>10941</v>
          </cell>
          <cell r="BQ90">
            <v>69744</v>
          </cell>
          <cell r="BR90">
            <v>1100</v>
          </cell>
          <cell r="BS90">
            <v>1557</v>
          </cell>
          <cell r="BT90">
            <v>2657</v>
          </cell>
          <cell r="BU90">
            <v>72402</v>
          </cell>
          <cell r="BV90">
            <v>14625</v>
          </cell>
          <cell r="BW90">
            <v>7156</v>
          </cell>
          <cell r="BX90">
            <v>6767</v>
          </cell>
          <cell r="BY90">
            <v>1632</v>
          </cell>
          <cell r="BZ90">
            <v>30179</v>
          </cell>
          <cell r="CA90">
            <v>30179</v>
          </cell>
          <cell r="CB90">
            <v>11818</v>
          </cell>
          <cell r="CC90">
            <v>226</v>
          </cell>
          <cell r="CD90">
            <v>12044</v>
          </cell>
          <cell r="CE90">
            <v>1430</v>
          </cell>
          <cell r="CF90">
            <v>173</v>
          </cell>
          <cell r="CG90">
            <v>975</v>
          </cell>
          <cell r="CH90">
            <v>14622</v>
          </cell>
          <cell r="CI90">
            <v>44801</v>
          </cell>
          <cell r="CJ90">
            <v>27601</v>
          </cell>
          <cell r="CK90">
            <v>5644</v>
          </cell>
          <cell r="CL90">
            <v>21957</v>
          </cell>
          <cell r="CM90">
            <v>72402</v>
          </cell>
        </row>
        <row r="91">
          <cell r="B91">
            <v>65351</v>
          </cell>
          <cell r="C91">
            <v>6471</v>
          </cell>
          <cell r="D91">
            <v>343</v>
          </cell>
          <cell r="E91">
            <v>3804</v>
          </cell>
          <cell r="F91">
            <v>181</v>
          </cell>
          <cell r="G91">
            <v>33</v>
          </cell>
          <cell r="H91">
            <v>10833</v>
          </cell>
          <cell r="I91">
            <v>76184</v>
          </cell>
          <cell r="J91">
            <v>1062</v>
          </cell>
          <cell r="K91">
            <v>1284</v>
          </cell>
          <cell r="L91">
            <v>2346</v>
          </cell>
          <cell r="M91">
            <v>78529</v>
          </cell>
          <cell r="N91">
            <v>13814</v>
          </cell>
          <cell r="O91">
            <v>14795</v>
          </cell>
          <cell r="P91">
            <v>5906</v>
          </cell>
          <cell r="Q91">
            <v>2180</v>
          </cell>
          <cell r="R91">
            <v>36695</v>
          </cell>
          <cell r="S91">
            <v>36695</v>
          </cell>
          <cell r="T91">
            <v>12468</v>
          </cell>
          <cell r="U91">
            <v>226</v>
          </cell>
          <cell r="V91">
            <v>12693</v>
          </cell>
          <cell r="W91">
            <v>1527</v>
          </cell>
          <cell r="X91">
            <v>134</v>
          </cell>
          <cell r="Y91">
            <v>792</v>
          </cell>
          <cell r="Z91">
            <v>15147</v>
          </cell>
          <cell r="AA91">
            <v>51842</v>
          </cell>
          <cell r="AB91">
            <v>26688</v>
          </cell>
          <cell r="AC91">
            <v>3933</v>
          </cell>
          <cell r="AD91">
            <v>22755</v>
          </cell>
          <cell r="AE91">
            <v>78529</v>
          </cell>
          <cell r="AF91">
            <v>68048</v>
          </cell>
          <cell r="AG91">
            <v>6436</v>
          </cell>
          <cell r="AH91">
            <v>332</v>
          </cell>
          <cell r="AI91">
            <v>3884</v>
          </cell>
          <cell r="AJ91">
            <v>182</v>
          </cell>
          <cell r="AK91">
            <v>30</v>
          </cell>
          <cell r="AL91">
            <v>10864</v>
          </cell>
          <cell r="AM91">
            <v>78911</v>
          </cell>
          <cell r="AN91">
            <v>1039</v>
          </cell>
          <cell r="AO91">
            <v>1301</v>
          </cell>
          <cell r="AP91">
            <v>2339</v>
          </cell>
          <cell r="AQ91">
            <v>81250</v>
          </cell>
          <cell r="AR91">
            <v>13496</v>
          </cell>
          <cell r="AS91">
            <v>14640</v>
          </cell>
          <cell r="AT91">
            <v>6047</v>
          </cell>
          <cell r="AU91">
            <v>2177</v>
          </cell>
          <cell r="AV91">
            <v>36359</v>
          </cell>
          <cell r="AW91">
            <v>36359</v>
          </cell>
          <cell r="AX91">
            <v>12687</v>
          </cell>
          <cell r="AY91">
            <v>226</v>
          </cell>
          <cell r="AZ91">
            <v>12913</v>
          </cell>
          <cell r="BA91">
            <v>1538</v>
          </cell>
          <cell r="BB91">
            <v>133</v>
          </cell>
          <cell r="BC91">
            <v>777</v>
          </cell>
          <cell r="BD91">
            <v>15361</v>
          </cell>
          <cell r="BE91">
            <v>51720</v>
          </cell>
          <cell r="BF91">
            <v>29530</v>
          </cell>
          <cell r="BG91">
            <v>6709</v>
          </cell>
          <cell r="BH91">
            <v>22821</v>
          </cell>
          <cell r="BI91">
            <v>81250</v>
          </cell>
          <cell r="BJ91">
            <v>70161</v>
          </cell>
          <cell r="BK91">
            <v>6441</v>
          </cell>
          <cell r="BL91">
            <v>283</v>
          </cell>
          <cell r="BM91">
            <v>3884</v>
          </cell>
          <cell r="BN91">
            <v>182</v>
          </cell>
          <cell r="BO91">
            <v>27</v>
          </cell>
          <cell r="BP91">
            <v>10816</v>
          </cell>
          <cell r="BQ91">
            <v>80978</v>
          </cell>
          <cell r="BR91">
            <v>1021</v>
          </cell>
          <cell r="BS91">
            <v>1153</v>
          </cell>
          <cell r="BT91">
            <v>2174</v>
          </cell>
          <cell r="BU91">
            <v>83151</v>
          </cell>
          <cell r="BV91">
            <v>13484</v>
          </cell>
          <cell r="BW91">
            <v>23549</v>
          </cell>
          <cell r="BX91">
            <v>6430</v>
          </cell>
          <cell r="BY91">
            <v>2356</v>
          </cell>
          <cell r="BZ91">
            <v>45820</v>
          </cell>
          <cell r="CA91">
            <v>45820</v>
          </cell>
          <cell r="CB91">
            <v>13658</v>
          </cell>
          <cell r="CC91">
            <v>225</v>
          </cell>
          <cell r="CD91">
            <v>13883</v>
          </cell>
          <cell r="CE91">
            <v>1538</v>
          </cell>
          <cell r="CF91">
            <v>126</v>
          </cell>
          <cell r="CG91">
            <v>667</v>
          </cell>
          <cell r="CH91">
            <v>16214</v>
          </cell>
          <cell r="CI91">
            <v>62034</v>
          </cell>
          <cell r="CJ91">
            <v>21118</v>
          </cell>
          <cell r="CK91">
            <v>-1703</v>
          </cell>
          <cell r="CL91">
            <v>22821</v>
          </cell>
          <cell r="CM91">
            <v>83151</v>
          </cell>
        </row>
        <row r="92">
          <cell r="B92">
            <v>66639</v>
          </cell>
          <cell r="C92">
            <v>6262</v>
          </cell>
          <cell r="D92">
            <v>321</v>
          </cell>
          <cell r="E92">
            <v>3491</v>
          </cell>
          <cell r="F92">
            <v>184</v>
          </cell>
          <cell r="G92">
            <v>30</v>
          </cell>
          <cell r="H92">
            <v>10288</v>
          </cell>
          <cell r="I92">
            <v>76927</v>
          </cell>
          <cell r="J92">
            <v>1042</v>
          </cell>
          <cell r="K92">
            <v>1271</v>
          </cell>
          <cell r="L92">
            <v>2313</v>
          </cell>
          <cell r="M92">
            <v>79240</v>
          </cell>
          <cell r="N92">
            <v>12870</v>
          </cell>
          <cell r="O92">
            <v>14114</v>
          </cell>
          <cell r="P92">
            <v>2262</v>
          </cell>
          <cell r="Q92">
            <v>2456</v>
          </cell>
          <cell r="R92">
            <v>31702</v>
          </cell>
          <cell r="S92">
            <v>31702</v>
          </cell>
          <cell r="T92">
            <v>11989</v>
          </cell>
          <cell r="U92">
            <v>223</v>
          </cell>
          <cell r="V92">
            <v>12212</v>
          </cell>
          <cell r="W92">
            <v>1608</v>
          </cell>
          <cell r="X92">
            <v>123</v>
          </cell>
          <cell r="Y92">
            <v>781</v>
          </cell>
          <cell r="Z92">
            <v>14724</v>
          </cell>
          <cell r="AA92">
            <v>46426</v>
          </cell>
          <cell r="AB92">
            <v>32814</v>
          </cell>
          <cell r="AC92">
            <v>9416</v>
          </cell>
          <cell r="AD92">
            <v>23399</v>
          </cell>
          <cell r="AE92">
            <v>79240</v>
          </cell>
          <cell r="AF92">
            <v>65661</v>
          </cell>
          <cell r="AG92">
            <v>6313</v>
          </cell>
          <cell r="AH92">
            <v>347</v>
          </cell>
          <cell r="AI92">
            <v>3314</v>
          </cell>
          <cell r="AJ92">
            <v>184</v>
          </cell>
          <cell r="AK92">
            <v>30</v>
          </cell>
          <cell r="AL92">
            <v>10188</v>
          </cell>
          <cell r="AM92">
            <v>75849</v>
          </cell>
          <cell r="AN92">
            <v>1052</v>
          </cell>
          <cell r="AO92">
            <v>1198</v>
          </cell>
          <cell r="AP92">
            <v>2250</v>
          </cell>
          <cell r="AQ92">
            <v>78100</v>
          </cell>
          <cell r="AR92">
            <v>12944</v>
          </cell>
          <cell r="AS92">
            <v>13781</v>
          </cell>
          <cell r="AT92">
            <v>1762</v>
          </cell>
          <cell r="AU92">
            <v>2617</v>
          </cell>
          <cell r="AV92">
            <v>31104</v>
          </cell>
          <cell r="AW92">
            <v>31104</v>
          </cell>
          <cell r="AX92">
            <v>11781</v>
          </cell>
          <cell r="AY92">
            <v>227</v>
          </cell>
          <cell r="AZ92">
            <v>12008</v>
          </cell>
          <cell r="BA92">
            <v>1610</v>
          </cell>
          <cell r="BB92">
            <v>118</v>
          </cell>
          <cell r="BC92">
            <v>794</v>
          </cell>
          <cell r="BD92">
            <v>14531</v>
          </cell>
          <cell r="BE92">
            <v>45635</v>
          </cell>
          <cell r="BF92">
            <v>32465</v>
          </cell>
          <cell r="BG92">
            <v>9047</v>
          </cell>
          <cell r="BH92">
            <v>23418</v>
          </cell>
          <cell r="BI92">
            <v>78100</v>
          </cell>
          <cell r="BJ92">
            <v>71234</v>
          </cell>
          <cell r="BK92">
            <v>6315</v>
          </cell>
          <cell r="BL92">
            <v>356</v>
          </cell>
          <cell r="BM92">
            <v>3314</v>
          </cell>
          <cell r="BN92">
            <v>184</v>
          </cell>
          <cell r="BO92">
            <v>29</v>
          </cell>
          <cell r="BP92">
            <v>10198</v>
          </cell>
          <cell r="BQ92">
            <v>81432</v>
          </cell>
          <cell r="BR92">
            <v>1061</v>
          </cell>
          <cell r="BS92">
            <v>1092</v>
          </cell>
          <cell r="BT92">
            <v>2152</v>
          </cell>
          <cell r="BU92">
            <v>83585</v>
          </cell>
          <cell r="BV92">
            <v>12946</v>
          </cell>
          <cell r="BW92">
            <v>6298</v>
          </cell>
          <cell r="BX92">
            <v>1588</v>
          </cell>
          <cell r="BY92">
            <v>2586</v>
          </cell>
          <cell r="BZ92">
            <v>23417</v>
          </cell>
          <cell r="CA92">
            <v>23417</v>
          </cell>
          <cell r="CB92">
            <v>12971</v>
          </cell>
          <cell r="CC92">
            <v>224</v>
          </cell>
          <cell r="CD92">
            <v>13195</v>
          </cell>
          <cell r="CE92">
            <v>1610</v>
          </cell>
          <cell r="CF92">
            <v>122</v>
          </cell>
          <cell r="CG92">
            <v>753</v>
          </cell>
          <cell r="CH92">
            <v>15680</v>
          </cell>
          <cell r="CI92">
            <v>39097</v>
          </cell>
          <cell r="CJ92">
            <v>44487</v>
          </cell>
          <cell r="CK92">
            <v>21070</v>
          </cell>
          <cell r="CL92">
            <v>23418</v>
          </cell>
          <cell r="CM92">
            <v>83585</v>
          </cell>
        </row>
        <row r="93">
          <cell r="B93">
            <v>66822</v>
          </cell>
          <cell r="C93">
            <v>5859</v>
          </cell>
          <cell r="D93">
            <v>308</v>
          </cell>
          <cell r="E93">
            <v>2839</v>
          </cell>
          <cell r="F93">
            <v>180</v>
          </cell>
          <cell r="G93">
            <v>27</v>
          </cell>
          <cell r="H93">
            <v>9213</v>
          </cell>
          <cell r="I93">
            <v>76035</v>
          </cell>
          <cell r="J93">
            <v>1020</v>
          </cell>
          <cell r="K93">
            <v>1317</v>
          </cell>
          <cell r="L93">
            <v>2338</v>
          </cell>
          <cell r="M93">
            <v>78373</v>
          </cell>
          <cell r="N93">
            <v>11747</v>
          </cell>
          <cell r="O93">
            <v>13497</v>
          </cell>
          <cell r="P93">
            <v>2821</v>
          </cell>
          <cell r="Q93">
            <v>2304</v>
          </cell>
          <cell r="R93">
            <v>30369</v>
          </cell>
          <cell r="S93">
            <v>30369</v>
          </cell>
          <cell r="T93">
            <v>10807</v>
          </cell>
          <cell r="U93">
            <v>216</v>
          </cell>
          <cell r="V93">
            <v>11023</v>
          </cell>
          <cell r="W93">
            <v>1675</v>
          </cell>
          <cell r="X93">
            <v>128</v>
          </cell>
          <cell r="Y93">
            <v>795</v>
          </cell>
          <cell r="Z93">
            <v>13621</v>
          </cell>
          <cell r="AA93">
            <v>43990</v>
          </cell>
          <cell r="AB93">
            <v>34383</v>
          </cell>
          <cell r="AC93">
            <v>10541</v>
          </cell>
          <cell r="AD93">
            <v>23842</v>
          </cell>
          <cell r="AE93">
            <v>78373</v>
          </cell>
          <cell r="AF93">
            <v>67059</v>
          </cell>
          <cell r="AG93">
            <v>5966</v>
          </cell>
          <cell r="AH93">
            <v>299</v>
          </cell>
          <cell r="AI93">
            <v>3250</v>
          </cell>
          <cell r="AJ93">
            <v>181</v>
          </cell>
          <cell r="AK93">
            <v>29</v>
          </cell>
          <cell r="AL93">
            <v>9724</v>
          </cell>
          <cell r="AM93">
            <v>76784</v>
          </cell>
          <cell r="AN93">
            <v>1157</v>
          </cell>
          <cell r="AO93">
            <v>1413</v>
          </cell>
          <cell r="AP93">
            <v>2570</v>
          </cell>
          <cell r="AQ93">
            <v>79354</v>
          </cell>
          <cell r="AR93">
            <v>12075</v>
          </cell>
          <cell r="AS93">
            <v>13719</v>
          </cell>
          <cell r="AT93">
            <v>3187</v>
          </cell>
          <cell r="AU93">
            <v>2376</v>
          </cell>
          <cell r="AV93">
            <v>31357</v>
          </cell>
          <cell r="AW93">
            <v>31357</v>
          </cell>
          <cell r="AX93">
            <v>11214</v>
          </cell>
          <cell r="AY93">
            <v>214</v>
          </cell>
          <cell r="AZ93">
            <v>11428</v>
          </cell>
          <cell r="BA93">
            <v>1674</v>
          </cell>
          <cell r="BB93">
            <v>118</v>
          </cell>
          <cell r="BC93">
            <v>782</v>
          </cell>
          <cell r="BD93">
            <v>14002</v>
          </cell>
          <cell r="BE93">
            <v>45359</v>
          </cell>
          <cell r="BF93">
            <v>33994</v>
          </cell>
          <cell r="BG93">
            <v>10140</v>
          </cell>
          <cell r="BH93">
            <v>23854</v>
          </cell>
          <cell r="BI93">
            <v>79354</v>
          </cell>
          <cell r="BJ93">
            <v>61670</v>
          </cell>
          <cell r="BK93">
            <v>5956</v>
          </cell>
          <cell r="BL93">
            <v>238</v>
          </cell>
          <cell r="BM93">
            <v>3250</v>
          </cell>
          <cell r="BN93">
            <v>181</v>
          </cell>
          <cell r="BO93">
            <v>28</v>
          </cell>
          <cell r="BP93">
            <v>9653</v>
          </cell>
          <cell r="BQ93">
            <v>71323</v>
          </cell>
          <cell r="BR93">
            <v>1157</v>
          </cell>
          <cell r="BS93">
            <v>1456</v>
          </cell>
          <cell r="BT93">
            <v>2613</v>
          </cell>
          <cell r="BU93">
            <v>73935</v>
          </cell>
          <cell r="BV93">
            <v>12082</v>
          </cell>
          <cell r="BW93">
            <v>21205</v>
          </cell>
          <cell r="BX93">
            <v>1936</v>
          </cell>
          <cell r="BY93">
            <v>2217</v>
          </cell>
          <cell r="BZ93">
            <v>37441</v>
          </cell>
          <cell r="CA93">
            <v>37441</v>
          </cell>
          <cell r="CB93">
            <v>9588</v>
          </cell>
          <cell r="CC93">
            <v>214</v>
          </cell>
          <cell r="CD93">
            <v>9802</v>
          </cell>
          <cell r="CE93">
            <v>1674</v>
          </cell>
          <cell r="CF93">
            <v>107</v>
          </cell>
          <cell r="CG93">
            <v>759</v>
          </cell>
          <cell r="CH93">
            <v>12342</v>
          </cell>
          <cell r="CI93">
            <v>49782</v>
          </cell>
          <cell r="CJ93">
            <v>24153</v>
          </cell>
          <cell r="CK93">
            <v>299</v>
          </cell>
          <cell r="CL93">
            <v>23854</v>
          </cell>
          <cell r="CM93">
            <v>73935</v>
          </cell>
        </row>
        <row r="94">
          <cell r="B94">
            <v>61513</v>
          </cell>
          <cell r="C94">
            <v>5475</v>
          </cell>
          <cell r="D94">
            <v>319</v>
          </cell>
          <cell r="E94">
            <v>2172</v>
          </cell>
          <cell r="F94">
            <v>170</v>
          </cell>
          <cell r="G94">
            <v>27</v>
          </cell>
          <cell r="H94">
            <v>8162</v>
          </cell>
          <cell r="I94">
            <v>69674</v>
          </cell>
          <cell r="J94">
            <v>963</v>
          </cell>
          <cell r="K94">
            <v>1430</v>
          </cell>
          <cell r="L94">
            <v>2393</v>
          </cell>
          <cell r="M94">
            <v>72068</v>
          </cell>
          <cell r="N94">
            <v>10836</v>
          </cell>
          <cell r="O94">
            <v>13033</v>
          </cell>
          <cell r="P94">
            <v>2954</v>
          </cell>
          <cell r="Q94">
            <v>1894</v>
          </cell>
          <cell r="R94">
            <v>28716</v>
          </cell>
          <cell r="S94">
            <v>28716</v>
          </cell>
          <cell r="T94">
            <v>9661</v>
          </cell>
          <cell r="U94">
            <v>207</v>
          </cell>
          <cell r="V94">
            <v>9868</v>
          </cell>
          <cell r="W94">
            <v>1734</v>
          </cell>
          <cell r="X94">
            <v>147</v>
          </cell>
          <cell r="Y94">
            <v>857</v>
          </cell>
          <cell r="Z94">
            <v>12607</v>
          </cell>
          <cell r="AA94">
            <v>41323</v>
          </cell>
          <cell r="AB94">
            <v>30745</v>
          </cell>
          <cell r="AC94">
            <v>6642</v>
          </cell>
          <cell r="AD94">
            <v>24102</v>
          </cell>
          <cell r="AE94">
            <v>72068</v>
          </cell>
          <cell r="AF94">
            <v>62161</v>
          </cell>
          <cell r="AG94">
            <v>5208</v>
          </cell>
          <cell r="AH94">
            <v>301</v>
          </cell>
          <cell r="AI94">
            <v>1837</v>
          </cell>
          <cell r="AJ94">
            <v>173</v>
          </cell>
          <cell r="AK94">
            <v>24</v>
          </cell>
          <cell r="AL94">
            <v>7542</v>
          </cell>
          <cell r="AM94">
            <v>69704</v>
          </cell>
          <cell r="AN94">
            <v>1003</v>
          </cell>
          <cell r="AO94">
            <v>1351</v>
          </cell>
          <cell r="AP94">
            <v>2354</v>
          </cell>
          <cell r="AQ94">
            <v>72057</v>
          </cell>
          <cell r="AR94">
            <v>10747</v>
          </cell>
          <cell r="AS94">
            <v>13008</v>
          </cell>
          <cell r="AT94">
            <v>3558</v>
          </cell>
          <cell r="AU94">
            <v>1763</v>
          </cell>
          <cell r="AV94">
            <v>29076</v>
          </cell>
          <cell r="AW94">
            <v>29076</v>
          </cell>
          <cell r="AX94">
            <v>9287</v>
          </cell>
          <cell r="AY94">
            <v>207</v>
          </cell>
          <cell r="AZ94">
            <v>9493</v>
          </cell>
          <cell r="BA94">
            <v>1730</v>
          </cell>
          <cell r="BB94">
            <v>155</v>
          </cell>
          <cell r="BC94">
            <v>835</v>
          </cell>
          <cell r="BD94">
            <v>12213</v>
          </cell>
          <cell r="BE94">
            <v>41289</v>
          </cell>
          <cell r="BF94">
            <v>30769</v>
          </cell>
          <cell r="BG94">
            <v>6638</v>
          </cell>
          <cell r="BH94">
            <v>24131</v>
          </cell>
          <cell r="BI94">
            <v>72057</v>
          </cell>
          <cell r="BJ94">
            <v>60406</v>
          </cell>
          <cell r="BK94">
            <v>5213</v>
          </cell>
          <cell r="BL94">
            <v>401</v>
          </cell>
          <cell r="BM94">
            <v>1837</v>
          </cell>
          <cell r="BN94">
            <v>173</v>
          </cell>
          <cell r="BO94">
            <v>29</v>
          </cell>
          <cell r="BP94">
            <v>7652</v>
          </cell>
          <cell r="BQ94">
            <v>68058</v>
          </cell>
          <cell r="BR94">
            <v>1011</v>
          </cell>
          <cell r="BS94">
            <v>1609</v>
          </cell>
          <cell r="BT94">
            <v>2620</v>
          </cell>
          <cell r="BU94">
            <v>70679</v>
          </cell>
          <cell r="BV94">
            <v>10749</v>
          </cell>
          <cell r="BW94">
            <v>5840</v>
          </cell>
          <cell r="BX94">
            <v>4612</v>
          </cell>
          <cell r="BY94">
            <v>1761</v>
          </cell>
          <cell r="BZ94">
            <v>22962</v>
          </cell>
          <cell r="CA94">
            <v>22962</v>
          </cell>
          <cell r="CB94">
            <v>9019</v>
          </cell>
          <cell r="CC94">
            <v>211</v>
          </cell>
          <cell r="CD94">
            <v>9230</v>
          </cell>
          <cell r="CE94">
            <v>1730</v>
          </cell>
          <cell r="CF94">
            <v>173</v>
          </cell>
          <cell r="CG94">
            <v>1007</v>
          </cell>
          <cell r="CH94">
            <v>12140</v>
          </cell>
          <cell r="CI94">
            <v>35102</v>
          </cell>
          <cell r="CJ94">
            <v>35577</v>
          </cell>
          <cell r="CK94">
            <v>11446</v>
          </cell>
          <cell r="CL94">
            <v>24131</v>
          </cell>
          <cell r="CM94">
            <v>70679</v>
          </cell>
        </row>
        <row r="95">
          <cell r="B95">
            <v>61777</v>
          </cell>
          <cell r="C95">
            <v>5267</v>
          </cell>
          <cell r="D95">
            <v>367</v>
          </cell>
          <cell r="E95">
            <v>1710</v>
          </cell>
          <cell r="F95">
            <v>156</v>
          </cell>
          <cell r="G95">
            <v>26</v>
          </cell>
          <cell r="H95">
            <v>7527</v>
          </cell>
          <cell r="I95">
            <v>69304</v>
          </cell>
          <cell r="J95">
            <v>891</v>
          </cell>
          <cell r="K95">
            <v>1640</v>
          </cell>
          <cell r="L95">
            <v>2531</v>
          </cell>
          <cell r="M95">
            <v>71835</v>
          </cell>
          <cell r="N95">
            <v>10383</v>
          </cell>
          <cell r="O95">
            <v>12614</v>
          </cell>
          <cell r="P95">
            <v>2907</v>
          </cell>
          <cell r="Q95">
            <v>1544</v>
          </cell>
          <cell r="R95">
            <v>27448</v>
          </cell>
          <cell r="S95">
            <v>27448</v>
          </cell>
          <cell r="T95">
            <v>9033</v>
          </cell>
          <cell r="U95">
            <v>204</v>
          </cell>
          <cell r="V95">
            <v>9237</v>
          </cell>
          <cell r="W95">
            <v>1794</v>
          </cell>
          <cell r="X95">
            <v>156</v>
          </cell>
          <cell r="Y95">
            <v>916</v>
          </cell>
          <cell r="Z95">
            <v>12103</v>
          </cell>
          <cell r="AA95">
            <v>39551</v>
          </cell>
          <cell r="AB95">
            <v>32284</v>
          </cell>
          <cell r="AC95">
            <v>7981</v>
          </cell>
          <cell r="AD95">
            <v>24303</v>
          </cell>
          <cell r="AE95">
            <v>71835</v>
          </cell>
          <cell r="AF95">
            <v>60291</v>
          </cell>
          <cell r="AG95">
            <v>5457</v>
          </cell>
          <cell r="AH95">
            <v>367</v>
          </cell>
          <cell r="AI95">
            <v>1609</v>
          </cell>
          <cell r="AJ95">
            <v>154</v>
          </cell>
          <cell r="AK95">
            <v>27</v>
          </cell>
          <cell r="AL95">
            <v>7614</v>
          </cell>
          <cell r="AM95">
            <v>67905</v>
          </cell>
          <cell r="AN95">
            <v>876</v>
          </cell>
          <cell r="AO95">
            <v>1643</v>
          </cell>
          <cell r="AP95">
            <v>2518</v>
          </cell>
          <cell r="AQ95">
            <v>70423</v>
          </cell>
          <cell r="AR95">
            <v>10536</v>
          </cell>
          <cell r="AS95">
            <v>12720</v>
          </cell>
          <cell r="AT95">
            <v>2088</v>
          </cell>
          <cell r="AU95">
            <v>1552</v>
          </cell>
          <cell r="AV95">
            <v>26896</v>
          </cell>
          <cell r="AW95">
            <v>26896</v>
          </cell>
          <cell r="AX95">
            <v>8870</v>
          </cell>
          <cell r="AY95">
            <v>204</v>
          </cell>
          <cell r="AZ95">
            <v>9073</v>
          </cell>
          <cell r="BA95">
            <v>1794</v>
          </cell>
          <cell r="BB95">
            <v>164</v>
          </cell>
          <cell r="BC95">
            <v>944</v>
          </cell>
          <cell r="BD95">
            <v>11976</v>
          </cell>
          <cell r="BE95">
            <v>38872</v>
          </cell>
          <cell r="BF95">
            <v>31552</v>
          </cell>
          <cell r="BG95">
            <v>7305</v>
          </cell>
          <cell r="BH95">
            <v>24246</v>
          </cell>
          <cell r="BI95">
            <v>70423</v>
          </cell>
          <cell r="BJ95">
            <v>62249</v>
          </cell>
          <cell r="BK95">
            <v>5460</v>
          </cell>
          <cell r="BL95">
            <v>307</v>
          </cell>
          <cell r="BM95">
            <v>1609</v>
          </cell>
          <cell r="BN95">
            <v>154</v>
          </cell>
          <cell r="BO95">
            <v>26</v>
          </cell>
          <cell r="BP95">
            <v>7555</v>
          </cell>
          <cell r="BQ95">
            <v>69805</v>
          </cell>
          <cell r="BR95">
            <v>864</v>
          </cell>
          <cell r="BS95">
            <v>1450</v>
          </cell>
          <cell r="BT95">
            <v>2314</v>
          </cell>
          <cell r="BU95">
            <v>72119</v>
          </cell>
          <cell r="BV95">
            <v>10528</v>
          </cell>
          <cell r="BW95">
            <v>20204</v>
          </cell>
          <cell r="BX95">
            <v>2446</v>
          </cell>
          <cell r="BY95">
            <v>1680</v>
          </cell>
          <cell r="BZ95">
            <v>34859</v>
          </cell>
          <cell r="CA95">
            <v>34859</v>
          </cell>
          <cell r="CB95">
            <v>9545</v>
          </cell>
          <cell r="CC95">
            <v>202</v>
          </cell>
          <cell r="CD95">
            <v>9747</v>
          </cell>
          <cell r="CE95">
            <v>1794</v>
          </cell>
          <cell r="CF95">
            <v>152</v>
          </cell>
          <cell r="CG95">
            <v>814</v>
          </cell>
          <cell r="CH95">
            <v>12507</v>
          </cell>
          <cell r="CI95">
            <v>47366</v>
          </cell>
          <cell r="CJ95">
            <v>24753</v>
          </cell>
          <cell r="CK95">
            <v>507</v>
          </cell>
          <cell r="CL95">
            <v>24246</v>
          </cell>
          <cell r="CM95">
            <v>72119</v>
          </cell>
        </row>
        <row r="96">
          <cell r="B96">
            <v>62595</v>
          </cell>
          <cell r="C96">
            <v>5360</v>
          </cell>
          <cell r="D96">
            <v>429</v>
          </cell>
          <cell r="E96">
            <v>1640</v>
          </cell>
          <cell r="F96">
            <v>146</v>
          </cell>
          <cell r="G96">
            <v>26</v>
          </cell>
          <cell r="H96">
            <v>7601</v>
          </cell>
          <cell r="I96">
            <v>70196</v>
          </cell>
          <cell r="J96">
            <v>853</v>
          </cell>
          <cell r="K96">
            <v>1910</v>
          </cell>
          <cell r="L96">
            <v>2763</v>
          </cell>
          <cell r="M96">
            <v>72959</v>
          </cell>
          <cell r="N96">
            <v>10573</v>
          </cell>
          <cell r="O96">
            <v>12328</v>
          </cell>
          <cell r="P96">
            <v>3160</v>
          </cell>
          <cell r="Q96">
            <v>1543</v>
          </cell>
          <cell r="R96">
            <v>27604</v>
          </cell>
          <cell r="S96">
            <v>27604</v>
          </cell>
          <cell r="T96">
            <v>9195</v>
          </cell>
          <cell r="U96">
            <v>211</v>
          </cell>
          <cell r="V96">
            <v>9406</v>
          </cell>
          <cell r="W96">
            <v>1847</v>
          </cell>
          <cell r="X96">
            <v>157</v>
          </cell>
          <cell r="Y96">
            <v>985</v>
          </cell>
          <cell r="Z96">
            <v>12394</v>
          </cell>
          <cell r="AA96">
            <v>39997</v>
          </cell>
          <cell r="AB96">
            <v>32962</v>
          </cell>
          <cell r="AC96">
            <v>8435</v>
          </cell>
          <cell r="AD96">
            <v>24527</v>
          </cell>
          <cell r="AE96">
            <v>72959</v>
          </cell>
          <cell r="AF96">
            <v>63445</v>
          </cell>
          <cell r="AG96">
            <v>5229</v>
          </cell>
          <cell r="AH96">
            <v>440</v>
          </cell>
          <cell r="AI96">
            <v>1916</v>
          </cell>
          <cell r="AJ96">
            <v>145</v>
          </cell>
          <cell r="AK96">
            <v>27</v>
          </cell>
          <cell r="AL96">
            <v>7758</v>
          </cell>
          <cell r="AM96">
            <v>71202</v>
          </cell>
          <cell r="AN96">
            <v>849</v>
          </cell>
          <cell r="AO96">
            <v>1841</v>
          </cell>
          <cell r="AP96">
            <v>2690</v>
          </cell>
          <cell r="AQ96">
            <v>73893</v>
          </cell>
          <cell r="AR96">
            <v>10536</v>
          </cell>
          <cell r="AS96">
            <v>11986</v>
          </cell>
          <cell r="AT96">
            <v>3368</v>
          </cell>
          <cell r="AU96">
            <v>1494</v>
          </cell>
          <cell r="AV96">
            <v>27384</v>
          </cell>
          <cell r="AW96">
            <v>27384</v>
          </cell>
          <cell r="AX96">
            <v>9400</v>
          </cell>
          <cell r="AY96">
            <v>207</v>
          </cell>
          <cell r="AZ96">
            <v>9607</v>
          </cell>
          <cell r="BA96">
            <v>1850</v>
          </cell>
          <cell r="BB96">
            <v>157</v>
          </cell>
          <cell r="BC96">
            <v>869</v>
          </cell>
          <cell r="BD96">
            <v>12483</v>
          </cell>
          <cell r="BE96">
            <v>39866</v>
          </cell>
          <cell r="BF96">
            <v>34026</v>
          </cell>
          <cell r="BG96">
            <v>9503</v>
          </cell>
          <cell r="BH96">
            <v>24523</v>
          </cell>
          <cell r="BI96">
            <v>73893</v>
          </cell>
          <cell r="BJ96">
            <v>68133</v>
          </cell>
          <cell r="BK96">
            <v>5230</v>
          </cell>
          <cell r="BL96">
            <v>463</v>
          </cell>
          <cell r="BM96">
            <v>1916</v>
          </cell>
          <cell r="BN96">
            <v>145</v>
          </cell>
          <cell r="BO96">
            <v>25</v>
          </cell>
          <cell r="BP96">
            <v>7779</v>
          </cell>
          <cell r="BQ96">
            <v>75912</v>
          </cell>
          <cell r="BR96">
            <v>853</v>
          </cell>
          <cell r="BS96">
            <v>1671</v>
          </cell>
          <cell r="BT96">
            <v>2523</v>
          </cell>
          <cell r="BU96">
            <v>78435</v>
          </cell>
          <cell r="BV96">
            <v>10537</v>
          </cell>
          <cell r="BW96">
            <v>5480</v>
          </cell>
          <cell r="BX96">
            <v>3185</v>
          </cell>
          <cell r="BY96">
            <v>1475</v>
          </cell>
          <cell r="BZ96">
            <v>20677</v>
          </cell>
          <cell r="CA96">
            <v>20677</v>
          </cell>
          <cell r="CB96">
            <v>10312</v>
          </cell>
          <cell r="CC96">
            <v>204</v>
          </cell>
          <cell r="CD96">
            <v>10516</v>
          </cell>
          <cell r="CE96">
            <v>1850</v>
          </cell>
          <cell r="CF96">
            <v>166</v>
          </cell>
          <cell r="CG96">
            <v>843</v>
          </cell>
          <cell r="CH96">
            <v>13374</v>
          </cell>
          <cell r="CI96">
            <v>34051</v>
          </cell>
          <cell r="CJ96">
            <v>44385</v>
          </cell>
          <cell r="CK96">
            <v>19862</v>
          </cell>
          <cell r="CL96">
            <v>24523</v>
          </cell>
          <cell r="CM96">
            <v>78435</v>
          </cell>
        </row>
        <row r="97">
          <cell r="B97">
            <v>63760</v>
          </cell>
          <cell r="C97">
            <v>5603</v>
          </cell>
          <cell r="D97">
            <v>463</v>
          </cell>
          <cell r="E97">
            <v>1936</v>
          </cell>
          <cell r="F97">
            <v>143</v>
          </cell>
          <cell r="G97">
            <v>26</v>
          </cell>
          <cell r="H97">
            <v>8171</v>
          </cell>
          <cell r="I97">
            <v>71931</v>
          </cell>
          <cell r="J97">
            <v>967</v>
          </cell>
          <cell r="K97">
            <v>2033</v>
          </cell>
          <cell r="L97">
            <v>3000</v>
          </cell>
          <cell r="M97">
            <v>74931</v>
          </cell>
          <cell r="N97">
            <v>11025</v>
          </cell>
          <cell r="O97">
            <v>12358</v>
          </cell>
          <cell r="P97">
            <v>4488</v>
          </cell>
          <cell r="Q97">
            <v>1836</v>
          </cell>
          <cell r="R97">
            <v>29706</v>
          </cell>
          <cell r="S97">
            <v>29706</v>
          </cell>
          <cell r="T97">
            <v>9956</v>
          </cell>
          <cell r="U97">
            <v>216</v>
          </cell>
          <cell r="V97">
            <v>10172</v>
          </cell>
          <cell r="W97">
            <v>1885</v>
          </cell>
          <cell r="X97">
            <v>158</v>
          </cell>
          <cell r="Y97">
            <v>1059</v>
          </cell>
          <cell r="Z97">
            <v>13273</v>
          </cell>
          <cell r="AA97">
            <v>42980</v>
          </cell>
          <cell r="AB97">
            <v>31951</v>
          </cell>
          <cell r="AC97">
            <v>7160</v>
          </cell>
          <cell r="AD97">
            <v>24791</v>
          </cell>
          <cell r="AE97">
            <v>74931</v>
          </cell>
          <cell r="AF97">
            <v>63758</v>
          </cell>
          <cell r="AG97">
            <v>5596</v>
          </cell>
          <cell r="AH97">
            <v>468</v>
          </cell>
          <cell r="AI97">
            <v>1578</v>
          </cell>
          <cell r="AJ97">
            <v>143</v>
          </cell>
          <cell r="AK97">
            <v>26</v>
          </cell>
          <cell r="AL97">
            <v>7811</v>
          </cell>
          <cell r="AM97">
            <v>71569</v>
          </cell>
          <cell r="AN97">
            <v>1214</v>
          </cell>
          <cell r="AO97">
            <v>2164</v>
          </cell>
          <cell r="AP97">
            <v>3379</v>
          </cell>
          <cell r="AQ97">
            <v>74947</v>
          </cell>
          <cell r="AR97">
            <v>11003</v>
          </cell>
          <cell r="AS97">
            <v>12826</v>
          </cell>
          <cell r="AT97">
            <v>4464</v>
          </cell>
          <cell r="AU97">
            <v>1718</v>
          </cell>
          <cell r="AV97">
            <v>30010</v>
          </cell>
          <cell r="AW97">
            <v>30010</v>
          </cell>
          <cell r="AX97">
            <v>9678</v>
          </cell>
          <cell r="AY97">
            <v>219</v>
          </cell>
          <cell r="AZ97">
            <v>9897</v>
          </cell>
          <cell r="BA97">
            <v>1887</v>
          </cell>
          <cell r="BB97">
            <v>135</v>
          </cell>
          <cell r="BC97">
            <v>715</v>
          </cell>
          <cell r="BD97">
            <v>12635</v>
          </cell>
          <cell r="BE97">
            <v>42645</v>
          </cell>
          <cell r="BF97">
            <v>32302</v>
          </cell>
          <cell r="BG97">
            <v>7501</v>
          </cell>
          <cell r="BH97">
            <v>24801</v>
          </cell>
          <cell r="BI97">
            <v>74947</v>
          </cell>
          <cell r="BJ97">
            <v>58588</v>
          </cell>
          <cell r="BK97">
            <v>5584</v>
          </cell>
          <cell r="BL97">
            <v>370</v>
          </cell>
          <cell r="BM97">
            <v>1578</v>
          </cell>
          <cell r="BN97">
            <v>143</v>
          </cell>
          <cell r="BO97">
            <v>25</v>
          </cell>
          <cell r="BP97">
            <v>7701</v>
          </cell>
          <cell r="BQ97">
            <v>66289</v>
          </cell>
          <cell r="BR97">
            <v>1211</v>
          </cell>
          <cell r="BS97">
            <v>2164</v>
          </cell>
          <cell r="BT97">
            <v>3374</v>
          </cell>
          <cell r="BU97">
            <v>69664</v>
          </cell>
          <cell r="BV97">
            <v>10999</v>
          </cell>
          <cell r="BW97">
            <v>19640</v>
          </cell>
          <cell r="BX97">
            <v>3283</v>
          </cell>
          <cell r="BY97">
            <v>1592</v>
          </cell>
          <cell r="BZ97">
            <v>35515</v>
          </cell>
          <cell r="CA97">
            <v>35515</v>
          </cell>
          <cell r="CB97">
            <v>8255</v>
          </cell>
          <cell r="CC97">
            <v>219</v>
          </cell>
          <cell r="CD97">
            <v>8474</v>
          </cell>
          <cell r="CE97">
            <v>1887</v>
          </cell>
          <cell r="CF97">
            <v>125</v>
          </cell>
          <cell r="CG97">
            <v>694</v>
          </cell>
          <cell r="CH97">
            <v>11180</v>
          </cell>
          <cell r="CI97">
            <v>46695</v>
          </cell>
          <cell r="CJ97">
            <v>22969</v>
          </cell>
          <cell r="CK97">
            <v>-1832</v>
          </cell>
          <cell r="CL97">
            <v>24801</v>
          </cell>
          <cell r="CM97">
            <v>69664</v>
          </cell>
        </row>
        <row r="98">
          <cell r="B98">
            <v>71673</v>
          </cell>
          <cell r="C98">
            <v>5937</v>
          </cell>
          <cell r="D98">
            <v>451</v>
          </cell>
          <cell r="E98">
            <v>2266</v>
          </cell>
          <cell r="F98">
            <v>147</v>
          </cell>
          <cell r="G98">
            <v>26</v>
          </cell>
          <cell r="H98">
            <v>8826</v>
          </cell>
          <cell r="I98">
            <v>80500</v>
          </cell>
          <cell r="J98">
            <v>1276</v>
          </cell>
          <cell r="K98">
            <v>1860</v>
          </cell>
          <cell r="L98">
            <v>3136</v>
          </cell>
          <cell r="M98">
            <v>83635</v>
          </cell>
          <cell r="N98">
            <v>11431</v>
          </cell>
          <cell r="O98">
            <v>12830</v>
          </cell>
          <cell r="P98">
            <v>6328</v>
          </cell>
          <cell r="Q98">
            <v>2179</v>
          </cell>
          <cell r="R98">
            <v>32768</v>
          </cell>
          <cell r="S98">
            <v>32768</v>
          </cell>
          <cell r="T98">
            <v>10773</v>
          </cell>
          <cell r="U98">
            <v>213</v>
          </cell>
          <cell r="V98">
            <v>10986</v>
          </cell>
          <cell r="W98">
            <v>1909</v>
          </cell>
          <cell r="X98">
            <v>165</v>
          </cell>
          <cell r="Y98">
            <v>1127</v>
          </cell>
          <cell r="Z98">
            <v>14187</v>
          </cell>
          <cell r="AA98">
            <v>46956</v>
          </cell>
          <cell r="AB98">
            <v>36680</v>
          </cell>
          <cell r="AC98">
            <v>11621</v>
          </cell>
          <cell r="AD98">
            <v>25058</v>
          </cell>
          <cell r="AE98">
            <v>83635</v>
          </cell>
          <cell r="AF98">
            <v>71585</v>
          </cell>
          <cell r="AG98">
            <v>6096</v>
          </cell>
          <cell r="AH98">
            <v>454</v>
          </cell>
          <cell r="AI98">
            <v>2477</v>
          </cell>
          <cell r="AJ98">
            <v>145</v>
          </cell>
          <cell r="AK98">
            <v>24</v>
          </cell>
          <cell r="AL98">
            <v>9197</v>
          </cell>
          <cell r="AM98">
            <v>80781</v>
          </cell>
          <cell r="AN98">
            <v>1166</v>
          </cell>
          <cell r="AO98">
            <v>1958</v>
          </cell>
          <cell r="AP98">
            <v>3123</v>
          </cell>
          <cell r="AQ98">
            <v>83905</v>
          </cell>
          <cell r="AR98">
            <v>11611</v>
          </cell>
          <cell r="AS98">
            <v>12345</v>
          </cell>
          <cell r="AT98">
            <v>5687</v>
          </cell>
          <cell r="AU98">
            <v>2389</v>
          </cell>
          <cell r="AV98">
            <v>32032</v>
          </cell>
          <cell r="AW98">
            <v>32032</v>
          </cell>
          <cell r="AX98">
            <v>11074</v>
          </cell>
          <cell r="AY98">
            <v>223</v>
          </cell>
          <cell r="AZ98">
            <v>11297</v>
          </cell>
          <cell r="BA98">
            <v>1907</v>
          </cell>
          <cell r="BB98">
            <v>189</v>
          </cell>
          <cell r="BC98">
            <v>1244</v>
          </cell>
          <cell r="BD98">
            <v>14638</v>
          </cell>
          <cell r="BE98">
            <v>46669</v>
          </cell>
          <cell r="BF98">
            <v>37235</v>
          </cell>
          <cell r="BG98">
            <v>12156</v>
          </cell>
          <cell r="BH98">
            <v>25079</v>
          </cell>
          <cell r="BI98">
            <v>83905</v>
          </cell>
          <cell r="BJ98">
            <v>69427</v>
          </cell>
          <cell r="BK98">
            <v>6107</v>
          </cell>
          <cell r="BL98">
            <v>599</v>
          </cell>
          <cell r="BM98">
            <v>2477</v>
          </cell>
          <cell r="BN98">
            <v>145</v>
          </cell>
          <cell r="BO98">
            <v>28</v>
          </cell>
          <cell r="BP98">
            <v>9356</v>
          </cell>
          <cell r="BQ98">
            <v>78783</v>
          </cell>
          <cell r="BR98">
            <v>1179</v>
          </cell>
          <cell r="BS98">
            <v>2365</v>
          </cell>
          <cell r="BT98">
            <v>3544</v>
          </cell>
          <cell r="BU98">
            <v>82327</v>
          </cell>
          <cell r="BV98">
            <v>11627</v>
          </cell>
          <cell r="BW98">
            <v>5605</v>
          </cell>
          <cell r="BX98">
            <v>6684</v>
          </cell>
          <cell r="BY98">
            <v>2406</v>
          </cell>
          <cell r="BZ98">
            <v>26322</v>
          </cell>
          <cell r="CA98">
            <v>26322</v>
          </cell>
          <cell r="CB98">
            <v>10802</v>
          </cell>
          <cell r="CC98">
            <v>228</v>
          </cell>
          <cell r="CD98">
            <v>11030</v>
          </cell>
          <cell r="CE98">
            <v>1907</v>
          </cell>
          <cell r="CF98">
            <v>206</v>
          </cell>
          <cell r="CG98">
            <v>1492</v>
          </cell>
          <cell r="CH98">
            <v>14636</v>
          </cell>
          <cell r="CI98">
            <v>40958</v>
          </cell>
          <cell r="CJ98">
            <v>41369</v>
          </cell>
          <cell r="CK98">
            <v>16290</v>
          </cell>
          <cell r="CL98">
            <v>25079</v>
          </cell>
          <cell r="CM98">
            <v>82327</v>
          </cell>
        </row>
        <row r="99">
          <cell r="B99">
            <v>72006</v>
          </cell>
          <cell r="C99">
            <v>6339</v>
          </cell>
          <cell r="D99">
            <v>406</v>
          </cell>
          <cell r="E99">
            <v>2504</v>
          </cell>
          <cell r="F99">
            <v>154</v>
          </cell>
          <cell r="G99">
            <v>26</v>
          </cell>
          <cell r="H99">
            <v>9431</v>
          </cell>
          <cell r="I99">
            <v>81437</v>
          </cell>
          <cell r="J99">
            <v>1663</v>
          </cell>
          <cell r="K99">
            <v>1499</v>
          </cell>
          <cell r="L99">
            <v>3162</v>
          </cell>
          <cell r="M99">
            <v>84599</v>
          </cell>
          <cell r="N99">
            <v>11745</v>
          </cell>
          <cell r="O99">
            <v>13606</v>
          </cell>
          <cell r="P99">
            <v>7446</v>
          </cell>
          <cell r="Q99">
            <v>2352</v>
          </cell>
          <cell r="R99">
            <v>35149</v>
          </cell>
          <cell r="S99">
            <v>35149</v>
          </cell>
          <cell r="T99">
            <v>11383</v>
          </cell>
          <cell r="U99">
            <v>205</v>
          </cell>
          <cell r="V99">
            <v>11588</v>
          </cell>
          <cell r="W99">
            <v>1927</v>
          </cell>
          <cell r="X99">
            <v>173</v>
          </cell>
          <cell r="Y99">
            <v>1161</v>
          </cell>
          <cell r="Z99">
            <v>14849</v>
          </cell>
          <cell r="AA99">
            <v>49998</v>
          </cell>
          <cell r="AB99">
            <v>34601</v>
          </cell>
          <cell r="AC99">
            <v>9292</v>
          </cell>
          <cell r="AD99">
            <v>25310</v>
          </cell>
          <cell r="AE99">
            <v>84599</v>
          </cell>
          <cell r="AF99">
            <v>71647</v>
          </cell>
          <cell r="AG99">
            <v>6087</v>
          </cell>
          <cell r="AH99">
            <v>412</v>
          </cell>
          <cell r="AI99">
            <v>2543</v>
          </cell>
          <cell r="AJ99">
            <v>157</v>
          </cell>
          <cell r="AK99">
            <v>28</v>
          </cell>
          <cell r="AL99">
            <v>9227</v>
          </cell>
          <cell r="AM99">
            <v>80875</v>
          </cell>
          <cell r="AN99">
            <v>1758</v>
          </cell>
          <cell r="AO99">
            <v>1354</v>
          </cell>
          <cell r="AP99">
            <v>3112</v>
          </cell>
          <cell r="AQ99">
            <v>83987</v>
          </cell>
          <cell r="AR99">
            <v>11543</v>
          </cell>
          <cell r="AS99">
            <v>13688</v>
          </cell>
          <cell r="AT99">
            <v>8677</v>
          </cell>
          <cell r="AU99">
            <v>2356</v>
          </cell>
          <cell r="AV99">
            <v>36265</v>
          </cell>
          <cell r="AW99">
            <v>36265</v>
          </cell>
          <cell r="AX99">
            <v>11380</v>
          </cell>
          <cell r="AY99">
            <v>192</v>
          </cell>
          <cell r="AZ99">
            <v>11572</v>
          </cell>
          <cell r="BA99">
            <v>1923</v>
          </cell>
          <cell r="BB99">
            <v>164</v>
          </cell>
          <cell r="BC99">
            <v>1119</v>
          </cell>
          <cell r="BD99">
            <v>14778</v>
          </cell>
          <cell r="BE99">
            <v>51043</v>
          </cell>
          <cell r="BF99">
            <v>32944</v>
          </cell>
          <cell r="BG99">
            <v>7644</v>
          </cell>
          <cell r="BH99">
            <v>25299</v>
          </cell>
          <cell r="BI99">
            <v>83987</v>
          </cell>
          <cell r="BJ99">
            <v>74420</v>
          </cell>
          <cell r="BK99">
            <v>6089</v>
          </cell>
          <cell r="BL99">
            <v>340</v>
          </cell>
          <cell r="BM99">
            <v>2543</v>
          </cell>
          <cell r="BN99">
            <v>157</v>
          </cell>
          <cell r="BO99">
            <v>28</v>
          </cell>
          <cell r="BP99">
            <v>9157</v>
          </cell>
          <cell r="BQ99">
            <v>83576</v>
          </cell>
          <cell r="BR99">
            <v>1741</v>
          </cell>
          <cell r="BS99">
            <v>1199</v>
          </cell>
          <cell r="BT99">
            <v>2940</v>
          </cell>
          <cell r="BU99">
            <v>86516</v>
          </cell>
          <cell r="BV99">
            <v>11531</v>
          </cell>
          <cell r="BW99">
            <v>21669</v>
          </cell>
          <cell r="BX99">
            <v>8983</v>
          </cell>
          <cell r="BY99">
            <v>2545</v>
          </cell>
          <cell r="BZ99">
            <v>44728</v>
          </cell>
          <cell r="CA99">
            <v>44728</v>
          </cell>
          <cell r="CB99">
            <v>12244</v>
          </cell>
          <cell r="CC99">
            <v>190</v>
          </cell>
          <cell r="CD99">
            <v>12434</v>
          </cell>
          <cell r="CE99">
            <v>1923</v>
          </cell>
          <cell r="CF99">
            <v>151</v>
          </cell>
          <cell r="CG99">
            <v>975</v>
          </cell>
          <cell r="CH99">
            <v>15483</v>
          </cell>
          <cell r="CI99">
            <v>60211</v>
          </cell>
          <cell r="CJ99">
            <v>26306</v>
          </cell>
          <cell r="CK99">
            <v>1006</v>
          </cell>
          <cell r="CL99">
            <v>25299</v>
          </cell>
          <cell r="CM99">
            <v>86516</v>
          </cell>
        </row>
        <row r="100">
          <cell r="B100">
            <v>72078</v>
          </cell>
          <cell r="C100">
            <v>6659</v>
          </cell>
          <cell r="D100">
            <v>357</v>
          </cell>
          <cell r="E100">
            <v>2432</v>
          </cell>
          <cell r="F100">
            <v>159</v>
          </cell>
          <cell r="G100">
            <v>28</v>
          </cell>
          <cell r="H100">
            <v>9634</v>
          </cell>
          <cell r="I100">
            <v>81712</v>
          </cell>
          <cell r="J100">
            <v>1945</v>
          </cell>
          <cell r="K100">
            <v>1221</v>
          </cell>
          <cell r="L100">
            <v>3166</v>
          </cell>
          <cell r="M100">
            <v>84879</v>
          </cell>
          <cell r="N100">
            <v>11870</v>
          </cell>
          <cell r="O100">
            <v>14513</v>
          </cell>
          <cell r="P100">
            <v>7682</v>
          </cell>
          <cell r="Q100">
            <v>2418</v>
          </cell>
          <cell r="R100">
            <v>36483</v>
          </cell>
          <cell r="S100">
            <v>36483</v>
          </cell>
          <cell r="T100">
            <v>11817</v>
          </cell>
          <cell r="U100">
            <v>199</v>
          </cell>
          <cell r="V100">
            <v>12016</v>
          </cell>
          <cell r="W100">
            <v>1943</v>
          </cell>
          <cell r="X100">
            <v>167</v>
          </cell>
          <cell r="Y100">
            <v>1123</v>
          </cell>
          <cell r="Z100">
            <v>15249</v>
          </cell>
          <cell r="AA100">
            <v>51732</v>
          </cell>
          <cell r="AB100">
            <v>33147</v>
          </cell>
          <cell r="AC100">
            <v>7558</v>
          </cell>
          <cell r="AD100">
            <v>25589</v>
          </cell>
          <cell r="AE100">
            <v>84879</v>
          </cell>
          <cell r="AF100">
            <v>74032</v>
          </cell>
          <cell r="AG100">
            <v>6884</v>
          </cell>
          <cell r="AH100">
            <v>349</v>
          </cell>
          <cell r="AI100">
            <v>2413</v>
          </cell>
          <cell r="AJ100">
            <v>160</v>
          </cell>
          <cell r="AK100">
            <v>26</v>
          </cell>
          <cell r="AL100">
            <v>9830</v>
          </cell>
          <cell r="AM100">
            <v>83862</v>
          </cell>
          <cell r="AN100">
            <v>2453</v>
          </cell>
          <cell r="AO100">
            <v>1230</v>
          </cell>
          <cell r="AP100">
            <v>3683</v>
          </cell>
          <cell r="AQ100">
            <v>87545</v>
          </cell>
          <cell r="AR100">
            <v>12090</v>
          </cell>
          <cell r="AS100">
            <v>14766</v>
          </cell>
          <cell r="AT100">
            <v>7431</v>
          </cell>
          <cell r="AU100">
            <v>2380</v>
          </cell>
          <cell r="AV100">
            <v>36667</v>
          </cell>
          <cell r="AW100">
            <v>36667</v>
          </cell>
          <cell r="AX100">
            <v>11824</v>
          </cell>
          <cell r="AY100">
            <v>204</v>
          </cell>
          <cell r="AZ100">
            <v>12028</v>
          </cell>
          <cell r="BA100">
            <v>1943</v>
          </cell>
          <cell r="BB100">
            <v>164</v>
          </cell>
          <cell r="BC100">
            <v>1132</v>
          </cell>
          <cell r="BD100">
            <v>15266</v>
          </cell>
          <cell r="BE100">
            <v>51933</v>
          </cell>
          <cell r="BF100">
            <v>35611</v>
          </cell>
          <cell r="BG100">
            <v>10033</v>
          </cell>
          <cell r="BH100">
            <v>25578</v>
          </cell>
          <cell r="BI100">
            <v>87545</v>
          </cell>
          <cell r="BJ100">
            <v>79285</v>
          </cell>
          <cell r="BK100">
            <v>6882</v>
          </cell>
          <cell r="BL100">
            <v>373</v>
          </cell>
          <cell r="BM100">
            <v>2413</v>
          </cell>
          <cell r="BN100">
            <v>160</v>
          </cell>
          <cell r="BO100">
            <v>24</v>
          </cell>
          <cell r="BP100">
            <v>9851</v>
          </cell>
          <cell r="BQ100">
            <v>89137</v>
          </cell>
          <cell r="BR100">
            <v>2455</v>
          </cell>
          <cell r="BS100">
            <v>1118</v>
          </cell>
          <cell r="BT100">
            <v>3574</v>
          </cell>
          <cell r="BU100">
            <v>92710</v>
          </cell>
          <cell r="BV100">
            <v>12093</v>
          </cell>
          <cell r="BW100">
            <v>6705</v>
          </cell>
          <cell r="BX100">
            <v>7316</v>
          </cell>
          <cell r="BY100">
            <v>2342</v>
          </cell>
          <cell r="BZ100">
            <v>28456</v>
          </cell>
          <cell r="CA100">
            <v>28456</v>
          </cell>
          <cell r="CB100">
            <v>12937</v>
          </cell>
          <cell r="CC100">
            <v>201</v>
          </cell>
          <cell r="CD100">
            <v>13138</v>
          </cell>
          <cell r="CE100">
            <v>1943</v>
          </cell>
          <cell r="CF100">
            <v>176</v>
          </cell>
          <cell r="CG100">
            <v>1103</v>
          </cell>
          <cell r="CH100">
            <v>16361</v>
          </cell>
          <cell r="CI100">
            <v>44816</v>
          </cell>
          <cell r="CJ100">
            <v>47894</v>
          </cell>
          <cell r="CK100">
            <v>22316</v>
          </cell>
          <cell r="CL100">
            <v>25578</v>
          </cell>
          <cell r="CM100">
            <v>92710</v>
          </cell>
        </row>
        <row r="101">
          <cell r="B101">
            <v>73207</v>
          </cell>
          <cell r="C101">
            <v>6891</v>
          </cell>
          <cell r="D101">
            <v>340</v>
          </cell>
          <cell r="E101">
            <v>1955</v>
          </cell>
          <cell r="F101">
            <v>159</v>
          </cell>
          <cell r="G101">
            <v>27</v>
          </cell>
          <cell r="H101">
            <v>9372</v>
          </cell>
          <cell r="I101">
            <v>82579</v>
          </cell>
          <cell r="J101">
            <v>1941</v>
          </cell>
          <cell r="K101">
            <v>1170</v>
          </cell>
          <cell r="L101">
            <v>3111</v>
          </cell>
          <cell r="M101">
            <v>85690</v>
          </cell>
          <cell r="N101">
            <v>11922</v>
          </cell>
          <cell r="O101">
            <v>15150</v>
          </cell>
          <cell r="P101">
            <v>7311</v>
          </cell>
          <cell r="Q101">
            <v>2556</v>
          </cell>
          <cell r="R101">
            <v>36940</v>
          </cell>
          <cell r="S101">
            <v>36940</v>
          </cell>
          <cell r="T101">
            <v>12295</v>
          </cell>
          <cell r="U101">
            <v>202</v>
          </cell>
          <cell r="V101">
            <v>12497</v>
          </cell>
          <cell r="W101">
            <v>1946</v>
          </cell>
          <cell r="X101">
            <v>150</v>
          </cell>
          <cell r="Y101">
            <v>1053</v>
          </cell>
          <cell r="Z101">
            <v>15645</v>
          </cell>
          <cell r="AA101">
            <v>52586</v>
          </cell>
          <cell r="AB101">
            <v>33104</v>
          </cell>
          <cell r="AC101">
            <v>7181</v>
          </cell>
          <cell r="AD101">
            <v>25923</v>
          </cell>
          <cell r="AE101">
            <v>85690</v>
          </cell>
          <cell r="AF101">
            <v>70337</v>
          </cell>
          <cell r="AG101">
            <v>6826</v>
          </cell>
          <cell r="AH101">
            <v>329</v>
          </cell>
          <cell r="AI101">
            <v>2156</v>
          </cell>
          <cell r="AJ101">
            <v>159</v>
          </cell>
          <cell r="AK101">
            <v>28</v>
          </cell>
          <cell r="AL101">
            <v>9498</v>
          </cell>
          <cell r="AM101">
            <v>79835</v>
          </cell>
          <cell r="AN101">
            <v>2392</v>
          </cell>
          <cell r="AO101">
            <v>1109</v>
          </cell>
          <cell r="AP101">
            <v>3501</v>
          </cell>
          <cell r="AQ101">
            <v>83337</v>
          </cell>
          <cell r="AR101">
            <v>11776</v>
          </cell>
          <cell r="AS101">
            <v>14899</v>
          </cell>
          <cell r="AT101">
            <v>6628</v>
          </cell>
          <cell r="AU101">
            <v>2372</v>
          </cell>
          <cell r="AV101">
            <v>35675</v>
          </cell>
          <cell r="AW101">
            <v>35675</v>
          </cell>
          <cell r="AX101">
            <v>12032</v>
          </cell>
          <cell r="AY101">
            <v>201</v>
          </cell>
          <cell r="AZ101">
            <v>12232</v>
          </cell>
          <cell r="BA101">
            <v>1949</v>
          </cell>
          <cell r="BB101">
            <v>166</v>
          </cell>
          <cell r="BC101">
            <v>1068</v>
          </cell>
          <cell r="BD101">
            <v>15415</v>
          </cell>
          <cell r="BE101">
            <v>51090</v>
          </cell>
          <cell r="BF101">
            <v>32247</v>
          </cell>
          <cell r="BG101">
            <v>6331</v>
          </cell>
          <cell r="BH101">
            <v>25916</v>
          </cell>
          <cell r="BI101">
            <v>83337</v>
          </cell>
          <cell r="BJ101">
            <v>64519</v>
          </cell>
          <cell r="BK101">
            <v>6818</v>
          </cell>
          <cell r="BL101">
            <v>262</v>
          </cell>
          <cell r="BM101">
            <v>2156</v>
          </cell>
          <cell r="BN101">
            <v>159</v>
          </cell>
          <cell r="BO101">
            <v>28</v>
          </cell>
          <cell r="BP101">
            <v>9422</v>
          </cell>
          <cell r="BQ101">
            <v>73940</v>
          </cell>
          <cell r="BR101">
            <v>2387</v>
          </cell>
          <cell r="BS101">
            <v>1069</v>
          </cell>
          <cell r="BT101">
            <v>3457</v>
          </cell>
          <cell r="BU101">
            <v>77397</v>
          </cell>
          <cell r="BV101">
            <v>11757</v>
          </cell>
          <cell r="BW101">
            <v>23157</v>
          </cell>
          <cell r="BX101">
            <v>5556</v>
          </cell>
          <cell r="BY101">
            <v>2200</v>
          </cell>
          <cell r="BZ101">
            <v>42670</v>
          </cell>
          <cell r="CA101">
            <v>42670</v>
          </cell>
          <cell r="CB101">
            <v>10296</v>
          </cell>
          <cell r="CC101">
            <v>201</v>
          </cell>
          <cell r="CD101">
            <v>10497</v>
          </cell>
          <cell r="CE101">
            <v>1949</v>
          </cell>
          <cell r="CF101">
            <v>155</v>
          </cell>
          <cell r="CG101">
            <v>1023</v>
          </cell>
          <cell r="CH101">
            <v>13624</v>
          </cell>
          <cell r="CI101">
            <v>56293</v>
          </cell>
          <cell r="CJ101">
            <v>21104</v>
          </cell>
          <cell r="CK101">
            <v>-4812</v>
          </cell>
          <cell r="CL101">
            <v>25916</v>
          </cell>
          <cell r="CM101">
            <v>77397</v>
          </cell>
        </row>
        <row r="102">
          <cell r="B102">
            <v>76000</v>
          </cell>
          <cell r="C102">
            <v>6964</v>
          </cell>
          <cell r="D102">
            <v>351</v>
          </cell>
          <cell r="E102">
            <v>1707</v>
          </cell>
          <cell r="F102">
            <v>154</v>
          </cell>
          <cell r="G102">
            <v>24</v>
          </cell>
          <cell r="H102">
            <v>9200</v>
          </cell>
          <cell r="I102">
            <v>85200</v>
          </cell>
          <cell r="J102">
            <v>1653</v>
          </cell>
          <cell r="K102">
            <v>1262</v>
          </cell>
          <cell r="L102">
            <v>2915</v>
          </cell>
          <cell r="M102">
            <v>88115</v>
          </cell>
          <cell r="N102">
            <v>11897</v>
          </cell>
          <cell r="O102">
            <v>15379</v>
          </cell>
          <cell r="P102">
            <v>6955</v>
          </cell>
          <cell r="Q102">
            <v>2752</v>
          </cell>
          <cell r="R102">
            <v>36983</v>
          </cell>
          <cell r="S102">
            <v>36983</v>
          </cell>
          <cell r="T102">
            <v>12859</v>
          </cell>
          <cell r="U102">
            <v>209</v>
          </cell>
          <cell r="V102">
            <v>13068</v>
          </cell>
          <cell r="W102">
            <v>1932</v>
          </cell>
          <cell r="X102">
            <v>139</v>
          </cell>
          <cell r="Y102">
            <v>1011</v>
          </cell>
          <cell r="Z102">
            <v>16150</v>
          </cell>
          <cell r="AA102">
            <v>53133</v>
          </cell>
          <cell r="AB102">
            <v>34983</v>
          </cell>
          <cell r="AC102">
            <v>8680</v>
          </cell>
          <cell r="AD102">
            <v>26302</v>
          </cell>
          <cell r="AE102">
            <v>88115</v>
          </cell>
          <cell r="AF102">
            <v>76191</v>
          </cell>
          <cell r="AG102">
            <v>6931</v>
          </cell>
          <cell r="AH102">
            <v>307</v>
          </cell>
          <cell r="AI102">
            <v>1497</v>
          </cell>
          <cell r="AJ102">
            <v>155</v>
          </cell>
          <cell r="AK102">
            <v>27</v>
          </cell>
          <cell r="AL102">
            <v>8917</v>
          </cell>
          <cell r="AM102">
            <v>85108</v>
          </cell>
          <cell r="AN102">
            <v>1726</v>
          </cell>
          <cell r="AO102">
            <v>1356</v>
          </cell>
          <cell r="AP102">
            <v>3083</v>
          </cell>
          <cell r="AQ102">
            <v>88190</v>
          </cell>
          <cell r="AR102">
            <v>11877</v>
          </cell>
          <cell r="AS102">
            <v>15782</v>
          </cell>
          <cell r="AT102">
            <v>7497</v>
          </cell>
          <cell r="AU102">
            <v>2971</v>
          </cell>
          <cell r="AV102">
            <v>38127</v>
          </cell>
          <cell r="AW102">
            <v>38127</v>
          </cell>
          <cell r="AX102">
            <v>12945</v>
          </cell>
          <cell r="AY102">
            <v>207</v>
          </cell>
          <cell r="AZ102">
            <v>13152</v>
          </cell>
          <cell r="BA102">
            <v>1941</v>
          </cell>
          <cell r="BB102">
            <v>121</v>
          </cell>
          <cell r="BC102">
            <v>969</v>
          </cell>
          <cell r="BD102">
            <v>16183</v>
          </cell>
          <cell r="BE102">
            <v>54311</v>
          </cell>
          <cell r="BF102">
            <v>33880</v>
          </cell>
          <cell r="BG102">
            <v>7566</v>
          </cell>
          <cell r="BH102">
            <v>26314</v>
          </cell>
          <cell r="BI102">
            <v>88190</v>
          </cell>
          <cell r="BJ102">
            <v>74073</v>
          </cell>
          <cell r="BK102">
            <v>6941</v>
          </cell>
          <cell r="BL102">
            <v>402</v>
          </cell>
          <cell r="BM102">
            <v>1497</v>
          </cell>
          <cell r="BN102">
            <v>155</v>
          </cell>
          <cell r="BO102">
            <v>29</v>
          </cell>
          <cell r="BP102">
            <v>9023</v>
          </cell>
          <cell r="BQ102">
            <v>83096</v>
          </cell>
          <cell r="BR102">
            <v>1739</v>
          </cell>
          <cell r="BS102">
            <v>1681</v>
          </cell>
          <cell r="BT102">
            <v>3420</v>
          </cell>
          <cell r="BU102">
            <v>86516</v>
          </cell>
          <cell r="BV102">
            <v>11911</v>
          </cell>
          <cell r="BW102">
            <v>6907</v>
          </cell>
          <cell r="BX102">
            <v>8291</v>
          </cell>
          <cell r="BY102">
            <v>3013</v>
          </cell>
          <cell r="BZ102">
            <v>30122</v>
          </cell>
          <cell r="CA102">
            <v>30122</v>
          </cell>
          <cell r="CB102">
            <v>12612</v>
          </cell>
          <cell r="CC102">
            <v>212</v>
          </cell>
          <cell r="CD102">
            <v>12824</v>
          </cell>
          <cell r="CE102">
            <v>1941</v>
          </cell>
          <cell r="CF102">
            <v>130</v>
          </cell>
          <cell r="CG102">
            <v>1162</v>
          </cell>
          <cell r="CH102">
            <v>16056</v>
          </cell>
          <cell r="CI102">
            <v>46178</v>
          </cell>
          <cell r="CJ102">
            <v>40338</v>
          </cell>
          <cell r="CK102">
            <v>14024</v>
          </cell>
          <cell r="CL102">
            <v>26314</v>
          </cell>
          <cell r="CM102">
            <v>86516</v>
          </cell>
        </row>
        <row r="103">
          <cell r="B103">
            <v>78522</v>
          </cell>
          <cell r="C103">
            <v>6911</v>
          </cell>
          <cell r="D103">
            <v>353</v>
          </cell>
          <cell r="E103">
            <v>1932</v>
          </cell>
          <cell r="F103">
            <v>149</v>
          </cell>
          <cell r="G103">
            <v>20</v>
          </cell>
          <cell r="H103">
            <v>9364</v>
          </cell>
          <cell r="I103">
            <v>87886</v>
          </cell>
          <cell r="J103">
            <v>1277</v>
          </cell>
          <cell r="K103">
            <v>1400</v>
          </cell>
          <cell r="L103">
            <v>2678</v>
          </cell>
          <cell r="M103">
            <v>90563</v>
          </cell>
          <cell r="N103">
            <v>11777</v>
          </cell>
          <cell r="O103">
            <v>15536</v>
          </cell>
          <cell r="P103">
            <v>6770</v>
          </cell>
          <cell r="Q103">
            <v>2788</v>
          </cell>
          <cell r="R103">
            <v>36871</v>
          </cell>
          <cell r="S103">
            <v>36871</v>
          </cell>
          <cell r="T103">
            <v>12987</v>
          </cell>
          <cell r="U103">
            <v>213</v>
          </cell>
          <cell r="V103">
            <v>13200</v>
          </cell>
          <cell r="W103">
            <v>1908</v>
          </cell>
          <cell r="X103">
            <v>140</v>
          </cell>
          <cell r="Y103">
            <v>992</v>
          </cell>
          <cell r="Z103">
            <v>16241</v>
          </cell>
          <cell r="AA103">
            <v>53111</v>
          </cell>
          <cell r="AB103">
            <v>37452</v>
          </cell>
          <cell r="AC103">
            <v>10753</v>
          </cell>
          <cell r="AD103">
            <v>26699</v>
          </cell>
          <cell r="AE103">
            <v>90563</v>
          </cell>
          <cell r="AF103">
            <v>80240</v>
          </cell>
          <cell r="AG103">
            <v>6995</v>
          </cell>
          <cell r="AH103">
            <v>398</v>
          </cell>
          <cell r="AI103">
            <v>1445</v>
          </cell>
          <cell r="AJ103">
            <v>147</v>
          </cell>
          <cell r="AK103">
            <v>16</v>
          </cell>
          <cell r="AL103">
            <v>9001</v>
          </cell>
          <cell r="AM103">
            <v>89241</v>
          </cell>
          <cell r="AN103">
            <v>1181</v>
          </cell>
          <cell r="AO103">
            <v>1320</v>
          </cell>
          <cell r="AP103">
            <v>2502</v>
          </cell>
          <cell r="AQ103">
            <v>91742</v>
          </cell>
          <cell r="AR103">
            <v>11922</v>
          </cell>
          <cell r="AS103">
            <v>14925</v>
          </cell>
          <cell r="AT103">
            <v>6653</v>
          </cell>
          <cell r="AU103">
            <v>2820</v>
          </cell>
          <cell r="AV103">
            <v>36321</v>
          </cell>
          <cell r="AW103">
            <v>36321</v>
          </cell>
          <cell r="AX103">
            <v>13274</v>
          </cell>
          <cell r="AY103">
            <v>220</v>
          </cell>
          <cell r="AZ103">
            <v>13493</v>
          </cell>
          <cell r="BA103">
            <v>1900</v>
          </cell>
          <cell r="BB103">
            <v>139</v>
          </cell>
          <cell r="BC103">
            <v>1031</v>
          </cell>
          <cell r="BD103">
            <v>16564</v>
          </cell>
          <cell r="BE103">
            <v>52884</v>
          </cell>
          <cell r="BF103">
            <v>38858</v>
          </cell>
          <cell r="BG103">
            <v>12149</v>
          </cell>
          <cell r="BH103">
            <v>26709</v>
          </cell>
          <cell r="BI103">
            <v>91742</v>
          </cell>
          <cell r="BJ103">
            <v>83547</v>
          </cell>
          <cell r="BK103">
            <v>6996</v>
          </cell>
          <cell r="BL103">
            <v>326</v>
          </cell>
          <cell r="BM103">
            <v>1445</v>
          </cell>
          <cell r="BN103">
            <v>147</v>
          </cell>
          <cell r="BO103">
            <v>16</v>
          </cell>
          <cell r="BP103">
            <v>8930</v>
          </cell>
          <cell r="BQ103">
            <v>92477</v>
          </cell>
          <cell r="BR103">
            <v>1178</v>
          </cell>
          <cell r="BS103">
            <v>1195</v>
          </cell>
          <cell r="BT103">
            <v>2373</v>
          </cell>
          <cell r="BU103">
            <v>94849</v>
          </cell>
          <cell r="BV103">
            <v>11907</v>
          </cell>
          <cell r="BW103">
            <v>23574</v>
          </cell>
          <cell r="BX103">
            <v>6987</v>
          </cell>
          <cell r="BY103">
            <v>3024</v>
          </cell>
          <cell r="BZ103">
            <v>45492</v>
          </cell>
          <cell r="CA103">
            <v>45492</v>
          </cell>
          <cell r="CB103">
            <v>14298</v>
          </cell>
          <cell r="CC103">
            <v>216</v>
          </cell>
          <cell r="CD103">
            <v>14514</v>
          </cell>
          <cell r="CE103">
            <v>1900</v>
          </cell>
          <cell r="CF103">
            <v>127</v>
          </cell>
          <cell r="CG103">
            <v>898</v>
          </cell>
          <cell r="CH103">
            <v>17440</v>
          </cell>
          <cell r="CI103">
            <v>62931</v>
          </cell>
          <cell r="CJ103">
            <v>31918</v>
          </cell>
          <cell r="CK103">
            <v>5209</v>
          </cell>
          <cell r="CL103">
            <v>26709</v>
          </cell>
          <cell r="CM103">
            <v>94849</v>
          </cell>
        </row>
        <row r="104">
          <cell r="B104">
            <v>78890</v>
          </cell>
          <cell r="C104">
            <v>6816</v>
          </cell>
          <cell r="D104">
            <v>336</v>
          </cell>
          <cell r="E104">
            <v>2204</v>
          </cell>
          <cell r="F104">
            <v>143</v>
          </cell>
          <cell r="G104">
            <v>15</v>
          </cell>
          <cell r="H104">
            <v>9514</v>
          </cell>
          <cell r="I104">
            <v>88404</v>
          </cell>
          <cell r="J104">
            <v>977</v>
          </cell>
          <cell r="K104">
            <v>1507</v>
          </cell>
          <cell r="L104">
            <v>2484</v>
          </cell>
          <cell r="M104">
            <v>90888</v>
          </cell>
          <cell r="N104">
            <v>11590</v>
          </cell>
          <cell r="O104">
            <v>15505</v>
          </cell>
          <cell r="P104">
            <v>6374</v>
          </cell>
          <cell r="Q104">
            <v>2672</v>
          </cell>
          <cell r="R104">
            <v>36142</v>
          </cell>
          <cell r="S104">
            <v>36142</v>
          </cell>
          <cell r="T104">
            <v>12615</v>
          </cell>
          <cell r="U104">
            <v>215</v>
          </cell>
          <cell r="V104">
            <v>12830</v>
          </cell>
          <cell r="W104">
            <v>1893</v>
          </cell>
          <cell r="X104">
            <v>150</v>
          </cell>
          <cell r="Y104">
            <v>1024</v>
          </cell>
          <cell r="Z104">
            <v>15897</v>
          </cell>
          <cell r="AA104">
            <v>52039</v>
          </cell>
          <cell r="AB104">
            <v>38849</v>
          </cell>
          <cell r="AC104">
            <v>11731</v>
          </cell>
          <cell r="AD104">
            <v>27118</v>
          </cell>
          <cell r="AE104">
            <v>90888</v>
          </cell>
          <cell r="AF104">
            <v>79183</v>
          </cell>
          <cell r="AG104">
            <v>6697</v>
          </cell>
          <cell r="AH104">
            <v>317</v>
          </cell>
          <cell r="AI104">
            <v>2923</v>
          </cell>
          <cell r="AJ104">
            <v>143</v>
          </cell>
          <cell r="AK104">
            <v>16</v>
          </cell>
          <cell r="AL104">
            <v>10096</v>
          </cell>
          <cell r="AM104">
            <v>89280</v>
          </cell>
          <cell r="AN104">
            <v>1035</v>
          </cell>
          <cell r="AO104">
            <v>1525</v>
          </cell>
          <cell r="AP104">
            <v>2560</v>
          </cell>
          <cell r="AQ104">
            <v>91839</v>
          </cell>
          <cell r="AR104">
            <v>11439</v>
          </cell>
          <cell r="AS104">
            <v>15904</v>
          </cell>
          <cell r="AT104">
            <v>6367</v>
          </cell>
          <cell r="AU104">
            <v>2598</v>
          </cell>
          <cell r="AV104">
            <v>36308</v>
          </cell>
          <cell r="AW104">
            <v>36308</v>
          </cell>
          <cell r="AX104">
            <v>12635</v>
          </cell>
          <cell r="AY104">
            <v>210</v>
          </cell>
          <cell r="AZ104">
            <v>12845</v>
          </cell>
          <cell r="BA104">
            <v>1892</v>
          </cell>
          <cell r="BB104">
            <v>157</v>
          </cell>
          <cell r="BC104">
            <v>987</v>
          </cell>
          <cell r="BD104">
            <v>15881</v>
          </cell>
          <cell r="BE104">
            <v>52189</v>
          </cell>
          <cell r="BF104">
            <v>39650</v>
          </cell>
          <cell r="BG104">
            <v>12544</v>
          </cell>
          <cell r="BH104">
            <v>27107</v>
          </cell>
          <cell r="BI104">
            <v>91839</v>
          </cell>
          <cell r="BJ104">
            <v>84573</v>
          </cell>
          <cell r="BK104">
            <v>6692</v>
          </cell>
          <cell r="BL104">
            <v>344</v>
          </cell>
          <cell r="BM104">
            <v>2923</v>
          </cell>
          <cell r="BN104">
            <v>143</v>
          </cell>
          <cell r="BO104">
            <v>15</v>
          </cell>
          <cell r="BP104">
            <v>10118</v>
          </cell>
          <cell r="BQ104">
            <v>94691</v>
          </cell>
          <cell r="BR104">
            <v>1032</v>
          </cell>
          <cell r="BS104">
            <v>1383</v>
          </cell>
          <cell r="BT104">
            <v>2414</v>
          </cell>
          <cell r="BU104">
            <v>97105</v>
          </cell>
          <cell r="BV104">
            <v>11440</v>
          </cell>
          <cell r="BW104">
            <v>7357</v>
          </cell>
          <cell r="BX104">
            <v>6336</v>
          </cell>
          <cell r="BY104">
            <v>2547</v>
          </cell>
          <cell r="BZ104">
            <v>27681</v>
          </cell>
          <cell r="CA104">
            <v>27681</v>
          </cell>
          <cell r="CB104">
            <v>13759</v>
          </cell>
          <cell r="CC104">
            <v>208</v>
          </cell>
          <cell r="CD104">
            <v>13967</v>
          </cell>
          <cell r="CE104">
            <v>1892</v>
          </cell>
          <cell r="CF104">
            <v>171</v>
          </cell>
          <cell r="CG104">
            <v>960</v>
          </cell>
          <cell r="CH104">
            <v>16990</v>
          </cell>
          <cell r="CI104">
            <v>44671</v>
          </cell>
          <cell r="CJ104">
            <v>52435</v>
          </cell>
          <cell r="CK104">
            <v>25328</v>
          </cell>
          <cell r="CL104">
            <v>27107</v>
          </cell>
          <cell r="CM104">
            <v>97105</v>
          </cell>
        </row>
        <row r="105">
          <cell r="B105">
            <v>77101</v>
          </cell>
          <cell r="C105">
            <v>6608</v>
          </cell>
          <cell r="D105">
            <v>319</v>
          </cell>
          <cell r="E105">
            <v>2251</v>
          </cell>
          <cell r="F105">
            <v>139</v>
          </cell>
          <cell r="G105">
            <v>15</v>
          </cell>
          <cell r="H105">
            <v>9333</v>
          </cell>
          <cell r="I105">
            <v>86434</v>
          </cell>
          <cell r="J105">
            <v>860</v>
          </cell>
          <cell r="K105">
            <v>1485</v>
          </cell>
          <cell r="L105">
            <v>2344</v>
          </cell>
          <cell r="M105">
            <v>88778</v>
          </cell>
          <cell r="N105">
            <v>11275</v>
          </cell>
          <cell r="O105">
            <v>15176</v>
          </cell>
          <cell r="P105">
            <v>6006</v>
          </cell>
          <cell r="Q105">
            <v>2538</v>
          </cell>
          <cell r="R105">
            <v>34995</v>
          </cell>
          <cell r="S105">
            <v>34995</v>
          </cell>
          <cell r="T105">
            <v>12032</v>
          </cell>
          <cell r="U105">
            <v>214</v>
          </cell>
          <cell r="V105">
            <v>12246</v>
          </cell>
          <cell r="W105">
            <v>1905</v>
          </cell>
          <cell r="X105">
            <v>154</v>
          </cell>
          <cell r="Y105">
            <v>1082</v>
          </cell>
          <cell r="Z105">
            <v>15387</v>
          </cell>
          <cell r="AA105">
            <v>50383</v>
          </cell>
          <cell r="AB105">
            <v>38395</v>
          </cell>
          <cell r="AC105">
            <v>10818</v>
          </cell>
          <cell r="AD105">
            <v>27578</v>
          </cell>
          <cell r="AE105">
            <v>88778</v>
          </cell>
          <cell r="AF105">
            <v>75794</v>
          </cell>
          <cell r="AG105">
            <v>6724</v>
          </cell>
          <cell r="AH105">
            <v>297</v>
          </cell>
          <cell r="AI105">
            <v>2244</v>
          </cell>
          <cell r="AJ105">
            <v>139</v>
          </cell>
          <cell r="AK105">
            <v>15</v>
          </cell>
          <cell r="AL105">
            <v>9420</v>
          </cell>
          <cell r="AM105">
            <v>85215</v>
          </cell>
          <cell r="AN105">
            <v>873</v>
          </cell>
          <cell r="AO105">
            <v>1595</v>
          </cell>
          <cell r="AP105">
            <v>2468</v>
          </cell>
          <cell r="AQ105">
            <v>87683</v>
          </cell>
          <cell r="AR105">
            <v>11365</v>
          </cell>
          <cell r="AS105">
            <v>15374</v>
          </cell>
          <cell r="AT105">
            <v>5789</v>
          </cell>
          <cell r="AU105">
            <v>2482</v>
          </cell>
          <cell r="AV105">
            <v>35010</v>
          </cell>
          <cell r="AW105">
            <v>35010</v>
          </cell>
          <cell r="AX105">
            <v>11625</v>
          </cell>
          <cell r="AY105">
            <v>214</v>
          </cell>
          <cell r="AZ105">
            <v>11839</v>
          </cell>
          <cell r="BA105">
            <v>1903</v>
          </cell>
          <cell r="BB105">
            <v>162</v>
          </cell>
          <cell r="BC105">
            <v>1087</v>
          </cell>
          <cell r="BD105">
            <v>14991</v>
          </cell>
          <cell r="BE105">
            <v>50001</v>
          </cell>
          <cell r="BF105">
            <v>37682</v>
          </cell>
          <cell r="BG105">
            <v>10115</v>
          </cell>
          <cell r="BH105">
            <v>27567</v>
          </cell>
          <cell r="BI105">
            <v>87683</v>
          </cell>
          <cell r="BJ105">
            <v>70039</v>
          </cell>
          <cell r="BK105">
            <v>6720</v>
          </cell>
          <cell r="BL105">
            <v>238</v>
          </cell>
          <cell r="BM105">
            <v>2244</v>
          </cell>
          <cell r="BN105">
            <v>139</v>
          </cell>
          <cell r="BO105">
            <v>15</v>
          </cell>
          <cell r="BP105">
            <v>9357</v>
          </cell>
          <cell r="BQ105">
            <v>79396</v>
          </cell>
          <cell r="BR105">
            <v>874</v>
          </cell>
          <cell r="BS105">
            <v>1506</v>
          </cell>
          <cell r="BT105">
            <v>2380</v>
          </cell>
          <cell r="BU105">
            <v>81775</v>
          </cell>
          <cell r="BV105">
            <v>11340</v>
          </cell>
          <cell r="BW105">
            <v>22432</v>
          </cell>
          <cell r="BX105">
            <v>4844</v>
          </cell>
          <cell r="BY105">
            <v>2333</v>
          </cell>
          <cell r="BZ105">
            <v>40950</v>
          </cell>
          <cell r="CA105">
            <v>40950</v>
          </cell>
          <cell r="CB105">
            <v>10059</v>
          </cell>
          <cell r="CC105">
            <v>214</v>
          </cell>
          <cell r="CD105">
            <v>10273</v>
          </cell>
          <cell r="CE105">
            <v>1903</v>
          </cell>
          <cell r="CF105">
            <v>152</v>
          </cell>
          <cell r="CG105">
            <v>1039</v>
          </cell>
          <cell r="CH105">
            <v>13368</v>
          </cell>
          <cell r="CI105">
            <v>54317</v>
          </cell>
          <cell r="CJ105">
            <v>27458</v>
          </cell>
          <cell r="CK105">
            <v>-109</v>
          </cell>
          <cell r="CL105">
            <v>27567</v>
          </cell>
          <cell r="CM105">
            <v>81775</v>
          </cell>
        </row>
        <row r="106">
          <cell r="B106">
            <v>75441</v>
          </cell>
          <cell r="C106">
            <v>6317</v>
          </cell>
          <cell r="D106">
            <v>325</v>
          </cell>
          <cell r="E106">
            <v>1864</v>
          </cell>
          <cell r="F106">
            <v>134</v>
          </cell>
          <cell r="G106">
            <v>19</v>
          </cell>
          <cell r="H106">
            <v>8659</v>
          </cell>
          <cell r="I106">
            <v>84100</v>
          </cell>
          <cell r="J106">
            <v>885</v>
          </cell>
          <cell r="K106">
            <v>1377</v>
          </cell>
          <cell r="L106">
            <v>2262</v>
          </cell>
          <cell r="M106">
            <v>86362</v>
          </cell>
          <cell r="N106">
            <v>10885</v>
          </cell>
          <cell r="O106">
            <v>14815</v>
          </cell>
          <cell r="P106">
            <v>5514</v>
          </cell>
          <cell r="Q106">
            <v>2484</v>
          </cell>
          <cell r="R106">
            <v>33699</v>
          </cell>
          <cell r="S106">
            <v>33699</v>
          </cell>
          <cell r="T106">
            <v>11549</v>
          </cell>
          <cell r="U106">
            <v>213</v>
          </cell>
          <cell r="V106">
            <v>11762</v>
          </cell>
          <cell r="W106">
            <v>1945</v>
          </cell>
          <cell r="X106">
            <v>152</v>
          </cell>
          <cell r="Y106">
            <v>1131</v>
          </cell>
          <cell r="Z106">
            <v>14991</v>
          </cell>
          <cell r="AA106">
            <v>48690</v>
          </cell>
          <cell r="AB106">
            <v>37672</v>
          </cell>
          <cell r="AC106">
            <v>9595</v>
          </cell>
          <cell r="AD106">
            <v>28077</v>
          </cell>
          <cell r="AE106">
            <v>86362</v>
          </cell>
          <cell r="AF106">
            <v>75821</v>
          </cell>
          <cell r="AG106">
            <v>6284</v>
          </cell>
          <cell r="AH106">
            <v>346</v>
          </cell>
          <cell r="AI106">
            <v>1342</v>
          </cell>
          <cell r="AJ106">
            <v>135</v>
          </cell>
          <cell r="AK106">
            <v>17</v>
          </cell>
          <cell r="AL106">
            <v>8124</v>
          </cell>
          <cell r="AM106">
            <v>83946</v>
          </cell>
          <cell r="AN106">
            <v>853</v>
          </cell>
          <cell r="AO106">
            <v>1315</v>
          </cell>
          <cell r="AP106">
            <v>2169</v>
          </cell>
          <cell r="AQ106">
            <v>86114</v>
          </cell>
          <cell r="AR106">
            <v>10878</v>
          </cell>
          <cell r="AS106">
            <v>14449</v>
          </cell>
          <cell r="AT106">
            <v>1798</v>
          </cell>
          <cell r="AU106">
            <v>2577</v>
          </cell>
          <cell r="AV106">
            <v>29703</v>
          </cell>
          <cell r="AW106">
            <v>29703</v>
          </cell>
          <cell r="AX106">
            <v>11872</v>
          </cell>
          <cell r="AY106">
            <v>218</v>
          </cell>
          <cell r="AZ106">
            <v>12090</v>
          </cell>
          <cell r="BA106">
            <v>1934</v>
          </cell>
          <cell r="BB106">
            <v>144</v>
          </cell>
          <cell r="BC106">
            <v>1157</v>
          </cell>
          <cell r="BD106">
            <v>15324</v>
          </cell>
          <cell r="BE106">
            <v>45027</v>
          </cell>
          <cell r="BF106">
            <v>41087</v>
          </cell>
          <cell r="BG106">
            <v>12998</v>
          </cell>
          <cell r="BH106">
            <v>28089</v>
          </cell>
          <cell r="BI106">
            <v>86114</v>
          </cell>
          <cell r="BJ106">
            <v>73369</v>
          </cell>
          <cell r="BK106">
            <v>6292</v>
          </cell>
          <cell r="BL106">
            <v>447</v>
          </cell>
          <cell r="BM106">
            <v>1342</v>
          </cell>
          <cell r="BN106">
            <v>135</v>
          </cell>
          <cell r="BO106">
            <v>17</v>
          </cell>
          <cell r="BP106">
            <v>8233</v>
          </cell>
          <cell r="BQ106">
            <v>81603</v>
          </cell>
          <cell r="BR106">
            <v>857</v>
          </cell>
          <cell r="BS106">
            <v>1612</v>
          </cell>
          <cell r="BT106">
            <v>2469</v>
          </cell>
          <cell r="BU106">
            <v>84072</v>
          </cell>
          <cell r="BV106">
            <v>10920</v>
          </cell>
          <cell r="BW106">
            <v>7553</v>
          </cell>
          <cell r="BX106">
            <v>2333</v>
          </cell>
          <cell r="BY106">
            <v>2605</v>
          </cell>
          <cell r="BZ106">
            <v>23411</v>
          </cell>
          <cell r="CA106">
            <v>23411</v>
          </cell>
          <cell r="CB106">
            <v>11467</v>
          </cell>
          <cell r="CC106">
            <v>223</v>
          </cell>
          <cell r="CD106">
            <v>11690</v>
          </cell>
          <cell r="CE106">
            <v>1934</v>
          </cell>
          <cell r="CF106">
            <v>151</v>
          </cell>
          <cell r="CG106">
            <v>1385</v>
          </cell>
          <cell r="CH106">
            <v>15159</v>
          </cell>
          <cell r="CI106">
            <v>38571</v>
          </cell>
          <cell r="CJ106">
            <v>45501</v>
          </cell>
          <cell r="CK106">
            <v>17412</v>
          </cell>
          <cell r="CL106">
            <v>28089</v>
          </cell>
          <cell r="CM106">
            <v>84072</v>
          </cell>
        </row>
        <row r="107">
          <cell r="B107">
            <v>74581</v>
          </cell>
          <cell r="C107">
            <v>6004</v>
          </cell>
          <cell r="D107">
            <v>355</v>
          </cell>
          <cell r="E107">
            <v>1492</v>
          </cell>
          <cell r="F107">
            <v>129</v>
          </cell>
          <cell r="G107">
            <v>24</v>
          </cell>
          <cell r="H107">
            <v>8004</v>
          </cell>
          <cell r="I107">
            <v>82585</v>
          </cell>
          <cell r="J107">
            <v>945</v>
          </cell>
          <cell r="K107">
            <v>684</v>
          </cell>
          <cell r="L107">
            <v>1629</v>
          </cell>
          <cell r="M107">
            <v>84213</v>
          </cell>
          <cell r="N107">
            <v>10430</v>
          </cell>
          <cell r="O107">
            <v>14576</v>
          </cell>
          <cell r="P107">
            <v>4805</v>
          </cell>
          <cell r="Q107">
            <v>2449</v>
          </cell>
          <cell r="R107">
            <v>32260</v>
          </cell>
          <cell r="S107">
            <v>32260</v>
          </cell>
          <cell r="T107">
            <v>11308</v>
          </cell>
          <cell r="U107">
            <v>214</v>
          </cell>
          <cell r="V107">
            <v>11522</v>
          </cell>
          <cell r="W107">
            <v>1996</v>
          </cell>
          <cell r="X107">
            <v>157</v>
          </cell>
          <cell r="Y107">
            <v>1167</v>
          </cell>
          <cell r="Z107">
            <v>14842</v>
          </cell>
          <cell r="AA107">
            <v>47102</v>
          </cell>
          <cell r="AB107">
            <v>37111</v>
          </cell>
          <cell r="AC107">
            <v>8512</v>
          </cell>
          <cell r="AD107">
            <v>28599</v>
          </cell>
          <cell r="AE107">
            <v>84213</v>
          </cell>
          <cell r="AF107">
            <v>75003</v>
          </cell>
          <cell r="AG107">
            <v>5994</v>
          </cell>
          <cell r="AH107">
            <v>337</v>
          </cell>
          <cell r="AI107">
            <v>2146</v>
          </cell>
          <cell r="AJ107">
            <v>129</v>
          </cell>
          <cell r="AK107">
            <v>25</v>
          </cell>
          <cell r="AL107">
            <v>8632</v>
          </cell>
          <cell r="AM107">
            <v>83635</v>
          </cell>
          <cell r="AN107">
            <v>986</v>
          </cell>
          <cell r="AO107">
            <v>684</v>
          </cell>
          <cell r="AP107">
            <v>1670</v>
          </cell>
          <cell r="AQ107">
            <v>85306</v>
          </cell>
          <cell r="AR107">
            <v>10448</v>
          </cell>
          <cell r="AS107">
            <v>14600</v>
          </cell>
          <cell r="AT107">
            <v>5088</v>
          </cell>
          <cell r="AU107">
            <v>2424</v>
          </cell>
          <cell r="AV107">
            <v>32561</v>
          </cell>
          <cell r="AW107">
            <v>32561</v>
          </cell>
          <cell r="AX107">
            <v>11273</v>
          </cell>
          <cell r="AY107">
            <v>208</v>
          </cell>
          <cell r="AZ107">
            <v>11481</v>
          </cell>
          <cell r="BA107">
            <v>2007</v>
          </cell>
          <cell r="BB107">
            <v>145</v>
          </cell>
          <cell r="BC107">
            <v>1156</v>
          </cell>
          <cell r="BD107">
            <v>14789</v>
          </cell>
          <cell r="BE107">
            <v>47350</v>
          </cell>
          <cell r="BF107">
            <v>37955</v>
          </cell>
          <cell r="BG107">
            <v>9346</v>
          </cell>
          <cell r="BH107">
            <v>28609</v>
          </cell>
          <cell r="BI107">
            <v>85306</v>
          </cell>
          <cell r="BJ107">
            <v>78178</v>
          </cell>
          <cell r="BK107">
            <v>5994</v>
          </cell>
          <cell r="BL107">
            <v>274</v>
          </cell>
          <cell r="BM107">
            <v>2146</v>
          </cell>
          <cell r="BN107">
            <v>129</v>
          </cell>
          <cell r="BO107">
            <v>26</v>
          </cell>
          <cell r="BP107">
            <v>8569</v>
          </cell>
          <cell r="BQ107">
            <v>86747</v>
          </cell>
          <cell r="BR107">
            <v>985</v>
          </cell>
          <cell r="BS107">
            <v>642</v>
          </cell>
          <cell r="BT107">
            <v>1627</v>
          </cell>
          <cell r="BU107">
            <v>88374</v>
          </cell>
          <cell r="BV107">
            <v>10431</v>
          </cell>
          <cell r="BW107">
            <v>22123</v>
          </cell>
          <cell r="BX107">
            <v>5427</v>
          </cell>
          <cell r="BY107">
            <v>2571</v>
          </cell>
          <cell r="BZ107">
            <v>40552</v>
          </cell>
          <cell r="CA107">
            <v>40552</v>
          </cell>
          <cell r="CB107">
            <v>12155</v>
          </cell>
          <cell r="CC107">
            <v>205</v>
          </cell>
          <cell r="CD107">
            <v>12360</v>
          </cell>
          <cell r="CE107">
            <v>2007</v>
          </cell>
          <cell r="CF107">
            <v>132</v>
          </cell>
          <cell r="CG107">
            <v>1014</v>
          </cell>
          <cell r="CH107">
            <v>15514</v>
          </cell>
          <cell r="CI107">
            <v>56066</v>
          </cell>
          <cell r="CJ107">
            <v>32309</v>
          </cell>
          <cell r="CK107">
            <v>3699</v>
          </cell>
          <cell r="CL107">
            <v>28609</v>
          </cell>
          <cell r="CM107">
            <v>88374</v>
          </cell>
        </row>
        <row r="108">
          <cell r="B108">
            <v>74618</v>
          </cell>
          <cell r="C108">
            <v>5731</v>
          </cell>
          <cell r="D108">
            <v>349</v>
          </cell>
          <cell r="E108">
            <v>1533</v>
          </cell>
          <cell r="F108">
            <v>125</v>
          </cell>
          <cell r="G108">
            <v>27</v>
          </cell>
          <cell r="H108">
            <v>7765</v>
          </cell>
          <cell r="I108">
            <v>82383</v>
          </cell>
          <cell r="J108">
            <v>995</v>
          </cell>
          <cell r="K108">
            <v>687</v>
          </cell>
          <cell r="L108">
            <v>1683</v>
          </cell>
          <cell r="M108">
            <v>84066</v>
          </cell>
          <cell r="N108">
            <v>9977</v>
          </cell>
          <cell r="O108">
            <v>14971</v>
          </cell>
          <cell r="P108">
            <v>4209</v>
          </cell>
          <cell r="Q108">
            <v>2418</v>
          </cell>
          <cell r="R108">
            <v>31575</v>
          </cell>
          <cell r="S108">
            <v>31575</v>
          </cell>
          <cell r="T108">
            <v>11245</v>
          </cell>
          <cell r="U108">
            <v>218</v>
          </cell>
          <cell r="V108">
            <v>11463</v>
          </cell>
          <cell r="W108">
            <v>2036</v>
          </cell>
          <cell r="X108">
            <v>160</v>
          </cell>
          <cell r="Y108">
            <v>1143</v>
          </cell>
          <cell r="Z108">
            <v>14802</v>
          </cell>
          <cell r="AA108">
            <v>46377</v>
          </cell>
          <cell r="AB108">
            <v>37689</v>
          </cell>
          <cell r="AC108">
            <v>8553</v>
          </cell>
          <cell r="AD108">
            <v>29136</v>
          </cell>
          <cell r="AE108">
            <v>84066</v>
          </cell>
          <cell r="AF108">
            <v>73892</v>
          </cell>
          <cell r="AG108">
            <v>5693</v>
          </cell>
          <cell r="AH108">
            <v>364</v>
          </cell>
          <cell r="AI108">
            <v>860</v>
          </cell>
          <cell r="AJ108">
            <v>125</v>
          </cell>
          <cell r="AK108">
            <v>29</v>
          </cell>
          <cell r="AL108">
            <v>7071</v>
          </cell>
          <cell r="AM108">
            <v>80963</v>
          </cell>
          <cell r="AN108">
            <v>998</v>
          </cell>
          <cell r="AO108">
            <v>708</v>
          </cell>
          <cell r="AP108">
            <v>1706</v>
          </cell>
          <cell r="AQ108">
            <v>82669</v>
          </cell>
          <cell r="AR108">
            <v>9958</v>
          </cell>
          <cell r="AS108">
            <v>15103</v>
          </cell>
          <cell r="AT108">
            <v>3459</v>
          </cell>
          <cell r="AU108">
            <v>2390</v>
          </cell>
          <cell r="AV108">
            <v>30910</v>
          </cell>
          <cell r="AW108">
            <v>30910</v>
          </cell>
          <cell r="AX108">
            <v>10952</v>
          </cell>
          <cell r="AY108">
            <v>217</v>
          </cell>
          <cell r="AZ108">
            <v>11169</v>
          </cell>
          <cell r="BA108">
            <v>2037</v>
          </cell>
          <cell r="BB108">
            <v>181</v>
          </cell>
          <cell r="BC108">
            <v>1435</v>
          </cell>
          <cell r="BD108">
            <v>14822</v>
          </cell>
          <cell r="BE108">
            <v>45732</v>
          </cell>
          <cell r="BF108">
            <v>36937</v>
          </cell>
          <cell r="BG108">
            <v>7805</v>
          </cell>
          <cell r="BH108">
            <v>29132</v>
          </cell>
          <cell r="BI108">
            <v>82669</v>
          </cell>
          <cell r="BJ108">
            <v>78749</v>
          </cell>
          <cell r="BK108">
            <v>5688</v>
          </cell>
          <cell r="BL108">
            <v>400</v>
          </cell>
          <cell r="BM108">
            <v>860</v>
          </cell>
          <cell r="BN108">
            <v>125</v>
          </cell>
          <cell r="BO108">
            <v>28</v>
          </cell>
          <cell r="BP108">
            <v>7100</v>
          </cell>
          <cell r="BQ108">
            <v>85849</v>
          </cell>
          <cell r="BR108">
            <v>994</v>
          </cell>
          <cell r="BS108">
            <v>619</v>
          </cell>
          <cell r="BT108">
            <v>1614</v>
          </cell>
          <cell r="BU108">
            <v>87463</v>
          </cell>
          <cell r="BV108">
            <v>9958</v>
          </cell>
          <cell r="BW108">
            <v>7705</v>
          </cell>
          <cell r="BX108">
            <v>3592</v>
          </cell>
          <cell r="BY108">
            <v>2354</v>
          </cell>
          <cell r="BZ108">
            <v>23609</v>
          </cell>
          <cell r="CA108">
            <v>23609</v>
          </cell>
          <cell r="CB108">
            <v>11918</v>
          </cell>
          <cell r="CC108">
            <v>216</v>
          </cell>
          <cell r="CD108">
            <v>12134</v>
          </cell>
          <cell r="CE108">
            <v>2037</v>
          </cell>
          <cell r="CF108">
            <v>199</v>
          </cell>
          <cell r="CG108">
            <v>1414</v>
          </cell>
          <cell r="CH108">
            <v>15784</v>
          </cell>
          <cell r="CI108">
            <v>39393</v>
          </cell>
          <cell r="CJ108">
            <v>48070</v>
          </cell>
          <cell r="CK108">
            <v>18937</v>
          </cell>
          <cell r="CL108">
            <v>29132</v>
          </cell>
          <cell r="CM108">
            <v>87463</v>
          </cell>
        </row>
        <row r="109">
          <cell r="B109">
            <v>75229</v>
          </cell>
          <cell r="C109">
            <v>5546</v>
          </cell>
          <cell r="D109">
            <v>316</v>
          </cell>
          <cell r="E109">
            <v>1735</v>
          </cell>
          <cell r="F109">
            <v>124</v>
          </cell>
          <cell r="G109">
            <v>28</v>
          </cell>
          <cell r="H109">
            <v>7749</v>
          </cell>
          <cell r="I109">
            <v>82977</v>
          </cell>
          <cell r="J109">
            <v>1007</v>
          </cell>
          <cell r="K109">
            <v>810</v>
          </cell>
          <cell r="L109">
            <v>1816</v>
          </cell>
          <cell r="M109">
            <v>84793</v>
          </cell>
          <cell r="N109">
            <v>9688</v>
          </cell>
          <cell r="O109">
            <v>15664</v>
          </cell>
          <cell r="P109">
            <v>3882</v>
          </cell>
          <cell r="Q109">
            <v>2469</v>
          </cell>
          <cell r="R109">
            <v>31703</v>
          </cell>
          <cell r="S109">
            <v>31703</v>
          </cell>
          <cell r="T109">
            <v>11279</v>
          </cell>
          <cell r="U109">
            <v>225</v>
          </cell>
          <cell r="V109">
            <v>11504</v>
          </cell>
          <cell r="W109">
            <v>2042</v>
          </cell>
          <cell r="X109">
            <v>157</v>
          </cell>
          <cell r="Y109">
            <v>1161</v>
          </cell>
          <cell r="Z109">
            <v>14864</v>
          </cell>
          <cell r="AA109">
            <v>46567</v>
          </cell>
          <cell r="AB109">
            <v>38227</v>
          </cell>
          <cell r="AC109">
            <v>8496</v>
          </cell>
          <cell r="AD109">
            <v>29731</v>
          </cell>
          <cell r="AE109">
            <v>84793</v>
          </cell>
          <cell r="AF109">
            <v>75081</v>
          </cell>
          <cell r="AG109">
            <v>5581</v>
          </cell>
          <cell r="AH109">
            <v>359</v>
          </cell>
          <cell r="AI109">
            <v>1992</v>
          </cell>
          <cell r="AJ109">
            <v>123</v>
          </cell>
          <cell r="AK109">
            <v>28</v>
          </cell>
          <cell r="AL109">
            <v>8084</v>
          </cell>
          <cell r="AM109">
            <v>83165</v>
          </cell>
          <cell r="AN109">
            <v>1125</v>
          </cell>
          <cell r="AO109">
            <v>690</v>
          </cell>
          <cell r="AP109">
            <v>1815</v>
          </cell>
          <cell r="AQ109">
            <v>84979</v>
          </cell>
          <cell r="AR109">
            <v>9635</v>
          </cell>
          <cell r="AS109">
            <v>15231</v>
          </cell>
          <cell r="AT109">
            <v>4376</v>
          </cell>
          <cell r="AU109">
            <v>2504</v>
          </cell>
          <cell r="AV109">
            <v>31747</v>
          </cell>
          <cell r="AW109">
            <v>31747</v>
          </cell>
          <cell r="AX109">
            <v>11572</v>
          </cell>
          <cell r="AY109">
            <v>227</v>
          </cell>
          <cell r="AZ109">
            <v>11799</v>
          </cell>
          <cell r="BA109">
            <v>2043</v>
          </cell>
          <cell r="BB109">
            <v>157</v>
          </cell>
          <cell r="BC109">
            <v>1199</v>
          </cell>
          <cell r="BD109">
            <v>15198</v>
          </cell>
          <cell r="BE109">
            <v>46945</v>
          </cell>
          <cell r="BF109">
            <v>38034</v>
          </cell>
          <cell r="BG109">
            <v>8315</v>
          </cell>
          <cell r="BH109">
            <v>29720</v>
          </cell>
          <cell r="BI109">
            <v>84979</v>
          </cell>
          <cell r="BJ109">
            <v>69432</v>
          </cell>
          <cell r="BK109">
            <v>5582</v>
          </cell>
          <cell r="BL109">
            <v>291</v>
          </cell>
          <cell r="BM109">
            <v>1992</v>
          </cell>
          <cell r="BN109">
            <v>123</v>
          </cell>
          <cell r="BO109">
            <v>28</v>
          </cell>
          <cell r="BP109">
            <v>8016</v>
          </cell>
          <cell r="BQ109">
            <v>77448</v>
          </cell>
          <cell r="BR109">
            <v>1128</v>
          </cell>
          <cell r="BS109">
            <v>642</v>
          </cell>
          <cell r="BT109">
            <v>1770</v>
          </cell>
          <cell r="BU109">
            <v>79218</v>
          </cell>
          <cell r="BV109">
            <v>9610</v>
          </cell>
          <cell r="BW109">
            <v>21987</v>
          </cell>
          <cell r="BX109">
            <v>3551</v>
          </cell>
          <cell r="BY109">
            <v>2392</v>
          </cell>
          <cell r="BZ109">
            <v>37539</v>
          </cell>
          <cell r="CA109">
            <v>37539</v>
          </cell>
          <cell r="CB109">
            <v>10120</v>
          </cell>
          <cell r="CC109">
            <v>227</v>
          </cell>
          <cell r="CD109">
            <v>10347</v>
          </cell>
          <cell r="CE109">
            <v>2043</v>
          </cell>
          <cell r="CF109">
            <v>148</v>
          </cell>
          <cell r="CG109">
            <v>1134</v>
          </cell>
          <cell r="CH109">
            <v>13672</v>
          </cell>
          <cell r="CI109">
            <v>51211</v>
          </cell>
          <cell r="CJ109">
            <v>28007</v>
          </cell>
          <cell r="CK109">
            <v>-1713</v>
          </cell>
          <cell r="CL109">
            <v>29720</v>
          </cell>
          <cell r="CM109">
            <v>79218</v>
          </cell>
        </row>
        <row r="110">
          <cell r="B110">
            <v>76462</v>
          </cell>
          <cell r="C110">
            <v>5398</v>
          </cell>
          <cell r="D110">
            <v>301</v>
          </cell>
          <cell r="E110">
            <v>1822</v>
          </cell>
          <cell r="F110">
            <v>125</v>
          </cell>
          <cell r="G110">
            <v>27</v>
          </cell>
          <cell r="H110">
            <v>7673</v>
          </cell>
          <cell r="I110">
            <v>84136</v>
          </cell>
          <cell r="J110">
            <v>993</v>
          </cell>
          <cell r="K110">
            <v>978</v>
          </cell>
          <cell r="L110">
            <v>1971</v>
          </cell>
          <cell r="M110">
            <v>86107</v>
          </cell>
          <cell r="N110">
            <v>9568</v>
          </cell>
          <cell r="O110">
            <v>16256</v>
          </cell>
          <cell r="P110">
            <v>3979</v>
          </cell>
          <cell r="Q110">
            <v>2655</v>
          </cell>
          <cell r="R110">
            <v>32458</v>
          </cell>
          <cell r="S110">
            <v>32458</v>
          </cell>
          <cell r="T110">
            <v>11347</v>
          </cell>
          <cell r="U110">
            <v>231</v>
          </cell>
          <cell r="V110">
            <v>11578</v>
          </cell>
          <cell r="W110">
            <v>2014</v>
          </cell>
          <cell r="X110">
            <v>149</v>
          </cell>
          <cell r="Y110">
            <v>1282</v>
          </cell>
          <cell r="Z110">
            <v>15022</v>
          </cell>
          <cell r="AA110">
            <v>47480</v>
          </cell>
          <cell r="AB110">
            <v>38627</v>
          </cell>
          <cell r="AC110">
            <v>8221</v>
          </cell>
          <cell r="AD110">
            <v>30406</v>
          </cell>
          <cell r="AE110">
            <v>86107</v>
          </cell>
          <cell r="AF110">
            <v>77418</v>
          </cell>
          <cell r="AG110">
            <v>5387</v>
          </cell>
          <cell r="AH110">
            <v>340</v>
          </cell>
          <cell r="AI110">
            <v>2007</v>
          </cell>
          <cell r="AJ110">
            <v>124</v>
          </cell>
          <cell r="AK110">
            <v>26</v>
          </cell>
          <cell r="AL110">
            <v>7884</v>
          </cell>
          <cell r="AM110">
            <v>85302</v>
          </cell>
          <cell r="AN110">
            <v>1008</v>
          </cell>
          <cell r="AO110">
            <v>1107</v>
          </cell>
          <cell r="AP110">
            <v>2115</v>
          </cell>
          <cell r="AQ110">
            <v>87417</v>
          </cell>
          <cell r="AR110">
            <v>9570</v>
          </cell>
          <cell r="AS110">
            <v>16877</v>
          </cell>
          <cell r="AT110">
            <v>3986</v>
          </cell>
          <cell r="AU110">
            <v>2562</v>
          </cell>
          <cell r="AV110">
            <v>32994</v>
          </cell>
          <cell r="AW110">
            <v>32994</v>
          </cell>
          <cell r="AX110">
            <v>11353</v>
          </cell>
          <cell r="AY110">
            <v>234</v>
          </cell>
          <cell r="AZ110">
            <v>11587</v>
          </cell>
          <cell r="BA110">
            <v>2026</v>
          </cell>
          <cell r="BB110">
            <v>126</v>
          </cell>
          <cell r="BC110">
            <v>1103</v>
          </cell>
          <cell r="BD110">
            <v>14842</v>
          </cell>
          <cell r="BE110">
            <v>47836</v>
          </cell>
          <cell r="BF110">
            <v>39580</v>
          </cell>
          <cell r="BG110">
            <v>9208</v>
          </cell>
          <cell r="BH110">
            <v>30372</v>
          </cell>
          <cell r="BI110">
            <v>87417</v>
          </cell>
          <cell r="BJ110">
            <v>74579</v>
          </cell>
          <cell r="BK110">
            <v>5392</v>
          </cell>
          <cell r="BL110">
            <v>434</v>
          </cell>
          <cell r="BM110">
            <v>2007</v>
          </cell>
          <cell r="BN110">
            <v>124</v>
          </cell>
          <cell r="BO110">
            <v>26</v>
          </cell>
          <cell r="BP110">
            <v>7983</v>
          </cell>
          <cell r="BQ110">
            <v>82562</v>
          </cell>
          <cell r="BR110">
            <v>1007</v>
          </cell>
          <cell r="BS110">
            <v>1362</v>
          </cell>
          <cell r="BT110">
            <v>2368</v>
          </cell>
          <cell r="BU110">
            <v>84930</v>
          </cell>
          <cell r="BV110">
            <v>9621</v>
          </cell>
          <cell r="BW110">
            <v>9026</v>
          </cell>
          <cell r="BX110">
            <v>4184</v>
          </cell>
          <cell r="BY110">
            <v>2564</v>
          </cell>
          <cell r="BZ110">
            <v>25396</v>
          </cell>
          <cell r="CA110">
            <v>25396</v>
          </cell>
          <cell r="CB110">
            <v>10852</v>
          </cell>
          <cell r="CC110">
            <v>238</v>
          </cell>
          <cell r="CD110">
            <v>11090</v>
          </cell>
          <cell r="CE110">
            <v>2026</v>
          </cell>
          <cell r="CF110">
            <v>132</v>
          </cell>
          <cell r="CG110">
            <v>1309</v>
          </cell>
          <cell r="CH110">
            <v>14557</v>
          </cell>
          <cell r="CI110">
            <v>39953</v>
          </cell>
          <cell r="CJ110">
            <v>44977</v>
          </cell>
          <cell r="CK110">
            <v>14605</v>
          </cell>
          <cell r="CL110">
            <v>30372</v>
          </cell>
          <cell r="CM110">
            <v>84930</v>
          </cell>
        </row>
        <row r="111">
          <cell r="B111">
            <v>77755</v>
          </cell>
          <cell r="C111">
            <v>5262</v>
          </cell>
          <cell r="D111">
            <v>327</v>
          </cell>
          <cell r="E111">
            <v>1764</v>
          </cell>
          <cell r="F111">
            <v>127</v>
          </cell>
          <cell r="G111">
            <v>28</v>
          </cell>
          <cell r="H111">
            <v>7508</v>
          </cell>
          <cell r="I111">
            <v>85263</v>
          </cell>
          <cell r="J111">
            <v>984</v>
          </cell>
          <cell r="K111">
            <v>1125</v>
          </cell>
          <cell r="L111">
            <v>2109</v>
          </cell>
          <cell r="M111">
            <v>87372</v>
          </cell>
          <cell r="N111">
            <v>9557</v>
          </cell>
          <cell r="O111">
            <v>16603</v>
          </cell>
          <cell r="P111">
            <v>4588</v>
          </cell>
          <cell r="Q111">
            <v>2891</v>
          </cell>
          <cell r="R111">
            <v>33639</v>
          </cell>
          <cell r="S111">
            <v>33639</v>
          </cell>
          <cell r="T111">
            <v>11483</v>
          </cell>
          <cell r="U111">
            <v>234</v>
          </cell>
          <cell r="V111">
            <v>11717</v>
          </cell>
          <cell r="W111">
            <v>1976</v>
          </cell>
          <cell r="X111">
            <v>140</v>
          </cell>
          <cell r="Y111">
            <v>1434</v>
          </cell>
          <cell r="Z111">
            <v>15267</v>
          </cell>
          <cell r="AA111">
            <v>48906</v>
          </cell>
          <cell r="AB111">
            <v>38466</v>
          </cell>
          <cell r="AC111">
            <v>7347</v>
          </cell>
          <cell r="AD111">
            <v>31119</v>
          </cell>
          <cell r="AE111">
            <v>87372</v>
          </cell>
          <cell r="AF111">
            <v>76582</v>
          </cell>
          <cell r="AG111">
            <v>5255</v>
          </cell>
          <cell r="AH111">
            <v>365</v>
          </cell>
          <cell r="AI111">
            <v>1738</v>
          </cell>
          <cell r="AJ111">
            <v>128</v>
          </cell>
          <cell r="AK111">
            <v>28</v>
          </cell>
          <cell r="AL111">
            <v>7515</v>
          </cell>
          <cell r="AM111">
            <v>84097</v>
          </cell>
          <cell r="AN111">
            <v>970</v>
          </cell>
          <cell r="AO111">
            <v>1074</v>
          </cell>
          <cell r="AP111">
            <v>2044</v>
          </cell>
          <cell r="AQ111">
            <v>86141</v>
          </cell>
          <cell r="AR111">
            <v>9594</v>
          </cell>
          <cell r="AS111">
            <v>16317</v>
          </cell>
          <cell r="AT111">
            <v>3953</v>
          </cell>
          <cell r="AU111">
            <v>2932</v>
          </cell>
          <cell r="AV111">
            <v>32796</v>
          </cell>
          <cell r="AW111">
            <v>32796</v>
          </cell>
          <cell r="AX111">
            <v>11310</v>
          </cell>
          <cell r="AY111">
            <v>231</v>
          </cell>
          <cell r="AZ111">
            <v>11541</v>
          </cell>
          <cell r="BA111">
            <v>1964</v>
          </cell>
          <cell r="BB111">
            <v>167</v>
          </cell>
          <cell r="BC111">
            <v>1596</v>
          </cell>
          <cell r="BD111">
            <v>15267</v>
          </cell>
          <cell r="BE111">
            <v>48063</v>
          </cell>
          <cell r="BF111">
            <v>38078</v>
          </cell>
          <cell r="BG111">
            <v>6925</v>
          </cell>
          <cell r="BH111">
            <v>31153</v>
          </cell>
          <cell r="BI111">
            <v>86141</v>
          </cell>
          <cell r="BJ111">
            <v>80146</v>
          </cell>
          <cell r="BK111">
            <v>5255</v>
          </cell>
          <cell r="BL111">
            <v>291</v>
          </cell>
          <cell r="BM111">
            <v>1738</v>
          </cell>
          <cell r="BN111">
            <v>128</v>
          </cell>
          <cell r="BO111">
            <v>30</v>
          </cell>
          <cell r="BP111">
            <v>7442</v>
          </cell>
          <cell r="BQ111">
            <v>87588</v>
          </cell>
          <cell r="BR111">
            <v>972</v>
          </cell>
          <cell r="BS111">
            <v>1057</v>
          </cell>
          <cell r="BT111">
            <v>2029</v>
          </cell>
          <cell r="BU111">
            <v>89617</v>
          </cell>
          <cell r="BV111">
            <v>9571</v>
          </cell>
          <cell r="BW111">
            <v>24678</v>
          </cell>
          <cell r="BX111">
            <v>4361</v>
          </cell>
          <cell r="BY111">
            <v>3069</v>
          </cell>
          <cell r="BZ111">
            <v>41679</v>
          </cell>
          <cell r="CA111">
            <v>41679</v>
          </cell>
          <cell r="CB111">
            <v>12196</v>
          </cell>
          <cell r="CC111">
            <v>227</v>
          </cell>
          <cell r="CD111">
            <v>12423</v>
          </cell>
          <cell r="CE111">
            <v>1964</v>
          </cell>
          <cell r="CF111">
            <v>153</v>
          </cell>
          <cell r="CG111">
            <v>1407</v>
          </cell>
          <cell r="CH111">
            <v>15947</v>
          </cell>
          <cell r="CI111">
            <v>57626</v>
          </cell>
          <cell r="CJ111">
            <v>31990</v>
          </cell>
          <cell r="CK111">
            <v>837</v>
          </cell>
          <cell r="CL111">
            <v>31153</v>
          </cell>
          <cell r="CM111">
            <v>89617</v>
          </cell>
        </row>
        <row r="112">
          <cell r="B112">
            <v>78445</v>
          </cell>
          <cell r="C112">
            <v>5124</v>
          </cell>
          <cell r="D112">
            <v>366</v>
          </cell>
          <cell r="E112">
            <v>1558</v>
          </cell>
          <cell r="F112">
            <v>129</v>
          </cell>
          <cell r="G112">
            <v>29</v>
          </cell>
          <cell r="H112">
            <v>7206</v>
          </cell>
          <cell r="I112">
            <v>85650</v>
          </cell>
          <cell r="J112">
            <v>987</v>
          </cell>
          <cell r="K112">
            <v>1137</v>
          </cell>
          <cell r="L112">
            <v>2123</v>
          </cell>
          <cell r="M112">
            <v>87773</v>
          </cell>
          <cell r="N112">
            <v>9566</v>
          </cell>
          <cell r="O112">
            <v>16629</v>
          </cell>
          <cell r="P112">
            <v>4771</v>
          </cell>
          <cell r="Q112">
            <v>3054</v>
          </cell>
          <cell r="R112">
            <v>34020</v>
          </cell>
          <cell r="S112">
            <v>34020</v>
          </cell>
          <cell r="T112">
            <v>11624</v>
          </cell>
          <cell r="U112">
            <v>236</v>
          </cell>
          <cell r="V112">
            <v>11861</v>
          </cell>
          <cell r="W112">
            <v>1949</v>
          </cell>
          <cell r="X112">
            <v>141</v>
          </cell>
          <cell r="Y112">
            <v>1532</v>
          </cell>
          <cell r="Z112">
            <v>15482</v>
          </cell>
          <cell r="AA112">
            <v>49501</v>
          </cell>
          <cell r="AB112">
            <v>38272</v>
          </cell>
          <cell r="AC112">
            <v>6473</v>
          </cell>
          <cell r="AD112">
            <v>31799</v>
          </cell>
          <cell r="AE112">
            <v>87773</v>
          </cell>
          <cell r="AF112">
            <v>78993</v>
          </cell>
          <cell r="AG112">
            <v>5154</v>
          </cell>
          <cell r="AH112">
            <v>381</v>
          </cell>
          <cell r="AI112">
            <v>1337</v>
          </cell>
          <cell r="AJ112">
            <v>129</v>
          </cell>
          <cell r="AK112">
            <v>29</v>
          </cell>
          <cell r="AL112">
            <v>7029</v>
          </cell>
          <cell r="AM112">
            <v>86022</v>
          </cell>
          <cell r="AN112">
            <v>998</v>
          </cell>
          <cell r="AO112">
            <v>1157</v>
          </cell>
          <cell r="AP112">
            <v>2155</v>
          </cell>
          <cell r="AQ112">
            <v>88177</v>
          </cell>
          <cell r="AR112">
            <v>9555</v>
          </cell>
          <cell r="AS112">
            <v>16681</v>
          </cell>
          <cell r="AT112">
            <v>5133</v>
          </cell>
          <cell r="AU112">
            <v>3097</v>
          </cell>
          <cell r="AV112">
            <v>34465</v>
          </cell>
          <cell r="AW112">
            <v>34465</v>
          </cell>
          <cell r="AX112">
            <v>11508</v>
          </cell>
          <cell r="AY112">
            <v>239</v>
          </cell>
          <cell r="AZ112">
            <v>11747</v>
          </cell>
          <cell r="BA112">
            <v>1946</v>
          </cell>
          <cell r="BB112">
            <v>126</v>
          </cell>
          <cell r="BC112">
            <v>1532</v>
          </cell>
          <cell r="BD112">
            <v>15351</v>
          </cell>
          <cell r="BE112">
            <v>49816</v>
          </cell>
          <cell r="BF112">
            <v>38361</v>
          </cell>
          <cell r="BG112">
            <v>6555</v>
          </cell>
          <cell r="BH112">
            <v>31806</v>
          </cell>
          <cell r="BI112">
            <v>88177</v>
          </cell>
          <cell r="BJ112">
            <v>84179</v>
          </cell>
          <cell r="BK112">
            <v>5149</v>
          </cell>
          <cell r="BL112">
            <v>425</v>
          </cell>
          <cell r="BM112">
            <v>1337</v>
          </cell>
          <cell r="BN112">
            <v>129</v>
          </cell>
          <cell r="BO112">
            <v>28</v>
          </cell>
          <cell r="BP112">
            <v>7067</v>
          </cell>
          <cell r="BQ112">
            <v>91246</v>
          </cell>
          <cell r="BR112">
            <v>995</v>
          </cell>
          <cell r="BS112">
            <v>1004</v>
          </cell>
          <cell r="BT112">
            <v>1999</v>
          </cell>
          <cell r="BU112">
            <v>93245</v>
          </cell>
          <cell r="BV112">
            <v>9551</v>
          </cell>
          <cell r="BW112">
            <v>8093</v>
          </cell>
          <cell r="BX112">
            <v>5411</v>
          </cell>
          <cell r="BY112">
            <v>3076</v>
          </cell>
          <cell r="BZ112">
            <v>26131</v>
          </cell>
          <cell r="CA112">
            <v>26131</v>
          </cell>
          <cell r="CB112">
            <v>12545</v>
          </cell>
          <cell r="CC112">
            <v>239</v>
          </cell>
          <cell r="CD112">
            <v>12784</v>
          </cell>
          <cell r="CE112">
            <v>1946</v>
          </cell>
          <cell r="CF112">
            <v>138</v>
          </cell>
          <cell r="CG112">
            <v>1513</v>
          </cell>
          <cell r="CH112">
            <v>16381</v>
          </cell>
          <cell r="CI112">
            <v>42512</v>
          </cell>
          <cell r="CJ112">
            <v>50733</v>
          </cell>
          <cell r="CK112">
            <v>18927</v>
          </cell>
          <cell r="CL112">
            <v>31806</v>
          </cell>
          <cell r="CM112">
            <v>93245</v>
          </cell>
        </row>
        <row r="113">
          <cell r="B113">
            <v>77745</v>
          </cell>
          <cell r="C113">
            <v>5003</v>
          </cell>
          <cell r="D113">
            <v>404</v>
          </cell>
          <cell r="E113">
            <v>1638</v>
          </cell>
          <cell r="F113">
            <v>129</v>
          </cell>
          <cell r="G113">
            <v>28</v>
          </cell>
          <cell r="H113">
            <v>7203</v>
          </cell>
          <cell r="I113">
            <v>84948</v>
          </cell>
          <cell r="J113">
            <v>1031</v>
          </cell>
          <cell r="K113">
            <v>1047</v>
          </cell>
          <cell r="L113">
            <v>2078</v>
          </cell>
          <cell r="M113">
            <v>87026</v>
          </cell>
          <cell r="N113">
            <v>9549</v>
          </cell>
          <cell r="O113">
            <v>16668</v>
          </cell>
          <cell r="P113">
            <v>4183</v>
          </cell>
          <cell r="Q113">
            <v>3021</v>
          </cell>
          <cell r="R113">
            <v>33421</v>
          </cell>
          <cell r="S113">
            <v>33421</v>
          </cell>
          <cell r="T113">
            <v>11669</v>
          </cell>
          <cell r="U113">
            <v>245</v>
          </cell>
          <cell r="V113">
            <v>11914</v>
          </cell>
          <cell r="W113">
            <v>1951</v>
          </cell>
          <cell r="X113">
            <v>146</v>
          </cell>
          <cell r="Y113">
            <v>1491</v>
          </cell>
          <cell r="Z113">
            <v>15501</v>
          </cell>
          <cell r="AA113">
            <v>48923</v>
          </cell>
          <cell r="AB113">
            <v>38103</v>
          </cell>
          <cell r="AC113">
            <v>5712</v>
          </cell>
          <cell r="AD113">
            <v>32391</v>
          </cell>
          <cell r="AE113">
            <v>87026</v>
          </cell>
          <cell r="AF113">
            <v>78290</v>
          </cell>
          <cell r="AG113">
            <v>4975</v>
          </cell>
          <cell r="AH113">
            <v>406</v>
          </cell>
          <cell r="AI113">
            <v>1774</v>
          </cell>
          <cell r="AJ113">
            <v>129</v>
          </cell>
          <cell r="AK113">
            <v>29</v>
          </cell>
          <cell r="AL113">
            <v>7314</v>
          </cell>
          <cell r="AM113">
            <v>85604</v>
          </cell>
          <cell r="AN113">
            <v>1018</v>
          </cell>
          <cell r="AO113">
            <v>1125</v>
          </cell>
          <cell r="AP113">
            <v>2143</v>
          </cell>
          <cell r="AQ113">
            <v>87747</v>
          </cell>
          <cell r="AR113">
            <v>9543</v>
          </cell>
          <cell r="AS113">
            <v>16721</v>
          </cell>
          <cell r="AT113">
            <v>5413</v>
          </cell>
          <cell r="AU113">
            <v>3042</v>
          </cell>
          <cell r="AV113">
            <v>34719</v>
          </cell>
          <cell r="AW113">
            <v>34719</v>
          </cell>
          <cell r="AX113">
            <v>12176</v>
          </cell>
          <cell r="AY113">
            <v>242</v>
          </cell>
          <cell r="AZ113">
            <v>12419</v>
          </cell>
          <cell r="BA113">
            <v>1950</v>
          </cell>
          <cell r="BB113">
            <v>137</v>
          </cell>
          <cell r="BC113">
            <v>1434</v>
          </cell>
          <cell r="BD113">
            <v>15940</v>
          </cell>
          <cell r="BE113">
            <v>50659</v>
          </cell>
          <cell r="BF113">
            <v>37088</v>
          </cell>
          <cell r="BG113">
            <v>4694</v>
          </cell>
          <cell r="BH113">
            <v>32394</v>
          </cell>
          <cell r="BI113">
            <v>87747</v>
          </cell>
          <cell r="BJ113">
            <v>72650</v>
          </cell>
          <cell r="BK113">
            <v>4978</v>
          </cell>
          <cell r="BL113">
            <v>333</v>
          </cell>
          <cell r="BM113">
            <v>1774</v>
          </cell>
          <cell r="BN113">
            <v>129</v>
          </cell>
          <cell r="BO113">
            <v>28</v>
          </cell>
          <cell r="BP113">
            <v>7242</v>
          </cell>
          <cell r="BQ113">
            <v>79892</v>
          </cell>
          <cell r="BR113">
            <v>1022</v>
          </cell>
          <cell r="BS113">
            <v>1029</v>
          </cell>
          <cell r="BT113">
            <v>2051</v>
          </cell>
          <cell r="BU113">
            <v>81943</v>
          </cell>
          <cell r="BV113">
            <v>9521</v>
          </cell>
          <cell r="BW113">
            <v>24352</v>
          </cell>
          <cell r="BX113">
            <v>4707</v>
          </cell>
          <cell r="BY113">
            <v>2969</v>
          </cell>
          <cell r="BZ113">
            <v>41548</v>
          </cell>
          <cell r="CA113">
            <v>41548</v>
          </cell>
          <cell r="CB113">
            <v>10794</v>
          </cell>
          <cell r="CC113">
            <v>242</v>
          </cell>
          <cell r="CD113">
            <v>11036</v>
          </cell>
          <cell r="CE113">
            <v>1950</v>
          </cell>
          <cell r="CF113">
            <v>129</v>
          </cell>
          <cell r="CG113">
            <v>1350</v>
          </cell>
          <cell r="CH113">
            <v>14465</v>
          </cell>
          <cell r="CI113">
            <v>56014</v>
          </cell>
          <cell r="CJ113">
            <v>25929</v>
          </cell>
          <cell r="CK113">
            <v>-6465</v>
          </cell>
          <cell r="CL113">
            <v>32394</v>
          </cell>
          <cell r="CM113">
            <v>81943</v>
          </cell>
        </row>
        <row r="114">
          <cell r="B114">
            <v>75544</v>
          </cell>
          <cell r="C114">
            <v>4916</v>
          </cell>
          <cell r="D114">
            <v>413</v>
          </cell>
          <cell r="E114">
            <v>1949</v>
          </cell>
          <cell r="F114">
            <v>129</v>
          </cell>
          <cell r="G114">
            <v>25</v>
          </cell>
          <cell r="H114">
            <v>7433</v>
          </cell>
          <cell r="I114">
            <v>82977</v>
          </cell>
          <cell r="J114">
            <v>1124</v>
          </cell>
          <cell r="K114">
            <v>967</v>
          </cell>
          <cell r="L114">
            <v>2091</v>
          </cell>
          <cell r="M114">
            <v>85067</v>
          </cell>
          <cell r="N114">
            <v>9524</v>
          </cell>
          <cell r="O114">
            <v>16879</v>
          </cell>
          <cell r="P114">
            <v>3134</v>
          </cell>
          <cell r="Q114">
            <v>2791</v>
          </cell>
          <cell r="R114">
            <v>32328</v>
          </cell>
          <cell r="S114">
            <v>32328</v>
          </cell>
          <cell r="T114">
            <v>11438</v>
          </cell>
          <cell r="U114">
            <v>257</v>
          </cell>
          <cell r="V114">
            <v>11695</v>
          </cell>
          <cell r="W114">
            <v>1977</v>
          </cell>
          <cell r="X114">
            <v>154</v>
          </cell>
          <cell r="Y114">
            <v>1355</v>
          </cell>
          <cell r="Z114">
            <v>15180</v>
          </cell>
          <cell r="AA114">
            <v>47508</v>
          </cell>
          <cell r="AB114">
            <v>37559</v>
          </cell>
          <cell r="AC114">
            <v>4653</v>
          </cell>
          <cell r="AD114">
            <v>32906</v>
          </cell>
          <cell r="AE114">
            <v>85067</v>
          </cell>
          <cell r="AF114">
            <v>75747</v>
          </cell>
          <cell r="AG114">
            <v>4912</v>
          </cell>
          <cell r="AH114">
            <v>361</v>
          </cell>
          <cell r="AI114">
            <v>1801</v>
          </cell>
          <cell r="AJ114">
            <v>129</v>
          </cell>
          <cell r="AK114">
            <v>28</v>
          </cell>
          <cell r="AL114">
            <v>7230</v>
          </cell>
          <cell r="AM114">
            <v>82978</v>
          </cell>
          <cell r="AN114">
            <v>1105</v>
          </cell>
          <cell r="AO114">
            <v>815</v>
          </cell>
          <cell r="AP114">
            <v>1920</v>
          </cell>
          <cell r="AQ114">
            <v>84898</v>
          </cell>
          <cell r="AR114">
            <v>9543</v>
          </cell>
          <cell r="AS114">
            <v>16599</v>
          </cell>
          <cell r="AT114">
            <v>1582</v>
          </cell>
          <cell r="AU114">
            <v>2818</v>
          </cell>
          <cell r="AV114">
            <v>30542</v>
          </cell>
          <cell r="AW114">
            <v>30542</v>
          </cell>
          <cell r="AX114">
            <v>11054</v>
          </cell>
          <cell r="AY114">
            <v>251</v>
          </cell>
          <cell r="AZ114">
            <v>11306</v>
          </cell>
          <cell r="BA114">
            <v>1974</v>
          </cell>
          <cell r="BB114">
            <v>170</v>
          </cell>
          <cell r="BC114">
            <v>1442</v>
          </cell>
          <cell r="BD114">
            <v>14892</v>
          </cell>
          <cell r="BE114">
            <v>45434</v>
          </cell>
          <cell r="BF114">
            <v>39464</v>
          </cell>
          <cell r="BG114">
            <v>6545</v>
          </cell>
          <cell r="BH114">
            <v>32919</v>
          </cell>
          <cell r="BI114">
            <v>84898</v>
          </cell>
          <cell r="BJ114">
            <v>72822</v>
          </cell>
          <cell r="BK114">
            <v>4915</v>
          </cell>
          <cell r="BL114">
            <v>457</v>
          </cell>
          <cell r="BM114">
            <v>1801</v>
          </cell>
          <cell r="BN114">
            <v>129</v>
          </cell>
          <cell r="BO114">
            <v>27</v>
          </cell>
          <cell r="BP114">
            <v>7329</v>
          </cell>
          <cell r="BQ114">
            <v>80150</v>
          </cell>
          <cell r="BR114">
            <v>1103</v>
          </cell>
          <cell r="BS114">
            <v>1007</v>
          </cell>
          <cell r="BT114">
            <v>2110</v>
          </cell>
          <cell r="BU114">
            <v>82261</v>
          </cell>
          <cell r="BV114">
            <v>9593</v>
          </cell>
          <cell r="BW114">
            <v>8482</v>
          </cell>
          <cell r="BX114">
            <v>1470</v>
          </cell>
          <cell r="BY114">
            <v>2768</v>
          </cell>
          <cell r="BZ114">
            <v>22313</v>
          </cell>
          <cell r="CA114">
            <v>22313</v>
          </cell>
          <cell r="CB114">
            <v>10415</v>
          </cell>
          <cell r="CC114">
            <v>255</v>
          </cell>
          <cell r="CD114">
            <v>10670</v>
          </cell>
          <cell r="CE114">
            <v>1974</v>
          </cell>
          <cell r="CF114">
            <v>178</v>
          </cell>
          <cell r="CG114">
            <v>1697</v>
          </cell>
          <cell r="CH114">
            <v>14519</v>
          </cell>
          <cell r="CI114">
            <v>36832</v>
          </cell>
          <cell r="CJ114">
            <v>45429</v>
          </cell>
          <cell r="CK114">
            <v>12510</v>
          </cell>
          <cell r="CL114">
            <v>32919</v>
          </cell>
          <cell r="CM114">
            <v>82261</v>
          </cell>
        </row>
        <row r="115">
          <cell r="B115">
            <v>72821</v>
          </cell>
          <cell r="C115">
            <v>4850</v>
          </cell>
          <cell r="D115">
            <v>419</v>
          </cell>
          <cell r="E115">
            <v>2144</v>
          </cell>
          <cell r="F115">
            <v>130</v>
          </cell>
          <cell r="G115">
            <v>22</v>
          </cell>
          <cell r="H115">
            <v>7564</v>
          </cell>
          <cell r="I115">
            <v>80385</v>
          </cell>
          <cell r="J115">
            <v>1249</v>
          </cell>
          <cell r="K115">
            <v>925</v>
          </cell>
          <cell r="L115">
            <v>2174</v>
          </cell>
          <cell r="M115">
            <v>82558</v>
          </cell>
          <cell r="N115">
            <v>9457</v>
          </cell>
          <cell r="O115">
            <v>17205</v>
          </cell>
          <cell r="P115">
            <v>2559</v>
          </cell>
          <cell r="Q115">
            <v>2570</v>
          </cell>
          <cell r="R115">
            <v>31790</v>
          </cell>
          <cell r="S115">
            <v>31790</v>
          </cell>
          <cell r="T115">
            <v>11060</v>
          </cell>
          <cell r="U115">
            <v>269</v>
          </cell>
          <cell r="V115">
            <v>11328</v>
          </cell>
          <cell r="W115">
            <v>2010</v>
          </cell>
          <cell r="X115">
            <v>158</v>
          </cell>
          <cell r="Y115">
            <v>1274</v>
          </cell>
          <cell r="Z115">
            <v>14771</v>
          </cell>
          <cell r="AA115">
            <v>46561</v>
          </cell>
          <cell r="AB115">
            <v>35998</v>
          </cell>
          <cell r="AC115">
            <v>2600</v>
          </cell>
          <cell r="AD115">
            <v>33398</v>
          </cell>
          <cell r="AE115">
            <v>82558</v>
          </cell>
          <cell r="AF115">
            <v>71850</v>
          </cell>
          <cell r="AG115">
            <v>4846</v>
          </cell>
          <cell r="AH115">
            <v>509</v>
          </cell>
          <cell r="AI115">
            <v>2249</v>
          </cell>
          <cell r="AJ115">
            <v>130</v>
          </cell>
          <cell r="AK115">
            <v>19</v>
          </cell>
          <cell r="AL115">
            <v>7752</v>
          </cell>
          <cell r="AM115">
            <v>79602</v>
          </cell>
          <cell r="AN115">
            <v>1270</v>
          </cell>
          <cell r="AO115">
            <v>1005</v>
          </cell>
          <cell r="AP115">
            <v>2275</v>
          </cell>
          <cell r="AQ115">
            <v>81877</v>
          </cell>
          <cell r="AR115">
            <v>9423</v>
          </cell>
          <cell r="AS115">
            <v>17515</v>
          </cell>
          <cell r="AT115">
            <v>2864</v>
          </cell>
          <cell r="AU115">
            <v>2497</v>
          </cell>
          <cell r="AV115">
            <v>32298</v>
          </cell>
          <cell r="AW115">
            <v>32298</v>
          </cell>
          <cell r="AX115">
            <v>11201</v>
          </cell>
          <cell r="AY115">
            <v>665</v>
          </cell>
          <cell r="AZ115">
            <v>11867</v>
          </cell>
          <cell r="BA115">
            <v>2017</v>
          </cell>
          <cell r="BB115">
            <v>155</v>
          </cell>
          <cell r="BC115">
            <v>1181</v>
          </cell>
          <cell r="BD115">
            <v>15220</v>
          </cell>
          <cell r="BE115">
            <v>47518</v>
          </cell>
          <cell r="BF115">
            <v>34359</v>
          </cell>
          <cell r="BG115">
            <v>985</v>
          </cell>
          <cell r="BH115">
            <v>33374</v>
          </cell>
          <cell r="BI115">
            <v>81877</v>
          </cell>
          <cell r="BJ115">
            <v>75060</v>
          </cell>
          <cell r="BK115">
            <v>4845</v>
          </cell>
          <cell r="BL115">
            <v>400</v>
          </cell>
          <cell r="BM115">
            <v>2249</v>
          </cell>
          <cell r="BN115">
            <v>130</v>
          </cell>
          <cell r="BO115">
            <v>20</v>
          </cell>
          <cell r="BP115">
            <v>7645</v>
          </cell>
          <cell r="BQ115">
            <v>82705</v>
          </cell>
          <cell r="BR115">
            <v>1268</v>
          </cell>
          <cell r="BS115">
            <v>1012</v>
          </cell>
          <cell r="BT115">
            <v>2281</v>
          </cell>
          <cell r="BU115">
            <v>84985</v>
          </cell>
          <cell r="BV115">
            <v>9400</v>
          </cell>
          <cell r="BW115">
            <v>27052</v>
          </cell>
          <cell r="BX115">
            <v>3283</v>
          </cell>
          <cell r="BY115">
            <v>2586</v>
          </cell>
          <cell r="BZ115">
            <v>42322</v>
          </cell>
          <cell r="CA115">
            <v>42322</v>
          </cell>
          <cell r="CB115">
            <v>12031</v>
          </cell>
          <cell r="CC115">
            <v>661</v>
          </cell>
          <cell r="CD115">
            <v>12692</v>
          </cell>
          <cell r="CE115">
            <v>2017</v>
          </cell>
          <cell r="CF115">
            <v>144</v>
          </cell>
          <cell r="CG115">
            <v>1049</v>
          </cell>
          <cell r="CH115">
            <v>15903</v>
          </cell>
          <cell r="CI115">
            <v>58224</v>
          </cell>
          <cell r="CJ115">
            <v>26761</v>
          </cell>
          <cell r="CK115">
            <v>-6613</v>
          </cell>
          <cell r="CL115">
            <v>33374</v>
          </cell>
          <cell r="CM115">
            <v>84985</v>
          </cell>
        </row>
        <row r="116">
          <cell r="B116">
            <v>70900</v>
          </cell>
          <cell r="C116">
            <v>4767</v>
          </cell>
          <cell r="D116">
            <v>418</v>
          </cell>
          <cell r="E116">
            <v>2054</v>
          </cell>
          <cell r="F116">
            <v>129</v>
          </cell>
          <cell r="G116">
            <v>20</v>
          </cell>
          <cell r="H116">
            <v>7388</v>
          </cell>
          <cell r="I116">
            <v>78289</v>
          </cell>
          <cell r="J116">
            <v>1362</v>
          </cell>
          <cell r="K116">
            <v>909</v>
          </cell>
          <cell r="L116">
            <v>2271</v>
          </cell>
          <cell r="M116">
            <v>80560</v>
          </cell>
          <cell r="N116">
            <v>9304</v>
          </cell>
          <cell r="O116">
            <v>17315</v>
          </cell>
          <cell r="P116">
            <v>2935</v>
          </cell>
          <cell r="Q116">
            <v>2428</v>
          </cell>
          <cell r="R116">
            <v>31983</v>
          </cell>
          <cell r="S116">
            <v>31983</v>
          </cell>
          <cell r="T116">
            <v>10860</v>
          </cell>
          <cell r="U116">
            <v>274</v>
          </cell>
          <cell r="V116">
            <v>11134</v>
          </cell>
          <cell r="W116">
            <v>2042</v>
          </cell>
          <cell r="X116">
            <v>153</v>
          </cell>
          <cell r="Y116">
            <v>1243</v>
          </cell>
          <cell r="Z116">
            <v>14571</v>
          </cell>
          <cell r="AA116">
            <v>46554</v>
          </cell>
          <cell r="AB116">
            <v>34006</v>
          </cell>
          <cell r="AC116">
            <v>115</v>
          </cell>
          <cell r="AD116">
            <v>33891</v>
          </cell>
          <cell r="AE116">
            <v>80560</v>
          </cell>
          <cell r="AF116">
            <v>71091</v>
          </cell>
          <cell r="AG116">
            <v>4815</v>
          </cell>
          <cell r="AH116">
            <v>342</v>
          </cell>
          <cell r="AI116">
            <v>2255</v>
          </cell>
          <cell r="AJ116">
            <v>129</v>
          </cell>
          <cell r="AK116">
            <v>21</v>
          </cell>
          <cell r="AL116">
            <v>7562</v>
          </cell>
          <cell r="AM116">
            <v>78654</v>
          </cell>
          <cell r="AN116">
            <v>1514</v>
          </cell>
          <cell r="AO116">
            <v>913</v>
          </cell>
          <cell r="AP116">
            <v>2428</v>
          </cell>
          <cell r="AQ116">
            <v>81081</v>
          </cell>
          <cell r="AR116">
            <v>9411</v>
          </cell>
          <cell r="AS116">
            <v>17041</v>
          </cell>
          <cell r="AT116">
            <v>3216</v>
          </cell>
          <cell r="AU116">
            <v>2370</v>
          </cell>
          <cell r="AV116">
            <v>32038</v>
          </cell>
          <cell r="AW116">
            <v>32038</v>
          </cell>
          <cell r="AX116">
            <v>10839</v>
          </cell>
          <cell r="AY116">
            <v>267</v>
          </cell>
          <cell r="AZ116">
            <v>11105</v>
          </cell>
          <cell r="BA116">
            <v>2042</v>
          </cell>
          <cell r="BB116">
            <v>150</v>
          </cell>
          <cell r="BC116">
            <v>1244</v>
          </cell>
          <cell r="BD116">
            <v>14541</v>
          </cell>
          <cell r="BE116">
            <v>46579</v>
          </cell>
          <cell r="BF116">
            <v>34502</v>
          </cell>
          <cell r="BG116">
            <v>603</v>
          </cell>
          <cell r="BH116">
            <v>33899</v>
          </cell>
          <cell r="BI116">
            <v>81081</v>
          </cell>
          <cell r="BJ116">
            <v>75699</v>
          </cell>
          <cell r="BK116">
            <v>4810</v>
          </cell>
          <cell r="BL116">
            <v>387</v>
          </cell>
          <cell r="BM116">
            <v>2255</v>
          </cell>
          <cell r="BN116">
            <v>129</v>
          </cell>
          <cell r="BO116">
            <v>21</v>
          </cell>
          <cell r="BP116">
            <v>7602</v>
          </cell>
          <cell r="BQ116">
            <v>83301</v>
          </cell>
          <cell r="BR116">
            <v>1516</v>
          </cell>
          <cell r="BS116">
            <v>778</v>
          </cell>
          <cell r="BT116">
            <v>2294</v>
          </cell>
          <cell r="BU116">
            <v>85596</v>
          </cell>
          <cell r="BV116">
            <v>9405</v>
          </cell>
          <cell r="BW116">
            <v>7990</v>
          </cell>
          <cell r="BX116">
            <v>3700</v>
          </cell>
          <cell r="BY116">
            <v>2380</v>
          </cell>
          <cell r="BZ116">
            <v>23476</v>
          </cell>
          <cell r="CA116">
            <v>23476</v>
          </cell>
          <cell r="CB116">
            <v>11899</v>
          </cell>
          <cell r="CC116">
            <v>268</v>
          </cell>
          <cell r="CD116">
            <v>12167</v>
          </cell>
          <cell r="CE116">
            <v>2042</v>
          </cell>
          <cell r="CF116">
            <v>161</v>
          </cell>
          <cell r="CG116">
            <v>1233</v>
          </cell>
          <cell r="CH116">
            <v>15603</v>
          </cell>
          <cell r="CI116">
            <v>39079</v>
          </cell>
          <cell r="CJ116">
            <v>46517</v>
          </cell>
          <cell r="CK116">
            <v>12618</v>
          </cell>
          <cell r="CL116">
            <v>33899</v>
          </cell>
          <cell r="CM116">
            <v>85596</v>
          </cell>
        </row>
        <row r="117">
          <cell r="B117">
            <v>69799</v>
          </cell>
          <cell r="C117">
            <v>4660</v>
          </cell>
          <cell r="D117">
            <v>415</v>
          </cell>
          <cell r="E117">
            <v>1776</v>
          </cell>
          <cell r="F117">
            <v>128</v>
          </cell>
          <cell r="G117">
            <v>21</v>
          </cell>
          <cell r="H117">
            <v>7000</v>
          </cell>
          <cell r="I117">
            <v>76799</v>
          </cell>
          <cell r="J117">
            <v>1403</v>
          </cell>
          <cell r="K117">
            <v>916</v>
          </cell>
          <cell r="L117">
            <v>2319</v>
          </cell>
          <cell r="M117">
            <v>79117</v>
          </cell>
          <cell r="N117">
            <v>9154</v>
          </cell>
          <cell r="O117">
            <v>17111</v>
          </cell>
          <cell r="P117">
            <v>3829</v>
          </cell>
          <cell r="Q117">
            <v>2354</v>
          </cell>
          <cell r="R117">
            <v>32448</v>
          </cell>
          <cell r="S117">
            <v>32448</v>
          </cell>
          <cell r="T117">
            <v>11037</v>
          </cell>
          <cell r="U117">
            <v>275</v>
          </cell>
          <cell r="V117">
            <v>11312</v>
          </cell>
          <cell r="W117">
            <v>2069</v>
          </cell>
          <cell r="X117">
            <v>149</v>
          </cell>
          <cell r="Y117">
            <v>1266</v>
          </cell>
          <cell r="Z117">
            <v>14796</v>
          </cell>
          <cell r="AA117">
            <v>47244</v>
          </cell>
          <cell r="AB117">
            <v>31873</v>
          </cell>
          <cell r="AC117">
            <v>-2554</v>
          </cell>
          <cell r="AD117">
            <v>34427</v>
          </cell>
          <cell r="AE117">
            <v>79117</v>
          </cell>
          <cell r="AF117">
            <v>70190</v>
          </cell>
          <cell r="AG117">
            <v>4627</v>
          </cell>
          <cell r="AH117">
            <v>441</v>
          </cell>
          <cell r="AI117">
            <v>1439</v>
          </cell>
          <cell r="AJ117">
            <v>128</v>
          </cell>
          <cell r="AK117">
            <v>21</v>
          </cell>
          <cell r="AL117">
            <v>6657</v>
          </cell>
          <cell r="AM117">
            <v>76847</v>
          </cell>
          <cell r="AN117">
            <v>1444</v>
          </cell>
          <cell r="AO117">
            <v>915</v>
          </cell>
          <cell r="AP117">
            <v>2359</v>
          </cell>
          <cell r="AQ117">
            <v>79206</v>
          </cell>
          <cell r="AR117">
            <v>9097</v>
          </cell>
          <cell r="AS117">
            <v>17822</v>
          </cell>
          <cell r="AT117">
            <v>3541</v>
          </cell>
          <cell r="AU117">
            <v>2513</v>
          </cell>
          <cell r="AV117">
            <v>32973</v>
          </cell>
          <cell r="AW117">
            <v>32973</v>
          </cell>
          <cell r="AX117">
            <v>10848</v>
          </cell>
          <cell r="AY117">
            <v>279</v>
          </cell>
          <cell r="AZ117">
            <v>11126</v>
          </cell>
          <cell r="BA117">
            <v>2067</v>
          </cell>
          <cell r="BB117">
            <v>147</v>
          </cell>
          <cell r="BC117">
            <v>1328</v>
          </cell>
          <cell r="BD117">
            <v>14670</v>
          </cell>
          <cell r="BE117">
            <v>47643</v>
          </cell>
          <cell r="BF117">
            <v>31564</v>
          </cell>
          <cell r="BG117">
            <v>-2867</v>
          </cell>
          <cell r="BH117">
            <v>34430</v>
          </cell>
          <cell r="BI117">
            <v>79206</v>
          </cell>
          <cell r="BJ117">
            <v>65489</v>
          </cell>
          <cell r="BK117">
            <v>4630</v>
          </cell>
          <cell r="BL117">
            <v>363</v>
          </cell>
          <cell r="BM117">
            <v>1439</v>
          </cell>
          <cell r="BN117">
            <v>128</v>
          </cell>
          <cell r="BO117">
            <v>20</v>
          </cell>
          <cell r="BP117">
            <v>6581</v>
          </cell>
          <cell r="BQ117">
            <v>72070</v>
          </cell>
          <cell r="BR117">
            <v>1449</v>
          </cell>
          <cell r="BS117">
            <v>825</v>
          </cell>
          <cell r="BT117">
            <v>2274</v>
          </cell>
          <cell r="BU117">
            <v>74344</v>
          </cell>
          <cell r="BV117">
            <v>9084</v>
          </cell>
          <cell r="BW117">
            <v>28049</v>
          </cell>
          <cell r="BX117">
            <v>2901</v>
          </cell>
          <cell r="BY117">
            <v>2492</v>
          </cell>
          <cell r="BZ117">
            <v>42526</v>
          </cell>
          <cell r="CA117">
            <v>42526</v>
          </cell>
          <cell r="CB117">
            <v>9701</v>
          </cell>
          <cell r="CC117">
            <v>278</v>
          </cell>
          <cell r="CD117">
            <v>9979</v>
          </cell>
          <cell r="CE117">
            <v>2067</v>
          </cell>
          <cell r="CF117">
            <v>138</v>
          </cell>
          <cell r="CG117">
            <v>1251</v>
          </cell>
          <cell r="CH117">
            <v>13436</v>
          </cell>
          <cell r="CI117">
            <v>55962</v>
          </cell>
          <cell r="CJ117">
            <v>18382</v>
          </cell>
          <cell r="CK117">
            <v>-16048</v>
          </cell>
          <cell r="CL117">
            <v>34430</v>
          </cell>
          <cell r="CM117">
            <v>74344</v>
          </cell>
        </row>
        <row r="118">
          <cell r="B118">
            <v>69151</v>
          </cell>
          <cell r="C118">
            <v>4581</v>
          </cell>
          <cell r="D118">
            <v>416</v>
          </cell>
          <cell r="E118">
            <v>1108</v>
          </cell>
          <cell r="F118">
            <v>126</v>
          </cell>
          <cell r="G118">
            <v>24</v>
          </cell>
          <cell r="H118">
            <v>6255</v>
          </cell>
          <cell r="I118">
            <v>75405</v>
          </cell>
          <cell r="J118">
            <v>1382</v>
          </cell>
          <cell r="K118">
            <v>904</v>
          </cell>
          <cell r="L118">
            <v>2286</v>
          </cell>
          <cell r="M118">
            <v>77692</v>
          </cell>
          <cell r="N118">
            <v>9155</v>
          </cell>
          <cell r="O118">
            <v>17084</v>
          </cell>
          <cell r="P118">
            <v>4396</v>
          </cell>
          <cell r="Q118">
            <v>2332</v>
          </cell>
          <cell r="R118">
            <v>32967</v>
          </cell>
          <cell r="S118">
            <v>32967</v>
          </cell>
          <cell r="T118">
            <v>11362</v>
          </cell>
          <cell r="U118">
            <v>280</v>
          </cell>
          <cell r="V118">
            <v>11642</v>
          </cell>
          <cell r="W118">
            <v>2094</v>
          </cell>
          <cell r="X118">
            <v>146</v>
          </cell>
          <cell r="Y118">
            <v>1335</v>
          </cell>
          <cell r="Z118">
            <v>15217</v>
          </cell>
          <cell r="AA118">
            <v>48184</v>
          </cell>
          <cell r="AB118">
            <v>29507</v>
          </cell>
          <cell r="AC118">
            <v>-5515</v>
          </cell>
          <cell r="AD118">
            <v>35022</v>
          </cell>
          <cell r="AE118">
            <v>77692</v>
          </cell>
          <cell r="AF118">
            <v>68655</v>
          </cell>
          <cell r="AG118">
            <v>4559</v>
          </cell>
          <cell r="AH118">
            <v>420</v>
          </cell>
          <cell r="AI118">
            <v>1457</v>
          </cell>
          <cell r="AJ118">
            <v>127</v>
          </cell>
          <cell r="AK118">
            <v>23</v>
          </cell>
          <cell r="AL118">
            <v>6586</v>
          </cell>
          <cell r="AM118">
            <v>75241</v>
          </cell>
          <cell r="AN118">
            <v>1574</v>
          </cell>
          <cell r="AO118">
            <v>1449</v>
          </cell>
          <cell r="AP118">
            <v>3023</v>
          </cell>
          <cell r="AQ118">
            <v>78265</v>
          </cell>
          <cell r="AR118">
            <v>9045</v>
          </cell>
          <cell r="AS118">
            <v>16195</v>
          </cell>
          <cell r="AT118">
            <v>4367</v>
          </cell>
          <cell r="AU118">
            <v>2187</v>
          </cell>
          <cell r="AV118">
            <v>31794</v>
          </cell>
          <cell r="AW118">
            <v>31794</v>
          </cell>
          <cell r="AX118">
            <v>11382</v>
          </cell>
          <cell r="AY118">
            <v>272</v>
          </cell>
          <cell r="AZ118">
            <v>11654</v>
          </cell>
          <cell r="BA118">
            <v>2094</v>
          </cell>
          <cell r="BB118">
            <v>153</v>
          </cell>
          <cell r="BC118">
            <v>1272</v>
          </cell>
          <cell r="BD118">
            <v>15174</v>
          </cell>
          <cell r="BE118">
            <v>46968</v>
          </cell>
          <cell r="BF118">
            <v>31297</v>
          </cell>
          <cell r="BG118">
            <v>-3671</v>
          </cell>
          <cell r="BH118">
            <v>34968</v>
          </cell>
          <cell r="BI118">
            <v>78265</v>
          </cell>
          <cell r="BJ118">
            <v>65664</v>
          </cell>
          <cell r="BK118">
            <v>4561</v>
          </cell>
          <cell r="BL118">
            <v>528</v>
          </cell>
          <cell r="BM118">
            <v>1457</v>
          </cell>
          <cell r="BN118">
            <v>127</v>
          </cell>
          <cell r="BO118">
            <v>22</v>
          </cell>
          <cell r="BP118">
            <v>6695</v>
          </cell>
          <cell r="BQ118">
            <v>72359</v>
          </cell>
          <cell r="BR118">
            <v>1570</v>
          </cell>
          <cell r="BS118">
            <v>1641</v>
          </cell>
          <cell r="BT118">
            <v>3211</v>
          </cell>
          <cell r="BU118">
            <v>75569</v>
          </cell>
          <cell r="BV118">
            <v>9082</v>
          </cell>
          <cell r="BW118">
            <v>7324</v>
          </cell>
          <cell r="BX118">
            <v>3978</v>
          </cell>
          <cell r="BY118">
            <v>2115</v>
          </cell>
          <cell r="BZ118">
            <v>22499</v>
          </cell>
          <cell r="CA118">
            <v>22499</v>
          </cell>
          <cell r="CB118">
            <v>10590</v>
          </cell>
          <cell r="CC118">
            <v>275</v>
          </cell>
          <cell r="CD118">
            <v>10865</v>
          </cell>
          <cell r="CE118">
            <v>2094</v>
          </cell>
          <cell r="CF118">
            <v>161</v>
          </cell>
          <cell r="CG118">
            <v>1498</v>
          </cell>
          <cell r="CH118">
            <v>14618</v>
          </cell>
          <cell r="CI118">
            <v>37117</v>
          </cell>
          <cell r="CJ118">
            <v>38452</v>
          </cell>
          <cell r="CK118">
            <v>3484</v>
          </cell>
          <cell r="CL118">
            <v>34968</v>
          </cell>
          <cell r="CM118">
            <v>75569</v>
          </cell>
        </row>
        <row r="119">
          <cell r="B119">
            <v>68464</v>
          </cell>
          <cell r="C119">
            <v>4528</v>
          </cell>
          <cell r="D119">
            <v>422</v>
          </cell>
          <cell r="E119">
            <v>588</v>
          </cell>
          <cell r="F119">
            <v>123</v>
          </cell>
          <cell r="G119">
            <v>28</v>
          </cell>
          <cell r="H119">
            <v>5688</v>
          </cell>
          <cell r="I119">
            <v>74152</v>
          </cell>
          <cell r="J119">
            <v>1339</v>
          </cell>
          <cell r="K119">
            <v>920</v>
          </cell>
          <cell r="L119">
            <v>2258</v>
          </cell>
          <cell r="M119">
            <v>76410</v>
          </cell>
          <cell r="N119">
            <v>9335</v>
          </cell>
          <cell r="O119">
            <v>17506</v>
          </cell>
          <cell r="P119">
            <v>4625</v>
          </cell>
          <cell r="Q119">
            <v>2293</v>
          </cell>
          <cell r="R119">
            <v>33759</v>
          </cell>
          <cell r="S119">
            <v>33759</v>
          </cell>
          <cell r="T119">
            <v>11460</v>
          </cell>
          <cell r="U119">
            <v>290</v>
          </cell>
          <cell r="V119">
            <v>11750</v>
          </cell>
          <cell r="W119">
            <v>2121</v>
          </cell>
          <cell r="X119">
            <v>141</v>
          </cell>
          <cell r="Y119">
            <v>1387</v>
          </cell>
          <cell r="Z119">
            <v>15399</v>
          </cell>
          <cell r="AA119">
            <v>49158</v>
          </cell>
          <cell r="AB119">
            <v>27253</v>
          </cell>
          <cell r="AC119">
            <v>-8381</v>
          </cell>
          <cell r="AD119">
            <v>35634</v>
          </cell>
          <cell r="AE119">
            <v>76410</v>
          </cell>
          <cell r="AF119">
            <v>68649</v>
          </cell>
          <cell r="AG119">
            <v>4533</v>
          </cell>
          <cell r="AH119">
            <v>415</v>
          </cell>
          <cell r="AI119">
            <v>787</v>
          </cell>
          <cell r="AJ119">
            <v>122</v>
          </cell>
          <cell r="AK119">
            <v>28</v>
          </cell>
          <cell r="AL119">
            <v>5885</v>
          </cell>
          <cell r="AM119">
            <v>74534</v>
          </cell>
          <cell r="AN119">
            <v>1303</v>
          </cell>
          <cell r="AO119">
            <v>1054</v>
          </cell>
          <cell r="AP119">
            <v>2357</v>
          </cell>
          <cell r="AQ119">
            <v>76892</v>
          </cell>
          <cell r="AR119">
            <v>9356</v>
          </cell>
          <cell r="AS119">
            <v>17682</v>
          </cell>
          <cell r="AT119">
            <v>5187</v>
          </cell>
          <cell r="AU119">
            <v>2314</v>
          </cell>
          <cell r="AV119">
            <v>34539</v>
          </cell>
          <cell r="AW119">
            <v>34539</v>
          </cell>
          <cell r="AX119">
            <v>11760</v>
          </cell>
          <cell r="AY119">
            <v>293</v>
          </cell>
          <cell r="AZ119">
            <v>12053</v>
          </cell>
          <cell r="BA119">
            <v>2122</v>
          </cell>
          <cell r="BB119">
            <v>138</v>
          </cell>
          <cell r="BC119">
            <v>1413</v>
          </cell>
          <cell r="BD119">
            <v>15726</v>
          </cell>
          <cell r="BE119">
            <v>50265</v>
          </cell>
          <cell r="BF119">
            <v>26627</v>
          </cell>
          <cell r="BG119">
            <v>-9035</v>
          </cell>
          <cell r="BH119">
            <v>35662</v>
          </cell>
          <cell r="BI119">
            <v>76892</v>
          </cell>
          <cell r="BJ119">
            <v>71694</v>
          </cell>
          <cell r="BK119">
            <v>4533</v>
          </cell>
          <cell r="BL119">
            <v>322</v>
          </cell>
          <cell r="BM119">
            <v>787</v>
          </cell>
          <cell r="BN119">
            <v>122</v>
          </cell>
          <cell r="BO119">
            <v>30</v>
          </cell>
          <cell r="BP119">
            <v>5795</v>
          </cell>
          <cell r="BQ119">
            <v>77488</v>
          </cell>
          <cell r="BR119">
            <v>1300</v>
          </cell>
          <cell r="BS119">
            <v>1087</v>
          </cell>
          <cell r="BT119">
            <v>2387</v>
          </cell>
          <cell r="BU119">
            <v>79876</v>
          </cell>
          <cell r="BV119">
            <v>9337</v>
          </cell>
          <cell r="BW119">
            <v>28409</v>
          </cell>
          <cell r="BX119">
            <v>5640</v>
          </cell>
          <cell r="BY119">
            <v>2375</v>
          </cell>
          <cell r="BZ119">
            <v>45762</v>
          </cell>
          <cell r="CA119">
            <v>45762</v>
          </cell>
          <cell r="CB119">
            <v>12579</v>
          </cell>
          <cell r="CC119">
            <v>289</v>
          </cell>
          <cell r="CD119">
            <v>12868</v>
          </cell>
          <cell r="CE119">
            <v>2122</v>
          </cell>
          <cell r="CF119">
            <v>130</v>
          </cell>
          <cell r="CG119">
            <v>1260</v>
          </cell>
          <cell r="CH119">
            <v>16380</v>
          </cell>
          <cell r="CI119">
            <v>62142</v>
          </cell>
          <cell r="CJ119">
            <v>17734</v>
          </cell>
          <cell r="CK119">
            <v>-17928</v>
          </cell>
          <cell r="CL119">
            <v>35662</v>
          </cell>
          <cell r="CM119">
            <v>79876</v>
          </cell>
        </row>
        <row r="120">
          <cell r="B120">
            <v>67631</v>
          </cell>
          <cell r="C120">
            <v>4457</v>
          </cell>
          <cell r="D120">
            <v>408</v>
          </cell>
          <cell r="E120">
            <v>831</v>
          </cell>
          <cell r="F120">
            <v>121</v>
          </cell>
          <cell r="G120">
            <v>30</v>
          </cell>
          <cell r="H120">
            <v>5846</v>
          </cell>
          <cell r="I120">
            <v>73478</v>
          </cell>
          <cell r="J120">
            <v>1313</v>
          </cell>
          <cell r="K120">
            <v>961</v>
          </cell>
          <cell r="L120">
            <v>2275</v>
          </cell>
          <cell r="M120">
            <v>75753</v>
          </cell>
          <cell r="N120">
            <v>9505</v>
          </cell>
          <cell r="O120">
            <v>18336</v>
          </cell>
          <cell r="P120">
            <v>4312</v>
          </cell>
          <cell r="Q120">
            <v>2196</v>
          </cell>
          <cell r="R120">
            <v>34350</v>
          </cell>
          <cell r="S120">
            <v>34350</v>
          </cell>
          <cell r="T120">
            <v>11252</v>
          </cell>
          <cell r="U120">
            <v>297</v>
          </cell>
          <cell r="V120">
            <v>11549</v>
          </cell>
          <cell r="W120">
            <v>2149</v>
          </cell>
          <cell r="X120">
            <v>136</v>
          </cell>
          <cell r="Y120">
            <v>1469</v>
          </cell>
          <cell r="Z120">
            <v>15303</v>
          </cell>
          <cell r="AA120">
            <v>49653</v>
          </cell>
          <cell r="AB120">
            <v>26100</v>
          </cell>
          <cell r="AC120">
            <v>-10087</v>
          </cell>
          <cell r="AD120">
            <v>36186</v>
          </cell>
          <cell r="AE120">
            <v>75753</v>
          </cell>
          <cell r="AF120">
            <v>68246</v>
          </cell>
          <cell r="AG120">
            <v>4505</v>
          </cell>
          <cell r="AH120">
            <v>409</v>
          </cell>
          <cell r="AI120">
            <v>-323</v>
          </cell>
          <cell r="AJ120">
            <v>120</v>
          </cell>
          <cell r="AK120">
            <v>31</v>
          </cell>
          <cell r="AL120">
            <v>4743</v>
          </cell>
          <cell r="AM120">
            <v>72989</v>
          </cell>
          <cell r="AN120">
            <v>1343</v>
          </cell>
          <cell r="AO120">
            <v>820</v>
          </cell>
          <cell r="AP120">
            <v>2163</v>
          </cell>
          <cell r="AQ120">
            <v>75152</v>
          </cell>
          <cell r="AR120">
            <v>9587</v>
          </cell>
          <cell r="AS120">
            <v>18656</v>
          </cell>
          <cell r="AT120">
            <v>4068</v>
          </cell>
          <cell r="AU120">
            <v>2348</v>
          </cell>
          <cell r="AV120">
            <v>34659</v>
          </cell>
          <cell r="AW120">
            <v>34659</v>
          </cell>
          <cell r="AX120">
            <v>11303</v>
          </cell>
          <cell r="AY120">
            <v>763</v>
          </cell>
          <cell r="AZ120">
            <v>12066</v>
          </cell>
          <cell r="BA120">
            <v>2149</v>
          </cell>
          <cell r="BB120">
            <v>134</v>
          </cell>
          <cell r="BC120">
            <v>1515</v>
          </cell>
          <cell r="BD120">
            <v>15864</v>
          </cell>
          <cell r="BE120">
            <v>50522</v>
          </cell>
          <cell r="BF120">
            <v>24629</v>
          </cell>
          <cell r="BG120">
            <v>-11570</v>
          </cell>
          <cell r="BH120">
            <v>36200</v>
          </cell>
          <cell r="BI120">
            <v>75152</v>
          </cell>
          <cell r="BJ120">
            <v>72691</v>
          </cell>
          <cell r="BK120">
            <v>4500</v>
          </cell>
          <cell r="BL120">
            <v>469</v>
          </cell>
          <cell r="BM120">
            <v>-323</v>
          </cell>
          <cell r="BN120">
            <v>120</v>
          </cell>
          <cell r="BO120">
            <v>31</v>
          </cell>
          <cell r="BP120">
            <v>4797</v>
          </cell>
          <cell r="BQ120">
            <v>77488</v>
          </cell>
          <cell r="BR120">
            <v>1348</v>
          </cell>
          <cell r="BS120">
            <v>681</v>
          </cell>
          <cell r="BT120">
            <v>2029</v>
          </cell>
          <cell r="BU120">
            <v>79517</v>
          </cell>
          <cell r="BV120">
            <v>9578</v>
          </cell>
          <cell r="BW120">
            <v>8390</v>
          </cell>
          <cell r="BX120">
            <v>4728</v>
          </cell>
          <cell r="BY120">
            <v>2379</v>
          </cell>
          <cell r="BZ120">
            <v>25076</v>
          </cell>
          <cell r="CA120">
            <v>25076</v>
          </cell>
          <cell r="CB120">
            <v>12513</v>
          </cell>
          <cell r="CC120">
            <v>765</v>
          </cell>
          <cell r="CD120">
            <v>13278</v>
          </cell>
          <cell r="CE120">
            <v>2149</v>
          </cell>
          <cell r="CF120">
            <v>142</v>
          </cell>
          <cell r="CG120">
            <v>1501</v>
          </cell>
          <cell r="CH120">
            <v>17070</v>
          </cell>
          <cell r="CI120">
            <v>42146</v>
          </cell>
          <cell r="CJ120">
            <v>37371</v>
          </cell>
          <cell r="CK120">
            <v>1171</v>
          </cell>
          <cell r="CL120">
            <v>36200</v>
          </cell>
          <cell r="CM120">
            <v>79517</v>
          </cell>
        </row>
        <row r="121">
          <cell r="B121">
            <v>67235</v>
          </cell>
          <cell r="C121">
            <v>4332</v>
          </cell>
          <cell r="D121">
            <v>390</v>
          </cell>
          <cell r="E121">
            <v>1534</v>
          </cell>
          <cell r="F121">
            <v>120</v>
          </cell>
          <cell r="G121">
            <v>30</v>
          </cell>
          <cell r="H121">
            <v>6406</v>
          </cell>
          <cell r="I121">
            <v>73641</v>
          </cell>
          <cell r="J121">
            <v>1333</v>
          </cell>
          <cell r="K121">
            <v>1010</v>
          </cell>
          <cell r="L121">
            <v>2343</v>
          </cell>
          <cell r="M121">
            <v>75984</v>
          </cell>
          <cell r="N121">
            <v>9442</v>
          </cell>
          <cell r="O121">
            <v>19139</v>
          </cell>
          <cell r="P121">
            <v>3987</v>
          </cell>
          <cell r="Q121">
            <v>2100</v>
          </cell>
          <cell r="R121">
            <v>34668</v>
          </cell>
          <cell r="S121">
            <v>34668</v>
          </cell>
          <cell r="T121">
            <v>10903</v>
          </cell>
          <cell r="U121">
            <v>299</v>
          </cell>
          <cell r="V121">
            <v>11202</v>
          </cell>
          <cell r="W121">
            <v>2177</v>
          </cell>
          <cell r="X121">
            <v>141</v>
          </cell>
          <cell r="Y121">
            <v>1620</v>
          </cell>
          <cell r="Z121">
            <v>15139</v>
          </cell>
          <cell r="AA121">
            <v>49807</v>
          </cell>
          <cell r="AB121">
            <v>26178</v>
          </cell>
          <cell r="AC121">
            <v>-10392</v>
          </cell>
          <cell r="AD121">
            <v>36569</v>
          </cell>
          <cell r="AE121">
            <v>75984</v>
          </cell>
          <cell r="AF121">
            <v>66695</v>
          </cell>
          <cell r="AG121">
            <v>4320</v>
          </cell>
          <cell r="AH121">
            <v>393</v>
          </cell>
          <cell r="AI121">
            <v>2183</v>
          </cell>
          <cell r="AJ121">
            <v>120</v>
          </cell>
          <cell r="AK121">
            <v>29</v>
          </cell>
          <cell r="AL121">
            <v>7045</v>
          </cell>
          <cell r="AM121">
            <v>73740</v>
          </cell>
          <cell r="AN121">
            <v>1306</v>
          </cell>
          <cell r="AO121">
            <v>1049</v>
          </cell>
          <cell r="AP121">
            <v>2355</v>
          </cell>
          <cell r="AQ121">
            <v>76094</v>
          </cell>
          <cell r="AR121">
            <v>9525</v>
          </cell>
          <cell r="AS121">
            <v>18620</v>
          </cell>
          <cell r="AT121">
            <v>3894</v>
          </cell>
          <cell r="AU121">
            <v>2007</v>
          </cell>
          <cell r="AV121">
            <v>34046</v>
          </cell>
          <cell r="AW121">
            <v>34046</v>
          </cell>
          <cell r="AX121">
            <v>10497</v>
          </cell>
          <cell r="AY121">
            <v>295</v>
          </cell>
          <cell r="AZ121">
            <v>10792</v>
          </cell>
          <cell r="BA121">
            <v>2177</v>
          </cell>
          <cell r="BB121">
            <v>148</v>
          </cell>
          <cell r="BC121">
            <v>1492</v>
          </cell>
          <cell r="BD121">
            <v>14609</v>
          </cell>
          <cell r="BE121">
            <v>48655</v>
          </cell>
          <cell r="BF121">
            <v>27439</v>
          </cell>
          <cell r="BG121">
            <v>-9147</v>
          </cell>
          <cell r="BH121">
            <v>36586</v>
          </cell>
          <cell r="BI121">
            <v>76094</v>
          </cell>
          <cell r="BJ121">
            <v>62473</v>
          </cell>
          <cell r="BK121">
            <v>4324</v>
          </cell>
          <cell r="BL121">
            <v>323</v>
          </cell>
          <cell r="BM121">
            <v>2183</v>
          </cell>
          <cell r="BN121">
            <v>120</v>
          </cell>
          <cell r="BO121">
            <v>28</v>
          </cell>
          <cell r="BP121">
            <v>6979</v>
          </cell>
          <cell r="BQ121">
            <v>69452</v>
          </cell>
          <cell r="BR121">
            <v>1309</v>
          </cell>
          <cell r="BS121">
            <v>950</v>
          </cell>
          <cell r="BT121">
            <v>2260</v>
          </cell>
          <cell r="BU121">
            <v>71711</v>
          </cell>
          <cell r="BV121">
            <v>9519</v>
          </cell>
          <cell r="BW121">
            <v>27540</v>
          </cell>
          <cell r="BX121">
            <v>3254</v>
          </cell>
          <cell r="BY121">
            <v>2014</v>
          </cell>
          <cell r="BZ121">
            <v>42328</v>
          </cell>
          <cell r="CA121">
            <v>42328</v>
          </cell>
          <cell r="CB121">
            <v>9435</v>
          </cell>
          <cell r="CC121">
            <v>294</v>
          </cell>
          <cell r="CD121">
            <v>9729</v>
          </cell>
          <cell r="CE121">
            <v>2177</v>
          </cell>
          <cell r="CF121">
            <v>139</v>
          </cell>
          <cell r="CG121">
            <v>1404</v>
          </cell>
          <cell r="CH121">
            <v>13449</v>
          </cell>
          <cell r="CI121">
            <v>55776</v>
          </cell>
          <cell r="CJ121">
            <v>15935</v>
          </cell>
          <cell r="CK121">
            <v>-20651</v>
          </cell>
          <cell r="CL121">
            <v>36586</v>
          </cell>
          <cell r="CM121">
            <v>71711</v>
          </cell>
        </row>
        <row r="122">
          <cell r="B122">
            <v>67560</v>
          </cell>
          <cell r="C122">
            <v>4236</v>
          </cell>
          <cell r="D122">
            <v>359</v>
          </cell>
          <cell r="E122">
            <v>1857</v>
          </cell>
          <cell r="F122">
            <v>122</v>
          </cell>
          <cell r="G122">
            <v>27</v>
          </cell>
          <cell r="H122">
            <v>6600</v>
          </cell>
          <cell r="I122">
            <v>74161</v>
          </cell>
          <cell r="J122">
            <v>1376</v>
          </cell>
          <cell r="K122">
            <v>1007</v>
          </cell>
          <cell r="L122">
            <v>2384</v>
          </cell>
          <cell r="M122">
            <v>76544</v>
          </cell>
          <cell r="N122">
            <v>9249</v>
          </cell>
          <cell r="O122">
            <v>18989</v>
          </cell>
          <cell r="P122">
            <v>4378</v>
          </cell>
          <cell r="Q122">
            <v>2122</v>
          </cell>
          <cell r="R122">
            <v>34738</v>
          </cell>
          <cell r="S122">
            <v>34738</v>
          </cell>
          <cell r="T122">
            <v>10992</v>
          </cell>
          <cell r="U122">
            <v>296</v>
          </cell>
          <cell r="V122">
            <v>11288</v>
          </cell>
          <cell r="W122">
            <v>2205</v>
          </cell>
          <cell r="X122">
            <v>162</v>
          </cell>
          <cell r="Y122">
            <v>1768</v>
          </cell>
          <cell r="Z122">
            <v>15423</v>
          </cell>
          <cell r="AA122">
            <v>50160</v>
          </cell>
          <cell r="AB122">
            <v>26384</v>
          </cell>
          <cell r="AC122">
            <v>-10386</v>
          </cell>
          <cell r="AD122">
            <v>36770</v>
          </cell>
          <cell r="AE122">
            <v>76544</v>
          </cell>
          <cell r="AF122">
            <v>66958</v>
          </cell>
          <cell r="AG122">
            <v>4217</v>
          </cell>
          <cell r="AH122">
            <v>367</v>
          </cell>
          <cell r="AI122">
            <v>2555</v>
          </cell>
          <cell r="AJ122">
            <v>121</v>
          </cell>
          <cell r="AK122">
            <v>26</v>
          </cell>
          <cell r="AL122">
            <v>7286</v>
          </cell>
          <cell r="AM122">
            <v>74244</v>
          </cell>
          <cell r="AN122">
            <v>1381</v>
          </cell>
          <cell r="AO122">
            <v>1070</v>
          </cell>
          <cell r="AP122">
            <v>2451</v>
          </cell>
          <cell r="AQ122">
            <v>76695</v>
          </cell>
          <cell r="AR122">
            <v>9167</v>
          </cell>
          <cell r="AS122">
            <v>19834</v>
          </cell>
          <cell r="AT122">
            <v>4088</v>
          </cell>
          <cell r="AU122">
            <v>2045</v>
          </cell>
          <cell r="AV122">
            <v>35133</v>
          </cell>
          <cell r="AW122">
            <v>35133</v>
          </cell>
          <cell r="AX122">
            <v>11441</v>
          </cell>
          <cell r="AY122">
            <v>297</v>
          </cell>
          <cell r="AZ122">
            <v>11738</v>
          </cell>
          <cell r="BA122">
            <v>2205</v>
          </cell>
          <cell r="BB122">
            <v>147</v>
          </cell>
          <cell r="BC122">
            <v>1836</v>
          </cell>
          <cell r="BD122">
            <v>15927</v>
          </cell>
          <cell r="BE122">
            <v>51060</v>
          </cell>
          <cell r="BF122">
            <v>25635</v>
          </cell>
          <cell r="BG122">
            <v>-11187</v>
          </cell>
          <cell r="BH122">
            <v>36822</v>
          </cell>
          <cell r="BI122">
            <v>76695</v>
          </cell>
          <cell r="BJ122">
            <v>63878</v>
          </cell>
          <cell r="BK122">
            <v>4218</v>
          </cell>
          <cell r="BL122">
            <v>459</v>
          </cell>
          <cell r="BM122">
            <v>2555</v>
          </cell>
          <cell r="BN122">
            <v>121</v>
          </cell>
          <cell r="BO122">
            <v>25</v>
          </cell>
          <cell r="BP122">
            <v>7379</v>
          </cell>
          <cell r="BQ122">
            <v>71257</v>
          </cell>
          <cell r="BR122">
            <v>1379</v>
          </cell>
          <cell r="BS122">
            <v>1315</v>
          </cell>
          <cell r="BT122">
            <v>2693</v>
          </cell>
          <cell r="BU122">
            <v>73951</v>
          </cell>
          <cell r="BV122">
            <v>9194</v>
          </cell>
          <cell r="BW122">
            <v>9478</v>
          </cell>
          <cell r="BX122">
            <v>3539</v>
          </cell>
          <cell r="BY122">
            <v>1955</v>
          </cell>
          <cell r="BZ122">
            <v>24167</v>
          </cell>
          <cell r="CA122">
            <v>24167</v>
          </cell>
          <cell r="CB122">
            <v>10544</v>
          </cell>
          <cell r="CC122">
            <v>299</v>
          </cell>
          <cell r="CD122">
            <v>10843</v>
          </cell>
          <cell r="CE122">
            <v>2205</v>
          </cell>
          <cell r="CF122">
            <v>155</v>
          </cell>
          <cell r="CG122">
            <v>2161</v>
          </cell>
          <cell r="CH122">
            <v>15365</v>
          </cell>
          <cell r="CI122">
            <v>39532</v>
          </cell>
          <cell r="CJ122">
            <v>34419</v>
          </cell>
          <cell r="CK122">
            <v>-2403</v>
          </cell>
          <cell r="CL122">
            <v>36822</v>
          </cell>
          <cell r="CM122">
            <v>73951</v>
          </cell>
        </row>
        <row r="123">
          <cell r="B123">
            <v>69263</v>
          </cell>
          <cell r="C123">
            <v>4230</v>
          </cell>
          <cell r="D123">
            <v>319</v>
          </cell>
          <cell r="E123">
            <v>1563</v>
          </cell>
          <cell r="F123">
            <v>124</v>
          </cell>
          <cell r="G123">
            <v>23</v>
          </cell>
          <cell r="H123">
            <v>6259</v>
          </cell>
          <cell r="I123">
            <v>75522</v>
          </cell>
          <cell r="J123">
            <v>1426</v>
          </cell>
          <cell r="K123">
            <v>914</v>
          </cell>
          <cell r="L123">
            <v>2340</v>
          </cell>
          <cell r="M123">
            <v>77863</v>
          </cell>
          <cell r="N123">
            <v>9152</v>
          </cell>
          <cell r="O123">
            <v>18627</v>
          </cell>
          <cell r="P123">
            <v>5406</v>
          </cell>
          <cell r="Q123">
            <v>2438</v>
          </cell>
          <cell r="R123">
            <v>35623</v>
          </cell>
          <cell r="S123">
            <v>35623</v>
          </cell>
          <cell r="T123">
            <v>11886</v>
          </cell>
          <cell r="U123">
            <v>293</v>
          </cell>
          <cell r="V123">
            <v>12179</v>
          </cell>
          <cell r="W123">
            <v>2234</v>
          </cell>
          <cell r="X123">
            <v>192</v>
          </cell>
          <cell r="Y123">
            <v>1868</v>
          </cell>
          <cell r="Z123">
            <v>16473</v>
          </cell>
          <cell r="AA123">
            <v>52096</v>
          </cell>
          <cell r="AB123">
            <v>25767</v>
          </cell>
          <cell r="AC123">
            <v>-11134</v>
          </cell>
          <cell r="AD123">
            <v>36901</v>
          </cell>
          <cell r="AE123">
            <v>77863</v>
          </cell>
          <cell r="AF123">
            <v>70142</v>
          </cell>
          <cell r="AG123">
            <v>4179</v>
          </cell>
          <cell r="AH123">
            <v>308</v>
          </cell>
          <cell r="AI123">
            <v>1013</v>
          </cell>
          <cell r="AJ123">
            <v>124</v>
          </cell>
          <cell r="AK123">
            <v>26</v>
          </cell>
          <cell r="AL123">
            <v>5650</v>
          </cell>
          <cell r="AM123">
            <v>75792</v>
          </cell>
          <cell r="AN123">
            <v>1439</v>
          </cell>
          <cell r="AO123">
            <v>897</v>
          </cell>
          <cell r="AP123">
            <v>2337</v>
          </cell>
          <cell r="AQ123">
            <v>78129</v>
          </cell>
          <cell r="AR123">
            <v>9045</v>
          </cell>
          <cell r="AS123">
            <v>18594</v>
          </cell>
          <cell r="AT123">
            <v>5481</v>
          </cell>
          <cell r="AU123">
            <v>2432</v>
          </cell>
          <cell r="AV123">
            <v>35551</v>
          </cell>
          <cell r="AW123">
            <v>35551</v>
          </cell>
          <cell r="AX123">
            <v>11097</v>
          </cell>
          <cell r="AY123">
            <v>293</v>
          </cell>
          <cell r="AZ123">
            <v>11390</v>
          </cell>
          <cell r="BA123">
            <v>2234</v>
          </cell>
          <cell r="BB123">
            <v>198</v>
          </cell>
          <cell r="BC123">
            <v>1951</v>
          </cell>
          <cell r="BD123">
            <v>15773</v>
          </cell>
          <cell r="BE123">
            <v>51324</v>
          </cell>
          <cell r="BF123">
            <v>26805</v>
          </cell>
          <cell r="BG123">
            <v>-10030</v>
          </cell>
          <cell r="BH123">
            <v>36835</v>
          </cell>
          <cell r="BI123">
            <v>78129</v>
          </cell>
          <cell r="BJ123">
            <v>73208</v>
          </cell>
          <cell r="BK123">
            <v>4178</v>
          </cell>
          <cell r="BL123">
            <v>238</v>
          </cell>
          <cell r="BM123">
            <v>1013</v>
          </cell>
          <cell r="BN123">
            <v>124</v>
          </cell>
          <cell r="BO123">
            <v>28</v>
          </cell>
          <cell r="BP123">
            <v>5582</v>
          </cell>
          <cell r="BQ123">
            <v>78790</v>
          </cell>
          <cell r="BR123">
            <v>1430</v>
          </cell>
          <cell r="BS123">
            <v>919</v>
          </cell>
          <cell r="BT123">
            <v>2350</v>
          </cell>
          <cell r="BU123">
            <v>81139</v>
          </cell>
          <cell r="BV123">
            <v>9028</v>
          </cell>
          <cell r="BW123">
            <v>29949</v>
          </cell>
          <cell r="BX123">
            <v>5945</v>
          </cell>
          <cell r="BY123">
            <v>2480</v>
          </cell>
          <cell r="BZ123">
            <v>47403</v>
          </cell>
          <cell r="CA123">
            <v>47403</v>
          </cell>
          <cell r="CB123">
            <v>11841</v>
          </cell>
          <cell r="CC123">
            <v>290</v>
          </cell>
          <cell r="CD123">
            <v>12131</v>
          </cell>
          <cell r="CE123">
            <v>2234</v>
          </cell>
          <cell r="CF123">
            <v>190</v>
          </cell>
          <cell r="CG123">
            <v>1742</v>
          </cell>
          <cell r="CH123">
            <v>16296</v>
          </cell>
          <cell r="CI123">
            <v>63699</v>
          </cell>
          <cell r="CJ123">
            <v>17441</v>
          </cell>
          <cell r="CK123">
            <v>-19394</v>
          </cell>
          <cell r="CL123">
            <v>36835</v>
          </cell>
          <cell r="CM123">
            <v>81139</v>
          </cell>
        </row>
        <row r="124">
          <cell r="B124">
            <v>81910</v>
          </cell>
          <cell r="C124">
            <v>4282</v>
          </cell>
          <cell r="D124">
            <v>293</v>
          </cell>
          <cell r="E124">
            <v>1154</v>
          </cell>
          <cell r="F124">
            <v>125</v>
          </cell>
          <cell r="G124">
            <v>19</v>
          </cell>
          <cell r="H124">
            <v>5875</v>
          </cell>
          <cell r="I124">
            <v>87785</v>
          </cell>
          <cell r="J124">
            <v>1472</v>
          </cell>
          <cell r="K124">
            <v>742</v>
          </cell>
          <cell r="L124">
            <v>2215</v>
          </cell>
          <cell r="M124">
            <v>90000</v>
          </cell>
          <cell r="N124">
            <v>9200</v>
          </cell>
          <cell r="O124">
            <v>18790</v>
          </cell>
          <cell r="P124">
            <v>6240</v>
          </cell>
          <cell r="Q124">
            <v>2894</v>
          </cell>
          <cell r="R124">
            <v>37124</v>
          </cell>
          <cell r="S124">
            <v>37124</v>
          </cell>
          <cell r="T124">
            <v>12947</v>
          </cell>
          <cell r="U124">
            <v>294</v>
          </cell>
          <cell r="V124">
            <v>13241</v>
          </cell>
          <cell r="W124">
            <v>2263</v>
          </cell>
          <cell r="X124">
            <v>223</v>
          </cell>
          <cell r="Y124">
            <v>1866</v>
          </cell>
          <cell r="Z124">
            <v>17592</v>
          </cell>
          <cell r="AA124">
            <v>54716</v>
          </cell>
          <cell r="AB124">
            <v>35284</v>
          </cell>
          <cell r="AC124">
            <v>-1795</v>
          </cell>
          <cell r="AD124">
            <v>37079</v>
          </cell>
          <cell r="AE124">
            <v>90000</v>
          </cell>
          <cell r="AF124">
            <v>80556</v>
          </cell>
          <cell r="AG124">
            <v>4353</v>
          </cell>
          <cell r="AH124">
            <v>304</v>
          </cell>
          <cell r="AI124">
            <v>717</v>
          </cell>
          <cell r="AJ124">
            <v>126</v>
          </cell>
          <cell r="AK124">
            <v>16</v>
          </cell>
          <cell r="AL124">
            <v>5515</v>
          </cell>
          <cell r="AM124">
            <v>86071</v>
          </cell>
          <cell r="AN124">
            <v>1467</v>
          </cell>
          <cell r="AO124">
            <v>736</v>
          </cell>
          <cell r="AP124">
            <v>2203</v>
          </cell>
          <cell r="AQ124">
            <v>88274</v>
          </cell>
          <cell r="AR124">
            <v>9291</v>
          </cell>
          <cell r="AS124">
            <v>17495</v>
          </cell>
          <cell r="AT124">
            <v>6557</v>
          </cell>
          <cell r="AU124">
            <v>2867</v>
          </cell>
          <cell r="AV124">
            <v>36211</v>
          </cell>
          <cell r="AW124">
            <v>36211</v>
          </cell>
          <cell r="AX124">
            <v>13314</v>
          </cell>
          <cell r="AY124">
            <v>773</v>
          </cell>
          <cell r="AZ124">
            <v>14087</v>
          </cell>
          <cell r="BA124">
            <v>2263</v>
          </cell>
          <cell r="BB124">
            <v>230</v>
          </cell>
          <cell r="BC124">
            <v>1755</v>
          </cell>
          <cell r="BD124">
            <v>18334</v>
          </cell>
          <cell r="BE124">
            <v>54545</v>
          </cell>
          <cell r="BF124">
            <v>33729</v>
          </cell>
          <cell r="BG124">
            <v>-3342</v>
          </cell>
          <cell r="BH124">
            <v>37070</v>
          </cell>
          <cell r="BI124">
            <v>88274</v>
          </cell>
          <cell r="BJ124">
            <v>86228</v>
          </cell>
          <cell r="BK124">
            <v>4347</v>
          </cell>
          <cell r="BL124">
            <v>351</v>
          </cell>
          <cell r="BM124">
            <v>717</v>
          </cell>
          <cell r="BN124">
            <v>126</v>
          </cell>
          <cell r="BO124">
            <v>16</v>
          </cell>
          <cell r="BP124">
            <v>5556</v>
          </cell>
          <cell r="BQ124">
            <v>91784</v>
          </cell>
          <cell r="BR124">
            <v>1476</v>
          </cell>
          <cell r="BS124">
            <v>630</v>
          </cell>
          <cell r="BT124">
            <v>2106</v>
          </cell>
          <cell r="BU124">
            <v>93890</v>
          </cell>
          <cell r="BV124">
            <v>9282</v>
          </cell>
          <cell r="BW124">
            <v>7813</v>
          </cell>
          <cell r="BX124">
            <v>7344</v>
          </cell>
          <cell r="BY124">
            <v>2927</v>
          </cell>
          <cell r="BZ124">
            <v>27366</v>
          </cell>
          <cell r="CA124">
            <v>27366</v>
          </cell>
          <cell r="CB124">
            <v>14853</v>
          </cell>
          <cell r="CC124">
            <v>776</v>
          </cell>
          <cell r="CD124">
            <v>15629</v>
          </cell>
          <cell r="CE124">
            <v>2263</v>
          </cell>
          <cell r="CF124">
            <v>240</v>
          </cell>
          <cell r="CG124">
            <v>1734</v>
          </cell>
          <cell r="CH124">
            <v>19866</v>
          </cell>
          <cell r="CI124">
            <v>47232</v>
          </cell>
          <cell r="CJ124">
            <v>46658</v>
          </cell>
          <cell r="CK124">
            <v>9588</v>
          </cell>
          <cell r="CL124">
            <v>37070</v>
          </cell>
          <cell r="CM124">
            <v>93890</v>
          </cell>
        </row>
        <row r="125">
          <cell r="B125">
            <v>82925</v>
          </cell>
          <cell r="C125">
            <v>4330</v>
          </cell>
          <cell r="D125">
            <v>293</v>
          </cell>
          <cell r="E125">
            <v>1314</v>
          </cell>
          <cell r="F125">
            <v>126</v>
          </cell>
          <cell r="G125">
            <v>16</v>
          </cell>
          <cell r="H125">
            <v>6079</v>
          </cell>
          <cell r="I125">
            <v>89004</v>
          </cell>
          <cell r="J125">
            <v>1503</v>
          </cell>
          <cell r="K125">
            <v>614</v>
          </cell>
          <cell r="L125">
            <v>2117</v>
          </cell>
          <cell r="M125">
            <v>91121</v>
          </cell>
          <cell r="N125">
            <v>9271</v>
          </cell>
          <cell r="O125">
            <v>19640</v>
          </cell>
          <cell r="P125">
            <v>6319</v>
          </cell>
          <cell r="Q125">
            <v>3158</v>
          </cell>
          <cell r="R125">
            <v>38388</v>
          </cell>
          <cell r="S125">
            <v>38388</v>
          </cell>
          <cell r="T125">
            <v>13366</v>
          </cell>
          <cell r="U125">
            <v>299</v>
          </cell>
          <cell r="V125">
            <v>13665</v>
          </cell>
          <cell r="W125">
            <v>2292</v>
          </cell>
          <cell r="X125">
            <v>245</v>
          </cell>
          <cell r="Y125">
            <v>1787</v>
          </cell>
          <cell r="Z125">
            <v>17989</v>
          </cell>
          <cell r="AA125">
            <v>56378</v>
          </cell>
          <cell r="AB125">
            <v>34744</v>
          </cell>
          <cell r="AC125">
            <v>-2634</v>
          </cell>
          <cell r="AD125">
            <v>37377</v>
          </cell>
          <cell r="AE125">
            <v>91121</v>
          </cell>
          <cell r="AF125">
            <v>85170</v>
          </cell>
          <cell r="AG125">
            <v>4326</v>
          </cell>
          <cell r="AH125">
            <v>269</v>
          </cell>
          <cell r="AI125">
            <v>1925</v>
          </cell>
          <cell r="AJ125">
            <v>126</v>
          </cell>
          <cell r="AK125">
            <v>16</v>
          </cell>
          <cell r="AL125">
            <v>6662</v>
          </cell>
          <cell r="AM125">
            <v>91831</v>
          </cell>
          <cell r="AN125">
            <v>1772</v>
          </cell>
          <cell r="AO125">
            <v>599</v>
          </cell>
          <cell r="AP125">
            <v>2371</v>
          </cell>
          <cell r="AQ125">
            <v>94202</v>
          </cell>
          <cell r="AR125">
            <v>9296</v>
          </cell>
          <cell r="AS125">
            <v>20590</v>
          </cell>
          <cell r="AT125">
            <v>6499</v>
          </cell>
          <cell r="AU125">
            <v>3333</v>
          </cell>
          <cell r="AV125">
            <v>39719</v>
          </cell>
          <cell r="AW125">
            <v>39719</v>
          </cell>
          <cell r="AX125">
            <v>14056</v>
          </cell>
          <cell r="AY125">
            <v>297</v>
          </cell>
          <cell r="AZ125">
            <v>14353</v>
          </cell>
          <cell r="BA125">
            <v>2292</v>
          </cell>
          <cell r="BB125">
            <v>237</v>
          </cell>
          <cell r="BC125">
            <v>1868</v>
          </cell>
          <cell r="BD125">
            <v>18750</v>
          </cell>
          <cell r="BE125">
            <v>58469</v>
          </cell>
          <cell r="BF125">
            <v>35733</v>
          </cell>
          <cell r="BG125">
            <v>-1645</v>
          </cell>
          <cell r="BH125">
            <v>37378</v>
          </cell>
          <cell r="BI125">
            <v>94202</v>
          </cell>
          <cell r="BJ125">
            <v>79268</v>
          </cell>
          <cell r="BK125">
            <v>4330</v>
          </cell>
          <cell r="BL125">
            <v>221</v>
          </cell>
          <cell r="BM125">
            <v>1925</v>
          </cell>
          <cell r="BN125">
            <v>126</v>
          </cell>
          <cell r="BO125">
            <v>14</v>
          </cell>
          <cell r="BP125">
            <v>6617</v>
          </cell>
          <cell r="BQ125">
            <v>85885</v>
          </cell>
          <cell r="BR125">
            <v>1778</v>
          </cell>
          <cell r="BS125">
            <v>538</v>
          </cell>
          <cell r="BT125">
            <v>2316</v>
          </cell>
          <cell r="BU125">
            <v>88201</v>
          </cell>
          <cell r="BV125">
            <v>9294</v>
          </cell>
          <cell r="BW125">
            <v>30516</v>
          </cell>
          <cell r="BX125">
            <v>5829</v>
          </cell>
          <cell r="BY125">
            <v>3357</v>
          </cell>
          <cell r="BZ125">
            <v>48995</v>
          </cell>
          <cell r="CA125">
            <v>48995</v>
          </cell>
          <cell r="CB125">
            <v>12616</v>
          </cell>
          <cell r="CC125">
            <v>295</v>
          </cell>
          <cell r="CD125">
            <v>12911</v>
          </cell>
          <cell r="CE125">
            <v>2292</v>
          </cell>
          <cell r="CF125">
            <v>224</v>
          </cell>
          <cell r="CG125">
            <v>1760</v>
          </cell>
          <cell r="CH125">
            <v>17187</v>
          </cell>
          <cell r="CI125">
            <v>66183</v>
          </cell>
          <cell r="CJ125">
            <v>22018</v>
          </cell>
          <cell r="CK125">
            <v>-15360</v>
          </cell>
          <cell r="CL125">
            <v>37378</v>
          </cell>
          <cell r="CM125">
            <v>88201</v>
          </cell>
        </row>
        <row r="126">
          <cell r="B126">
            <v>82828</v>
          </cell>
          <cell r="C126">
            <v>4361</v>
          </cell>
          <cell r="D126">
            <v>310</v>
          </cell>
          <cell r="E126">
            <v>1578</v>
          </cell>
          <cell r="F126">
            <v>126</v>
          </cell>
          <cell r="G126">
            <v>14</v>
          </cell>
          <cell r="H126">
            <v>6390</v>
          </cell>
          <cell r="I126">
            <v>89218</v>
          </cell>
          <cell r="J126">
            <v>1534</v>
          </cell>
          <cell r="K126">
            <v>611</v>
          </cell>
          <cell r="L126">
            <v>2145</v>
          </cell>
          <cell r="M126">
            <v>91363</v>
          </cell>
          <cell r="N126">
            <v>9278</v>
          </cell>
          <cell r="O126">
            <v>20599</v>
          </cell>
          <cell r="P126">
            <v>6251</v>
          </cell>
          <cell r="Q126">
            <v>3118</v>
          </cell>
          <cell r="R126">
            <v>39245</v>
          </cell>
          <cell r="S126">
            <v>39245</v>
          </cell>
          <cell r="T126">
            <v>13097</v>
          </cell>
          <cell r="U126">
            <v>306</v>
          </cell>
          <cell r="V126">
            <v>13403</v>
          </cell>
          <cell r="W126">
            <v>2322</v>
          </cell>
          <cell r="X126">
            <v>251</v>
          </cell>
          <cell r="Y126">
            <v>1750</v>
          </cell>
          <cell r="Z126">
            <v>17726</v>
          </cell>
          <cell r="AA126">
            <v>56971</v>
          </cell>
          <cell r="AB126">
            <v>34393</v>
          </cell>
          <cell r="AC126">
            <v>-3380</v>
          </cell>
          <cell r="AD126">
            <v>37773</v>
          </cell>
          <cell r="AE126">
            <v>91363</v>
          </cell>
          <cell r="AF126">
            <v>81501</v>
          </cell>
          <cell r="AG126">
            <v>4328</v>
          </cell>
          <cell r="AH126">
            <v>291</v>
          </cell>
          <cell r="AI126">
            <v>1298</v>
          </cell>
          <cell r="AJ126">
            <v>126</v>
          </cell>
          <cell r="AK126">
            <v>16</v>
          </cell>
          <cell r="AL126">
            <v>6059</v>
          </cell>
          <cell r="AM126">
            <v>87560</v>
          </cell>
          <cell r="AN126">
            <v>1537</v>
          </cell>
          <cell r="AO126">
            <v>600</v>
          </cell>
          <cell r="AP126">
            <v>2138</v>
          </cell>
          <cell r="AQ126">
            <v>89698</v>
          </cell>
          <cell r="AR126">
            <v>9255</v>
          </cell>
          <cell r="AS126">
            <v>20628</v>
          </cell>
          <cell r="AT126">
            <v>6021</v>
          </cell>
          <cell r="AU126">
            <v>3121</v>
          </cell>
          <cell r="AV126">
            <v>39025</v>
          </cell>
          <cell r="AW126">
            <v>39025</v>
          </cell>
          <cell r="AX126">
            <v>12617</v>
          </cell>
          <cell r="AY126">
            <v>539</v>
          </cell>
          <cell r="AZ126">
            <v>13155</v>
          </cell>
          <cell r="BA126">
            <v>2322</v>
          </cell>
          <cell r="BB126">
            <v>255</v>
          </cell>
          <cell r="BC126">
            <v>1706</v>
          </cell>
          <cell r="BD126">
            <v>17439</v>
          </cell>
          <cell r="BE126">
            <v>56463</v>
          </cell>
          <cell r="BF126">
            <v>33234</v>
          </cell>
          <cell r="BG126">
            <v>-4523</v>
          </cell>
          <cell r="BH126">
            <v>37757</v>
          </cell>
          <cell r="BI126">
            <v>89698</v>
          </cell>
          <cell r="BJ126">
            <v>77884</v>
          </cell>
          <cell r="BK126">
            <v>4330</v>
          </cell>
          <cell r="BL126">
            <v>365</v>
          </cell>
          <cell r="BM126">
            <v>1298</v>
          </cell>
          <cell r="BN126">
            <v>126</v>
          </cell>
          <cell r="BO126">
            <v>15</v>
          </cell>
          <cell r="BP126">
            <v>6133</v>
          </cell>
          <cell r="BQ126">
            <v>84017</v>
          </cell>
          <cell r="BR126">
            <v>1533</v>
          </cell>
          <cell r="BS126">
            <v>734</v>
          </cell>
          <cell r="BT126">
            <v>2267</v>
          </cell>
          <cell r="BU126">
            <v>86285</v>
          </cell>
          <cell r="BV126">
            <v>9278</v>
          </cell>
          <cell r="BW126">
            <v>9119</v>
          </cell>
          <cell r="BX126">
            <v>5399</v>
          </cell>
          <cell r="BY126">
            <v>2972</v>
          </cell>
          <cell r="BZ126">
            <v>26769</v>
          </cell>
          <cell r="CA126">
            <v>26769</v>
          </cell>
          <cell r="CB126">
            <v>11593</v>
          </cell>
          <cell r="CC126">
            <v>540</v>
          </cell>
          <cell r="CD126">
            <v>12133</v>
          </cell>
          <cell r="CE126">
            <v>2322</v>
          </cell>
          <cell r="CF126">
            <v>270</v>
          </cell>
          <cell r="CG126">
            <v>2004</v>
          </cell>
          <cell r="CH126">
            <v>16728</v>
          </cell>
          <cell r="CI126">
            <v>43497</v>
          </cell>
          <cell r="CJ126">
            <v>42788</v>
          </cell>
          <cell r="CK126">
            <v>5030</v>
          </cell>
          <cell r="CL126">
            <v>37757</v>
          </cell>
          <cell r="CM126">
            <v>86285</v>
          </cell>
        </row>
        <row r="127">
          <cell r="B127">
            <v>82609</v>
          </cell>
          <cell r="C127">
            <v>4398</v>
          </cell>
          <cell r="D127">
            <v>327</v>
          </cell>
          <cell r="E127">
            <v>1586</v>
          </cell>
          <cell r="F127">
            <v>126</v>
          </cell>
          <cell r="G127">
            <v>13</v>
          </cell>
          <cell r="H127">
            <v>6449</v>
          </cell>
          <cell r="I127">
            <v>89058</v>
          </cell>
          <cell r="J127">
            <v>1569</v>
          </cell>
          <cell r="K127">
            <v>687</v>
          </cell>
          <cell r="L127">
            <v>2256</v>
          </cell>
          <cell r="M127">
            <v>91315</v>
          </cell>
          <cell r="N127">
            <v>9273</v>
          </cell>
          <cell r="O127">
            <v>20942</v>
          </cell>
          <cell r="P127">
            <v>6641</v>
          </cell>
          <cell r="Q127">
            <v>2959</v>
          </cell>
          <cell r="R127">
            <v>39816</v>
          </cell>
          <cell r="S127">
            <v>39816</v>
          </cell>
          <cell r="T127">
            <v>12685</v>
          </cell>
          <cell r="U127">
            <v>312</v>
          </cell>
          <cell r="V127">
            <v>12997</v>
          </cell>
          <cell r="W127">
            <v>2352</v>
          </cell>
          <cell r="X127">
            <v>249</v>
          </cell>
          <cell r="Y127">
            <v>1749</v>
          </cell>
          <cell r="Z127">
            <v>17346</v>
          </cell>
          <cell r="AA127">
            <v>57163</v>
          </cell>
          <cell r="AB127">
            <v>34152</v>
          </cell>
          <cell r="AC127">
            <v>-4026</v>
          </cell>
          <cell r="AD127">
            <v>38178</v>
          </cell>
          <cell r="AE127">
            <v>91315</v>
          </cell>
          <cell r="AF127">
            <v>82486</v>
          </cell>
          <cell r="AG127">
            <v>4417</v>
          </cell>
          <cell r="AH127">
            <v>326</v>
          </cell>
          <cell r="AI127">
            <v>1746</v>
          </cell>
          <cell r="AJ127">
            <v>125</v>
          </cell>
          <cell r="AK127">
            <v>12</v>
          </cell>
          <cell r="AL127">
            <v>6627</v>
          </cell>
          <cell r="AM127">
            <v>89112</v>
          </cell>
          <cell r="AN127">
            <v>1561</v>
          </cell>
          <cell r="AO127">
            <v>631</v>
          </cell>
          <cell r="AP127">
            <v>2192</v>
          </cell>
          <cell r="AQ127">
            <v>91304</v>
          </cell>
          <cell r="AR127">
            <v>9251</v>
          </cell>
          <cell r="AS127">
            <v>20830</v>
          </cell>
          <cell r="AT127">
            <v>5943</v>
          </cell>
          <cell r="AU127">
            <v>2858</v>
          </cell>
          <cell r="AV127">
            <v>38882</v>
          </cell>
          <cell r="AW127">
            <v>38882</v>
          </cell>
          <cell r="AX127">
            <v>12427</v>
          </cell>
          <cell r="AY127">
            <v>312</v>
          </cell>
          <cell r="AZ127">
            <v>12739</v>
          </cell>
          <cell r="BA127">
            <v>2352</v>
          </cell>
          <cell r="BB127">
            <v>257</v>
          </cell>
          <cell r="BC127">
            <v>1709</v>
          </cell>
          <cell r="BD127">
            <v>17057</v>
          </cell>
          <cell r="BE127">
            <v>55939</v>
          </cell>
          <cell r="BF127">
            <v>35365</v>
          </cell>
          <cell r="BG127">
            <v>-2836</v>
          </cell>
          <cell r="BH127">
            <v>38201</v>
          </cell>
          <cell r="BI127">
            <v>91304</v>
          </cell>
          <cell r="BJ127">
            <v>86034</v>
          </cell>
          <cell r="BK127">
            <v>4417</v>
          </cell>
          <cell r="BL127">
            <v>251</v>
          </cell>
          <cell r="BM127">
            <v>1746</v>
          </cell>
          <cell r="BN127">
            <v>125</v>
          </cell>
          <cell r="BO127">
            <v>14</v>
          </cell>
          <cell r="BP127">
            <v>6553</v>
          </cell>
          <cell r="BQ127">
            <v>92587</v>
          </cell>
          <cell r="BR127">
            <v>1549</v>
          </cell>
          <cell r="BS127">
            <v>644</v>
          </cell>
          <cell r="BT127">
            <v>2194</v>
          </cell>
          <cell r="BU127">
            <v>94780</v>
          </cell>
          <cell r="BV127">
            <v>9239</v>
          </cell>
          <cell r="BW127">
            <v>33241</v>
          </cell>
          <cell r="BX127">
            <v>6446</v>
          </cell>
          <cell r="BY127">
            <v>2907</v>
          </cell>
          <cell r="BZ127">
            <v>51833</v>
          </cell>
          <cell r="CA127">
            <v>51833</v>
          </cell>
          <cell r="CB127">
            <v>13244</v>
          </cell>
          <cell r="CC127">
            <v>309</v>
          </cell>
          <cell r="CD127">
            <v>13553</v>
          </cell>
          <cell r="CE127">
            <v>2352</v>
          </cell>
          <cell r="CF127">
            <v>247</v>
          </cell>
          <cell r="CG127">
            <v>1531</v>
          </cell>
          <cell r="CH127">
            <v>17683</v>
          </cell>
          <cell r="CI127">
            <v>69516</v>
          </cell>
          <cell r="CJ127">
            <v>25264</v>
          </cell>
          <cell r="CK127">
            <v>-12937</v>
          </cell>
          <cell r="CL127">
            <v>38201</v>
          </cell>
          <cell r="CM127">
            <v>94780</v>
          </cell>
        </row>
        <row r="128">
          <cell r="B128">
            <v>82359</v>
          </cell>
          <cell r="C128">
            <v>4451</v>
          </cell>
          <cell r="D128">
            <v>341</v>
          </cell>
          <cell r="E128">
            <v>1491</v>
          </cell>
          <cell r="F128">
            <v>125</v>
          </cell>
          <cell r="G128">
            <v>11</v>
          </cell>
          <cell r="H128">
            <v>6419</v>
          </cell>
          <cell r="I128">
            <v>88777</v>
          </cell>
          <cell r="J128">
            <v>1603</v>
          </cell>
          <cell r="K128">
            <v>800</v>
          </cell>
          <cell r="L128">
            <v>2403</v>
          </cell>
          <cell r="M128">
            <v>91180</v>
          </cell>
          <cell r="N128">
            <v>9292</v>
          </cell>
          <cell r="O128">
            <v>20834</v>
          </cell>
          <cell r="P128">
            <v>7326</v>
          </cell>
          <cell r="Q128">
            <v>2793</v>
          </cell>
          <cell r="R128">
            <v>40246</v>
          </cell>
          <cell r="S128">
            <v>40246</v>
          </cell>
          <cell r="T128">
            <v>12521</v>
          </cell>
          <cell r="U128">
            <v>315</v>
          </cell>
          <cell r="V128">
            <v>12836</v>
          </cell>
          <cell r="W128">
            <v>2381</v>
          </cell>
          <cell r="X128">
            <v>241</v>
          </cell>
          <cell r="Y128">
            <v>1760</v>
          </cell>
          <cell r="Z128">
            <v>17219</v>
          </cell>
          <cell r="AA128">
            <v>57466</v>
          </cell>
          <cell r="AB128">
            <v>33715</v>
          </cell>
          <cell r="AC128">
            <v>-4867</v>
          </cell>
          <cell r="AD128">
            <v>38582</v>
          </cell>
          <cell r="AE128">
            <v>91180</v>
          </cell>
          <cell r="AF128">
            <v>83010</v>
          </cell>
          <cell r="AG128">
            <v>4451</v>
          </cell>
          <cell r="AH128">
            <v>335</v>
          </cell>
          <cell r="AI128">
            <v>1427</v>
          </cell>
          <cell r="AJ128">
            <v>125</v>
          </cell>
          <cell r="AK128">
            <v>11</v>
          </cell>
          <cell r="AL128">
            <v>6349</v>
          </cell>
          <cell r="AM128">
            <v>89359</v>
          </cell>
          <cell r="AN128">
            <v>1611</v>
          </cell>
          <cell r="AO128">
            <v>887</v>
          </cell>
          <cell r="AP128">
            <v>2498</v>
          </cell>
          <cell r="AQ128">
            <v>91857</v>
          </cell>
          <cell r="AR128">
            <v>9323</v>
          </cell>
          <cell r="AS128">
            <v>20822</v>
          </cell>
          <cell r="AT128">
            <v>8297</v>
          </cell>
          <cell r="AU128">
            <v>2837</v>
          </cell>
          <cell r="AV128">
            <v>41280</v>
          </cell>
          <cell r="AW128">
            <v>41280</v>
          </cell>
          <cell r="AX128">
            <v>12924</v>
          </cell>
          <cell r="AY128">
            <v>313</v>
          </cell>
          <cell r="AZ128">
            <v>13237</v>
          </cell>
          <cell r="BA128">
            <v>2382</v>
          </cell>
          <cell r="BB128">
            <v>229</v>
          </cell>
          <cell r="BC128">
            <v>1825</v>
          </cell>
          <cell r="BD128">
            <v>17673</v>
          </cell>
          <cell r="BE128">
            <v>58953</v>
          </cell>
          <cell r="BF128">
            <v>32904</v>
          </cell>
          <cell r="BG128">
            <v>-5676</v>
          </cell>
          <cell r="BH128">
            <v>38581</v>
          </cell>
          <cell r="BI128">
            <v>91857</v>
          </cell>
          <cell r="BJ128">
            <v>88931</v>
          </cell>
          <cell r="BK128">
            <v>4445</v>
          </cell>
          <cell r="BL128">
            <v>389</v>
          </cell>
          <cell r="BM128">
            <v>1427</v>
          </cell>
          <cell r="BN128">
            <v>125</v>
          </cell>
          <cell r="BO128">
            <v>10</v>
          </cell>
          <cell r="BP128">
            <v>6397</v>
          </cell>
          <cell r="BQ128">
            <v>95328</v>
          </cell>
          <cell r="BR128">
            <v>1622</v>
          </cell>
          <cell r="BS128">
            <v>758</v>
          </cell>
          <cell r="BT128">
            <v>2381</v>
          </cell>
          <cell r="BU128">
            <v>97709</v>
          </cell>
          <cell r="BV128">
            <v>9313</v>
          </cell>
          <cell r="BW128">
            <v>9530</v>
          </cell>
          <cell r="BX128">
            <v>9106</v>
          </cell>
          <cell r="BY128">
            <v>2908</v>
          </cell>
          <cell r="BZ128">
            <v>30857</v>
          </cell>
          <cell r="CA128">
            <v>30857</v>
          </cell>
          <cell r="CB128">
            <v>14479</v>
          </cell>
          <cell r="CC128">
            <v>317</v>
          </cell>
          <cell r="CD128">
            <v>14796</v>
          </cell>
          <cell r="CE128">
            <v>2382</v>
          </cell>
          <cell r="CF128">
            <v>237</v>
          </cell>
          <cell r="CG128">
            <v>1800</v>
          </cell>
          <cell r="CH128">
            <v>19215</v>
          </cell>
          <cell r="CI128">
            <v>50072</v>
          </cell>
          <cell r="CJ128">
            <v>47637</v>
          </cell>
          <cell r="CK128">
            <v>9056</v>
          </cell>
          <cell r="CL128">
            <v>38581</v>
          </cell>
          <cell r="CM128">
            <v>97709</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 sheetId="69">
        <row r="1">
          <cell r="P1" t="str">
            <v>Foreign control of enterprises by controlling countries (from 2008 onwards) [fats_g1b_08]</v>
          </cell>
        </row>
      </sheetData>
      <sheetData sheetId="70">
        <row r="1">
          <cell r="A1" t="e">
            <v>#NAME?</v>
          </cell>
        </row>
      </sheetData>
      <sheetData sheetId="71"/>
      <sheetData sheetId="72">
        <row r="61">
          <cell r="D61">
            <v>1447.3760537067544</v>
          </cell>
        </row>
      </sheetData>
      <sheetData sheetId="73">
        <row r="9">
          <cell r="H9">
            <v>372.02600000000001</v>
          </cell>
        </row>
      </sheetData>
      <sheetData sheetId="74">
        <row r="6">
          <cell r="Y6">
            <v>178188099</v>
          </cell>
        </row>
      </sheetData>
      <sheetData sheetId="75">
        <row r="1">
          <cell r="A1" t="str">
            <v>2015 with imputations</v>
          </cell>
        </row>
      </sheetData>
      <sheetData sheetId="76">
        <row r="9">
          <cell r="O9">
            <v>3037.7994719475491</v>
          </cell>
        </row>
      </sheetData>
      <sheetData sheetId="77"/>
      <sheetData sheetId="78">
        <row r="4">
          <cell r="L4" t="str">
            <v>Weighted corporate share</v>
          </cell>
        </row>
      </sheetData>
      <sheetData sheetId="79">
        <row r="1">
          <cell r="A1" t="str">
            <v>ISO 3166 alpha-3 code</v>
          </cell>
        </row>
      </sheetData>
      <sheetData sheetId="80">
        <row r="1">
          <cell r="A1" t="str">
            <v>Table 1A: Country-by-Country Report (Form 8975): Tax Jurisdiction Information (Schedule A: Part I) by Major Geographic Region and Selected Tax Jurisdiction, Tax Year 2016[1]</v>
          </cell>
        </row>
      </sheetData>
      <sheetData sheetId="81">
        <row r="1">
          <cell r="D1" t="str">
            <v>Country Code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X"/>
      <sheetName val="OECD_GDP"/>
      <sheetName val="OECDTable14a"/>
      <sheetName val="OECDTable14a(small)"/>
      <sheetName val="OECDTable14a2014"/>
      <sheetName val="OECDTable14a2014(small)"/>
      <sheetName val="OECDnew.xls"/>
      <sheetName val="OECDCorpTaxRev"/>
      <sheetName val="UNnataccount.xls"/>
      <sheetName val="UNnataccount_labour_corp_share."/>
      <sheetName val="UNnataccount_corp_va_gdpshare.x"/>
      <sheetName val="EurostatCorpTaxRev"/>
      <sheetName val="ResourceRentsWDI"/>
      <sheetName val="AustralianNA"/>
      <sheetName val="AustralianNA2"/>
      <sheetName val="AustralianNA3"/>
      <sheetName val="AustralianNA4"/>
      <sheetName val="AustralianNA5"/>
      <sheetName val="EurostatFATSHavenByCtry"/>
      <sheetName val="Data"/>
      <sheetName val="Data2"/>
      <sheetName val="Data3"/>
      <sheetName val="Data4"/>
      <sheetName val="Data5"/>
      <sheetName val="Data6"/>
      <sheetName val="NbEmployed"/>
      <sheetName val="EurostatOutwardFATSbyCtry"/>
      <sheetName val="MainSeries"/>
      <sheetName val="Turnover"/>
      <sheetName val="NbEmployed (2)"/>
      <sheetName val="NbEnt"/>
      <sheetName val="SuppSeries"/>
      <sheetName val="PersoCost"/>
      <sheetName val="VA"/>
      <sheetName val="Inv"/>
      <sheetName val="EurostatInwardFATS"/>
      <sheetName val="Comput"/>
      <sheetName val="DataForGraph"/>
      <sheetName val="Data (2)"/>
      <sheetName val="Data2 (2)"/>
      <sheetName val="Data3 (2)"/>
      <sheetName val="Data4 (2)"/>
      <sheetName val="Data5 (2)"/>
      <sheetName val="Data6 (2)"/>
      <sheetName val="Data7"/>
      <sheetName val="Data8"/>
      <sheetName val="Data9"/>
      <sheetName val="Data10"/>
      <sheetName val="Data11"/>
      <sheetName val="Data12"/>
      <sheetName val="Data13"/>
      <sheetName val="Data14"/>
      <sheetName val="Data15"/>
      <sheetName val="Data16"/>
      <sheetName val="MissingSectors"/>
      <sheetName val="Data (3)"/>
      <sheetName val="Data2 (3)"/>
      <sheetName val="Data3 (3)"/>
      <sheetName val="Data4 (3)"/>
      <sheetName val="Data5 (3)"/>
      <sheetName val="Data6 (3)"/>
      <sheetName val="Data7 (2)"/>
      <sheetName val="Data8 (2)"/>
      <sheetName val="Data9 (2)"/>
      <sheetName val="Data10 (2)"/>
      <sheetName val="Data11 (2)"/>
      <sheetName val="Data12 (2)"/>
      <sheetName val="Data C33-37"/>
    </sheetNames>
    <sheetDataSet>
      <sheetData sheetId="0"/>
      <sheetData sheetId="1">
        <row r="2">
          <cell r="B2" t="str">
            <v>Argentina</v>
          </cell>
        </row>
      </sheetData>
      <sheetData sheetId="2"/>
      <sheetData sheetId="3">
        <row r="15">
          <cell r="A15" t="str">
            <v>Australia</v>
          </cell>
        </row>
      </sheetData>
      <sheetData sheetId="4">
        <row r="1">
          <cell r="B1" t="str">
            <v>Operating Surplus</v>
          </cell>
        </row>
      </sheetData>
      <sheetData sheetId="5">
        <row r="16">
          <cell r="A16" t="str">
            <v>Australia</v>
          </cell>
        </row>
      </sheetData>
      <sheetData sheetId="6">
        <row r="39">
          <cell r="I39">
            <v>1480692</v>
          </cell>
        </row>
      </sheetData>
      <sheetData sheetId="7">
        <row r="104">
          <cell r="D104">
            <v>421219.9</v>
          </cell>
        </row>
      </sheetData>
      <sheetData sheetId="8">
        <row r="8">
          <cell r="A8" t="str">
            <v>Australia</v>
          </cell>
        </row>
      </sheetData>
      <sheetData sheetId="9">
        <row r="1">
          <cell r="A1" t="str">
            <v>CountryName</v>
          </cell>
        </row>
      </sheetData>
      <sheetData sheetId="10">
        <row r="18">
          <cell r="B18">
            <v>0.71513000000000004</v>
          </cell>
        </row>
      </sheetData>
      <sheetData sheetId="11">
        <row r="18">
          <cell r="B18">
            <v>0.53137999999999996</v>
          </cell>
        </row>
      </sheetData>
      <sheetData sheetId="12">
        <row r="11">
          <cell r="A11" t="str">
            <v>GEO/TIME</v>
          </cell>
        </row>
      </sheetData>
      <sheetData sheetId="13"/>
      <sheetData sheetId="14">
        <row r="1">
          <cell r="B1" t="str">
            <v>Compensation of employees - Wages and salaries ;</v>
          </cell>
        </row>
      </sheetData>
      <sheetData sheetId="15">
        <row r="1">
          <cell r="B1" t="str">
            <v>Agriculture, forestry and fishing (A) ;  Agriculture ;</v>
          </cell>
        </row>
        <row r="12">
          <cell r="DF12">
            <v>1.1000000000000001</v>
          </cell>
        </row>
        <row r="13">
          <cell r="DF13">
            <v>1.3</v>
          </cell>
        </row>
        <row r="14">
          <cell r="DF14">
            <v>1.3</v>
          </cell>
        </row>
        <row r="15">
          <cell r="DF15">
            <v>0.9</v>
          </cell>
        </row>
        <row r="16">
          <cell r="DF16">
            <v>0.2</v>
          </cell>
        </row>
        <row r="17">
          <cell r="DF17">
            <v>-0.5</v>
          </cell>
        </row>
        <row r="18">
          <cell r="DF18">
            <v>-0.7</v>
          </cell>
        </row>
        <row r="19">
          <cell r="DF19">
            <v>-0.2</v>
          </cell>
        </row>
        <row r="20">
          <cell r="DF20">
            <v>1.1000000000000001</v>
          </cell>
        </row>
        <row r="21">
          <cell r="DF21">
            <v>2</v>
          </cell>
        </row>
        <row r="22">
          <cell r="DF22">
            <v>1.9</v>
          </cell>
        </row>
        <row r="23">
          <cell r="DF23">
            <v>1.7</v>
          </cell>
        </row>
        <row r="24">
          <cell r="DF24">
            <v>1.3</v>
          </cell>
        </row>
        <row r="25">
          <cell r="DF25">
            <v>1.1000000000000001</v>
          </cell>
        </row>
        <row r="26">
          <cell r="DF26">
            <v>1.5</v>
          </cell>
        </row>
        <row r="27">
          <cell r="DF27">
            <v>1.8</v>
          </cell>
        </row>
        <row r="28">
          <cell r="DF28">
            <v>1.9</v>
          </cell>
        </row>
        <row r="29">
          <cell r="DF29">
            <v>1.5</v>
          </cell>
        </row>
        <row r="30">
          <cell r="DF30">
            <v>1.2</v>
          </cell>
        </row>
        <row r="31">
          <cell r="DF31">
            <v>1.6</v>
          </cell>
        </row>
        <row r="32">
          <cell r="DF32">
            <v>1.9</v>
          </cell>
        </row>
        <row r="33">
          <cell r="DF33">
            <v>1.5</v>
          </cell>
        </row>
        <row r="34">
          <cell r="DF34">
            <v>1</v>
          </cell>
        </row>
        <row r="35">
          <cell r="DF35">
            <v>0.2</v>
          </cell>
        </row>
        <row r="36">
          <cell r="DF36">
            <v>-0.1</v>
          </cell>
        </row>
        <row r="37">
          <cell r="DF37">
            <v>0.4</v>
          </cell>
        </row>
        <row r="38">
          <cell r="DF38">
            <v>1.1000000000000001</v>
          </cell>
        </row>
        <row r="39">
          <cell r="DF39">
            <v>2</v>
          </cell>
        </row>
        <row r="40">
          <cell r="DF40">
            <v>2.2000000000000002</v>
          </cell>
        </row>
        <row r="41">
          <cell r="DF41">
            <v>1.9</v>
          </cell>
        </row>
        <row r="42">
          <cell r="DF42">
            <v>1.6</v>
          </cell>
        </row>
        <row r="43">
          <cell r="DF43">
            <v>0.9</v>
          </cell>
        </row>
        <row r="44">
          <cell r="DF44">
            <v>0.6</v>
          </cell>
        </row>
        <row r="45">
          <cell r="DF45">
            <v>1</v>
          </cell>
        </row>
        <row r="46">
          <cell r="DF46">
            <v>1.9</v>
          </cell>
        </row>
        <row r="47">
          <cell r="DF47">
            <v>2.5</v>
          </cell>
        </row>
        <row r="48">
          <cell r="DF48">
            <v>2</v>
          </cell>
        </row>
        <row r="49">
          <cell r="DF49">
            <v>1.2</v>
          </cell>
        </row>
        <row r="50">
          <cell r="DF50">
            <v>1.3</v>
          </cell>
        </row>
        <row r="51">
          <cell r="DF51">
            <v>1.7</v>
          </cell>
        </row>
        <row r="52">
          <cell r="DF52">
            <v>2.2999999999999998</v>
          </cell>
        </row>
        <row r="53">
          <cell r="DF53">
            <v>1.9</v>
          </cell>
        </row>
        <row r="54">
          <cell r="DF54">
            <v>1.4</v>
          </cell>
        </row>
        <row r="55">
          <cell r="DF55">
            <v>0.9</v>
          </cell>
        </row>
        <row r="56">
          <cell r="DF56">
            <v>0.4</v>
          </cell>
        </row>
        <row r="57">
          <cell r="DF57">
            <v>0.7</v>
          </cell>
        </row>
        <row r="58">
          <cell r="DF58">
            <v>1.3</v>
          </cell>
        </row>
        <row r="59">
          <cell r="DF59">
            <v>1.1000000000000001</v>
          </cell>
        </row>
        <row r="60">
          <cell r="DF60">
            <v>0.8</v>
          </cell>
        </row>
        <row r="61">
          <cell r="DF61">
            <v>0.2</v>
          </cell>
        </row>
        <row r="62">
          <cell r="DF62">
            <v>0.1</v>
          </cell>
        </row>
        <row r="63">
          <cell r="DF63">
            <v>0.8</v>
          </cell>
        </row>
        <row r="64">
          <cell r="DF64">
            <v>1.2</v>
          </cell>
        </row>
        <row r="65">
          <cell r="DF65">
            <v>1.2</v>
          </cell>
        </row>
        <row r="66">
          <cell r="DF66">
            <v>1.4</v>
          </cell>
        </row>
        <row r="67">
          <cell r="DF67">
            <v>1.4</v>
          </cell>
        </row>
        <row r="68">
          <cell r="DF68">
            <v>1</v>
          </cell>
        </row>
        <row r="69">
          <cell r="DF69">
            <v>0.3</v>
          </cell>
        </row>
        <row r="70">
          <cell r="DF70">
            <v>-0.4</v>
          </cell>
        </row>
        <row r="71">
          <cell r="DF71">
            <v>-0.4</v>
          </cell>
        </row>
        <row r="72">
          <cell r="DF72">
            <v>0.6</v>
          </cell>
        </row>
        <row r="73">
          <cell r="DF73">
            <v>1.3</v>
          </cell>
        </row>
        <row r="74">
          <cell r="DF74">
            <v>0.6</v>
          </cell>
        </row>
        <row r="75">
          <cell r="DF75">
            <v>0.2</v>
          </cell>
        </row>
        <row r="76">
          <cell r="DF76">
            <v>0.5</v>
          </cell>
        </row>
        <row r="77">
          <cell r="DF77">
            <v>1.2</v>
          </cell>
        </row>
        <row r="78">
          <cell r="DF78">
            <v>1.7</v>
          </cell>
        </row>
        <row r="79">
          <cell r="DF79">
            <v>0.9</v>
          </cell>
        </row>
        <row r="80">
          <cell r="DF80">
            <v>0.3</v>
          </cell>
        </row>
        <row r="81">
          <cell r="DF81">
            <v>0.4</v>
          </cell>
        </row>
        <row r="82">
          <cell r="DF82">
            <v>0.2</v>
          </cell>
        </row>
        <row r="83">
          <cell r="DF83">
            <v>0</v>
          </cell>
        </row>
        <row r="84">
          <cell r="DF84">
            <v>0</v>
          </cell>
        </row>
        <row r="85">
          <cell r="DF85">
            <v>0.4</v>
          </cell>
        </row>
        <row r="86">
          <cell r="DF86">
            <v>0.9</v>
          </cell>
        </row>
        <row r="87">
          <cell r="DF87">
            <v>1.4</v>
          </cell>
        </row>
        <row r="88">
          <cell r="DF88">
            <v>1.4</v>
          </cell>
        </row>
        <row r="89">
          <cell r="DF89">
            <v>0.9</v>
          </cell>
        </row>
        <row r="90">
          <cell r="DF90">
            <v>0.5</v>
          </cell>
        </row>
        <row r="91">
          <cell r="DF91">
            <v>0.6</v>
          </cell>
        </row>
        <row r="92">
          <cell r="DF92">
            <v>0.9</v>
          </cell>
        </row>
        <row r="93">
          <cell r="DF93">
            <v>0.9</v>
          </cell>
        </row>
        <row r="94">
          <cell r="DF94">
            <v>0.5</v>
          </cell>
        </row>
        <row r="95">
          <cell r="DF95">
            <v>0.7</v>
          </cell>
        </row>
        <row r="96">
          <cell r="DF96">
            <v>0.9</v>
          </cell>
        </row>
        <row r="97">
          <cell r="DF97">
            <v>1.3</v>
          </cell>
        </row>
        <row r="98">
          <cell r="DF98">
            <v>1.4</v>
          </cell>
        </row>
        <row r="99">
          <cell r="DF99">
            <v>1</v>
          </cell>
        </row>
        <row r="100">
          <cell r="DF100">
            <v>0.3</v>
          </cell>
        </row>
        <row r="101">
          <cell r="DF101">
            <v>-0.1</v>
          </cell>
        </row>
        <row r="102">
          <cell r="DF102">
            <v>-0.2</v>
          </cell>
        </row>
        <row r="103">
          <cell r="DF103">
            <v>-0.5</v>
          </cell>
        </row>
        <row r="104">
          <cell r="DF104">
            <v>-1.2</v>
          </cell>
        </row>
        <row r="105">
          <cell r="DF105">
            <v>-1</v>
          </cell>
        </row>
        <row r="106">
          <cell r="DF106">
            <v>0.3</v>
          </cell>
        </row>
        <row r="107">
          <cell r="DF107">
            <v>1.7</v>
          </cell>
        </row>
        <row r="108">
          <cell r="DF108">
            <v>2.2999999999999998</v>
          </cell>
        </row>
        <row r="109">
          <cell r="DF109">
            <v>2</v>
          </cell>
        </row>
        <row r="110">
          <cell r="DF110">
            <v>1.4</v>
          </cell>
        </row>
        <row r="111">
          <cell r="DF111">
            <v>0.9</v>
          </cell>
        </row>
        <row r="112">
          <cell r="DF112">
            <v>0.9</v>
          </cell>
        </row>
        <row r="113">
          <cell r="DF113">
            <v>1.5</v>
          </cell>
        </row>
        <row r="114">
          <cell r="DF114">
            <v>1.7</v>
          </cell>
        </row>
        <row r="115">
          <cell r="DF115">
            <v>1.3</v>
          </cell>
        </row>
        <row r="116">
          <cell r="DF116">
            <v>0.5</v>
          </cell>
        </row>
        <row r="117">
          <cell r="DF117">
            <v>0</v>
          </cell>
        </row>
        <row r="118">
          <cell r="DF118">
            <v>0.1</v>
          </cell>
        </row>
        <row r="119">
          <cell r="DF119">
            <v>0.6</v>
          </cell>
        </row>
        <row r="120">
          <cell r="DF120">
            <v>1</v>
          </cell>
        </row>
        <row r="121">
          <cell r="DF121">
            <v>1.4</v>
          </cell>
        </row>
        <row r="122">
          <cell r="DF122">
            <v>1.6</v>
          </cell>
        </row>
        <row r="123">
          <cell r="DF123">
            <v>1.8</v>
          </cell>
        </row>
        <row r="124">
          <cell r="DF124">
            <v>1.5</v>
          </cell>
        </row>
        <row r="125">
          <cell r="DF125">
            <v>0.8</v>
          </cell>
        </row>
        <row r="126">
          <cell r="DF126">
            <v>0.4</v>
          </cell>
        </row>
        <row r="127">
          <cell r="DF127">
            <v>0.7</v>
          </cell>
        </row>
        <row r="128">
          <cell r="DF128">
            <v>1.2</v>
          </cell>
        </row>
        <row r="129">
          <cell r="DF129">
            <v>1.6</v>
          </cell>
        </row>
        <row r="130">
          <cell r="DF130">
            <v>1.4</v>
          </cell>
        </row>
        <row r="131">
          <cell r="DF131">
            <v>0.9</v>
          </cell>
        </row>
        <row r="132">
          <cell r="DF132">
            <v>0.5</v>
          </cell>
        </row>
        <row r="133">
          <cell r="DF133">
            <v>0.2</v>
          </cell>
        </row>
        <row r="134">
          <cell r="DF134">
            <v>0.2</v>
          </cell>
        </row>
        <row r="135">
          <cell r="DF135">
            <v>0</v>
          </cell>
        </row>
        <row r="136">
          <cell r="DF136">
            <v>-0.4</v>
          </cell>
        </row>
        <row r="137">
          <cell r="DF137">
            <v>-0.4</v>
          </cell>
        </row>
        <row r="138">
          <cell r="DF138">
            <v>-0.3</v>
          </cell>
        </row>
        <row r="139">
          <cell r="DF139">
            <v>0.1</v>
          </cell>
        </row>
        <row r="140">
          <cell r="DF140">
            <v>0.4</v>
          </cell>
        </row>
        <row r="141">
          <cell r="DF141">
            <v>0.5</v>
          </cell>
        </row>
        <row r="142">
          <cell r="DF142">
            <v>0.9</v>
          </cell>
        </row>
        <row r="143">
          <cell r="DF143">
            <v>1.3</v>
          </cell>
        </row>
        <row r="144">
          <cell r="DF144">
            <v>1.4</v>
          </cell>
        </row>
        <row r="145">
          <cell r="DF145">
            <v>1</v>
          </cell>
        </row>
        <row r="146">
          <cell r="DF146">
            <v>0.5</v>
          </cell>
        </row>
        <row r="147">
          <cell r="DF147">
            <v>0.7</v>
          </cell>
        </row>
        <row r="148">
          <cell r="DF148">
            <v>1.3</v>
          </cell>
        </row>
        <row r="149">
          <cell r="DF149">
            <v>1.6</v>
          </cell>
        </row>
        <row r="150">
          <cell r="DF150">
            <v>1.4</v>
          </cell>
        </row>
        <row r="151">
          <cell r="DF151">
            <v>0.9</v>
          </cell>
        </row>
        <row r="152">
          <cell r="DF152">
            <v>0.5</v>
          </cell>
        </row>
        <row r="153">
          <cell r="DF153">
            <v>0.5</v>
          </cell>
        </row>
        <row r="154">
          <cell r="DF154">
            <v>0.7</v>
          </cell>
        </row>
        <row r="155">
          <cell r="DF155">
            <v>1.1000000000000001</v>
          </cell>
        </row>
        <row r="156">
          <cell r="DF156">
            <v>1.2</v>
          </cell>
        </row>
        <row r="157">
          <cell r="DF157">
            <v>1</v>
          </cell>
        </row>
        <row r="158">
          <cell r="DF158">
            <v>0.9</v>
          </cell>
        </row>
        <row r="159">
          <cell r="DF159">
            <v>0.8</v>
          </cell>
        </row>
        <row r="160">
          <cell r="DF160">
            <v>0.9</v>
          </cell>
        </row>
        <row r="161">
          <cell r="DF161">
            <v>1.3</v>
          </cell>
        </row>
        <row r="162">
          <cell r="DF162">
            <v>1.5</v>
          </cell>
        </row>
        <row r="163">
          <cell r="DF163">
            <v>1.3</v>
          </cell>
        </row>
        <row r="164">
          <cell r="DF164">
            <v>0.9</v>
          </cell>
        </row>
        <row r="165">
          <cell r="DF165">
            <v>0.9</v>
          </cell>
        </row>
        <row r="166">
          <cell r="DF166">
            <v>1.3</v>
          </cell>
        </row>
        <row r="167">
          <cell r="DF167">
            <v>1.5</v>
          </cell>
        </row>
        <row r="168">
          <cell r="DF168">
            <v>1.3</v>
          </cell>
        </row>
        <row r="169">
          <cell r="DF169">
            <v>0.9</v>
          </cell>
        </row>
        <row r="170">
          <cell r="DF170">
            <v>0.8</v>
          </cell>
        </row>
        <row r="171">
          <cell r="DF171">
            <v>1</v>
          </cell>
        </row>
        <row r="172">
          <cell r="DF172">
            <v>1.2</v>
          </cell>
        </row>
        <row r="173">
          <cell r="DF173">
            <v>1</v>
          </cell>
        </row>
        <row r="174">
          <cell r="DF174">
            <v>0.5</v>
          </cell>
        </row>
        <row r="175">
          <cell r="DF175">
            <v>0.2</v>
          </cell>
        </row>
        <row r="176">
          <cell r="DF176">
            <v>0.2</v>
          </cell>
        </row>
        <row r="177">
          <cell r="DF177">
            <v>0.5</v>
          </cell>
        </row>
        <row r="178">
          <cell r="DF178">
            <v>1</v>
          </cell>
        </row>
        <row r="179">
          <cell r="DF179">
            <v>1.1000000000000001</v>
          </cell>
        </row>
        <row r="180">
          <cell r="DF180">
            <v>1.1000000000000001</v>
          </cell>
        </row>
        <row r="181">
          <cell r="DF181">
            <v>1.2</v>
          </cell>
        </row>
        <row r="182">
          <cell r="DF182">
            <v>1.1000000000000001</v>
          </cell>
        </row>
        <row r="183">
          <cell r="DF183">
            <v>0.8</v>
          </cell>
        </row>
        <row r="184">
          <cell r="DF184">
            <v>0.4</v>
          </cell>
        </row>
        <row r="185">
          <cell r="DF185">
            <v>0.2</v>
          </cell>
        </row>
        <row r="186">
          <cell r="DF186">
            <v>0.7</v>
          </cell>
        </row>
        <row r="187">
          <cell r="DF187">
            <v>1.2</v>
          </cell>
        </row>
        <row r="188">
          <cell r="DF188">
            <v>1.5</v>
          </cell>
        </row>
        <row r="189">
          <cell r="DF189">
            <v>1.2</v>
          </cell>
        </row>
        <row r="190">
          <cell r="DF190">
            <v>0.8</v>
          </cell>
        </row>
        <row r="191">
          <cell r="DF191">
            <v>0.7</v>
          </cell>
        </row>
        <row r="192">
          <cell r="DF192">
            <v>0.7</v>
          </cell>
        </row>
        <row r="193">
          <cell r="DF193">
            <v>0.7</v>
          </cell>
        </row>
        <row r="194">
          <cell r="DF194">
            <v>0.8</v>
          </cell>
        </row>
        <row r="195">
          <cell r="DF195">
            <v>0.8</v>
          </cell>
        </row>
        <row r="196">
          <cell r="DF196">
            <v>0.7</v>
          </cell>
        </row>
        <row r="197">
          <cell r="DF197">
            <v>0.5</v>
          </cell>
        </row>
        <row r="198">
          <cell r="DF198">
            <v>0.6</v>
          </cell>
        </row>
        <row r="199">
          <cell r="DF199">
            <v>1</v>
          </cell>
        </row>
        <row r="200">
          <cell r="DF200">
            <v>1.3</v>
          </cell>
        </row>
        <row r="201">
          <cell r="DF201">
            <v>1.2</v>
          </cell>
        </row>
        <row r="202">
          <cell r="DF202">
            <v>1</v>
          </cell>
        </row>
        <row r="203">
          <cell r="DF203">
            <v>0.9</v>
          </cell>
        </row>
        <row r="204">
          <cell r="DF204">
            <v>0.8</v>
          </cell>
        </row>
        <row r="205">
          <cell r="DF205">
            <v>0.8</v>
          </cell>
        </row>
        <row r="206">
          <cell r="DF206">
            <v>0.5</v>
          </cell>
        </row>
        <row r="207">
          <cell r="DF207">
            <v>0.3</v>
          </cell>
        </row>
        <row r="208">
          <cell r="DF208">
            <v>0.3</v>
          </cell>
        </row>
        <row r="209">
          <cell r="DF209">
            <v>0.5</v>
          </cell>
        </row>
        <row r="210">
          <cell r="DF210">
            <v>0.6</v>
          </cell>
        </row>
        <row r="211">
          <cell r="DF211">
            <v>0.6</v>
          </cell>
        </row>
        <row r="212">
          <cell r="DF212">
            <v>0.5</v>
          </cell>
        </row>
        <row r="213">
          <cell r="DF213">
            <v>0.6</v>
          </cell>
        </row>
        <row r="214">
          <cell r="DF214">
            <v>0.7</v>
          </cell>
        </row>
        <row r="215">
          <cell r="DF215">
            <v>0.7</v>
          </cell>
        </row>
        <row r="216">
          <cell r="DF216">
            <v>0.5</v>
          </cell>
        </row>
        <row r="217">
          <cell r="DF217">
            <v>0.5</v>
          </cell>
        </row>
        <row r="218">
          <cell r="DF218">
            <v>0.8</v>
          </cell>
        </row>
        <row r="219">
          <cell r="DF219">
            <v>1.1000000000000001</v>
          </cell>
        </row>
        <row r="220">
          <cell r="DF220">
            <v>1.3</v>
          </cell>
        </row>
        <row r="221">
          <cell r="DF221">
            <v>1</v>
          </cell>
        </row>
        <row r="222">
          <cell r="DF222">
            <v>0.8</v>
          </cell>
        </row>
        <row r="223">
          <cell r="DF223">
            <v>0.6</v>
          </cell>
        </row>
        <row r="224">
          <cell r="DF224">
            <v>0.4</v>
          </cell>
        </row>
        <row r="225">
          <cell r="DF225">
            <v>0.4</v>
          </cell>
        </row>
        <row r="226">
          <cell r="DF226">
            <v>0.5</v>
          </cell>
        </row>
        <row r="227">
          <cell r="DF227">
            <v>0.7</v>
          </cell>
        </row>
        <row r="228">
          <cell r="DF228">
            <v>0.8</v>
          </cell>
        </row>
        <row r="229">
          <cell r="DF229">
            <v>0.7</v>
          </cell>
        </row>
        <row r="230">
          <cell r="DF230">
            <v>0.6</v>
          </cell>
        </row>
        <row r="231">
          <cell r="DF231">
            <v>0.5</v>
          </cell>
        </row>
        <row r="232">
          <cell r="DF232">
            <v>0.6</v>
          </cell>
        </row>
        <row r="233">
          <cell r="DF233">
            <v>0.6</v>
          </cell>
        </row>
        <row r="234">
          <cell r="DF234">
            <v>0.6</v>
          </cell>
        </row>
        <row r="235">
          <cell r="DF235">
            <v>0.6</v>
          </cell>
        </row>
        <row r="236">
          <cell r="DF236">
            <v>0.8</v>
          </cell>
        </row>
        <row r="237">
          <cell r="DF237">
            <v>0.8</v>
          </cell>
        </row>
        <row r="238">
          <cell r="DF238">
            <v>0.6</v>
          </cell>
        </row>
        <row r="239">
          <cell r="DF239">
            <v>0.4</v>
          </cell>
        </row>
        <row r="240">
          <cell r="DF240">
            <v>0.4</v>
          </cell>
        </row>
        <row r="241">
          <cell r="DF241">
            <v>0.6</v>
          </cell>
        </row>
        <row r="242">
          <cell r="DF242">
            <v>0.7</v>
          </cell>
        </row>
        <row r="243">
          <cell r="DF243">
            <v>0.6</v>
          </cell>
        </row>
        <row r="244">
          <cell r="DF244">
            <v>0.6</v>
          </cell>
        </row>
      </sheetData>
      <sheetData sheetId="16">
        <row r="1">
          <cell r="B1" t="str">
            <v>Information media and telecommunications (J) ;  Telecommunications services ;</v>
          </cell>
        </row>
      </sheetData>
      <sheetData sheetId="17">
        <row r="1">
          <cell r="B1" t="str">
            <v>Gross operating surplus ;</v>
          </cell>
        </row>
      </sheetData>
      <sheetData sheetId="18">
        <row r="1">
          <cell r="B1" t="str">
            <v>Gross operating surplus ;</v>
          </cell>
        </row>
      </sheetData>
      <sheetData sheetId="19"/>
      <sheetData sheetId="20"/>
      <sheetData sheetId="21">
        <row r="13">
          <cell r="C13">
            <v>1328.1</v>
          </cell>
        </row>
      </sheetData>
      <sheetData sheetId="22"/>
      <sheetData sheetId="23"/>
      <sheetData sheetId="24">
        <row r="13">
          <cell r="C13">
            <v>590</v>
          </cell>
        </row>
      </sheetData>
      <sheetData sheetId="25">
        <row r="13">
          <cell r="C13">
            <v>56.8</v>
          </cell>
        </row>
      </sheetData>
      <sheetData sheetId="26">
        <row r="13">
          <cell r="C13">
            <v>1014</v>
          </cell>
        </row>
      </sheetData>
      <sheetData sheetId="27"/>
      <sheetData sheetId="28"/>
      <sheetData sheetId="29">
        <row r="14">
          <cell r="B14">
            <v>0</v>
          </cell>
        </row>
      </sheetData>
      <sheetData sheetId="30">
        <row r="14">
          <cell r="B14">
            <v>0</v>
          </cell>
        </row>
      </sheetData>
      <sheetData sheetId="31"/>
      <sheetData sheetId="32"/>
      <sheetData sheetId="33">
        <row r="13">
          <cell r="B13">
            <v>8274</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A12" t="str">
            <v>European Union (current composition)</v>
          </cell>
        </row>
      </sheetData>
      <sheetData sheetId="48">
        <row r="11">
          <cell r="A11" t="str">
            <v>GEO/TIME</v>
          </cell>
        </row>
      </sheetData>
      <sheetData sheetId="49">
        <row r="12">
          <cell r="A12" t="str">
            <v>European Union (current composition)</v>
          </cell>
        </row>
      </sheetData>
      <sheetData sheetId="50">
        <row r="12">
          <cell r="A12" t="str">
            <v>European Union (current composition)</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78">
          <cell r="AM78">
            <v>20941.8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3" Type="http://schemas.openxmlformats.org/officeDocument/2006/relationships/hyperlink" Target="http://stats.oecd.org/OECDStat_Metadata/ShowMetadata.ashx?Dataset=FDI_POS_AGGR&amp;Coords=%5BCOU%5D.%5BRUS%5D&amp;ShowOnWeb=true&amp;Lang=en" TargetMode="External"/><Relationship Id="rId2" Type="http://schemas.openxmlformats.org/officeDocument/2006/relationships/hyperlink" Target="http://stats.oecd.org/OECDStat_Metadata/ShowMetadata.ashx?Dataset=FDI_POS_AGGR&amp;Coords=%5BCOU%5D.%5BZAF%5D&amp;ShowOnWeb=true&amp;Lang=en" TargetMode="External"/><Relationship Id="rId1" Type="http://schemas.openxmlformats.org/officeDocument/2006/relationships/hyperlink" Target="http://stats.oecd.org/OECDStat_Metadata/ShowMetadata.ashx?Dataset=FDI_INC_AGGR&amp;Coords=%5BCOU%5D.%5BBRA%5D&amp;ShowOnWeb=true&amp;Lang=en" TargetMode="External"/><Relationship Id="rId4" Type="http://schemas.openxmlformats.org/officeDocument/2006/relationships/hyperlink" Target="http://stats.oecd.org/OECDStat_Metadata/ShowMetadata.ashx?Dataset=FDI_POS_AGGR&amp;Coords=%5BCOU%5D.%5BIND%5D&amp;ShowOnWeb=true&amp;Lang=en"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tats.oecd.org/OECDStat_Metadata/ShowMetadata.ashx?Dataset=FDI_POS_AGGR&amp;Coords=%5BCOU%5D.%5BRUS%5D&amp;ShowOnWeb=true&amp;Lang=en" TargetMode="External"/><Relationship Id="rId2" Type="http://schemas.openxmlformats.org/officeDocument/2006/relationships/hyperlink" Target="http://stats.oecd.org/OECDStat_Metadata/ShowMetadata.ashx?Dataset=FDI_POS_AGGR&amp;Coords=%5BCOU%5D.%5BZAF%5D&amp;ShowOnWeb=true&amp;Lang=en" TargetMode="External"/><Relationship Id="rId1" Type="http://schemas.openxmlformats.org/officeDocument/2006/relationships/hyperlink" Target="http://stats.oecd.org/OECDStat_Metadata/ShowMetadata.ashx?Dataset=FDI_INC_AGGR&amp;Coords=%5BCOU%5D.%5BBRA%5D&amp;ShowOnWeb=true&amp;Lang=en" TargetMode="External"/><Relationship Id="rId4" Type="http://schemas.openxmlformats.org/officeDocument/2006/relationships/hyperlink" Target="http://stats.oecd.org/OECDStat_Metadata/ShowMetadata.ashx?Dataset=FDI_POS_AGGR&amp;Coords=%5BCOU%5D.%5BIND%5D&amp;ShowOnWeb=true&amp;Lang=e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tats.oecd.org/OECDStat_Metadata/ShowMetadata.ashx?Dataset=FDI_POS_AGGR&amp;Coords=%5BCOU%5D.%5BRUS%5D&amp;ShowOnWeb=true&amp;Lang=en" TargetMode="External"/><Relationship Id="rId2" Type="http://schemas.openxmlformats.org/officeDocument/2006/relationships/hyperlink" Target="http://stats.oecd.org/OECDStat_Metadata/ShowMetadata.ashx?Dataset=FDI_POS_AGGR&amp;Coords=%5BCOU%5D.%5BZAF%5D&amp;ShowOnWeb=true&amp;Lang=en" TargetMode="External"/><Relationship Id="rId1" Type="http://schemas.openxmlformats.org/officeDocument/2006/relationships/hyperlink" Target="http://stats.oecd.org/OECDStat_Metadata/ShowMetadata.ashx?Dataset=FDI_INC_AGGR&amp;Coords=%5BCOU%5D.%5BBRA%5D&amp;ShowOnWeb=true&amp;Lang=en"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hyperlink" Target="http://stats.oecd.org/OECDStat_Metadata/ShowMetadata.ashx?Dataset=FDI_POS_AGGR&amp;Coords=%5BCOU%5D.%5BIND%5D&amp;ShowOnWeb=true&amp;Lang=en"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
  <sheetViews>
    <sheetView workbookViewId="0">
      <selection activeCell="I16" sqref="I16"/>
    </sheetView>
  </sheetViews>
  <sheetFormatPr baseColWidth="10" defaultColWidth="11" defaultRowHeight="16" x14ac:dyDescent="0.2"/>
  <sheetData/>
  <pageMargins left="0.75" right="0.75" top="1" bottom="1" header="0.5" footer="0.5"/>
  <pageSetup orientation="portrait" horizontalDpi="0" verticalDpi="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O68"/>
  <sheetViews>
    <sheetView workbookViewId="0">
      <pane xSplit="1" ySplit="8" topLeftCell="B54" activePane="bottomRight" state="frozen"/>
      <selection pane="topRight" activeCell="B1" sqref="B1"/>
      <selection pane="bottomLeft" activeCell="A10" sqref="A10"/>
      <selection pane="bottomRight" activeCell="G65" sqref="G65"/>
    </sheetView>
  </sheetViews>
  <sheetFormatPr baseColWidth="10" defaultColWidth="10.83203125" defaultRowHeight="16" x14ac:dyDescent="0.2"/>
  <cols>
    <col min="1" max="1" width="19" style="1" customWidth="1"/>
    <col min="2" max="22" width="10.83203125" style="1"/>
    <col min="23" max="23" width="19" style="1" customWidth="1"/>
    <col min="24" max="38" width="11.33203125" style="1" customWidth="1"/>
    <col min="39" max="16384" width="10.83203125" style="1"/>
  </cols>
  <sheetData>
    <row r="1" spans="1:41" x14ac:dyDescent="0.2">
      <c r="A1" s="958"/>
      <c r="B1" s="958"/>
      <c r="C1" s="958"/>
      <c r="D1" s="958"/>
      <c r="E1" s="958"/>
      <c r="F1" s="958"/>
      <c r="G1" s="958"/>
      <c r="H1" s="958"/>
      <c r="I1" s="958"/>
      <c r="J1" s="958"/>
      <c r="K1" s="958"/>
      <c r="L1" s="958"/>
      <c r="M1" s="958"/>
      <c r="N1" s="958"/>
      <c r="O1" s="958"/>
      <c r="P1" s="958"/>
      <c r="Q1" s="958"/>
      <c r="R1" s="958"/>
      <c r="S1" s="958"/>
      <c r="T1" s="958"/>
      <c r="U1" s="958"/>
      <c r="V1" s="958"/>
      <c r="W1" s="958" t="s">
        <v>219</v>
      </c>
      <c r="X1" s="958"/>
      <c r="Y1" s="958"/>
      <c r="Z1" s="958"/>
      <c r="AA1" s="958"/>
      <c r="AB1" s="958"/>
      <c r="AC1" s="958"/>
      <c r="AD1" s="958"/>
      <c r="AE1" s="958"/>
      <c r="AF1" s="958"/>
      <c r="AG1" s="958"/>
      <c r="AH1" s="958"/>
      <c r="AI1" s="958"/>
      <c r="AJ1" s="958"/>
      <c r="AK1" s="958"/>
      <c r="AL1" s="958"/>
      <c r="AM1" s="958"/>
      <c r="AN1" s="958"/>
      <c r="AO1" s="958"/>
    </row>
    <row r="2" spans="1:41" ht="17" thickBot="1" x14ac:dyDescent="0.25">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row>
    <row r="3" spans="1:41" ht="32.25" customHeight="1" thickTop="1" x14ac:dyDescent="0.2">
      <c r="A3" s="2073" t="s">
        <v>220</v>
      </c>
      <c r="B3" s="2074"/>
      <c r="C3" s="2074"/>
      <c r="D3" s="2074"/>
      <c r="E3" s="2074"/>
      <c r="F3" s="2074"/>
      <c r="G3" s="2074"/>
      <c r="H3" s="2074"/>
      <c r="I3" s="2074"/>
      <c r="J3" s="2074"/>
      <c r="K3" s="2074"/>
      <c r="L3" s="2074"/>
      <c r="M3" s="2074"/>
      <c r="N3" s="2074"/>
      <c r="O3" s="2074"/>
      <c r="P3" s="2075"/>
      <c r="Q3" s="958"/>
      <c r="R3" s="958"/>
      <c r="S3" s="958"/>
      <c r="T3" s="958"/>
      <c r="U3" s="958"/>
      <c r="V3" s="958"/>
      <c r="W3" s="1934" t="s">
        <v>221</v>
      </c>
      <c r="X3" s="1935"/>
      <c r="Y3" s="1935"/>
      <c r="Z3" s="1935"/>
      <c r="AA3" s="1935"/>
      <c r="AB3" s="1935"/>
      <c r="AC3" s="1935"/>
      <c r="AD3" s="1935"/>
      <c r="AE3" s="1935"/>
      <c r="AF3" s="1935"/>
      <c r="AG3" s="1935"/>
      <c r="AH3" s="1935"/>
      <c r="AI3" s="1935"/>
      <c r="AJ3" s="1935"/>
      <c r="AK3" s="1935"/>
      <c r="AL3" s="1936"/>
      <c r="AM3" s="958"/>
      <c r="AN3" s="958"/>
      <c r="AO3" s="958"/>
    </row>
    <row r="4" spans="1:41" ht="12" customHeight="1" x14ac:dyDescent="0.2">
      <c r="A4" s="118"/>
      <c r="B4" s="620"/>
      <c r="C4" s="620"/>
      <c r="D4" s="620"/>
      <c r="E4" s="620"/>
      <c r="F4" s="620"/>
      <c r="G4" s="620"/>
      <c r="H4" s="620"/>
      <c r="I4" s="620"/>
      <c r="J4" s="620"/>
      <c r="K4" s="620"/>
      <c r="L4" s="620"/>
      <c r="M4" s="620"/>
      <c r="N4" s="620"/>
      <c r="O4" s="620"/>
      <c r="P4" s="686"/>
      <c r="Q4" s="958"/>
      <c r="R4" s="958"/>
      <c r="S4" s="958"/>
      <c r="T4" s="958"/>
      <c r="U4" s="958"/>
      <c r="V4" s="958"/>
      <c r="W4" s="4"/>
      <c r="X4" s="620"/>
      <c r="Y4" s="620"/>
      <c r="Z4" s="620"/>
      <c r="AA4" s="620"/>
      <c r="AB4" s="620"/>
      <c r="AC4" s="620"/>
      <c r="AD4" s="620"/>
      <c r="AE4" s="620"/>
      <c r="AF4" s="620"/>
      <c r="AG4" s="620"/>
      <c r="AH4" s="620"/>
      <c r="AI4" s="620"/>
      <c r="AJ4" s="620"/>
      <c r="AK4" s="620"/>
      <c r="AL4" s="5"/>
      <c r="AM4" s="958"/>
      <c r="AN4" s="958"/>
      <c r="AO4" s="958"/>
    </row>
    <row r="5" spans="1:41" ht="17" thickBot="1" x14ac:dyDescent="0.25">
      <c r="A5" s="959"/>
      <c r="B5" s="3" t="s">
        <v>1</v>
      </c>
      <c r="C5" s="3" t="s">
        <v>2</v>
      </c>
      <c r="D5" s="3" t="s">
        <v>3</v>
      </c>
      <c r="E5" s="3" t="s">
        <v>4</v>
      </c>
      <c r="F5" s="3" t="s">
        <v>5</v>
      </c>
      <c r="G5" s="3" t="s">
        <v>6</v>
      </c>
      <c r="H5" s="3" t="s">
        <v>7</v>
      </c>
      <c r="I5" s="3" t="s">
        <v>8</v>
      </c>
      <c r="J5" s="3" t="s">
        <v>9</v>
      </c>
      <c r="K5" s="3" t="s">
        <v>10</v>
      </c>
      <c r="L5" s="3" t="s">
        <v>11</v>
      </c>
      <c r="M5" s="3" t="s">
        <v>12</v>
      </c>
      <c r="N5" s="3" t="s">
        <v>13</v>
      </c>
      <c r="O5" s="3" t="s">
        <v>177</v>
      </c>
      <c r="P5" s="793" t="s">
        <v>178</v>
      </c>
      <c r="Q5" s="958"/>
      <c r="R5" s="958"/>
      <c r="S5" s="958"/>
      <c r="T5" s="958"/>
      <c r="U5" s="958"/>
      <c r="V5" s="958"/>
      <c r="W5" s="1154"/>
      <c r="X5" s="3" t="s">
        <v>1</v>
      </c>
      <c r="Y5" s="3" t="s">
        <v>2</v>
      </c>
      <c r="Z5" s="3" t="s">
        <v>3</v>
      </c>
      <c r="AA5" s="3" t="s">
        <v>4</v>
      </c>
      <c r="AB5" s="3" t="s">
        <v>5</v>
      </c>
      <c r="AC5" s="958"/>
      <c r="AD5" s="3" t="s">
        <v>7</v>
      </c>
      <c r="AE5" s="3" t="s">
        <v>8</v>
      </c>
      <c r="AF5" s="3"/>
      <c r="AG5" s="3"/>
      <c r="AH5" s="3"/>
      <c r="AI5" s="3"/>
      <c r="AJ5" s="3"/>
      <c r="AK5" s="958"/>
      <c r="AL5" s="6" t="s">
        <v>9</v>
      </c>
      <c r="AM5" s="958"/>
      <c r="AN5" s="958"/>
      <c r="AO5" s="958"/>
    </row>
    <row r="6" spans="1:41" ht="21" customHeight="1" x14ac:dyDescent="0.2">
      <c r="A6" s="959"/>
      <c r="B6" s="2076" t="s">
        <v>31</v>
      </c>
      <c r="C6" s="2077"/>
      <c r="D6" s="2077"/>
      <c r="E6" s="2078" t="s">
        <v>43</v>
      </c>
      <c r="F6" s="2078"/>
      <c r="G6" s="2078"/>
      <c r="H6" s="2077" t="s">
        <v>86</v>
      </c>
      <c r="I6" s="2077"/>
      <c r="J6" s="2077"/>
      <c r="K6" s="2077" t="s">
        <v>49</v>
      </c>
      <c r="L6" s="2077"/>
      <c r="M6" s="2077"/>
      <c r="N6" s="2077" t="s">
        <v>51</v>
      </c>
      <c r="O6" s="2077"/>
      <c r="P6" s="2079"/>
      <c r="Q6" s="958"/>
      <c r="R6" s="958"/>
      <c r="S6" s="958"/>
      <c r="T6" s="958"/>
      <c r="U6" s="958"/>
      <c r="V6" s="958"/>
      <c r="W6" s="1154"/>
      <c r="X6" s="2016" t="s">
        <v>31</v>
      </c>
      <c r="Y6" s="2017"/>
      <c r="Z6" s="2017"/>
      <c r="AA6" s="2016" t="s">
        <v>43</v>
      </c>
      <c r="AB6" s="2017"/>
      <c r="AC6" s="2017"/>
      <c r="AD6" s="2016" t="s">
        <v>86</v>
      </c>
      <c r="AE6" s="2017"/>
      <c r="AF6" s="2017"/>
      <c r="AG6" s="2016" t="s">
        <v>49</v>
      </c>
      <c r="AH6" s="2017"/>
      <c r="AI6" s="2017"/>
      <c r="AJ6" s="2016" t="s">
        <v>51</v>
      </c>
      <c r="AK6" s="2017"/>
      <c r="AL6" s="2056"/>
      <c r="AM6" s="958"/>
      <c r="AN6" s="958"/>
      <c r="AO6" s="958"/>
    </row>
    <row r="7" spans="1:41" ht="42" customHeight="1" x14ac:dyDescent="0.2">
      <c r="A7" s="2080"/>
      <c r="B7" s="2082" t="s">
        <v>222</v>
      </c>
      <c r="C7" s="2027" t="s">
        <v>223</v>
      </c>
      <c r="D7" s="2083" t="s">
        <v>224</v>
      </c>
      <c r="E7" s="2085" t="s">
        <v>222</v>
      </c>
      <c r="F7" s="2027" t="s">
        <v>225</v>
      </c>
      <c r="G7" s="2090" t="s">
        <v>224</v>
      </c>
      <c r="H7" s="2091" t="s">
        <v>222</v>
      </c>
      <c r="I7" s="2028" t="s">
        <v>226</v>
      </c>
      <c r="J7" s="2028" t="s">
        <v>224</v>
      </c>
      <c r="K7" s="2092" t="s">
        <v>222</v>
      </c>
      <c r="L7" s="2052" t="s">
        <v>227</v>
      </c>
      <c r="M7" s="2083" t="s">
        <v>224</v>
      </c>
      <c r="N7" s="2091" t="s">
        <v>222</v>
      </c>
      <c r="O7" s="2034" t="s">
        <v>228</v>
      </c>
      <c r="P7" s="2094" t="s">
        <v>224</v>
      </c>
      <c r="Q7" s="958"/>
      <c r="R7" s="958"/>
      <c r="S7" s="958"/>
      <c r="T7" s="958"/>
      <c r="U7" s="958"/>
      <c r="V7" s="958"/>
      <c r="W7" s="2072"/>
      <c r="X7" s="2067" t="s">
        <v>222</v>
      </c>
      <c r="Y7" s="2027" t="s">
        <v>223</v>
      </c>
      <c r="Z7" s="2027" t="s">
        <v>224</v>
      </c>
      <c r="AA7" s="2067" t="s">
        <v>222</v>
      </c>
      <c r="AB7" s="2027" t="s">
        <v>225</v>
      </c>
      <c r="AC7" s="2027" t="s">
        <v>224</v>
      </c>
      <c r="AD7" s="2067" t="s">
        <v>222</v>
      </c>
      <c r="AE7" s="2027" t="s">
        <v>226</v>
      </c>
      <c r="AF7" s="2027" t="s">
        <v>224</v>
      </c>
      <c r="AG7" s="2067" t="s">
        <v>222</v>
      </c>
      <c r="AH7" s="2052" t="s">
        <v>227</v>
      </c>
      <c r="AI7" s="2027" t="s">
        <v>224</v>
      </c>
      <c r="AJ7" s="2067" t="s">
        <v>222</v>
      </c>
      <c r="AK7" s="2052" t="s">
        <v>228</v>
      </c>
      <c r="AL7" s="2068" t="s">
        <v>224</v>
      </c>
      <c r="AM7" s="958"/>
      <c r="AN7" s="958"/>
      <c r="AO7" s="958"/>
    </row>
    <row r="8" spans="1:41" ht="33" customHeight="1" x14ac:dyDescent="0.2">
      <c r="A8" s="2081"/>
      <c r="B8" s="2051"/>
      <c r="C8" s="2028"/>
      <c r="D8" s="2084"/>
      <c r="E8" s="2085"/>
      <c r="F8" s="2013"/>
      <c r="G8" s="2090"/>
      <c r="H8" s="2091"/>
      <c r="I8" s="2028"/>
      <c r="J8" s="2028"/>
      <c r="K8" s="2093"/>
      <c r="L8" s="2034"/>
      <c r="M8" s="2084"/>
      <c r="N8" s="2091"/>
      <c r="O8" s="2034"/>
      <c r="P8" s="2094"/>
      <c r="Q8" s="958"/>
      <c r="R8" s="958"/>
      <c r="S8" s="958"/>
      <c r="T8" s="958"/>
      <c r="U8" s="958"/>
      <c r="V8" s="958"/>
      <c r="W8" s="2072"/>
      <c r="X8" s="2049"/>
      <c r="Y8" s="2028"/>
      <c r="Z8" s="2028"/>
      <c r="AA8" s="2049"/>
      <c r="AB8" s="2028"/>
      <c r="AC8" s="2028"/>
      <c r="AD8" s="2049"/>
      <c r="AE8" s="2028"/>
      <c r="AF8" s="2028"/>
      <c r="AG8" s="2049"/>
      <c r="AH8" s="2034"/>
      <c r="AI8" s="2028"/>
      <c r="AJ8" s="2049"/>
      <c r="AK8" s="2034"/>
      <c r="AL8" s="2069"/>
      <c r="AM8" s="958"/>
      <c r="AN8" s="958"/>
      <c r="AO8" s="958"/>
    </row>
    <row r="9" spans="1:41" ht="33" customHeight="1" x14ac:dyDescent="0.2">
      <c r="A9" s="1840"/>
      <c r="B9" s="2086" t="s">
        <v>229</v>
      </c>
      <c r="C9" s="2087"/>
      <c r="D9" s="2087"/>
      <c r="E9" s="2088"/>
      <c r="F9" s="2088"/>
      <c r="G9" s="2088"/>
      <c r="H9" s="2087"/>
      <c r="I9" s="2087"/>
      <c r="J9" s="2087"/>
      <c r="K9" s="2087"/>
      <c r="L9" s="2087"/>
      <c r="M9" s="2087"/>
      <c r="N9" s="2087"/>
      <c r="O9" s="2087"/>
      <c r="P9" s="2089"/>
      <c r="Q9" s="958"/>
      <c r="R9" s="958"/>
      <c r="S9" s="958"/>
      <c r="T9" s="958"/>
      <c r="U9" s="958"/>
      <c r="V9" s="958"/>
      <c r="W9" s="1226"/>
      <c r="X9" s="2007" t="s">
        <v>230</v>
      </c>
      <c r="Y9" s="2070"/>
      <c r="Z9" s="2070"/>
      <c r="AA9" s="2070"/>
      <c r="AB9" s="2070"/>
      <c r="AC9" s="2070"/>
      <c r="AD9" s="2070"/>
      <c r="AE9" s="2070"/>
      <c r="AF9" s="2070"/>
      <c r="AG9" s="2070"/>
      <c r="AH9" s="2070"/>
      <c r="AI9" s="2070"/>
      <c r="AJ9" s="2070"/>
      <c r="AK9" s="2070"/>
      <c r="AL9" s="2071"/>
      <c r="AM9" s="958"/>
      <c r="AN9" s="958"/>
      <c r="AO9" s="958"/>
    </row>
    <row r="10" spans="1:41" ht="14.25" customHeight="1" x14ac:dyDescent="0.2">
      <c r="A10" s="959" t="s">
        <v>231</v>
      </c>
      <c r="B10" s="1227"/>
      <c r="C10" s="1228">
        <f>Y10/$Z$64</f>
        <v>373241.76878398593</v>
      </c>
      <c r="D10" s="1229"/>
      <c r="E10" s="1230"/>
      <c r="F10" s="1228">
        <f>AB10/$Z$64</f>
        <v>337111.81278066325</v>
      </c>
      <c r="G10" s="1229"/>
      <c r="H10" s="1230"/>
      <c r="I10" s="1228">
        <f t="shared" ref="I10:I17" si="0">AE10/$Z$64</f>
        <v>4479.1878082512349</v>
      </c>
      <c r="J10" s="1229"/>
      <c r="K10" s="1230"/>
      <c r="L10" s="1228">
        <f>AH10/$Z$64</f>
        <v>85895.998376326301</v>
      </c>
      <c r="M10" s="1229"/>
      <c r="N10" s="257"/>
      <c r="O10" s="1228">
        <f>AK10/$Z$64</f>
        <v>590440.2884017129</v>
      </c>
      <c r="P10" s="1231"/>
      <c r="Q10" s="958"/>
      <c r="R10" s="958"/>
      <c r="S10" s="958"/>
      <c r="T10" s="958"/>
      <c r="U10" s="958"/>
      <c r="V10" s="958"/>
      <c r="W10" s="1154" t="s">
        <v>231</v>
      </c>
      <c r="X10" s="1204"/>
      <c r="Y10" s="1174">
        <v>336536.8</v>
      </c>
      <c r="Z10" s="13"/>
      <c r="AA10" s="1206"/>
      <c r="AB10" s="1174">
        <v>303959.90000000002</v>
      </c>
      <c r="AC10" s="13"/>
      <c r="AD10" s="1206"/>
      <c r="AE10" s="1174">
        <v>4038.7</v>
      </c>
      <c r="AF10" s="13"/>
      <c r="AG10" s="1206"/>
      <c r="AH10" s="1174">
        <v>77448.899999999994</v>
      </c>
      <c r="AI10" s="13"/>
      <c r="AJ10" s="1206"/>
      <c r="AK10" s="1174">
        <v>532375.80000000005</v>
      </c>
      <c r="AL10" s="1192"/>
      <c r="AM10" s="958"/>
      <c r="AN10" s="958"/>
      <c r="AO10" s="958"/>
    </row>
    <row r="11" spans="1:41" ht="14.25" customHeight="1" x14ac:dyDescent="0.2">
      <c r="A11" s="959" t="s">
        <v>232</v>
      </c>
      <c r="B11" s="1214"/>
      <c r="C11" s="1174">
        <f>Y11/$Z$64</f>
        <v>194825.53825781145</v>
      </c>
      <c r="D11" s="1232"/>
      <c r="E11" s="1233"/>
      <c r="F11" s="1174">
        <f>AB11/$Z$64</f>
        <v>65574.457749548339</v>
      </c>
      <c r="G11" s="1232"/>
      <c r="H11" s="1233"/>
      <c r="I11" s="1174">
        <f t="shared" si="0"/>
        <v>2286.4519735287954</v>
      </c>
      <c r="J11" s="1232"/>
      <c r="K11" s="1233"/>
      <c r="L11" s="1174">
        <f>AH11/$Z$64</f>
        <v>43156.781000356008</v>
      </c>
      <c r="M11" s="1232"/>
      <c r="N11" s="1234"/>
      <c r="O11" s="1174">
        <f>AK11/$Z$64</f>
        <v>249711.69810316316</v>
      </c>
      <c r="P11" s="1160"/>
      <c r="Q11" s="958"/>
      <c r="R11" s="958"/>
      <c r="S11" s="958"/>
      <c r="T11" s="958"/>
      <c r="U11" s="958"/>
      <c r="V11" s="958"/>
      <c r="W11" s="1154" t="s">
        <v>232</v>
      </c>
      <c r="X11" s="1204"/>
      <c r="Y11" s="1174">
        <v>175666.2</v>
      </c>
      <c r="Z11" s="13"/>
      <c r="AA11" s="1206"/>
      <c r="AB11" s="1174">
        <v>59125.8</v>
      </c>
      <c r="AC11" s="13"/>
      <c r="AD11" s="1206"/>
      <c r="AE11" s="1174">
        <v>2061.6</v>
      </c>
      <c r="AF11" s="13"/>
      <c r="AG11" s="1206"/>
      <c r="AH11" s="1174">
        <v>38912.699999999997</v>
      </c>
      <c r="AI11" s="13"/>
      <c r="AJ11" s="1206"/>
      <c r="AK11" s="1174">
        <v>225154.8</v>
      </c>
      <c r="AL11" s="1192"/>
      <c r="AM11" s="958"/>
      <c r="AN11" s="958"/>
      <c r="AO11" s="958"/>
    </row>
    <row r="12" spans="1:41" ht="14.25" customHeight="1" x14ac:dyDescent="0.2">
      <c r="A12" s="959" t="s">
        <v>233</v>
      </c>
      <c r="B12" s="1214"/>
      <c r="C12" s="1174"/>
      <c r="D12" s="1232"/>
      <c r="E12" s="1233">
        <f>F12-G12</f>
        <v>488.10026850505562</v>
      </c>
      <c r="F12" s="1174">
        <f>AB12/$Z$64</f>
        <v>1472.9515260203691</v>
      </c>
      <c r="G12" s="1232">
        <f>AC12/$Z$64</f>
        <v>984.85125751531348</v>
      </c>
      <c r="H12" s="1233"/>
      <c r="I12" s="1174">
        <f t="shared" si="0"/>
        <v>21.848614609292426</v>
      </c>
      <c r="J12" s="1232"/>
      <c r="K12" s="1233">
        <f>L12-M12</f>
        <v>-3014.9979094092105</v>
      </c>
      <c r="L12" s="1174">
        <f>AH12/$Z$64</f>
        <v>5444.9631179858461</v>
      </c>
      <c r="M12" s="1232">
        <f>AI12/$Z$64</f>
        <v>8459.9610273950566</v>
      </c>
      <c r="N12" s="1233">
        <f>O12-P12</f>
        <v>7659.3257539712904</v>
      </c>
      <c r="O12" s="1174">
        <f>AK12/$Z$64</f>
        <v>11704.09212351898</v>
      </c>
      <c r="P12" s="1235">
        <f>AL12/$Z$64</f>
        <v>4044.7663695476895</v>
      </c>
      <c r="Q12" s="958"/>
      <c r="R12" s="958"/>
      <c r="S12" s="958"/>
      <c r="T12" s="958"/>
      <c r="U12" s="958"/>
      <c r="V12" s="958"/>
      <c r="W12" s="1154" t="s">
        <v>233</v>
      </c>
      <c r="X12" s="1204"/>
      <c r="Y12" s="1174"/>
      <c r="Z12" s="1174">
        <v>0</v>
      </c>
      <c r="AA12" s="1204">
        <f>AC12-AB12</f>
        <v>-440.09999999999991</v>
      </c>
      <c r="AB12" s="1174">
        <v>1328.1</v>
      </c>
      <c r="AC12" s="13">
        <v>888</v>
      </c>
      <c r="AD12" s="1206"/>
      <c r="AE12" s="1174">
        <v>19.7</v>
      </c>
      <c r="AF12" s="13"/>
      <c r="AG12" s="1204">
        <f>AI12-AH12</f>
        <v>2718.5</v>
      </c>
      <c r="AH12" s="1174">
        <v>4909.5</v>
      </c>
      <c r="AI12" s="1174">
        <v>7628</v>
      </c>
      <c r="AJ12" s="1204">
        <f>AL12-AK12</f>
        <v>-6906.1</v>
      </c>
      <c r="AK12" s="1174">
        <v>10553.1</v>
      </c>
      <c r="AL12" s="1217">
        <v>3647</v>
      </c>
      <c r="AM12" s="958"/>
      <c r="AN12" s="958"/>
      <c r="AO12" s="958"/>
    </row>
    <row r="13" spans="1:41" ht="14.25" customHeight="1" x14ac:dyDescent="0.2">
      <c r="A13" s="959" t="s">
        <v>234</v>
      </c>
      <c r="B13" s="1214">
        <f>C13-D13</f>
        <v>-1130.5826260260253</v>
      </c>
      <c r="C13" s="1174">
        <f>Y13/$Z$64</f>
        <v>1195.1303097956099</v>
      </c>
      <c r="D13" s="1232">
        <f>Z13/$Z$64</f>
        <v>2325.7129358216353</v>
      </c>
      <c r="E13" s="1233"/>
      <c r="F13" s="1174"/>
      <c r="G13" s="1232"/>
      <c r="H13" s="1233"/>
      <c r="I13" s="1174">
        <f t="shared" si="0"/>
        <v>0</v>
      </c>
      <c r="J13" s="1232"/>
      <c r="K13" s="1233">
        <f>L13-M13</f>
        <v>-53.235203108935863</v>
      </c>
      <c r="L13" s="1174">
        <f>AH13/$Z$64</f>
        <v>74.307471006222968</v>
      </c>
      <c r="M13" s="1232">
        <f>AI13/$Z$64</f>
        <v>127.54267411515883</v>
      </c>
      <c r="N13" s="1233">
        <f>O13-P13</f>
        <v>498.6364024536997</v>
      </c>
      <c r="O13" s="1174">
        <f>AK13/$Z$64</f>
        <v>6740.4639669764292</v>
      </c>
      <c r="P13" s="1160">
        <f>AL13/$Z$64</f>
        <v>6241.8275645227295</v>
      </c>
      <c r="Q13" s="958"/>
      <c r="R13" s="958"/>
      <c r="S13" s="958"/>
      <c r="T13" s="958"/>
      <c r="U13" s="958"/>
      <c r="V13" s="958"/>
      <c r="W13" s="1154" t="s">
        <v>234</v>
      </c>
      <c r="X13" s="1204">
        <f>Z13-Y13</f>
        <v>1019.4000000000001</v>
      </c>
      <c r="Y13" s="1174">
        <v>1077.5999999999999</v>
      </c>
      <c r="Z13" s="1174">
        <v>2097</v>
      </c>
      <c r="AA13" s="1206"/>
      <c r="AB13" s="1174"/>
      <c r="AC13" s="13"/>
      <c r="AD13" s="1206"/>
      <c r="AE13" s="1174">
        <v>0</v>
      </c>
      <c r="AF13" s="13"/>
      <c r="AG13" s="1204">
        <f>AI13-AH13</f>
        <v>48</v>
      </c>
      <c r="AH13" s="1174">
        <v>67</v>
      </c>
      <c r="AI13" s="1174">
        <v>115</v>
      </c>
      <c r="AJ13" s="1204">
        <f>AL13-AK13</f>
        <v>-449.60000000000036</v>
      </c>
      <c r="AK13" s="1174">
        <v>6077.6</v>
      </c>
      <c r="AL13" s="1192">
        <v>5628</v>
      </c>
      <c r="AM13" s="958"/>
      <c r="AN13" s="958"/>
      <c r="AO13" s="958"/>
    </row>
    <row r="14" spans="1:41" ht="14.25" customHeight="1" x14ac:dyDescent="0.2">
      <c r="A14" s="959" t="s">
        <v>235</v>
      </c>
      <c r="B14" s="1214"/>
      <c r="C14" s="1174">
        <f t="shared" ref="C14:C21" si="1">Y14/$Z$64</f>
        <v>22153.497053764229</v>
      </c>
      <c r="D14" s="1232"/>
      <c r="E14" s="1233"/>
      <c r="F14" s="1174">
        <f t="shared" ref="F14:F21" si="2">AB14/$Z$64</f>
        <v>3287.1628853036459</v>
      </c>
      <c r="G14" s="1232"/>
      <c r="H14" s="1233"/>
      <c r="I14" s="1174">
        <f t="shared" si="0"/>
        <v>12.976080757803116</v>
      </c>
      <c r="J14" s="1232"/>
      <c r="K14" s="1233"/>
      <c r="L14" s="1174"/>
      <c r="M14" s="1232"/>
      <c r="N14" s="1233">
        <f>O14-P14</f>
        <v>-41.922722448286777</v>
      </c>
      <c r="O14" s="1174">
        <f>AK14/$Z$64</f>
        <v>1715.9480468780328</v>
      </c>
      <c r="P14" s="1235">
        <f>AL14/$Z$64</f>
        <v>1757.8707693263195</v>
      </c>
      <c r="Q14" s="958"/>
      <c r="R14" s="958"/>
      <c r="S14" s="958"/>
      <c r="T14" s="958"/>
      <c r="U14" s="958"/>
      <c r="V14" s="958"/>
      <c r="W14" s="1154" t="s">
        <v>235</v>
      </c>
      <c r="X14" s="1204"/>
      <c r="Y14" s="1174">
        <v>19974.900000000001</v>
      </c>
      <c r="Z14" s="13"/>
      <c r="AA14" s="1204"/>
      <c r="AB14" s="1174">
        <v>2963.9</v>
      </c>
      <c r="AC14" s="13"/>
      <c r="AD14" s="1206"/>
      <c r="AE14" s="1174">
        <v>11.7</v>
      </c>
      <c r="AF14" s="13"/>
      <c r="AG14" s="1206"/>
      <c r="AH14" s="1174"/>
      <c r="AI14" s="1174">
        <v>0</v>
      </c>
      <c r="AJ14" s="1204">
        <f>AL14-AK14</f>
        <v>37.799999999999955</v>
      </c>
      <c r="AK14" s="1174">
        <v>1547.2</v>
      </c>
      <c r="AL14" s="1217">
        <v>1585</v>
      </c>
      <c r="AM14" s="958"/>
      <c r="AN14" s="958"/>
      <c r="AO14" s="958"/>
    </row>
    <row r="15" spans="1:41" ht="14.25" customHeight="1" x14ac:dyDescent="0.2">
      <c r="A15" s="959" t="s">
        <v>236</v>
      </c>
      <c r="B15" s="1214"/>
      <c r="C15" s="1174">
        <f t="shared" si="1"/>
        <v>22469.248352204104</v>
      </c>
      <c r="D15" s="1232"/>
      <c r="E15" s="1233"/>
      <c r="F15" s="1174">
        <f t="shared" si="2"/>
        <v>7202.9447939853098</v>
      </c>
      <c r="G15" s="1232"/>
      <c r="H15" s="1233"/>
      <c r="I15" s="1174">
        <f t="shared" si="0"/>
        <v>79.852804663403788</v>
      </c>
      <c r="J15" s="1232"/>
      <c r="K15" s="1233"/>
      <c r="L15" s="1174">
        <f t="shared" ref="L15:L21" si="3">AH15/$Z$64</f>
        <v>2002.1981702617065</v>
      </c>
      <c r="M15" s="1232"/>
      <c r="N15" s="1234"/>
      <c r="O15" s="1174"/>
      <c r="P15" s="1235"/>
      <c r="Q15" s="958"/>
      <c r="R15" s="958"/>
      <c r="S15" s="958"/>
      <c r="T15" s="958"/>
      <c r="U15" s="958"/>
      <c r="V15" s="958"/>
      <c r="W15" s="1154" t="s">
        <v>236</v>
      </c>
      <c r="X15" s="1204"/>
      <c r="Y15" s="1174">
        <v>20259.599999999999</v>
      </c>
      <c r="Z15" s="13"/>
      <c r="AA15" s="1204"/>
      <c r="AB15" s="1174">
        <v>6494.6</v>
      </c>
      <c r="AC15" s="13"/>
      <c r="AD15" s="1206"/>
      <c r="AE15" s="1174">
        <v>72</v>
      </c>
      <c r="AF15" s="13"/>
      <c r="AG15" s="1206"/>
      <c r="AH15" s="1174">
        <v>1805.3</v>
      </c>
      <c r="AI15" s="13"/>
      <c r="AJ15" s="1206"/>
      <c r="AK15" s="1174"/>
      <c r="AL15" s="1217"/>
      <c r="AM15" s="958"/>
      <c r="AN15" s="958"/>
      <c r="AO15" s="958"/>
    </row>
    <row r="16" spans="1:41" ht="14.25" customHeight="1" x14ac:dyDescent="0.2">
      <c r="A16" s="959" t="s">
        <v>237</v>
      </c>
      <c r="B16" s="1214">
        <f t="shared" ref="B16:B21" si="4">C16-D16</f>
        <v>-11865.572239616085</v>
      </c>
      <c r="C16" s="1174">
        <f t="shared" si="1"/>
        <v>75334.799519552296</v>
      </c>
      <c r="D16" s="1236">
        <f>Z16/$Z$64</f>
        <v>87200.371759168382</v>
      </c>
      <c r="E16" s="1233">
        <f>F16-G16</f>
        <v>-5754.5036427296809</v>
      </c>
      <c r="F16" s="1174">
        <f t="shared" si="2"/>
        <v>7650.7859401392316</v>
      </c>
      <c r="G16" s="1236">
        <f>AC16/$Z$64</f>
        <v>13405.289582868912</v>
      </c>
      <c r="H16" s="1233">
        <f>I16-J16</f>
        <v>-216.48982597633915</v>
      </c>
      <c r="I16" s="1174">
        <f t="shared" si="0"/>
        <v>106.24859287158449</v>
      </c>
      <c r="J16" s="1236">
        <f>AF16/$Z$64</f>
        <v>322.73841884792364</v>
      </c>
      <c r="K16" s="1233">
        <f>L16-M16</f>
        <v>-5695.1685725978441</v>
      </c>
      <c r="L16" s="1174">
        <f t="shared" si="3"/>
        <v>6703.0884181270303</v>
      </c>
      <c r="M16" s="1236">
        <f>AI16/$Z$64</f>
        <v>12398.256990724874</v>
      </c>
      <c r="N16" s="1233">
        <f t="shared" ref="N16:N21" si="5">O16-P16</f>
        <v>4276.6722230909872</v>
      </c>
      <c r="O16" s="1174">
        <f>AK16/$Z$64</f>
        <v>55563.245084893511</v>
      </c>
      <c r="P16" s="1160">
        <f>AL16/$Z$64</f>
        <v>51286.572861802524</v>
      </c>
      <c r="Q16" s="958"/>
      <c r="R16" s="958"/>
      <c r="S16" s="958"/>
      <c r="T16" s="958"/>
      <c r="U16" s="958"/>
      <c r="V16" s="958"/>
      <c r="W16" s="1154" t="s">
        <v>237</v>
      </c>
      <c r="X16" s="1204">
        <f>Z16-Y16</f>
        <v>10698.699999999997</v>
      </c>
      <c r="Y16" s="1174">
        <v>67926.3</v>
      </c>
      <c r="Z16" s="1159">
        <v>78625</v>
      </c>
      <c r="AA16" s="1204">
        <f>AC16-AB16</f>
        <v>5188.6000000000004</v>
      </c>
      <c r="AB16" s="1174">
        <v>6898.4</v>
      </c>
      <c r="AC16" s="1159">
        <v>12087</v>
      </c>
      <c r="AD16" s="1204">
        <f>AF16-AE16</f>
        <v>195.2</v>
      </c>
      <c r="AE16" s="1174">
        <v>95.8</v>
      </c>
      <c r="AF16" s="1159">
        <v>291</v>
      </c>
      <c r="AG16" s="1204">
        <f>AI16-AH16</f>
        <v>5135.1000000000004</v>
      </c>
      <c r="AH16" s="1174">
        <v>6043.9</v>
      </c>
      <c r="AI16" s="1159">
        <v>11179</v>
      </c>
      <c r="AJ16" s="1204">
        <f>AL16-AK16</f>
        <v>-3856.0999999999985</v>
      </c>
      <c r="AK16" s="1174">
        <v>50099.1</v>
      </c>
      <c r="AL16" s="1192">
        <v>46243</v>
      </c>
      <c r="AM16" s="958"/>
      <c r="AN16" s="958"/>
      <c r="AO16" s="958"/>
    </row>
    <row r="17" spans="1:40" ht="14.25" customHeight="1" x14ac:dyDescent="0.2">
      <c r="A17" s="959" t="s">
        <v>238</v>
      </c>
      <c r="B17" s="1214">
        <f t="shared" si="4"/>
        <v>-12234.115114472319</v>
      </c>
      <c r="C17" s="1159">
        <f t="shared" si="1"/>
        <v>39117.892684484934</v>
      </c>
      <c r="D17" s="1236">
        <f>Z17/$Z$64</f>
        <v>51352.007798957253</v>
      </c>
      <c r="E17" s="1233">
        <f>F17-G17</f>
        <v>-16856.59434442511</v>
      </c>
      <c r="F17" s="1159">
        <f t="shared" si="2"/>
        <v>3261.8761638269011</v>
      </c>
      <c r="G17" s="1236">
        <f>AC17/$Z$64</f>
        <v>20118.470508252012</v>
      </c>
      <c r="H17" s="1233">
        <f>I17-J17</f>
        <v>-156.15659578621182</v>
      </c>
      <c r="I17" s="1159">
        <f t="shared" si="0"/>
        <v>558.08237925867763</v>
      </c>
      <c r="J17" s="1236">
        <f>AF17/$Z$64</f>
        <v>714.23897504488946</v>
      </c>
      <c r="K17" s="1233">
        <f>L17-M17</f>
        <v>-8768.9470187731731</v>
      </c>
      <c r="L17" s="1159">
        <f t="shared" si="3"/>
        <v>5915.0965054416356</v>
      </c>
      <c r="M17" s="1236">
        <f>AI17/$Z$64</f>
        <v>14684.043524214809</v>
      </c>
      <c r="N17" s="1233">
        <f t="shared" si="5"/>
        <v>13887.622704370493</v>
      </c>
      <c r="O17" s="1159">
        <f>AK17/$Z$64</f>
        <v>77573.561623629328</v>
      </c>
      <c r="P17" s="1160">
        <f>AL17/$Z$64</f>
        <v>63685.938919258835</v>
      </c>
      <c r="Q17" s="958"/>
      <c r="R17" s="958"/>
      <c r="S17" s="958"/>
      <c r="T17" s="958"/>
      <c r="U17" s="958"/>
      <c r="V17" s="958"/>
      <c r="W17" s="1154" t="s">
        <v>238</v>
      </c>
      <c r="X17" s="1204">
        <f>Z17-Y17</f>
        <v>11031</v>
      </c>
      <c r="Y17" s="1159">
        <v>35271</v>
      </c>
      <c r="Z17" s="1159">
        <v>46302</v>
      </c>
      <c r="AA17" s="1204">
        <f>AC17-AB17</f>
        <v>15198.9</v>
      </c>
      <c r="AB17" s="1159">
        <v>2941.1</v>
      </c>
      <c r="AC17" s="1159">
        <v>18140</v>
      </c>
      <c r="AD17" s="1204">
        <f>AF17-AE17</f>
        <v>140.80000000000001</v>
      </c>
      <c r="AE17" s="1159">
        <v>503.2</v>
      </c>
      <c r="AF17" s="1159">
        <v>644</v>
      </c>
      <c r="AG17" s="1204">
        <f>AI17-AH17</f>
        <v>7906.6</v>
      </c>
      <c r="AH17" s="1159">
        <v>5333.4</v>
      </c>
      <c r="AI17" s="1159">
        <v>13240</v>
      </c>
      <c r="AJ17" s="1204">
        <f>AL17-AK17</f>
        <v>-12521.899999999994</v>
      </c>
      <c r="AK17" s="1159">
        <v>69944.899999999994</v>
      </c>
      <c r="AL17" s="1192">
        <v>57423</v>
      </c>
      <c r="AM17" s="958"/>
      <c r="AN17" s="958"/>
    </row>
    <row r="18" spans="1:40" ht="14.25" customHeight="1" x14ac:dyDescent="0.2">
      <c r="A18" s="959" t="s">
        <v>239</v>
      </c>
      <c r="B18" s="1214">
        <f t="shared" si="4"/>
        <v>586.14176756401321</v>
      </c>
      <c r="C18" s="1159">
        <f t="shared" si="1"/>
        <v>10306.002601870552</v>
      </c>
      <c r="D18" s="1236">
        <f>Z18/$Z$64</f>
        <v>9719.8608343065389</v>
      </c>
      <c r="E18" s="1233">
        <f>F18-G18</f>
        <v>2325.9347491679227</v>
      </c>
      <c r="F18" s="1159">
        <f t="shared" si="2"/>
        <v>3162.1710646707902</v>
      </c>
      <c r="G18" s="1236">
        <f>AC18/$Z$64</f>
        <v>836.23631550286746</v>
      </c>
      <c r="H18" s="1233"/>
      <c r="I18" s="1159"/>
      <c r="J18" s="1236">
        <f>AF18/$Z$64</f>
        <v>128.651740846595</v>
      </c>
      <c r="K18" s="1233">
        <f>L18-M18</f>
        <v>-727.54777582212341</v>
      </c>
      <c r="L18" s="1159">
        <f t="shared" si="3"/>
        <v>408.13655716850826</v>
      </c>
      <c r="M18" s="1236">
        <f>AI18/$Z$64</f>
        <v>1135.6843329906317</v>
      </c>
      <c r="N18" s="1233">
        <f t="shared" si="5"/>
        <v>15654.476914221452</v>
      </c>
      <c r="O18" s="1159">
        <f>AK18/$Z$64</f>
        <v>15654.476914221452</v>
      </c>
      <c r="P18" s="1160"/>
      <c r="Q18" s="958"/>
      <c r="R18" s="958"/>
      <c r="S18" s="958"/>
      <c r="T18" s="958"/>
      <c r="U18" s="958"/>
      <c r="V18" s="958"/>
      <c r="W18" s="1154" t="s">
        <v>239</v>
      </c>
      <c r="X18" s="1204">
        <f>Z18-Y18</f>
        <v>-528.5</v>
      </c>
      <c r="Y18" s="1159">
        <v>9292.5</v>
      </c>
      <c r="Z18" s="1159">
        <v>8764</v>
      </c>
      <c r="AA18" s="1204">
        <f>AC18-AB18</f>
        <v>-2097.1999999999998</v>
      </c>
      <c r="AB18" s="1159">
        <v>2851.2</v>
      </c>
      <c r="AC18" s="1159">
        <v>754</v>
      </c>
      <c r="AD18" s="1204"/>
      <c r="AE18" s="1159"/>
      <c r="AF18" s="1159">
        <v>116</v>
      </c>
      <c r="AG18" s="1204">
        <f>AI18-AH18</f>
        <v>656</v>
      </c>
      <c r="AH18" s="1159">
        <v>368</v>
      </c>
      <c r="AI18" s="1159">
        <v>1024</v>
      </c>
      <c r="AJ18" s="1204"/>
      <c r="AK18" s="1159">
        <v>14115</v>
      </c>
      <c r="AL18" s="1192" t="s">
        <v>1992</v>
      </c>
      <c r="AM18" s="958"/>
      <c r="AN18" s="958"/>
    </row>
    <row r="19" spans="1:40" ht="14.25" customHeight="1" x14ac:dyDescent="0.2">
      <c r="A19" s="959" t="s">
        <v>240</v>
      </c>
      <c r="B19" s="1214">
        <f t="shared" si="4"/>
        <v>7174.1090589679698</v>
      </c>
      <c r="C19" s="1159">
        <f t="shared" si="1"/>
        <v>15294.695666543561</v>
      </c>
      <c r="D19" s="1236">
        <f>Z19/$Z$64</f>
        <v>8120.5866075755912</v>
      </c>
      <c r="E19" s="1233">
        <f>F19-G19</f>
        <v>20546.902986605804</v>
      </c>
      <c r="F19" s="1159">
        <f t="shared" si="2"/>
        <v>30710.390513486807</v>
      </c>
      <c r="G19" s="1236">
        <f>AC19/$Z$64</f>
        <v>10163.487526881005</v>
      </c>
      <c r="H19" s="1233">
        <f>I19-J19</f>
        <v>235.56577375704114</v>
      </c>
      <c r="I19" s="1159">
        <f>AE19/$Z$64</f>
        <v>499.52365583884813</v>
      </c>
      <c r="J19" s="1236">
        <f>AF19/$Z$64</f>
        <v>263.95788208180699</v>
      </c>
      <c r="K19" s="1233">
        <f>L19-M19</f>
        <v>9116.1958123858367</v>
      </c>
      <c r="L19" s="1159">
        <f t="shared" si="3"/>
        <v>13645.624343571129</v>
      </c>
      <c r="M19" s="1236">
        <f>AI19/$Z$64</f>
        <v>4529.4285311852927</v>
      </c>
      <c r="N19" s="1233">
        <f t="shared" si="5"/>
        <v>44492.984598390307</v>
      </c>
      <c r="O19" s="1159">
        <f>AK19/$Z$64</f>
        <v>59767.051623729152</v>
      </c>
      <c r="P19" s="1160">
        <f>AL19/$Z$64</f>
        <v>15274.067025338847</v>
      </c>
      <c r="Q19" s="958"/>
      <c r="R19" s="958"/>
      <c r="S19" s="958"/>
      <c r="T19" s="958"/>
      <c r="U19" s="958"/>
      <c r="V19" s="958"/>
      <c r="W19" s="1154" t="s">
        <v>240</v>
      </c>
      <c r="X19" s="1204">
        <f>Z19-Y19</f>
        <v>-6468.6</v>
      </c>
      <c r="Y19" s="1159">
        <v>13790.6</v>
      </c>
      <c r="Z19" s="1159">
        <v>7322</v>
      </c>
      <c r="AA19" s="1204">
        <f>AC19-AB19</f>
        <v>-18526.3</v>
      </c>
      <c r="AB19" s="1159">
        <v>27690.3</v>
      </c>
      <c r="AC19" s="1159">
        <v>9164</v>
      </c>
      <c r="AD19" s="1204">
        <f>AF19-AE19</f>
        <v>-212.39999999999998</v>
      </c>
      <c r="AE19" s="1159">
        <v>450.4</v>
      </c>
      <c r="AF19" s="1159">
        <v>238</v>
      </c>
      <c r="AG19" s="1204">
        <f>AI19-AH19</f>
        <v>-8219.7000000000007</v>
      </c>
      <c r="AH19" s="1159">
        <v>12303.7</v>
      </c>
      <c r="AI19" s="1159">
        <v>4084</v>
      </c>
      <c r="AJ19" s="1204">
        <f>AL19-AK19</f>
        <v>-40117.5</v>
      </c>
      <c r="AK19" s="1159">
        <v>53889.5</v>
      </c>
      <c r="AL19" s="1192">
        <v>13772</v>
      </c>
      <c r="AM19" s="958"/>
      <c r="AN19" s="958"/>
    </row>
    <row r="20" spans="1:40" ht="14.25" customHeight="1" x14ac:dyDescent="0.2">
      <c r="A20" s="1237" t="s">
        <v>241</v>
      </c>
      <c r="B20" s="1214"/>
      <c r="C20" s="1159">
        <f t="shared" si="1"/>
        <v>8954.2720695961689</v>
      </c>
      <c r="D20" s="1236"/>
      <c r="E20" s="1233"/>
      <c r="F20" s="1159">
        <f t="shared" si="2"/>
        <v>8826.1748621152838</v>
      </c>
      <c r="G20" s="1236"/>
      <c r="H20" s="1233"/>
      <c r="I20" s="1159">
        <f>AE20/$Z$64</f>
        <v>1007.9198455291856</v>
      </c>
      <c r="J20" s="1236"/>
      <c r="K20" s="1233"/>
      <c r="L20" s="1159">
        <f t="shared" si="3"/>
        <v>8963.3664167939296</v>
      </c>
      <c r="M20" s="1236"/>
      <c r="N20" s="1233">
        <f t="shared" si="5"/>
        <v>20992.858719316275</v>
      </c>
      <c r="O20" s="1159">
        <f>AK20/$Z$64</f>
        <v>20992.858719316275</v>
      </c>
      <c r="P20" s="1160"/>
      <c r="Q20" s="958"/>
      <c r="R20" s="958"/>
      <c r="S20" s="958"/>
      <c r="T20" s="958"/>
      <c r="U20" s="958"/>
      <c r="V20" s="958"/>
      <c r="W20" s="1080" t="s">
        <v>241</v>
      </c>
      <c r="X20" s="1204"/>
      <c r="Y20" s="1159">
        <f>Y11-SUM(Y12:Y19)</f>
        <v>8073.7000000000116</v>
      </c>
      <c r="Z20" s="1159"/>
      <c r="AA20" s="1204"/>
      <c r="AB20" s="1159">
        <f>AB11-SUM(AB12:AB19)</f>
        <v>7958.2000000000044</v>
      </c>
      <c r="AC20" s="1159"/>
      <c r="AD20" s="1204"/>
      <c r="AE20" s="1159">
        <f>AE11-SUM(AE12:AE19)</f>
        <v>908.8</v>
      </c>
      <c r="AF20" s="1159"/>
      <c r="AG20" s="1204"/>
      <c r="AH20" s="1159">
        <f>AH11-SUM(AH12:AH19)</f>
        <v>8081.8999999999978</v>
      </c>
      <c r="AI20" s="1159"/>
      <c r="AJ20" s="1204"/>
      <c r="AK20" s="1159">
        <f>AK11-SUM(AK12:AK19)</f>
        <v>18928.399999999994</v>
      </c>
      <c r="AL20" s="1192"/>
      <c r="AM20" s="958"/>
      <c r="AN20" s="958"/>
    </row>
    <row r="21" spans="1:40" ht="14.25" customHeight="1" thickBot="1" x14ac:dyDescent="0.25">
      <c r="A21" s="1660" t="s">
        <v>242</v>
      </c>
      <c r="B21" s="1787">
        <f t="shared" si="4"/>
        <v>-20337.209594758097</v>
      </c>
      <c r="C21" s="1788">
        <f t="shared" si="1"/>
        <v>96436.790405241903</v>
      </c>
      <c r="D21" s="1789">
        <v>116774</v>
      </c>
      <c r="E21" s="1790">
        <f>F21-G21</f>
        <v>-125820.62489921355</v>
      </c>
      <c r="F21" s="1788">
        <f t="shared" si="2"/>
        <v>242593.37510078645</v>
      </c>
      <c r="G21" s="1789">
        <v>368414</v>
      </c>
      <c r="H21" s="1790"/>
      <c r="I21" s="1788">
        <f>AE21/$Z$64</f>
        <v>338.26535308802994</v>
      </c>
      <c r="J21" s="1789"/>
      <c r="K21" s="1790">
        <f>L21-M21</f>
        <v>-36531.38136701347</v>
      </c>
      <c r="L21" s="1788">
        <f t="shared" si="3"/>
        <v>32756.618632986527</v>
      </c>
      <c r="M21" s="1789">
        <v>69288</v>
      </c>
      <c r="N21" s="1790">
        <f t="shared" si="5"/>
        <v>-53179.384748557932</v>
      </c>
      <c r="O21" s="1788">
        <f>AK21/$Z$64</f>
        <v>199967.61525144207</v>
      </c>
      <c r="P21" s="1791">
        <v>253147</v>
      </c>
      <c r="Q21" s="958"/>
      <c r="R21" s="958"/>
      <c r="S21" s="958"/>
      <c r="T21" s="958"/>
      <c r="U21" s="958"/>
      <c r="V21" s="958"/>
      <c r="W21" s="1080" t="s">
        <v>242</v>
      </c>
      <c r="X21" s="1238">
        <f>Z21-Y21</f>
        <v>-86953.1</v>
      </c>
      <c r="Y21" s="1239">
        <v>86953.1</v>
      </c>
      <c r="Z21" s="1239"/>
      <c r="AA21" s="1238">
        <f>AC21-AB21</f>
        <v>-218736.5</v>
      </c>
      <c r="AB21" s="1239">
        <v>218736.5</v>
      </c>
      <c r="AC21" s="1239"/>
      <c r="AD21" s="1238">
        <f>AF21-AE21</f>
        <v>-305</v>
      </c>
      <c r="AE21" s="1239">
        <v>305</v>
      </c>
      <c r="AF21" s="1239"/>
      <c r="AG21" s="1238">
        <f>AI21-AH21</f>
        <v>-29535.3</v>
      </c>
      <c r="AH21" s="1239">
        <v>29535.3</v>
      </c>
      <c r="AI21" s="1239"/>
      <c r="AJ21" s="1238">
        <f>AL21-AK21</f>
        <v>-180302.6</v>
      </c>
      <c r="AK21" s="1239">
        <v>180302.6</v>
      </c>
      <c r="AL21" s="1240"/>
      <c r="AM21" s="958"/>
      <c r="AN21" s="958"/>
    </row>
    <row r="22" spans="1:40" ht="33" customHeight="1" x14ac:dyDescent="0.2">
      <c r="A22" s="1840"/>
      <c r="B22" s="2086" t="s">
        <v>243</v>
      </c>
      <c r="C22" s="2087"/>
      <c r="D22" s="2087"/>
      <c r="E22" s="2087"/>
      <c r="F22" s="2087"/>
      <c r="G22" s="2087"/>
      <c r="H22" s="2087"/>
      <c r="I22" s="2087"/>
      <c r="J22" s="2087"/>
      <c r="K22" s="2087"/>
      <c r="L22" s="2087"/>
      <c r="M22" s="2087"/>
      <c r="N22" s="2087"/>
      <c r="O22" s="2087"/>
      <c r="P22" s="2089"/>
      <c r="Q22" s="958"/>
      <c r="R22" s="958"/>
      <c r="S22" s="958"/>
      <c r="T22" s="958"/>
      <c r="U22" s="958"/>
      <c r="V22" s="958"/>
      <c r="W22" s="1226"/>
      <c r="X22" s="2007" t="s">
        <v>244</v>
      </c>
      <c r="Y22" s="2070"/>
      <c r="Z22" s="2070"/>
      <c r="AA22" s="2070"/>
      <c r="AB22" s="2070"/>
      <c r="AC22" s="2070"/>
      <c r="AD22" s="2070"/>
      <c r="AE22" s="2070"/>
      <c r="AF22" s="2070"/>
      <c r="AG22" s="2070"/>
      <c r="AH22" s="2070"/>
      <c r="AI22" s="2070"/>
      <c r="AJ22" s="2070"/>
      <c r="AK22" s="2070"/>
      <c r="AL22" s="2071"/>
      <c r="AM22" s="958"/>
      <c r="AN22" s="958"/>
    </row>
    <row r="23" spans="1:40" ht="14.25" customHeight="1" x14ac:dyDescent="0.2">
      <c r="A23" s="959" t="s">
        <v>231</v>
      </c>
      <c r="B23" s="1227"/>
      <c r="C23" s="1228">
        <f>Y23</f>
        <v>438978</v>
      </c>
      <c r="D23" s="1229"/>
      <c r="E23" s="1230"/>
      <c r="F23" s="1228">
        <f>AB23</f>
        <v>237932</v>
      </c>
      <c r="G23" s="1229"/>
      <c r="H23" s="1230"/>
      <c r="I23" s="1228">
        <f>AE23</f>
        <v>14942</v>
      </c>
      <c r="J23" s="1229"/>
      <c r="K23" s="1230"/>
      <c r="L23" s="1228">
        <f>AH23</f>
        <v>99913</v>
      </c>
      <c r="M23" s="1229"/>
      <c r="N23" s="257"/>
      <c r="O23" s="1228">
        <f>AK23</f>
        <v>916055</v>
      </c>
      <c r="P23" s="1231"/>
      <c r="Q23" s="958"/>
      <c r="R23" s="958"/>
      <c r="S23" s="958"/>
      <c r="T23" s="958"/>
      <c r="U23" s="958"/>
      <c r="V23" s="958"/>
      <c r="W23" s="1154" t="s">
        <v>231</v>
      </c>
      <c r="X23" s="1204"/>
      <c r="Y23" s="1174">
        <v>438978</v>
      </c>
      <c r="Z23" s="13"/>
      <c r="AA23" s="1206"/>
      <c r="AB23" s="1174">
        <v>237932</v>
      </c>
      <c r="AC23" s="13"/>
      <c r="AD23" s="1206"/>
      <c r="AE23" s="1174">
        <v>14942</v>
      </c>
      <c r="AF23" s="13"/>
      <c r="AG23" s="1206"/>
      <c r="AH23" s="1174">
        <v>99913</v>
      </c>
      <c r="AI23" s="13"/>
      <c r="AJ23" s="1206"/>
      <c r="AK23" s="1174">
        <v>916055</v>
      </c>
      <c r="AL23" s="1192"/>
      <c r="AM23" s="958"/>
      <c r="AN23" s="958"/>
    </row>
    <row r="24" spans="1:40" ht="14.25" customHeight="1" x14ac:dyDescent="0.2">
      <c r="A24" s="959" t="s">
        <v>232</v>
      </c>
      <c r="B24" s="1214"/>
      <c r="C24" s="1174">
        <f t="shared" ref="C24:D34" si="6">Y24</f>
        <v>290935</v>
      </c>
      <c r="D24" s="1232"/>
      <c r="E24" s="1233"/>
      <c r="F24" s="1174">
        <f t="shared" ref="F24:F34" si="7">AB24</f>
        <v>133063</v>
      </c>
      <c r="G24" s="1232"/>
      <c r="H24" s="1233"/>
      <c r="I24" s="1174">
        <f t="shared" ref="I24:I34" si="8">AE24</f>
        <v>9320</v>
      </c>
      <c r="J24" s="1232"/>
      <c r="K24" s="1233"/>
      <c r="L24" s="1174">
        <f t="shared" ref="L24:L34" si="9">AH24</f>
        <v>68957</v>
      </c>
      <c r="M24" s="1232"/>
      <c r="N24" s="1234"/>
      <c r="O24" s="1174">
        <f t="shared" ref="O24:O34" si="10">AK24</f>
        <v>540731</v>
      </c>
      <c r="P24" s="1160"/>
      <c r="Q24" s="958"/>
      <c r="R24" s="958"/>
      <c r="S24" s="958"/>
      <c r="T24" s="958"/>
      <c r="U24" s="958"/>
      <c r="V24" s="958"/>
      <c r="W24" s="1154" t="s">
        <v>232</v>
      </c>
      <c r="X24" s="1204"/>
      <c r="Y24" s="1174">
        <v>290935</v>
      </c>
      <c r="Z24" s="13"/>
      <c r="AA24" s="1206"/>
      <c r="AB24" s="1174">
        <v>133063</v>
      </c>
      <c r="AC24" s="13"/>
      <c r="AD24" s="1206"/>
      <c r="AE24" s="1174">
        <v>9320</v>
      </c>
      <c r="AF24" s="13"/>
      <c r="AG24" s="1206"/>
      <c r="AH24" s="1174">
        <v>68957</v>
      </c>
      <c r="AI24" s="13"/>
      <c r="AJ24" s="1206"/>
      <c r="AK24" s="1174">
        <v>540731</v>
      </c>
      <c r="AL24" s="1192"/>
      <c r="AM24" s="958"/>
      <c r="AN24" s="958"/>
    </row>
    <row r="25" spans="1:40" ht="14.25" customHeight="1" x14ac:dyDescent="0.2">
      <c r="A25" s="959" t="s">
        <v>233</v>
      </c>
      <c r="B25" s="1214"/>
      <c r="C25" s="1174"/>
      <c r="D25" s="1232"/>
      <c r="E25" s="1233">
        <f>F25-G25</f>
        <v>-432</v>
      </c>
      <c r="F25" s="1174">
        <f t="shared" si="7"/>
        <v>1014</v>
      </c>
      <c r="G25" s="1232">
        <f t="shared" ref="G25:G32" si="11">AC25</f>
        <v>1446</v>
      </c>
      <c r="H25" s="1233"/>
      <c r="I25" s="1174">
        <f t="shared" si="8"/>
        <v>696</v>
      </c>
      <c r="J25" s="1232"/>
      <c r="K25" s="1233"/>
      <c r="L25" s="1174">
        <f t="shared" si="9"/>
        <v>16221</v>
      </c>
      <c r="M25" s="1232"/>
      <c r="N25" s="1233"/>
      <c r="O25" s="1174">
        <f t="shared" si="10"/>
        <v>30787</v>
      </c>
      <c r="P25" s="1235">
        <f t="shared" ref="P25:P32" si="12">AL25</f>
        <v>6875</v>
      </c>
      <c r="Q25" s="958"/>
      <c r="R25" s="958"/>
      <c r="S25" s="958"/>
      <c r="T25" s="958"/>
      <c r="U25" s="958"/>
      <c r="V25" s="958"/>
      <c r="W25" s="1154" t="s">
        <v>233</v>
      </c>
      <c r="X25" s="1204"/>
      <c r="Y25" s="1174"/>
      <c r="Z25" s="1174">
        <v>0</v>
      </c>
      <c r="AA25" s="1204">
        <f>AC25-AB25</f>
        <v>432</v>
      </c>
      <c r="AB25" s="1174">
        <v>1014</v>
      </c>
      <c r="AC25" s="13">
        <v>1446</v>
      </c>
      <c r="AD25" s="1206"/>
      <c r="AE25" s="1174">
        <v>696</v>
      </c>
      <c r="AF25" s="13"/>
      <c r="AG25" s="1204"/>
      <c r="AH25" s="1174">
        <v>16221</v>
      </c>
      <c r="AI25" s="1174"/>
      <c r="AJ25" s="1204">
        <f>AL25-AK25</f>
        <v>-23912</v>
      </c>
      <c r="AK25" s="1174">
        <v>30787</v>
      </c>
      <c r="AL25" s="1217">
        <v>6875</v>
      </c>
      <c r="AM25" s="958"/>
      <c r="AN25" s="958"/>
    </row>
    <row r="26" spans="1:40" ht="14.25" customHeight="1" x14ac:dyDescent="0.2">
      <c r="A26" s="959" t="s">
        <v>234</v>
      </c>
      <c r="B26" s="1214">
        <f>C26-D26</f>
        <v>-3567</v>
      </c>
      <c r="C26" s="1174">
        <f t="shared" si="6"/>
        <v>3499</v>
      </c>
      <c r="D26" s="1232">
        <f t="shared" si="6"/>
        <v>7066</v>
      </c>
      <c r="E26" s="1233"/>
      <c r="F26" s="1174"/>
      <c r="G26" s="1232"/>
      <c r="H26" s="1233"/>
      <c r="I26" s="1174">
        <f t="shared" si="8"/>
        <v>0</v>
      </c>
      <c r="J26" s="1232"/>
      <c r="K26" s="1233">
        <f>L26-M26</f>
        <v>25</v>
      </c>
      <c r="L26" s="1174">
        <f t="shared" si="9"/>
        <v>184</v>
      </c>
      <c r="M26" s="1232">
        <f t="shared" ref="M26:M32" si="13">AI26</f>
        <v>159</v>
      </c>
      <c r="N26" s="1233">
        <f>O26-P26</f>
        <v>2270</v>
      </c>
      <c r="O26" s="1174">
        <f t="shared" si="10"/>
        <v>18412</v>
      </c>
      <c r="P26" s="1160">
        <f t="shared" si="12"/>
        <v>16142</v>
      </c>
      <c r="Q26" s="958"/>
      <c r="R26" s="958"/>
      <c r="S26" s="958"/>
      <c r="T26" s="958"/>
      <c r="U26" s="958"/>
      <c r="V26" s="958"/>
      <c r="W26" s="1154" t="s">
        <v>234</v>
      </c>
      <c r="X26" s="1204">
        <f>Z26-Y26</f>
        <v>3567</v>
      </c>
      <c r="Y26" s="1174">
        <v>3499</v>
      </c>
      <c r="Z26" s="1174">
        <v>7066</v>
      </c>
      <c r="AA26" s="1206"/>
      <c r="AB26" s="1174"/>
      <c r="AC26" s="13"/>
      <c r="AD26" s="1206"/>
      <c r="AE26" s="1174">
        <v>0</v>
      </c>
      <c r="AF26" s="13"/>
      <c r="AG26" s="1204">
        <f>AI26-AH26</f>
        <v>-25</v>
      </c>
      <c r="AH26" s="1174">
        <v>184</v>
      </c>
      <c r="AI26" s="1174">
        <v>159</v>
      </c>
      <c r="AJ26" s="1204">
        <f>AL26-AK26</f>
        <v>-2270</v>
      </c>
      <c r="AK26" s="1174">
        <v>18412</v>
      </c>
      <c r="AL26" s="1192">
        <v>16142</v>
      </c>
      <c r="AM26" s="958"/>
      <c r="AN26" s="958"/>
    </row>
    <row r="27" spans="1:40" ht="14.25" customHeight="1" x14ac:dyDescent="0.2">
      <c r="A27" s="959" t="s">
        <v>235</v>
      </c>
      <c r="B27" s="1214"/>
      <c r="C27" s="1174">
        <f t="shared" si="6"/>
        <v>21428</v>
      </c>
      <c r="D27" s="1232"/>
      <c r="E27" s="1233"/>
      <c r="F27" s="1174">
        <f t="shared" si="7"/>
        <v>5026</v>
      </c>
      <c r="G27" s="1232"/>
      <c r="H27" s="1233"/>
      <c r="I27" s="1174">
        <f t="shared" si="8"/>
        <v>82</v>
      </c>
      <c r="J27" s="1232"/>
      <c r="K27" s="1233"/>
      <c r="L27" s="1174"/>
      <c r="M27" s="1232"/>
      <c r="N27" s="1233"/>
      <c r="O27" s="1174">
        <f t="shared" si="10"/>
        <v>1244</v>
      </c>
      <c r="P27" s="1235">
        <f t="shared" si="12"/>
        <v>1105</v>
      </c>
      <c r="Q27" s="958"/>
      <c r="R27" s="958"/>
      <c r="S27" s="958"/>
      <c r="T27" s="958"/>
      <c r="U27" s="958"/>
      <c r="V27" s="958"/>
      <c r="W27" s="1154" t="s">
        <v>235</v>
      </c>
      <c r="X27" s="1204"/>
      <c r="Y27" s="1174">
        <v>21428</v>
      </c>
      <c r="Z27" s="13"/>
      <c r="AA27" s="1204"/>
      <c r="AB27" s="1174">
        <v>5026</v>
      </c>
      <c r="AC27" s="13"/>
      <c r="AD27" s="1206"/>
      <c r="AE27" s="1174">
        <v>82</v>
      </c>
      <c r="AF27" s="13"/>
      <c r="AG27" s="1206"/>
      <c r="AH27" s="1174"/>
      <c r="AI27" s="1174"/>
      <c r="AJ27" s="1204">
        <f>AL27-AK27</f>
        <v>-139</v>
      </c>
      <c r="AK27" s="1174">
        <v>1244</v>
      </c>
      <c r="AL27" s="1217">
        <v>1105</v>
      </c>
      <c r="AM27" s="958"/>
      <c r="AN27" s="958"/>
    </row>
    <row r="28" spans="1:40" ht="14.25" customHeight="1" x14ac:dyDescent="0.2">
      <c r="A28" s="959" t="s">
        <v>236</v>
      </c>
      <c r="B28" s="1214"/>
      <c r="C28" s="1174">
        <f t="shared" si="6"/>
        <v>84136</v>
      </c>
      <c r="D28" s="1232"/>
      <c r="E28" s="1233"/>
      <c r="F28" s="1174">
        <f t="shared" si="7"/>
        <v>10851</v>
      </c>
      <c r="G28" s="1232"/>
      <c r="H28" s="1233"/>
      <c r="I28" s="1174">
        <f t="shared" si="8"/>
        <v>507</v>
      </c>
      <c r="J28" s="1232"/>
      <c r="K28" s="1233"/>
      <c r="L28" s="1174">
        <f t="shared" si="9"/>
        <v>3904</v>
      </c>
      <c r="M28" s="1232"/>
      <c r="N28" s="1234"/>
      <c r="O28" s="1174"/>
      <c r="P28" s="1235"/>
      <c r="Q28" s="958"/>
      <c r="R28" s="958"/>
      <c r="S28" s="958"/>
      <c r="T28" s="958"/>
      <c r="U28" s="958"/>
      <c r="V28" s="958"/>
      <c r="W28" s="1154" t="s">
        <v>236</v>
      </c>
      <c r="X28" s="1204"/>
      <c r="Y28" s="1174">
        <v>84136</v>
      </c>
      <c r="Z28" s="13"/>
      <c r="AA28" s="1204"/>
      <c r="AB28" s="1174">
        <v>10851</v>
      </c>
      <c r="AC28" s="13"/>
      <c r="AD28" s="1206"/>
      <c r="AE28" s="1174">
        <v>507</v>
      </c>
      <c r="AF28" s="13"/>
      <c r="AG28" s="1206"/>
      <c r="AH28" s="1174">
        <v>3904</v>
      </c>
      <c r="AI28" s="13"/>
      <c r="AJ28" s="1206"/>
      <c r="AK28" s="1174"/>
      <c r="AL28" s="1217"/>
      <c r="AM28" s="958"/>
      <c r="AN28" s="958"/>
    </row>
    <row r="29" spans="1:40" ht="14.25" customHeight="1" x14ac:dyDescent="0.2">
      <c r="A29" s="959" t="s">
        <v>237</v>
      </c>
      <c r="B29" s="1214">
        <f>C29-D29</f>
        <v>-70799</v>
      </c>
      <c r="C29" s="1174">
        <f t="shared" si="6"/>
        <v>71382</v>
      </c>
      <c r="D29" s="1236">
        <f t="shared" si="6"/>
        <v>142181</v>
      </c>
      <c r="E29" s="1233">
        <f>F29-G29</f>
        <v>-2146</v>
      </c>
      <c r="F29" s="1174">
        <f t="shared" si="7"/>
        <v>10264</v>
      </c>
      <c r="G29" s="1236">
        <f t="shared" si="11"/>
        <v>12410</v>
      </c>
      <c r="H29" s="1233">
        <f>I29-J29</f>
        <v>516</v>
      </c>
      <c r="I29" s="1174">
        <f t="shared" si="8"/>
        <v>1034</v>
      </c>
      <c r="J29" s="1236">
        <f>AF29</f>
        <v>518</v>
      </c>
      <c r="K29" s="1233">
        <f>L29-M29</f>
        <v>-374</v>
      </c>
      <c r="L29" s="1174">
        <f t="shared" si="9"/>
        <v>19330</v>
      </c>
      <c r="M29" s="1236">
        <f t="shared" si="13"/>
        <v>19704</v>
      </c>
      <c r="N29" s="1233">
        <f>O29-P29</f>
        <v>-269</v>
      </c>
      <c r="O29" s="1174">
        <f t="shared" si="10"/>
        <v>122874</v>
      </c>
      <c r="P29" s="1160">
        <f t="shared" si="12"/>
        <v>123143</v>
      </c>
      <c r="Q29" s="958"/>
      <c r="R29" s="958"/>
      <c r="S29" s="958"/>
      <c r="T29" s="958"/>
      <c r="U29" s="958"/>
      <c r="V29" s="958"/>
      <c r="W29" s="1154" t="s">
        <v>237</v>
      </c>
      <c r="X29" s="1204">
        <f>Z29-Y29</f>
        <v>70799</v>
      </c>
      <c r="Y29" s="1174">
        <v>71382</v>
      </c>
      <c r="Z29" s="1159">
        <v>142181</v>
      </c>
      <c r="AA29" s="1204">
        <f>AC29-AB29</f>
        <v>2146</v>
      </c>
      <c r="AB29" s="1174">
        <v>10264</v>
      </c>
      <c r="AC29" s="1159">
        <v>12410</v>
      </c>
      <c r="AD29" s="1204">
        <f>AF29-AE29</f>
        <v>-516</v>
      </c>
      <c r="AE29" s="1174">
        <v>1034</v>
      </c>
      <c r="AF29" s="1159">
        <v>518</v>
      </c>
      <c r="AG29" s="1204">
        <f>AI29-AH29</f>
        <v>374</v>
      </c>
      <c r="AH29" s="1174">
        <v>19330</v>
      </c>
      <c r="AI29" s="1159">
        <v>19704</v>
      </c>
      <c r="AJ29" s="1204">
        <f>AL29-AK29</f>
        <v>269</v>
      </c>
      <c r="AK29" s="1174">
        <v>122874</v>
      </c>
      <c r="AL29" s="1192">
        <v>123143</v>
      </c>
      <c r="AM29" s="958"/>
      <c r="AN29" s="958"/>
    </row>
    <row r="30" spans="1:40" ht="14.25" customHeight="1" x14ac:dyDescent="0.2">
      <c r="A30" s="959" t="s">
        <v>238</v>
      </c>
      <c r="B30" s="1214">
        <f>C30-D30</f>
        <v>-24536</v>
      </c>
      <c r="C30" s="1159">
        <f t="shared" si="6"/>
        <v>41314</v>
      </c>
      <c r="D30" s="1236">
        <f t="shared" si="6"/>
        <v>65850</v>
      </c>
      <c r="E30" s="1233">
        <f>F30-G30</f>
        <v>-11102</v>
      </c>
      <c r="F30" s="1159">
        <f t="shared" si="7"/>
        <v>8503</v>
      </c>
      <c r="G30" s="1236">
        <f t="shared" si="11"/>
        <v>19605</v>
      </c>
      <c r="H30" s="1233">
        <f>I30-J30</f>
        <v>161</v>
      </c>
      <c r="I30" s="1159">
        <f t="shared" si="8"/>
        <v>1674</v>
      </c>
      <c r="J30" s="1236">
        <f>AF30</f>
        <v>1513</v>
      </c>
      <c r="K30" s="1233">
        <f>L30-M30</f>
        <v>5006</v>
      </c>
      <c r="L30" s="1159">
        <f t="shared" si="9"/>
        <v>18056</v>
      </c>
      <c r="M30" s="1236">
        <f t="shared" si="13"/>
        <v>13050</v>
      </c>
      <c r="N30" s="1233">
        <f>O30-P30</f>
        <v>33766</v>
      </c>
      <c r="O30" s="1159">
        <f t="shared" si="10"/>
        <v>140233</v>
      </c>
      <c r="P30" s="1160">
        <f t="shared" si="12"/>
        <v>106467</v>
      </c>
      <c r="Q30" s="958"/>
      <c r="R30" s="958"/>
      <c r="S30" s="958"/>
      <c r="T30" s="958"/>
      <c r="U30" s="958"/>
      <c r="V30" s="958"/>
      <c r="W30" s="1154" t="s">
        <v>238</v>
      </c>
      <c r="X30" s="1204">
        <f>Z30-Y30</f>
        <v>24536</v>
      </c>
      <c r="Y30" s="1159">
        <v>41314</v>
      </c>
      <c r="Z30" s="1159">
        <v>65850</v>
      </c>
      <c r="AA30" s="1204">
        <f>AC30-AB30</f>
        <v>11102</v>
      </c>
      <c r="AB30" s="1159">
        <v>8503</v>
      </c>
      <c r="AC30" s="1159">
        <v>19605</v>
      </c>
      <c r="AD30" s="1204">
        <f>AF30-AE30</f>
        <v>-161</v>
      </c>
      <c r="AE30" s="1159">
        <v>1674</v>
      </c>
      <c r="AF30" s="1159">
        <v>1513</v>
      </c>
      <c r="AG30" s="1204">
        <f>AI30-AH30</f>
        <v>-5006</v>
      </c>
      <c r="AH30" s="1159">
        <v>18056</v>
      </c>
      <c r="AI30" s="1159">
        <v>13050</v>
      </c>
      <c r="AJ30" s="1204">
        <f>AL30-AK30</f>
        <v>-33766</v>
      </c>
      <c r="AK30" s="1159">
        <v>140233</v>
      </c>
      <c r="AL30" s="1192">
        <v>106467</v>
      </c>
      <c r="AM30" s="958"/>
      <c r="AN30" s="958"/>
    </row>
    <row r="31" spans="1:40" ht="14.25" customHeight="1" x14ac:dyDescent="0.2">
      <c r="A31" s="959" t="s">
        <v>239</v>
      </c>
      <c r="B31" s="1214">
        <f>C31-D31</f>
        <v>-1724</v>
      </c>
      <c r="C31" s="1159">
        <f t="shared" si="6"/>
        <v>18081</v>
      </c>
      <c r="D31" s="1236">
        <f t="shared" si="6"/>
        <v>19805</v>
      </c>
      <c r="E31" s="1233">
        <f>F31-G31</f>
        <v>-273</v>
      </c>
      <c r="F31" s="1159">
        <f t="shared" si="7"/>
        <v>3459</v>
      </c>
      <c r="G31" s="1236">
        <f t="shared" si="11"/>
        <v>3732</v>
      </c>
      <c r="H31" s="1233"/>
      <c r="I31" s="1159"/>
      <c r="J31" s="1236">
        <f>AF31</f>
        <v>343</v>
      </c>
      <c r="K31" s="1233">
        <f>L31-M31</f>
        <v>-812</v>
      </c>
      <c r="L31" s="1159">
        <f t="shared" si="9"/>
        <v>1200</v>
      </c>
      <c r="M31" s="1236">
        <f t="shared" si="13"/>
        <v>2012</v>
      </c>
      <c r="N31" s="1233"/>
      <c r="O31" s="1159">
        <f t="shared" si="10"/>
        <v>33305</v>
      </c>
      <c r="P31" s="1160"/>
      <c r="Q31" s="958"/>
      <c r="R31" s="958"/>
      <c r="S31" s="958"/>
      <c r="T31" s="958"/>
      <c r="U31" s="958"/>
      <c r="V31" s="958"/>
      <c r="W31" s="1154" t="s">
        <v>239</v>
      </c>
      <c r="X31" s="1204">
        <f>Z31-Y31</f>
        <v>1724</v>
      </c>
      <c r="Y31" s="1159">
        <v>18081</v>
      </c>
      <c r="Z31" s="1159">
        <v>19805</v>
      </c>
      <c r="AA31" s="1204">
        <f>AC31-AB31</f>
        <v>273</v>
      </c>
      <c r="AB31" s="1159">
        <v>3459</v>
      </c>
      <c r="AC31" s="1159">
        <v>3732</v>
      </c>
      <c r="AD31" s="1204"/>
      <c r="AE31" s="1159"/>
      <c r="AF31" s="1159">
        <v>343</v>
      </c>
      <c r="AG31" s="1204">
        <f>AI31-AH31</f>
        <v>812</v>
      </c>
      <c r="AH31" s="1159">
        <v>1200</v>
      </c>
      <c r="AI31" s="1159">
        <v>2012</v>
      </c>
      <c r="AJ31" s="1204"/>
      <c r="AK31" s="1159">
        <v>33305</v>
      </c>
      <c r="AL31" s="1192"/>
      <c r="AM31" s="958"/>
      <c r="AN31" s="958"/>
    </row>
    <row r="32" spans="1:40" ht="14.25" customHeight="1" x14ac:dyDescent="0.2">
      <c r="A32" s="959" t="s">
        <v>240</v>
      </c>
      <c r="B32" s="1214">
        <f>C32-D32</f>
        <v>-3436</v>
      </c>
      <c r="C32" s="1159">
        <f t="shared" si="6"/>
        <v>27717</v>
      </c>
      <c r="D32" s="1236">
        <f t="shared" si="6"/>
        <v>31153</v>
      </c>
      <c r="E32" s="1233">
        <f>F32-G32</f>
        <v>19051</v>
      </c>
      <c r="F32" s="1159">
        <f t="shared" si="7"/>
        <v>86318</v>
      </c>
      <c r="G32" s="1236">
        <f t="shared" si="11"/>
        <v>67267</v>
      </c>
      <c r="H32" s="1233">
        <f>I32-J32</f>
        <v>-312</v>
      </c>
      <c r="I32" s="1159">
        <f t="shared" si="8"/>
        <v>1611</v>
      </c>
      <c r="J32" s="1236">
        <f>AF32</f>
        <v>1923</v>
      </c>
      <c r="K32" s="1233">
        <f>L32-M32</f>
        <v>-1474</v>
      </c>
      <c r="L32" s="1159">
        <f t="shared" si="9"/>
        <v>5757</v>
      </c>
      <c r="M32" s="1236">
        <f t="shared" si="13"/>
        <v>7231</v>
      </c>
      <c r="N32" s="1233">
        <f>O32-P32</f>
        <v>76016</v>
      </c>
      <c r="O32" s="1159">
        <f t="shared" si="10"/>
        <v>136664</v>
      </c>
      <c r="P32" s="1160">
        <f t="shared" si="12"/>
        <v>60648</v>
      </c>
      <c r="Q32" s="958"/>
      <c r="R32" s="958"/>
      <c r="S32" s="958"/>
      <c r="T32" s="958"/>
      <c r="U32" s="958"/>
      <c r="V32" s="958"/>
      <c r="W32" s="1154" t="s">
        <v>240</v>
      </c>
      <c r="X32" s="1204">
        <f>Z32-Y32</f>
        <v>3436</v>
      </c>
      <c r="Y32" s="1159">
        <v>27717</v>
      </c>
      <c r="Z32" s="1159">
        <v>31153</v>
      </c>
      <c r="AA32" s="1204">
        <f>AC32-AB32</f>
        <v>-19051</v>
      </c>
      <c r="AB32" s="1159">
        <v>86318</v>
      </c>
      <c r="AC32" s="1159">
        <v>67267</v>
      </c>
      <c r="AD32" s="1204">
        <f>AF32-AE32</f>
        <v>312</v>
      </c>
      <c r="AE32" s="1159">
        <v>1611</v>
      </c>
      <c r="AF32" s="1159">
        <v>1923</v>
      </c>
      <c r="AG32" s="1204">
        <f>AI32-AH32</f>
        <v>1474</v>
      </c>
      <c r="AH32" s="1159">
        <v>5757</v>
      </c>
      <c r="AI32" s="1159">
        <v>7231</v>
      </c>
      <c r="AJ32" s="1204">
        <f>AL32-AK32</f>
        <v>-76016</v>
      </c>
      <c r="AK32" s="1159">
        <v>136664</v>
      </c>
      <c r="AL32" s="1192">
        <v>60648</v>
      </c>
      <c r="AM32" s="958"/>
      <c r="AN32" s="958"/>
    </row>
    <row r="33" spans="1:38" ht="14.25" customHeight="1" x14ac:dyDescent="0.2">
      <c r="A33" s="1237" t="s">
        <v>241</v>
      </c>
      <c r="B33" s="1214"/>
      <c r="C33" s="1159">
        <f t="shared" si="6"/>
        <v>23378</v>
      </c>
      <c r="D33" s="1236"/>
      <c r="E33" s="1233"/>
      <c r="F33" s="1159">
        <f t="shared" si="7"/>
        <v>7628</v>
      </c>
      <c r="G33" s="1236"/>
      <c r="H33" s="1233"/>
      <c r="I33" s="1159">
        <f t="shared" si="8"/>
        <v>3716</v>
      </c>
      <c r="J33" s="1236"/>
      <c r="K33" s="1233"/>
      <c r="L33" s="1159">
        <f t="shared" si="9"/>
        <v>4305</v>
      </c>
      <c r="M33" s="1236"/>
      <c r="N33" s="1233"/>
      <c r="O33" s="1159">
        <f t="shared" si="10"/>
        <v>57212</v>
      </c>
      <c r="P33" s="1160"/>
      <c r="Q33" s="958"/>
      <c r="R33" s="958"/>
      <c r="S33" s="958"/>
      <c r="T33" s="958"/>
      <c r="U33" s="958"/>
      <c r="V33" s="958"/>
      <c r="W33" s="1080" t="s">
        <v>241</v>
      </c>
      <c r="X33" s="1204"/>
      <c r="Y33" s="1159">
        <f>Y24-SUM(Y25:Y32)</f>
        <v>23378</v>
      </c>
      <c r="Z33" s="1159"/>
      <c r="AA33" s="1204"/>
      <c r="AB33" s="1159">
        <f>AB24-SUM(AB25:AB32)</f>
        <v>7628</v>
      </c>
      <c r="AC33" s="1159"/>
      <c r="AD33" s="1204"/>
      <c r="AE33" s="1159">
        <f>AE24-SUM(AE25:AE32)</f>
        <v>3716</v>
      </c>
      <c r="AF33" s="1159"/>
      <c r="AG33" s="1204"/>
      <c r="AH33" s="1159">
        <f>AH24-SUM(AH25:AH32)</f>
        <v>4305</v>
      </c>
      <c r="AI33" s="1159"/>
      <c r="AJ33" s="1204"/>
      <c r="AK33" s="1159">
        <f>AK24-SUM(AK25:AK32)</f>
        <v>57212</v>
      </c>
      <c r="AL33" s="1192"/>
    </row>
    <row r="34" spans="1:38" ht="17" thickBot="1" x14ac:dyDescent="0.25">
      <c r="A34" s="1660" t="s">
        <v>242</v>
      </c>
      <c r="B34" s="1787">
        <f>C34-D34</f>
        <v>-42463</v>
      </c>
      <c r="C34" s="1788">
        <f t="shared" si="6"/>
        <v>84637</v>
      </c>
      <c r="D34" s="1789">
        <v>127100</v>
      </c>
      <c r="E34" s="1790">
        <f>F34-G34</f>
        <v>-53408</v>
      </c>
      <c r="F34" s="1788">
        <f t="shared" si="7"/>
        <v>71392</v>
      </c>
      <c r="G34" s="1789">
        <v>124800</v>
      </c>
      <c r="H34" s="1790"/>
      <c r="I34" s="1788">
        <f t="shared" si="8"/>
        <v>722</v>
      </c>
      <c r="J34" s="1789"/>
      <c r="K34" s="1790">
        <f>L34-M34</f>
        <v>-9322</v>
      </c>
      <c r="L34" s="1788">
        <f t="shared" si="9"/>
        <v>13778</v>
      </c>
      <c r="M34" s="1789">
        <v>23100</v>
      </c>
      <c r="N34" s="1790">
        <f>O34-P34</f>
        <v>-30271</v>
      </c>
      <c r="O34" s="1788">
        <f t="shared" si="10"/>
        <v>216029</v>
      </c>
      <c r="P34" s="1791">
        <v>246300</v>
      </c>
      <c r="Q34" s="958"/>
      <c r="R34" s="958"/>
      <c r="S34" s="958"/>
      <c r="T34" s="958"/>
      <c r="U34" s="958"/>
      <c r="V34" s="958"/>
      <c r="W34" s="1080" t="s">
        <v>242</v>
      </c>
      <c r="X34" s="1238">
        <f>Z34-Y34</f>
        <v>-84637</v>
      </c>
      <c r="Y34" s="1239">
        <v>84637</v>
      </c>
      <c r="Z34" s="1239"/>
      <c r="AA34" s="1238">
        <f>AC34-AB34</f>
        <v>-71392</v>
      </c>
      <c r="AB34" s="1239">
        <v>71392</v>
      </c>
      <c r="AC34" s="1239"/>
      <c r="AD34" s="1238">
        <f>AF34-AE34</f>
        <v>-722</v>
      </c>
      <c r="AE34" s="1239">
        <v>722</v>
      </c>
      <c r="AF34" s="1239"/>
      <c r="AG34" s="1238">
        <f>AI34-AH34</f>
        <v>-13778</v>
      </c>
      <c r="AH34" s="1239">
        <v>13778</v>
      </c>
      <c r="AI34" s="1239"/>
      <c r="AJ34" s="1238">
        <f>AL34-AK34</f>
        <v>-216029</v>
      </c>
      <c r="AK34" s="1239">
        <v>216029</v>
      </c>
      <c r="AL34" s="1240"/>
    </row>
    <row r="35" spans="1:38" ht="33" customHeight="1" x14ac:dyDescent="0.2">
      <c r="A35" s="959"/>
      <c r="B35" s="2086" t="s">
        <v>245</v>
      </c>
      <c r="C35" s="2087"/>
      <c r="D35" s="2087"/>
      <c r="E35" s="2087"/>
      <c r="F35" s="2087"/>
      <c r="G35" s="2087"/>
      <c r="H35" s="2087"/>
      <c r="I35" s="2087"/>
      <c r="J35" s="2087"/>
      <c r="K35" s="2087"/>
      <c r="L35" s="2087"/>
      <c r="M35" s="2087"/>
      <c r="N35" s="2087"/>
      <c r="O35" s="2087"/>
      <c r="P35" s="2089"/>
      <c r="Q35" s="958"/>
      <c r="R35" s="958"/>
      <c r="S35" s="958"/>
      <c r="T35" s="958"/>
      <c r="U35" s="958"/>
      <c r="V35" s="958"/>
      <c r="W35" s="1154"/>
      <c r="X35" s="2007" t="s">
        <v>161</v>
      </c>
      <c r="Y35" s="2070"/>
      <c r="Z35" s="2070"/>
      <c r="AA35" s="2070"/>
      <c r="AB35" s="2070"/>
      <c r="AC35" s="2070"/>
      <c r="AD35" s="2070"/>
      <c r="AE35" s="2070"/>
      <c r="AF35" s="2070"/>
      <c r="AG35" s="2070"/>
      <c r="AH35" s="2070"/>
      <c r="AI35" s="2070"/>
      <c r="AJ35" s="2070"/>
      <c r="AK35" s="2070"/>
      <c r="AL35" s="2071"/>
    </row>
    <row r="36" spans="1:38" ht="14.25" customHeight="1" x14ac:dyDescent="0.2">
      <c r="A36" s="959" t="s">
        <v>231</v>
      </c>
      <c r="B36" s="1227"/>
      <c r="C36" s="1228">
        <f>Y36/$Z$64</f>
        <v>25295.483103922881</v>
      </c>
      <c r="D36" s="1229"/>
      <c r="E36" s="1230"/>
      <c r="F36" s="1228">
        <f>AB36/$Z$64</f>
        <v>102408.56022065993</v>
      </c>
      <c r="G36" s="1229"/>
      <c r="H36" s="1230"/>
      <c r="I36" s="1228">
        <f t="shared" ref="I36:I43" si="14">AE36/$Z$64</f>
        <v>481.33496144329507</v>
      </c>
      <c r="J36" s="1229"/>
      <c r="K36" s="1230"/>
      <c r="L36" s="1228">
        <f>AH36/$Z$64</f>
        <v>6164.8583333610604</v>
      </c>
      <c r="M36" s="1229"/>
      <c r="N36" s="257"/>
      <c r="O36" s="1228">
        <f>AK36/$Z$64</f>
        <v>47234.375745154211</v>
      </c>
      <c r="P36" s="1231"/>
      <c r="Q36" s="958"/>
      <c r="R36" s="958"/>
      <c r="S36" s="958"/>
      <c r="T36" s="958"/>
      <c r="U36" s="958"/>
      <c r="V36" s="958"/>
      <c r="W36" s="1154" t="s">
        <v>231</v>
      </c>
      <c r="X36" s="1204"/>
      <c r="Y36" s="1174">
        <v>22807.9</v>
      </c>
      <c r="Z36" s="13"/>
      <c r="AA36" s="1206"/>
      <c r="AB36" s="1174">
        <v>92337.600000000006</v>
      </c>
      <c r="AC36" s="13"/>
      <c r="AD36" s="1206"/>
      <c r="AE36" s="1174">
        <v>434</v>
      </c>
      <c r="AF36" s="13"/>
      <c r="AG36" s="1206"/>
      <c r="AH36" s="1174">
        <v>5558.6</v>
      </c>
      <c r="AI36" s="13"/>
      <c r="AJ36" s="1206"/>
      <c r="AK36" s="1174">
        <v>42589.3</v>
      </c>
      <c r="AL36" s="1192"/>
    </row>
    <row r="37" spans="1:38" ht="14.25" customHeight="1" x14ac:dyDescent="0.2">
      <c r="A37" s="959" t="s">
        <v>232</v>
      </c>
      <c r="B37" s="1214"/>
      <c r="C37" s="1174">
        <f>Y37/$Z$64</f>
        <v>14287.330354380092</v>
      </c>
      <c r="D37" s="1232"/>
      <c r="E37" s="1233"/>
      <c r="F37" s="1174">
        <f>AB37/$Z$64</f>
        <v>9412.8711630450107</v>
      </c>
      <c r="G37" s="1232"/>
      <c r="H37" s="1233"/>
      <c r="I37" s="1174">
        <f t="shared" si="14"/>
        <v>307.4332979541046</v>
      </c>
      <c r="J37" s="1232"/>
      <c r="K37" s="1233"/>
      <c r="L37" s="1174">
        <f>AH37/$Z$64</f>
        <v>3248.0128296839493</v>
      </c>
      <c r="M37" s="1232"/>
      <c r="N37" s="1234"/>
      <c r="O37" s="1174">
        <f>AK37/$Z$64</f>
        <v>23024.447157961047</v>
      </c>
      <c r="P37" s="1160"/>
      <c r="Q37" s="958"/>
      <c r="R37" s="958"/>
      <c r="S37" s="958"/>
      <c r="T37" s="958"/>
      <c r="U37" s="958"/>
      <c r="V37" s="958"/>
      <c r="W37" s="1154" t="s">
        <v>232</v>
      </c>
      <c r="X37" s="1206"/>
      <c r="Y37" s="1174">
        <v>12882.3</v>
      </c>
      <c r="Z37" s="13"/>
      <c r="AA37" s="1206"/>
      <c r="AB37" s="1174">
        <v>8487.2000000000007</v>
      </c>
      <c r="AC37" s="13"/>
      <c r="AD37" s="1206"/>
      <c r="AE37" s="1174">
        <v>277.2</v>
      </c>
      <c r="AF37" s="13"/>
      <c r="AG37" s="1206"/>
      <c r="AH37" s="1174">
        <v>2928.6</v>
      </c>
      <c r="AI37" s="13"/>
      <c r="AJ37" s="1206"/>
      <c r="AK37" s="1174">
        <v>20760.2</v>
      </c>
      <c r="AL37" s="14"/>
    </row>
    <row r="38" spans="1:38" ht="14.25" customHeight="1" x14ac:dyDescent="0.2">
      <c r="A38" s="959" t="s">
        <v>233</v>
      </c>
      <c r="B38" s="1214"/>
      <c r="C38" s="1174"/>
      <c r="D38" s="1232"/>
      <c r="E38" s="1233"/>
      <c r="F38" s="1174">
        <f>AB38/$Z$64</f>
        <v>654.34937154733666</v>
      </c>
      <c r="G38" s="1232"/>
      <c r="H38" s="1233"/>
      <c r="I38" s="1174">
        <f t="shared" si="14"/>
        <v>2.1072267897287111</v>
      </c>
      <c r="J38" s="1232"/>
      <c r="K38" s="1233"/>
      <c r="L38" s="1174">
        <f>AH38/$Z$64</f>
        <v>454.38463986939627</v>
      </c>
      <c r="M38" s="1232"/>
      <c r="N38" s="1233"/>
      <c r="O38" s="1174">
        <f>AK38/$Z$64</f>
        <v>1027.4394200024622</v>
      </c>
      <c r="P38" s="1235"/>
      <c r="Q38" s="958"/>
      <c r="R38" s="958"/>
      <c r="S38" s="958"/>
      <c r="T38" s="958"/>
      <c r="U38" s="958"/>
      <c r="V38" s="958"/>
      <c r="W38" s="1154" t="s">
        <v>233</v>
      </c>
      <c r="X38" s="1206"/>
      <c r="Y38" s="1174"/>
      <c r="Z38" s="13"/>
      <c r="AA38" s="1206"/>
      <c r="AB38" s="1174">
        <v>590</v>
      </c>
      <c r="AC38" s="13"/>
      <c r="AD38" s="1206"/>
      <c r="AE38" s="1174">
        <v>1.9</v>
      </c>
      <c r="AF38" s="13"/>
      <c r="AG38" s="1206"/>
      <c r="AH38" s="1174">
        <v>409.7</v>
      </c>
      <c r="AI38" s="13"/>
      <c r="AJ38" s="1206"/>
      <c r="AK38" s="1174">
        <v>926.4</v>
      </c>
      <c r="AL38" s="14"/>
    </row>
    <row r="39" spans="1:38" ht="14.25" customHeight="1" x14ac:dyDescent="0.2">
      <c r="A39" s="959" t="s">
        <v>234</v>
      </c>
      <c r="B39" s="1214"/>
      <c r="C39" s="1174">
        <f t="shared" ref="C39:C47" si="15">Y39/$Z$64</f>
        <v>68.09669731018046</v>
      </c>
      <c r="D39" s="1232"/>
      <c r="E39" s="1233"/>
      <c r="F39" s="1174"/>
      <c r="G39" s="1232"/>
      <c r="H39" s="1233"/>
      <c r="I39" s="1174">
        <f t="shared" si="14"/>
        <v>0</v>
      </c>
      <c r="J39" s="1232"/>
      <c r="K39" s="1233"/>
      <c r="L39" s="1174">
        <f>AH39/$Z$64</f>
        <v>8.6507205052020772</v>
      </c>
      <c r="M39" s="1232"/>
      <c r="N39" s="1233"/>
      <c r="O39" s="1174">
        <f>AK39/$Z$64</f>
        <v>444.4030392864708</v>
      </c>
      <c r="P39" s="1160"/>
      <c r="Q39" s="958"/>
      <c r="R39" s="958"/>
      <c r="S39" s="958"/>
      <c r="T39" s="958"/>
      <c r="U39" s="958"/>
      <c r="V39" s="958"/>
      <c r="W39" s="1154" t="s">
        <v>234</v>
      </c>
      <c r="X39" s="1206"/>
      <c r="Y39" s="1174">
        <v>61.4</v>
      </c>
      <c r="Z39" s="13"/>
      <c r="AA39" s="1206"/>
      <c r="AB39" s="1174"/>
      <c r="AC39" s="13"/>
      <c r="AD39" s="1206"/>
      <c r="AE39" s="1174">
        <v>0</v>
      </c>
      <c r="AF39" s="13"/>
      <c r="AG39" s="1206"/>
      <c r="AH39" s="1174">
        <v>7.8</v>
      </c>
      <c r="AI39" s="13"/>
      <c r="AJ39" s="1206"/>
      <c r="AK39" s="1174">
        <v>400.7</v>
      </c>
      <c r="AL39" s="14"/>
    </row>
    <row r="40" spans="1:38" ht="14.25" customHeight="1" x14ac:dyDescent="0.2">
      <c r="A40" s="959" t="s">
        <v>235</v>
      </c>
      <c r="B40" s="1214"/>
      <c r="C40" s="1174">
        <f t="shared" si="15"/>
        <v>1391.5460279329548</v>
      </c>
      <c r="D40" s="1232"/>
      <c r="E40" s="1233"/>
      <c r="F40" s="1174">
        <f t="shared" ref="F40:F47" si="16">AB40/$Z$64</f>
        <v>619.85739619967194</v>
      </c>
      <c r="G40" s="1232"/>
      <c r="H40" s="1233"/>
      <c r="I40" s="1174">
        <f t="shared" si="14"/>
        <v>3.6599202137393405</v>
      </c>
      <c r="J40" s="1232"/>
      <c r="K40" s="1233"/>
      <c r="L40" s="1174"/>
      <c r="M40" s="1232"/>
      <c r="N40" s="1233"/>
      <c r="O40" s="1174">
        <f>AK40/$Z$64</f>
        <v>226.24961321297741</v>
      </c>
      <c r="P40" s="1235"/>
      <c r="Q40" s="958"/>
      <c r="R40" s="958"/>
      <c r="S40" s="958"/>
      <c r="T40" s="958"/>
      <c r="U40" s="958"/>
      <c r="V40" s="958"/>
      <c r="W40" s="1154" t="s">
        <v>235</v>
      </c>
      <c r="X40" s="1206"/>
      <c r="Y40" s="1174">
        <v>1254.7</v>
      </c>
      <c r="Z40" s="13"/>
      <c r="AA40" s="1206"/>
      <c r="AB40" s="1174">
        <v>558.9</v>
      </c>
      <c r="AC40" s="13"/>
      <c r="AD40" s="1206"/>
      <c r="AE40" s="1174">
        <v>3.3</v>
      </c>
      <c r="AF40" s="13"/>
      <c r="AG40" s="1206"/>
      <c r="AH40" s="1174"/>
      <c r="AI40" s="13"/>
      <c r="AJ40" s="1206"/>
      <c r="AK40" s="1174">
        <v>204</v>
      </c>
      <c r="AL40" s="14"/>
    </row>
    <row r="41" spans="1:38" ht="14.25" customHeight="1" x14ac:dyDescent="0.2">
      <c r="A41" s="959" t="s">
        <v>236</v>
      </c>
      <c r="B41" s="1214"/>
      <c r="C41" s="1174">
        <f t="shared" si="15"/>
        <v>1815.5422393610002</v>
      </c>
      <c r="D41" s="1232"/>
      <c r="E41" s="1233"/>
      <c r="F41" s="1174">
        <f t="shared" si="16"/>
        <v>1293.9481555665723</v>
      </c>
      <c r="G41" s="1232"/>
      <c r="H41" s="1233"/>
      <c r="I41" s="1174">
        <f t="shared" si="14"/>
        <v>17.190534337260537</v>
      </c>
      <c r="J41" s="1232"/>
      <c r="K41" s="1233"/>
      <c r="L41" s="1174">
        <f t="shared" ref="L41:L47" si="17">AH41/$Z$64</f>
        <v>241.88745412622731</v>
      </c>
      <c r="M41" s="1232"/>
      <c r="N41" s="1234"/>
      <c r="O41" s="1174"/>
      <c r="P41" s="1235"/>
      <c r="Q41" s="958"/>
      <c r="R41" s="958"/>
      <c r="S41" s="958"/>
      <c r="T41" s="958"/>
      <c r="U41" s="958"/>
      <c r="V41" s="958"/>
      <c r="W41" s="1154" t="s">
        <v>236</v>
      </c>
      <c r="X41" s="1206"/>
      <c r="Y41" s="1174">
        <v>1637</v>
      </c>
      <c r="Z41" s="13"/>
      <c r="AA41" s="1206"/>
      <c r="AB41" s="1174">
        <v>1166.7</v>
      </c>
      <c r="AC41" s="13"/>
      <c r="AD41" s="1206"/>
      <c r="AE41" s="1174">
        <v>15.5</v>
      </c>
      <c r="AF41" s="13"/>
      <c r="AG41" s="1206"/>
      <c r="AH41" s="1174">
        <v>218.1</v>
      </c>
      <c r="AI41" s="13"/>
      <c r="AJ41" s="1206"/>
      <c r="AK41" s="1174"/>
      <c r="AL41" s="14"/>
    </row>
    <row r="42" spans="1:38" ht="14.25" customHeight="1" x14ac:dyDescent="0.2">
      <c r="A42" s="959" t="s">
        <v>237</v>
      </c>
      <c r="B42" s="1214"/>
      <c r="C42" s="1174">
        <f t="shared" si="15"/>
        <v>4099.1106393880618</v>
      </c>
      <c r="D42" s="1236"/>
      <c r="E42" s="1233"/>
      <c r="F42" s="1174">
        <f t="shared" si="16"/>
        <v>878.7135713168725</v>
      </c>
      <c r="G42" s="1236"/>
      <c r="H42" s="1233"/>
      <c r="I42" s="1174">
        <f t="shared" si="14"/>
        <v>20.628641204712647</v>
      </c>
      <c r="J42" s="1236"/>
      <c r="K42" s="1233"/>
      <c r="L42" s="1174">
        <f t="shared" si="17"/>
        <v>325.73289902280129</v>
      </c>
      <c r="M42" s="1236"/>
      <c r="N42" s="1233"/>
      <c r="O42" s="1174">
        <f t="shared" ref="O42:O47" si="18">AK42/$Z$64</f>
        <v>5836.7963942022434</v>
      </c>
      <c r="P42" s="1160"/>
      <c r="Q42" s="958"/>
      <c r="R42" s="958"/>
      <c r="S42" s="958"/>
      <c r="T42" s="958"/>
      <c r="U42" s="958"/>
      <c r="V42" s="958"/>
      <c r="W42" s="1154" t="s">
        <v>237</v>
      </c>
      <c r="X42" s="1206"/>
      <c r="Y42" s="1174">
        <v>3696</v>
      </c>
      <c r="Z42" s="13"/>
      <c r="AA42" s="1206"/>
      <c r="AB42" s="1174">
        <v>792.3</v>
      </c>
      <c r="AC42" s="13"/>
      <c r="AD42" s="1206"/>
      <c r="AE42" s="1174">
        <v>18.600000000000001</v>
      </c>
      <c r="AF42" s="13"/>
      <c r="AG42" s="1206"/>
      <c r="AH42" s="1174">
        <v>293.7</v>
      </c>
      <c r="AI42" s="13"/>
      <c r="AJ42" s="1206"/>
      <c r="AK42" s="1174">
        <v>5262.8</v>
      </c>
      <c r="AL42" s="14"/>
    </row>
    <row r="43" spans="1:38" x14ac:dyDescent="0.2">
      <c r="A43" s="959" t="s">
        <v>238</v>
      </c>
      <c r="B43" s="1214"/>
      <c r="C43" s="1159">
        <f t="shared" si="15"/>
        <v>3455.4083084625117</v>
      </c>
      <c r="D43" s="1236"/>
      <c r="E43" s="1233"/>
      <c r="F43" s="1159">
        <f t="shared" si="16"/>
        <v>276.04670945446117</v>
      </c>
      <c r="G43" s="1236"/>
      <c r="H43" s="1233"/>
      <c r="I43" s="1159">
        <f t="shared" si="14"/>
        <v>14.750587528100979</v>
      </c>
      <c r="J43" s="1236"/>
      <c r="K43" s="1233"/>
      <c r="L43" s="1159">
        <f t="shared" si="17"/>
        <v>404.58754362791257</v>
      </c>
      <c r="M43" s="1236"/>
      <c r="N43" s="1233"/>
      <c r="O43" s="1159">
        <f t="shared" si="18"/>
        <v>5412.3565560816232</v>
      </c>
      <c r="P43" s="1160"/>
      <c r="Q43" s="958"/>
      <c r="R43" s="958"/>
      <c r="S43" s="958"/>
      <c r="T43" s="958"/>
      <c r="U43" s="958"/>
      <c r="V43" s="958"/>
      <c r="W43" s="1154" t="s">
        <v>238</v>
      </c>
      <c r="X43" s="1204"/>
      <c r="Y43" s="1159">
        <v>3115.6</v>
      </c>
      <c r="Z43" s="1159"/>
      <c r="AA43" s="1204"/>
      <c r="AB43" s="1159">
        <v>248.9</v>
      </c>
      <c r="AC43" s="1159"/>
      <c r="AD43" s="1204"/>
      <c r="AE43" s="1159">
        <v>13.3</v>
      </c>
      <c r="AF43" s="1159"/>
      <c r="AG43" s="1204"/>
      <c r="AH43" s="1159">
        <v>364.8</v>
      </c>
      <c r="AI43" s="1159"/>
      <c r="AJ43" s="1204"/>
      <c r="AK43" s="1159">
        <v>4880.1000000000004</v>
      </c>
      <c r="AL43" s="1192"/>
    </row>
    <row r="44" spans="1:38" x14ac:dyDescent="0.2">
      <c r="A44" s="959" t="s">
        <v>239</v>
      </c>
      <c r="B44" s="1214"/>
      <c r="C44" s="1159">
        <f t="shared" si="15"/>
        <v>1141.7842000135306</v>
      </c>
      <c r="D44" s="1236"/>
      <c r="E44" s="1233"/>
      <c r="F44" s="1159">
        <f t="shared" si="16"/>
        <v>262.18337531150911</v>
      </c>
      <c r="G44" s="1236"/>
      <c r="H44" s="1233"/>
      <c r="I44" s="1159"/>
      <c r="J44" s="1236"/>
      <c r="K44" s="1233"/>
      <c r="L44" s="1159">
        <f t="shared" si="17"/>
        <v>102.921392677276</v>
      </c>
      <c r="M44" s="1236"/>
      <c r="N44" s="1233"/>
      <c r="O44" s="1159">
        <f t="shared" si="18"/>
        <v>1033.6501936985046</v>
      </c>
      <c r="P44" s="1160"/>
      <c r="Q44" s="958"/>
      <c r="R44" s="958"/>
      <c r="S44" s="958"/>
      <c r="T44" s="958"/>
      <c r="U44" s="958"/>
      <c r="V44" s="958"/>
      <c r="W44" s="1154" t="s">
        <v>239</v>
      </c>
      <c r="X44" s="1204"/>
      <c r="Y44" s="1159">
        <v>1029.5</v>
      </c>
      <c r="Z44" s="1159"/>
      <c r="AA44" s="1204"/>
      <c r="AB44" s="1159">
        <v>236.4</v>
      </c>
      <c r="AC44" s="1159"/>
      <c r="AD44" s="1204"/>
      <c r="AE44" s="1159"/>
      <c r="AF44" s="1159"/>
      <c r="AG44" s="1204"/>
      <c r="AH44" s="1159">
        <v>92.8</v>
      </c>
      <c r="AI44" s="1159"/>
      <c r="AJ44" s="1204"/>
      <c r="AK44" s="1159">
        <v>932</v>
      </c>
      <c r="AL44" s="1192"/>
    </row>
    <row r="45" spans="1:38" x14ac:dyDescent="0.2">
      <c r="A45" s="959" t="s">
        <v>240</v>
      </c>
      <c r="B45" s="1214"/>
      <c r="C45" s="1159">
        <f t="shared" si="15"/>
        <v>1525.0776623978688</v>
      </c>
      <c r="D45" s="1236"/>
      <c r="E45" s="1233"/>
      <c r="F45" s="1159">
        <f t="shared" si="16"/>
        <v>2222.1261031054978</v>
      </c>
      <c r="G45" s="1236"/>
      <c r="H45" s="1233"/>
      <c r="I45" s="1159">
        <f>AE45/$Z$64</f>
        <v>155.93478243992462</v>
      </c>
      <c r="J45" s="1236"/>
      <c r="K45" s="1233"/>
      <c r="L45" s="1159">
        <f t="shared" si="17"/>
        <v>1329.7710109919603</v>
      </c>
      <c r="M45" s="1236"/>
      <c r="N45" s="1233"/>
      <c r="O45" s="1159">
        <f t="shared" si="18"/>
        <v>7237.2149559866866</v>
      </c>
      <c r="P45" s="1160"/>
      <c r="Q45" s="958"/>
      <c r="R45" s="958"/>
      <c r="S45" s="958"/>
      <c r="T45" s="958"/>
      <c r="U45" s="958"/>
      <c r="V45" s="958"/>
      <c r="W45" s="1154" t="s">
        <v>240</v>
      </c>
      <c r="X45" s="1204"/>
      <c r="Y45" s="1159">
        <v>1375.1</v>
      </c>
      <c r="Z45" s="1159"/>
      <c r="AA45" s="1204"/>
      <c r="AB45" s="1159">
        <v>2003.6</v>
      </c>
      <c r="AC45" s="1159"/>
      <c r="AD45" s="1204"/>
      <c r="AE45" s="1159">
        <v>140.6</v>
      </c>
      <c r="AF45" s="1159"/>
      <c r="AG45" s="1204"/>
      <c r="AH45" s="1159">
        <v>1199</v>
      </c>
      <c r="AI45" s="1159"/>
      <c r="AJ45" s="1204"/>
      <c r="AK45" s="1159">
        <v>6525.5</v>
      </c>
      <c r="AL45" s="1192"/>
    </row>
    <row r="46" spans="1:38" x14ac:dyDescent="0.2">
      <c r="A46" s="1237" t="s">
        <v>241</v>
      </c>
      <c r="B46" s="1214"/>
      <c r="C46" s="1159">
        <f t="shared" si="15"/>
        <v>790.76457951398277</v>
      </c>
      <c r="D46" s="1236"/>
      <c r="E46" s="1233"/>
      <c r="F46" s="1159">
        <f t="shared" si="16"/>
        <v>3205.6464805430874</v>
      </c>
      <c r="G46" s="1236"/>
      <c r="H46" s="1233"/>
      <c r="I46" s="1159">
        <f>AE46/$Z$64</f>
        <v>93.161605440637757</v>
      </c>
      <c r="J46" s="1236"/>
      <c r="K46" s="1233"/>
      <c r="L46" s="1159">
        <f t="shared" si="17"/>
        <v>380.07716886317365</v>
      </c>
      <c r="M46" s="1236"/>
      <c r="N46" s="1233"/>
      <c r="O46" s="1159">
        <f t="shared" si="18"/>
        <v>1806.3369854900807</v>
      </c>
      <c r="P46" s="1160"/>
      <c r="Q46" s="958"/>
      <c r="R46" s="958"/>
      <c r="S46" s="958"/>
      <c r="T46" s="958"/>
      <c r="U46" s="958"/>
      <c r="V46" s="958"/>
      <c r="W46" s="1080" t="s">
        <v>241</v>
      </c>
      <c r="X46" s="1204"/>
      <c r="Y46" s="1159">
        <f>Y37-SUM(Y38:Y45)</f>
        <v>712.99999999999818</v>
      </c>
      <c r="Z46" s="1159"/>
      <c r="AA46" s="1204"/>
      <c r="AB46" s="1159">
        <f>AB37-SUM(AB38:AB45)</f>
        <v>2890.3999999999996</v>
      </c>
      <c r="AC46" s="1159"/>
      <c r="AD46" s="1204"/>
      <c r="AE46" s="1159">
        <f>AE37-SUM(AE38:AE45)</f>
        <v>84</v>
      </c>
      <c r="AF46" s="1159"/>
      <c r="AG46" s="1204"/>
      <c r="AH46" s="1159">
        <f>AH37-SUM(AH38:AH45)</f>
        <v>342.70000000000027</v>
      </c>
      <c r="AI46" s="1159"/>
      <c r="AJ46" s="1204"/>
      <c r="AK46" s="1159">
        <f>AK37-SUM(AK38:AK45)</f>
        <v>1628.7000000000007</v>
      </c>
      <c r="AL46" s="1192"/>
    </row>
    <row r="47" spans="1:38" ht="17" thickBot="1" x14ac:dyDescent="0.25">
      <c r="A47" s="1660" t="s">
        <v>242</v>
      </c>
      <c r="B47" s="1787">
        <f>C47-D47</f>
        <v>-46.628556915640729</v>
      </c>
      <c r="C47" s="1788">
        <f t="shared" si="15"/>
        <v>7815.3714430843593</v>
      </c>
      <c r="D47" s="1789">
        <f>TableA10!$D$14+TableA10!$E$14+TableA10!$G$14</f>
        <v>7862</v>
      </c>
      <c r="E47" s="1790">
        <f>F47-G47</f>
        <v>12599.806261568956</v>
      </c>
      <c r="F47" s="1788">
        <f t="shared" si="16"/>
        <v>88953.806261568956</v>
      </c>
      <c r="G47" s="1789">
        <f>TableA10!$D$23+TableA10!$E$23+TableA10!$G$23</f>
        <v>76354</v>
      </c>
      <c r="H47" s="1790"/>
      <c r="I47" s="1788">
        <f>AE47/$Z$64</f>
        <v>24.732188111026453</v>
      </c>
      <c r="J47" s="1789"/>
      <c r="K47" s="1790">
        <f>L47-M47</f>
        <v>-3224.4416192817907</v>
      </c>
      <c r="L47" s="1788">
        <f t="shared" si="17"/>
        <v>2409.5583807182093</v>
      </c>
      <c r="M47" s="1789">
        <f>TableA10!$D$25+TableA10!$E$25+TableA10!$G$25</f>
        <v>5634</v>
      </c>
      <c r="N47" s="1790">
        <f>O47-P47</f>
        <v>-9216.694526422958</v>
      </c>
      <c r="O47" s="1788">
        <f t="shared" si="18"/>
        <v>17013.305473577042</v>
      </c>
      <c r="P47" s="1791">
        <f>TableA10!$D$26+TableA10!$E$26+TableA10!$G$26</f>
        <v>26230</v>
      </c>
      <c r="Q47" s="958"/>
      <c r="R47" s="958"/>
      <c r="S47" s="958"/>
      <c r="T47" s="958"/>
      <c r="U47" s="958"/>
      <c r="V47" s="958"/>
      <c r="W47" s="1154" t="s">
        <v>242</v>
      </c>
      <c r="X47" s="1238"/>
      <c r="Y47" s="1239">
        <v>7046.8</v>
      </c>
      <c r="Z47" s="1239"/>
      <c r="AA47" s="1238"/>
      <c r="AB47" s="1239">
        <v>80206</v>
      </c>
      <c r="AC47" s="1239"/>
      <c r="AD47" s="1238"/>
      <c r="AE47" s="1239">
        <v>22.3</v>
      </c>
      <c r="AF47" s="1239"/>
      <c r="AG47" s="1238"/>
      <c r="AH47" s="1239">
        <v>2172.6</v>
      </c>
      <c r="AI47" s="1239"/>
      <c r="AJ47" s="1238"/>
      <c r="AK47" s="1239">
        <v>15340.2</v>
      </c>
      <c r="AL47" s="1240"/>
    </row>
    <row r="48" spans="1:38" ht="33" customHeight="1" x14ac:dyDescent="0.2">
      <c r="A48" s="959"/>
      <c r="B48" s="2086" t="s">
        <v>246</v>
      </c>
      <c r="C48" s="2087"/>
      <c r="D48" s="2087"/>
      <c r="E48" s="2087"/>
      <c r="F48" s="2087"/>
      <c r="G48" s="2087"/>
      <c r="H48" s="2087"/>
      <c r="I48" s="2087"/>
      <c r="J48" s="2087"/>
      <c r="K48" s="2087"/>
      <c r="L48" s="2087"/>
      <c r="M48" s="2087"/>
      <c r="N48" s="2087"/>
      <c r="O48" s="2087"/>
      <c r="P48" s="2089"/>
      <c r="Q48" s="958"/>
      <c r="R48" s="958"/>
      <c r="S48" s="958"/>
      <c r="T48" s="958"/>
      <c r="U48" s="958"/>
      <c r="V48" s="958"/>
      <c r="W48" s="1154"/>
      <c r="X48" s="2007" t="s">
        <v>125</v>
      </c>
      <c r="Y48" s="2070"/>
      <c r="Z48" s="2070"/>
      <c r="AA48" s="2070"/>
      <c r="AB48" s="2070"/>
      <c r="AC48" s="2070"/>
      <c r="AD48" s="2070"/>
      <c r="AE48" s="2070"/>
      <c r="AF48" s="2070"/>
      <c r="AG48" s="2070"/>
      <c r="AH48" s="2070"/>
      <c r="AI48" s="2070"/>
      <c r="AJ48" s="2070"/>
      <c r="AK48" s="2070"/>
      <c r="AL48" s="2071"/>
    </row>
    <row r="49" spans="1:38" x14ac:dyDescent="0.2">
      <c r="A49" s="959" t="s">
        <v>231</v>
      </c>
      <c r="B49" s="1227"/>
      <c r="C49" s="1228">
        <f>Y49/$Z$64</f>
        <v>35305.253981826834</v>
      </c>
      <c r="D49" s="1229"/>
      <c r="E49" s="1230"/>
      <c r="F49" s="1228">
        <f>AB49/$Z$64</f>
        <v>13736.900535568324</v>
      </c>
      <c r="G49" s="1229"/>
      <c r="H49" s="1230"/>
      <c r="I49" s="1228">
        <f>AE49/$Z$64</f>
        <v>547.43533863689049</v>
      </c>
      <c r="J49" s="1229"/>
      <c r="K49" s="1230"/>
      <c r="L49" s="1228">
        <f>AH49/$Z$64</f>
        <v>5846.8889014583119</v>
      </c>
      <c r="M49" s="1229"/>
      <c r="N49" s="257"/>
      <c r="O49" s="1228">
        <f>AK49/$Z$64</f>
        <v>56091.160849057123</v>
      </c>
      <c r="P49" s="1231"/>
      <c r="Q49" s="958"/>
      <c r="R49" s="958"/>
      <c r="S49" s="958"/>
      <c r="T49" s="958"/>
      <c r="U49" s="958"/>
      <c r="V49" s="958"/>
      <c r="W49" s="1154" t="s">
        <v>231</v>
      </c>
      <c r="X49" s="1204"/>
      <c r="Y49" s="1174">
        <v>31833.3</v>
      </c>
      <c r="Z49" s="13"/>
      <c r="AA49" s="1206"/>
      <c r="AB49" s="1174">
        <v>12386</v>
      </c>
      <c r="AC49" s="13"/>
      <c r="AD49" s="1206"/>
      <c r="AE49" s="1174">
        <v>493.6</v>
      </c>
      <c r="AF49" s="13"/>
      <c r="AG49" s="1206"/>
      <c r="AH49" s="1174">
        <v>5271.9</v>
      </c>
      <c r="AI49" s="13"/>
      <c r="AJ49" s="1206"/>
      <c r="AK49" s="1174">
        <v>50575.1</v>
      </c>
      <c r="AL49" s="1192"/>
    </row>
    <row r="50" spans="1:38" x14ac:dyDescent="0.2">
      <c r="A50" s="959" t="s">
        <v>232</v>
      </c>
      <c r="B50" s="1214"/>
      <c r="C50" s="1174">
        <f t="shared" ref="C50:C60" si="19">Y50/$Z$64</f>
        <v>21129.717553975504</v>
      </c>
      <c r="D50" s="1232"/>
      <c r="E50" s="1233"/>
      <c r="F50" s="1174">
        <f t="shared" ref="F50:F60" si="20">AB50/$Z$64</f>
        <v>6486.4876854775484</v>
      </c>
      <c r="G50" s="1232"/>
      <c r="H50" s="1233"/>
      <c r="I50" s="1174">
        <f t="shared" ref="I50:I60" si="21">AE50/$Z$64</f>
        <v>292.4608970797164</v>
      </c>
      <c r="J50" s="1232"/>
      <c r="K50" s="1233"/>
      <c r="L50" s="1174">
        <f t="shared" ref="L50:L60" si="22">AH50/$Z$64</f>
        <v>3669.4581876296916</v>
      </c>
      <c r="M50" s="1232"/>
      <c r="N50" s="1234"/>
      <c r="O50" s="1174">
        <f t="shared" ref="O50:O60" si="23">AK50/$Z$64</f>
        <v>29862.065370611286</v>
      </c>
      <c r="P50" s="1160"/>
      <c r="Q50" s="958"/>
      <c r="R50" s="958"/>
      <c r="S50" s="958"/>
      <c r="T50" s="958"/>
      <c r="U50" s="958"/>
      <c r="V50" s="958"/>
      <c r="W50" s="1154" t="s">
        <v>232</v>
      </c>
      <c r="X50" s="1204"/>
      <c r="Y50" s="1174">
        <v>19051.8</v>
      </c>
      <c r="Z50" s="13"/>
      <c r="AA50" s="1206"/>
      <c r="AB50" s="1174">
        <v>5848.6</v>
      </c>
      <c r="AC50" s="13"/>
      <c r="AD50" s="1206"/>
      <c r="AE50" s="1174">
        <v>263.7</v>
      </c>
      <c r="AF50" s="13"/>
      <c r="AG50" s="1206"/>
      <c r="AH50" s="1174">
        <v>3308.6</v>
      </c>
      <c r="AI50" s="13"/>
      <c r="AJ50" s="1206"/>
      <c r="AK50" s="1174">
        <v>26925.4</v>
      </c>
      <c r="AL50" s="1192"/>
    </row>
    <row r="51" spans="1:38" x14ac:dyDescent="0.2">
      <c r="A51" s="959" t="s">
        <v>233</v>
      </c>
      <c r="B51" s="1214"/>
      <c r="C51" s="1174"/>
      <c r="D51" s="1232"/>
      <c r="E51" s="1233"/>
      <c r="F51" s="1174">
        <f t="shared" si="20"/>
        <v>62.994990345574102</v>
      </c>
      <c r="G51" s="1232"/>
      <c r="H51" s="1233"/>
      <c r="I51" s="1174">
        <f t="shared" si="21"/>
        <v>13.974240816095664</v>
      </c>
      <c r="J51" s="1232"/>
      <c r="K51" s="1233"/>
      <c r="L51" s="1174">
        <f t="shared" si="22"/>
        <v>843.66706260348985</v>
      </c>
      <c r="M51" s="1232"/>
      <c r="N51" s="1233"/>
      <c r="O51" s="1174">
        <f t="shared" si="23"/>
        <v>1782.1593307447718</v>
      </c>
      <c r="P51" s="1235"/>
      <c r="Q51" s="958"/>
      <c r="R51" s="958"/>
      <c r="S51" s="958"/>
      <c r="T51" s="958"/>
      <c r="U51" s="958"/>
      <c r="V51" s="958"/>
      <c r="W51" s="1154" t="s">
        <v>233</v>
      </c>
      <c r="X51" s="1204"/>
      <c r="Y51" s="1174"/>
      <c r="Z51" s="13"/>
      <c r="AA51" s="1206"/>
      <c r="AB51" s="1174">
        <v>56.8</v>
      </c>
      <c r="AC51" s="13"/>
      <c r="AD51" s="1206"/>
      <c r="AE51" s="1174">
        <v>12.6</v>
      </c>
      <c r="AF51" s="13"/>
      <c r="AG51" s="1206"/>
      <c r="AH51" s="1174">
        <v>760.7</v>
      </c>
      <c r="AI51" s="13"/>
      <c r="AJ51" s="1206"/>
      <c r="AK51" s="1174">
        <v>1606.9</v>
      </c>
      <c r="AL51" s="1192"/>
    </row>
    <row r="52" spans="1:38" x14ac:dyDescent="0.2">
      <c r="A52" s="959" t="s">
        <v>234</v>
      </c>
      <c r="B52" s="1214"/>
      <c r="C52" s="1174">
        <f t="shared" si="19"/>
        <v>295.89900394716852</v>
      </c>
      <c r="D52" s="1232"/>
      <c r="E52" s="1233"/>
      <c r="F52" s="1174"/>
      <c r="G52" s="1232"/>
      <c r="H52" s="1233"/>
      <c r="I52" s="1174">
        <f t="shared" si="21"/>
        <v>0</v>
      </c>
      <c r="J52" s="1232"/>
      <c r="K52" s="1233"/>
      <c r="L52" s="1174">
        <f t="shared" si="22"/>
        <v>13.641520796664816</v>
      </c>
      <c r="M52" s="1232"/>
      <c r="N52" s="1233"/>
      <c r="O52" s="1174">
        <f t="shared" si="23"/>
        <v>871.94826425511201</v>
      </c>
      <c r="P52" s="1160"/>
      <c r="Q52" s="958"/>
      <c r="R52" s="958"/>
      <c r="S52" s="958"/>
      <c r="T52" s="958"/>
      <c r="U52" s="958"/>
      <c r="V52" s="958"/>
      <c r="W52" s="1154" t="s">
        <v>234</v>
      </c>
      <c r="X52" s="1204"/>
      <c r="Y52" s="1174">
        <v>266.8</v>
      </c>
      <c r="Z52" s="13"/>
      <c r="AA52" s="1206"/>
      <c r="AB52" s="1174"/>
      <c r="AC52" s="13"/>
      <c r="AD52" s="1206"/>
      <c r="AE52" s="1174">
        <v>0</v>
      </c>
      <c r="AF52" s="13"/>
      <c r="AG52" s="1206"/>
      <c r="AH52" s="1174">
        <v>12.3</v>
      </c>
      <c r="AI52" s="13"/>
      <c r="AJ52" s="1206"/>
      <c r="AK52" s="1174">
        <v>786.2</v>
      </c>
      <c r="AL52" s="1192"/>
    </row>
    <row r="53" spans="1:38" x14ac:dyDescent="0.2">
      <c r="A53" s="959" t="s">
        <v>235</v>
      </c>
      <c r="B53" s="1214"/>
      <c r="C53" s="1174">
        <f t="shared" si="19"/>
        <v>2071.9584676690411</v>
      </c>
      <c r="D53" s="1232"/>
      <c r="E53" s="1233"/>
      <c r="F53" s="1174">
        <f t="shared" si="20"/>
        <v>369.20831489509891</v>
      </c>
      <c r="G53" s="1232"/>
      <c r="H53" s="1233"/>
      <c r="I53" s="1174">
        <f t="shared" si="21"/>
        <v>5.3235203108935858</v>
      </c>
      <c r="J53" s="1232"/>
      <c r="K53" s="1233"/>
      <c r="L53" s="1174"/>
      <c r="M53" s="1232"/>
      <c r="N53" s="1233"/>
      <c r="O53" s="1174">
        <f t="shared" si="23"/>
        <v>69.53848406104747</v>
      </c>
      <c r="P53" s="1235"/>
      <c r="Q53" s="958"/>
      <c r="R53" s="958"/>
      <c r="S53" s="958"/>
      <c r="T53" s="958"/>
      <c r="U53" s="958"/>
      <c r="V53" s="958"/>
      <c r="W53" s="1154" t="s">
        <v>235</v>
      </c>
      <c r="X53" s="1204"/>
      <c r="Y53" s="1174">
        <v>1868.2</v>
      </c>
      <c r="Z53" s="13"/>
      <c r="AA53" s="1206"/>
      <c r="AB53" s="1174">
        <v>332.9</v>
      </c>
      <c r="AC53" s="13"/>
      <c r="AD53" s="1206"/>
      <c r="AE53" s="1174">
        <v>4.8</v>
      </c>
      <c r="AF53" s="13"/>
      <c r="AG53" s="1206"/>
      <c r="AH53" s="1174"/>
      <c r="AI53" s="13"/>
      <c r="AJ53" s="1206"/>
      <c r="AK53" s="1174">
        <v>62.7</v>
      </c>
      <c r="AL53" s="1192"/>
    </row>
    <row r="54" spans="1:38" x14ac:dyDescent="0.2">
      <c r="A54" s="959" t="s">
        <v>236</v>
      </c>
      <c r="B54" s="1214"/>
      <c r="C54" s="1174">
        <f t="shared" si="19"/>
        <v>4586.9890945468296</v>
      </c>
      <c r="D54" s="1232"/>
      <c r="E54" s="1233"/>
      <c r="F54" s="1174">
        <f t="shared" si="20"/>
        <v>671.87262590402793</v>
      </c>
      <c r="G54" s="1232"/>
      <c r="H54" s="1233"/>
      <c r="I54" s="1174">
        <f t="shared" si="21"/>
        <v>23.068588013872208</v>
      </c>
      <c r="J54" s="1232"/>
      <c r="K54" s="1233"/>
      <c r="L54" s="1174">
        <f t="shared" si="22"/>
        <v>160.92558273138735</v>
      </c>
      <c r="M54" s="1232"/>
      <c r="N54" s="1234"/>
      <c r="O54" s="1174"/>
      <c r="P54" s="1235"/>
      <c r="Q54" s="958"/>
      <c r="R54" s="958"/>
      <c r="S54" s="958"/>
      <c r="T54" s="958"/>
      <c r="U54" s="958"/>
      <c r="V54" s="958"/>
      <c r="W54" s="1154" t="s">
        <v>236</v>
      </c>
      <c r="X54" s="1204"/>
      <c r="Y54" s="1174">
        <v>4135.8999999999996</v>
      </c>
      <c r="Z54" s="13"/>
      <c r="AA54" s="1206"/>
      <c r="AB54" s="1174">
        <v>605.79999999999995</v>
      </c>
      <c r="AC54" s="13"/>
      <c r="AD54" s="1206"/>
      <c r="AE54" s="1174">
        <v>20.8</v>
      </c>
      <c r="AF54" s="13"/>
      <c r="AG54" s="1206"/>
      <c r="AH54" s="1174">
        <v>145.1</v>
      </c>
      <c r="AI54" s="13"/>
      <c r="AJ54" s="1206"/>
      <c r="AK54" s="1174"/>
      <c r="AL54" s="1192"/>
    </row>
    <row r="55" spans="1:38" x14ac:dyDescent="0.2">
      <c r="A55" s="959" t="s">
        <v>237</v>
      </c>
      <c r="B55" s="1214">
        <f>C55-D55</f>
        <v>-3621.8792248510799</v>
      </c>
      <c r="C55" s="1174">
        <f t="shared" si="19"/>
        <v>5554.538911051739</v>
      </c>
      <c r="D55" s="1236">
        <f>Z55/$Z$64</f>
        <v>9176.4181359028189</v>
      </c>
      <c r="E55" s="1233">
        <f>F55-G55</f>
        <v>-56.118776610669897</v>
      </c>
      <c r="F55" s="1174">
        <f t="shared" si="20"/>
        <v>618.19379610251769</v>
      </c>
      <c r="G55" s="1236">
        <f>AC55/$Z$64</f>
        <v>674.31257271318759</v>
      </c>
      <c r="H55" s="1233">
        <f>I55-J55</f>
        <v>-15.194214220675448</v>
      </c>
      <c r="I55" s="1174">
        <f t="shared" si="21"/>
        <v>35.822855425388084</v>
      </c>
      <c r="J55" s="1236">
        <f>AF55/$Z$64</f>
        <v>51.017069646063533</v>
      </c>
      <c r="K55" s="1233">
        <f>L55-M55</f>
        <v>196.859344829919</v>
      </c>
      <c r="L55" s="1174">
        <f t="shared" si="22"/>
        <v>895.57138563470221</v>
      </c>
      <c r="M55" s="1236">
        <f>AI55/$Z$64</f>
        <v>698.71204080478321</v>
      </c>
      <c r="N55" s="1233">
        <f>O55-P55</f>
        <v>-659.00745181936691</v>
      </c>
      <c r="O55" s="1174">
        <f t="shared" si="23"/>
        <v>8766.9506986565884</v>
      </c>
      <c r="P55" s="1160">
        <f>AL55/$Z$64</f>
        <v>9425.9581504759553</v>
      </c>
      <c r="Q55" s="958"/>
      <c r="R55" s="958"/>
      <c r="S55" s="958"/>
      <c r="T55" s="958"/>
      <c r="U55" s="958"/>
      <c r="V55" s="958"/>
      <c r="W55" s="1154" t="s">
        <v>237</v>
      </c>
      <c r="X55" s="1204">
        <f>Z55-Y55</f>
        <v>3265.7</v>
      </c>
      <c r="Y55" s="1174">
        <v>5008.3</v>
      </c>
      <c r="Z55" s="1174">
        <v>8274</v>
      </c>
      <c r="AA55" s="1204">
        <f>AC55-AB55</f>
        <v>50.600000000000023</v>
      </c>
      <c r="AB55" s="1174">
        <v>557.4</v>
      </c>
      <c r="AC55" s="1174">
        <v>608</v>
      </c>
      <c r="AD55" s="1204">
        <f>AF55-AE55</f>
        <v>13.700000000000003</v>
      </c>
      <c r="AE55" s="1174">
        <v>32.299999999999997</v>
      </c>
      <c r="AF55" s="1174">
        <v>46</v>
      </c>
      <c r="AG55" s="1204">
        <f>AI55-AH55</f>
        <v>-177.5</v>
      </c>
      <c r="AH55" s="1174">
        <v>807.5</v>
      </c>
      <c r="AI55" s="1174">
        <v>630</v>
      </c>
      <c r="AJ55" s="1204">
        <f>AL55-AK55</f>
        <v>594.19999999999982</v>
      </c>
      <c r="AK55" s="1174">
        <v>7904.8</v>
      </c>
      <c r="AL55" s="1192">
        <v>8499</v>
      </c>
    </row>
    <row r="56" spans="1:38" x14ac:dyDescent="0.2">
      <c r="A56" s="959" t="s">
        <v>238</v>
      </c>
      <c r="B56" s="1214"/>
      <c r="C56" s="1159">
        <f t="shared" si="19"/>
        <v>3513.4124985166236</v>
      </c>
      <c r="D56" s="1236"/>
      <c r="E56" s="1233"/>
      <c r="F56" s="1159">
        <f t="shared" si="20"/>
        <v>484.77306831074725</v>
      </c>
      <c r="G56" s="1236"/>
      <c r="H56" s="1233"/>
      <c r="I56" s="1159">
        <f t="shared" si="21"/>
        <v>72.311150889637887</v>
      </c>
      <c r="J56" s="1236"/>
      <c r="K56" s="1233"/>
      <c r="L56" s="1159">
        <f t="shared" si="22"/>
        <v>910.43287983594689</v>
      </c>
      <c r="M56" s="1236"/>
      <c r="N56" s="1233"/>
      <c r="O56" s="1159">
        <f t="shared" si="23"/>
        <v>7741.9512254632855</v>
      </c>
      <c r="P56" s="1160"/>
      <c r="Q56" s="958"/>
      <c r="R56" s="958"/>
      <c r="S56" s="958"/>
      <c r="T56" s="958"/>
      <c r="U56" s="958"/>
      <c r="V56" s="958"/>
      <c r="W56" s="1154" t="s">
        <v>238</v>
      </c>
      <c r="X56" s="1204"/>
      <c r="Y56" s="1159">
        <v>3167.9</v>
      </c>
      <c r="Z56" s="1159"/>
      <c r="AA56" s="1204"/>
      <c r="AB56" s="1159">
        <v>437.1</v>
      </c>
      <c r="AC56" s="1159"/>
      <c r="AD56" s="1204"/>
      <c r="AE56" s="1159">
        <v>65.2</v>
      </c>
      <c r="AF56" s="1159"/>
      <c r="AG56" s="1204"/>
      <c r="AH56" s="1159">
        <v>820.9</v>
      </c>
      <c r="AI56" s="1159"/>
      <c r="AJ56" s="1204"/>
      <c r="AK56" s="1159">
        <v>6980.6</v>
      </c>
      <c r="AL56" s="1192"/>
    </row>
    <row r="57" spans="1:38" x14ac:dyDescent="0.2">
      <c r="A57" s="959" t="s">
        <v>239</v>
      </c>
      <c r="B57" s="1214"/>
      <c r="C57" s="1159">
        <f t="shared" si="19"/>
        <v>1253.3563131960086</v>
      </c>
      <c r="D57" s="1236"/>
      <c r="E57" s="1233"/>
      <c r="F57" s="1159">
        <f t="shared" si="20"/>
        <v>214.04987916717963</v>
      </c>
      <c r="G57" s="1236"/>
      <c r="H57" s="1233"/>
      <c r="I57" s="1159"/>
      <c r="J57" s="1236"/>
      <c r="K57" s="1233"/>
      <c r="L57" s="1159">
        <f t="shared" si="22"/>
        <v>81.072778067983563</v>
      </c>
      <c r="M57" s="1236"/>
      <c r="N57" s="1233"/>
      <c r="O57" s="1159">
        <f t="shared" si="23"/>
        <v>1976.0241953998132</v>
      </c>
      <c r="P57" s="1160"/>
      <c r="Q57" s="958"/>
      <c r="R57" s="958"/>
      <c r="S57" s="958"/>
      <c r="T57" s="958"/>
      <c r="U57" s="958"/>
      <c r="V57" s="958"/>
      <c r="W57" s="1154" t="s">
        <v>239</v>
      </c>
      <c r="X57" s="1204"/>
      <c r="Y57" s="1159">
        <v>1130.0999999999999</v>
      </c>
      <c r="Z57" s="1159"/>
      <c r="AA57" s="1204"/>
      <c r="AB57" s="1159">
        <v>193</v>
      </c>
      <c r="AC57" s="1159"/>
      <c r="AD57" s="1204"/>
      <c r="AE57" s="1159"/>
      <c r="AF57" s="1159"/>
      <c r="AG57" s="1204"/>
      <c r="AH57" s="1159">
        <v>73.099999999999994</v>
      </c>
      <c r="AI57" s="1159"/>
      <c r="AJ57" s="1204"/>
      <c r="AK57" s="1159">
        <v>1781.7</v>
      </c>
      <c r="AL57" s="1192"/>
    </row>
    <row r="58" spans="1:38" x14ac:dyDescent="0.2">
      <c r="A58" s="959" t="s">
        <v>240</v>
      </c>
      <c r="B58" s="1214"/>
      <c r="C58" s="1159">
        <f t="shared" si="19"/>
        <v>2461.684517095709</v>
      </c>
      <c r="D58" s="1236"/>
      <c r="E58" s="1233"/>
      <c r="F58" s="1159">
        <f t="shared" si="20"/>
        <v>3599.6978902223568</v>
      </c>
      <c r="G58" s="1236"/>
      <c r="H58" s="1233"/>
      <c r="I58" s="1159">
        <f t="shared" si="21"/>
        <v>48.577122836903975</v>
      </c>
      <c r="J58" s="1236"/>
      <c r="K58" s="1233"/>
      <c r="L58" s="1159">
        <f t="shared" si="22"/>
        <v>407.58202380279022</v>
      </c>
      <c r="M58" s="1236"/>
      <c r="N58" s="1233"/>
      <c r="O58" s="1159">
        <f t="shared" si="23"/>
        <v>5354.0196460080806</v>
      </c>
      <c r="P58" s="1160"/>
      <c r="Q58" s="958"/>
      <c r="R58" s="958"/>
      <c r="S58" s="958"/>
      <c r="T58" s="958"/>
      <c r="U58" s="958"/>
      <c r="V58" s="958"/>
      <c r="W58" s="1154" t="s">
        <v>240</v>
      </c>
      <c r="X58" s="1204"/>
      <c r="Y58" s="1159">
        <v>2219.6</v>
      </c>
      <c r="Z58" s="1159"/>
      <c r="AA58" s="1204"/>
      <c r="AB58" s="1159">
        <v>3245.7</v>
      </c>
      <c r="AC58" s="1159"/>
      <c r="AD58" s="1204"/>
      <c r="AE58" s="1159">
        <v>43.8</v>
      </c>
      <c r="AF58" s="1159"/>
      <c r="AG58" s="1204"/>
      <c r="AH58" s="1159">
        <v>367.5</v>
      </c>
      <c r="AI58" s="1159"/>
      <c r="AJ58" s="1204"/>
      <c r="AK58" s="1159">
        <v>4827.5</v>
      </c>
      <c r="AL58" s="1192"/>
    </row>
    <row r="59" spans="1:38" x14ac:dyDescent="0.2">
      <c r="A59" s="1237" t="s">
        <v>241</v>
      </c>
      <c r="B59" s="1214"/>
      <c r="C59" s="1159">
        <f t="shared" si="19"/>
        <v>1391.8787479523855</v>
      </c>
      <c r="D59" s="1236"/>
      <c r="E59" s="1233"/>
      <c r="F59" s="1159">
        <f t="shared" si="20"/>
        <v>465.69712053004577</v>
      </c>
      <c r="G59" s="1236"/>
      <c r="H59" s="1233"/>
      <c r="I59" s="1159">
        <f t="shared" si="21"/>
        <v>93.383418786924977</v>
      </c>
      <c r="J59" s="1236"/>
      <c r="K59" s="1233"/>
      <c r="L59" s="1159">
        <f t="shared" si="22"/>
        <v>356.56495415672669</v>
      </c>
      <c r="M59" s="1236"/>
      <c r="N59" s="1233"/>
      <c r="O59" s="1159">
        <f t="shared" si="23"/>
        <v>3299.4735260225875</v>
      </c>
      <c r="P59" s="1160"/>
      <c r="Q59" s="958"/>
      <c r="R59" s="958"/>
      <c r="S59" s="958"/>
      <c r="T59" s="958"/>
      <c r="U59" s="958"/>
      <c r="V59" s="958"/>
      <c r="W59" s="1080" t="s">
        <v>241</v>
      </c>
      <c r="X59" s="1204"/>
      <c r="Y59" s="1159">
        <f>Y50-SUM(Y51:Y58)</f>
        <v>1255</v>
      </c>
      <c r="Z59" s="1159"/>
      <c r="AA59" s="1204"/>
      <c r="AB59" s="1159">
        <f>AB50-SUM(AB51:AB58)</f>
        <v>419.90000000000055</v>
      </c>
      <c r="AC59" s="1159"/>
      <c r="AD59" s="1204"/>
      <c r="AE59" s="1159">
        <f>AE50-SUM(AE51:AE58)</f>
        <v>84.199999999999989</v>
      </c>
      <c r="AF59" s="1159"/>
      <c r="AG59" s="1204"/>
      <c r="AH59" s="1159">
        <f>AH50-SUM(AH51:AH58)</f>
        <v>321.5</v>
      </c>
      <c r="AI59" s="1159"/>
      <c r="AJ59" s="1204"/>
      <c r="AK59" s="1159">
        <f>AK50-SUM(AK51:AK58)</f>
        <v>2975</v>
      </c>
      <c r="AL59" s="1192"/>
    </row>
    <row r="60" spans="1:38" ht="17" thickBot="1" x14ac:dyDescent="0.25">
      <c r="A60" s="993" t="s">
        <v>242</v>
      </c>
      <c r="B60" s="1241">
        <f>C60-D60</f>
        <v>-2124.033561468359</v>
      </c>
      <c r="C60" s="1239">
        <f t="shared" si="19"/>
        <v>8878.966438531641</v>
      </c>
      <c r="D60" s="1242">
        <f>TableA10!$C$14</f>
        <v>11003</v>
      </c>
      <c r="E60" s="1243">
        <f>F60-G60</f>
        <v>-4064.5469473492749</v>
      </c>
      <c r="F60" s="1239">
        <f t="shared" si="20"/>
        <v>5239.4530526507251</v>
      </c>
      <c r="G60" s="1242">
        <f>TableA10!$C$23</f>
        <v>9304</v>
      </c>
      <c r="H60" s="1243"/>
      <c r="I60" s="1239">
        <f t="shared" si="21"/>
        <v>45.693549335169955</v>
      </c>
      <c r="J60" s="1242"/>
      <c r="K60" s="1243">
        <f>L60-M60</f>
        <v>-572.84076130776702</v>
      </c>
      <c r="L60" s="1239">
        <f t="shared" si="22"/>
        <v>1119.159238692233</v>
      </c>
      <c r="M60" s="1242">
        <f>TableA10!$C$25</f>
        <v>1692</v>
      </c>
      <c r="N60" s="1243">
        <f>O60-P60</f>
        <v>-2689.6768212816587</v>
      </c>
      <c r="O60" s="1239">
        <f t="shared" si="23"/>
        <v>15617.323178718341</v>
      </c>
      <c r="P60" s="1244">
        <f>TableA10!$C$26</f>
        <v>18307</v>
      </c>
      <c r="Q60" s="958"/>
      <c r="R60" s="958"/>
      <c r="S60" s="958"/>
      <c r="T60" s="958"/>
      <c r="U60" s="958"/>
      <c r="V60" s="958"/>
      <c r="W60" s="1245" t="s">
        <v>242</v>
      </c>
      <c r="X60" s="1246"/>
      <c r="Y60" s="1247">
        <v>8005.8</v>
      </c>
      <c r="Z60" s="1247"/>
      <c r="AA60" s="1246"/>
      <c r="AB60" s="1247">
        <v>4724.2</v>
      </c>
      <c r="AC60" s="1247"/>
      <c r="AD60" s="1246"/>
      <c r="AE60" s="1247">
        <v>41.2</v>
      </c>
      <c r="AF60" s="1247"/>
      <c r="AG60" s="1246"/>
      <c r="AH60" s="1247">
        <v>1009.1</v>
      </c>
      <c r="AI60" s="1247"/>
      <c r="AJ60" s="1246"/>
      <c r="AK60" s="1247">
        <v>14081.5</v>
      </c>
      <c r="AL60" s="1248"/>
    </row>
    <row r="61" spans="1:38" x14ac:dyDescent="0.2">
      <c r="A61" s="958"/>
      <c r="B61" s="958"/>
      <c r="C61" s="958"/>
      <c r="D61" s="958"/>
      <c r="E61" s="958"/>
      <c r="F61" s="958"/>
      <c r="G61" s="958"/>
      <c r="H61" s="958"/>
      <c r="I61" s="958"/>
      <c r="J61" s="958"/>
      <c r="K61" s="958"/>
      <c r="L61" s="958"/>
      <c r="M61" s="958"/>
      <c r="N61" s="958"/>
      <c r="O61" s="1007"/>
      <c r="P61" s="1007"/>
      <c r="Q61" s="958"/>
      <c r="R61" s="958"/>
      <c r="S61" s="958"/>
      <c r="T61" s="958"/>
      <c r="U61" s="958"/>
      <c r="V61" s="958"/>
      <c r="W61" s="958"/>
      <c r="X61" s="958"/>
      <c r="Y61" s="958"/>
      <c r="Z61" s="958"/>
      <c r="AA61" s="958"/>
      <c r="AB61" s="958"/>
      <c r="AC61" s="958"/>
      <c r="AD61" s="958"/>
      <c r="AE61" s="958"/>
      <c r="AF61" s="958"/>
      <c r="AG61" s="958"/>
      <c r="AH61" s="958"/>
      <c r="AI61" s="958"/>
      <c r="AJ61" s="958"/>
      <c r="AK61" s="1007"/>
      <c r="AL61" s="1007"/>
    </row>
    <row r="62" spans="1:38" s="2" customFormat="1" x14ac:dyDescent="0.2">
      <c r="B62" s="958"/>
      <c r="C62" s="958"/>
      <c r="D62" s="958"/>
      <c r="E62" s="958"/>
      <c r="F62" s="958"/>
      <c r="G62" s="958"/>
      <c r="H62" s="958"/>
      <c r="I62" s="958"/>
      <c r="J62" s="958"/>
      <c r="K62" s="958"/>
      <c r="L62" s="958"/>
      <c r="M62" s="958"/>
      <c r="N62" s="958"/>
      <c r="O62" s="958"/>
      <c r="P62" s="958"/>
      <c r="X62" s="958"/>
      <c r="Y62" s="958"/>
      <c r="Z62" s="958"/>
      <c r="AA62" s="958"/>
      <c r="AB62" s="958"/>
      <c r="AC62" s="958"/>
      <c r="AD62" s="958"/>
      <c r="AE62" s="958"/>
      <c r="AF62" s="958"/>
      <c r="AG62" s="958"/>
      <c r="AH62" s="958"/>
      <c r="AI62" s="958"/>
      <c r="AJ62" s="958"/>
      <c r="AK62" s="958"/>
      <c r="AL62" s="958"/>
    </row>
    <row r="63" spans="1:38" s="2" customFormat="1" x14ac:dyDescent="0.2">
      <c r="W63" s="958"/>
      <c r="X63" s="958"/>
      <c r="Y63" s="958"/>
      <c r="Z63" s="958"/>
      <c r="AA63" s="958"/>
      <c r="AB63" s="958"/>
      <c r="AC63" s="958"/>
      <c r="AD63" s="958"/>
      <c r="AE63" s="958"/>
      <c r="AF63" s="958"/>
      <c r="AG63" s="958"/>
      <c r="AH63" s="958"/>
      <c r="AI63" s="958"/>
      <c r="AJ63" s="958"/>
      <c r="AK63" s="958"/>
      <c r="AL63" s="958"/>
    </row>
    <row r="64" spans="1:38" s="2" customFormat="1" x14ac:dyDescent="0.2">
      <c r="W64" s="958"/>
      <c r="X64" s="958" t="s">
        <v>247</v>
      </c>
      <c r="Y64" s="958"/>
      <c r="Z64" s="958">
        <v>0.90165899999999999</v>
      </c>
      <c r="AA64" s="958"/>
      <c r="AB64" s="958"/>
      <c r="AC64" s="958"/>
      <c r="AD64" s="958"/>
      <c r="AE64" s="958"/>
      <c r="AF64" s="958"/>
      <c r="AG64" s="958"/>
      <c r="AH64" s="958"/>
      <c r="AI64" s="958"/>
      <c r="AJ64" s="958"/>
      <c r="AK64" s="958"/>
      <c r="AL64" s="958"/>
    </row>
    <row r="65" spans="23:38" s="2" customFormat="1" x14ac:dyDescent="0.2">
      <c r="W65" s="958"/>
      <c r="X65" s="958"/>
      <c r="Y65" s="958"/>
      <c r="Z65" s="958"/>
      <c r="AA65" s="958"/>
      <c r="AB65" s="958"/>
      <c r="AC65" s="958"/>
      <c r="AD65" s="958"/>
      <c r="AE65" s="958"/>
      <c r="AF65" s="958"/>
      <c r="AG65" s="958"/>
      <c r="AH65" s="958"/>
      <c r="AI65" s="958"/>
      <c r="AJ65" s="958"/>
      <c r="AK65" s="958"/>
      <c r="AL65" s="958"/>
    </row>
    <row r="66" spans="23:38" s="2" customFormat="1" x14ac:dyDescent="0.2">
      <c r="W66" s="958" t="s">
        <v>248</v>
      </c>
      <c r="X66" s="958"/>
      <c r="Y66" s="958">
        <f>(Y60+Y50)/Y49</f>
        <v>0.84997785337995113</v>
      </c>
      <c r="Z66" s="958"/>
      <c r="AA66" s="958"/>
      <c r="AB66" s="958">
        <f>(AB60+AB50)/AB49</f>
        <v>0.85360891328919741</v>
      </c>
      <c r="AC66" s="958"/>
      <c r="AD66" s="958"/>
      <c r="AE66" s="958">
        <f>(AE60+AE50)/AE49</f>
        <v>0.61770664505672601</v>
      </c>
      <c r="AF66" s="958"/>
      <c r="AG66" s="958"/>
      <c r="AH66" s="958">
        <f>(AH60+AH50)/AH49</f>
        <v>0.81900263662057327</v>
      </c>
      <c r="AI66" s="958"/>
      <c r="AJ66" s="958"/>
      <c r="AK66" s="958">
        <f>(AK60+AK50)/AK49</f>
        <v>0.81081203991687611</v>
      </c>
      <c r="AL66" s="958"/>
    </row>
    <row r="68" spans="23:38" s="2" customFormat="1" x14ac:dyDescent="0.2">
      <c r="W68" s="958"/>
      <c r="X68" s="958"/>
      <c r="Y68" s="958"/>
      <c r="Z68" s="958"/>
      <c r="AA68" s="958"/>
      <c r="AB68" s="958"/>
      <c r="AC68" s="958"/>
      <c r="AD68" s="958"/>
      <c r="AE68" s="958"/>
      <c r="AF68" s="958"/>
      <c r="AG68" s="958"/>
      <c r="AH68" s="958"/>
      <c r="AI68" s="958"/>
      <c r="AJ68" s="958"/>
      <c r="AK68" s="958"/>
      <c r="AL68" s="958"/>
    </row>
  </sheetData>
  <mergeCells count="52">
    <mergeCell ref="B9:P9"/>
    <mergeCell ref="B22:P22"/>
    <mergeCell ref="B35:P35"/>
    <mergeCell ref="B48:P48"/>
    <mergeCell ref="L7:L8"/>
    <mergeCell ref="F7:F8"/>
    <mergeCell ref="G7:G8"/>
    <mergeCell ref="H7:H8"/>
    <mergeCell ref="I7:I8"/>
    <mergeCell ref="J7:J8"/>
    <mergeCell ref="K7:K8"/>
    <mergeCell ref="M7:M8"/>
    <mergeCell ref="N7:N8"/>
    <mergeCell ref="O7:O8"/>
    <mergeCell ref="P7:P8"/>
    <mergeCell ref="A7:A8"/>
    <mergeCell ref="B7:B8"/>
    <mergeCell ref="C7:C8"/>
    <mergeCell ref="D7:D8"/>
    <mergeCell ref="E7:E8"/>
    <mergeCell ref="A3:P3"/>
    <mergeCell ref="B6:D6"/>
    <mergeCell ref="E6:G6"/>
    <mergeCell ref="H6:J6"/>
    <mergeCell ref="K6:M6"/>
    <mergeCell ref="N6:P6"/>
    <mergeCell ref="W7:W8"/>
    <mergeCell ref="AA7:AA8"/>
    <mergeCell ref="AB7:AB8"/>
    <mergeCell ref="AD7:AD8"/>
    <mergeCell ref="AE7:AE8"/>
    <mergeCell ref="X35:AL35"/>
    <mergeCell ref="X48:AL48"/>
    <mergeCell ref="X9:AL9"/>
    <mergeCell ref="X22:AL22"/>
    <mergeCell ref="AJ7:AJ8"/>
    <mergeCell ref="W3:AL3"/>
    <mergeCell ref="X7:X8"/>
    <mergeCell ref="Y7:Y8"/>
    <mergeCell ref="Z7:Z8"/>
    <mergeCell ref="AC7:AC8"/>
    <mergeCell ref="AG6:AI6"/>
    <mergeCell ref="AG7:AG8"/>
    <mergeCell ref="AH7:AH8"/>
    <mergeCell ref="AI7:AI8"/>
    <mergeCell ref="AJ6:AL6"/>
    <mergeCell ref="AK7:AK8"/>
    <mergeCell ref="AL7:AL8"/>
    <mergeCell ref="X6:Z6"/>
    <mergeCell ref="AA6:AC6"/>
    <mergeCell ref="AD6:AF6"/>
    <mergeCell ref="AF7:AF8"/>
  </mergeCells>
  <phoneticPr fontId="36" type="noConversion"/>
  <pageMargins left="0.75" right="0.75" top="1" bottom="1" header="0.5" footer="0.5"/>
  <pageSetup scale="20" fitToHeight="0" orientation="portrait" horizontalDpi="4294967292" verticalDpi="4294967292"/>
  <ignoredErrors>
    <ignoredError sqref="E16:E19 K12:K21 H16:H17 H19 E29:E32 H29:H30 H32 K29:K32 N26:N32 E55 H55 N55 K55" formula="1"/>
    <ignoredError sqref="N14:N15 N20" emptyCellReference="1"/>
    <ignoredError sqref="N16:N19 N12:N13" formula="1" emptyCellReference="1"/>
  </ignoredError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100"/>
  <sheetViews>
    <sheetView zoomScale="125" zoomScaleNormal="125" zoomScalePageLayoutView="125" workbookViewId="0">
      <pane xSplit="1" ySplit="8" topLeftCell="E33" activePane="bottomRight" state="frozen"/>
      <selection pane="topRight" activeCell="AR8" sqref="AR8"/>
      <selection pane="bottomLeft" activeCell="AR8" sqref="AR8"/>
      <selection pane="bottomRight" activeCell="O20" sqref="O20"/>
    </sheetView>
  </sheetViews>
  <sheetFormatPr baseColWidth="10" defaultColWidth="10.83203125" defaultRowHeight="16" x14ac:dyDescent="0.2"/>
  <cols>
    <col min="1" max="1" width="19" style="1" customWidth="1"/>
    <col min="2" max="6" width="10.83203125" style="1" customWidth="1"/>
    <col min="7" max="18" width="11.33203125" style="1" customWidth="1"/>
    <col min="19" max="19" width="10.83203125" style="1"/>
    <col min="20" max="20" width="11.6640625" style="1" bestFit="1" customWidth="1"/>
    <col min="21" max="16384" width="10.83203125" style="1"/>
  </cols>
  <sheetData>
    <row r="1" spans="1:20" ht="17" thickBot="1" x14ac:dyDescent="0.25">
      <c r="A1" s="958"/>
      <c r="B1" s="958"/>
      <c r="C1" s="958"/>
      <c r="D1" s="958"/>
      <c r="E1" s="958"/>
      <c r="F1" s="958"/>
      <c r="G1" s="958"/>
      <c r="H1" s="958"/>
      <c r="I1" s="958"/>
      <c r="J1" s="958"/>
      <c r="K1" s="958"/>
      <c r="L1" s="958"/>
      <c r="M1" s="958"/>
      <c r="N1" s="958"/>
      <c r="O1" s="958"/>
      <c r="P1" s="958"/>
      <c r="Q1" s="958"/>
      <c r="R1" s="958"/>
      <c r="S1" s="958"/>
      <c r="T1" s="958"/>
    </row>
    <row r="2" spans="1:20" ht="32.25" customHeight="1" thickTop="1" x14ac:dyDescent="0.2">
      <c r="A2" s="1934" t="s">
        <v>249</v>
      </c>
      <c r="B2" s="1935"/>
      <c r="C2" s="1935"/>
      <c r="D2" s="1935"/>
      <c r="E2" s="1935"/>
      <c r="F2" s="1935"/>
      <c r="G2" s="1935"/>
      <c r="H2" s="1935"/>
      <c r="I2" s="1935"/>
      <c r="J2" s="1935"/>
      <c r="K2" s="1935"/>
      <c r="L2" s="1935"/>
      <c r="M2" s="1935"/>
      <c r="N2" s="1935"/>
      <c r="O2" s="1936"/>
      <c r="P2" s="620"/>
      <c r="Q2" s="620"/>
      <c r="R2" s="620"/>
      <c r="S2" s="958"/>
      <c r="T2" s="958"/>
    </row>
    <row r="3" spans="1:20" ht="12" customHeight="1" x14ac:dyDescent="0.2">
      <c r="A3" s="4"/>
      <c r="B3" s="620"/>
      <c r="C3" s="620"/>
      <c r="D3" s="620"/>
      <c r="E3" s="620"/>
      <c r="F3" s="620"/>
      <c r="G3" s="620"/>
      <c r="H3" s="620"/>
      <c r="I3" s="620"/>
      <c r="J3" s="620"/>
      <c r="K3" s="620"/>
      <c r="L3" s="620"/>
      <c r="M3" s="620"/>
      <c r="N3" s="620"/>
      <c r="O3" s="5"/>
      <c r="P3" s="620"/>
      <c r="Q3" s="620"/>
      <c r="R3" s="620"/>
      <c r="S3" s="958"/>
      <c r="T3" s="958"/>
    </row>
    <row r="4" spans="1:20" x14ac:dyDescent="0.2">
      <c r="A4" s="1154"/>
      <c r="B4" s="3" t="s">
        <v>1</v>
      </c>
      <c r="C4" s="3" t="s">
        <v>2</v>
      </c>
      <c r="D4" s="3" t="s">
        <v>3</v>
      </c>
      <c r="E4" s="3" t="s">
        <v>4</v>
      </c>
      <c r="F4" s="3" t="s">
        <v>5</v>
      </c>
      <c r="G4" s="3" t="s">
        <v>6</v>
      </c>
      <c r="H4" s="3" t="s">
        <v>7</v>
      </c>
      <c r="I4" s="3" t="s">
        <v>8</v>
      </c>
      <c r="J4" s="3" t="s">
        <v>9</v>
      </c>
      <c r="K4" s="3" t="s">
        <v>10</v>
      </c>
      <c r="L4" s="3" t="s">
        <v>11</v>
      </c>
      <c r="M4" s="3" t="s">
        <v>12</v>
      </c>
      <c r="N4" s="3" t="s">
        <v>13</v>
      </c>
      <c r="O4" s="6" t="s">
        <v>177</v>
      </c>
      <c r="P4" s="3"/>
      <c r="Q4" s="3"/>
      <c r="R4" s="3"/>
      <c r="S4" s="958"/>
      <c r="T4" s="958"/>
    </row>
    <row r="5" spans="1:20" ht="21" customHeight="1" x14ac:dyDescent="0.2">
      <c r="A5" s="1154"/>
      <c r="B5" s="2062" t="s">
        <v>14</v>
      </c>
      <c r="C5" s="2063"/>
      <c r="D5" s="2063"/>
      <c r="E5" s="2063"/>
      <c r="F5" s="2063"/>
      <c r="G5" s="2063"/>
      <c r="H5" s="2063"/>
      <c r="I5" s="2063"/>
      <c r="J5" s="2063"/>
      <c r="K5" s="2063"/>
      <c r="L5" s="2063"/>
      <c r="M5" s="2063"/>
      <c r="N5" s="2063"/>
      <c r="O5" s="2095" t="s">
        <v>250</v>
      </c>
      <c r="P5" s="1041"/>
      <c r="Q5" s="1041"/>
      <c r="R5" s="1041"/>
      <c r="S5" s="958"/>
      <c r="T5" s="958"/>
    </row>
    <row r="6" spans="1:20" ht="21" customHeight="1" x14ac:dyDescent="0.2">
      <c r="A6" s="1154"/>
      <c r="B6" s="2098" t="s">
        <v>251</v>
      </c>
      <c r="C6" s="2099"/>
      <c r="D6" s="2099"/>
      <c r="E6" s="2099"/>
      <c r="F6" s="2099"/>
      <c r="G6" s="2099"/>
      <c r="H6" s="2099"/>
      <c r="I6" s="2099"/>
      <c r="J6" s="2099"/>
      <c r="K6" s="2099"/>
      <c r="L6" s="2098" t="s">
        <v>252</v>
      </c>
      <c r="M6" s="2099"/>
      <c r="N6" s="2100"/>
      <c r="O6" s="2096"/>
      <c r="P6" s="1041"/>
      <c r="Q6" s="1041"/>
      <c r="R6" s="1041"/>
      <c r="S6" s="958"/>
      <c r="T6" s="958"/>
    </row>
    <row r="7" spans="1:20" ht="85" customHeight="1" x14ac:dyDescent="0.2">
      <c r="A7" s="1154"/>
      <c r="B7" s="2067" t="s">
        <v>253</v>
      </c>
      <c r="C7" s="1826" t="s">
        <v>254</v>
      </c>
      <c r="D7" s="1826" t="s">
        <v>255</v>
      </c>
      <c r="E7" s="2022" t="s">
        <v>256</v>
      </c>
      <c r="F7" s="1826" t="s">
        <v>257</v>
      </c>
      <c r="G7" s="2051" t="s">
        <v>258</v>
      </c>
      <c r="H7" s="1824" t="s">
        <v>254</v>
      </c>
      <c r="I7" s="1841" t="s">
        <v>255</v>
      </c>
      <c r="J7" s="2028" t="s">
        <v>259</v>
      </c>
      <c r="K7" s="1826" t="s">
        <v>257</v>
      </c>
      <c r="L7" s="2055" t="s">
        <v>260</v>
      </c>
      <c r="M7" s="1825" t="s">
        <v>125</v>
      </c>
      <c r="N7" s="1249" t="s">
        <v>161</v>
      </c>
      <c r="O7" s="2096"/>
      <c r="P7" s="1826"/>
      <c r="Q7" s="1826"/>
      <c r="R7" s="1826"/>
      <c r="S7" s="958"/>
      <c r="T7" s="958"/>
    </row>
    <row r="8" spans="1:20" ht="33" customHeight="1" x14ac:dyDescent="0.2">
      <c r="A8" s="1154"/>
      <c r="B8" s="2049"/>
      <c r="C8" s="1838"/>
      <c r="D8" s="1838"/>
      <c r="E8" s="2101"/>
      <c r="F8" s="1826"/>
      <c r="G8" s="2051"/>
      <c r="H8" s="1813"/>
      <c r="I8" s="322"/>
      <c r="J8" s="2013"/>
      <c r="K8" s="1826"/>
      <c r="L8" s="2011"/>
      <c r="M8" s="1820"/>
      <c r="N8" s="1857"/>
      <c r="O8" s="2097"/>
      <c r="P8" s="1826"/>
      <c r="Q8" s="1826"/>
      <c r="R8" s="1826"/>
      <c r="S8" s="958"/>
      <c r="T8" s="958"/>
    </row>
    <row r="9" spans="1:20" ht="40" customHeight="1" x14ac:dyDescent="0.2">
      <c r="A9" s="8" t="s">
        <v>28</v>
      </c>
      <c r="B9" s="107"/>
      <c r="C9" s="63"/>
      <c r="D9" s="63"/>
      <c r="E9" s="63"/>
      <c r="F9" s="63"/>
      <c r="G9" s="1832"/>
      <c r="H9" s="1861"/>
      <c r="I9" s="1864"/>
      <c r="J9" s="1850"/>
      <c r="K9" s="1850"/>
      <c r="L9" s="1816"/>
      <c r="M9" s="1838"/>
      <c r="N9" s="1838"/>
      <c r="O9" s="323"/>
      <c r="P9" s="1838"/>
      <c r="Q9" s="1838"/>
      <c r="R9" s="1838"/>
      <c r="S9" s="958"/>
      <c r="T9" s="958"/>
    </row>
    <row r="10" spans="1:20" x14ac:dyDescent="0.2">
      <c r="A10" s="1155" t="s">
        <v>29</v>
      </c>
      <c r="B10" s="324">
        <f>TableA2!C10</f>
        <v>496.98457655004552</v>
      </c>
      <c r="C10" s="1200">
        <f>TableA2b!C10</f>
        <v>468.67008658723302</v>
      </c>
      <c r="D10" s="1200">
        <f>B10-C10</f>
        <v>28.314489962812502</v>
      </c>
      <c r="E10" s="1200"/>
      <c r="F10" s="1200"/>
      <c r="G10" s="299">
        <f>TableA2!D10+TableA2!G10</f>
        <v>277.073676460645</v>
      </c>
      <c r="H10" s="1233">
        <v>203.394210759603</v>
      </c>
      <c r="I10" s="1236"/>
      <c r="J10" s="1159"/>
      <c r="K10" s="1174"/>
      <c r="L10" s="1250"/>
      <c r="M10" s="1174"/>
      <c r="N10" s="1174"/>
      <c r="O10" s="1251"/>
      <c r="P10" s="1161"/>
      <c r="Q10" s="1161"/>
      <c r="R10" s="1174"/>
      <c r="S10" s="958"/>
      <c r="T10" s="958"/>
    </row>
    <row r="11" spans="1:20" x14ac:dyDescent="0.2">
      <c r="A11" s="1155" t="s">
        <v>30</v>
      </c>
      <c r="B11" s="324">
        <f>TableA2!C11</f>
        <v>124.3274896607254</v>
      </c>
      <c r="C11" s="1200">
        <f>TableA2b!C11</f>
        <v>114.85727974766515</v>
      </c>
      <c r="D11" s="1200">
        <f t="shared" ref="D11:D44" si="0">B11-C11</f>
        <v>9.4702099130602591</v>
      </c>
      <c r="E11" s="1200">
        <v>122.41080053545743</v>
      </c>
      <c r="F11" s="1200">
        <f>B11-E11</f>
        <v>1.916689125267979</v>
      </c>
      <c r="G11" s="299">
        <f>TableA2!D11+TableA2!G11</f>
        <v>92.509474202553292</v>
      </c>
      <c r="H11" s="1233">
        <v>88.571289145896628</v>
      </c>
      <c r="I11" s="1236">
        <v>3.9381850566566743</v>
      </c>
      <c r="J11" s="1159">
        <v>73.15049259198878</v>
      </c>
      <c r="K11" s="1174">
        <f t="shared" ref="K11:K44" si="1">G11-J11</f>
        <v>19.358981610564513</v>
      </c>
      <c r="L11" s="1250">
        <f t="shared" ref="L11:L44" si="2">M11+N11</f>
        <v>52.65571574176046</v>
      </c>
      <c r="M11" s="1174">
        <v>33.63954665788286</v>
      </c>
      <c r="N11" s="1174">
        <v>19.016169083877603</v>
      </c>
      <c r="O11" s="1251">
        <f t="shared" ref="O11:O44" si="3">(E11+J11)/(C11+H11)</f>
        <v>0.96132659336441639</v>
      </c>
      <c r="P11" s="1161"/>
      <c r="Q11" s="1161"/>
      <c r="R11" s="1174"/>
      <c r="S11" s="958"/>
      <c r="T11" s="958"/>
    </row>
    <row r="12" spans="1:20" x14ac:dyDescent="0.2">
      <c r="A12" s="1155" t="s">
        <v>31</v>
      </c>
      <c r="B12" s="324">
        <f>TableA2!C12</f>
        <v>166.52659153848629</v>
      </c>
      <c r="C12" s="1200">
        <f>TableA2b!C12</f>
        <v>154.93041160793604</v>
      </c>
      <c r="D12" s="1200">
        <f t="shared" si="0"/>
        <v>11.59617993055025</v>
      </c>
      <c r="E12" s="1200">
        <v>124.09602743387467</v>
      </c>
      <c r="F12" s="1200">
        <f t="shared" ref="F12:F44" si="4">B12-E12</f>
        <v>42.430564104611619</v>
      </c>
      <c r="G12" s="299">
        <f>TableA2!D12+TableA2!G12</f>
        <v>116.85759250448341</v>
      </c>
      <c r="H12" s="1233">
        <v>106.08201104852277</v>
      </c>
      <c r="I12" s="1236">
        <v>10.775581455960625</v>
      </c>
      <c r="J12" s="1159">
        <v>99.510236131397789</v>
      </c>
      <c r="K12" s="1174">
        <f t="shared" si="1"/>
        <v>17.347356373085617</v>
      </c>
      <c r="L12" s="1250">
        <f t="shared" si="2"/>
        <v>60.600737085749714</v>
      </c>
      <c r="M12" s="1174">
        <v>35.305253981826837</v>
      </c>
      <c r="N12" s="1174">
        <v>25.29548310392288</v>
      </c>
      <c r="O12" s="1251">
        <f t="shared" si="3"/>
        <v>0.85668820391579659</v>
      </c>
      <c r="P12" s="1161"/>
      <c r="Q12" s="1161"/>
      <c r="R12" s="1174"/>
      <c r="S12" s="958"/>
      <c r="T12" s="958"/>
    </row>
    <row r="13" spans="1:20" x14ac:dyDescent="0.2">
      <c r="A13" s="1155" t="s">
        <v>32</v>
      </c>
      <c r="B13" s="324">
        <f>TableA2!C13</f>
        <v>613.39428253347273</v>
      </c>
      <c r="C13" s="1200">
        <f>TableA2b!C13</f>
        <v>547.53896668271921</v>
      </c>
      <c r="D13" s="1200">
        <f t="shared" si="0"/>
        <v>65.855315850753527</v>
      </c>
      <c r="E13" s="1200"/>
      <c r="F13" s="1200"/>
      <c r="G13" s="299">
        <f>TableA2!D13+TableA2!G13</f>
        <v>350.35939388537861</v>
      </c>
      <c r="H13" s="1233">
        <v>313.8625812877512</v>
      </c>
      <c r="I13" s="1236">
        <v>36.49681259762739</v>
      </c>
      <c r="J13" s="1159"/>
      <c r="K13" s="1174"/>
      <c r="L13" s="1250"/>
      <c r="M13" s="1174"/>
      <c r="N13" s="1174"/>
      <c r="O13" s="1251"/>
      <c r="P13" s="1161"/>
      <c r="Q13" s="1161"/>
      <c r="R13" s="1174"/>
      <c r="S13" s="958"/>
      <c r="T13" s="958"/>
    </row>
    <row r="14" spans="1:20" x14ac:dyDescent="0.2">
      <c r="A14" s="1155" t="s">
        <v>33</v>
      </c>
      <c r="B14" s="324">
        <f>TableA2!C14</f>
        <v>67.029473521292758</v>
      </c>
      <c r="C14" s="1200">
        <f>TableA2b!C14</f>
        <v>62.198900940934621</v>
      </c>
      <c r="D14" s="1200">
        <f t="shared" si="0"/>
        <v>4.8305725803581367</v>
      </c>
      <c r="E14" s="1200"/>
      <c r="F14" s="1200"/>
      <c r="G14" s="299">
        <f>TableA2!D14+TableA2!G14</f>
        <v>87.146207980907846</v>
      </c>
      <c r="H14" s="1233">
        <v>81.181158452384139</v>
      </c>
      <c r="I14" s="1236">
        <v>5.9650495285237009</v>
      </c>
      <c r="J14" s="1159"/>
      <c r="K14" s="1174"/>
      <c r="L14" s="1250"/>
      <c r="M14" s="1174"/>
      <c r="N14" s="1174"/>
      <c r="O14" s="1251"/>
      <c r="P14" s="1161"/>
      <c r="Q14" s="1161"/>
      <c r="R14" s="1174"/>
      <c r="S14" s="958"/>
      <c r="T14" s="958"/>
    </row>
    <row r="15" spans="1:20" x14ac:dyDescent="0.2">
      <c r="A15" s="1155" t="s">
        <v>34</v>
      </c>
      <c r="B15" s="324">
        <f>TableA2!C15</f>
        <v>54.009329742364955</v>
      </c>
      <c r="C15" s="1200">
        <f>TableA2b!C15</f>
        <v>51.58871893897048</v>
      </c>
      <c r="D15" s="1200">
        <f t="shared" si="0"/>
        <v>2.4206108033944744</v>
      </c>
      <c r="E15" s="1200">
        <v>48.70122740415168</v>
      </c>
      <c r="F15" s="1200">
        <f t="shared" si="4"/>
        <v>5.3081023382132742</v>
      </c>
      <c r="G15" s="299">
        <f>TableA2!D15+TableA2!G15</f>
        <v>58.144214645053104</v>
      </c>
      <c r="H15" s="1233">
        <v>53.875705066314346</v>
      </c>
      <c r="I15" s="1236">
        <v>4.2685095787387572</v>
      </c>
      <c r="J15" s="1159">
        <v>51.816928572775296</v>
      </c>
      <c r="K15" s="1174">
        <f t="shared" si="1"/>
        <v>6.3272860722778077</v>
      </c>
      <c r="L15" s="1250">
        <f t="shared" si="2"/>
        <v>41.999137146082944</v>
      </c>
      <c r="M15" s="1174">
        <v>20.631968404906953</v>
      </c>
      <c r="N15" s="1174">
        <v>21.367168741175988</v>
      </c>
      <c r="O15" s="1251">
        <f t="shared" si="3"/>
        <v>0.95310012760217611</v>
      </c>
      <c r="P15" s="1161"/>
      <c r="Q15" s="1161"/>
      <c r="R15" s="1174"/>
      <c r="S15" s="958"/>
      <c r="T15" s="958"/>
    </row>
    <row r="16" spans="1:20" x14ac:dyDescent="0.2">
      <c r="A16" s="1155" t="s">
        <v>35</v>
      </c>
      <c r="B16" s="324">
        <f>TableA2!C16</f>
        <v>98.579989289388223</v>
      </c>
      <c r="C16" s="1200">
        <f>TableA2b!C16</f>
        <v>90.782021808565418</v>
      </c>
      <c r="D16" s="1200">
        <f t="shared" si="0"/>
        <v>7.7979674808228054</v>
      </c>
      <c r="E16" s="1200">
        <v>87.038750400464536</v>
      </c>
      <c r="F16" s="1200">
        <f t="shared" si="4"/>
        <v>11.541238888923687</v>
      </c>
      <c r="G16" s="299">
        <f>TableA2!D16+TableA2!G16</f>
        <v>72.736439430568822</v>
      </c>
      <c r="H16" s="1233">
        <v>65.656377235892222</v>
      </c>
      <c r="I16" s="1236">
        <v>7.0800621946765911</v>
      </c>
      <c r="J16" s="1159">
        <v>60.705368115959551</v>
      </c>
      <c r="K16" s="1174">
        <f t="shared" si="1"/>
        <v>12.031071314609271</v>
      </c>
      <c r="L16" s="1250">
        <f t="shared" si="2"/>
        <v>31.646884476380013</v>
      </c>
      <c r="M16" s="1174">
        <v>20.096658906143848</v>
      </c>
      <c r="N16" s="1174">
        <v>11.550225570236165</v>
      </c>
      <c r="O16" s="1251">
        <f t="shared" si="3"/>
        <v>0.94442361606140734</v>
      </c>
      <c r="P16" s="1161"/>
      <c r="Q16" s="1161"/>
      <c r="R16" s="1174"/>
      <c r="S16" s="958"/>
      <c r="T16" s="958"/>
    </row>
    <row r="17" spans="1:18" x14ac:dyDescent="0.2">
      <c r="A17" s="1155" t="s">
        <v>36</v>
      </c>
      <c r="B17" s="324">
        <f>TableA2!C17</f>
        <v>7.9577756114007627</v>
      </c>
      <c r="C17" s="1200">
        <f>TableA2b!C17</f>
        <v>7.653004073602105</v>
      </c>
      <c r="D17" s="1200">
        <f t="shared" si="0"/>
        <v>0.30477153779865773</v>
      </c>
      <c r="E17" s="1200">
        <v>4.7311677696335313</v>
      </c>
      <c r="F17" s="1200">
        <f t="shared" si="4"/>
        <v>3.2266078417672315</v>
      </c>
      <c r="G17" s="299">
        <f>TableA2!D17+TableA2!G17</f>
        <v>6.3420871970445578</v>
      </c>
      <c r="H17" s="1233">
        <v>5.9021204246838321</v>
      </c>
      <c r="I17" s="1236">
        <v>0.43996677236072618</v>
      </c>
      <c r="J17" s="1159">
        <v>2.8590631269692866</v>
      </c>
      <c r="K17" s="1174">
        <f t="shared" si="1"/>
        <v>3.4830240700752713</v>
      </c>
      <c r="L17" s="1250">
        <f t="shared" si="2"/>
        <v>3.1100449282932905</v>
      </c>
      <c r="M17" s="1174">
        <v>1.9142491784588187</v>
      </c>
      <c r="N17" s="1174">
        <v>1.195795749834472</v>
      </c>
      <c r="O17" s="1251">
        <f t="shared" si="3"/>
        <v>0.55995287225599522</v>
      </c>
      <c r="P17" s="1161"/>
      <c r="Q17" s="1161"/>
      <c r="R17" s="1174"/>
    </row>
    <row r="18" spans="1:18" x14ac:dyDescent="0.2">
      <c r="A18" s="1155" t="s">
        <v>37</v>
      </c>
      <c r="B18" s="324">
        <f>TableA2!C18</f>
        <v>75.447591606139355</v>
      </c>
      <c r="C18" s="1200">
        <f>TableA2b!C18</f>
        <v>72.22020741766012</v>
      </c>
      <c r="D18" s="1200">
        <f t="shared" si="0"/>
        <v>3.2273841884792347</v>
      </c>
      <c r="E18" s="1200">
        <v>66.092382331366224</v>
      </c>
      <c r="F18" s="1200">
        <f t="shared" si="4"/>
        <v>9.3552092747731308</v>
      </c>
      <c r="G18" s="299">
        <f>TableA2!D18+TableA2!G18</f>
        <v>52.323550255695338</v>
      </c>
      <c r="H18" s="1233">
        <v>49.727225037403272</v>
      </c>
      <c r="I18" s="1236">
        <v>2.5963252182920598</v>
      </c>
      <c r="J18" s="1159">
        <v>33.969295663812915</v>
      </c>
      <c r="K18" s="1174">
        <f t="shared" si="1"/>
        <v>18.354254591882423</v>
      </c>
      <c r="L18" s="1250">
        <f t="shared" si="2"/>
        <v>21.966915552260232</v>
      </c>
      <c r="M18" s="1174">
        <v>14.313182525833236</v>
      </c>
      <c r="N18" s="1174">
        <v>7.6537330264269974</v>
      </c>
      <c r="O18" s="1251">
        <f t="shared" si="3"/>
        <v>0.82053124022968693</v>
      </c>
      <c r="P18" s="1161"/>
      <c r="Q18" s="1161"/>
      <c r="R18" s="1174"/>
    </row>
    <row r="19" spans="1:18" x14ac:dyDescent="0.2">
      <c r="A19" s="1155" t="s">
        <v>38</v>
      </c>
      <c r="B19" s="324">
        <f>TableA2!C19</f>
        <v>871.38042208861668</v>
      </c>
      <c r="C19" s="1200">
        <f>TableA2b!C19</f>
        <v>812.93925974231945</v>
      </c>
      <c r="D19" s="1200">
        <f t="shared" si="0"/>
        <v>58.441162346297233</v>
      </c>
      <c r="E19" s="1200">
        <v>746.8356662552028</v>
      </c>
      <c r="F19" s="1200">
        <f t="shared" si="4"/>
        <v>124.54475583341389</v>
      </c>
      <c r="G19" s="299">
        <f>TableA2!D19+TableA2!G19</f>
        <v>437.08541699245501</v>
      </c>
      <c r="H19" s="1233">
        <v>395.9490228567563</v>
      </c>
      <c r="I19" s="1236">
        <v>41.136394135698751</v>
      </c>
      <c r="J19" s="1159">
        <v>262.36504044211836</v>
      </c>
      <c r="K19" s="1174">
        <f t="shared" si="1"/>
        <v>174.72037655033665</v>
      </c>
      <c r="L19" s="1250">
        <f t="shared" si="2"/>
        <v>166.26795717671538</v>
      </c>
      <c r="M19" s="1174">
        <v>131.45313250352962</v>
      </c>
      <c r="N19" s="1174">
        <v>34.814824673185761</v>
      </c>
      <c r="O19" s="1251">
        <f t="shared" si="3"/>
        <v>0.83481717973770742</v>
      </c>
      <c r="P19" s="1161"/>
      <c r="Q19" s="1161"/>
      <c r="R19" s="1174"/>
    </row>
    <row r="20" spans="1:18" x14ac:dyDescent="0.2">
      <c r="A20" s="1155" t="s">
        <v>39</v>
      </c>
      <c r="B20" s="324">
        <f>TableA2!C20</f>
        <v>1223.0067020902579</v>
      </c>
      <c r="C20" s="1200">
        <f>TableA2b!C20</f>
        <v>1145.721386910129</v>
      </c>
      <c r="D20" s="1200">
        <f t="shared" si="0"/>
        <v>77.285315180128919</v>
      </c>
      <c r="E20" s="1200">
        <v>1113.3729048343109</v>
      </c>
      <c r="F20" s="1200">
        <f t="shared" si="4"/>
        <v>109.633797255947</v>
      </c>
      <c r="G20" s="299">
        <f>TableA2!D20+TableA2!G20</f>
        <v>849.96656163804721</v>
      </c>
      <c r="H20" s="1233">
        <v>809.32037499764328</v>
      </c>
      <c r="I20" s="1236">
        <v>40.646186640403968</v>
      </c>
      <c r="J20" s="1159">
        <v>623.45875768999133</v>
      </c>
      <c r="K20" s="1174">
        <f t="shared" si="1"/>
        <v>226.50780394805588</v>
      </c>
      <c r="L20" s="1250">
        <f t="shared" si="2"/>
        <v>348.2426283107028</v>
      </c>
      <c r="M20" s="1174">
        <v>213.03608126797383</v>
      </c>
      <c r="N20" s="1174">
        <v>135.206547042729</v>
      </c>
      <c r="O20" s="1251">
        <f t="shared" si="3"/>
        <v>0.88838596513123291</v>
      </c>
      <c r="P20" s="1161"/>
      <c r="Q20" s="1161"/>
      <c r="R20" s="1174"/>
    </row>
    <row r="21" spans="1:18" x14ac:dyDescent="0.2">
      <c r="A21" s="1155" t="s">
        <v>40</v>
      </c>
      <c r="B21" s="324">
        <f>TableA2!C21</f>
        <v>27.693378982519995</v>
      </c>
      <c r="C21" s="1200">
        <f>TableA2b!C21</f>
        <v>24.420737995184432</v>
      </c>
      <c r="D21" s="1200">
        <f t="shared" si="0"/>
        <v>3.2726409873355635</v>
      </c>
      <c r="E21" s="1200">
        <v>29.515038390344909</v>
      </c>
      <c r="F21" s="1200">
        <f t="shared" si="4"/>
        <v>-1.8216594078249138</v>
      </c>
      <c r="G21" s="299">
        <f>TableA2!D21+TableA2!G21</f>
        <v>37.681387309393024</v>
      </c>
      <c r="H21" s="1233">
        <v>33.038640106736587</v>
      </c>
      <c r="I21" s="1236">
        <v>4.6427472026564365</v>
      </c>
      <c r="J21" s="1159">
        <v>22.726108207204721</v>
      </c>
      <c r="K21" s="1174">
        <f t="shared" si="1"/>
        <v>14.955279102188303</v>
      </c>
      <c r="L21" s="1250">
        <f t="shared" si="2"/>
        <v>7.1623529516147464</v>
      </c>
      <c r="M21" s="1174">
        <v>4.4707589010923199</v>
      </c>
      <c r="N21" s="1174">
        <v>2.6915940505224261</v>
      </c>
      <c r="O21" s="1251">
        <f t="shared" si="3"/>
        <v>0.90918398916334719</v>
      </c>
      <c r="P21" s="1161"/>
      <c r="Q21" s="1161"/>
      <c r="R21" s="1174"/>
    </row>
    <row r="22" spans="1:18" x14ac:dyDescent="0.2">
      <c r="A22" s="1155" t="s">
        <v>41</v>
      </c>
      <c r="B22" s="324">
        <f>TableA2!C22</f>
        <v>34.2062595652135</v>
      </c>
      <c r="C22" s="1200">
        <f>TableA2b!C22</f>
        <v>32.21090993708215</v>
      </c>
      <c r="D22" s="1200">
        <f t="shared" si="0"/>
        <v>1.9953496281313505</v>
      </c>
      <c r="E22" s="1200">
        <v>30.443438151230119</v>
      </c>
      <c r="F22" s="1200">
        <f t="shared" si="4"/>
        <v>3.7628214139833815</v>
      </c>
      <c r="G22" s="299">
        <f>TableA2!D22+TableA2!G22</f>
        <v>32.394139600655137</v>
      </c>
      <c r="H22" s="1233">
        <v>31.167171739772495</v>
      </c>
      <c r="I22" s="1236">
        <v>1.22696786088264</v>
      </c>
      <c r="J22" s="1159">
        <v>31.251171451735082</v>
      </c>
      <c r="K22" s="1174">
        <f t="shared" si="1"/>
        <v>1.1429681489200547</v>
      </c>
      <c r="L22" s="1250">
        <f t="shared" si="2"/>
        <v>32.364452636750698</v>
      </c>
      <c r="M22" s="1174">
        <v>14.087032902682722</v>
      </c>
      <c r="N22" s="1174">
        <v>18.27741973406798</v>
      </c>
      <c r="O22" s="1251">
        <f t="shared" si="3"/>
        <v>0.97343762970812286</v>
      </c>
      <c r="P22" s="1161"/>
      <c r="Q22" s="1161"/>
      <c r="R22" s="1174"/>
    </row>
    <row r="23" spans="1:18" x14ac:dyDescent="0.2">
      <c r="A23" s="1155" t="s">
        <v>42</v>
      </c>
      <c r="B23" s="324">
        <f>TableA2!C23</f>
        <v>5.1275502981429524</v>
      </c>
      <c r="C23" s="1200">
        <f>TableA2b!C23</f>
        <v>4.6522290068914876</v>
      </c>
      <c r="D23" s="1200">
        <f t="shared" si="0"/>
        <v>0.47532129125146483</v>
      </c>
      <c r="E23" s="1200"/>
      <c r="F23" s="1200"/>
      <c r="G23" s="299">
        <f>TableA2!D23+TableA2!G23</f>
        <v>3.6692894561749219</v>
      </c>
      <c r="H23" s="1233"/>
      <c r="I23" s="1236"/>
      <c r="J23" s="1159"/>
      <c r="K23" s="1174"/>
      <c r="L23" s="1250"/>
      <c r="M23" s="1174"/>
      <c r="N23" s="1174"/>
      <c r="O23" s="1251"/>
      <c r="P23" s="1161"/>
      <c r="Q23" s="1161"/>
      <c r="R23" s="1174"/>
    </row>
    <row r="24" spans="1:18" x14ac:dyDescent="0.2">
      <c r="A24" s="1155" t="s">
        <v>43</v>
      </c>
      <c r="B24" s="324">
        <f>TableA2!C24</f>
        <v>61.361034049457722</v>
      </c>
      <c r="C24" s="1200">
        <f>TableA2b!C24</f>
        <v>54.273519257280192</v>
      </c>
      <c r="D24" s="1200">
        <f t="shared" si="0"/>
        <v>7.0875147921775294</v>
      </c>
      <c r="E24" s="1200">
        <v>57.992655760104427</v>
      </c>
      <c r="F24" s="1200">
        <f t="shared" si="4"/>
        <v>3.368378289353295</v>
      </c>
      <c r="G24" s="299">
        <f>TableA2!D24+TableA2!G24</f>
        <v>154.99893274508435</v>
      </c>
      <c r="H24" s="1233">
        <v>143.96465725956267</v>
      </c>
      <c r="I24" s="1236">
        <v>11.034275485521688</v>
      </c>
      <c r="J24" s="1159">
        <v>138.14269030753314</v>
      </c>
      <c r="K24" s="1174">
        <f t="shared" si="1"/>
        <v>16.856242437551202</v>
      </c>
      <c r="L24" s="1250">
        <f t="shared" si="2"/>
        <v>116.14546075622825</v>
      </c>
      <c r="M24" s="1174">
        <v>13.736900535568324</v>
      </c>
      <c r="N24" s="1174">
        <v>102.40856022065992</v>
      </c>
      <c r="O24" s="1251">
        <f t="shared" si="3"/>
        <v>0.9893924041970461</v>
      </c>
      <c r="P24" s="1161"/>
      <c r="Q24" s="1161"/>
      <c r="R24" s="1174"/>
    </row>
    <row r="25" spans="1:18" x14ac:dyDescent="0.2">
      <c r="A25" s="1155" t="s">
        <v>44</v>
      </c>
      <c r="B25" s="324">
        <f>TableA2!C25</f>
        <v>91.954332974943853</v>
      </c>
      <c r="C25" s="1200">
        <f>TableA2b!C25</f>
        <v>88.265835810285637</v>
      </c>
      <c r="D25" s="1200">
        <f t="shared" si="0"/>
        <v>3.6884971646582159</v>
      </c>
      <c r="E25" s="1200"/>
      <c r="F25" s="1200"/>
      <c r="G25" s="299">
        <f>TableA2!D25+TableA2!G25</f>
        <v>76.65661864042012</v>
      </c>
      <c r="H25" s="1233">
        <v>68.600090922352464</v>
      </c>
      <c r="I25" s="1236">
        <v>8.05652771806764</v>
      </c>
      <c r="J25" s="1159"/>
      <c r="K25" s="1174"/>
      <c r="L25" s="1250"/>
      <c r="M25" s="1174"/>
      <c r="N25" s="1174"/>
      <c r="O25" s="1251"/>
      <c r="P25" s="1161"/>
      <c r="Q25" s="1161"/>
      <c r="R25" s="1174"/>
    </row>
    <row r="26" spans="1:18" x14ac:dyDescent="0.2">
      <c r="A26" s="1155" t="s">
        <v>45</v>
      </c>
      <c r="B26" s="324">
        <f>TableA2!C26</f>
        <v>491.69619556839115</v>
      </c>
      <c r="C26" s="1200">
        <f>TableA2b!C26</f>
        <v>455.78683293795103</v>
      </c>
      <c r="D26" s="1200">
        <f t="shared" si="0"/>
        <v>35.909362630440114</v>
      </c>
      <c r="E26" s="1200">
        <v>409.34466355906164</v>
      </c>
      <c r="F26" s="1200">
        <f t="shared" si="4"/>
        <v>82.351532009329503</v>
      </c>
      <c r="G26" s="299">
        <f>TableA2!D26+TableA2!G26</f>
        <v>381.0549220936075</v>
      </c>
      <c r="H26" s="1233">
        <v>339.58946785869165</v>
      </c>
      <c r="I26" s="1236">
        <v>41.46545423491586</v>
      </c>
      <c r="J26" s="1159">
        <v>332.97965195267835</v>
      </c>
      <c r="K26" s="1174">
        <f t="shared" si="1"/>
        <v>48.075270140929149</v>
      </c>
      <c r="L26" s="1250">
        <f t="shared" si="2"/>
        <v>113.01744894688569</v>
      </c>
      <c r="M26" s="1174">
        <v>67.683348139374203</v>
      </c>
      <c r="N26" s="1174">
        <v>45.33410080751149</v>
      </c>
      <c r="O26" s="1251">
        <f t="shared" si="3"/>
        <v>0.93329951466775385</v>
      </c>
      <c r="P26" s="1161"/>
      <c r="Q26" s="1161"/>
      <c r="R26" s="1174"/>
    </row>
    <row r="27" spans="1:18" x14ac:dyDescent="0.2">
      <c r="A27" s="1155" t="s">
        <v>46</v>
      </c>
      <c r="B27" s="324">
        <f>TableA2!C27</f>
        <v>1514.0182782989034</v>
      </c>
      <c r="C27" s="1200">
        <f>TableA2b!C27</f>
        <v>1332.0768877366427</v>
      </c>
      <c r="D27" s="1200">
        <f t="shared" si="0"/>
        <v>181.94139056226072</v>
      </c>
      <c r="E27" s="1200"/>
      <c r="F27" s="1200"/>
      <c r="G27" s="299">
        <f>TableA2!D27+TableA2!G27</f>
        <v>1219.7388008313999</v>
      </c>
      <c r="H27" s="1233">
        <v>1111.3509687342696</v>
      </c>
      <c r="I27" s="1236">
        <v>108.38783209713027</v>
      </c>
      <c r="J27" s="1159"/>
      <c r="K27" s="1174"/>
      <c r="L27" s="1250"/>
      <c r="M27" s="1174"/>
      <c r="N27" s="1174"/>
      <c r="O27" s="1251"/>
      <c r="P27" s="1161"/>
      <c r="Q27" s="1161"/>
      <c r="R27" s="1174"/>
    </row>
    <row r="28" spans="1:18" x14ac:dyDescent="0.2">
      <c r="A28" s="1155" t="s">
        <v>47</v>
      </c>
      <c r="B28" s="324">
        <f>TableA2!C28</f>
        <v>414.68018379403401</v>
      </c>
      <c r="C28" s="1200">
        <f>TableA2b!C28</f>
        <v>385.60359631616285</v>
      </c>
      <c r="D28" s="1200">
        <f t="shared" si="0"/>
        <v>29.076587477871158</v>
      </c>
      <c r="E28" s="1200"/>
      <c r="F28" s="1200"/>
      <c r="G28" s="299">
        <f>TableA2!D28+TableA2!G28</f>
        <v>428.78246398048014</v>
      </c>
      <c r="H28" s="1233">
        <v>391.36892961413417</v>
      </c>
      <c r="I28" s="1236">
        <v>37.413534366345978</v>
      </c>
      <c r="J28" s="1159"/>
      <c r="K28" s="1174"/>
      <c r="L28" s="1250"/>
      <c r="M28" s="1174"/>
      <c r="N28" s="1174"/>
      <c r="O28" s="1251"/>
      <c r="P28" s="1161"/>
      <c r="Q28" s="1161"/>
      <c r="R28" s="1174"/>
    </row>
    <row r="29" spans="1:18" x14ac:dyDescent="0.2">
      <c r="A29" s="1154" t="s">
        <v>48</v>
      </c>
      <c r="B29" s="324">
        <f>TableA2!C29</f>
        <v>9.2021529203390635</v>
      </c>
      <c r="C29" s="1200">
        <f>TableA2b!C29</f>
        <v>8.7351116109305185</v>
      </c>
      <c r="D29" s="1200">
        <f t="shared" si="0"/>
        <v>0.46704130940854505</v>
      </c>
      <c r="E29" s="1200">
        <v>6.2455983914096125</v>
      </c>
      <c r="F29" s="1200">
        <f t="shared" si="4"/>
        <v>2.956554528929451</v>
      </c>
      <c r="G29" s="299">
        <f>TableA2!D29+TableA2!G29</f>
        <v>7.6634270827441426</v>
      </c>
      <c r="H29" s="1233">
        <v>7.0545572106528081</v>
      </c>
      <c r="I29" s="1236">
        <v>0.60886987209133392</v>
      </c>
      <c r="J29" s="1159">
        <v>5.4876621871461388</v>
      </c>
      <c r="K29" s="1174">
        <f t="shared" si="1"/>
        <v>2.1757648955980038</v>
      </c>
      <c r="L29" s="1250">
        <f t="shared" si="2"/>
        <v>3.9316415629412007</v>
      </c>
      <c r="M29" s="1174">
        <v>1.9834549425004355</v>
      </c>
      <c r="N29" s="1174">
        <v>1.9481866204407652</v>
      </c>
      <c r="O29" s="1251">
        <f t="shared" si="3"/>
        <v>0.74309731959148118</v>
      </c>
      <c r="P29" s="1161"/>
      <c r="Q29" s="1161"/>
      <c r="R29" s="1174"/>
    </row>
    <row r="30" spans="1:18" x14ac:dyDescent="0.2">
      <c r="A30" s="1154" t="s">
        <v>49</v>
      </c>
      <c r="B30" s="324">
        <f>TableA2!C30</f>
        <v>21.552271978652684</v>
      </c>
      <c r="C30" s="1200">
        <f>TableA2b!C30</f>
        <v>16.264463616511343</v>
      </c>
      <c r="D30" s="1200">
        <f t="shared" si="0"/>
        <v>5.287808362141341</v>
      </c>
      <c r="E30" s="1200">
        <v>14.39701705411913</v>
      </c>
      <c r="F30" s="1200">
        <f t="shared" si="4"/>
        <v>7.1552549245335531</v>
      </c>
      <c r="G30" s="299">
        <f>TableA2!D30+TableA2!G30</f>
        <v>17.678856419111881</v>
      </c>
      <c r="H30" s="1233">
        <v>9.5486209309727972</v>
      </c>
      <c r="I30" s="1236">
        <v>8.1302354881390855</v>
      </c>
      <c r="J30" s="1159">
        <v>10.846894446791969</v>
      </c>
      <c r="K30" s="1174">
        <f t="shared" si="1"/>
        <v>6.8319619723199114</v>
      </c>
      <c r="L30" s="1250">
        <f t="shared" si="2"/>
        <v>12.011747234819373</v>
      </c>
      <c r="M30" s="1174">
        <v>5.8468889014583123</v>
      </c>
      <c r="N30" s="1174">
        <v>6.1648583333610603</v>
      </c>
      <c r="O30" s="1251">
        <f t="shared" si="3"/>
        <v>0.97795021181889275</v>
      </c>
      <c r="P30" s="1161"/>
      <c r="Q30" s="1161"/>
      <c r="R30" s="1174"/>
    </row>
    <row r="31" spans="1:18" x14ac:dyDescent="0.2">
      <c r="A31" s="1154" t="s">
        <v>50</v>
      </c>
      <c r="B31" s="324">
        <f>TableA2!C31</f>
        <v>140.22820286912128</v>
      </c>
      <c r="C31" s="1200">
        <f>TableA2b!C31</f>
        <v>129.55605808508906</v>
      </c>
      <c r="D31" s="1200">
        <f t="shared" si="0"/>
        <v>10.672144784032213</v>
      </c>
      <c r="E31" s="1200"/>
      <c r="F31" s="1200"/>
      <c r="G31" s="299">
        <f>TableA2!D31+TableA2!G31</f>
        <v>440.29072705551971</v>
      </c>
      <c r="H31" s="1233">
        <v>410.07903261599517</v>
      </c>
      <c r="I31" s="1236">
        <v>30.211694439524521</v>
      </c>
      <c r="J31" s="1159"/>
      <c r="K31" s="1174"/>
      <c r="L31" s="1250"/>
      <c r="M31" s="1174"/>
      <c r="N31" s="1174"/>
      <c r="O31" s="1251"/>
      <c r="P31" s="1161"/>
      <c r="Q31" s="1161"/>
      <c r="R31" s="1174"/>
    </row>
    <row r="32" spans="1:18" x14ac:dyDescent="0.2">
      <c r="A32" s="1154" t="s">
        <v>51</v>
      </c>
      <c r="B32" s="324">
        <f>TableA2!C32</f>
        <v>282.03899700441076</v>
      </c>
      <c r="C32" s="1200">
        <f>TableA2b!C32</f>
        <v>260.66839015636731</v>
      </c>
      <c r="D32" s="1200">
        <f t="shared" si="0"/>
        <v>21.370606848043451</v>
      </c>
      <c r="E32" s="1200">
        <v>203.57418935539931</v>
      </c>
      <c r="F32" s="1200">
        <f t="shared" si="4"/>
        <v>78.464807649011448</v>
      </c>
      <c r="G32" s="299">
        <f>TableA2!D32+TableA2!G32</f>
        <v>219.09945999540849</v>
      </c>
      <c r="H32" s="1233">
        <v>190.03969349831812</v>
      </c>
      <c r="I32" s="1236">
        <v>29.059766497090365</v>
      </c>
      <c r="J32" s="1159">
        <v>164.3889763203162</v>
      </c>
      <c r="K32" s="1174">
        <f t="shared" si="1"/>
        <v>54.710483675092291</v>
      </c>
      <c r="L32" s="1250">
        <f t="shared" si="2"/>
        <v>103.32553659421134</v>
      </c>
      <c r="M32" s="1174">
        <v>56.091160849057125</v>
      </c>
      <c r="N32" s="1174">
        <v>47.23437574515421</v>
      </c>
      <c r="O32" s="1251">
        <f t="shared" si="3"/>
        <v>0.81641128486533698</v>
      </c>
      <c r="P32" s="1161"/>
      <c r="Q32" s="1161"/>
      <c r="R32" s="1174"/>
    </row>
    <row r="33" spans="1:18" x14ac:dyDescent="0.2">
      <c r="A33" s="1154" t="s">
        <v>52</v>
      </c>
      <c r="B33" s="324">
        <f>TableA2!C33</f>
        <v>57.141860911103748</v>
      </c>
      <c r="C33" s="1200">
        <f>TableA2b!C33</f>
        <v>54.636935790372917</v>
      </c>
      <c r="D33" s="1200">
        <f t="shared" si="0"/>
        <v>2.5049251207308316</v>
      </c>
      <c r="E33" s="1200"/>
      <c r="F33" s="1200"/>
      <c r="G33" s="299">
        <f>TableA2!D33+TableA2!G33</f>
        <v>60.582646140971775</v>
      </c>
      <c r="H33" s="1233">
        <v>56.275737024704057</v>
      </c>
      <c r="I33" s="1236">
        <v>4.3069091162677173</v>
      </c>
      <c r="J33" s="1159"/>
      <c r="K33" s="1174"/>
      <c r="L33" s="1250"/>
      <c r="M33" s="1174"/>
      <c r="N33" s="1174"/>
      <c r="O33" s="1251"/>
      <c r="P33" s="1161"/>
      <c r="Q33" s="1161"/>
      <c r="R33" s="1174"/>
    </row>
    <row r="34" spans="1:18" x14ac:dyDescent="0.2">
      <c r="A34" s="1154" t="s">
        <v>53</v>
      </c>
      <c r="B34" s="324">
        <f>TableA2!C34</f>
        <v>120.45063054869772</v>
      </c>
      <c r="C34" s="1200">
        <f>TableA2b!C34</f>
        <v>114.60526549115365</v>
      </c>
      <c r="D34" s="1200">
        <f t="shared" si="0"/>
        <v>5.8453650575440719</v>
      </c>
      <c r="E34" s="1200">
        <v>105.29035921562364</v>
      </c>
      <c r="F34" s="1200">
        <f t="shared" si="4"/>
        <v>15.160271333074078</v>
      </c>
      <c r="G34" s="299">
        <f>TableA2!D34+TableA2!G34</f>
        <v>123.6011109392948</v>
      </c>
      <c r="H34" s="1233">
        <v>112.65788518516544</v>
      </c>
      <c r="I34" s="1236">
        <v>10.943225754129349</v>
      </c>
      <c r="J34" s="1159">
        <v>107.67740354169371</v>
      </c>
      <c r="K34" s="1174">
        <f t="shared" si="1"/>
        <v>15.923707397601092</v>
      </c>
      <c r="L34" s="1250">
        <f t="shared" si="2"/>
        <v>53.224445161640929</v>
      </c>
      <c r="M34" s="1174">
        <v>29.017511054622645</v>
      </c>
      <c r="N34" s="1174">
        <v>24.206934107018284</v>
      </c>
      <c r="O34" s="1251">
        <f t="shared" si="3"/>
        <v>0.93709764263823836</v>
      </c>
      <c r="P34" s="1161"/>
      <c r="Q34" s="1161"/>
      <c r="R34" s="1174"/>
    </row>
    <row r="35" spans="1:18" x14ac:dyDescent="0.2">
      <c r="A35" s="1154" t="s">
        <v>54</v>
      </c>
      <c r="B35" s="324">
        <f>TableA2!C35</f>
        <v>110.83432816023345</v>
      </c>
      <c r="C35" s="1200">
        <f>TableA2b!C35</f>
        <v>104.39766547287439</v>
      </c>
      <c r="D35" s="1200">
        <f t="shared" si="0"/>
        <v>6.4366626873590604</v>
      </c>
      <c r="E35" s="1200">
        <v>86.06868006641092</v>
      </c>
      <c r="F35" s="1200">
        <f t="shared" si="4"/>
        <v>24.765648093822534</v>
      </c>
      <c r="G35" s="299">
        <f>TableA2!D35+TableA2!G35</f>
        <v>124.06499535747446</v>
      </c>
      <c r="H35" s="1233">
        <v>114.72768271654066</v>
      </c>
      <c r="I35" s="1236">
        <v>9.3373126409338116</v>
      </c>
      <c r="J35" s="1159">
        <v>89.464864211414735</v>
      </c>
      <c r="K35" s="1174">
        <f t="shared" si="1"/>
        <v>34.600131146059724</v>
      </c>
      <c r="L35" s="1250">
        <f t="shared" si="2"/>
        <v>62.268662543156566</v>
      </c>
      <c r="M35" s="1174">
        <v>30.435452870763783</v>
      </c>
      <c r="N35" s="1174">
        <v>31.83320967239278</v>
      </c>
      <c r="O35" s="1251">
        <f t="shared" si="3"/>
        <v>0.80106453100118746</v>
      </c>
      <c r="P35" s="1161"/>
      <c r="Q35" s="1161"/>
      <c r="R35" s="1174"/>
    </row>
    <row r="36" spans="1:18" x14ac:dyDescent="0.2">
      <c r="A36" s="1154" t="s">
        <v>55</v>
      </c>
      <c r="B36" s="324">
        <f>TableA2!C36</f>
        <v>57.993657247362911</v>
      </c>
      <c r="C36" s="1200">
        <f>TableA2b!C36</f>
        <v>53.761702594883424</v>
      </c>
      <c r="D36" s="1200">
        <f t="shared" si="0"/>
        <v>4.2319546524794873</v>
      </c>
      <c r="E36" s="1200">
        <v>47.456743624807167</v>
      </c>
      <c r="F36" s="1200">
        <f t="shared" si="4"/>
        <v>10.536913622555744</v>
      </c>
      <c r="G36" s="299">
        <f>TableA2!D36+TableA2!G36</f>
        <v>43.76024528119833</v>
      </c>
      <c r="H36" s="1233">
        <v>39.497275577574229</v>
      </c>
      <c r="I36" s="1236">
        <v>4.2629697036240977</v>
      </c>
      <c r="J36" s="1159">
        <v>33.490598995850981</v>
      </c>
      <c r="K36" s="1174">
        <f t="shared" si="1"/>
        <v>10.269646285347349</v>
      </c>
      <c r="L36" s="1250">
        <f t="shared" si="2"/>
        <v>19.409444146844869</v>
      </c>
      <c r="M36" s="1174">
        <v>10.732660573454044</v>
      </c>
      <c r="N36" s="1174">
        <v>8.6767835733908267</v>
      </c>
      <c r="O36" s="1251">
        <f t="shared" si="3"/>
        <v>0.8679844472557654</v>
      </c>
      <c r="P36" s="1161"/>
      <c r="Q36" s="1161"/>
      <c r="R36" s="1174"/>
    </row>
    <row r="37" spans="1:18" x14ac:dyDescent="0.2">
      <c r="A37" s="1154" t="s">
        <v>56</v>
      </c>
      <c r="B37" s="324">
        <f>TableA2!C37</f>
        <v>21.242901141118761</v>
      </c>
      <c r="C37" s="1200">
        <f>TableA2b!C37</f>
        <v>20.182797487742043</v>
      </c>
      <c r="D37" s="1200">
        <f t="shared" si="0"/>
        <v>1.0601036533767179</v>
      </c>
      <c r="E37" s="1200">
        <v>19.283010539461149</v>
      </c>
      <c r="F37" s="1200">
        <f t="shared" si="4"/>
        <v>1.9598906016576123</v>
      </c>
      <c r="G37" s="299">
        <f>TableA2!D37+TableA2!G37</f>
        <v>22.114000969324319</v>
      </c>
      <c r="H37" s="1233">
        <v>20.498494441912072</v>
      </c>
      <c r="I37" s="1236">
        <v>1.6155065274122478</v>
      </c>
      <c r="J37" s="1159">
        <v>18.33509120410266</v>
      </c>
      <c r="K37" s="1174">
        <f t="shared" si="1"/>
        <v>3.778909765221659</v>
      </c>
      <c r="L37" s="1250">
        <f t="shared" si="2"/>
        <v>17.239776900136306</v>
      </c>
      <c r="M37" s="1174">
        <v>8.7149354689522323</v>
      </c>
      <c r="N37" s="1174">
        <v>8.5248414311840737</v>
      </c>
      <c r="O37" s="1251">
        <f t="shared" si="3"/>
        <v>0.9247027308919501</v>
      </c>
      <c r="P37" s="1161"/>
      <c r="Q37" s="1161"/>
      <c r="R37" s="1174"/>
    </row>
    <row r="38" spans="1:18" x14ac:dyDescent="0.2">
      <c r="A38" s="1154" t="s">
        <v>57</v>
      </c>
      <c r="B38" s="324">
        <f>TableA2!C38</f>
        <v>14.942894708531718</v>
      </c>
      <c r="C38" s="1200">
        <f>TableA2b!C38</f>
        <v>14.141094249599904</v>
      </c>
      <c r="D38" s="1200">
        <f t="shared" si="0"/>
        <v>0.80180045893181351</v>
      </c>
      <c r="E38" s="1200">
        <v>12.620181243685252</v>
      </c>
      <c r="F38" s="1200">
        <f t="shared" si="4"/>
        <v>2.3227134648464656</v>
      </c>
      <c r="G38" s="299">
        <f>TableA2!D38+TableA2!G38</f>
        <v>8.5328335878641486</v>
      </c>
      <c r="H38" s="1233">
        <v>7.8726721521107201</v>
      </c>
      <c r="I38" s="1236">
        <v>0.66016143575342789</v>
      </c>
      <c r="J38" s="1159">
        <v>8.8216276885163918</v>
      </c>
      <c r="K38" s="1174">
        <f t="shared" si="1"/>
        <v>-0.2887941006522432</v>
      </c>
      <c r="L38" s="1250">
        <f t="shared" si="2"/>
        <v>5.6422660895083396</v>
      </c>
      <c r="M38" s="1174">
        <v>3.3685683833910609</v>
      </c>
      <c r="N38" s="1174">
        <v>2.2736977061172792</v>
      </c>
      <c r="O38" s="1251">
        <f t="shared" si="3"/>
        <v>0.97401819120491184</v>
      </c>
      <c r="P38" s="1161"/>
      <c r="Q38" s="1161"/>
      <c r="R38" s="1174"/>
    </row>
    <row r="39" spans="1:18" x14ac:dyDescent="0.2">
      <c r="A39" s="1154" t="s">
        <v>58</v>
      </c>
      <c r="B39" s="324">
        <f>TableA2!C39</f>
        <v>393.17191976124013</v>
      </c>
      <c r="C39" s="1200">
        <f>TableA2b!C39</f>
        <v>371.05269286947726</v>
      </c>
      <c r="D39" s="1200">
        <f t="shared" si="0"/>
        <v>22.119226891762878</v>
      </c>
      <c r="E39" s="1200">
        <v>310.87284660830755</v>
      </c>
      <c r="F39" s="1200">
        <f t="shared" si="4"/>
        <v>82.299073152932579</v>
      </c>
      <c r="G39" s="299">
        <f>TableA2!D39+TableA2!G39</f>
        <v>285.80316949090513</v>
      </c>
      <c r="H39" s="1233">
        <v>270.13982004283218</v>
      </c>
      <c r="I39" s="1236">
        <v>15.663349448072941</v>
      </c>
      <c r="J39" s="1159">
        <v>197.66153279676683</v>
      </c>
      <c r="K39" s="1174">
        <f t="shared" si="1"/>
        <v>88.141636694138299</v>
      </c>
      <c r="L39" s="1250">
        <f t="shared" si="2"/>
        <v>111.50002384493473</v>
      </c>
      <c r="M39" s="1174">
        <v>66.877167532293257</v>
      </c>
      <c r="N39" s="1174">
        <v>44.622856312641474</v>
      </c>
      <c r="O39" s="1251">
        <f t="shared" si="3"/>
        <v>0.79310717009982057</v>
      </c>
      <c r="P39" s="1161"/>
      <c r="Q39" s="1161"/>
      <c r="R39" s="1174"/>
    </row>
    <row r="40" spans="1:18" x14ac:dyDescent="0.2">
      <c r="A40" s="1154" t="s">
        <v>59</v>
      </c>
      <c r="B40" s="324">
        <f>TableA2!C40</f>
        <v>164.05430760342725</v>
      </c>
      <c r="C40" s="1200">
        <f>TableA2b!C40</f>
        <v>156.5661996473911</v>
      </c>
      <c r="D40" s="1200">
        <f t="shared" si="0"/>
        <v>7.4881079560361457</v>
      </c>
      <c r="E40" s="1200">
        <v>163.65918981732875</v>
      </c>
      <c r="F40" s="1200">
        <f t="shared" si="4"/>
        <v>0.39511778609849557</v>
      </c>
      <c r="G40" s="299">
        <f>TableA2!D40+TableA2!G40</f>
        <v>123.77103492525822</v>
      </c>
      <c r="H40" s="1233">
        <v>112.87171862516436</v>
      </c>
      <c r="I40" s="1236">
        <v>10.89931630009386</v>
      </c>
      <c r="J40" s="1159">
        <v>87.159827140574592</v>
      </c>
      <c r="K40" s="1174">
        <f t="shared" si="1"/>
        <v>36.611207784683629</v>
      </c>
      <c r="L40" s="1250">
        <f t="shared" si="2"/>
        <v>68.35123005999742</v>
      </c>
      <c r="M40" s="1174">
        <v>45.255054202105526</v>
      </c>
      <c r="N40" s="1174">
        <v>23.096175857891893</v>
      </c>
      <c r="O40" s="1251">
        <f t="shared" si="3"/>
        <v>0.93089724922897521</v>
      </c>
      <c r="P40" s="1161"/>
      <c r="Q40" s="1161"/>
      <c r="R40" s="1174"/>
    </row>
    <row r="41" spans="1:18" x14ac:dyDescent="0.2">
      <c r="A41" s="1154" t="s">
        <v>60</v>
      </c>
      <c r="B41" s="324">
        <f>TableA2!C41</f>
        <v>321.15382930461016</v>
      </c>
      <c r="C41" s="1200">
        <f>TableA2b!C41</f>
        <v>285.58877294959063</v>
      </c>
      <c r="D41" s="1200">
        <f t="shared" si="0"/>
        <v>35.565056355019522</v>
      </c>
      <c r="E41" s="1200"/>
      <c r="F41" s="1200"/>
      <c r="G41" s="299">
        <f>TableA2!D41+TableA2!G41</f>
        <v>162.36674206992865</v>
      </c>
      <c r="H41" s="1233">
        <v>133.37341188157288</v>
      </c>
      <c r="I41" s="1236">
        <v>28.993330188355749</v>
      </c>
      <c r="J41" s="1159"/>
      <c r="K41" s="1174"/>
      <c r="L41" s="1250"/>
      <c r="M41" s="1174"/>
      <c r="N41" s="1174"/>
      <c r="O41" s="1251"/>
      <c r="P41" s="1161"/>
      <c r="Q41" s="1161"/>
      <c r="R41" s="1174"/>
    </row>
    <row r="42" spans="1:18" x14ac:dyDescent="0.2">
      <c r="A42" s="1154" t="s">
        <v>61</v>
      </c>
      <c r="B42" s="324">
        <f>TableA2!C42</f>
        <v>180.37437743772173</v>
      </c>
      <c r="C42" s="1200">
        <f>TableA2b!C42</f>
        <v>169.57876977612943</v>
      </c>
      <c r="D42" s="1200">
        <f t="shared" si="0"/>
        <v>10.7956076615923</v>
      </c>
      <c r="E42" s="1200"/>
      <c r="F42" s="1200"/>
      <c r="G42" s="299">
        <f>TableA2!D42+TableA2!G42</f>
        <v>281.38281160099098</v>
      </c>
      <c r="H42" s="1233">
        <v>266.96332990074666</v>
      </c>
      <c r="I42" s="1236">
        <v>14.419481700244374</v>
      </c>
      <c r="J42" s="1159"/>
      <c r="K42" s="1174"/>
      <c r="L42" s="1250"/>
      <c r="M42" s="1174"/>
      <c r="N42" s="1174"/>
      <c r="O42" s="1251"/>
      <c r="P42" s="1161"/>
      <c r="Q42" s="1161"/>
      <c r="R42" s="1174"/>
    </row>
    <row r="43" spans="1:18" x14ac:dyDescent="0.2">
      <c r="A43" s="1154" t="s">
        <v>62</v>
      </c>
      <c r="B43" s="324">
        <f>TableA2!C43</f>
        <v>1012.5690365062753</v>
      </c>
      <c r="C43" s="1200">
        <f>TableA2b!C43</f>
        <v>914.7102185487629</v>
      </c>
      <c r="D43" s="1200">
        <f t="shared" si="0"/>
        <v>97.858817957512429</v>
      </c>
      <c r="E43" s="1200">
        <v>687.21965445624505</v>
      </c>
      <c r="F43" s="1200">
        <f t="shared" si="4"/>
        <v>325.34938205003027</v>
      </c>
      <c r="G43" s="299">
        <f>TableA2!D43+TableA2!G43</f>
        <v>606.97278261998781</v>
      </c>
      <c r="H43" s="1233">
        <v>525.31758702610216</v>
      </c>
      <c r="I43" s="1236">
        <v>81.655195593885836</v>
      </c>
      <c r="J43" s="1159">
        <v>722.56114010309068</v>
      </c>
      <c r="K43" s="1174">
        <f t="shared" si="1"/>
        <v>-115.58835748310287</v>
      </c>
      <c r="L43" s="1250">
        <f t="shared" si="2"/>
        <v>429.05135767551087</v>
      </c>
      <c r="M43" s="1174">
        <v>190.48008470713972</v>
      </c>
      <c r="N43" s="1174">
        <v>238.57127296837115</v>
      </c>
      <c r="O43" s="1251">
        <f t="shared" si="3"/>
        <v>0.97899553682336404</v>
      </c>
      <c r="P43" s="1161"/>
      <c r="Q43" s="1161"/>
      <c r="R43" s="1174"/>
    </row>
    <row r="44" spans="1:18" ht="17" thickBot="1" x14ac:dyDescent="0.25">
      <c r="A44" s="1245" t="s">
        <v>63</v>
      </c>
      <c r="B44" s="325">
        <f>TableA2!C44</f>
        <v>6036.1069000000007</v>
      </c>
      <c r="C44" s="1252">
        <f>TableA2b!C44</f>
        <v>5360.1337000000003</v>
      </c>
      <c r="D44" s="1252">
        <f t="shared" si="0"/>
        <v>675.97320000000036</v>
      </c>
      <c r="E44" s="1252">
        <f>B44</f>
        <v>6036.1069000000007</v>
      </c>
      <c r="F44" s="1252">
        <f t="shared" si="4"/>
        <v>0</v>
      </c>
      <c r="G44" s="326">
        <f>TableA2!D44+TableA2!G44</f>
        <v>3713.6565000000001</v>
      </c>
      <c r="H44" s="1253">
        <v>3061.2428999999997</v>
      </c>
      <c r="I44" s="1254">
        <v>652.41359999999997</v>
      </c>
      <c r="J44" s="1247">
        <f>G44</f>
        <v>3713.6565000000001</v>
      </c>
      <c r="K44" s="1255">
        <f t="shared" si="1"/>
        <v>0</v>
      </c>
      <c r="L44" s="1256">
        <f t="shared" si="2"/>
        <v>834.53200000000004</v>
      </c>
      <c r="M44" s="1255">
        <v>539.10500000000002</v>
      </c>
      <c r="N44" s="1255">
        <v>295.42700000000002</v>
      </c>
      <c r="O44" s="1257">
        <f t="shared" si="3"/>
        <v>1.1577398640502552</v>
      </c>
      <c r="P44" s="1161"/>
      <c r="Q44" s="1161"/>
      <c r="R44" s="1174"/>
    </row>
    <row r="45" spans="1:18" ht="35" hidden="1" thickTop="1" x14ac:dyDescent="0.2">
      <c r="A45" s="7" t="s">
        <v>64</v>
      </c>
      <c r="B45" s="1816"/>
      <c r="C45" s="1838"/>
      <c r="D45" s="1838"/>
      <c r="E45" s="1838"/>
      <c r="F45" s="1838"/>
      <c r="G45" s="321"/>
      <c r="H45" s="1258"/>
      <c r="I45" s="1259"/>
      <c r="J45" s="1866"/>
      <c r="K45" s="1866"/>
      <c r="L45" s="1840"/>
      <c r="M45" s="1866"/>
      <c r="N45" s="1866"/>
      <c r="O45" s="1260"/>
      <c r="P45" s="1866"/>
      <c r="Q45" s="1866"/>
      <c r="R45" s="1866"/>
    </row>
    <row r="46" spans="1:18" hidden="1" x14ac:dyDescent="0.2">
      <c r="A46" s="1155" t="s">
        <v>65</v>
      </c>
      <c r="B46" s="324">
        <f>TableA2!C46</f>
        <v>683.84777930021517</v>
      </c>
      <c r="C46" s="1838"/>
      <c r="D46" s="1838"/>
      <c r="E46" s="1838"/>
      <c r="F46" s="1838"/>
      <c r="G46" s="299">
        <f>TableA2!D46+TableA2!G46</f>
        <v>421.2199</v>
      </c>
      <c r="H46" s="1258"/>
      <c r="I46" s="1259"/>
      <c r="J46" s="1866"/>
      <c r="K46" s="1866"/>
      <c r="L46" s="1840"/>
      <c r="M46" s="1866"/>
      <c r="N46" s="1866"/>
      <c r="O46" s="1260"/>
      <c r="P46" s="1866"/>
      <c r="Q46" s="1866"/>
      <c r="R46" s="1866"/>
    </row>
    <row r="47" spans="1:18" hidden="1" x14ac:dyDescent="0.2">
      <c r="A47" s="1154" t="s">
        <v>66</v>
      </c>
      <c r="B47" s="324">
        <f>TableA2!C47</f>
        <v>3000.3468631285727</v>
      </c>
      <c r="C47" s="1838"/>
      <c r="D47" s="1838"/>
      <c r="E47" s="1838"/>
      <c r="F47" s="1838"/>
      <c r="G47" s="299">
        <f>TableA2!D47+TableA2!G47</f>
        <v>3211.4979222099973</v>
      </c>
      <c r="H47" s="1258"/>
      <c r="I47" s="1259"/>
      <c r="J47" s="1866"/>
      <c r="K47" s="1866"/>
      <c r="L47" s="1840"/>
      <c r="M47" s="1866"/>
      <c r="N47" s="1866"/>
      <c r="O47" s="1260"/>
      <c r="P47" s="1866"/>
      <c r="Q47" s="1866"/>
      <c r="R47" s="1866"/>
    </row>
    <row r="48" spans="1:18" hidden="1" x14ac:dyDescent="0.2">
      <c r="A48" s="1154" t="s">
        <v>67</v>
      </c>
      <c r="B48" s="324">
        <f>TableA2!C48</f>
        <v>54.170478374899503</v>
      </c>
      <c r="C48" s="1838"/>
      <c r="D48" s="1838"/>
      <c r="E48" s="1838"/>
      <c r="F48" s="1838"/>
      <c r="G48" s="299">
        <f>TableA2!D48+TableA2!G48</f>
        <v>80.853621322501638</v>
      </c>
      <c r="H48" s="1258"/>
      <c r="I48" s="1259"/>
      <c r="J48" s="1866"/>
      <c r="K48" s="1866"/>
      <c r="L48" s="1840"/>
      <c r="M48" s="1866"/>
      <c r="N48" s="1866"/>
      <c r="O48" s="1260"/>
      <c r="P48" s="1866"/>
      <c r="Q48" s="1866"/>
      <c r="R48" s="1866"/>
    </row>
    <row r="49" spans="1:18" hidden="1" x14ac:dyDescent="0.2">
      <c r="A49" s="1154" t="s">
        <v>68</v>
      </c>
      <c r="B49" s="324">
        <f>TableA2!C49</f>
        <v>15.631819704056245</v>
      </c>
      <c r="C49" s="1838"/>
      <c r="D49" s="1838"/>
      <c r="E49" s="1838"/>
      <c r="F49" s="1838"/>
      <c r="G49" s="299">
        <f>TableA2!D49+TableA2!G49</f>
        <v>14.355682190986528</v>
      </c>
      <c r="H49" s="1258"/>
      <c r="I49" s="1259"/>
      <c r="J49" s="1866"/>
      <c r="K49" s="1866"/>
      <c r="L49" s="1840"/>
      <c r="M49" s="1866"/>
      <c r="N49" s="1866"/>
      <c r="O49" s="1260"/>
      <c r="P49" s="1866"/>
      <c r="Q49" s="1866"/>
      <c r="R49" s="1866"/>
    </row>
    <row r="50" spans="1:18" ht="14.25" hidden="1" customHeight="1" x14ac:dyDescent="0.2">
      <c r="A50" s="1154" t="s">
        <v>69</v>
      </c>
      <c r="B50" s="324">
        <f>TableA2!C50</f>
        <v>318.62573018831665</v>
      </c>
      <c r="C50" s="1838"/>
      <c r="D50" s="1838"/>
      <c r="E50" s="1838"/>
      <c r="F50" s="1838"/>
      <c r="G50" s="299">
        <f>TableA2!D50+TableA2!G50</f>
        <v>600.39006768056788</v>
      </c>
      <c r="H50" s="1258"/>
      <c r="I50" s="1259"/>
      <c r="J50" s="1866"/>
      <c r="K50" s="1866"/>
      <c r="L50" s="1840"/>
      <c r="M50" s="1866"/>
      <c r="N50" s="1866"/>
      <c r="O50" s="1260"/>
      <c r="P50" s="1866"/>
      <c r="Q50" s="1866"/>
      <c r="R50" s="1866"/>
    </row>
    <row r="51" spans="1:18" ht="14.25" hidden="1" customHeight="1" x14ac:dyDescent="0.2">
      <c r="A51" s="1154" t="s">
        <v>70</v>
      </c>
      <c r="B51" s="324">
        <f>TableA2!C51</f>
        <v>465.66449313355542</v>
      </c>
      <c r="C51" s="1838"/>
      <c r="D51" s="1838"/>
      <c r="E51" s="1838"/>
      <c r="F51" s="1838"/>
      <c r="G51" s="299">
        <f>TableA2!D51+TableA2!G51</f>
        <v>390.67700792531377</v>
      </c>
      <c r="H51" s="1258"/>
      <c r="I51" s="1259"/>
      <c r="J51" s="1866"/>
      <c r="K51" s="1866"/>
      <c r="L51" s="1840"/>
      <c r="M51" s="1866"/>
      <c r="N51" s="1866"/>
      <c r="O51" s="1260"/>
      <c r="P51" s="1866"/>
      <c r="Q51" s="1866"/>
      <c r="R51" s="1866"/>
    </row>
    <row r="52" spans="1:18" ht="14.25" hidden="1" customHeight="1" x14ac:dyDescent="0.2">
      <c r="A52" s="1154" t="s">
        <v>71</v>
      </c>
      <c r="B52" s="324">
        <f>TableA2!C52</f>
        <v>97.137143202548756</v>
      </c>
      <c r="C52" s="1838"/>
      <c r="D52" s="1838"/>
      <c r="E52" s="1838"/>
      <c r="F52" s="1838"/>
      <c r="G52" s="299">
        <f>TableA2!D52+TableA2!G52</f>
        <v>95.182230045806293</v>
      </c>
      <c r="H52" s="1258"/>
      <c r="I52" s="1259"/>
      <c r="J52" s="1866"/>
      <c r="K52" s="1866"/>
      <c r="L52" s="1840"/>
      <c r="M52" s="1866"/>
      <c r="N52" s="1866"/>
      <c r="O52" s="1260"/>
      <c r="P52" s="1866"/>
      <c r="Q52" s="1866"/>
      <c r="R52" s="1866"/>
    </row>
    <row r="53" spans="1:18" ht="34" hidden="1" x14ac:dyDescent="0.2">
      <c r="A53" s="7" t="s">
        <v>72</v>
      </c>
      <c r="B53" s="1816"/>
      <c r="C53" s="1838"/>
      <c r="D53" s="1838"/>
      <c r="E53" s="1838"/>
      <c r="F53" s="1838"/>
      <c r="G53" s="321"/>
      <c r="H53" s="1258"/>
      <c r="I53" s="1259"/>
      <c r="J53" s="1866"/>
      <c r="K53" s="1866"/>
      <c r="L53" s="1840"/>
      <c r="M53" s="1866"/>
      <c r="N53" s="1866"/>
      <c r="O53" s="1260"/>
      <c r="P53" s="1866"/>
      <c r="Q53" s="1866"/>
      <c r="R53" s="1866"/>
    </row>
    <row r="54" spans="1:18" ht="14.25" hidden="1" customHeight="1" x14ac:dyDescent="0.2">
      <c r="A54" s="1154" t="s">
        <v>73</v>
      </c>
      <c r="B54" s="299">
        <f>+TableA2!C54</f>
        <v>0.50910500000000003</v>
      </c>
      <c r="C54" s="1838"/>
      <c r="D54" s="1838"/>
      <c r="E54" s="1838"/>
      <c r="F54" s="1838"/>
      <c r="G54" s="299">
        <f>TableA2!D54+TableA2!G54</f>
        <v>1.3810950000000002</v>
      </c>
      <c r="H54" s="1258"/>
      <c r="I54" s="1259"/>
      <c r="J54" s="1866"/>
      <c r="K54" s="1866"/>
      <c r="L54" s="1840"/>
      <c r="M54" s="1866"/>
      <c r="N54" s="1866"/>
      <c r="O54" s="1260"/>
      <c r="P54" s="1866"/>
      <c r="Q54" s="1866"/>
      <c r="R54" s="1866"/>
    </row>
    <row r="55" spans="1:18" ht="14.25" hidden="1" customHeight="1" x14ac:dyDescent="0.2">
      <c r="A55" s="1154" t="s">
        <v>74</v>
      </c>
      <c r="B55" s="299">
        <f>+TableA2!C55</f>
        <v>4.8179904000000003E-2</v>
      </c>
      <c r="C55" s="1838"/>
      <c r="D55" s="1838"/>
      <c r="E55" s="1838"/>
      <c r="F55" s="1838"/>
      <c r="G55" s="299">
        <f>TableA2!D55+TableA2!G55</f>
        <v>0.13070209600000002</v>
      </c>
      <c r="H55" s="1258"/>
      <c r="I55" s="1259"/>
      <c r="J55" s="1866"/>
      <c r="K55" s="1866"/>
      <c r="L55" s="1840"/>
      <c r="M55" s="1866"/>
      <c r="N55" s="1866"/>
      <c r="O55" s="1260"/>
      <c r="P55" s="1866"/>
      <c r="Q55" s="1866"/>
      <c r="R55" s="1866"/>
    </row>
    <row r="56" spans="1:18" ht="14.25" hidden="1" customHeight="1" x14ac:dyDescent="0.2">
      <c r="A56" s="1154" t="str">
        <f>+TableA1!A56</f>
        <v>Antigua and Barbuda</v>
      </c>
      <c r="B56" s="299">
        <f>+TableA2!C56</f>
        <v>9.4220399999999996E-2</v>
      </c>
      <c r="C56" s="1838"/>
      <c r="D56" s="1838"/>
      <c r="E56" s="1838"/>
      <c r="F56" s="1838"/>
      <c r="G56" s="156">
        <f>TableA2!D56+TableA2!G56</f>
        <v>0.82339459999999998</v>
      </c>
      <c r="H56" s="1258"/>
      <c r="I56" s="1259"/>
      <c r="J56" s="1866"/>
      <c r="K56" s="1866"/>
      <c r="L56" s="1840"/>
      <c r="M56" s="1866"/>
      <c r="N56" s="1866"/>
      <c r="O56" s="1260"/>
      <c r="P56" s="1866"/>
      <c r="Q56" s="1866"/>
      <c r="R56" s="1866"/>
    </row>
    <row r="57" spans="1:18" ht="14.25" hidden="1" customHeight="1" x14ac:dyDescent="0.2">
      <c r="A57" s="1154" t="s">
        <v>76</v>
      </c>
      <c r="B57" s="299">
        <f>+TableA2!C57</f>
        <v>0.45270100000000002</v>
      </c>
      <c r="C57" s="1838"/>
      <c r="D57" s="1838"/>
      <c r="E57" s="1838"/>
      <c r="F57" s="1838"/>
      <c r="G57" s="299">
        <f>TableA2!D57+TableA2!G57</f>
        <v>1.2280789999999999</v>
      </c>
      <c r="H57" s="1258"/>
      <c r="I57" s="1259"/>
      <c r="J57" s="1866"/>
      <c r="K57" s="1866"/>
      <c r="L57" s="1840"/>
      <c r="M57" s="1866"/>
      <c r="N57" s="1866"/>
      <c r="O57" s="1260"/>
      <c r="P57" s="1866"/>
      <c r="Q57" s="1866"/>
      <c r="R57" s="1866"/>
    </row>
    <row r="58" spans="1:18" ht="14.25" hidden="1" customHeight="1" x14ac:dyDescent="0.2">
      <c r="A58" s="1154" t="s">
        <v>152</v>
      </c>
      <c r="B58" s="299">
        <f>+TableA2!C58</f>
        <v>0.49227100000000001</v>
      </c>
      <c r="C58" s="1838"/>
      <c r="D58" s="1838"/>
      <c r="E58" s="1838"/>
      <c r="F58" s="1838"/>
      <c r="G58" s="299">
        <f>TableA2!D58+TableA2!G58</f>
        <v>7.0645190000000007</v>
      </c>
      <c r="H58" s="1258"/>
      <c r="I58" s="1259"/>
      <c r="J58" s="1866"/>
      <c r="K58" s="1866"/>
      <c r="L58" s="1840"/>
      <c r="M58" s="1866"/>
      <c r="N58" s="1866"/>
      <c r="O58" s="1260"/>
      <c r="P58" s="1866"/>
      <c r="Q58" s="1866"/>
      <c r="R58" s="1866"/>
    </row>
    <row r="59" spans="1:18" ht="14.25" hidden="1" customHeight="1" x14ac:dyDescent="0.2">
      <c r="A59" s="1154" t="s">
        <v>78</v>
      </c>
      <c r="B59" s="299">
        <f>+TableA2!C59</f>
        <v>10.122538414747584</v>
      </c>
      <c r="C59" s="1838"/>
      <c r="D59" s="1838"/>
      <c r="E59" s="1838"/>
      <c r="F59" s="1838"/>
      <c r="G59" s="299">
        <f>TableA2!D59+TableA2!G59</f>
        <v>11.994661585252416</v>
      </c>
      <c r="H59" s="1258"/>
      <c r="I59" s="1259"/>
      <c r="J59" s="1866"/>
      <c r="K59" s="1866"/>
      <c r="L59" s="1840"/>
      <c r="M59" s="1866"/>
      <c r="N59" s="1866"/>
      <c r="O59" s="1260"/>
      <c r="P59" s="1866"/>
      <c r="Q59" s="1866"/>
      <c r="R59" s="1866"/>
    </row>
    <row r="60" spans="1:18" ht="14.25" hidden="1" customHeight="1" x14ac:dyDescent="0.2">
      <c r="A60" s="1154" t="str">
        <f>+TableA1!A60</f>
        <v>Barbados</v>
      </c>
      <c r="B60" s="299">
        <f>+TableA2!C60</f>
        <v>0.34493299999999999</v>
      </c>
      <c r="C60" s="1838"/>
      <c r="D60" s="1838"/>
      <c r="E60" s="1838"/>
      <c r="F60" s="1838"/>
      <c r="G60" s="156">
        <f>TableA2!D60+TableA2!G60</f>
        <v>2.737047</v>
      </c>
      <c r="H60" s="1258"/>
      <c r="I60" s="1259"/>
      <c r="J60" s="1866"/>
      <c r="K60" s="1866"/>
      <c r="L60" s="1840"/>
      <c r="M60" s="1866"/>
      <c r="N60" s="1866"/>
      <c r="O60" s="1260"/>
      <c r="P60" s="1866"/>
      <c r="Q60" s="1866"/>
      <c r="R60" s="1866"/>
    </row>
    <row r="61" spans="1:18" ht="14.25" hidden="1" customHeight="1" x14ac:dyDescent="0.2">
      <c r="A61" s="1154" t="s">
        <v>80</v>
      </c>
      <c r="B61" s="299">
        <f>+TableA2!C61</f>
        <v>0.13389599999999999</v>
      </c>
      <c r="C61" s="1838"/>
      <c r="D61" s="1838"/>
      <c r="E61" s="1838"/>
      <c r="F61" s="1838"/>
      <c r="G61" s="299">
        <f>TableA2!D61+TableA2!G61</f>
        <v>1.037644</v>
      </c>
      <c r="H61" s="1258"/>
      <c r="I61" s="1259"/>
      <c r="J61" s="1866"/>
      <c r="K61" s="1866"/>
      <c r="L61" s="1840"/>
      <c r="M61" s="1866"/>
      <c r="N61" s="1866"/>
      <c r="O61" s="1260"/>
      <c r="P61" s="1866"/>
      <c r="Q61" s="1866"/>
      <c r="R61" s="1866"/>
    </row>
    <row r="62" spans="1:18" ht="14.25" hidden="1" customHeight="1" x14ac:dyDescent="0.2">
      <c r="A62" s="1154" t="s">
        <v>81</v>
      </c>
      <c r="B62" s="299">
        <f>+TableA2!C62</f>
        <v>3.0988699999999998</v>
      </c>
      <c r="C62" s="1838"/>
      <c r="D62" s="1838"/>
      <c r="E62" s="1838"/>
      <c r="F62" s="1838"/>
      <c r="G62" s="299">
        <f>TableA2!D62+TableA2!G62</f>
        <v>1.7479000000000005</v>
      </c>
      <c r="H62" s="1258"/>
      <c r="I62" s="1259"/>
      <c r="J62" s="1866"/>
      <c r="K62" s="1866"/>
      <c r="L62" s="1840"/>
      <c r="M62" s="1866"/>
      <c r="N62" s="1866"/>
      <c r="O62" s="1260"/>
      <c r="P62" s="1866"/>
      <c r="Q62" s="1866"/>
      <c r="R62" s="1866"/>
    </row>
    <row r="63" spans="1:18" ht="14.25" hidden="1" customHeight="1" x14ac:dyDescent="0.2">
      <c r="A63" s="1154" t="s">
        <v>82</v>
      </c>
      <c r="B63" s="299">
        <f>+TableA2!C63</f>
        <v>7.2464799999999996E-2</v>
      </c>
      <c r="C63" s="1838"/>
      <c r="D63" s="1838"/>
      <c r="E63" s="1838"/>
      <c r="F63" s="1838"/>
      <c r="G63" s="299">
        <f>TableA2!D63+TableA2!G63</f>
        <v>0.19658120000000001</v>
      </c>
      <c r="H63" s="1258"/>
      <c r="I63" s="1259"/>
      <c r="J63" s="1866"/>
      <c r="K63" s="1866"/>
      <c r="L63" s="1840"/>
      <c r="M63" s="1866"/>
      <c r="N63" s="1866"/>
      <c r="O63" s="1260"/>
      <c r="P63" s="1866"/>
      <c r="Q63" s="1866"/>
      <c r="R63" s="1866"/>
    </row>
    <row r="64" spans="1:18" ht="14.25" hidden="1" customHeight="1" x14ac:dyDescent="0.2">
      <c r="A64" s="1154" t="s">
        <v>153</v>
      </c>
      <c r="B64" s="299">
        <f>+TableA2!C64</f>
        <v>0.16297200000000001</v>
      </c>
      <c r="C64" s="1838"/>
      <c r="D64" s="1838"/>
      <c r="E64" s="1838"/>
      <c r="F64" s="1838"/>
      <c r="G64" s="299">
        <f>TableA2!D64+TableA2!G64</f>
        <v>0.44210899999999997</v>
      </c>
      <c r="H64" s="1258"/>
      <c r="I64" s="1259"/>
      <c r="J64" s="1866"/>
      <c r="K64" s="1866"/>
      <c r="L64" s="1840"/>
      <c r="M64" s="1866"/>
      <c r="N64" s="1866"/>
      <c r="O64" s="1260"/>
      <c r="P64" s="1866"/>
      <c r="Q64" s="1866"/>
      <c r="R64" s="1866"/>
    </row>
    <row r="65" spans="1:18" ht="14.25" hidden="1" customHeight="1" x14ac:dyDescent="0.2">
      <c r="A65" s="113" t="s">
        <v>84</v>
      </c>
      <c r="B65" s="299">
        <f>+TableA2!C65</f>
        <v>1.41639</v>
      </c>
      <c r="C65" s="1838"/>
      <c r="D65" s="1838"/>
      <c r="E65" s="1838"/>
      <c r="F65" s="1838"/>
      <c r="G65" s="299">
        <f>TableA2!D65+TableA2!G65</f>
        <v>0.90257000000000009</v>
      </c>
      <c r="H65" s="1258"/>
      <c r="I65" s="1259"/>
      <c r="J65" s="1866"/>
      <c r="K65" s="1866"/>
      <c r="L65" s="1840"/>
      <c r="M65" s="1866"/>
      <c r="N65" s="1866"/>
      <c r="O65" s="1260"/>
      <c r="P65" s="1866"/>
      <c r="Q65" s="1866"/>
      <c r="R65" s="1866"/>
    </row>
    <row r="66" spans="1:18" ht="14.25" hidden="1" customHeight="1" x14ac:dyDescent="0.2">
      <c r="A66" s="1154" t="s">
        <v>85</v>
      </c>
      <c r="B66" s="299">
        <f>+TableA2!C66</f>
        <v>1.3583099999999999</v>
      </c>
      <c r="C66" s="1838"/>
      <c r="D66" s="1838"/>
      <c r="E66" s="1838"/>
      <c r="F66" s="1838"/>
      <c r="G66" s="299">
        <f>TableA2!D66+TableA2!G66</f>
        <v>0.66642000000000001</v>
      </c>
      <c r="H66" s="1258"/>
      <c r="I66" s="1259"/>
      <c r="J66" s="1866"/>
      <c r="K66" s="1866"/>
      <c r="L66" s="1840"/>
      <c r="M66" s="1866"/>
      <c r="N66" s="1866"/>
      <c r="O66" s="1260"/>
      <c r="P66" s="1866"/>
      <c r="Q66" s="1866"/>
      <c r="R66" s="1866"/>
    </row>
    <row r="67" spans="1:18" ht="14.25" hidden="1" customHeight="1" x14ac:dyDescent="0.2">
      <c r="A67" s="1154" t="str">
        <f>+TableA1!A67</f>
        <v>Cyprus</v>
      </c>
      <c r="B67" s="299">
        <f>+TableA2!C67</f>
        <v>5.5453299999999999</v>
      </c>
      <c r="C67" s="1838"/>
      <c r="D67" s="1838"/>
      <c r="E67" s="1838"/>
      <c r="F67" s="1838"/>
      <c r="G67" s="156">
        <f>TableA2!D67+TableA2!G67</f>
        <v>4.4174199999999999</v>
      </c>
      <c r="H67" s="1258"/>
      <c r="I67" s="1259"/>
      <c r="J67" s="1866"/>
      <c r="K67" s="1866"/>
      <c r="L67" s="1840"/>
      <c r="M67" s="1866"/>
      <c r="N67" s="1866"/>
      <c r="O67" s="1260"/>
      <c r="P67" s="1866"/>
      <c r="Q67" s="1866"/>
      <c r="R67" s="1866"/>
    </row>
    <row r="68" spans="1:18" ht="14.25" hidden="1" customHeight="1" x14ac:dyDescent="0.2">
      <c r="A68" s="1154" t="s">
        <v>87</v>
      </c>
      <c r="B68" s="299">
        <f>+TableA2!C68</f>
        <v>1.2626299999999999</v>
      </c>
      <c r="C68" s="1838"/>
      <c r="D68" s="1838"/>
      <c r="E68" s="1838"/>
      <c r="F68" s="1838"/>
      <c r="G68" s="299">
        <f>TableA2!D68+TableA2!G68</f>
        <v>3.42523</v>
      </c>
      <c r="H68" s="1258"/>
      <c r="I68" s="1259"/>
      <c r="J68" s="1866"/>
      <c r="K68" s="1866"/>
      <c r="L68" s="1840"/>
      <c r="M68" s="1866"/>
      <c r="N68" s="1866"/>
      <c r="O68" s="1260"/>
      <c r="P68" s="1866"/>
      <c r="Q68" s="1866"/>
      <c r="R68" s="1866"/>
    </row>
    <row r="69" spans="1:18" ht="14.25" hidden="1" customHeight="1" x14ac:dyDescent="0.2">
      <c r="A69" s="1154" t="str">
        <f>+TableA1!A69</f>
        <v>Grenada</v>
      </c>
      <c r="B69" s="299">
        <f>+TableA2!C69</f>
        <v>7.3907048000000003E-2</v>
      </c>
      <c r="C69" s="1838"/>
      <c r="D69" s="1838"/>
      <c r="E69" s="1838"/>
      <c r="F69" s="1838"/>
      <c r="G69" s="156">
        <f>TableA2!D69+TableA2!G69</f>
        <v>0.43292695199999998</v>
      </c>
      <c r="H69" s="1258"/>
      <c r="I69" s="1259"/>
      <c r="J69" s="1866"/>
      <c r="K69" s="1866"/>
      <c r="L69" s="1840"/>
      <c r="M69" s="1866"/>
      <c r="N69" s="1866"/>
      <c r="O69" s="1260"/>
      <c r="P69" s="1866"/>
      <c r="Q69" s="1866"/>
      <c r="R69" s="1866"/>
    </row>
    <row r="70" spans="1:18" ht="14.25" hidden="1" customHeight="1" x14ac:dyDescent="0.2">
      <c r="A70" s="1154" t="s">
        <v>89</v>
      </c>
      <c r="B70" s="299">
        <f>+TableA2!C70</f>
        <v>0.84902900000000003</v>
      </c>
      <c r="C70" s="1838"/>
      <c r="D70" s="1838"/>
      <c r="E70" s="1838"/>
      <c r="F70" s="1838"/>
      <c r="G70" s="299">
        <f>TableA2!D70+TableA2!G70</f>
        <v>2.3032310000000003</v>
      </c>
      <c r="H70" s="1258"/>
      <c r="I70" s="1259"/>
      <c r="J70" s="1866"/>
      <c r="K70" s="1866"/>
      <c r="L70" s="1840"/>
      <c r="M70" s="1866"/>
      <c r="N70" s="1866"/>
      <c r="O70" s="1260"/>
      <c r="P70" s="1866"/>
      <c r="Q70" s="1866"/>
      <c r="R70" s="1866"/>
    </row>
    <row r="71" spans="1:18" ht="14.25" hidden="1" customHeight="1" x14ac:dyDescent="0.2">
      <c r="A71" s="1154" t="s">
        <v>154</v>
      </c>
      <c r="B71" s="299">
        <f>+TableA2!C71</f>
        <v>0.45451200000000003</v>
      </c>
      <c r="C71" s="1838"/>
      <c r="D71" s="1838"/>
      <c r="E71" s="1838"/>
      <c r="F71" s="1838"/>
      <c r="G71" s="156">
        <f>TableA2!D71+TableA2!G71</f>
        <v>1.232988</v>
      </c>
      <c r="H71" s="1258"/>
      <c r="I71" s="1259"/>
      <c r="J71" s="1866"/>
      <c r="K71" s="1866"/>
      <c r="L71" s="1840"/>
      <c r="M71" s="1866"/>
      <c r="N71" s="1866"/>
      <c r="O71" s="1260"/>
      <c r="P71" s="1866"/>
      <c r="Q71" s="1866"/>
      <c r="R71" s="1866"/>
    </row>
    <row r="72" spans="1:18" ht="14.25" hidden="1" customHeight="1" x14ac:dyDescent="0.2">
      <c r="A72" s="1154" t="s">
        <v>91</v>
      </c>
      <c r="B72" s="299">
        <f>+TableA2!C72</f>
        <v>117.069</v>
      </c>
      <c r="C72" s="1838"/>
      <c r="D72" s="1838"/>
      <c r="E72" s="1838"/>
      <c r="F72" s="1838"/>
      <c r="G72" s="156">
        <f>TableA2!D72+TableA2!G72</f>
        <v>102.02300000000001</v>
      </c>
      <c r="H72" s="1258"/>
      <c r="I72" s="1259"/>
      <c r="J72" s="1866"/>
      <c r="K72" s="1866"/>
      <c r="L72" s="1840"/>
      <c r="M72" s="1866"/>
      <c r="N72" s="1866"/>
      <c r="O72" s="1260"/>
      <c r="P72" s="1866"/>
      <c r="Q72" s="1866"/>
      <c r="R72" s="1866"/>
    </row>
    <row r="73" spans="1:18" ht="14.25" hidden="1" customHeight="1" x14ac:dyDescent="0.2">
      <c r="A73" s="1154" t="s">
        <v>92</v>
      </c>
      <c r="B73" s="299">
        <f>+TableA2!C73</f>
        <v>1.22997</v>
      </c>
      <c r="C73" s="1838"/>
      <c r="D73" s="1838"/>
      <c r="E73" s="1838"/>
      <c r="F73" s="1838"/>
      <c r="G73" s="156">
        <f>TableA2!D73+TableA2!G73</f>
        <v>3.3366600000000002</v>
      </c>
      <c r="H73" s="1258"/>
      <c r="I73" s="1259"/>
      <c r="J73" s="1866"/>
      <c r="K73" s="1866"/>
      <c r="L73" s="1840"/>
      <c r="M73" s="1866"/>
      <c r="N73" s="1866"/>
      <c r="O73" s="1260"/>
      <c r="P73" s="1866"/>
      <c r="Q73" s="1866"/>
      <c r="R73" s="1866"/>
    </row>
    <row r="74" spans="1:18" ht="14.25" hidden="1" customHeight="1" x14ac:dyDescent="0.2">
      <c r="A74" s="1154" t="s">
        <v>93</v>
      </c>
      <c r="B74" s="299">
        <f>+TableA2!C74</f>
        <v>15.218728393333157</v>
      </c>
      <c r="C74" s="1838"/>
      <c r="D74" s="1838"/>
      <c r="E74" s="1838"/>
      <c r="F74" s="1838"/>
      <c r="G74" s="156">
        <f>TableA2!D74+TableA2!G74</f>
        <v>18.03337160666684</v>
      </c>
      <c r="H74" s="1258"/>
      <c r="I74" s="1259"/>
      <c r="J74" s="1866"/>
      <c r="K74" s="1866"/>
      <c r="L74" s="1840"/>
      <c r="M74" s="1866"/>
      <c r="N74" s="1866"/>
      <c r="O74" s="1260"/>
      <c r="P74" s="1866"/>
      <c r="Q74" s="1866"/>
      <c r="R74" s="1866"/>
    </row>
    <row r="75" spans="1:18" ht="14.25" hidden="1" customHeight="1" x14ac:dyDescent="0.2">
      <c r="A75" s="1154" t="s">
        <v>94</v>
      </c>
      <c r="B75" s="299">
        <f>+TableA2!C75</f>
        <v>2.9184000000000001</v>
      </c>
      <c r="C75" s="1838"/>
      <c r="D75" s="1838"/>
      <c r="E75" s="1838"/>
      <c r="F75" s="1838"/>
      <c r="G75" s="156">
        <f>TableA2!D75+TableA2!G75</f>
        <v>1.8204899999999995</v>
      </c>
      <c r="H75" s="1258"/>
      <c r="I75" s="1259"/>
      <c r="J75" s="1866"/>
      <c r="K75" s="1866"/>
      <c r="L75" s="1840"/>
      <c r="M75" s="1866"/>
      <c r="N75" s="1866"/>
      <c r="O75" s="1260"/>
      <c r="P75" s="1866"/>
      <c r="Q75" s="1866"/>
      <c r="R75" s="1866"/>
    </row>
    <row r="76" spans="1:18" ht="14.25" hidden="1" customHeight="1" x14ac:dyDescent="0.2">
      <c r="A76" s="1154" t="s">
        <v>95</v>
      </c>
      <c r="B76" s="299">
        <f>+TableA2!C76</f>
        <v>10.102600000000001</v>
      </c>
      <c r="C76" s="1838"/>
      <c r="D76" s="1838"/>
      <c r="E76" s="1838"/>
      <c r="F76" s="1838"/>
      <c r="G76" s="156">
        <f>TableA2!D76+TableA2!G76</f>
        <v>15.1149</v>
      </c>
      <c r="H76" s="1258"/>
      <c r="I76" s="1259"/>
      <c r="J76" s="1866"/>
      <c r="K76" s="1866"/>
      <c r="L76" s="1840"/>
      <c r="M76" s="1866"/>
      <c r="N76" s="1866"/>
      <c r="O76" s="1260"/>
      <c r="P76" s="1866"/>
      <c r="Q76" s="1866"/>
      <c r="R76" s="1866"/>
    </row>
    <row r="77" spans="1:18" ht="14.25" hidden="1" customHeight="1" x14ac:dyDescent="0.2">
      <c r="A77" s="1154" t="s">
        <v>96</v>
      </c>
      <c r="B77" s="299">
        <f>+TableA2!C77</f>
        <v>2.7482700000000002</v>
      </c>
      <c r="C77" s="1838"/>
      <c r="D77" s="1838"/>
      <c r="E77" s="1838"/>
      <c r="F77" s="1838"/>
      <c r="G77" s="156">
        <f>TableA2!D77+TableA2!G77</f>
        <v>3.1253499999999996</v>
      </c>
      <c r="H77" s="1258"/>
      <c r="I77" s="1259"/>
      <c r="J77" s="1866"/>
      <c r="K77" s="1866"/>
      <c r="L77" s="1840"/>
      <c r="M77" s="1866"/>
      <c r="N77" s="1866"/>
      <c r="O77" s="1260"/>
      <c r="P77" s="1866"/>
      <c r="Q77" s="1866"/>
      <c r="R77" s="1866"/>
    </row>
    <row r="78" spans="1:18" ht="14.25" hidden="1" customHeight="1" x14ac:dyDescent="0.2">
      <c r="A78" s="1154" t="s">
        <v>97</v>
      </c>
      <c r="B78" s="299">
        <f>+TableA2!C78</f>
        <v>8.3486143999999998E-2</v>
      </c>
      <c r="C78" s="1838"/>
      <c r="D78" s="1838"/>
      <c r="E78" s="1838"/>
      <c r="F78" s="1838"/>
      <c r="G78" s="156">
        <f>TableA2!D78+TableA2!G78</f>
        <v>4.5459856000000007E-2</v>
      </c>
      <c r="H78" s="1258"/>
      <c r="I78" s="1259"/>
      <c r="J78" s="1866"/>
      <c r="K78" s="1866"/>
      <c r="L78" s="1840"/>
      <c r="M78" s="1866"/>
      <c r="N78" s="1866"/>
      <c r="O78" s="1260"/>
      <c r="P78" s="1866"/>
      <c r="Q78" s="1866"/>
      <c r="R78" s="1866"/>
    </row>
    <row r="79" spans="1:18" ht="14.25" hidden="1" customHeight="1" x14ac:dyDescent="0.2">
      <c r="A79" s="1154" t="str">
        <f>+TableA1!A79</f>
        <v>Monaco</v>
      </c>
      <c r="B79" s="299">
        <f>+TableA2!C79</f>
        <v>1.0394000000000001</v>
      </c>
      <c r="C79" s="1838"/>
      <c r="D79" s="1838"/>
      <c r="E79" s="1838"/>
      <c r="F79" s="1838"/>
      <c r="G79" s="156">
        <f>TableA2!D79+TableA2!G79</f>
        <v>2.8196699999999999</v>
      </c>
      <c r="H79" s="1258"/>
      <c r="I79" s="1259"/>
      <c r="J79" s="1866"/>
      <c r="K79" s="1866"/>
      <c r="L79" s="1840"/>
      <c r="M79" s="1866"/>
      <c r="N79" s="1866"/>
      <c r="O79" s="1260"/>
      <c r="P79" s="1866"/>
      <c r="Q79" s="1866"/>
      <c r="R79" s="1866"/>
    </row>
    <row r="80" spans="1:18" ht="14.25" hidden="1" customHeight="1" x14ac:dyDescent="0.2">
      <c r="A80" s="1154" t="s">
        <v>99</v>
      </c>
      <c r="B80" s="299">
        <f>+TableA2!C80</f>
        <v>0.14390500000000001</v>
      </c>
      <c r="C80" s="1838"/>
      <c r="D80" s="1838"/>
      <c r="E80" s="1838"/>
      <c r="F80" s="1838"/>
      <c r="G80" s="156">
        <f>TableA2!D80+TableA2!G80</f>
        <v>0.39038199999999995</v>
      </c>
      <c r="H80" s="1258"/>
      <c r="I80" s="1259"/>
      <c r="J80" s="1866"/>
      <c r="K80" s="1866"/>
      <c r="L80" s="1840"/>
      <c r="M80" s="1866"/>
      <c r="N80" s="1866"/>
      <c r="O80" s="1260"/>
      <c r="P80" s="1866"/>
      <c r="Q80" s="1866"/>
      <c r="R80" s="1866"/>
    </row>
    <row r="81" spans="1:20" ht="14.25" hidden="1" customHeight="1" x14ac:dyDescent="0.2">
      <c r="A81" s="1154" t="s">
        <v>100</v>
      </c>
      <c r="B81" s="299">
        <f>+TableA2!C81</f>
        <v>0.36308000000000001</v>
      </c>
      <c r="C81" s="1031"/>
      <c r="D81" s="1031"/>
      <c r="E81" s="1031"/>
      <c r="F81" s="1031"/>
      <c r="G81" s="156">
        <f>TableA2!D81+TableA2!G81</f>
        <v>7.4977900000000002</v>
      </c>
      <c r="H81" s="1258"/>
      <c r="I81" s="1259"/>
      <c r="J81" s="1866"/>
      <c r="K81" s="1866"/>
      <c r="L81" s="1840"/>
      <c r="M81" s="1866"/>
      <c r="N81" s="1866"/>
      <c r="O81" s="1260"/>
      <c r="P81" s="1866"/>
      <c r="Q81" s="1866"/>
      <c r="R81" s="1866"/>
      <c r="S81" s="958"/>
      <c r="T81" s="958"/>
    </row>
    <row r="82" spans="1:20" ht="14.25" hidden="1" customHeight="1" x14ac:dyDescent="0.2">
      <c r="A82" s="1154" t="str">
        <f>+TableA1!A82</f>
        <v>Seychelles</v>
      </c>
      <c r="B82" s="299">
        <f>+TableA2!C82</f>
        <v>6.9840823999999996E-2</v>
      </c>
      <c r="C82" s="1031"/>
      <c r="D82" s="1031"/>
      <c r="E82" s="1031"/>
      <c r="F82" s="1031"/>
      <c r="G82" s="156">
        <f>TableA2!D82+TableA2!G82</f>
        <v>0.89675817600000007</v>
      </c>
      <c r="H82" s="1258"/>
      <c r="I82" s="1259"/>
      <c r="J82" s="1866"/>
      <c r="K82" s="1866"/>
      <c r="L82" s="1840"/>
      <c r="M82" s="1866"/>
      <c r="N82" s="1866"/>
      <c r="O82" s="1260"/>
      <c r="P82" s="1866"/>
      <c r="Q82" s="1866"/>
      <c r="R82" s="1866"/>
      <c r="S82" s="958"/>
      <c r="T82" s="958"/>
    </row>
    <row r="83" spans="1:20" hidden="1" x14ac:dyDescent="0.2">
      <c r="A83" s="1154" t="s">
        <v>102</v>
      </c>
      <c r="B83" s="299">
        <f>+TableA2!C83</f>
        <v>103.461294</v>
      </c>
      <c r="C83" s="1031"/>
      <c r="D83" s="1031"/>
      <c r="E83" s="1031"/>
      <c r="F83" s="1031"/>
      <c r="G83" s="156">
        <f>TableA2!D83+TableA2!G83</f>
        <v>89.979724314332955</v>
      </c>
      <c r="H83" s="1258"/>
      <c r="I83" s="1259"/>
      <c r="J83" s="1866"/>
      <c r="K83" s="1866"/>
      <c r="L83" s="1840"/>
      <c r="M83" s="1866"/>
      <c r="N83" s="1866"/>
      <c r="O83" s="1260"/>
      <c r="P83" s="1866"/>
      <c r="Q83" s="1866"/>
      <c r="R83" s="1866"/>
      <c r="S83" s="958"/>
      <c r="T83" s="958"/>
    </row>
    <row r="84" spans="1:20" hidden="1" x14ac:dyDescent="0.2">
      <c r="A84" s="1154" t="str">
        <f>+TableA1!A84</f>
        <v>St. Kitts and Nevis</v>
      </c>
      <c r="B84" s="299">
        <f>+TableA2!C84</f>
        <v>7.3737880000000006E-2</v>
      </c>
      <c r="C84" s="1031"/>
      <c r="D84" s="1031"/>
      <c r="E84" s="1031"/>
      <c r="F84" s="1031"/>
      <c r="G84" s="156">
        <f>TableA2!D84+TableA2!G84</f>
        <v>0.51674211999999997</v>
      </c>
      <c r="H84" s="1258"/>
      <c r="I84" s="1259"/>
      <c r="J84" s="1866"/>
      <c r="K84" s="1866"/>
      <c r="L84" s="1840"/>
      <c r="M84" s="1866"/>
      <c r="N84" s="1866"/>
      <c r="O84" s="1260"/>
      <c r="P84" s="1866"/>
      <c r="Q84" s="1866"/>
      <c r="R84" s="1866"/>
      <c r="S84" s="958"/>
      <c r="T84" s="958"/>
    </row>
    <row r="85" spans="1:20" hidden="1" x14ac:dyDescent="0.2">
      <c r="A85" s="1154" t="str">
        <f>+TableA1!A85</f>
        <v>St. Lucia</v>
      </c>
      <c r="B85" s="299">
        <f>+TableA2!C85</f>
        <v>0.115233</v>
      </c>
      <c r="C85" s="1031"/>
      <c r="D85" s="1031"/>
      <c r="E85" s="1031"/>
      <c r="F85" s="1031"/>
      <c r="G85" s="156">
        <f>TableA2!D85+TableA2!G85</f>
        <v>0.99350700000000003</v>
      </c>
      <c r="H85" s="1258"/>
      <c r="I85" s="1259"/>
      <c r="J85" s="1866"/>
      <c r="K85" s="1866"/>
      <c r="L85" s="1840"/>
      <c r="M85" s="1866"/>
      <c r="N85" s="1866"/>
      <c r="O85" s="1260"/>
      <c r="P85" s="1866"/>
      <c r="Q85" s="1866"/>
      <c r="R85" s="1866"/>
      <c r="S85" s="958"/>
      <c r="T85" s="958"/>
    </row>
    <row r="86" spans="1:20" hidden="1" x14ac:dyDescent="0.2">
      <c r="A86" s="1154" t="str">
        <f>+TableA1!A86</f>
        <v>St. Vincent and the Grenadines</v>
      </c>
      <c r="B86" s="299">
        <f>+TableA2!C86</f>
        <v>7.3914943999999996E-2</v>
      </c>
      <c r="C86" s="1031"/>
      <c r="D86" s="1031"/>
      <c r="E86" s="1031"/>
      <c r="F86" s="1031"/>
      <c r="G86" s="156">
        <f>TableA2!D86+TableA2!G86</f>
        <v>0.43381905600000004</v>
      </c>
      <c r="H86" s="1258"/>
      <c r="I86" s="1259"/>
      <c r="J86" s="1866"/>
      <c r="K86" s="1866"/>
      <c r="L86" s="1840"/>
      <c r="M86" s="1866"/>
      <c r="N86" s="1866"/>
      <c r="O86" s="1260"/>
      <c r="P86" s="1866"/>
      <c r="Q86" s="1866"/>
      <c r="R86" s="1866"/>
      <c r="S86" s="958"/>
      <c r="T86" s="958"/>
    </row>
    <row r="87" spans="1:20" hidden="1" x14ac:dyDescent="0.2">
      <c r="A87" s="1154" t="str">
        <f>+TableA1!A87</f>
        <v>Turks and Caicos</v>
      </c>
      <c r="B87" s="299">
        <f>+TableA2!C87</f>
        <v>0.114443</v>
      </c>
      <c r="C87" s="1031"/>
      <c r="D87" s="1031"/>
      <c r="E87" s="1031"/>
      <c r="F87" s="1031"/>
      <c r="G87" s="156">
        <f>TableA2!D87+TableA2!G87</f>
        <v>0.31045899999999998</v>
      </c>
      <c r="H87" s="1258"/>
      <c r="I87" s="1259"/>
      <c r="J87" s="1866"/>
      <c r="K87" s="1866"/>
      <c r="L87" s="1840"/>
      <c r="M87" s="1866"/>
      <c r="N87" s="1866"/>
      <c r="O87" s="1260"/>
      <c r="P87" s="1866"/>
      <c r="Q87" s="1866"/>
      <c r="R87" s="1866"/>
      <c r="S87" s="958"/>
      <c r="T87" s="958"/>
    </row>
    <row r="88" spans="1:20" hidden="1" x14ac:dyDescent="0.2">
      <c r="A88" s="1154" t="str">
        <f>+TableA1!A88</f>
        <v>Panama</v>
      </c>
      <c r="B88" s="299">
        <f>+TableA2!C88</f>
        <v>10.2681</v>
      </c>
      <c r="C88" s="1031"/>
      <c r="D88" s="1031"/>
      <c r="E88" s="1031"/>
      <c r="F88" s="1031"/>
      <c r="G88" s="156">
        <f>TableA2!D88+TableA2!G88</f>
        <v>24.781100000000002</v>
      </c>
      <c r="H88" s="1258"/>
      <c r="I88" s="1259"/>
      <c r="J88" s="1866"/>
      <c r="K88" s="1866"/>
      <c r="L88" s="1840"/>
      <c r="M88" s="1866"/>
      <c r="N88" s="1866"/>
      <c r="O88" s="1260"/>
      <c r="P88" s="1866"/>
      <c r="Q88" s="1866"/>
      <c r="R88" s="1866"/>
      <c r="S88" s="958"/>
      <c r="T88" s="958"/>
    </row>
    <row r="89" spans="1:20" ht="17" hidden="1" thickBot="1" x14ac:dyDescent="0.25">
      <c r="A89" s="1245" t="s">
        <v>108</v>
      </c>
      <c r="B89" s="110">
        <f>+TableA2!C89</f>
        <v>23.088800000000003</v>
      </c>
      <c r="C89" s="1261"/>
      <c r="D89" s="1261"/>
      <c r="E89" s="1261"/>
      <c r="F89" s="1261"/>
      <c r="G89" s="110">
        <f>TableA2!D89+TableA2!G89</f>
        <v>58.588549999999998</v>
      </c>
      <c r="H89" s="1262"/>
      <c r="I89" s="1263"/>
      <c r="J89" s="1264"/>
      <c r="K89" s="1264"/>
      <c r="L89" s="1265"/>
      <c r="M89" s="1264"/>
      <c r="N89" s="1264"/>
      <c r="O89" s="1266"/>
      <c r="P89" s="958"/>
      <c r="Q89" s="958"/>
      <c r="R89" s="958"/>
      <c r="S89" s="958"/>
      <c r="T89" s="958"/>
    </row>
    <row r="90" spans="1:20" s="2" customFormat="1" ht="17" thickTop="1" x14ac:dyDescent="0.2">
      <c r="G90" s="958"/>
      <c r="H90" s="958"/>
      <c r="I90" s="958"/>
      <c r="J90" s="958"/>
      <c r="K90" s="958"/>
      <c r="L90" s="958"/>
      <c r="M90" s="958"/>
      <c r="N90" s="958"/>
      <c r="O90" s="958"/>
      <c r="P90" s="958"/>
      <c r="Q90" s="958"/>
      <c r="R90" s="958"/>
      <c r="T90" s="958"/>
    </row>
    <row r="91" spans="1:20" s="2" customFormat="1" x14ac:dyDescent="0.2">
      <c r="A91" s="958"/>
      <c r="B91" s="958"/>
      <c r="C91" s="958"/>
      <c r="D91" s="958"/>
      <c r="E91" s="958"/>
      <c r="F91" s="958"/>
      <c r="G91" s="958"/>
      <c r="H91" s="958"/>
      <c r="I91" s="958"/>
      <c r="J91" s="958"/>
      <c r="K91" s="958"/>
      <c r="L91" s="958"/>
      <c r="M91" s="958"/>
      <c r="N91" s="958"/>
      <c r="O91" s="958"/>
      <c r="P91" s="958"/>
      <c r="Q91" s="958"/>
      <c r="R91" s="958"/>
      <c r="T91" s="958"/>
    </row>
    <row r="92" spans="1:20" s="2" customFormat="1" x14ac:dyDescent="0.2">
      <c r="A92" s="958" t="s">
        <v>172</v>
      </c>
      <c r="B92" s="958"/>
      <c r="C92" s="958"/>
      <c r="D92" s="958"/>
      <c r="E92" s="958"/>
      <c r="F92" s="958"/>
      <c r="G92" s="958">
        <v>0.90165899999999999</v>
      </c>
      <c r="H92" s="958"/>
      <c r="I92" s="958"/>
      <c r="J92" s="958"/>
      <c r="K92" s="958"/>
      <c r="L92" s="958"/>
      <c r="M92" s="958"/>
      <c r="N92" s="958"/>
      <c r="O92" s="958"/>
      <c r="P92" s="958"/>
      <c r="Q92" s="958"/>
      <c r="R92" s="958"/>
      <c r="T92" s="958"/>
    </row>
    <row r="93" spans="1:20" s="2" customFormat="1" x14ac:dyDescent="0.2">
      <c r="A93" s="958"/>
      <c r="B93" s="958"/>
      <c r="C93" s="958"/>
      <c r="D93" s="958"/>
      <c r="E93" s="958"/>
      <c r="F93" s="958"/>
      <c r="G93" s="958"/>
      <c r="H93" s="958"/>
      <c r="I93" s="958"/>
      <c r="J93" s="958"/>
      <c r="K93" s="958"/>
      <c r="L93" s="958"/>
      <c r="M93" s="958"/>
      <c r="N93" s="958"/>
      <c r="O93" s="958"/>
      <c r="P93" s="958"/>
      <c r="Q93" s="958"/>
      <c r="R93" s="958"/>
    </row>
    <row r="94" spans="1:20" s="2" customFormat="1" x14ac:dyDescent="0.2">
      <c r="A94" s="958"/>
      <c r="B94" s="958"/>
      <c r="C94" s="958"/>
      <c r="D94" s="958"/>
      <c r="E94" s="958"/>
      <c r="F94" s="958"/>
      <c r="G94" s="958"/>
      <c r="H94" s="958"/>
      <c r="I94" s="958"/>
      <c r="J94" s="958"/>
      <c r="K94" s="958"/>
      <c r="L94" s="958"/>
      <c r="M94" s="958"/>
      <c r="N94" s="958"/>
      <c r="O94" s="958"/>
      <c r="P94" s="958"/>
      <c r="Q94" s="958"/>
      <c r="R94" s="958"/>
    </row>
    <row r="95" spans="1:20" x14ac:dyDescent="0.2">
      <c r="A95" s="958"/>
      <c r="B95" s="958"/>
      <c r="C95" s="958"/>
      <c r="D95" s="958"/>
      <c r="E95" s="958"/>
      <c r="F95" s="958"/>
      <c r="G95" s="958"/>
      <c r="H95" s="958"/>
      <c r="I95" s="958"/>
      <c r="J95" s="958"/>
      <c r="K95" s="958"/>
      <c r="L95" s="958"/>
      <c r="M95" s="958"/>
      <c r="N95" s="958"/>
      <c r="O95" s="958"/>
      <c r="P95" s="958"/>
      <c r="Q95" s="958"/>
      <c r="R95" s="958"/>
      <c r="S95" s="958"/>
      <c r="T95" s="2"/>
    </row>
    <row r="96" spans="1:20" s="2" customFormat="1" x14ac:dyDescent="0.2">
      <c r="A96" s="958"/>
      <c r="B96" s="958"/>
      <c r="C96" s="958"/>
      <c r="D96" s="958"/>
      <c r="E96" s="958"/>
      <c r="F96" s="958"/>
      <c r="G96" s="958"/>
      <c r="H96" s="958"/>
      <c r="I96" s="958"/>
      <c r="J96" s="958"/>
      <c r="K96" s="958"/>
      <c r="L96" s="958"/>
      <c r="M96" s="958"/>
      <c r="N96" s="958"/>
      <c r="O96" s="958"/>
      <c r="P96" s="958"/>
      <c r="Q96" s="958"/>
      <c r="R96" s="958"/>
    </row>
    <row r="97" spans="1:20" x14ac:dyDescent="0.2">
      <c r="A97" s="958"/>
      <c r="B97" s="958"/>
      <c r="C97" s="958"/>
      <c r="D97" s="958"/>
      <c r="E97" s="958"/>
      <c r="F97" s="958"/>
      <c r="G97" s="958"/>
      <c r="H97" s="958"/>
      <c r="I97" s="958"/>
      <c r="J97" s="958"/>
      <c r="K97" s="958"/>
      <c r="L97" s="958"/>
      <c r="M97" s="958"/>
      <c r="N97" s="958"/>
      <c r="O97" s="958"/>
      <c r="P97" s="958"/>
      <c r="Q97" s="958"/>
      <c r="R97" s="958"/>
      <c r="S97" s="958"/>
      <c r="T97" s="2"/>
    </row>
    <row r="98" spans="1:20" x14ac:dyDescent="0.2">
      <c r="A98" s="958"/>
      <c r="B98" s="958"/>
      <c r="C98" s="958"/>
      <c r="D98" s="958"/>
      <c r="E98" s="958"/>
      <c r="F98" s="958"/>
      <c r="G98" s="958"/>
      <c r="H98" s="958"/>
      <c r="I98" s="958"/>
      <c r="J98" s="958"/>
      <c r="K98" s="958"/>
      <c r="L98" s="958"/>
      <c r="M98" s="958"/>
      <c r="N98" s="958"/>
      <c r="O98" s="958"/>
      <c r="P98" s="958"/>
      <c r="Q98" s="958"/>
      <c r="R98" s="958"/>
      <c r="S98" s="958"/>
      <c r="T98" s="2"/>
    </row>
    <row r="100" spans="1:20" x14ac:dyDescent="0.2">
      <c r="A100" s="958" t="s">
        <v>172</v>
      </c>
      <c r="B100" s="958">
        <v>0.90165899999999999</v>
      </c>
      <c r="C100" s="958"/>
      <c r="D100" s="958"/>
      <c r="E100" s="958"/>
      <c r="F100" s="958"/>
      <c r="G100" s="958"/>
      <c r="H100" s="958"/>
      <c r="I100" s="958"/>
      <c r="J100" s="958"/>
      <c r="K100" s="958"/>
      <c r="L100" s="958"/>
      <c r="M100" s="958"/>
      <c r="N100" s="958"/>
      <c r="O100" s="958"/>
      <c r="P100" s="958"/>
      <c r="Q100" s="958"/>
      <c r="R100" s="958"/>
      <c r="S100" s="958"/>
      <c r="T100" s="2"/>
    </row>
  </sheetData>
  <mergeCells count="10">
    <mergeCell ref="O5:O8"/>
    <mergeCell ref="A2:O2"/>
    <mergeCell ref="L6:N6"/>
    <mergeCell ref="L7:L8"/>
    <mergeCell ref="B5:N5"/>
    <mergeCell ref="J7:J8"/>
    <mergeCell ref="G7:G8"/>
    <mergeCell ref="B7:B8"/>
    <mergeCell ref="E7:E8"/>
    <mergeCell ref="B6:K6"/>
  </mergeCells>
  <pageMargins left="0.75" right="0.75" top="1" bottom="1" header="0.5" footer="0.5"/>
  <pageSetup scale="51" fitToHeight="0"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I98"/>
  <sheetViews>
    <sheetView workbookViewId="0">
      <pane xSplit="1" ySplit="7" topLeftCell="B86" activePane="bottomRight" state="frozen"/>
      <selection pane="topRight" activeCell="B1" sqref="B1"/>
      <selection pane="bottomLeft" activeCell="A8" sqref="A8"/>
      <selection pane="bottomRight" activeCell="A3" sqref="A3:G98"/>
    </sheetView>
  </sheetViews>
  <sheetFormatPr baseColWidth="10" defaultColWidth="8.83203125" defaultRowHeight="13" x14ac:dyDescent="0.15"/>
  <cols>
    <col min="1" max="1" width="50" style="62" customWidth="1"/>
    <col min="2" max="7" width="14.1640625" style="62" customWidth="1"/>
    <col min="8" max="16384" width="8.83203125" style="62"/>
  </cols>
  <sheetData>
    <row r="2" spans="1:9" ht="14" thickBot="1" x14ac:dyDescent="0.2"/>
    <row r="3" spans="1:9" ht="32.25" customHeight="1" thickTop="1" x14ac:dyDescent="0.15">
      <c r="A3" s="2102" t="s">
        <v>261</v>
      </c>
      <c r="B3" s="2103"/>
      <c r="C3" s="2103"/>
      <c r="D3" s="2103"/>
      <c r="E3" s="2103"/>
      <c r="F3" s="2103"/>
      <c r="G3" s="2104"/>
    </row>
    <row r="4" spans="1:9" ht="12" customHeight="1" x14ac:dyDescent="0.15">
      <c r="A4" s="68"/>
      <c r="B4" s="69"/>
      <c r="C4" s="69"/>
      <c r="D4" s="69"/>
      <c r="E4" s="69"/>
      <c r="F4" s="69"/>
      <c r="G4" s="70"/>
    </row>
    <row r="5" spans="1:9" ht="15" customHeight="1" x14ac:dyDescent="0.15">
      <c r="A5" s="71" t="s">
        <v>262</v>
      </c>
      <c r="B5" s="84" t="s">
        <v>1</v>
      </c>
      <c r="C5" s="84" t="s">
        <v>2</v>
      </c>
      <c r="D5" s="84" t="s">
        <v>3</v>
      </c>
      <c r="E5" s="84" t="s">
        <v>4</v>
      </c>
      <c r="F5" s="84" t="s">
        <v>5</v>
      </c>
      <c r="G5" s="1793" t="s">
        <v>6</v>
      </c>
    </row>
    <row r="6" spans="1:9" ht="16" customHeight="1" x14ac:dyDescent="0.15">
      <c r="A6" s="79"/>
      <c r="B6" s="2108" t="s">
        <v>263</v>
      </c>
      <c r="C6" s="2109"/>
      <c r="D6" s="2109"/>
      <c r="E6" s="2109"/>
      <c r="F6" s="2109"/>
      <c r="G6" s="2110"/>
    </row>
    <row r="7" spans="1:9" ht="71.25" customHeight="1" x14ac:dyDescent="0.15">
      <c r="A7" s="1792" t="s">
        <v>262</v>
      </c>
      <c r="B7" s="1267" t="s">
        <v>264</v>
      </c>
      <c r="C7" s="1268" t="s">
        <v>125</v>
      </c>
      <c r="D7" s="1269" t="s">
        <v>265</v>
      </c>
      <c r="E7" s="1269" t="s">
        <v>266</v>
      </c>
      <c r="F7" s="1269" t="s">
        <v>267</v>
      </c>
      <c r="G7" s="77" t="s">
        <v>268</v>
      </c>
    </row>
    <row r="8" spans="1:9" ht="19.5" customHeight="1" x14ac:dyDescent="0.2">
      <c r="A8" s="1270" t="s">
        <v>269</v>
      </c>
      <c r="B8" s="72">
        <v>1357462</v>
      </c>
      <c r="C8" s="73">
        <v>610542</v>
      </c>
      <c r="D8" s="74">
        <v>481431</v>
      </c>
      <c r="E8" s="74">
        <v>-53776</v>
      </c>
      <c r="F8" s="74">
        <v>176257</v>
      </c>
      <c r="G8" s="78">
        <v>143008</v>
      </c>
    </row>
    <row r="9" spans="1:9" ht="16" x14ac:dyDescent="0.2">
      <c r="A9" s="1271" t="s">
        <v>262</v>
      </c>
      <c r="B9" s="1272" t="s">
        <v>262</v>
      </c>
      <c r="C9" s="799" t="s">
        <v>262</v>
      </c>
      <c r="D9" s="800" t="s">
        <v>262</v>
      </c>
      <c r="E9" s="800" t="s">
        <v>262</v>
      </c>
      <c r="F9" s="800" t="s">
        <v>262</v>
      </c>
      <c r="G9" s="801" t="s">
        <v>262</v>
      </c>
    </row>
    <row r="10" spans="1:9" ht="16" x14ac:dyDescent="0.2">
      <c r="A10" s="1271" t="s">
        <v>270</v>
      </c>
      <c r="B10" s="72">
        <v>131569</v>
      </c>
      <c r="C10" s="73">
        <v>63828</v>
      </c>
      <c r="D10" s="74">
        <v>32722</v>
      </c>
      <c r="E10" s="74">
        <v>480</v>
      </c>
      <c r="F10" s="74">
        <v>20965</v>
      </c>
      <c r="G10" s="78">
        <v>13574</v>
      </c>
    </row>
    <row r="11" spans="1:9" ht="16" x14ac:dyDescent="0.2">
      <c r="A11" s="1271" t="s">
        <v>262</v>
      </c>
      <c r="B11" s="1272" t="s">
        <v>262</v>
      </c>
      <c r="C11" s="799" t="s">
        <v>262</v>
      </c>
      <c r="D11" s="800" t="s">
        <v>262</v>
      </c>
      <c r="E11" s="800" t="s">
        <v>262</v>
      </c>
      <c r="F11" s="800" t="s">
        <v>262</v>
      </c>
      <c r="G11" s="801" t="s">
        <v>262</v>
      </c>
    </row>
    <row r="12" spans="1:9" ht="16" x14ac:dyDescent="0.2">
      <c r="A12" s="1271" t="s">
        <v>271</v>
      </c>
      <c r="B12" s="72">
        <v>685991</v>
      </c>
      <c r="C12" s="73">
        <v>308697</v>
      </c>
      <c r="D12" s="74">
        <v>250726</v>
      </c>
      <c r="E12" s="74">
        <v>-23838</v>
      </c>
      <c r="F12" s="74">
        <v>92464</v>
      </c>
      <c r="G12" s="78">
        <v>57942</v>
      </c>
      <c r="I12" s="117"/>
    </row>
    <row r="13" spans="1:9" ht="16" x14ac:dyDescent="0.2">
      <c r="A13" s="1273" t="s">
        <v>30</v>
      </c>
      <c r="B13" s="1274">
        <v>4874</v>
      </c>
      <c r="C13" s="794">
        <v>3983</v>
      </c>
      <c r="D13" s="795">
        <v>-15</v>
      </c>
      <c r="E13" s="795">
        <v>3</v>
      </c>
      <c r="F13" s="795">
        <v>418</v>
      </c>
      <c r="G13" s="796">
        <v>486</v>
      </c>
      <c r="I13" s="117"/>
    </row>
    <row r="14" spans="1:9" ht="16" x14ac:dyDescent="0.2">
      <c r="A14" s="1273" t="s">
        <v>31</v>
      </c>
      <c r="B14" s="1274">
        <v>21705</v>
      </c>
      <c r="C14" s="794">
        <v>11003</v>
      </c>
      <c r="D14" s="795">
        <v>6614</v>
      </c>
      <c r="E14" s="795">
        <v>-735</v>
      </c>
      <c r="F14" s="795">
        <v>2840</v>
      </c>
      <c r="G14" s="796">
        <v>1983</v>
      </c>
      <c r="I14" s="117"/>
    </row>
    <row r="15" spans="1:9" ht="16" x14ac:dyDescent="0.2">
      <c r="A15" s="1273" t="s">
        <v>34</v>
      </c>
      <c r="B15" s="1274">
        <v>5173</v>
      </c>
      <c r="C15" s="794">
        <v>2218</v>
      </c>
      <c r="D15" s="795">
        <v>1348</v>
      </c>
      <c r="E15" s="795">
        <v>-13</v>
      </c>
      <c r="F15" s="795">
        <v>983</v>
      </c>
      <c r="G15" s="796">
        <v>638</v>
      </c>
      <c r="I15" s="117"/>
    </row>
    <row r="16" spans="1:9" ht="16" x14ac:dyDescent="0.2">
      <c r="A16" s="1273" t="s">
        <v>35</v>
      </c>
      <c r="B16" s="1274">
        <v>5939</v>
      </c>
      <c r="C16" s="794">
        <v>3857</v>
      </c>
      <c r="D16" s="795">
        <v>1008</v>
      </c>
      <c r="E16" s="795">
        <v>29</v>
      </c>
      <c r="F16" s="795">
        <v>310</v>
      </c>
      <c r="G16" s="796">
        <v>735</v>
      </c>
      <c r="I16" s="117"/>
    </row>
    <row r="17" spans="1:9" ht="16" x14ac:dyDescent="0.2">
      <c r="A17" s="1273" t="s">
        <v>37</v>
      </c>
      <c r="B17" s="1274">
        <v>1182</v>
      </c>
      <c r="C17" s="794">
        <v>2040</v>
      </c>
      <c r="D17" s="795">
        <v>-1759</v>
      </c>
      <c r="E17" s="795">
        <v>11</v>
      </c>
      <c r="F17" s="795">
        <v>617</v>
      </c>
      <c r="G17" s="796">
        <v>274</v>
      </c>
      <c r="I17" s="117"/>
    </row>
    <row r="18" spans="1:9" ht="16" x14ac:dyDescent="0.2">
      <c r="A18" s="1273" t="s">
        <v>38</v>
      </c>
      <c r="B18" s="1274">
        <v>49222</v>
      </c>
      <c r="C18" s="794">
        <v>33515</v>
      </c>
      <c r="D18" s="795">
        <v>4826</v>
      </c>
      <c r="E18" s="795">
        <v>589</v>
      </c>
      <c r="F18" s="795">
        <v>6780</v>
      </c>
      <c r="G18" s="796">
        <v>3513</v>
      </c>
      <c r="I18" s="117"/>
    </row>
    <row r="19" spans="1:9" ht="16" x14ac:dyDescent="0.2">
      <c r="A19" s="1271" t="s">
        <v>262</v>
      </c>
      <c r="B19" s="1272" t="s">
        <v>262</v>
      </c>
      <c r="C19" s="799" t="s">
        <v>262</v>
      </c>
      <c r="D19" s="800" t="s">
        <v>262</v>
      </c>
      <c r="E19" s="800" t="s">
        <v>262</v>
      </c>
      <c r="F19" s="800" t="s">
        <v>262</v>
      </c>
      <c r="G19" s="801" t="s">
        <v>262</v>
      </c>
      <c r="I19" s="117"/>
    </row>
    <row r="20" spans="1:9" ht="16" x14ac:dyDescent="0.2">
      <c r="A20" s="1273" t="s">
        <v>39</v>
      </c>
      <c r="B20" s="1274">
        <v>86775</v>
      </c>
      <c r="C20" s="794">
        <v>53184</v>
      </c>
      <c r="D20" s="795">
        <v>13033</v>
      </c>
      <c r="E20" s="795">
        <v>554</v>
      </c>
      <c r="F20" s="795">
        <v>12990</v>
      </c>
      <c r="G20" s="796">
        <v>7015</v>
      </c>
      <c r="I20" s="117"/>
    </row>
    <row r="21" spans="1:9" ht="16" x14ac:dyDescent="0.2">
      <c r="A21" s="1273" t="s">
        <v>40</v>
      </c>
      <c r="B21" s="1274">
        <v>2381</v>
      </c>
      <c r="C21" s="794">
        <v>889</v>
      </c>
      <c r="D21" s="795">
        <v>129</v>
      </c>
      <c r="E21" s="795">
        <f>B21-C21-D21-F21-G21</f>
        <v>899.06753295597173</v>
      </c>
      <c r="F21" s="797">
        <f>F$12*B21/B$12</f>
        <v>320.93246704402827</v>
      </c>
      <c r="G21" s="796">
        <v>143</v>
      </c>
      <c r="I21" s="117"/>
    </row>
    <row r="22" spans="1:9" ht="16" x14ac:dyDescent="0.2">
      <c r="A22" s="1273" t="s">
        <v>41</v>
      </c>
      <c r="B22" s="1274">
        <v>14572</v>
      </c>
      <c r="C22" s="794">
        <v>1618</v>
      </c>
      <c r="D22" s="795">
        <f>B22-C22-E22-F22-G22</f>
        <v>12001</v>
      </c>
      <c r="E22" s="795">
        <v>27</v>
      </c>
      <c r="F22" s="795">
        <v>382</v>
      </c>
      <c r="G22" s="796">
        <f>TableA10b!G22</f>
        <v>544</v>
      </c>
      <c r="I22" s="117"/>
    </row>
    <row r="23" spans="1:9" ht="16" x14ac:dyDescent="0.2">
      <c r="A23" s="1273" t="s">
        <v>43</v>
      </c>
      <c r="B23" s="1274">
        <v>86775</v>
      </c>
      <c r="C23" s="794">
        <v>9304</v>
      </c>
      <c r="D23" s="795">
        <v>72039</v>
      </c>
      <c r="E23" s="795">
        <v>-1619</v>
      </c>
      <c r="F23" s="795">
        <v>1118</v>
      </c>
      <c r="G23" s="796">
        <v>5934</v>
      </c>
      <c r="I23" s="117"/>
    </row>
    <row r="24" spans="1:9" ht="16" x14ac:dyDescent="0.2">
      <c r="A24" s="1273" t="s">
        <v>45</v>
      </c>
      <c r="B24" s="1274">
        <v>30124</v>
      </c>
      <c r="C24" s="794">
        <v>14533</v>
      </c>
      <c r="D24" s="795">
        <v>4248</v>
      </c>
      <c r="E24" s="795">
        <v>216</v>
      </c>
      <c r="F24" s="795">
        <v>8642</v>
      </c>
      <c r="G24" s="796">
        <v>2486</v>
      </c>
      <c r="I24" s="117"/>
    </row>
    <row r="25" spans="1:9" ht="16" x14ac:dyDescent="0.2">
      <c r="A25" s="1273" t="s">
        <v>49</v>
      </c>
      <c r="B25" s="1274">
        <v>8269</v>
      </c>
      <c r="C25" s="794">
        <v>1692</v>
      </c>
      <c r="D25" s="795">
        <v>9433</v>
      </c>
      <c r="E25" s="795">
        <v>-5077</v>
      </c>
      <c r="F25" s="795">
        <v>944</v>
      </c>
      <c r="G25" s="796">
        <v>1278</v>
      </c>
      <c r="I25" s="117"/>
    </row>
    <row r="26" spans="1:9" ht="16" x14ac:dyDescent="0.2">
      <c r="A26" s="1273" t="s">
        <v>51</v>
      </c>
      <c r="B26" s="1274">
        <v>48383</v>
      </c>
      <c r="C26" s="794">
        <v>18307</v>
      </c>
      <c r="D26" s="795">
        <v>32814</v>
      </c>
      <c r="E26" s="795">
        <v>-10504</v>
      </c>
      <c r="F26" s="795">
        <v>3845</v>
      </c>
      <c r="G26" s="796">
        <v>3920</v>
      </c>
      <c r="I26" s="117"/>
    </row>
    <row r="27" spans="1:9" ht="16" x14ac:dyDescent="0.2">
      <c r="A27" s="1271" t="s">
        <v>262</v>
      </c>
      <c r="B27" s="1272" t="s">
        <v>262</v>
      </c>
      <c r="C27" s="799" t="s">
        <v>262</v>
      </c>
      <c r="D27" s="800" t="s">
        <v>262</v>
      </c>
      <c r="E27" s="800" t="s">
        <v>262</v>
      </c>
      <c r="F27" s="800" t="s">
        <v>262</v>
      </c>
      <c r="G27" s="801" t="s">
        <v>262</v>
      </c>
      <c r="I27" s="117"/>
    </row>
    <row r="28" spans="1:9" ht="16" x14ac:dyDescent="0.2">
      <c r="A28" s="1273" t="s">
        <v>53</v>
      </c>
      <c r="B28" s="1274">
        <v>17489</v>
      </c>
      <c r="C28" s="794">
        <v>4992</v>
      </c>
      <c r="D28" s="795">
        <v>6507</v>
      </c>
      <c r="E28" s="795">
        <v>417</v>
      </c>
      <c r="F28" s="795">
        <v>2202</v>
      </c>
      <c r="G28" s="796">
        <v>3372</v>
      </c>
      <c r="I28" s="117"/>
    </row>
    <row r="29" spans="1:9" ht="16" x14ac:dyDescent="0.2">
      <c r="A29" s="1273" t="s">
        <v>54</v>
      </c>
      <c r="B29" s="1274">
        <v>9504</v>
      </c>
      <c r="C29" s="794">
        <v>4419</v>
      </c>
      <c r="D29" s="795">
        <v>1563</v>
      </c>
      <c r="E29" s="795">
        <v>-844</v>
      </c>
      <c r="F29" s="795">
        <v>2941</v>
      </c>
      <c r="G29" s="796">
        <v>1424</v>
      </c>
      <c r="I29" s="117"/>
    </row>
    <row r="30" spans="1:9" ht="16" x14ac:dyDescent="0.2">
      <c r="A30" s="1273" t="s">
        <v>55</v>
      </c>
      <c r="B30" s="1274">
        <v>3329</v>
      </c>
      <c r="C30" s="794">
        <v>1281</v>
      </c>
      <c r="D30" s="795">
        <v>506</v>
      </c>
      <c r="E30" s="795">
        <f>B30-C30-D30-F30-G30</f>
        <v>790.28761747603107</v>
      </c>
      <c r="F30" s="797">
        <f>F$12*B30/B$12</f>
        <v>448.71238252396898</v>
      </c>
      <c r="G30" s="796">
        <v>303</v>
      </c>
      <c r="I30" s="117"/>
    </row>
    <row r="31" spans="1:9" ht="16" x14ac:dyDescent="0.2">
      <c r="A31" s="1273" t="s">
        <v>70</v>
      </c>
      <c r="B31" s="1274">
        <v>9586</v>
      </c>
      <c r="C31" s="794">
        <v>4770</v>
      </c>
      <c r="D31" s="795">
        <v>574</v>
      </c>
      <c r="E31" s="795">
        <v>235</v>
      </c>
      <c r="F31" s="795">
        <v>2851</v>
      </c>
      <c r="G31" s="796">
        <v>1155</v>
      </c>
      <c r="I31" s="117"/>
    </row>
    <row r="32" spans="1:9" ht="16" x14ac:dyDescent="0.2">
      <c r="A32" s="1273" t="s">
        <v>58</v>
      </c>
      <c r="B32" s="1274">
        <v>15052</v>
      </c>
      <c r="C32" s="794">
        <v>10393</v>
      </c>
      <c r="D32" s="795">
        <v>2793</v>
      </c>
      <c r="E32" s="795">
        <v>-997</v>
      </c>
      <c r="F32" s="795">
        <v>915</v>
      </c>
      <c r="G32" s="796">
        <v>1948</v>
      </c>
      <c r="I32" s="117"/>
    </row>
    <row r="33" spans="1:9" ht="16" x14ac:dyDescent="0.2">
      <c r="A33" s="1273" t="s">
        <v>59</v>
      </c>
      <c r="B33" s="1274">
        <v>10038</v>
      </c>
      <c r="C33" s="794">
        <v>5832</v>
      </c>
      <c r="D33" s="795">
        <v>2691</v>
      </c>
      <c r="E33" s="795">
        <v>155</v>
      </c>
      <c r="F33" s="795">
        <v>275</v>
      </c>
      <c r="G33" s="796">
        <v>1084</v>
      </c>
      <c r="I33" s="117"/>
    </row>
    <row r="34" spans="1:9" ht="16" x14ac:dyDescent="0.2">
      <c r="A34" s="1273" t="s">
        <v>60</v>
      </c>
      <c r="B34" s="1274">
        <v>54005</v>
      </c>
      <c r="C34" s="794">
        <v>12912</v>
      </c>
      <c r="D34" s="795">
        <v>39189</v>
      </c>
      <c r="E34" s="795">
        <v>-1637</v>
      </c>
      <c r="F34" s="795">
        <v>1850</v>
      </c>
      <c r="G34" s="796">
        <v>1693</v>
      </c>
      <c r="I34" s="117"/>
    </row>
    <row r="35" spans="1:9" ht="16" x14ac:dyDescent="0.2">
      <c r="A35" s="1273" t="s">
        <v>61</v>
      </c>
      <c r="B35" s="1274">
        <v>8981</v>
      </c>
      <c r="C35" s="794">
        <v>1971</v>
      </c>
      <c r="D35" s="795">
        <v>851</v>
      </c>
      <c r="E35" s="795">
        <f>B35-C35-D35-F35-G35</f>
        <v>-1941.3551504320058</v>
      </c>
      <c r="F35" s="797">
        <f>F12-F13-F14-F15-F16-F17-F18-F20-F21-F22-F23-F24-F25-F26-F28-F29-F30-F31-F32-F33-F34-F36-F37</f>
        <v>7753.3551504320058</v>
      </c>
      <c r="G35" s="798">
        <f>G12-G13-G14-G15-G16-G17-G18-G20-G21-G22-G23-G24-G25-G26-G29-G28-G30-G31-G32-G33-G34-G36-G37</f>
        <v>347</v>
      </c>
      <c r="I35" s="117"/>
    </row>
    <row r="36" spans="1:9" ht="16" x14ac:dyDescent="0.2">
      <c r="A36" s="1273" t="s">
        <v>62</v>
      </c>
      <c r="B36" s="1274">
        <v>172944</v>
      </c>
      <c r="C36" s="794">
        <v>101251</v>
      </c>
      <c r="D36" s="795">
        <v>32949</v>
      </c>
      <c r="E36" s="795">
        <v>-4222</v>
      </c>
      <c r="F36" s="795">
        <v>28293</v>
      </c>
      <c r="G36" s="796">
        <v>14673</v>
      </c>
      <c r="I36" s="117"/>
    </row>
    <row r="37" spans="1:9" ht="16" x14ac:dyDescent="0.2">
      <c r="A37" s="1273" t="s">
        <v>272</v>
      </c>
      <c r="B37" s="1274">
        <v>19685</v>
      </c>
      <c r="C37" s="794">
        <v>4736</v>
      </c>
      <c r="D37" s="795">
        <f>B37-C37-E37-F37-G37</f>
        <v>7383.9999999999964</v>
      </c>
      <c r="E37" s="795">
        <f>E12-E13-E14-E15-E16-E17-E18-E20-E21-E22-E23-E24-E25-E26-E28-E29-E30-E31-E32-E33-E34-E35-E36</f>
        <v>-173.99999999999636</v>
      </c>
      <c r="F37" s="795">
        <v>4745</v>
      </c>
      <c r="G37" s="796">
        <v>2994</v>
      </c>
      <c r="I37" s="117"/>
    </row>
    <row r="38" spans="1:9" ht="16" x14ac:dyDescent="0.2">
      <c r="A38" s="1271" t="s">
        <v>262</v>
      </c>
      <c r="B38" s="1272" t="s">
        <v>262</v>
      </c>
      <c r="C38" s="799" t="s">
        <v>262</v>
      </c>
      <c r="D38" s="800" t="s">
        <v>262</v>
      </c>
      <c r="E38" s="800" t="s">
        <v>262</v>
      </c>
      <c r="F38" s="800" t="s">
        <v>262</v>
      </c>
      <c r="G38" s="801" t="s">
        <v>262</v>
      </c>
    </row>
    <row r="39" spans="1:9" ht="16" x14ac:dyDescent="0.2">
      <c r="A39" s="1271" t="s">
        <v>273</v>
      </c>
      <c r="B39" s="72">
        <v>150363</v>
      </c>
      <c r="C39" s="73">
        <v>68714</v>
      </c>
      <c r="D39" s="74">
        <v>58839</v>
      </c>
      <c r="E39" s="74">
        <v>-18992</v>
      </c>
      <c r="F39" s="74">
        <v>19509</v>
      </c>
      <c r="G39" s="78">
        <v>22293</v>
      </c>
    </row>
    <row r="40" spans="1:9" ht="16" x14ac:dyDescent="0.2">
      <c r="A40" s="1271" t="s">
        <v>262</v>
      </c>
      <c r="B40" s="1272" t="s">
        <v>262</v>
      </c>
      <c r="C40" s="799" t="s">
        <v>262</v>
      </c>
      <c r="D40" s="800" t="s">
        <v>262</v>
      </c>
      <c r="E40" s="800" t="s">
        <v>262</v>
      </c>
      <c r="F40" s="800" t="s">
        <v>262</v>
      </c>
      <c r="G40" s="801" t="s">
        <v>262</v>
      </c>
    </row>
    <row r="41" spans="1:9" ht="16" x14ac:dyDescent="0.2">
      <c r="A41" s="1273" t="s">
        <v>274</v>
      </c>
      <c r="B41" s="1274">
        <v>76034</v>
      </c>
      <c r="C41" s="794">
        <v>39775</v>
      </c>
      <c r="D41" s="795">
        <v>11637</v>
      </c>
      <c r="E41" s="795">
        <v>-1963</v>
      </c>
      <c r="F41" s="795">
        <v>14210</v>
      </c>
      <c r="G41" s="796">
        <v>12375</v>
      </c>
    </row>
    <row r="42" spans="1:9" ht="16" x14ac:dyDescent="0.2">
      <c r="A42" s="1275" t="s">
        <v>275</v>
      </c>
      <c r="B42" s="1274">
        <v>17744</v>
      </c>
      <c r="C42" s="794">
        <v>6066</v>
      </c>
      <c r="D42" s="795">
        <v>4442</v>
      </c>
      <c r="E42" s="795">
        <v>-223</v>
      </c>
      <c r="F42" s="795">
        <v>5380</v>
      </c>
      <c r="G42" s="796">
        <v>2079</v>
      </c>
    </row>
    <row r="43" spans="1:9" ht="16" x14ac:dyDescent="0.2">
      <c r="A43" s="1275" t="s">
        <v>65</v>
      </c>
      <c r="B43" s="1274">
        <v>36428</v>
      </c>
      <c r="C43" s="794">
        <v>23059</v>
      </c>
      <c r="D43" s="795">
        <v>1443</v>
      </c>
      <c r="E43" s="795">
        <v>-843</v>
      </c>
      <c r="F43" s="795">
        <v>6479</v>
      </c>
      <c r="G43" s="796">
        <v>6290</v>
      </c>
    </row>
    <row r="44" spans="1:9" ht="16" x14ac:dyDescent="0.2">
      <c r="A44" s="1275" t="s">
        <v>33</v>
      </c>
      <c r="B44" s="1274">
        <v>8950</v>
      </c>
      <c r="C44" s="794">
        <v>3893</v>
      </c>
      <c r="D44" s="795">
        <v>3857</v>
      </c>
      <c r="E44" s="795">
        <v>-685</v>
      </c>
      <c r="F44" s="795">
        <v>282</v>
      </c>
      <c r="G44" s="796">
        <v>1604</v>
      </c>
    </row>
    <row r="45" spans="1:9" ht="16" x14ac:dyDescent="0.2">
      <c r="A45" s="1275" t="s">
        <v>67</v>
      </c>
      <c r="B45" s="1274">
        <v>5011</v>
      </c>
      <c r="C45" s="794">
        <v>2609</v>
      </c>
      <c r="D45" s="795">
        <v>639</v>
      </c>
      <c r="E45" s="795">
        <v>-37</v>
      </c>
      <c r="F45" s="795">
        <v>1084</v>
      </c>
      <c r="G45" s="796">
        <v>716</v>
      </c>
    </row>
    <row r="46" spans="1:9" ht="16" x14ac:dyDescent="0.2">
      <c r="A46" s="1275" t="s">
        <v>276</v>
      </c>
      <c r="B46" s="1274">
        <v>953</v>
      </c>
      <c r="C46" s="794">
        <v>495</v>
      </c>
      <c r="D46" s="795">
        <v>135</v>
      </c>
      <c r="E46" s="795">
        <v>-10</v>
      </c>
      <c r="F46" s="795">
        <v>218</v>
      </c>
      <c r="G46" s="796">
        <v>115</v>
      </c>
    </row>
    <row r="47" spans="1:9" ht="16" x14ac:dyDescent="0.2">
      <c r="A47" s="1275" t="s">
        <v>277</v>
      </c>
      <c r="B47" s="1274">
        <v>3700</v>
      </c>
      <c r="C47" s="794">
        <v>1429</v>
      </c>
      <c r="D47" s="795">
        <v>1135</v>
      </c>
      <c r="E47" s="795">
        <v>165</v>
      </c>
      <c r="F47" s="795">
        <v>227</v>
      </c>
      <c r="G47" s="796">
        <v>744</v>
      </c>
    </row>
    <row r="48" spans="1:9" ht="16" x14ac:dyDescent="0.2">
      <c r="A48" s="1275" t="s">
        <v>278</v>
      </c>
      <c r="B48" s="1274">
        <v>1919</v>
      </c>
      <c r="C48" s="794">
        <v>1693</v>
      </c>
      <c r="D48" s="795">
        <v>-361</v>
      </c>
      <c r="E48" s="795">
        <v>-301</v>
      </c>
      <c r="F48" s="795">
        <v>444</v>
      </c>
      <c r="G48" s="796">
        <v>445</v>
      </c>
    </row>
    <row r="49" spans="1:7" ht="16" x14ac:dyDescent="0.2">
      <c r="A49" s="1275" t="s">
        <v>272</v>
      </c>
      <c r="B49" s="1274">
        <v>1328</v>
      </c>
      <c r="C49" s="794">
        <v>531</v>
      </c>
      <c r="D49" s="795">
        <v>347</v>
      </c>
      <c r="E49" s="795">
        <v>-29</v>
      </c>
      <c r="F49" s="795">
        <v>97</v>
      </c>
      <c r="G49" s="796">
        <v>381</v>
      </c>
    </row>
    <row r="50" spans="1:7" ht="16" x14ac:dyDescent="0.2">
      <c r="A50" s="1271" t="s">
        <v>262</v>
      </c>
      <c r="B50" s="1272" t="s">
        <v>262</v>
      </c>
      <c r="C50" s="799" t="s">
        <v>262</v>
      </c>
      <c r="D50" s="800" t="s">
        <v>262</v>
      </c>
      <c r="E50" s="800" t="s">
        <v>262</v>
      </c>
      <c r="F50" s="800" t="s">
        <v>262</v>
      </c>
      <c r="G50" s="801" t="s">
        <v>262</v>
      </c>
    </row>
    <row r="51" spans="1:7" ht="16" x14ac:dyDescent="0.2">
      <c r="A51" s="1273" t="s">
        <v>279</v>
      </c>
      <c r="B51" s="1274">
        <v>51078</v>
      </c>
      <c r="C51" s="794">
        <v>24905</v>
      </c>
      <c r="D51" s="795">
        <v>17223</v>
      </c>
      <c r="E51" s="795">
        <v>-2061</v>
      </c>
      <c r="F51" s="795">
        <v>4699</v>
      </c>
      <c r="G51" s="796">
        <v>6312</v>
      </c>
    </row>
    <row r="52" spans="1:7" ht="16" x14ac:dyDescent="0.2">
      <c r="A52" s="1275" t="s">
        <v>68</v>
      </c>
      <c r="B52" s="1274">
        <v>2849</v>
      </c>
      <c r="C52" s="794">
        <v>1475</v>
      </c>
      <c r="D52" s="795">
        <v>856</v>
      </c>
      <c r="E52" s="795">
        <v>-31</v>
      </c>
      <c r="F52" s="795">
        <v>100</v>
      </c>
      <c r="G52" s="796">
        <v>449</v>
      </c>
    </row>
    <row r="53" spans="1:7" ht="16" x14ac:dyDescent="0.2">
      <c r="A53" s="1275" t="s">
        <v>280</v>
      </c>
      <c r="B53" s="1274">
        <v>669</v>
      </c>
      <c r="C53" s="794">
        <v>429</v>
      </c>
      <c r="D53" s="795">
        <v>141</v>
      </c>
      <c r="E53" s="795">
        <v>-22</v>
      </c>
      <c r="F53" s="795">
        <v>15</v>
      </c>
      <c r="G53" s="796">
        <v>107</v>
      </c>
    </row>
    <row r="54" spans="1:7" ht="16" x14ac:dyDescent="0.2">
      <c r="A54" s="1275" t="s">
        <v>50</v>
      </c>
      <c r="B54" s="1274">
        <v>45071</v>
      </c>
      <c r="C54" s="794">
        <v>21727</v>
      </c>
      <c r="D54" s="795">
        <v>15753</v>
      </c>
      <c r="E54" s="795">
        <v>-1982</v>
      </c>
      <c r="F54" s="795">
        <v>4301</v>
      </c>
      <c r="G54" s="796">
        <v>5272</v>
      </c>
    </row>
    <row r="55" spans="1:7" ht="16" x14ac:dyDescent="0.2">
      <c r="A55" s="1275" t="s">
        <v>107</v>
      </c>
      <c r="B55" s="1274">
        <v>618</v>
      </c>
      <c r="C55" s="794">
        <v>451</v>
      </c>
      <c r="D55" s="795">
        <v>-41</v>
      </c>
      <c r="E55" s="795">
        <v>-6</v>
      </c>
      <c r="F55" s="795">
        <v>29</v>
      </c>
      <c r="G55" s="796">
        <v>185</v>
      </c>
    </row>
    <row r="56" spans="1:7" ht="16" x14ac:dyDescent="0.2">
      <c r="A56" s="1275" t="s">
        <v>272</v>
      </c>
      <c r="B56" s="1274">
        <v>1871</v>
      </c>
      <c r="C56" s="794">
        <v>823</v>
      </c>
      <c r="D56" s="795">
        <v>514</v>
      </c>
      <c r="E56" s="795">
        <v>-19</v>
      </c>
      <c r="F56" s="795">
        <v>255</v>
      </c>
      <c r="G56" s="796">
        <v>299</v>
      </c>
    </row>
    <row r="57" spans="1:7" ht="16" x14ac:dyDescent="0.2">
      <c r="A57" s="1271" t="s">
        <v>262</v>
      </c>
      <c r="B57" s="1272" t="s">
        <v>262</v>
      </c>
      <c r="C57" s="799" t="s">
        <v>262</v>
      </c>
      <c r="D57" s="800" t="s">
        <v>262</v>
      </c>
      <c r="E57" s="800" t="s">
        <v>262</v>
      </c>
      <c r="F57" s="800" t="s">
        <v>262</v>
      </c>
      <c r="G57" s="801" t="s">
        <v>262</v>
      </c>
    </row>
    <row r="58" spans="1:7" ht="16" x14ac:dyDescent="0.2">
      <c r="A58" s="1273" t="s">
        <v>281</v>
      </c>
      <c r="B58" s="1274">
        <v>23252</v>
      </c>
      <c r="C58" s="794">
        <v>4035</v>
      </c>
      <c r="D58" s="795">
        <v>29979</v>
      </c>
      <c r="E58" s="795">
        <v>-14969</v>
      </c>
      <c r="F58" s="795">
        <v>599</v>
      </c>
      <c r="G58" s="796">
        <v>3607</v>
      </c>
    </row>
    <row r="59" spans="1:7" ht="16" x14ac:dyDescent="0.2">
      <c r="A59" s="1275" t="s">
        <v>79</v>
      </c>
      <c r="B59" s="1274">
        <v>1074</v>
      </c>
      <c r="C59" s="794">
        <v>49</v>
      </c>
      <c r="D59" s="795">
        <v>1241</v>
      </c>
      <c r="E59" s="795">
        <v>-341</v>
      </c>
      <c r="F59" s="795">
        <v>7</v>
      </c>
      <c r="G59" s="796">
        <v>118</v>
      </c>
    </row>
    <row r="60" spans="1:7" ht="16" x14ac:dyDescent="0.2">
      <c r="A60" s="1275" t="s">
        <v>81</v>
      </c>
      <c r="B60" s="1274">
        <v>-1279</v>
      </c>
      <c r="C60" s="794">
        <v>1361</v>
      </c>
      <c r="D60" s="795">
        <v>1782</v>
      </c>
      <c r="E60" s="795">
        <v>-4995</v>
      </c>
      <c r="F60" s="795">
        <v>183</v>
      </c>
      <c r="G60" s="796">
        <v>389</v>
      </c>
    </row>
    <row r="61" spans="1:7" ht="16" x14ac:dyDescent="0.2">
      <c r="A61" s="1275" t="s">
        <v>282</v>
      </c>
      <c r="B61" s="1274">
        <v>1039</v>
      </c>
      <c r="C61" s="794">
        <v>260</v>
      </c>
      <c r="D61" s="795">
        <v>524</v>
      </c>
      <c r="E61" s="800" t="s">
        <v>283</v>
      </c>
      <c r="F61" s="800" t="s">
        <v>283</v>
      </c>
      <c r="G61" s="796">
        <v>131</v>
      </c>
    </row>
    <row r="62" spans="1:7" ht="16" x14ac:dyDescent="0.2">
      <c r="A62" s="1275" t="s">
        <v>284</v>
      </c>
      <c r="B62" s="1274">
        <v>5460</v>
      </c>
      <c r="C62" s="794">
        <v>1316</v>
      </c>
      <c r="D62" s="795">
        <v>11714</v>
      </c>
      <c r="E62" s="800">
        <v>-9303</v>
      </c>
      <c r="F62" s="800">
        <v>112</v>
      </c>
      <c r="G62" s="796">
        <v>1622</v>
      </c>
    </row>
    <row r="63" spans="1:7" ht="16" x14ac:dyDescent="0.2">
      <c r="A63" s="1275" t="s">
        <v>272</v>
      </c>
      <c r="B63" s="1274">
        <v>16958</v>
      </c>
      <c r="C63" s="794">
        <v>1049</v>
      </c>
      <c r="D63" s="795">
        <v>14719</v>
      </c>
      <c r="E63" s="800" t="s">
        <v>283</v>
      </c>
      <c r="F63" s="800" t="s">
        <v>283</v>
      </c>
      <c r="G63" s="796">
        <v>1347</v>
      </c>
    </row>
    <row r="64" spans="1:7" ht="16" x14ac:dyDescent="0.2">
      <c r="A64" s="1271" t="s">
        <v>262</v>
      </c>
      <c r="B64" s="1272" t="s">
        <v>262</v>
      </c>
      <c r="C64" s="799" t="s">
        <v>262</v>
      </c>
      <c r="D64" s="800" t="s">
        <v>262</v>
      </c>
      <c r="E64" s="800" t="s">
        <v>262</v>
      </c>
      <c r="F64" s="800" t="s">
        <v>262</v>
      </c>
      <c r="G64" s="801" t="s">
        <v>262</v>
      </c>
    </row>
    <row r="65" spans="1:7" ht="16" x14ac:dyDescent="0.2">
      <c r="A65" s="1271" t="s">
        <v>285</v>
      </c>
      <c r="B65" s="72">
        <v>30487</v>
      </c>
      <c r="C65" s="73">
        <v>7973</v>
      </c>
      <c r="D65" s="74">
        <v>6749</v>
      </c>
      <c r="E65" s="74">
        <v>281</v>
      </c>
      <c r="F65" s="74">
        <v>5478</v>
      </c>
      <c r="G65" s="78">
        <v>10007</v>
      </c>
    </row>
    <row r="66" spans="1:7" ht="16" x14ac:dyDescent="0.2">
      <c r="A66" s="1273" t="s">
        <v>286</v>
      </c>
      <c r="B66" s="1274">
        <v>3500</v>
      </c>
      <c r="C66" s="794">
        <v>658</v>
      </c>
      <c r="D66" s="795">
        <v>230</v>
      </c>
      <c r="E66" s="795">
        <v>-55</v>
      </c>
      <c r="F66" s="795">
        <v>1967</v>
      </c>
      <c r="G66" s="796">
        <v>700</v>
      </c>
    </row>
    <row r="67" spans="1:7" ht="16" x14ac:dyDescent="0.2">
      <c r="A67" s="1273" t="s">
        <v>287</v>
      </c>
      <c r="B67" s="1274">
        <v>9904</v>
      </c>
      <c r="C67" s="794">
        <v>1596</v>
      </c>
      <c r="D67" s="795">
        <v>3401</v>
      </c>
      <c r="E67" s="795">
        <v>133</v>
      </c>
      <c r="F67" s="800" t="s">
        <v>283</v>
      </c>
      <c r="G67" s="801" t="s">
        <v>283</v>
      </c>
    </row>
    <row r="68" spans="1:7" ht="16" x14ac:dyDescent="0.2">
      <c r="A68" s="1273" t="s">
        <v>71</v>
      </c>
      <c r="B68" s="1274">
        <v>6254</v>
      </c>
      <c r="C68" s="794">
        <v>3326</v>
      </c>
      <c r="D68" s="795">
        <v>1039</v>
      </c>
      <c r="E68" s="795">
        <v>244</v>
      </c>
      <c r="F68" s="795">
        <v>1291</v>
      </c>
      <c r="G68" s="796">
        <v>354</v>
      </c>
    </row>
    <row r="69" spans="1:7" ht="16" x14ac:dyDescent="0.2">
      <c r="A69" s="1273" t="s">
        <v>272</v>
      </c>
      <c r="B69" s="1274">
        <v>10830</v>
      </c>
      <c r="C69" s="794">
        <v>2393</v>
      </c>
      <c r="D69" s="795">
        <v>2079</v>
      </c>
      <c r="E69" s="795">
        <v>-40</v>
      </c>
      <c r="F69" s="800" t="s">
        <v>283</v>
      </c>
      <c r="G69" s="801" t="s">
        <v>283</v>
      </c>
    </row>
    <row r="70" spans="1:7" ht="16" x14ac:dyDescent="0.2">
      <c r="A70" s="1271" t="s">
        <v>262</v>
      </c>
      <c r="B70" s="1272" t="s">
        <v>262</v>
      </c>
      <c r="C70" s="799" t="s">
        <v>262</v>
      </c>
      <c r="D70" s="800" t="s">
        <v>262</v>
      </c>
      <c r="E70" s="800" t="s">
        <v>262</v>
      </c>
      <c r="F70" s="800" t="s">
        <v>262</v>
      </c>
      <c r="G70" s="801" t="s">
        <v>262</v>
      </c>
    </row>
    <row r="71" spans="1:7" ht="16" x14ac:dyDescent="0.2">
      <c r="A71" s="1271" t="s">
        <v>288</v>
      </c>
      <c r="B71" s="72">
        <v>24520</v>
      </c>
      <c r="C71" s="73">
        <v>10061</v>
      </c>
      <c r="D71" s="74">
        <v>10524</v>
      </c>
      <c r="E71" s="74">
        <v>6</v>
      </c>
      <c r="F71" s="74">
        <v>1220</v>
      </c>
      <c r="G71" s="78">
        <v>2709</v>
      </c>
    </row>
    <row r="72" spans="1:7" ht="16" x14ac:dyDescent="0.2">
      <c r="A72" s="1273" t="s">
        <v>44</v>
      </c>
      <c r="B72" s="1274">
        <v>9231</v>
      </c>
      <c r="C72" s="794">
        <v>5267</v>
      </c>
      <c r="D72" s="795">
        <v>2673</v>
      </c>
      <c r="E72" s="795">
        <v>2</v>
      </c>
      <c r="F72" s="795">
        <v>460</v>
      </c>
      <c r="G72" s="796">
        <v>831</v>
      </c>
    </row>
    <row r="73" spans="1:7" ht="16" x14ac:dyDescent="0.2">
      <c r="A73" s="1273" t="s">
        <v>289</v>
      </c>
      <c r="B73" s="1274">
        <v>2490</v>
      </c>
      <c r="C73" s="794">
        <v>1730</v>
      </c>
      <c r="D73" s="795">
        <v>414</v>
      </c>
      <c r="E73" s="800" t="s">
        <v>283</v>
      </c>
      <c r="F73" s="800" t="s">
        <v>283</v>
      </c>
      <c r="G73" s="796">
        <v>306</v>
      </c>
    </row>
    <row r="74" spans="1:7" ht="16" x14ac:dyDescent="0.2">
      <c r="A74" s="1273" t="s">
        <v>290</v>
      </c>
      <c r="B74" s="1274">
        <v>8158</v>
      </c>
      <c r="C74" s="794">
        <v>2086</v>
      </c>
      <c r="D74" s="795">
        <v>4813</v>
      </c>
      <c r="E74" s="800" t="s">
        <v>283</v>
      </c>
      <c r="F74" s="800" t="s">
        <v>283</v>
      </c>
      <c r="G74" s="796">
        <v>548</v>
      </c>
    </row>
    <row r="75" spans="1:7" ht="16" x14ac:dyDescent="0.2">
      <c r="A75" s="1273" t="s">
        <v>272</v>
      </c>
      <c r="B75" s="1274">
        <v>4641</v>
      </c>
      <c r="C75" s="794">
        <v>979</v>
      </c>
      <c r="D75" s="795">
        <v>2623</v>
      </c>
      <c r="E75" s="800" t="s">
        <v>283</v>
      </c>
      <c r="F75" s="800" t="s">
        <v>283</v>
      </c>
      <c r="G75" s="796">
        <v>1025</v>
      </c>
    </row>
    <row r="76" spans="1:7" ht="16" x14ac:dyDescent="0.2">
      <c r="A76" s="1271" t="s">
        <v>262</v>
      </c>
      <c r="B76" s="1272" t="s">
        <v>262</v>
      </c>
      <c r="C76" s="799" t="s">
        <v>262</v>
      </c>
      <c r="D76" s="800" t="s">
        <v>262</v>
      </c>
      <c r="E76" s="800" t="s">
        <v>262</v>
      </c>
      <c r="F76" s="800" t="s">
        <v>262</v>
      </c>
      <c r="G76" s="801" t="s">
        <v>262</v>
      </c>
    </row>
    <row r="77" spans="1:7" ht="16" x14ac:dyDescent="0.2">
      <c r="A77" s="1271" t="s">
        <v>291</v>
      </c>
      <c r="B77" s="72">
        <v>334532</v>
      </c>
      <c r="C77" s="73">
        <v>151269</v>
      </c>
      <c r="D77" s="74">
        <v>121872</v>
      </c>
      <c r="E77" s="74">
        <v>-11713</v>
      </c>
      <c r="F77" s="74">
        <v>36621</v>
      </c>
      <c r="G77" s="78">
        <v>36482</v>
      </c>
    </row>
    <row r="78" spans="1:7" ht="16" x14ac:dyDescent="0.2">
      <c r="A78" s="1273" t="s">
        <v>29</v>
      </c>
      <c r="B78" s="1274">
        <v>41610</v>
      </c>
      <c r="C78" s="794">
        <v>26647</v>
      </c>
      <c r="D78" s="795">
        <v>1981</v>
      </c>
      <c r="E78" s="795">
        <v>1064</v>
      </c>
      <c r="F78" s="795">
        <v>6126</v>
      </c>
      <c r="G78" s="796">
        <v>5792</v>
      </c>
    </row>
    <row r="79" spans="1:7" ht="16" x14ac:dyDescent="0.2">
      <c r="A79" s="1273" t="s">
        <v>66</v>
      </c>
      <c r="B79" s="1274">
        <v>65689</v>
      </c>
      <c r="C79" s="794">
        <v>28642</v>
      </c>
      <c r="D79" s="795">
        <v>24644</v>
      </c>
      <c r="E79" s="795">
        <v>-337</v>
      </c>
      <c r="F79" s="795">
        <v>5051</v>
      </c>
      <c r="G79" s="796">
        <v>7689</v>
      </c>
    </row>
    <row r="80" spans="1:7" ht="16" x14ac:dyDescent="0.2">
      <c r="A80" s="1273" t="s">
        <v>91</v>
      </c>
      <c r="B80" s="1274">
        <v>19845</v>
      </c>
      <c r="C80" s="794">
        <v>10357</v>
      </c>
      <c r="D80" s="795">
        <v>8705</v>
      </c>
      <c r="E80" s="795">
        <v>-888</v>
      </c>
      <c r="F80" s="795">
        <v>886</v>
      </c>
      <c r="G80" s="796">
        <v>785</v>
      </c>
    </row>
    <row r="81" spans="1:7" ht="16" x14ac:dyDescent="0.2">
      <c r="A81" s="1273" t="s">
        <v>69</v>
      </c>
      <c r="B81" s="1274">
        <v>26321</v>
      </c>
      <c r="C81" s="794">
        <v>17670</v>
      </c>
      <c r="D81" s="795">
        <v>6492</v>
      </c>
      <c r="E81" s="795">
        <v>-972</v>
      </c>
      <c r="F81" s="795">
        <v>1112</v>
      </c>
      <c r="G81" s="796">
        <v>2020</v>
      </c>
    </row>
    <row r="82" spans="1:7" ht="16" x14ac:dyDescent="0.2">
      <c r="A82" s="1273" t="s">
        <v>292</v>
      </c>
      <c r="B82" s="1274">
        <v>13470</v>
      </c>
      <c r="C82" s="794">
        <v>3028</v>
      </c>
      <c r="D82" s="795">
        <v>4260</v>
      </c>
      <c r="E82" s="795">
        <v>16</v>
      </c>
      <c r="F82" s="800" t="s">
        <v>283</v>
      </c>
      <c r="G82" s="801" t="s">
        <v>283</v>
      </c>
    </row>
    <row r="83" spans="1:7" ht="16" x14ac:dyDescent="0.2">
      <c r="A83" s="1273" t="s">
        <v>46</v>
      </c>
      <c r="B83" s="1274">
        <v>47420</v>
      </c>
      <c r="C83" s="794">
        <v>25937</v>
      </c>
      <c r="D83" s="795">
        <v>22296</v>
      </c>
      <c r="E83" s="795">
        <v>-7704</v>
      </c>
      <c r="F83" s="795">
        <v>3513</v>
      </c>
      <c r="G83" s="796">
        <v>3377</v>
      </c>
    </row>
    <row r="84" spans="1:7" ht="16" x14ac:dyDescent="0.2">
      <c r="A84" s="1273" t="s">
        <v>47</v>
      </c>
      <c r="B84" s="1274">
        <v>15486</v>
      </c>
      <c r="C84" s="794">
        <v>7527</v>
      </c>
      <c r="D84" s="795">
        <v>5141</v>
      </c>
      <c r="E84" s="795">
        <v>-965</v>
      </c>
      <c r="F84" s="795">
        <v>2275</v>
      </c>
      <c r="G84" s="796">
        <v>1509</v>
      </c>
    </row>
    <row r="85" spans="1:7" ht="16" x14ac:dyDescent="0.2">
      <c r="A85" s="1273" t="s">
        <v>293</v>
      </c>
      <c r="B85" s="1274">
        <v>8916</v>
      </c>
      <c r="C85" s="794">
        <v>3518</v>
      </c>
      <c r="D85" s="795">
        <v>2918</v>
      </c>
      <c r="E85" s="795">
        <v>-56</v>
      </c>
      <c r="F85" s="795">
        <v>531</v>
      </c>
      <c r="G85" s="796">
        <v>2006</v>
      </c>
    </row>
    <row r="86" spans="1:7" ht="16" x14ac:dyDescent="0.2">
      <c r="A86" s="1273" t="s">
        <v>52</v>
      </c>
      <c r="B86" s="1274">
        <v>4777</v>
      </c>
      <c r="C86" s="794">
        <v>1812</v>
      </c>
      <c r="D86" s="795">
        <v>1232</v>
      </c>
      <c r="E86" s="795">
        <v>-86</v>
      </c>
      <c r="F86" s="795">
        <v>1379</v>
      </c>
      <c r="G86" s="796">
        <v>440</v>
      </c>
    </row>
    <row r="87" spans="1:7" ht="16" x14ac:dyDescent="0.2">
      <c r="A87" s="1273" t="s">
        <v>294</v>
      </c>
      <c r="B87" s="1274">
        <v>5502</v>
      </c>
      <c r="C87" s="794">
        <v>3182</v>
      </c>
      <c r="D87" s="795">
        <v>820</v>
      </c>
      <c r="E87" s="795">
        <v>40</v>
      </c>
      <c r="F87" s="795">
        <v>470</v>
      </c>
      <c r="G87" s="796">
        <v>990</v>
      </c>
    </row>
    <row r="88" spans="1:7" ht="16" x14ac:dyDescent="0.2">
      <c r="A88" s="1273" t="s">
        <v>102</v>
      </c>
      <c r="B88" s="1274">
        <v>47644</v>
      </c>
      <c r="C88" s="794">
        <v>13740</v>
      </c>
      <c r="D88" s="795">
        <v>29642</v>
      </c>
      <c r="E88" s="795">
        <v>-1815</v>
      </c>
      <c r="F88" s="795">
        <v>2127</v>
      </c>
      <c r="G88" s="796">
        <v>3949</v>
      </c>
    </row>
    <row r="89" spans="1:7" ht="16" x14ac:dyDescent="0.2">
      <c r="A89" s="1273" t="s">
        <v>295</v>
      </c>
      <c r="B89" s="1274">
        <v>7291</v>
      </c>
      <c r="C89" s="794">
        <v>3200</v>
      </c>
      <c r="D89" s="795">
        <v>2904</v>
      </c>
      <c r="E89" s="795">
        <v>-214</v>
      </c>
      <c r="F89" s="795">
        <v>274</v>
      </c>
      <c r="G89" s="796">
        <v>1127</v>
      </c>
    </row>
    <row r="90" spans="1:7" ht="16" x14ac:dyDescent="0.2">
      <c r="A90" s="1273" t="s">
        <v>296</v>
      </c>
      <c r="B90" s="1274">
        <v>14854</v>
      </c>
      <c r="C90" s="794">
        <v>3129</v>
      </c>
      <c r="D90" s="795">
        <v>5698</v>
      </c>
      <c r="E90" s="795">
        <v>-56</v>
      </c>
      <c r="F90" s="795">
        <v>3508</v>
      </c>
      <c r="G90" s="796">
        <v>2575</v>
      </c>
    </row>
    <row r="91" spans="1:7" ht="16" x14ac:dyDescent="0.2">
      <c r="A91" s="1273" t="s">
        <v>272</v>
      </c>
      <c r="B91" s="1274">
        <v>15707</v>
      </c>
      <c r="C91" s="794">
        <v>2882</v>
      </c>
      <c r="D91" s="795">
        <v>5138</v>
      </c>
      <c r="E91" s="795">
        <v>258</v>
      </c>
      <c r="F91" s="800" t="s">
        <v>283</v>
      </c>
      <c r="G91" s="801" t="s">
        <v>283</v>
      </c>
    </row>
    <row r="92" spans="1:7" ht="16" x14ac:dyDescent="0.2">
      <c r="A92" s="1271" t="s">
        <v>262</v>
      </c>
      <c r="B92" s="1272" t="s">
        <v>262</v>
      </c>
      <c r="C92" s="799" t="s">
        <v>262</v>
      </c>
      <c r="D92" s="800" t="s">
        <v>262</v>
      </c>
      <c r="E92" s="800" t="s">
        <v>262</v>
      </c>
      <c r="F92" s="800" t="s">
        <v>262</v>
      </c>
      <c r="G92" s="801" t="s">
        <v>262</v>
      </c>
    </row>
    <row r="93" spans="1:7" ht="16" x14ac:dyDescent="0.2">
      <c r="A93" s="1271" t="s">
        <v>297</v>
      </c>
      <c r="B93" s="1272" t="s">
        <v>262</v>
      </c>
      <c r="C93" s="799" t="s">
        <v>262</v>
      </c>
      <c r="D93" s="800" t="s">
        <v>262</v>
      </c>
      <c r="E93" s="800" t="s">
        <v>262</v>
      </c>
      <c r="F93" s="800" t="s">
        <v>262</v>
      </c>
      <c r="G93" s="801" t="s">
        <v>262</v>
      </c>
    </row>
    <row r="94" spans="1:7" ht="16" x14ac:dyDescent="0.2">
      <c r="A94" s="1273" t="s">
        <v>298</v>
      </c>
      <c r="B94" s="1274">
        <v>582834</v>
      </c>
      <c r="C94" s="794">
        <v>282508</v>
      </c>
      <c r="D94" s="795">
        <v>196968</v>
      </c>
      <c r="E94" s="795">
        <v>-22690</v>
      </c>
      <c r="F94" s="795">
        <v>76648</v>
      </c>
      <c r="G94" s="796">
        <v>49399</v>
      </c>
    </row>
    <row r="95" spans="1:7" ht="17" thickBot="1" x14ac:dyDescent="0.25">
      <c r="A95" s="1276" t="s">
        <v>299</v>
      </c>
      <c r="B95" s="1277">
        <v>30981</v>
      </c>
      <c r="C95" s="1278">
        <v>8967</v>
      </c>
      <c r="D95" s="1279">
        <v>9965</v>
      </c>
      <c r="E95" s="1279">
        <v>-124</v>
      </c>
      <c r="F95" s="1279">
        <v>3230</v>
      </c>
      <c r="G95" s="1280">
        <v>8943</v>
      </c>
    </row>
    <row r="96" spans="1:7" ht="14" thickTop="1" x14ac:dyDescent="0.15"/>
    <row r="97" spans="1:7" ht="14" thickBot="1" x14ac:dyDescent="0.2"/>
    <row r="98" spans="1:7" ht="26.25" customHeight="1" thickBot="1" x14ac:dyDescent="0.2">
      <c r="A98" s="2105" t="s">
        <v>300</v>
      </c>
      <c r="B98" s="2106"/>
      <c r="C98" s="2106"/>
      <c r="D98" s="2106"/>
      <c r="E98" s="2106"/>
      <c r="F98" s="2106"/>
      <c r="G98" s="2107"/>
    </row>
  </sheetData>
  <mergeCells count="3">
    <mergeCell ref="A3:G3"/>
    <mergeCell ref="A98:G98"/>
    <mergeCell ref="B6:G6"/>
  </mergeCells>
  <phoneticPr fontId="36" type="noConversion"/>
  <pageMargins left="0.7" right="0.7" top="0.75" bottom="0.75" header="0.3" footer="0.3"/>
  <pageSetup scale="66" fitToHeight="0" orientation="portrait" horizontalDpi="300" verticalDpi="300"/>
  <customProperties>
    <customPr name="S" r:id="rId1"/>
  </customPropertie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I98"/>
  <sheetViews>
    <sheetView workbookViewId="0">
      <pane xSplit="1" ySplit="7" topLeftCell="B26" activePane="bottomRight" state="frozen"/>
      <selection pane="topRight" activeCell="B1" sqref="B1"/>
      <selection pane="bottomLeft" activeCell="A8" sqref="A8"/>
      <selection pane="bottomRight" activeCell="A3" sqref="A3:G98"/>
    </sheetView>
  </sheetViews>
  <sheetFormatPr baseColWidth="10" defaultColWidth="8.83203125" defaultRowHeight="13" x14ac:dyDescent="0.15"/>
  <cols>
    <col min="1" max="1" width="46.33203125" style="62" customWidth="1"/>
    <col min="2" max="7" width="14.1640625" style="62" customWidth="1"/>
    <col min="8" max="16384" width="8.83203125" style="62"/>
  </cols>
  <sheetData>
    <row r="2" spans="1:9" ht="14" thickBot="1" x14ac:dyDescent="0.2"/>
    <row r="3" spans="1:9" ht="32.25" customHeight="1" thickTop="1" x14ac:dyDescent="0.15">
      <c r="A3" s="2102" t="s">
        <v>301</v>
      </c>
      <c r="B3" s="2103"/>
      <c r="C3" s="2103"/>
      <c r="D3" s="2103"/>
      <c r="E3" s="2103"/>
      <c r="F3" s="2103"/>
      <c r="G3" s="2104"/>
    </row>
    <row r="4" spans="1:9" ht="12" customHeight="1" x14ac:dyDescent="0.15">
      <c r="A4" s="68"/>
      <c r="B4" s="69"/>
      <c r="C4" s="69"/>
      <c r="D4" s="69"/>
      <c r="E4" s="69"/>
      <c r="F4" s="69"/>
      <c r="G4" s="70"/>
    </row>
    <row r="5" spans="1:9" ht="15" customHeight="1" x14ac:dyDescent="0.15">
      <c r="A5" s="71" t="s">
        <v>262</v>
      </c>
      <c r="B5" s="84" t="s">
        <v>1</v>
      </c>
      <c r="C5" s="84" t="s">
        <v>2</v>
      </c>
      <c r="D5" s="84" t="s">
        <v>3</v>
      </c>
      <c r="E5" s="84" t="s">
        <v>4</v>
      </c>
      <c r="F5" s="84" t="s">
        <v>5</v>
      </c>
      <c r="G5" s="1793" t="s">
        <v>6</v>
      </c>
    </row>
    <row r="6" spans="1:9" ht="16" customHeight="1" x14ac:dyDescent="0.15">
      <c r="A6" s="79"/>
      <c r="B6" s="2108" t="s">
        <v>263</v>
      </c>
      <c r="C6" s="2109"/>
      <c r="D6" s="2109"/>
      <c r="E6" s="2109"/>
      <c r="F6" s="2109"/>
      <c r="G6" s="2110"/>
    </row>
    <row r="7" spans="1:9" ht="71.25" customHeight="1" x14ac:dyDescent="0.15">
      <c r="A7" s="1792" t="s">
        <v>262</v>
      </c>
      <c r="B7" s="1267" t="s">
        <v>264</v>
      </c>
      <c r="C7" s="1268" t="s">
        <v>125</v>
      </c>
      <c r="D7" s="1269" t="s">
        <v>265</v>
      </c>
      <c r="E7" s="1269" t="s">
        <v>266</v>
      </c>
      <c r="F7" s="1269" t="s">
        <v>267</v>
      </c>
      <c r="G7" s="77" t="s">
        <v>268</v>
      </c>
    </row>
    <row r="8" spans="1:9" ht="21" customHeight="1" x14ac:dyDescent="0.2">
      <c r="A8" s="1270" t="s">
        <v>302</v>
      </c>
      <c r="B8" s="72">
        <v>1490153</v>
      </c>
      <c r="C8" s="73">
        <v>632546</v>
      </c>
      <c r="D8" s="74">
        <v>554226</v>
      </c>
      <c r="E8" s="74">
        <v>-46774</v>
      </c>
      <c r="F8" s="74">
        <v>208002</v>
      </c>
      <c r="G8" s="78">
        <v>142154</v>
      </c>
    </row>
    <row r="9" spans="1:9" ht="16" x14ac:dyDescent="0.2">
      <c r="A9" s="1271" t="s">
        <v>262</v>
      </c>
      <c r="B9" s="1272" t="s">
        <v>262</v>
      </c>
      <c r="C9" s="799" t="s">
        <v>262</v>
      </c>
      <c r="D9" s="800" t="s">
        <v>262</v>
      </c>
      <c r="E9" s="800" t="s">
        <v>262</v>
      </c>
      <c r="F9" s="800" t="s">
        <v>262</v>
      </c>
      <c r="G9" s="801" t="s">
        <v>262</v>
      </c>
    </row>
    <row r="10" spans="1:9" ht="16" x14ac:dyDescent="0.2">
      <c r="A10" s="1271" t="s">
        <v>32</v>
      </c>
      <c r="B10" s="72">
        <v>154279</v>
      </c>
      <c r="C10" s="73">
        <v>68578</v>
      </c>
      <c r="D10" s="74">
        <v>46406</v>
      </c>
      <c r="E10" s="74">
        <v>-29</v>
      </c>
      <c r="F10" s="74">
        <v>25545</v>
      </c>
      <c r="G10" s="78">
        <v>13780</v>
      </c>
    </row>
    <row r="11" spans="1:9" ht="16" x14ac:dyDescent="0.2">
      <c r="A11" s="1271" t="s">
        <v>262</v>
      </c>
      <c r="B11" s="1272" t="s">
        <v>262</v>
      </c>
      <c r="C11" s="799" t="s">
        <v>262</v>
      </c>
      <c r="D11" s="800" t="s">
        <v>262</v>
      </c>
      <c r="E11" s="800" t="s">
        <v>262</v>
      </c>
      <c r="F11" s="800" t="s">
        <v>262</v>
      </c>
      <c r="G11" s="801" t="s">
        <v>262</v>
      </c>
    </row>
    <row r="12" spans="1:9" ht="16" x14ac:dyDescent="0.2">
      <c r="A12" s="1271" t="s">
        <v>303</v>
      </c>
      <c r="B12" s="72">
        <v>706950</v>
      </c>
      <c r="C12" s="73">
        <v>318127</v>
      </c>
      <c r="D12" s="74">
        <v>237942</v>
      </c>
      <c r="E12" s="74">
        <v>-18479</v>
      </c>
      <c r="F12" s="74">
        <v>110228</v>
      </c>
      <c r="G12" s="78">
        <v>59131</v>
      </c>
      <c r="I12" s="117"/>
    </row>
    <row r="13" spans="1:9" ht="16" x14ac:dyDescent="0.2">
      <c r="A13" s="1273" t="s">
        <v>30</v>
      </c>
      <c r="B13" s="1274">
        <v>6169</v>
      </c>
      <c r="C13" s="794">
        <v>3991</v>
      </c>
      <c r="D13" s="795">
        <v>1183</v>
      </c>
      <c r="E13" s="795">
        <v>54</v>
      </c>
      <c r="F13" s="795">
        <v>435</v>
      </c>
      <c r="G13" s="796">
        <v>506</v>
      </c>
      <c r="I13" s="117"/>
    </row>
    <row r="14" spans="1:9" ht="16" x14ac:dyDescent="0.2">
      <c r="A14" s="1273" t="s">
        <v>31</v>
      </c>
      <c r="B14" s="1274">
        <v>26349</v>
      </c>
      <c r="C14" s="794">
        <v>11719</v>
      </c>
      <c r="D14" s="795">
        <v>6774</v>
      </c>
      <c r="E14" s="795">
        <v>-308</v>
      </c>
      <c r="F14" s="795">
        <v>5870</v>
      </c>
      <c r="G14" s="796">
        <v>2293</v>
      </c>
      <c r="I14" s="117"/>
    </row>
    <row r="15" spans="1:9" ht="16" x14ac:dyDescent="0.2">
      <c r="A15" s="1273" t="s">
        <v>34</v>
      </c>
      <c r="B15" s="1274">
        <v>5504</v>
      </c>
      <c r="C15" s="794">
        <v>2294</v>
      </c>
      <c r="D15" s="795">
        <v>1424</v>
      </c>
      <c r="E15" s="795">
        <v>24</v>
      </c>
      <c r="F15" s="795">
        <v>1099</v>
      </c>
      <c r="G15" s="796">
        <v>663</v>
      </c>
      <c r="I15" s="117"/>
    </row>
    <row r="16" spans="1:9" ht="16" x14ac:dyDescent="0.2">
      <c r="A16" s="1273" t="s">
        <v>35</v>
      </c>
      <c r="B16" s="1274">
        <v>8018</v>
      </c>
      <c r="C16" s="794">
        <v>4591</v>
      </c>
      <c r="D16" s="795">
        <v>2317</v>
      </c>
      <c r="E16" s="795">
        <v>62</v>
      </c>
      <c r="F16" s="795">
        <v>379</v>
      </c>
      <c r="G16" s="796">
        <v>670</v>
      </c>
      <c r="I16" s="117"/>
    </row>
    <row r="17" spans="1:9" ht="16" x14ac:dyDescent="0.2">
      <c r="A17" s="1273" t="s">
        <v>37</v>
      </c>
      <c r="B17" s="1274">
        <v>2380</v>
      </c>
      <c r="C17" s="794">
        <v>1493</v>
      </c>
      <c r="D17" s="795">
        <v>-213</v>
      </c>
      <c r="E17" s="795" t="s">
        <v>283</v>
      </c>
      <c r="F17" s="795" t="s">
        <v>283</v>
      </c>
      <c r="G17" s="796">
        <v>296</v>
      </c>
      <c r="I17" s="117"/>
    </row>
    <row r="18" spans="1:9" ht="16" x14ac:dyDescent="0.2">
      <c r="A18" s="1273" t="s">
        <v>38</v>
      </c>
      <c r="B18" s="1274">
        <v>54997</v>
      </c>
      <c r="C18" s="794">
        <v>35623</v>
      </c>
      <c r="D18" s="795">
        <v>7444</v>
      </c>
      <c r="E18" s="795">
        <v>540</v>
      </c>
      <c r="F18" s="795">
        <v>7609</v>
      </c>
      <c r="G18" s="796">
        <v>3781</v>
      </c>
      <c r="I18" s="117"/>
    </row>
    <row r="19" spans="1:9" ht="16" x14ac:dyDescent="0.2">
      <c r="A19" s="1271" t="s">
        <v>262</v>
      </c>
      <c r="B19" s="1272" t="s">
        <v>262</v>
      </c>
      <c r="C19" s="799" t="s">
        <v>262</v>
      </c>
      <c r="D19" s="800" t="s">
        <v>262</v>
      </c>
      <c r="E19" s="800" t="s">
        <v>262</v>
      </c>
      <c r="F19" s="800" t="s">
        <v>262</v>
      </c>
      <c r="G19" s="801" t="s">
        <v>262</v>
      </c>
      <c r="I19" s="117"/>
    </row>
    <row r="20" spans="1:9" ht="16" x14ac:dyDescent="0.2">
      <c r="A20" s="1273" t="s">
        <v>39</v>
      </c>
      <c r="B20" s="1274">
        <v>94232</v>
      </c>
      <c r="C20" s="794">
        <v>54948</v>
      </c>
      <c r="D20" s="795">
        <v>14627</v>
      </c>
      <c r="E20" s="795">
        <v>1051</v>
      </c>
      <c r="F20" s="795">
        <v>16198</v>
      </c>
      <c r="G20" s="796">
        <v>7408</v>
      </c>
      <c r="I20" s="117"/>
    </row>
    <row r="21" spans="1:9" ht="16" x14ac:dyDescent="0.2">
      <c r="A21" s="1273" t="s">
        <v>40</v>
      </c>
      <c r="B21" s="1274">
        <v>2837</v>
      </c>
      <c r="C21" s="794">
        <v>1037</v>
      </c>
      <c r="D21" s="795">
        <v>149</v>
      </c>
      <c r="E21" s="795" t="s">
        <v>283</v>
      </c>
      <c r="F21" s="797" t="s">
        <v>283</v>
      </c>
      <c r="G21" s="796">
        <v>120</v>
      </c>
      <c r="I21" s="117"/>
    </row>
    <row r="22" spans="1:9" ht="16" x14ac:dyDescent="0.2">
      <c r="A22" s="1273" t="s">
        <v>41</v>
      </c>
      <c r="B22" s="1274">
        <v>3470</v>
      </c>
      <c r="C22" s="794">
        <v>1698</v>
      </c>
      <c r="D22" s="795">
        <v>632</v>
      </c>
      <c r="E22" s="795">
        <v>138</v>
      </c>
      <c r="F22" s="795">
        <v>458</v>
      </c>
      <c r="G22" s="796">
        <v>544</v>
      </c>
      <c r="I22" s="117"/>
    </row>
    <row r="23" spans="1:9" ht="16" x14ac:dyDescent="0.2">
      <c r="A23" s="1273" t="s">
        <v>43</v>
      </c>
      <c r="B23" s="1274">
        <v>79477</v>
      </c>
      <c r="C23" s="794">
        <v>9337</v>
      </c>
      <c r="D23" s="795">
        <v>61572</v>
      </c>
      <c r="E23" s="795">
        <v>-603</v>
      </c>
      <c r="F23" s="795">
        <v>1594</v>
      </c>
      <c r="G23" s="796">
        <v>7576</v>
      </c>
      <c r="I23" s="117"/>
    </row>
    <row r="24" spans="1:9" ht="16" x14ac:dyDescent="0.2">
      <c r="A24" s="1273" t="s">
        <v>45</v>
      </c>
      <c r="B24" s="1274">
        <v>32901</v>
      </c>
      <c r="C24" s="794">
        <v>16040</v>
      </c>
      <c r="D24" s="795">
        <v>3494</v>
      </c>
      <c r="E24" s="795" t="s">
        <v>283</v>
      </c>
      <c r="F24" s="795" t="s">
        <v>283</v>
      </c>
      <c r="G24" s="796">
        <v>2414</v>
      </c>
      <c r="I24" s="117"/>
    </row>
    <row r="25" spans="1:9" ht="16" x14ac:dyDescent="0.2">
      <c r="A25" s="1273" t="s">
        <v>49</v>
      </c>
      <c r="B25" s="1274">
        <v>4153</v>
      </c>
      <c r="C25" s="794">
        <v>1811</v>
      </c>
      <c r="D25" s="795">
        <v>7118</v>
      </c>
      <c r="E25" s="795">
        <v>-6416</v>
      </c>
      <c r="F25" s="795">
        <v>1137</v>
      </c>
      <c r="G25" s="796">
        <v>503</v>
      </c>
      <c r="I25" s="117"/>
    </row>
    <row r="26" spans="1:9" ht="16" x14ac:dyDescent="0.2">
      <c r="A26" s="1273" t="s">
        <v>51</v>
      </c>
      <c r="B26" s="1274">
        <v>32640</v>
      </c>
      <c r="C26" s="794">
        <v>18885</v>
      </c>
      <c r="D26" s="795">
        <v>15031</v>
      </c>
      <c r="E26" s="795">
        <v>-9292</v>
      </c>
      <c r="F26" s="795">
        <v>4538</v>
      </c>
      <c r="G26" s="796">
        <v>3478</v>
      </c>
      <c r="I26" s="117"/>
    </row>
    <row r="27" spans="1:9" ht="16" x14ac:dyDescent="0.2">
      <c r="A27" s="1271" t="s">
        <v>262</v>
      </c>
      <c r="B27" s="1272" t="s">
        <v>262</v>
      </c>
      <c r="C27" s="799" t="s">
        <v>262</v>
      </c>
      <c r="D27" s="800" t="s">
        <v>262</v>
      </c>
      <c r="E27" s="800" t="s">
        <v>262</v>
      </c>
      <c r="F27" s="800" t="s">
        <v>262</v>
      </c>
      <c r="G27" s="801" t="s">
        <v>262</v>
      </c>
      <c r="I27" s="117"/>
    </row>
    <row r="28" spans="1:9" ht="16" x14ac:dyDescent="0.2">
      <c r="A28" s="1273" t="s">
        <v>53</v>
      </c>
      <c r="B28" s="1274">
        <v>26165</v>
      </c>
      <c r="C28" s="794">
        <v>5749</v>
      </c>
      <c r="D28" s="795">
        <v>13365</v>
      </c>
      <c r="E28" s="795">
        <v>416</v>
      </c>
      <c r="F28" s="795">
        <v>2711</v>
      </c>
      <c r="G28" s="796">
        <v>3924</v>
      </c>
      <c r="I28" s="117"/>
    </row>
    <row r="29" spans="1:9" ht="16" x14ac:dyDescent="0.2">
      <c r="A29" s="1273" t="s">
        <v>54</v>
      </c>
      <c r="B29" s="1274">
        <v>11484</v>
      </c>
      <c r="C29" s="794">
        <v>4604</v>
      </c>
      <c r="D29" s="795">
        <v>2281</v>
      </c>
      <c r="E29" s="795">
        <v>-34</v>
      </c>
      <c r="F29" s="795">
        <v>3388</v>
      </c>
      <c r="G29" s="796">
        <v>1245</v>
      </c>
      <c r="I29" s="117"/>
    </row>
    <row r="30" spans="1:9" ht="16" x14ac:dyDescent="0.2">
      <c r="A30" s="1273" t="s">
        <v>55</v>
      </c>
      <c r="B30" s="1274">
        <v>3670</v>
      </c>
      <c r="C30" s="794">
        <v>1315</v>
      </c>
      <c r="D30" s="795">
        <v>581</v>
      </c>
      <c r="E30" s="795">
        <v>-35</v>
      </c>
      <c r="F30" s="797" t="s">
        <v>283</v>
      </c>
      <c r="G30" s="796" t="s">
        <v>283</v>
      </c>
      <c r="I30" s="117"/>
    </row>
    <row r="31" spans="1:9" ht="16" x14ac:dyDescent="0.2">
      <c r="A31" s="1273" t="s">
        <v>70</v>
      </c>
      <c r="B31" s="1274">
        <v>13573</v>
      </c>
      <c r="C31" s="794">
        <v>5615</v>
      </c>
      <c r="D31" s="795">
        <v>3211</v>
      </c>
      <c r="E31" s="795">
        <v>238</v>
      </c>
      <c r="F31" s="795">
        <v>3337</v>
      </c>
      <c r="G31" s="796">
        <v>1172</v>
      </c>
      <c r="I31" s="117"/>
    </row>
    <row r="32" spans="1:9" ht="16" x14ac:dyDescent="0.2">
      <c r="A32" s="1273" t="s">
        <v>58</v>
      </c>
      <c r="B32" s="1274">
        <v>16354</v>
      </c>
      <c r="C32" s="794">
        <v>10952</v>
      </c>
      <c r="D32" s="795">
        <v>2622</v>
      </c>
      <c r="E32" s="795">
        <v>-46</v>
      </c>
      <c r="F32" s="795">
        <v>970</v>
      </c>
      <c r="G32" s="796">
        <v>1856</v>
      </c>
      <c r="I32" s="117"/>
    </row>
    <row r="33" spans="1:9" ht="16" x14ac:dyDescent="0.2">
      <c r="A33" s="1273" t="s">
        <v>59</v>
      </c>
      <c r="B33" s="1274">
        <v>10981</v>
      </c>
      <c r="C33" s="794">
        <v>6223</v>
      </c>
      <c r="D33" s="795">
        <v>3195</v>
      </c>
      <c r="E33" s="795">
        <v>309</v>
      </c>
      <c r="F33" s="795">
        <v>296</v>
      </c>
      <c r="G33" s="796">
        <v>958</v>
      </c>
      <c r="I33" s="117"/>
    </row>
    <row r="34" spans="1:9" ht="16" x14ac:dyDescent="0.2">
      <c r="A34" s="1273" t="s">
        <v>60</v>
      </c>
      <c r="B34" s="1274">
        <v>53058</v>
      </c>
      <c r="C34" s="794">
        <v>13077</v>
      </c>
      <c r="D34" s="795">
        <v>38185</v>
      </c>
      <c r="E34" s="795">
        <v>-1578</v>
      </c>
      <c r="F34" s="795">
        <v>1796</v>
      </c>
      <c r="G34" s="796">
        <v>1579</v>
      </c>
      <c r="I34" s="117"/>
    </row>
    <row r="35" spans="1:9" ht="16" x14ac:dyDescent="0.2">
      <c r="A35" s="1273" t="s">
        <v>61</v>
      </c>
      <c r="B35" s="1274">
        <v>9451</v>
      </c>
      <c r="C35" s="794">
        <v>2135</v>
      </c>
      <c r="D35" s="795">
        <v>1027</v>
      </c>
      <c r="E35" s="795" t="s">
        <v>283</v>
      </c>
      <c r="F35" s="797" t="s">
        <v>283</v>
      </c>
      <c r="G35" s="798" t="s">
        <v>283</v>
      </c>
      <c r="I35" s="117"/>
    </row>
    <row r="36" spans="1:9" ht="16" x14ac:dyDescent="0.2">
      <c r="A36" s="1273" t="s">
        <v>62</v>
      </c>
      <c r="B36" s="1274">
        <v>178637</v>
      </c>
      <c r="C36" s="794">
        <v>100273</v>
      </c>
      <c r="D36" s="795">
        <v>35546</v>
      </c>
      <c r="E36" s="795">
        <v>-2947</v>
      </c>
      <c r="F36" s="795">
        <v>31023</v>
      </c>
      <c r="G36" s="796">
        <v>14743</v>
      </c>
      <c r="I36" s="117"/>
    </row>
    <row r="37" spans="1:9" ht="16" x14ac:dyDescent="0.2">
      <c r="A37" s="1273" t="s">
        <v>272</v>
      </c>
      <c r="B37" s="1274">
        <v>30450</v>
      </c>
      <c r="C37" s="794">
        <v>4717</v>
      </c>
      <c r="D37" s="795">
        <v>16378</v>
      </c>
      <c r="E37" s="795" t="s">
        <v>283</v>
      </c>
      <c r="F37" s="795">
        <v>6767</v>
      </c>
      <c r="G37" s="796" t="s">
        <v>283</v>
      </c>
      <c r="I37" s="117"/>
    </row>
    <row r="38" spans="1:9" ht="16" x14ac:dyDescent="0.2">
      <c r="A38" s="1271" t="s">
        <v>262</v>
      </c>
      <c r="B38" s="1272" t="s">
        <v>262</v>
      </c>
      <c r="C38" s="799" t="s">
        <v>262</v>
      </c>
      <c r="D38" s="800" t="s">
        <v>262</v>
      </c>
      <c r="E38" s="800" t="s">
        <v>262</v>
      </c>
      <c r="F38" s="800" t="s">
        <v>262</v>
      </c>
      <c r="G38" s="801" t="s">
        <v>262</v>
      </c>
    </row>
    <row r="39" spans="1:9" ht="16" x14ac:dyDescent="0.2">
      <c r="A39" s="1271" t="s">
        <v>304</v>
      </c>
      <c r="B39" s="72">
        <v>177080</v>
      </c>
      <c r="C39" s="73">
        <v>72532</v>
      </c>
      <c r="D39" s="74">
        <v>78512</v>
      </c>
      <c r="E39" s="74">
        <v>-17701</v>
      </c>
      <c r="F39" s="74">
        <v>21944</v>
      </c>
      <c r="G39" s="78">
        <v>21793</v>
      </c>
    </row>
    <row r="40" spans="1:9" ht="16" x14ac:dyDescent="0.2">
      <c r="A40" s="1271" t="s">
        <v>262</v>
      </c>
      <c r="B40" s="1272" t="s">
        <v>262</v>
      </c>
      <c r="C40" s="799" t="s">
        <v>262</v>
      </c>
      <c r="D40" s="800" t="s">
        <v>262</v>
      </c>
      <c r="E40" s="800" t="s">
        <v>262</v>
      </c>
      <c r="F40" s="800" t="s">
        <v>262</v>
      </c>
      <c r="G40" s="801" t="s">
        <v>262</v>
      </c>
    </row>
    <row r="41" spans="1:9" ht="16" x14ac:dyDescent="0.2">
      <c r="A41" s="1273" t="s">
        <v>274</v>
      </c>
      <c r="B41" s="1274">
        <v>91097</v>
      </c>
      <c r="C41" s="794">
        <v>43650</v>
      </c>
      <c r="D41" s="795">
        <v>22271</v>
      </c>
      <c r="E41" s="795">
        <v>-2495</v>
      </c>
      <c r="F41" s="795">
        <v>16155</v>
      </c>
      <c r="G41" s="796">
        <v>11515</v>
      </c>
    </row>
    <row r="42" spans="1:9" ht="16" x14ac:dyDescent="0.2">
      <c r="A42" s="1275" t="s">
        <v>275</v>
      </c>
      <c r="B42" s="1274">
        <v>17773</v>
      </c>
      <c r="C42" s="794">
        <v>5600</v>
      </c>
      <c r="D42" s="795">
        <v>5181</v>
      </c>
      <c r="E42" s="795">
        <v>-35</v>
      </c>
      <c r="F42" s="795">
        <v>5190</v>
      </c>
      <c r="G42" s="796">
        <v>1837</v>
      </c>
    </row>
    <row r="43" spans="1:9" ht="16" x14ac:dyDescent="0.2">
      <c r="A43" s="1275" t="s">
        <v>65</v>
      </c>
      <c r="B43" s="1274">
        <v>46370</v>
      </c>
      <c r="C43" s="794">
        <v>26326</v>
      </c>
      <c r="D43" s="795">
        <v>7500</v>
      </c>
      <c r="E43" s="795">
        <v>-1413</v>
      </c>
      <c r="F43" s="795">
        <v>8027</v>
      </c>
      <c r="G43" s="796">
        <v>5930</v>
      </c>
    </row>
    <row r="44" spans="1:9" ht="16" x14ac:dyDescent="0.2">
      <c r="A44" s="1275" t="s">
        <v>33</v>
      </c>
      <c r="B44" s="1274">
        <v>9739</v>
      </c>
      <c r="C44" s="794">
        <v>3936</v>
      </c>
      <c r="D44" s="795">
        <v>4829</v>
      </c>
      <c r="E44" s="795">
        <v>-886</v>
      </c>
      <c r="F44" s="795">
        <v>219</v>
      </c>
      <c r="G44" s="796">
        <v>1640</v>
      </c>
    </row>
    <row r="45" spans="1:9" ht="16" x14ac:dyDescent="0.2">
      <c r="A45" s="1275" t="s">
        <v>67</v>
      </c>
      <c r="B45" s="1274">
        <v>6683</v>
      </c>
      <c r="C45" s="794">
        <v>2946</v>
      </c>
      <c r="D45" s="795">
        <v>1747</v>
      </c>
      <c r="E45" s="795">
        <v>-50</v>
      </c>
      <c r="F45" s="795">
        <v>1275</v>
      </c>
      <c r="G45" s="796">
        <v>765</v>
      </c>
    </row>
    <row r="46" spans="1:9" ht="16" x14ac:dyDescent="0.2">
      <c r="A46" s="1275" t="s">
        <v>276</v>
      </c>
      <c r="B46" s="1274">
        <v>1192</v>
      </c>
      <c r="C46" s="794">
        <v>535</v>
      </c>
      <c r="D46" s="795">
        <v>294</v>
      </c>
      <c r="E46" s="795">
        <v>10</v>
      </c>
      <c r="F46" s="795">
        <v>249</v>
      </c>
      <c r="G46" s="796">
        <v>104</v>
      </c>
    </row>
    <row r="47" spans="1:9" ht="16" x14ac:dyDescent="0.2">
      <c r="A47" s="1275" t="s">
        <v>277</v>
      </c>
      <c r="B47" s="1274">
        <v>5061</v>
      </c>
      <c r="C47" s="794">
        <v>1334</v>
      </c>
      <c r="D47" s="795">
        <v>2382</v>
      </c>
      <c r="E47" s="795">
        <v>133</v>
      </c>
      <c r="F47" s="795">
        <v>551</v>
      </c>
      <c r="G47" s="796">
        <v>661</v>
      </c>
    </row>
    <row r="48" spans="1:9" ht="16" x14ac:dyDescent="0.2">
      <c r="A48" s="1275" t="s">
        <v>278</v>
      </c>
      <c r="B48" s="1274">
        <v>2883</v>
      </c>
      <c r="C48" s="794">
        <v>2446</v>
      </c>
      <c r="D48" s="795">
        <v>-294</v>
      </c>
      <c r="E48" s="795">
        <v>-178</v>
      </c>
      <c r="F48" s="795">
        <v>529</v>
      </c>
      <c r="G48" s="796">
        <v>380</v>
      </c>
    </row>
    <row r="49" spans="1:7" ht="16" x14ac:dyDescent="0.2">
      <c r="A49" s="1275" t="s">
        <v>272</v>
      </c>
      <c r="B49" s="1274">
        <v>1395</v>
      </c>
      <c r="C49" s="794">
        <v>525</v>
      </c>
      <c r="D49" s="795">
        <v>633</v>
      </c>
      <c r="E49" s="795">
        <v>-76</v>
      </c>
      <c r="F49" s="795">
        <v>116</v>
      </c>
      <c r="G49" s="796">
        <v>198</v>
      </c>
    </row>
    <row r="50" spans="1:7" ht="16" x14ac:dyDescent="0.2">
      <c r="A50" s="1271" t="s">
        <v>262</v>
      </c>
      <c r="B50" s="1272" t="s">
        <v>262</v>
      </c>
      <c r="C50" s="799" t="s">
        <v>262</v>
      </c>
      <c r="D50" s="800" t="s">
        <v>262</v>
      </c>
      <c r="E50" s="800" t="s">
        <v>262</v>
      </c>
      <c r="F50" s="800" t="s">
        <v>262</v>
      </c>
      <c r="G50" s="801" t="s">
        <v>262</v>
      </c>
    </row>
    <row r="51" spans="1:7" ht="16" x14ac:dyDescent="0.2">
      <c r="A51" s="1273" t="s">
        <v>279</v>
      </c>
      <c r="B51" s="1274">
        <v>55010</v>
      </c>
      <c r="C51" s="794">
        <v>24852</v>
      </c>
      <c r="D51" s="795">
        <v>19906</v>
      </c>
      <c r="E51" s="795">
        <v>-2453</v>
      </c>
      <c r="F51" s="795">
        <v>5113</v>
      </c>
      <c r="G51" s="796">
        <v>7593</v>
      </c>
    </row>
    <row r="52" spans="1:7" ht="16" x14ac:dyDescent="0.2">
      <c r="A52" s="1275" t="s">
        <v>68</v>
      </c>
      <c r="B52" s="1274">
        <v>2620</v>
      </c>
      <c r="C52" s="794">
        <v>1431</v>
      </c>
      <c r="D52" s="795">
        <v>693</v>
      </c>
      <c r="E52" s="795">
        <v>-14</v>
      </c>
      <c r="F52" s="795">
        <v>107</v>
      </c>
      <c r="G52" s="796">
        <v>404</v>
      </c>
    </row>
    <row r="53" spans="1:7" ht="16" x14ac:dyDescent="0.2">
      <c r="A53" s="1275" t="s">
        <v>280</v>
      </c>
      <c r="B53" s="1274">
        <v>565</v>
      </c>
      <c r="C53" s="794">
        <v>418</v>
      </c>
      <c r="D53" s="795">
        <v>79</v>
      </c>
      <c r="E53" s="795">
        <v>-15</v>
      </c>
      <c r="F53" s="795">
        <v>14</v>
      </c>
      <c r="G53" s="796">
        <v>68</v>
      </c>
    </row>
    <row r="54" spans="1:7" ht="16" x14ac:dyDescent="0.2">
      <c r="A54" s="1275" t="s">
        <v>50</v>
      </c>
      <c r="B54" s="1274">
        <v>49282</v>
      </c>
      <c r="C54" s="794">
        <v>21751</v>
      </c>
      <c r="D54" s="795">
        <v>18465</v>
      </c>
      <c r="E54" s="795">
        <v>-2392</v>
      </c>
      <c r="F54" s="795">
        <v>4715</v>
      </c>
      <c r="G54" s="796">
        <v>6744</v>
      </c>
    </row>
    <row r="55" spans="1:7" ht="16" x14ac:dyDescent="0.2">
      <c r="A55" s="1275" t="s">
        <v>107</v>
      </c>
      <c r="B55" s="1274">
        <v>691</v>
      </c>
      <c r="C55" s="794">
        <v>454</v>
      </c>
      <c r="D55" s="795">
        <v>37</v>
      </c>
      <c r="E55" s="795">
        <v>-22</v>
      </c>
      <c r="F55" s="795">
        <v>49</v>
      </c>
      <c r="G55" s="796">
        <v>173</v>
      </c>
    </row>
    <row r="56" spans="1:7" ht="16" x14ac:dyDescent="0.2">
      <c r="A56" s="1275" t="s">
        <v>272</v>
      </c>
      <c r="B56" s="1274">
        <v>1852</v>
      </c>
      <c r="C56" s="794">
        <v>799</v>
      </c>
      <c r="D56" s="795">
        <v>630</v>
      </c>
      <c r="E56" s="795">
        <v>-10</v>
      </c>
      <c r="F56" s="795">
        <v>228</v>
      </c>
      <c r="G56" s="796">
        <v>205</v>
      </c>
    </row>
    <row r="57" spans="1:7" ht="16" x14ac:dyDescent="0.2">
      <c r="A57" s="1271" t="s">
        <v>262</v>
      </c>
      <c r="B57" s="1272" t="s">
        <v>262</v>
      </c>
      <c r="C57" s="799" t="s">
        <v>262</v>
      </c>
      <c r="D57" s="800" t="s">
        <v>262</v>
      </c>
      <c r="E57" s="800" t="s">
        <v>262</v>
      </c>
      <c r="F57" s="800" t="s">
        <v>262</v>
      </c>
      <c r="G57" s="801" t="s">
        <v>262</v>
      </c>
    </row>
    <row r="58" spans="1:7" ht="16" x14ac:dyDescent="0.2">
      <c r="A58" s="1273" t="s">
        <v>281</v>
      </c>
      <c r="B58" s="1274">
        <v>30973</v>
      </c>
      <c r="C58" s="794">
        <v>4031</v>
      </c>
      <c r="D58" s="795">
        <v>36335</v>
      </c>
      <c r="E58" s="795">
        <v>-12753</v>
      </c>
      <c r="F58" s="795">
        <v>676</v>
      </c>
      <c r="G58" s="796">
        <v>2684</v>
      </c>
    </row>
    <row r="59" spans="1:7" ht="16" x14ac:dyDescent="0.2">
      <c r="A59" s="1275" t="s">
        <v>79</v>
      </c>
      <c r="B59" s="1274">
        <v>1785</v>
      </c>
      <c r="C59" s="794">
        <v>51</v>
      </c>
      <c r="D59" s="795">
        <v>1790</v>
      </c>
      <c r="E59" s="795" t="s">
        <v>283</v>
      </c>
      <c r="F59" s="795">
        <v>6</v>
      </c>
      <c r="G59" s="796" t="s">
        <v>283</v>
      </c>
    </row>
    <row r="60" spans="1:7" ht="16" x14ac:dyDescent="0.2">
      <c r="A60" s="1275" t="s">
        <v>81</v>
      </c>
      <c r="B60" s="1274">
        <v>4830</v>
      </c>
      <c r="C60" s="794">
        <v>1248</v>
      </c>
      <c r="D60" s="795">
        <v>7594</v>
      </c>
      <c r="E60" s="795" t="s">
        <v>283</v>
      </c>
      <c r="F60" s="795">
        <v>149</v>
      </c>
      <c r="G60" s="796" t="s">
        <v>283</v>
      </c>
    </row>
    <row r="61" spans="1:7" ht="16" x14ac:dyDescent="0.2">
      <c r="A61" s="1275" t="s">
        <v>282</v>
      </c>
      <c r="B61" s="1274">
        <v>860</v>
      </c>
      <c r="C61" s="794">
        <v>225</v>
      </c>
      <c r="D61" s="795">
        <v>416</v>
      </c>
      <c r="E61" s="800">
        <v>34</v>
      </c>
      <c r="F61" s="800">
        <v>114</v>
      </c>
      <c r="G61" s="796">
        <v>70</v>
      </c>
    </row>
    <row r="62" spans="1:7" ht="16" x14ac:dyDescent="0.2">
      <c r="A62" s="1275" t="s">
        <v>284</v>
      </c>
      <c r="B62" s="1274">
        <v>7901</v>
      </c>
      <c r="C62" s="794">
        <v>1491</v>
      </c>
      <c r="D62" s="795">
        <v>13080</v>
      </c>
      <c r="E62" s="800">
        <v>-7550</v>
      </c>
      <c r="F62" s="800">
        <v>106</v>
      </c>
      <c r="G62" s="796">
        <v>774</v>
      </c>
    </row>
    <row r="63" spans="1:7" ht="16" x14ac:dyDescent="0.2">
      <c r="A63" s="1275" t="s">
        <v>272</v>
      </c>
      <c r="B63" s="1274">
        <v>15597</v>
      </c>
      <c r="C63" s="794">
        <v>1015</v>
      </c>
      <c r="D63" s="795">
        <v>13454</v>
      </c>
      <c r="E63" s="800">
        <v>-282</v>
      </c>
      <c r="F63" s="800">
        <v>301</v>
      </c>
      <c r="G63" s="796">
        <v>1109</v>
      </c>
    </row>
    <row r="64" spans="1:7" ht="16" x14ac:dyDescent="0.2">
      <c r="A64" s="1271" t="s">
        <v>262</v>
      </c>
      <c r="B64" s="1272" t="s">
        <v>262</v>
      </c>
      <c r="C64" s="799" t="s">
        <v>262</v>
      </c>
      <c r="D64" s="800" t="s">
        <v>262</v>
      </c>
      <c r="E64" s="800" t="s">
        <v>262</v>
      </c>
      <c r="F64" s="800" t="s">
        <v>262</v>
      </c>
      <c r="G64" s="801" t="s">
        <v>262</v>
      </c>
    </row>
    <row r="65" spans="1:7" ht="16" x14ac:dyDescent="0.2">
      <c r="A65" s="1271" t="s">
        <v>305</v>
      </c>
      <c r="B65" s="72">
        <v>52596</v>
      </c>
      <c r="C65" s="73">
        <v>8395</v>
      </c>
      <c r="D65" s="74">
        <v>28014</v>
      </c>
      <c r="E65" s="74">
        <v>-327</v>
      </c>
      <c r="F65" s="74">
        <v>6685</v>
      </c>
      <c r="G65" s="78">
        <v>9828</v>
      </c>
    </row>
    <row r="66" spans="1:7" ht="16" x14ac:dyDescent="0.2">
      <c r="A66" s="1273" t="s">
        <v>286</v>
      </c>
      <c r="B66" s="1274">
        <v>6443</v>
      </c>
      <c r="C66" s="794">
        <v>744</v>
      </c>
      <c r="D66" s="795">
        <v>3788</v>
      </c>
      <c r="E66" s="795">
        <v>-289</v>
      </c>
      <c r="F66" s="795">
        <v>1438</v>
      </c>
      <c r="G66" s="796">
        <v>762</v>
      </c>
    </row>
    <row r="67" spans="1:7" ht="16" x14ac:dyDescent="0.2">
      <c r="A67" s="1273" t="s">
        <v>287</v>
      </c>
      <c r="B67" s="1274" t="s">
        <v>283</v>
      </c>
      <c r="C67" s="794">
        <v>1484</v>
      </c>
      <c r="D67" s="795" t="s">
        <v>283</v>
      </c>
      <c r="E67" s="795" t="s">
        <v>283</v>
      </c>
      <c r="F67" s="800" t="s">
        <v>283</v>
      </c>
      <c r="G67" s="801" t="s">
        <v>283</v>
      </c>
    </row>
    <row r="68" spans="1:7" ht="16" x14ac:dyDescent="0.2">
      <c r="A68" s="1273" t="s">
        <v>71</v>
      </c>
      <c r="B68" s="1274">
        <v>6621</v>
      </c>
      <c r="C68" s="794">
        <v>3498</v>
      </c>
      <c r="D68" s="795">
        <v>1548</v>
      </c>
      <c r="E68" s="795">
        <v>-62</v>
      </c>
      <c r="F68" s="795">
        <v>1304</v>
      </c>
      <c r="G68" s="796">
        <v>333</v>
      </c>
    </row>
    <row r="69" spans="1:7" ht="16" x14ac:dyDescent="0.2">
      <c r="A69" s="1273" t="s">
        <v>272</v>
      </c>
      <c r="B69" s="1274" t="s">
        <v>283</v>
      </c>
      <c r="C69" s="794">
        <v>2668</v>
      </c>
      <c r="D69" s="795" t="s">
        <v>283</v>
      </c>
      <c r="E69" s="795" t="s">
        <v>283</v>
      </c>
      <c r="F69" s="800" t="s">
        <v>283</v>
      </c>
      <c r="G69" s="801" t="s">
        <v>283</v>
      </c>
    </row>
    <row r="70" spans="1:7" ht="16" x14ac:dyDescent="0.2">
      <c r="A70" s="1271" t="s">
        <v>262</v>
      </c>
      <c r="B70" s="1272" t="s">
        <v>262</v>
      </c>
      <c r="C70" s="799" t="s">
        <v>262</v>
      </c>
      <c r="D70" s="800" t="s">
        <v>262</v>
      </c>
      <c r="E70" s="800" t="s">
        <v>262</v>
      </c>
      <c r="F70" s="800" t="s">
        <v>262</v>
      </c>
      <c r="G70" s="801" t="s">
        <v>262</v>
      </c>
    </row>
    <row r="71" spans="1:7" ht="16" x14ac:dyDescent="0.2">
      <c r="A71" s="1271" t="s">
        <v>306</v>
      </c>
      <c r="B71" s="72">
        <v>33694</v>
      </c>
      <c r="C71" s="73">
        <v>10134</v>
      </c>
      <c r="D71" s="74">
        <v>18727</v>
      </c>
      <c r="E71" s="74">
        <v>30</v>
      </c>
      <c r="F71" s="74">
        <v>1770</v>
      </c>
      <c r="G71" s="78">
        <v>3032</v>
      </c>
    </row>
    <row r="72" spans="1:7" ht="16" x14ac:dyDescent="0.2">
      <c r="A72" s="1273" t="s">
        <v>44</v>
      </c>
      <c r="B72" s="1274">
        <v>10414</v>
      </c>
      <c r="C72" s="794">
        <v>5242</v>
      </c>
      <c r="D72" s="795">
        <v>3566</v>
      </c>
      <c r="E72" s="795">
        <v>111</v>
      </c>
      <c r="F72" s="795" t="s">
        <v>283</v>
      </c>
      <c r="G72" s="796" t="s">
        <v>283</v>
      </c>
    </row>
    <row r="73" spans="1:7" ht="16" x14ac:dyDescent="0.2">
      <c r="A73" s="1273" t="s">
        <v>289</v>
      </c>
      <c r="B73" s="1274">
        <v>4899</v>
      </c>
      <c r="C73" s="794">
        <v>1823</v>
      </c>
      <c r="D73" s="795">
        <v>2629</v>
      </c>
      <c r="E73" s="800">
        <v>5</v>
      </c>
      <c r="F73" s="800">
        <v>35</v>
      </c>
      <c r="G73" s="796">
        <v>407</v>
      </c>
    </row>
    <row r="74" spans="1:7" ht="16" x14ac:dyDescent="0.2">
      <c r="A74" s="1273" t="s">
        <v>290</v>
      </c>
      <c r="B74" s="1274">
        <v>11019</v>
      </c>
      <c r="C74" s="794">
        <v>2002</v>
      </c>
      <c r="D74" s="795">
        <v>7334</v>
      </c>
      <c r="E74" s="800">
        <v>-3</v>
      </c>
      <c r="F74" s="800" t="s">
        <v>283</v>
      </c>
      <c r="G74" s="796" t="s">
        <v>283</v>
      </c>
    </row>
    <row r="75" spans="1:7" ht="16" x14ac:dyDescent="0.2">
      <c r="A75" s="1273" t="s">
        <v>272</v>
      </c>
      <c r="B75" s="1274">
        <v>7361</v>
      </c>
      <c r="C75" s="794">
        <v>1068</v>
      </c>
      <c r="D75" s="795">
        <v>5198</v>
      </c>
      <c r="E75" s="800">
        <v>-82</v>
      </c>
      <c r="F75" s="800">
        <v>30</v>
      </c>
      <c r="G75" s="796">
        <v>1147</v>
      </c>
    </row>
    <row r="76" spans="1:7" ht="16" x14ac:dyDescent="0.2">
      <c r="A76" s="1271" t="s">
        <v>262</v>
      </c>
      <c r="B76" s="1272" t="s">
        <v>262</v>
      </c>
      <c r="C76" s="799" t="s">
        <v>262</v>
      </c>
      <c r="D76" s="800" t="s">
        <v>262</v>
      </c>
      <c r="E76" s="800" t="s">
        <v>262</v>
      </c>
      <c r="F76" s="800" t="s">
        <v>262</v>
      </c>
      <c r="G76" s="801" t="s">
        <v>262</v>
      </c>
    </row>
    <row r="77" spans="1:7" ht="16" x14ac:dyDescent="0.2">
      <c r="A77" s="1271" t="s">
        <v>307</v>
      </c>
      <c r="B77" s="72">
        <v>365554</v>
      </c>
      <c r="C77" s="73">
        <v>154779</v>
      </c>
      <c r="D77" s="74">
        <v>144625</v>
      </c>
      <c r="E77" s="74">
        <v>-10269</v>
      </c>
      <c r="F77" s="74">
        <v>41829</v>
      </c>
      <c r="G77" s="78">
        <v>34590</v>
      </c>
    </row>
    <row r="78" spans="1:7" ht="16" x14ac:dyDescent="0.2">
      <c r="A78" s="1273" t="s">
        <v>29</v>
      </c>
      <c r="B78" s="1274">
        <v>58424</v>
      </c>
      <c r="C78" s="794">
        <v>29666</v>
      </c>
      <c r="D78" s="795">
        <v>14042</v>
      </c>
      <c r="E78" s="795">
        <v>292</v>
      </c>
      <c r="F78" s="795">
        <v>7789</v>
      </c>
      <c r="G78" s="796">
        <v>6635</v>
      </c>
    </row>
    <row r="79" spans="1:7" ht="16" x14ac:dyDescent="0.2">
      <c r="A79" s="1273" t="s">
        <v>66</v>
      </c>
      <c r="B79" s="1274">
        <v>67647</v>
      </c>
      <c r="C79" s="794">
        <v>27734</v>
      </c>
      <c r="D79" s="795">
        <v>27927</v>
      </c>
      <c r="E79" s="795">
        <v>-399</v>
      </c>
      <c r="F79" s="795">
        <v>5351</v>
      </c>
      <c r="G79" s="796">
        <v>7034</v>
      </c>
    </row>
    <row r="80" spans="1:7" ht="16" x14ac:dyDescent="0.2">
      <c r="A80" s="1273" t="s">
        <v>91</v>
      </c>
      <c r="B80" s="1274">
        <v>19041</v>
      </c>
      <c r="C80" s="794">
        <v>10286</v>
      </c>
      <c r="D80" s="795">
        <v>7859</v>
      </c>
      <c r="E80" s="795">
        <v>-704</v>
      </c>
      <c r="F80" s="795">
        <v>829</v>
      </c>
      <c r="G80" s="796">
        <v>771</v>
      </c>
    </row>
    <row r="81" spans="1:7" ht="16" x14ac:dyDescent="0.2">
      <c r="A81" s="1273" t="s">
        <v>69</v>
      </c>
      <c r="B81" s="1274">
        <v>25925</v>
      </c>
      <c r="C81" s="794">
        <v>17012</v>
      </c>
      <c r="D81" s="795">
        <v>6931</v>
      </c>
      <c r="E81" s="795">
        <v>-865</v>
      </c>
      <c r="F81" s="795">
        <v>950</v>
      </c>
      <c r="G81" s="796">
        <v>1898</v>
      </c>
    </row>
    <row r="82" spans="1:7" ht="16" x14ac:dyDescent="0.2">
      <c r="A82" s="1273" t="s">
        <v>292</v>
      </c>
      <c r="B82" s="1274">
        <v>16072</v>
      </c>
      <c r="C82" s="794">
        <v>3084</v>
      </c>
      <c r="D82" s="795">
        <v>6987</v>
      </c>
      <c r="E82" s="795">
        <v>95</v>
      </c>
      <c r="F82" s="800" t="s">
        <v>283</v>
      </c>
      <c r="G82" s="801" t="s">
        <v>283</v>
      </c>
    </row>
    <row r="83" spans="1:7" ht="16" x14ac:dyDescent="0.2">
      <c r="A83" s="1273" t="s">
        <v>46</v>
      </c>
      <c r="B83" s="1274">
        <v>49471</v>
      </c>
      <c r="C83" s="794">
        <v>27205</v>
      </c>
      <c r="D83" s="795">
        <v>21044</v>
      </c>
      <c r="E83" s="795">
        <v>-5961</v>
      </c>
      <c r="F83" s="795">
        <v>4110</v>
      </c>
      <c r="G83" s="796">
        <v>3073</v>
      </c>
    </row>
    <row r="84" spans="1:7" ht="16" x14ac:dyDescent="0.2">
      <c r="A84" s="1273" t="s">
        <v>308</v>
      </c>
      <c r="B84" s="1274">
        <v>15201</v>
      </c>
      <c r="C84" s="794">
        <v>8075</v>
      </c>
      <c r="D84" s="795">
        <v>5093</v>
      </c>
      <c r="E84" s="795">
        <v>-964</v>
      </c>
      <c r="F84" s="795">
        <v>1825</v>
      </c>
      <c r="G84" s="796">
        <v>1172</v>
      </c>
    </row>
    <row r="85" spans="1:7" ht="16" x14ac:dyDescent="0.2">
      <c r="A85" s="1273" t="s">
        <v>293</v>
      </c>
      <c r="B85" s="1274">
        <v>12425</v>
      </c>
      <c r="C85" s="794">
        <v>3698</v>
      </c>
      <c r="D85" s="795">
        <v>5830</v>
      </c>
      <c r="E85" s="795">
        <v>-66</v>
      </c>
      <c r="F85" s="795">
        <v>878</v>
      </c>
      <c r="G85" s="796">
        <v>2085</v>
      </c>
    </row>
    <row r="86" spans="1:7" ht="16" x14ac:dyDescent="0.2">
      <c r="A86" s="1273" t="s">
        <v>52</v>
      </c>
      <c r="B86" s="1274">
        <v>5339</v>
      </c>
      <c r="C86" s="794">
        <v>1859</v>
      </c>
      <c r="D86" s="795">
        <v>1572</v>
      </c>
      <c r="E86" s="795">
        <v>-38</v>
      </c>
      <c r="F86" s="795">
        <v>1634</v>
      </c>
      <c r="G86" s="796">
        <v>312</v>
      </c>
    </row>
    <row r="87" spans="1:7" ht="16" x14ac:dyDescent="0.2">
      <c r="A87" s="1273" t="s">
        <v>294</v>
      </c>
      <c r="B87" s="1274">
        <v>6752</v>
      </c>
      <c r="C87" s="794">
        <v>3006</v>
      </c>
      <c r="D87" s="795">
        <v>2110</v>
      </c>
      <c r="E87" s="795">
        <v>84</v>
      </c>
      <c r="F87" s="795">
        <v>550</v>
      </c>
      <c r="G87" s="796">
        <v>1002</v>
      </c>
    </row>
    <row r="88" spans="1:7" ht="16" x14ac:dyDescent="0.2">
      <c r="A88" s="1273" t="s">
        <v>102</v>
      </c>
      <c r="B88" s="1274">
        <v>47177</v>
      </c>
      <c r="C88" s="794">
        <v>13983</v>
      </c>
      <c r="D88" s="795">
        <v>28900</v>
      </c>
      <c r="E88" s="795">
        <v>-1554</v>
      </c>
      <c r="F88" s="795">
        <v>2239</v>
      </c>
      <c r="G88" s="796">
        <v>3609</v>
      </c>
    </row>
    <row r="89" spans="1:7" ht="16" x14ac:dyDescent="0.2">
      <c r="A89" s="1273" t="s">
        <v>295</v>
      </c>
      <c r="B89" s="1274">
        <v>7500</v>
      </c>
      <c r="C89" s="794">
        <v>3168</v>
      </c>
      <c r="D89" s="795">
        <v>3249</v>
      </c>
      <c r="E89" s="795">
        <v>-312</v>
      </c>
      <c r="F89" s="795">
        <v>409</v>
      </c>
      <c r="G89" s="796">
        <v>986</v>
      </c>
    </row>
    <row r="90" spans="1:7" ht="16" x14ac:dyDescent="0.2">
      <c r="A90" s="1273" t="s">
        <v>296</v>
      </c>
      <c r="B90" s="1274">
        <v>15217</v>
      </c>
      <c r="C90" s="794">
        <v>3178</v>
      </c>
      <c r="D90" s="795">
        <v>6452</v>
      </c>
      <c r="E90" s="795">
        <v>-38</v>
      </c>
      <c r="F90" s="795">
        <v>3088</v>
      </c>
      <c r="G90" s="796">
        <v>2537</v>
      </c>
    </row>
    <row r="91" spans="1:7" ht="16" x14ac:dyDescent="0.2">
      <c r="A91" s="1273" t="s">
        <v>272</v>
      </c>
      <c r="B91" s="1274">
        <v>19363</v>
      </c>
      <c r="C91" s="794">
        <v>2825</v>
      </c>
      <c r="D91" s="795">
        <v>6628</v>
      </c>
      <c r="E91" s="795">
        <v>163</v>
      </c>
      <c r="F91" s="800" t="s">
        <v>283</v>
      </c>
      <c r="G91" s="801" t="s">
        <v>283</v>
      </c>
    </row>
    <row r="92" spans="1:7" ht="16" x14ac:dyDescent="0.2">
      <c r="A92" s="1271" t="s">
        <v>262</v>
      </c>
      <c r="B92" s="1272" t="s">
        <v>262</v>
      </c>
      <c r="C92" s="799" t="s">
        <v>262</v>
      </c>
      <c r="D92" s="800" t="s">
        <v>262</v>
      </c>
      <c r="E92" s="800" t="s">
        <v>262</v>
      </c>
      <c r="F92" s="800" t="s">
        <v>262</v>
      </c>
      <c r="G92" s="801" t="s">
        <v>262</v>
      </c>
    </row>
    <row r="93" spans="1:7" ht="16" x14ac:dyDescent="0.2">
      <c r="A93" s="1271" t="s">
        <v>309</v>
      </c>
      <c r="B93" s="1272" t="s">
        <v>262</v>
      </c>
      <c r="C93" s="799" t="s">
        <v>262</v>
      </c>
      <c r="D93" s="800" t="s">
        <v>262</v>
      </c>
      <c r="E93" s="800" t="s">
        <v>262</v>
      </c>
      <c r="F93" s="800" t="s">
        <v>262</v>
      </c>
      <c r="G93" s="801" t="s">
        <v>262</v>
      </c>
    </row>
    <row r="94" spans="1:7" ht="16" x14ac:dyDescent="0.2">
      <c r="A94" s="1273" t="s">
        <v>298</v>
      </c>
      <c r="B94" s="1274">
        <v>581395</v>
      </c>
      <c r="C94" s="794">
        <v>290113</v>
      </c>
      <c r="D94" s="795">
        <v>166899</v>
      </c>
      <c r="E94" s="795">
        <v>-17260</v>
      </c>
      <c r="F94" s="795">
        <v>91585</v>
      </c>
      <c r="G94" s="796">
        <v>50059</v>
      </c>
    </row>
    <row r="95" spans="1:7" ht="17" thickBot="1" x14ac:dyDescent="0.25">
      <c r="A95" s="1276" t="s">
        <v>299</v>
      </c>
      <c r="B95" s="1277">
        <v>54313</v>
      </c>
      <c r="C95" s="1278">
        <v>9887</v>
      </c>
      <c r="D95" s="1279">
        <v>30281</v>
      </c>
      <c r="E95" s="1279">
        <v>11</v>
      </c>
      <c r="F95" s="1279">
        <v>5676</v>
      </c>
      <c r="G95" s="1280">
        <v>8458</v>
      </c>
    </row>
    <row r="96" spans="1:7" ht="14" thickTop="1" x14ac:dyDescent="0.15"/>
    <row r="97" spans="1:7" ht="14" thickBot="1" x14ac:dyDescent="0.2"/>
    <row r="98" spans="1:7" ht="26.25" customHeight="1" thickBot="1" x14ac:dyDescent="0.2">
      <c r="A98" s="2105" t="s">
        <v>300</v>
      </c>
      <c r="B98" s="2106"/>
      <c r="C98" s="2106"/>
      <c r="D98" s="2106"/>
      <c r="E98" s="2106"/>
      <c r="F98" s="2106"/>
      <c r="G98" s="2107"/>
    </row>
  </sheetData>
  <mergeCells count="3">
    <mergeCell ref="A3:G3"/>
    <mergeCell ref="B6:G6"/>
    <mergeCell ref="A98:G98"/>
  </mergeCells>
  <pageMargins left="0.7" right="0.7" top="0.75" bottom="0.75" header="0.3" footer="0.3"/>
  <pageSetup scale="70" fitToHeight="0" orientation="portrait" horizontalDpi="300" verticalDpi="300"/>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L101"/>
  <sheetViews>
    <sheetView workbookViewId="0">
      <pane xSplit="1" ySplit="8" topLeftCell="B9" activePane="bottomRight" state="frozen"/>
      <selection pane="topRight" activeCell="B1" sqref="B1"/>
      <selection pane="bottomLeft" activeCell="A8" sqref="A8"/>
      <selection pane="bottomRight" activeCell="K9" sqref="K9"/>
    </sheetView>
  </sheetViews>
  <sheetFormatPr baseColWidth="10" defaultColWidth="7.6640625" defaultRowHeight="16" x14ac:dyDescent="0.2"/>
  <cols>
    <col min="1" max="1" width="29.33203125" style="80" customWidth="1"/>
    <col min="2" max="11" width="12.1640625" style="80" customWidth="1"/>
    <col min="12" max="12" width="11" style="80" customWidth="1"/>
    <col min="13" max="248" width="7.6640625" style="80"/>
    <col min="249" max="249" width="38.83203125" style="80" customWidth="1"/>
    <col min="250" max="259" width="12.1640625" style="80" customWidth="1"/>
    <col min="260" max="504" width="7.6640625" style="80"/>
    <col min="505" max="505" width="38.83203125" style="80" customWidth="1"/>
    <col min="506" max="515" width="12.1640625" style="80" customWidth="1"/>
    <col min="516" max="760" width="7.6640625" style="80"/>
    <col min="761" max="761" width="38.83203125" style="80" customWidth="1"/>
    <col min="762" max="771" width="12.1640625" style="80" customWidth="1"/>
    <col min="772" max="1016" width="7.6640625" style="80"/>
    <col min="1017" max="1017" width="38.83203125" style="80" customWidth="1"/>
    <col min="1018" max="1027" width="12.1640625" style="80" customWidth="1"/>
    <col min="1028" max="1272" width="7.6640625" style="80"/>
    <col min="1273" max="1273" width="38.83203125" style="80" customWidth="1"/>
    <col min="1274" max="1283" width="12.1640625" style="80" customWidth="1"/>
    <col min="1284" max="1528" width="7.6640625" style="80"/>
    <col min="1529" max="1529" width="38.83203125" style="80" customWidth="1"/>
    <col min="1530" max="1539" width="12.1640625" style="80" customWidth="1"/>
    <col min="1540" max="1784" width="7.6640625" style="80"/>
    <col min="1785" max="1785" width="38.83203125" style="80" customWidth="1"/>
    <col min="1786" max="1795" width="12.1640625" style="80" customWidth="1"/>
    <col min="1796" max="2040" width="7.6640625" style="80"/>
    <col min="2041" max="2041" width="38.83203125" style="80" customWidth="1"/>
    <col min="2042" max="2051" width="12.1640625" style="80" customWidth="1"/>
    <col min="2052" max="2296" width="7.6640625" style="80"/>
    <col min="2297" max="2297" width="38.83203125" style="80" customWidth="1"/>
    <col min="2298" max="2307" width="12.1640625" style="80" customWidth="1"/>
    <col min="2308" max="2552" width="7.6640625" style="80"/>
    <col min="2553" max="2553" width="38.83203125" style="80" customWidth="1"/>
    <col min="2554" max="2563" width="12.1640625" style="80" customWidth="1"/>
    <col min="2564" max="2808" width="7.6640625" style="80"/>
    <col min="2809" max="2809" width="38.83203125" style="80" customWidth="1"/>
    <col min="2810" max="2819" width="12.1640625" style="80" customWidth="1"/>
    <col min="2820" max="3064" width="7.6640625" style="80"/>
    <col min="3065" max="3065" width="38.83203125" style="80" customWidth="1"/>
    <col min="3066" max="3075" width="12.1640625" style="80" customWidth="1"/>
    <col min="3076" max="3320" width="7.6640625" style="80"/>
    <col min="3321" max="3321" width="38.83203125" style="80" customWidth="1"/>
    <col min="3322" max="3331" width="12.1640625" style="80" customWidth="1"/>
    <col min="3332" max="3576" width="7.6640625" style="80"/>
    <col min="3577" max="3577" width="38.83203125" style="80" customWidth="1"/>
    <col min="3578" max="3587" width="12.1640625" style="80" customWidth="1"/>
    <col min="3588" max="3832" width="7.6640625" style="80"/>
    <col min="3833" max="3833" width="38.83203125" style="80" customWidth="1"/>
    <col min="3834" max="3843" width="12.1640625" style="80" customWidth="1"/>
    <col min="3844" max="4088" width="7.6640625" style="80"/>
    <col min="4089" max="4089" width="38.83203125" style="80" customWidth="1"/>
    <col min="4090" max="4099" width="12.1640625" style="80" customWidth="1"/>
    <col min="4100" max="4344" width="7.6640625" style="80"/>
    <col min="4345" max="4345" width="38.83203125" style="80" customWidth="1"/>
    <col min="4346" max="4355" width="12.1640625" style="80" customWidth="1"/>
    <col min="4356" max="4600" width="7.6640625" style="80"/>
    <col min="4601" max="4601" width="38.83203125" style="80" customWidth="1"/>
    <col min="4602" max="4611" width="12.1640625" style="80" customWidth="1"/>
    <col min="4612" max="4856" width="7.6640625" style="80"/>
    <col min="4857" max="4857" width="38.83203125" style="80" customWidth="1"/>
    <col min="4858" max="4867" width="12.1640625" style="80" customWidth="1"/>
    <col min="4868" max="5112" width="7.6640625" style="80"/>
    <col min="5113" max="5113" width="38.83203125" style="80" customWidth="1"/>
    <col min="5114" max="5123" width="12.1640625" style="80" customWidth="1"/>
    <col min="5124" max="5368" width="7.6640625" style="80"/>
    <col min="5369" max="5369" width="38.83203125" style="80" customWidth="1"/>
    <col min="5370" max="5379" width="12.1640625" style="80" customWidth="1"/>
    <col min="5380" max="5624" width="7.6640625" style="80"/>
    <col min="5625" max="5625" width="38.83203125" style="80" customWidth="1"/>
    <col min="5626" max="5635" width="12.1640625" style="80" customWidth="1"/>
    <col min="5636" max="5880" width="7.6640625" style="80"/>
    <col min="5881" max="5881" width="38.83203125" style="80" customWidth="1"/>
    <col min="5882" max="5891" width="12.1640625" style="80" customWidth="1"/>
    <col min="5892" max="6136" width="7.6640625" style="80"/>
    <col min="6137" max="6137" width="38.83203125" style="80" customWidth="1"/>
    <col min="6138" max="6147" width="12.1640625" style="80" customWidth="1"/>
    <col min="6148" max="6392" width="7.6640625" style="80"/>
    <col min="6393" max="6393" width="38.83203125" style="80" customWidth="1"/>
    <col min="6394" max="6403" width="12.1640625" style="80" customWidth="1"/>
    <col min="6404" max="6648" width="7.6640625" style="80"/>
    <col min="6649" max="6649" width="38.83203125" style="80" customWidth="1"/>
    <col min="6650" max="6659" width="12.1640625" style="80" customWidth="1"/>
    <col min="6660" max="6904" width="7.6640625" style="80"/>
    <col min="6905" max="6905" width="38.83203125" style="80" customWidth="1"/>
    <col min="6906" max="6915" width="12.1640625" style="80" customWidth="1"/>
    <col min="6916" max="7160" width="7.6640625" style="80"/>
    <col min="7161" max="7161" width="38.83203125" style="80" customWidth="1"/>
    <col min="7162" max="7171" width="12.1640625" style="80" customWidth="1"/>
    <col min="7172" max="7416" width="7.6640625" style="80"/>
    <col min="7417" max="7417" width="38.83203125" style="80" customWidth="1"/>
    <col min="7418" max="7427" width="12.1640625" style="80" customWidth="1"/>
    <col min="7428" max="7672" width="7.6640625" style="80"/>
    <col min="7673" max="7673" width="38.83203125" style="80" customWidth="1"/>
    <col min="7674" max="7683" width="12.1640625" style="80" customWidth="1"/>
    <col min="7684" max="7928" width="7.6640625" style="80"/>
    <col min="7929" max="7929" width="38.83203125" style="80" customWidth="1"/>
    <col min="7930" max="7939" width="12.1640625" style="80" customWidth="1"/>
    <col min="7940" max="8184" width="7.6640625" style="80"/>
    <col min="8185" max="8185" width="38.83203125" style="80" customWidth="1"/>
    <col min="8186" max="8195" width="12.1640625" style="80" customWidth="1"/>
    <col min="8196" max="8440" width="7.6640625" style="80"/>
    <col min="8441" max="8441" width="38.83203125" style="80" customWidth="1"/>
    <col min="8442" max="8451" width="12.1640625" style="80" customWidth="1"/>
    <col min="8452" max="8696" width="7.6640625" style="80"/>
    <col min="8697" max="8697" width="38.83203125" style="80" customWidth="1"/>
    <col min="8698" max="8707" width="12.1640625" style="80" customWidth="1"/>
    <col min="8708" max="8952" width="7.6640625" style="80"/>
    <col min="8953" max="8953" width="38.83203125" style="80" customWidth="1"/>
    <col min="8954" max="8963" width="12.1640625" style="80" customWidth="1"/>
    <col min="8964" max="9208" width="7.6640625" style="80"/>
    <col min="9209" max="9209" width="38.83203125" style="80" customWidth="1"/>
    <col min="9210" max="9219" width="12.1640625" style="80" customWidth="1"/>
    <col min="9220" max="9464" width="7.6640625" style="80"/>
    <col min="9465" max="9465" width="38.83203125" style="80" customWidth="1"/>
    <col min="9466" max="9475" width="12.1640625" style="80" customWidth="1"/>
    <col min="9476" max="9720" width="7.6640625" style="80"/>
    <col min="9721" max="9721" width="38.83203125" style="80" customWidth="1"/>
    <col min="9722" max="9731" width="12.1640625" style="80" customWidth="1"/>
    <col min="9732" max="9976" width="7.6640625" style="80"/>
    <col min="9977" max="9977" width="38.83203125" style="80" customWidth="1"/>
    <col min="9978" max="9987" width="12.1640625" style="80" customWidth="1"/>
    <col min="9988" max="10232" width="7.6640625" style="80"/>
    <col min="10233" max="10233" width="38.83203125" style="80" customWidth="1"/>
    <col min="10234" max="10243" width="12.1640625" style="80" customWidth="1"/>
    <col min="10244" max="10488" width="7.6640625" style="80"/>
    <col min="10489" max="10489" width="38.83203125" style="80" customWidth="1"/>
    <col min="10490" max="10499" width="12.1640625" style="80" customWidth="1"/>
    <col min="10500" max="10744" width="7.6640625" style="80"/>
    <col min="10745" max="10745" width="38.83203125" style="80" customWidth="1"/>
    <col min="10746" max="10755" width="12.1640625" style="80" customWidth="1"/>
    <col min="10756" max="11000" width="7.6640625" style="80"/>
    <col min="11001" max="11001" width="38.83203125" style="80" customWidth="1"/>
    <col min="11002" max="11011" width="12.1640625" style="80" customWidth="1"/>
    <col min="11012" max="11256" width="7.6640625" style="80"/>
    <col min="11257" max="11257" width="38.83203125" style="80" customWidth="1"/>
    <col min="11258" max="11267" width="12.1640625" style="80" customWidth="1"/>
    <col min="11268" max="11512" width="7.6640625" style="80"/>
    <col min="11513" max="11513" width="38.83203125" style="80" customWidth="1"/>
    <col min="11514" max="11523" width="12.1640625" style="80" customWidth="1"/>
    <col min="11524" max="11768" width="7.6640625" style="80"/>
    <col min="11769" max="11769" width="38.83203125" style="80" customWidth="1"/>
    <col min="11770" max="11779" width="12.1640625" style="80" customWidth="1"/>
    <col min="11780" max="12024" width="7.6640625" style="80"/>
    <col min="12025" max="12025" width="38.83203125" style="80" customWidth="1"/>
    <col min="12026" max="12035" width="12.1640625" style="80" customWidth="1"/>
    <col min="12036" max="12280" width="7.6640625" style="80"/>
    <col min="12281" max="12281" width="38.83203125" style="80" customWidth="1"/>
    <col min="12282" max="12291" width="12.1640625" style="80" customWidth="1"/>
    <col min="12292" max="12536" width="7.6640625" style="80"/>
    <col min="12537" max="12537" width="38.83203125" style="80" customWidth="1"/>
    <col min="12538" max="12547" width="12.1640625" style="80" customWidth="1"/>
    <col min="12548" max="12792" width="7.6640625" style="80"/>
    <col min="12793" max="12793" width="38.83203125" style="80" customWidth="1"/>
    <col min="12794" max="12803" width="12.1640625" style="80" customWidth="1"/>
    <col min="12804" max="13048" width="7.6640625" style="80"/>
    <col min="13049" max="13049" width="38.83203125" style="80" customWidth="1"/>
    <col min="13050" max="13059" width="12.1640625" style="80" customWidth="1"/>
    <col min="13060" max="13304" width="7.6640625" style="80"/>
    <col min="13305" max="13305" width="38.83203125" style="80" customWidth="1"/>
    <col min="13306" max="13315" width="12.1640625" style="80" customWidth="1"/>
    <col min="13316" max="13560" width="7.6640625" style="80"/>
    <col min="13561" max="13561" width="38.83203125" style="80" customWidth="1"/>
    <col min="13562" max="13571" width="12.1640625" style="80" customWidth="1"/>
    <col min="13572" max="13816" width="7.6640625" style="80"/>
    <col min="13817" max="13817" width="38.83203125" style="80" customWidth="1"/>
    <col min="13818" max="13827" width="12.1640625" style="80" customWidth="1"/>
    <col min="13828" max="14072" width="7.6640625" style="80"/>
    <col min="14073" max="14073" width="38.83203125" style="80" customWidth="1"/>
    <col min="14074" max="14083" width="12.1640625" style="80" customWidth="1"/>
    <col min="14084" max="14328" width="7.6640625" style="80"/>
    <col min="14329" max="14329" width="38.83203125" style="80" customWidth="1"/>
    <col min="14330" max="14339" width="12.1640625" style="80" customWidth="1"/>
    <col min="14340" max="14584" width="7.6640625" style="80"/>
    <col min="14585" max="14585" width="38.83203125" style="80" customWidth="1"/>
    <col min="14586" max="14595" width="12.1640625" style="80" customWidth="1"/>
    <col min="14596" max="14840" width="7.6640625" style="80"/>
    <col min="14841" max="14841" width="38.83203125" style="80" customWidth="1"/>
    <col min="14842" max="14851" width="12.1640625" style="80" customWidth="1"/>
    <col min="14852" max="15096" width="7.6640625" style="80"/>
    <col min="15097" max="15097" width="38.83203125" style="80" customWidth="1"/>
    <col min="15098" max="15107" width="12.1640625" style="80" customWidth="1"/>
    <col min="15108" max="15352" width="7.6640625" style="80"/>
    <col min="15353" max="15353" width="38.83203125" style="80" customWidth="1"/>
    <col min="15354" max="15363" width="12.1640625" style="80" customWidth="1"/>
    <col min="15364" max="15608" width="7.6640625" style="80"/>
    <col min="15609" max="15609" width="38.83203125" style="80" customWidth="1"/>
    <col min="15610" max="15619" width="12.1640625" style="80" customWidth="1"/>
    <col min="15620" max="15864" width="7.6640625" style="80"/>
    <col min="15865" max="15865" width="38.83203125" style="80" customWidth="1"/>
    <col min="15866" max="15875" width="12.1640625" style="80" customWidth="1"/>
    <col min="15876" max="16120" width="7.6640625" style="80"/>
    <col min="16121" max="16121" width="38.83203125" style="80" customWidth="1"/>
    <col min="16122" max="16131" width="12.1640625" style="80" customWidth="1"/>
    <col min="16132" max="16384" width="7.6640625" style="80"/>
  </cols>
  <sheetData>
    <row r="2" spans="1:12" ht="17" thickBot="1" x14ac:dyDescent="0.25">
      <c r="A2" s="1281"/>
      <c r="B2" s="1281"/>
      <c r="C2" s="1281"/>
      <c r="D2" s="1281"/>
      <c r="E2" s="1281"/>
      <c r="F2" s="1281"/>
      <c r="G2" s="1281"/>
      <c r="H2" s="1281"/>
      <c r="I2" s="1281"/>
      <c r="J2" s="1281"/>
      <c r="K2" s="1281"/>
      <c r="L2" s="1281"/>
    </row>
    <row r="3" spans="1:12" ht="33" customHeight="1" thickTop="1" x14ac:dyDescent="0.2">
      <c r="A3" s="2102" t="s">
        <v>310</v>
      </c>
      <c r="B3" s="2116"/>
      <c r="C3" s="2116"/>
      <c r="D3" s="2116"/>
      <c r="E3" s="2116"/>
      <c r="F3" s="2116"/>
      <c r="G3" s="2116"/>
      <c r="H3" s="2116"/>
      <c r="I3" s="2116"/>
      <c r="J3" s="2116"/>
      <c r="K3" s="2116"/>
      <c r="L3" s="2117"/>
    </row>
    <row r="4" spans="1:12" x14ac:dyDescent="0.2">
      <c r="A4" s="81"/>
      <c r="B4" s="82"/>
      <c r="C4" s="82"/>
      <c r="D4" s="82"/>
      <c r="E4" s="82"/>
      <c r="F4" s="82"/>
      <c r="G4" s="82"/>
      <c r="H4" s="82"/>
      <c r="I4" s="82"/>
      <c r="J4" s="82"/>
      <c r="K4" s="82"/>
      <c r="L4" s="1282"/>
    </row>
    <row r="5" spans="1:12" ht="17" x14ac:dyDescent="0.2">
      <c r="A5" s="1283" t="s">
        <v>262</v>
      </c>
      <c r="B5" s="3" t="s">
        <v>1</v>
      </c>
      <c r="C5" s="3" t="s">
        <v>2</v>
      </c>
      <c r="D5" s="3" t="s">
        <v>3</v>
      </c>
      <c r="E5" s="3" t="s">
        <v>4</v>
      </c>
      <c r="F5" s="3" t="s">
        <v>5</v>
      </c>
      <c r="G5" s="3" t="s">
        <v>6</v>
      </c>
      <c r="H5" s="3" t="s">
        <v>7</v>
      </c>
      <c r="I5" s="3" t="s">
        <v>8</v>
      </c>
      <c r="J5" s="3" t="s">
        <v>9</v>
      </c>
      <c r="K5" s="3" t="s">
        <v>10</v>
      </c>
      <c r="L5" s="1794" t="s">
        <v>11</v>
      </c>
    </row>
    <row r="6" spans="1:12" x14ac:dyDescent="0.2">
      <c r="A6" s="81"/>
      <c r="B6" s="2113" t="s">
        <v>263</v>
      </c>
      <c r="C6" s="2114"/>
      <c r="D6" s="2114"/>
      <c r="E6" s="2114"/>
      <c r="F6" s="2114"/>
      <c r="G6" s="2114"/>
      <c r="H6" s="2114"/>
      <c r="I6" s="2114"/>
      <c r="J6" s="2114"/>
      <c r="K6" s="2115"/>
      <c r="L6" s="2124" t="s">
        <v>311</v>
      </c>
    </row>
    <row r="7" spans="1:12" ht="23.25" customHeight="1" x14ac:dyDescent="0.2">
      <c r="A7" s="1284" t="s">
        <v>262</v>
      </c>
      <c r="B7" s="2118" t="s">
        <v>312</v>
      </c>
      <c r="C7" s="2119"/>
      <c r="D7" s="2119"/>
      <c r="E7" s="2119"/>
      <c r="F7" s="2120"/>
      <c r="G7" s="2121" t="s">
        <v>313</v>
      </c>
      <c r="H7" s="2122"/>
      <c r="I7" s="2122"/>
      <c r="J7" s="2123"/>
      <c r="K7" s="2111" t="s">
        <v>314</v>
      </c>
      <c r="L7" s="2125"/>
    </row>
    <row r="8" spans="1:12" ht="107.25" customHeight="1" x14ac:dyDescent="0.2">
      <c r="A8" s="1795" t="s">
        <v>262</v>
      </c>
      <c r="B8" s="1267" t="s">
        <v>231</v>
      </c>
      <c r="C8" s="1268" t="s">
        <v>315</v>
      </c>
      <c r="D8" s="1269" t="s">
        <v>316</v>
      </c>
      <c r="E8" s="1269" t="s">
        <v>317</v>
      </c>
      <c r="F8" s="1269" t="s">
        <v>272</v>
      </c>
      <c r="G8" s="1796" t="s">
        <v>231</v>
      </c>
      <c r="H8" s="1797" t="s">
        <v>318</v>
      </c>
      <c r="I8" s="1798" t="s">
        <v>319</v>
      </c>
      <c r="J8" s="1799" t="s">
        <v>272</v>
      </c>
      <c r="K8" s="2112"/>
      <c r="L8" s="2126"/>
    </row>
    <row r="9" spans="1:12" x14ac:dyDescent="0.2">
      <c r="A9" s="1270" t="s">
        <v>269</v>
      </c>
      <c r="B9" s="72">
        <v>6852611</v>
      </c>
      <c r="C9" s="73">
        <v>5960223</v>
      </c>
      <c r="D9" s="74">
        <v>722683</v>
      </c>
      <c r="E9" s="74">
        <v>-38383</v>
      </c>
      <c r="F9" s="74">
        <v>208087</v>
      </c>
      <c r="G9" s="72">
        <v>5786761</v>
      </c>
      <c r="H9" s="83">
        <v>5188063</v>
      </c>
      <c r="I9" s="74">
        <v>91179</v>
      </c>
      <c r="J9" s="75">
        <v>507519</v>
      </c>
      <c r="K9" s="76">
        <v>1065850</v>
      </c>
      <c r="L9" s="1285">
        <f>I9/TableA10!D8</f>
        <v>0.18939162621434846</v>
      </c>
    </row>
    <row r="10" spans="1:12" x14ac:dyDescent="0.2">
      <c r="A10" s="1271" t="s">
        <v>262</v>
      </c>
      <c r="B10" s="1272" t="s">
        <v>262</v>
      </c>
      <c r="C10" s="799" t="s">
        <v>262</v>
      </c>
      <c r="D10" s="800" t="s">
        <v>262</v>
      </c>
      <c r="E10" s="800" t="s">
        <v>262</v>
      </c>
      <c r="F10" s="800" t="s">
        <v>262</v>
      </c>
      <c r="G10" s="1272" t="s">
        <v>262</v>
      </c>
      <c r="H10" s="800" t="s">
        <v>262</v>
      </c>
      <c r="I10" s="800" t="s">
        <v>262</v>
      </c>
      <c r="J10" s="1286" t="s">
        <v>262</v>
      </c>
      <c r="K10" s="1287" t="s">
        <v>262</v>
      </c>
      <c r="L10" s="1285"/>
    </row>
    <row r="11" spans="1:12" x14ac:dyDescent="0.2">
      <c r="A11" s="1271" t="s">
        <v>270</v>
      </c>
      <c r="B11" s="72">
        <v>595719</v>
      </c>
      <c r="C11" s="73">
        <v>565936</v>
      </c>
      <c r="D11" s="74">
        <v>22025</v>
      </c>
      <c r="E11" s="74">
        <v>-1715</v>
      </c>
      <c r="F11" s="74">
        <v>9472</v>
      </c>
      <c r="G11" s="72">
        <v>550530</v>
      </c>
      <c r="H11" s="74">
        <v>512319</v>
      </c>
      <c r="I11" s="74">
        <v>5636</v>
      </c>
      <c r="J11" s="75">
        <v>32575</v>
      </c>
      <c r="K11" s="76">
        <v>45188</v>
      </c>
      <c r="L11" s="1285">
        <f>I11/TableA10!D10</f>
        <v>0.17223886070533587</v>
      </c>
    </row>
    <row r="12" spans="1:12" x14ac:dyDescent="0.2">
      <c r="A12" s="1271" t="s">
        <v>262</v>
      </c>
      <c r="B12" s="1272" t="s">
        <v>262</v>
      </c>
      <c r="C12" s="799" t="s">
        <v>262</v>
      </c>
      <c r="D12" s="800" t="s">
        <v>262</v>
      </c>
      <c r="E12" s="800" t="s">
        <v>262</v>
      </c>
      <c r="F12" s="800" t="s">
        <v>262</v>
      </c>
      <c r="G12" s="1272" t="s">
        <v>262</v>
      </c>
      <c r="H12" s="800" t="s">
        <v>262</v>
      </c>
      <c r="I12" s="800" t="s">
        <v>262</v>
      </c>
      <c r="J12" s="1286" t="s">
        <v>262</v>
      </c>
      <c r="K12" s="1287" t="s">
        <v>262</v>
      </c>
      <c r="L12" s="1285"/>
    </row>
    <row r="13" spans="1:12" x14ac:dyDescent="0.2">
      <c r="A13" s="1271" t="s">
        <v>271</v>
      </c>
      <c r="B13" s="72">
        <v>3439110</v>
      </c>
      <c r="C13" s="73">
        <v>2825800</v>
      </c>
      <c r="D13" s="74">
        <v>491126</v>
      </c>
      <c r="E13" s="74">
        <v>-29486</v>
      </c>
      <c r="F13" s="74">
        <v>151670</v>
      </c>
      <c r="G13" s="72">
        <v>2769452</v>
      </c>
      <c r="H13" s="74">
        <v>2428722</v>
      </c>
      <c r="I13" s="74">
        <v>41690</v>
      </c>
      <c r="J13" s="75">
        <v>299040</v>
      </c>
      <c r="K13" s="76">
        <v>669658</v>
      </c>
      <c r="L13" s="1285">
        <f>I13/TableA10!D12</f>
        <v>0.16627713121096335</v>
      </c>
    </row>
    <row r="14" spans="1:12" x14ac:dyDescent="0.2">
      <c r="A14" s="1273" t="s">
        <v>30</v>
      </c>
      <c r="B14" s="1274">
        <v>24204</v>
      </c>
      <c r="C14" s="794">
        <v>20170</v>
      </c>
      <c r="D14" s="795">
        <v>3120</v>
      </c>
      <c r="E14" s="795">
        <v>-6</v>
      </c>
      <c r="F14" s="795">
        <v>920</v>
      </c>
      <c r="G14" s="1274">
        <v>21392</v>
      </c>
      <c r="H14" s="795">
        <v>19373</v>
      </c>
      <c r="I14" s="795">
        <v>262</v>
      </c>
      <c r="J14" s="1288">
        <v>1756</v>
      </c>
      <c r="K14" s="1289">
        <v>2811</v>
      </c>
      <c r="L14" s="1285">
        <f>I14/TableA10!D13</f>
        <v>-17.466666666666665</v>
      </c>
    </row>
    <row r="15" spans="1:12" x14ac:dyDescent="0.2">
      <c r="A15" s="1273" t="s">
        <v>31</v>
      </c>
      <c r="B15" s="1274">
        <v>121924</v>
      </c>
      <c r="C15" s="794">
        <v>116774</v>
      </c>
      <c r="D15" s="795">
        <v>2778</v>
      </c>
      <c r="E15" s="795">
        <v>224</v>
      </c>
      <c r="F15" s="795">
        <v>2149</v>
      </c>
      <c r="G15" s="1274">
        <v>114192</v>
      </c>
      <c r="H15" s="795">
        <v>104975</v>
      </c>
      <c r="I15" s="795">
        <v>1883</v>
      </c>
      <c r="J15" s="1288">
        <v>7334</v>
      </c>
      <c r="K15" s="1289">
        <v>7733</v>
      </c>
      <c r="L15" s="1285">
        <f>I15/TableA10!D14</f>
        <v>0.28469912307227097</v>
      </c>
    </row>
    <row r="16" spans="1:12" x14ac:dyDescent="0.2">
      <c r="A16" s="1273" t="s">
        <v>34</v>
      </c>
      <c r="B16" s="1274">
        <v>17353</v>
      </c>
      <c r="C16" s="794">
        <v>17212</v>
      </c>
      <c r="D16" s="795">
        <v>64</v>
      </c>
      <c r="E16" s="795">
        <v>-19</v>
      </c>
      <c r="F16" s="795">
        <v>96</v>
      </c>
      <c r="G16" s="1274">
        <v>16146</v>
      </c>
      <c r="H16" s="795">
        <v>14710</v>
      </c>
      <c r="I16" s="795">
        <v>187</v>
      </c>
      <c r="J16" s="1288">
        <v>1249</v>
      </c>
      <c r="K16" s="1289">
        <v>1207</v>
      </c>
      <c r="L16" s="1285">
        <f>I16/TableA10!D15</f>
        <v>0.13872403560830859</v>
      </c>
    </row>
    <row r="17" spans="1:12" x14ac:dyDescent="0.2">
      <c r="A17" s="1273" t="s">
        <v>35</v>
      </c>
      <c r="B17" s="1274">
        <v>19992</v>
      </c>
      <c r="C17" s="794">
        <v>18636</v>
      </c>
      <c r="D17" s="795">
        <v>1026</v>
      </c>
      <c r="E17" s="795">
        <v>133</v>
      </c>
      <c r="F17" s="795">
        <v>197</v>
      </c>
      <c r="G17" s="1274">
        <v>18162</v>
      </c>
      <c r="H17" s="795">
        <v>16250</v>
      </c>
      <c r="I17" s="795">
        <v>337</v>
      </c>
      <c r="J17" s="1288">
        <v>1575</v>
      </c>
      <c r="K17" s="1289">
        <v>1830</v>
      </c>
      <c r="L17" s="1285">
        <f>I17/TableA10!D16</f>
        <v>0.3343253968253968</v>
      </c>
    </row>
    <row r="18" spans="1:12" x14ac:dyDescent="0.2">
      <c r="A18" s="1273" t="s">
        <v>37</v>
      </c>
      <c r="B18" s="1274">
        <v>17412</v>
      </c>
      <c r="C18" s="794">
        <v>16576</v>
      </c>
      <c r="D18" s="795" t="s">
        <v>283</v>
      </c>
      <c r="E18" s="795" t="s">
        <v>283</v>
      </c>
      <c r="F18" s="795">
        <v>122</v>
      </c>
      <c r="G18" s="1274">
        <v>18519</v>
      </c>
      <c r="H18" s="795">
        <v>17362</v>
      </c>
      <c r="I18" s="795">
        <v>61</v>
      </c>
      <c r="J18" s="1288">
        <v>1096</v>
      </c>
      <c r="K18" s="1289">
        <v>-1107</v>
      </c>
      <c r="L18" s="1285">
        <f>I18/TableA10!D17</f>
        <v>-3.4678794769755543E-2</v>
      </c>
    </row>
    <row r="19" spans="1:12" x14ac:dyDescent="0.2">
      <c r="A19" s="1273" t="s">
        <v>38</v>
      </c>
      <c r="B19" s="1274">
        <v>194216</v>
      </c>
      <c r="C19" s="794">
        <v>189219</v>
      </c>
      <c r="D19" s="795">
        <v>4630</v>
      </c>
      <c r="E19" s="795">
        <v>-3543</v>
      </c>
      <c r="F19" s="795">
        <v>3911</v>
      </c>
      <c r="G19" s="1274">
        <v>191812</v>
      </c>
      <c r="H19" s="795">
        <v>175870</v>
      </c>
      <c r="I19" s="795">
        <v>3497</v>
      </c>
      <c r="J19" s="1288">
        <v>12445</v>
      </c>
      <c r="K19" s="1289">
        <v>2404</v>
      </c>
      <c r="L19" s="1285">
        <f>I19/TableA10!D18</f>
        <v>0.7246166597596353</v>
      </c>
    </row>
    <row r="20" spans="1:12" x14ac:dyDescent="0.2">
      <c r="A20" s="1271" t="s">
        <v>262</v>
      </c>
      <c r="B20" s="1272" t="s">
        <v>262</v>
      </c>
      <c r="C20" s="799" t="s">
        <v>262</v>
      </c>
      <c r="D20" s="800" t="s">
        <v>262</v>
      </c>
      <c r="E20" s="800" t="s">
        <v>262</v>
      </c>
      <c r="F20" s="800" t="s">
        <v>262</v>
      </c>
      <c r="G20" s="1272" t="s">
        <v>262</v>
      </c>
      <c r="H20" s="800" t="s">
        <v>262</v>
      </c>
      <c r="I20" s="800" t="s">
        <v>262</v>
      </c>
      <c r="J20" s="1286" t="s">
        <v>262</v>
      </c>
      <c r="K20" s="1287" t="s">
        <v>262</v>
      </c>
      <c r="L20" s="1285"/>
    </row>
    <row r="21" spans="1:12" x14ac:dyDescent="0.2">
      <c r="A21" s="1273" t="s">
        <v>39</v>
      </c>
      <c r="B21" s="1274">
        <v>372382</v>
      </c>
      <c r="C21" s="794">
        <v>357214</v>
      </c>
      <c r="D21" s="795">
        <v>10120</v>
      </c>
      <c r="E21" s="795">
        <v>-2554</v>
      </c>
      <c r="F21" s="795">
        <v>7602</v>
      </c>
      <c r="G21" s="1274">
        <v>356716</v>
      </c>
      <c r="H21" s="795">
        <v>323590</v>
      </c>
      <c r="I21" s="795">
        <v>4875</v>
      </c>
      <c r="J21" s="1288">
        <v>28252</v>
      </c>
      <c r="K21" s="1289">
        <v>15665</v>
      </c>
      <c r="L21" s="1285">
        <f>I21/TableA10!D20</f>
        <v>0.37405048722473722</v>
      </c>
    </row>
    <row r="22" spans="1:12" x14ac:dyDescent="0.2">
      <c r="A22" s="1273" t="s">
        <v>40</v>
      </c>
      <c r="B22" s="1274">
        <v>5476</v>
      </c>
      <c r="C22" s="794">
        <v>5427</v>
      </c>
      <c r="D22" s="795" t="s">
        <v>283</v>
      </c>
      <c r="E22" s="800" t="s">
        <v>283</v>
      </c>
      <c r="F22" s="800">
        <v>40</v>
      </c>
      <c r="G22" s="1274">
        <v>5419</v>
      </c>
      <c r="H22" s="795">
        <v>5094</v>
      </c>
      <c r="I22" s="795">
        <v>81</v>
      </c>
      <c r="J22" s="1288">
        <v>244</v>
      </c>
      <c r="K22" s="1289">
        <v>56</v>
      </c>
      <c r="L22" s="1285">
        <f>I22/TableA10!D21</f>
        <v>0.62790697674418605</v>
      </c>
    </row>
    <row r="23" spans="1:12" x14ac:dyDescent="0.2">
      <c r="A23" s="1273" t="s">
        <v>41</v>
      </c>
      <c r="B23" s="1274">
        <v>63882</v>
      </c>
      <c r="C23" s="794">
        <v>30707</v>
      </c>
      <c r="D23" s="800" t="s">
        <v>283</v>
      </c>
      <c r="E23" s="795" t="s">
        <v>283</v>
      </c>
      <c r="F23" s="795" t="s">
        <v>283</v>
      </c>
      <c r="G23" s="1272" t="s">
        <v>283</v>
      </c>
      <c r="H23" s="795">
        <v>21965</v>
      </c>
      <c r="I23" s="795" t="s">
        <v>283</v>
      </c>
      <c r="J23" s="1288">
        <v>4625</v>
      </c>
      <c r="K23" s="1287" t="s">
        <v>283</v>
      </c>
      <c r="L23" s="1285"/>
    </row>
    <row r="24" spans="1:12" x14ac:dyDescent="0.2">
      <c r="A24" s="1273" t="s">
        <v>43</v>
      </c>
      <c r="B24" s="1274">
        <v>448528</v>
      </c>
      <c r="C24" s="794">
        <v>368414</v>
      </c>
      <c r="D24" s="795">
        <v>66686</v>
      </c>
      <c r="E24" s="795">
        <v>-3117</v>
      </c>
      <c r="F24" s="795">
        <v>16545</v>
      </c>
      <c r="G24" s="1274">
        <v>316903</v>
      </c>
      <c r="H24" s="795">
        <v>262031</v>
      </c>
      <c r="I24" s="795">
        <v>3976</v>
      </c>
      <c r="J24" s="1288">
        <v>50895</v>
      </c>
      <c r="K24" s="1289">
        <v>131625</v>
      </c>
      <c r="L24" s="1285">
        <f>I24/TableA10!D23</f>
        <v>5.5192326378767059E-2</v>
      </c>
    </row>
    <row r="25" spans="1:12" x14ac:dyDescent="0.2">
      <c r="A25" s="1273" t="s">
        <v>45</v>
      </c>
      <c r="B25" s="1274">
        <v>111896</v>
      </c>
      <c r="C25" s="794">
        <v>109564</v>
      </c>
      <c r="D25" s="795">
        <v>1911</v>
      </c>
      <c r="E25" s="795">
        <v>-493</v>
      </c>
      <c r="F25" s="795">
        <v>914</v>
      </c>
      <c r="G25" s="1274">
        <v>107707</v>
      </c>
      <c r="H25" s="795">
        <v>100722</v>
      </c>
      <c r="I25" s="795">
        <v>1473</v>
      </c>
      <c r="J25" s="1288">
        <v>5513</v>
      </c>
      <c r="K25" s="1289">
        <v>4189</v>
      </c>
      <c r="L25" s="1285">
        <f>I25/TableA10!D24</f>
        <v>0.34675141242937851</v>
      </c>
    </row>
    <row r="26" spans="1:12" x14ac:dyDescent="0.2">
      <c r="A26" s="1273" t="s">
        <v>49</v>
      </c>
      <c r="B26" s="1274">
        <v>162079</v>
      </c>
      <c r="C26" s="794">
        <v>69288</v>
      </c>
      <c r="D26" s="795">
        <v>73532</v>
      </c>
      <c r="E26" s="795">
        <v>-528</v>
      </c>
      <c r="F26" s="795">
        <v>19786</v>
      </c>
      <c r="G26" s="1274">
        <v>80476</v>
      </c>
      <c r="H26" s="795">
        <v>52395</v>
      </c>
      <c r="I26" s="795">
        <v>834</v>
      </c>
      <c r="J26" s="1288">
        <v>27247</v>
      </c>
      <c r="K26" s="1289">
        <v>81603</v>
      </c>
      <c r="L26" s="1285">
        <f>I26/TableA10!D25</f>
        <v>8.8413018127849047E-2</v>
      </c>
    </row>
    <row r="27" spans="1:12" x14ac:dyDescent="0.2">
      <c r="A27" s="1273" t="s">
        <v>51</v>
      </c>
      <c r="B27" s="1274">
        <v>460110</v>
      </c>
      <c r="C27" s="794">
        <v>253147</v>
      </c>
      <c r="D27" s="795">
        <v>176295</v>
      </c>
      <c r="E27" s="795">
        <v>-18799</v>
      </c>
      <c r="F27" s="795">
        <v>49467</v>
      </c>
      <c r="G27" s="1274">
        <v>273601</v>
      </c>
      <c r="H27" s="795">
        <v>220064</v>
      </c>
      <c r="I27" s="795">
        <v>3794</v>
      </c>
      <c r="J27" s="1288">
        <v>49742</v>
      </c>
      <c r="K27" s="1289">
        <v>186510</v>
      </c>
      <c r="L27" s="1285">
        <f>I27/TableA10!D26</f>
        <v>0.11562138111781557</v>
      </c>
    </row>
    <row r="28" spans="1:12" x14ac:dyDescent="0.2">
      <c r="A28" s="1271" t="s">
        <v>262</v>
      </c>
      <c r="B28" s="1272" t="s">
        <v>262</v>
      </c>
      <c r="C28" s="799" t="s">
        <v>262</v>
      </c>
      <c r="D28" s="800" t="s">
        <v>262</v>
      </c>
      <c r="E28" s="800" t="s">
        <v>262</v>
      </c>
      <c r="F28" s="800" t="s">
        <v>262</v>
      </c>
      <c r="G28" s="1272" t="s">
        <v>262</v>
      </c>
      <c r="H28" s="800" t="s">
        <v>262</v>
      </c>
      <c r="I28" s="800" t="s">
        <v>262</v>
      </c>
      <c r="J28" s="1286" t="s">
        <v>262</v>
      </c>
      <c r="K28" s="1287" t="s">
        <v>262</v>
      </c>
      <c r="L28" s="1285"/>
    </row>
    <row r="29" spans="1:12" x14ac:dyDescent="0.2">
      <c r="A29" s="1273" t="s">
        <v>53</v>
      </c>
      <c r="B29" s="1274">
        <v>40356</v>
      </c>
      <c r="C29" s="794">
        <v>37465</v>
      </c>
      <c r="D29" s="795">
        <v>1882</v>
      </c>
      <c r="E29" s="795">
        <v>320</v>
      </c>
      <c r="F29" s="795">
        <v>689</v>
      </c>
      <c r="G29" s="1274">
        <v>34845</v>
      </c>
      <c r="H29" s="795">
        <v>30193</v>
      </c>
      <c r="I29" s="795">
        <v>2821</v>
      </c>
      <c r="J29" s="1288">
        <v>1830</v>
      </c>
      <c r="K29" s="1289">
        <v>5511</v>
      </c>
      <c r="L29" s="1285">
        <f>I29/TableA10!D28</f>
        <v>0.43353311818042106</v>
      </c>
    </row>
    <row r="30" spans="1:12" x14ac:dyDescent="0.2">
      <c r="A30" s="1273" t="s">
        <v>54</v>
      </c>
      <c r="B30" s="1274">
        <v>41157</v>
      </c>
      <c r="C30" s="794">
        <v>39896</v>
      </c>
      <c r="D30" s="795">
        <v>642</v>
      </c>
      <c r="E30" s="795">
        <v>201</v>
      </c>
      <c r="F30" s="795">
        <v>418</v>
      </c>
      <c r="G30" s="1274">
        <v>39026</v>
      </c>
      <c r="H30" s="795">
        <v>35586</v>
      </c>
      <c r="I30" s="795">
        <v>271</v>
      </c>
      <c r="J30" s="1288">
        <v>3169</v>
      </c>
      <c r="K30" s="1289">
        <v>2131</v>
      </c>
      <c r="L30" s="1285">
        <f>I30/TableA10!D29</f>
        <v>0.17338451695457455</v>
      </c>
    </row>
    <row r="31" spans="1:12" x14ac:dyDescent="0.2">
      <c r="A31" s="1273" t="s">
        <v>55</v>
      </c>
      <c r="B31" s="1274">
        <v>9698</v>
      </c>
      <c r="C31" s="794">
        <v>9546</v>
      </c>
      <c r="D31" s="795" t="s">
        <v>283</v>
      </c>
      <c r="E31" s="800" t="s">
        <v>283</v>
      </c>
      <c r="F31" s="800">
        <v>81</v>
      </c>
      <c r="G31" s="1274">
        <v>9219</v>
      </c>
      <c r="H31" s="795">
        <v>8620</v>
      </c>
      <c r="I31" s="795">
        <v>98</v>
      </c>
      <c r="J31" s="1288">
        <v>501</v>
      </c>
      <c r="K31" s="1289">
        <v>478</v>
      </c>
      <c r="L31" s="1285">
        <f>I31/TableA10!D30</f>
        <v>0.19367588932806323</v>
      </c>
    </row>
    <row r="32" spans="1:12" x14ac:dyDescent="0.2">
      <c r="A32" s="1273" t="s">
        <v>70</v>
      </c>
      <c r="B32" s="1274">
        <v>40180</v>
      </c>
      <c r="C32" s="794">
        <v>41195</v>
      </c>
      <c r="D32" s="795">
        <v>-1580</v>
      </c>
      <c r="E32" s="795">
        <v>228</v>
      </c>
      <c r="F32" s="795">
        <v>337</v>
      </c>
      <c r="G32" s="1274">
        <v>41575</v>
      </c>
      <c r="H32" s="795">
        <v>37247</v>
      </c>
      <c r="I32" s="795">
        <v>603</v>
      </c>
      <c r="J32" s="1288">
        <v>3725</v>
      </c>
      <c r="K32" s="1289">
        <v>-1395</v>
      </c>
      <c r="L32" s="1285">
        <f>I32/TableA10!D31</f>
        <v>1.0505226480836236</v>
      </c>
    </row>
    <row r="33" spans="1:12" x14ac:dyDescent="0.2">
      <c r="A33" s="1273" t="s">
        <v>58</v>
      </c>
      <c r="B33" s="1274">
        <v>89968</v>
      </c>
      <c r="C33" s="794">
        <v>81971</v>
      </c>
      <c r="D33" s="795">
        <v>3310</v>
      </c>
      <c r="E33" s="795">
        <v>1082</v>
      </c>
      <c r="F33" s="795">
        <v>3605</v>
      </c>
      <c r="G33" s="1274">
        <v>83520</v>
      </c>
      <c r="H33" s="795">
        <v>75322</v>
      </c>
      <c r="I33" s="795">
        <v>737</v>
      </c>
      <c r="J33" s="1288">
        <v>7461</v>
      </c>
      <c r="K33" s="1289">
        <v>6447</v>
      </c>
      <c r="L33" s="1285">
        <f>I33/TableA10!D32</f>
        <v>0.26387397064088791</v>
      </c>
    </row>
    <row r="34" spans="1:12" x14ac:dyDescent="0.2">
      <c r="A34" s="1273" t="s">
        <v>59</v>
      </c>
      <c r="B34" s="1274">
        <v>37167</v>
      </c>
      <c r="C34" s="794">
        <v>34195</v>
      </c>
      <c r="D34" s="795">
        <v>1206</v>
      </c>
      <c r="E34" s="795">
        <v>186</v>
      </c>
      <c r="F34" s="795">
        <v>1579</v>
      </c>
      <c r="G34" s="1274">
        <v>33729</v>
      </c>
      <c r="H34" s="795">
        <v>29920</v>
      </c>
      <c r="I34" s="795">
        <v>646</v>
      </c>
      <c r="J34" s="1288">
        <v>3163</v>
      </c>
      <c r="K34" s="1289">
        <v>3437</v>
      </c>
      <c r="L34" s="1285">
        <f>I34/TableA10!D33</f>
        <v>0.24005945745076179</v>
      </c>
    </row>
    <row r="35" spans="1:12" ht="16" customHeight="1" x14ac:dyDescent="0.2">
      <c r="A35" s="1273" t="s">
        <v>60</v>
      </c>
      <c r="B35" s="1274">
        <v>352934</v>
      </c>
      <c r="C35" s="794">
        <v>309072</v>
      </c>
      <c r="D35" s="795">
        <v>33963</v>
      </c>
      <c r="E35" s="795">
        <v>-126</v>
      </c>
      <c r="F35" s="795">
        <v>10025</v>
      </c>
      <c r="G35" s="1274">
        <v>283036</v>
      </c>
      <c r="H35" s="795">
        <v>258057</v>
      </c>
      <c r="I35" s="795">
        <v>3125</v>
      </c>
      <c r="J35" s="1288">
        <v>21853</v>
      </c>
      <c r="K35" s="1289">
        <v>69898</v>
      </c>
      <c r="L35" s="1285">
        <f>I35/TableA10!D34</f>
        <v>7.974176427058613E-2</v>
      </c>
    </row>
    <row r="36" spans="1:12" x14ac:dyDescent="0.2">
      <c r="A36" s="1273" t="s">
        <v>61</v>
      </c>
      <c r="B36" s="1274">
        <v>25775</v>
      </c>
      <c r="C36" s="794">
        <v>25715</v>
      </c>
      <c r="D36" s="795">
        <v>24</v>
      </c>
      <c r="E36" s="800">
        <v>-105</v>
      </c>
      <c r="F36" s="800">
        <v>141</v>
      </c>
      <c r="G36" s="1272">
        <v>25246</v>
      </c>
      <c r="H36" s="800">
        <v>23723</v>
      </c>
      <c r="I36" s="795">
        <v>240</v>
      </c>
      <c r="J36" s="1288">
        <v>1283</v>
      </c>
      <c r="K36" s="1289">
        <v>530</v>
      </c>
      <c r="L36" s="1285">
        <f>I36/TableA10!D35</f>
        <v>0.28202115158636898</v>
      </c>
    </row>
    <row r="37" spans="1:12" x14ac:dyDescent="0.2">
      <c r="A37" s="1273" t="s">
        <v>62</v>
      </c>
      <c r="B37" s="1274">
        <v>724201</v>
      </c>
      <c r="C37" s="794">
        <v>623300</v>
      </c>
      <c r="D37" s="795" t="s">
        <v>283</v>
      </c>
      <c r="E37" s="795" t="s">
        <v>283</v>
      </c>
      <c r="F37" s="795" t="s">
        <v>283</v>
      </c>
      <c r="G37" s="1274">
        <v>622273</v>
      </c>
      <c r="H37" s="795">
        <v>554192</v>
      </c>
      <c r="I37" s="795">
        <v>7141</v>
      </c>
      <c r="J37" s="1288">
        <v>60939</v>
      </c>
      <c r="K37" s="1289">
        <v>101928</v>
      </c>
      <c r="L37" s="1285">
        <f>I37/TableA10!D36</f>
        <v>0.21672888403289933</v>
      </c>
    </row>
    <row r="38" spans="1:12" x14ac:dyDescent="0.2">
      <c r="A38" s="1273" t="s">
        <v>272</v>
      </c>
      <c r="B38" s="1274">
        <v>58222</v>
      </c>
      <c r="C38" s="794">
        <v>51098</v>
      </c>
      <c r="D38" s="800" t="s">
        <v>283</v>
      </c>
      <c r="E38" s="800">
        <v>-610</v>
      </c>
      <c r="F38" s="795" t="s">
        <v>283</v>
      </c>
      <c r="G38" s="1274" t="s">
        <v>283</v>
      </c>
      <c r="H38" s="795">
        <v>41461</v>
      </c>
      <c r="I38" s="795" t="s">
        <v>283</v>
      </c>
      <c r="J38" s="1288">
        <v>3141</v>
      </c>
      <c r="K38" s="1287" t="s">
        <v>283</v>
      </c>
      <c r="L38" s="1285"/>
    </row>
    <row r="39" spans="1:12" x14ac:dyDescent="0.2">
      <c r="A39" s="1271" t="s">
        <v>262</v>
      </c>
      <c r="B39" s="1272" t="s">
        <v>262</v>
      </c>
      <c r="C39" s="799" t="s">
        <v>262</v>
      </c>
      <c r="D39" s="800" t="s">
        <v>262</v>
      </c>
      <c r="E39" s="800" t="s">
        <v>262</v>
      </c>
      <c r="F39" s="800" t="s">
        <v>262</v>
      </c>
      <c r="G39" s="1272" t="s">
        <v>262</v>
      </c>
      <c r="H39" s="800" t="s">
        <v>262</v>
      </c>
      <c r="I39" s="800" t="s">
        <v>262</v>
      </c>
      <c r="J39" s="1286" t="s">
        <v>262</v>
      </c>
      <c r="K39" s="1287" t="s">
        <v>262</v>
      </c>
      <c r="L39" s="1285"/>
    </row>
    <row r="40" spans="1:12" x14ac:dyDescent="0.2">
      <c r="A40" s="1271" t="s">
        <v>320</v>
      </c>
      <c r="B40" s="72">
        <v>929336</v>
      </c>
      <c r="C40" s="73">
        <v>764667</v>
      </c>
      <c r="D40" s="74">
        <v>142786</v>
      </c>
      <c r="E40" s="74">
        <v>246</v>
      </c>
      <c r="F40" s="74">
        <v>21637</v>
      </c>
      <c r="G40" s="72">
        <v>741937</v>
      </c>
      <c r="H40" s="74">
        <v>656581</v>
      </c>
      <c r="I40" s="74">
        <v>12998</v>
      </c>
      <c r="J40" s="75">
        <v>72358</v>
      </c>
      <c r="K40" s="76">
        <v>187399</v>
      </c>
      <c r="L40" s="1285">
        <f>I40/TableA10!D39</f>
        <v>0.22090790122197862</v>
      </c>
    </row>
    <row r="41" spans="1:12" x14ac:dyDescent="0.2">
      <c r="A41" s="1271" t="s">
        <v>262</v>
      </c>
      <c r="B41" s="1272" t="s">
        <v>262</v>
      </c>
      <c r="C41" s="799" t="s">
        <v>262</v>
      </c>
      <c r="D41" s="800" t="s">
        <v>262</v>
      </c>
      <c r="E41" s="800" t="s">
        <v>262</v>
      </c>
      <c r="F41" s="800" t="s">
        <v>262</v>
      </c>
      <c r="G41" s="1272" t="s">
        <v>262</v>
      </c>
      <c r="H41" s="800" t="s">
        <v>262</v>
      </c>
      <c r="I41" s="800" t="s">
        <v>262</v>
      </c>
      <c r="J41" s="1286" t="s">
        <v>262</v>
      </c>
      <c r="K41" s="1287" t="s">
        <v>262</v>
      </c>
      <c r="L41" s="1285"/>
    </row>
    <row r="42" spans="1:12" x14ac:dyDescent="0.2">
      <c r="A42" s="1273" t="s">
        <v>274</v>
      </c>
      <c r="B42" s="1274">
        <v>328095</v>
      </c>
      <c r="C42" s="794">
        <v>319554</v>
      </c>
      <c r="D42" s="795">
        <v>8013</v>
      </c>
      <c r="E42" s="795">
        <v>-3947</v>
      </c>
      <c r="F42" s="795">
        <v>4475</v>
      </c>
      <c r="G42" s="1274">
        <v>319636</v>
      </c>
      <c r="H42" s="795">
        <v>292396</v>
      </c>
      <c r="I42" s="795">
        <v>6263</v>
      </c>
      <c r="J42" s="1288">
        <v>20977</v>
      </c>
      <c r="K42" s="1289">
        <v>8459</v>
      </c>
      <c r="L42" s="1285">
        <f>I42/TableA10!D41</f>
        <v>0.53819712984446166</v>
      </c>
    </row>
    <row r="43" spans="1:12" x14ac:dyDescent="0.2">
      <c r="A43" s="1275" t="s">
        <v>275</v>
      </c>
      <c r="B43" s="1274">
        <v>48301</v>
      </c>
      <c r="C43" s="794">
        <v>46838</v>
      </c>
      <c r="D43" s="795">
        <v>1045</v>
      </c>
      <c r="E43" s="795">
        <v>-556</v>
      </c>
      <c r="F43" s="795">
        <v>973</v>
      </c>
      <c r="G43" s="1274">
        <v>46011</v>
      </c>
      <c r="H43" s="795">
        <v>39893</v>
      </c>
      <c r="I43" s="795">
        <v>2546</v>
      </c>
      <c r="J43" s="1288">
        <v>3572</v>
      </c>
      <c r="K43" s="1289">
        <v>2290</v>
      </c>
      <c r="L43" s="1285">
        <f>I43/TableA10!D42</f>
        <v>0.57316524088248533</v>
      </c>
    </row>
    <row r="44" spans="1:12" x14ac:dyDescent="0.2">
      <c r="A44" s="1275" t="s">
        <v>65</v>
      </c>
      <c r="B44" s="1274">
        <v>173607</v>
      </c>
      <c r="C44" s="794">
        <v>171369</v>
      </c>
      <c r="D44" s="795">
        <v>2181</v>
      </c>
      <c r="E44" s="795">
        <v>-2514</v>
      </c>
      <c r="F44" s="795">
        <v>2570</v>
      </c>
      <c r="G44" s="1274">
        <v>174022</v>
      </c>
      <c r="H44" s="795">
        <v>162111</v>
      </c>
      <c r="I44" s="795">
        <v>1382</v>
      </c>
      <c r="J44" s="1288">
        <v>10529</v>
      </c>
      <c r="K44" s="1289">
        <v>-415</v>
      </c>
      <c r="L44" s="1285">
        <f>I44/TableA10!D43</f>
        <v>0.95772695772695771</v>
      </c>
    </row>
    <row r="45" spans="1:12" x14ac:dyDescent="0.2">
      <c r="A45" s="1275" t="s">
        <v>33</v>
      </c>
      <c r="B45" s="1274">
        <v>39032</v>
      </c>
      <c r="C45" s="794">
        <v>37077</v>
      </c>
      <c r="D45" s="795">
        <v>1708</v>
      </c>
      <c r="E45" s="795">
        <v>-163</v>
      </c>
      <c r="F45" s="795">
        <v>410</v>
      </c>
      <c r="G45" s="1274">
        <v>34750</v>
      </c>
      <c r="H45" s="795">
        <v>30986</v>
      </c>
      <c r="I45" s="795">
        <v>842</v>
      </c>
      <c r="J45" s="1288">
        <v>2923</v>
      </c>
      <c r="K45" s="1289">
        <v>4281</v>
      </c>
      <c r="L45" s="1285">
        <f>I45/TableA10!D44</f>
        <v>0.21830438164376459</v>
      </c>
    </row>
    <row r="46" spans="1:12" x14ac:dyDescent="0.2">
      <c r="A46" s="1275" t="s">
        <v>67</v>
      </c>
      <c r="B46" s="1274">
        <v>20884</v>
      </c>
      <c r="C46" s="794">
        <v>21156</v>
      </c>
      <c r="D46" s="795" t="s">
        <v>283</v>
      </c>
      <c r="E46" s="795" t="s">
        <v>283</v>
      </c>
      <c r="F46" s="795">
        <v>74</v>
      </c>
      <c r="G46" s="1274">
        <v>21137</v>
      </c>
      <c r="H46" s="795">
        <v>19221</v>
      </c>
      <c r="I46" s="795">
        <v>402</v>
      </c>
      <c r="J46" s="1288">
        <v>1513</v>
      </c>
      <c r="K46" s="1289">
        <v>-253</v>
      </c>
      <c r="L46" s="1285">
        <f>I46/TableA10!D45</f>
        <v>0.62910798122065725</v>
      </c>
    </row>
    <row r="47" spans="1:12" x14ac:dyDescent="0.2">
      <c r="A47" s="1275" t="s">
        <v>276</v>
      </c>
      <c r="B47" s="1274">
        <v>5524</v>
      </c>
      <c r="C47" s="794">
        <v>5516</v>
      </c>
      <c r="D47" s="795">
        <v>-6</v>
      </c>
      <c r="E47" s="795">
        <v>3</v>
      </c>
      <c r="F47" s="795">
        <v>11</v>
      </c>
      <c r="G47" s="1274">
        <v>5420</v>
      </c>
      <c r="H47" s="795">
        <v>5149</v>
      </c>
      <c r="I47" s="795">
        <v>28</v>
      </c>
      <c r="J47" s="1288">
        <v>244</v>
      </c>
      <c r="K47" s="1289">
        <v>104</v>
      </c>
      <c r="L47" s="1285">
        <f>I47/TableA10!D46</f>
        <v>0.2074074074074074</v>
      </c>
    </row>
    <row r="48" spans="1:12" x14ac:dyDescent="0.2">
      <c r="A48" s="1275" t="s">
        <v>277</v>
      </c>
      <c r="B48" s="1274">
        <v>14220</v>
      </c>
      <c r="C48" s="794">
        <v>13562</v>
      </c>
      <c r="D48" s="795">
        <v>445</v>
      </c>
      <c r="E48" s="795">
        <v>108</v>
      </c>
      <c r="F48" s="795">
        <v>105</v>
      </c>
      <c r="G48" s="1274">
        <v>13442</v>
      </c>
      <c r="H48" s="795">
        <v>11999</v>
      </c>
      <c r="I48" s="795">
        <v>631</v>
      </c>
      <c r="J48" s="1288">
        <v>812</v>
      </c>
      <c r="K48" s="1289">
        <v>779</v>
      </c>
      <c r="L48" s="1285">
        <f>I48/TableA10!D47</f>
        <v>0.55594713656387662</v>
      </c>
    </row>
    <row r="49" spans="1:12" x14ac:dyDescent="0.2">
      <c r="A49" s="1275" t="s">
        <v>278</v>
      </c>
      <c r="B49" s="1274">
        <v>18613</v>
      </c>
      <c r="C49" s="794">
        <v>16104</v>
      </c>
      <c r="D49" s="795" t="s">
        <v>283</v>
      </c>
      <c r="E49" s="795" t="s">
        <v>283</v>
      </c>
      <c r="F49" s="795">
        <v>294</v>
      </c>
      <c r="G49" s="1274">
        <v>17044</v>
      </c>
      <c r="H49" s="795">
        <v>15732</v>
      </c>
      <c r="I49" s="795">
        <v>268</v>
      </c>
      <c r="J49" s="1288">
        <v>1045</v>
      </c>
      <c r="K49" s="1289">
        <v>1569</v>
      </c>
      <c r="L49" s="1285">
        <f>I49/TableA10!D48</f>
        <v>-0.74238227146814406</v>
      </c>
    </row>
    <row r="50" spans="1:12" x14ac:dyDescent="0.2">
      <c r="A50" s="1275" t="s">
        <v>272</v>
      </c>
      <c r="B50" s="1274">
        <v>7914</v>
      </c>
      <c r="C50" s="794">
        <v>7930</v>
      </c>
      <c r="D50" s="795">
        <v>17</v>
      </c>
      <c r="E50" s="795">
        <v>-71</v>
      </c>
      <c r="F50" s="795">
        <v>38</v>
      </c>
      <c r="G50" s="1274">
        <v>7809</v>
      </c>
      <c r="H50" s="795">
        <v>7306</v>
      </c>
      <c r="I50" s="795">
        <v>164</v>
      </c>
      <c r="J50" s="1288">
        <v>340</v>
      </c>
      <c r="K50" s="1289">
        <v>105</v>
      </c>
      <c r="L50" s="1285">
        <f>I50/TableA10!D49</f>
        <v>0.47262247838616717</v>
      </c>
    </row>
    <row r="51" spans="1:12" x14ac:dyDescent="0.2">
      <c r="A51" s="1271" t="s">
        <v>262</v>
      </c>
      <c r="B51" s="1272" t="s">
        <v>262</v>
      </c>
      <c r="C51" s="799" t="s">
        <v>262</v>
      </c>
      <c r="D51" s="800" t="s">
        <v>262</v>
      </c>
      <c r="E51" s="800" t="s">
        <v>262</v>
      </c>
      <c r="F51" s="800" t="s">
        <v>262</v>
      </c>
      <c r="G51" s="1272" t="s">
        <v>262</v>
      </c>
      <c r="H51" s="800" t="s">
        <v>262</v>
      </c>
      <c r="I51" s="800" t="s">
        <v>262</v>
      </c>
      <c r="J51" s="1286" t="s">
        <v>262</v>
      </c>
      <c r="K51" s="1287" t="s">
        <v>262</v>
      </c>
      <c r="L51" s="1285"/>
    </row>
    <row r="52" spans="1:12" x14ac:dyDescent="0.2">
      <c r="A52" s="1273" t="s">
        <v>279</v>
      </c>
      <c r="B52" s="1274">
        <v>285054</v>
      </c>
      <c r="C52" s="794">
        <v>274807</v>
      </c>
      <c r="D52" s="795">
        <v>6435</v>
      </c>
      <c r="E52" s="795">
        <v>625</v>
      </c>
      <c r="F52" s="795">
        <v>3186</v>
      </c>
      <c r="G52" s="1274">
        <v>266330</v>
      </c>
      <c r="H52" s="795">
        <v>245383</v>
      </c>
      <c r="I52" s="795">
        <v>5281</v>
      </c>
      <c r="J52" s="1288">
        <v>15667</v>
      </c>
      <c r="K52" s="1289">
        <v>18724</v>
      </c>
      <c r="L52" s="1285">
        <f>I52/TableA10!D51</f>
        <v>0.30662486210300183</v>
      </c>
    </row>
    <row r="53" spans="1:12" x14ac:dyDescent="0.2">
      <c r="A53" s="1275" t="s">
        <v>68</v>
      </c>
      <c r="B53" s="1274">
        <v>13068</v>
      </c>
      <c r="C53" s="794">
        <v>12981</v>
      </c>
      <c r="D53" s="795" t="s">
        <v>283</v>
      </c>
      <c r="E53" s="795" t="s">
        <v>283</v>
      </c>
      <c r="F53" s="795">
        <v>35</v>
      </c>
      <c r="G53" s="1274">
        <v>12333</v>
      </c>
      <c r="H53" s="795">
        <v>11645</v>
      </c>
      <c r="I53" s="795">
        <v>173</v>
      </c>
      <c r="J53" s="1288">
        <v>515</v>
      </c>
      <c r="K53" s="1289">
        <v>735</v>
      </c>
      <c r="L53" s="1285">
        <f>I53/TableA10!D52</f>
        <v>0.20210280373831777</v>
      </c>
    </row>
    <row r="54" spans="1:12" x14ac:dyDescent="0.2">
      <c r="A54" s="1275" t="s">
        <v>280</v>
      </c>
      <c r="B54" s="1274">
        <v>3743</v>
      </c>
      <c r="C54" s="794">
        <v>3738</v>
      </c>
      <c r="D54" s="795">
        <v>2</v>
      </c>
      <c r="E54" s="795">
        <v>-5</v>
      </c>
      <c r="F54" s="795">
        <v>8</v>
      </c>
      <c r="G54" s="1274">
        <v>3644</v>
      </c>
      <c r="H54" s="795">
        <v>3523</v>
      </c>
      <c r="I54" s="795">
        <v>38</v>
      </c>
      <c r="J54" s="1288">
        <v>82</v>
      </c>
      <c r="K54" s="1289">
        <v>100</v>
      </c>
      <c r="L54" s="1285">
        <f>I54/TableA10!D53</f>
        <v>0.26950354609929078</v>
      </c>
    </row>
    <row r="55" spans="1:12" x14ac:dyDescent="0.2">
      <c r="A55" s="1275" t="s">
        <v>50</v>
      </c>
      <c r="B55" s="1274">
        <v>250411</v>
      </c>
      <c r="C55" s="794">
        <v>240432</v>
      </c>
      <c r="D55" s="795">
        <v>6313</v>
      </c>
      <c r="E55" s="795">
        <v>622</v>
      </c>
      <c r="F55" s="795">
        <v>3044</v>
      </c>
      <c r="G55" s="1274">
        <v>232913</v>
      </c>
      <c r="H55" s="795">
        <v>213720</v>
      </c>
      <c r="I55" s="795">
        <v>4910</v>
      </c>
      <c r="J55" s="1288">
        <v>14283</v>
      </c>
      <c r="K55" s="1289">
        <v>17498</v>
      </c>
      <c r="L55" s="1285">
        <f>I55/TableA10!D54</f>
        <v>0.31168666285786834</v>
      </c>
    </row>
    <row r="56" spans="1:12" x14ac:dyDescent="0.2">
      <c r="A56" s="1275" t="s">
        <v>107</v>
      </c>
      <c r="B56" s="1274">
        <v>8367</v>
      </c>
      <c r="C56" s="794">
        <v>8056</v>
      </c>
      <c r="D56" s="795" t="s">
        <v>283</v>
      </c>
      <c r="E56" s="795" t="s">
        <v>283</v>
      </c>
      <c r="F56" s="795">
        <v>25</v>
      </c>
      <c r="G56" s="1274">
        <v>8175</v>
      </c>
      <c r="H56" s="795">
        <v>7795</v>
      </c>
      <c r="I56" s="795">
        <v>54</v>
      </c>
      <c r="J56" s="1288">
        <v>326</v>
      </c>
      <c r="K56" s="1289">
        <v>192</v>
      </c>
      <c r="L56" s="1285">
        <f>I56/TableA10!D55</f>
        <v>-1.3170731707317074</v>
      </c>
    </row>
    <row r="57" spans="1:12" x14ac:dyDescent="0.2">
      <c r="A57" s="1275" t="s">
        <v>272</v>
      </c>
      <c r="B57" s="1274">
        <v>9464</v>
      </c>
      <c r="C57" s="794">
        <v>9601</v>
      </c>
      <c r="D57" s="795" t="s">
        <v>283</v>
      </c>
      <c r="E57" s="795" t="s">
        <v>283</v>
      </c>
      <c r="F57" s="795">
        <v>74</v>
      </c>
      <c r="G57" s="1274">
        <v>9266</v>
      </c>
      <c r="H57" s="795">
        <v>8700</v>
      </c>
      <c r="I57" s="795">
        <v>105</v>
      </c>
      <c r="J57" s="1288">
        <v>460</v>
      </c>
      <c r="K57" s="1289">
        <v>199</v>
      </c>
      <c r="L57" s="1285">
        <f>I57/TableA10!D56</f>
        <v>0.20428015564202334</v>
      </c>
    </row>
    <row r="58" spans="1:12" x14ac:dyDescent="0.2">
      <c r="A58" s="1271" t="s">
        <v>262</v>
      </c>
      <c r="B58" s="1272" t="s">
        <v>262</v>
      </c>
      <c r="C58" s="799" t="s">
        <v>262</v>
      </c>
      <c r="D58" s="800" t="s">
        <v>262</v>
      </c>
      <c r="E58" s="800" t="s">
        <v>262</v>
      </c>
      <c r="F58" s="800" t="s">
        <v>262</v>
      </c>
      <c r="G58" s="1272" t="s">
        <v>262</v>
      </c>
      <c r="H58" s="800" t="s">
        <v>262</v>
      </c>
      <c r="I58" s="800" t="s">
        <v>262</v>
      </c>
      <c r="J58" s="1286" t="s">
        <v>262</v>
      </c>
      <c r="K58" s="1287" t="s">
        <v>262</v>
      </c>
      <c r="L58" s="1285"/>
    </row>
    <row r="59" spans="1:12" x14ac:dyDescent="0.2">
      <c r="A59" s="1273" t="s">
        <v>281</v>
      </c>
      <c r="B59" s="1274">
        <v>316188</v>
      </c>
      <c r="C59" s="794">
        <v>170306</v>
      </c>
      <c r="D59" s="795">
        <v>128339</v>
      </c>
      <c r="E59" s="795">
        <v>3567</v>
      </c>
      <c r="F59" s="795">
        <v>13976</v>
      </c>
      <c r="G59" s="1274">
        <v>155971</v>
      </c>
      <c r="H59" s="795">
        <v>118802</v>
      </c>
      <c r="I59" s="795">
        <v>1454</v>
      </c>
      <c r="J59" s="1288">
        <v>35715</v>
      </c>
      <c r="K59" s="1289">
        <v>160216</v>
      </c>
      <c r="L59" s="1285">
        <f>I59/TableA10!D58</f>
        <v>4.8500617098635714E-2</v>
      </c>
    </row>
    <row r="60" spans="1:12" x14ac:dyDescent="0.2">
      <c r="A60" s="1275" t="s">
        <v>79</v>
      </c>
      <c r="B60" s="1274">
        <v>14131</v>
      </c>
      <c r="C60" s="794">
        <v>13096</v>
      </c>
      <c r="D60" s="795" t="s">
        <v>283</v>
      </c>
      <c r="E60" s="795" t="s">
        <v>283</v>
      </c>
      <c r="F60" s="795">
        <v>101</v>
      </c>
      <c r="G60" s="1274">
        <v>12009</v>
      </c>
      <c r="H60" s="795">
        <v>11683</v>
      </c>
      <c r="I60" s="795">
        <v>52</v>
      </c>
      <c r="J60" s="1288">
        <v>274</v>
      </c>
      <c r="K60" s="1289">
        <v>2122</v>
      </c>
      <c r="L60" s="1285">
        <f>I60/TableA10!D59</f>
        <v>4.1901692183722805E-2</v>
      </c>
    </row>
    <row r="61" spans="1:12" x14ac:dyDescent="0.2">
      <c r="A61" s="1275" t="s">
        <v>81</v>
      </c>
      <c r="B61" s="1274">
        <v>137323</v>
      </c>
      <c r="C61" s="794">
        <v>58148</v>
      </c>
      <c r="D61" s="795">
        <v>70797</v>
      </c>
      <c r="E61" s="795">
        <v>-1592</v>
      </c>
      <c r="F61" s="795">
        <v>9971</v>
      </c>
      <c r="G61" s="1274">
        <v>67026</v>
      </c>
      <c r="H61" s="795">
        <v>45346</v>
      </c>
      <c r="I61" s="795">
        <v>652</v>
      </c>
      <c r="J61" s="1288">
        <v>21027</v>
      </c>
      <c r="K61" s="1289">
        <v>70298</v>
      </c>
      <c r="L61" s="1285">
        <f>I61/TableA10!D60</f>
        <v>0.36588103254769921</v>
      </c>
    </row>
    <row r="62" spans="1:12" x14ac:dyDescent="0.2">
      <c r="A62" s="1275" t="s">
        <v>282</v>
      </c>
      <c r="B62" s="1274">
        <v>3654</v>
      </c>
      <c r="C62" s="794">
        <v>3621</v>
      </c>
      <c r="D62" s="795" t="s">
        <v>321</v>
      </c>
      <c r="E62" s="800">
        <v>9</v>
      </c>
      <c r="F62" s="800">
        <v>23</v>
      </c>
      <c r="G62" s="1274">
        <v>3215</v>
      </c>
      <c r="H62" s="795">
        <v>2962</v>
      </c>
      <c r="I62" s="795">
        <v>94</v>
      </c>
      <c r="J62" s="1288">
        <v>159</v>
      </c>
      <c r="K62" s="1289">
        <v>439</v>
      </c>
      <c r="L62" s="1285">
        <f>I62/TableA10!D61</f>
        <v>0.17938931297709923</v>
      </c>
    </row>
    <row r="63" spans="1:12" x14ac:dyDescent="0.2">
      <c r="A63" s="1275" t="s">
        <v>284</v>
      </c>
      <c r="B63" s="1274">
        <v>122221</v>
      </c>
      <c r="C63" s="794">
        <v>66698</v>
      </c>
      <c r="D63" s="795">
        <v>49498</v>
      </c>
      <c r="E63" s="800">
        <v>2352</v>
      </c>
      <c r="F63" s="800">
        <v>3673</v>
      </c>
      <c r="G63" s="1274">
        <v>59239</v>
      </c>
      <c r="H63" s="795">
        <v>45784</v>
      </c>
      <c r="I63" s="795">
        <v>569</v>
      </c>
      <c r="J63" s="1288">
        <v>12887</v>
      </c>
      <c r="K63" s="1289">
        <v>62982</v>
      </c>
      <c r="L63" s="1285">
        <f>I63/TableA10!D62</f>
        <v>4.8574355472084683E-2</v>
      </c>
    </row>
    <row r="64" spans="1:12" x14ac:dyDescent="0.2">
      <c r="A64" s="1275" t="s">
        <v>272</v>
      </c>
      <c r="B64" s="1274">
        <v>38859</v>
      </c>
      <c r="C64" s="794">
        <v>28744</v>
      </c>
      <c r="D64" s="795" t="s">
        <v>283</v>
      </c>
      <c r="E64" s="800" t="s">
        <v>283</v>
      </c>
      <c r="F64" s="800">
        <v>207</v>
      </c>
      <c r="G64" s="1274">
        <v>14483</v>
      </c>
      <c r="H64" s="795">
        <v>13027</v>
      </c>
      <c r="I64" s="795">
        <v>87</v>
      </c>
      <c r="J64" s="1288">
        <v>1368</v>
      </c>
      <c r="K64" s="1289">
        <v>24376</v>
      </c>
      <c r="L64" s="1285">
        <f>I64/TableA10!D63</f>
        <v>5.91072763095319E-3</v>
      </c>
    </row>
    <row r="65" spans="1:12" x14ac:dyDescent="0.2">
      <c r="A65" s="1271" t="s">
        <v>262</v>
      </c>
      <c r="B65" s="1272" t="s">
        <v>262</v>
      </c>
      <c r="C65" s="799" t="s">
        <v>262</v>
      </c>
      <c r="D65" s="800" t="s">
        <v>262</v>
      </c>
      <c r="E65" s="800" t="s">
        <v>262</v>
      </c>
      <c r="F65" s="800" t="s">
        <v>262</v>
      </c>
      <c r="G65" s="1272" t="s">
        <v>262</v>
      </c>
      <c r="H65" s="800" t="s">
        <v>262</v>
      </c>
      <c r="I65" s="800" t="s">
        <v>262</v>
      </c>
      <c r="J65" s="1286" t="s">
        <v>262</v>
      </c>
      <c r="K65" s="1287" t="s">
        <v>262</v>
      </c>
      <c r="L65" s="1285"/>
    </row>
    <row r="66" spans="1:12" x14ac:dyDescent="0.2">
      <c r="A66" s="1271" t="s">
        <v>285</v>
      </c>
      <c r="B66" s="72">
        <v>93247</v>
      </c>
      <c r="C66" s="73">
        <v>86372</v>
      </c>
      <c r="D66" s="74" t="s">
        <v>283</v>
      </c>
      <c r="E66" s="74" t="s">
        <v>283</v>
      </c>
      <c r="F66" s="74">
        <v>1323</v>
      </c>
      <c r="G66" s="72">
        <v>85639</v>
      </c>
      <c r="H66" s="74">
        <v>77559</v>
      </c>
      <c r="I66" s="74">
        <v>3632</v>
      </c>
      <c r="J66" s="75">
        <v>4448</v>
      </c>
      <c r="K66" s="76">
        <v>7609</v>
      </c>
      <c r="L66" s="1285">
        <f>I66/TableA10!D65</f>
        <v>0.5381538005630464</v>
      </c>
    </row>
    <row r="67" spans="1:12" x14ac:dyDescent="0.2">
      <c r="A67" s="1273" t="s">
        <v>286</v>
      </c>
      <c r="B67" s="1274">
        <v>11755</v>
      </c>
      <c r="C67" s="794">
        <v>11341</v>
      </c>
      <c r="D67" s="795" t="s">
        <v>283</v>
      </c>
      <c r="E67" s="795" t="s">
        <v>283</v>
      </c>
      <c r="F67" s="795">
        <v>348</v>
      </c>
      <c r="G67" s="1274">
        <v>12039</v>
      </c>
      <c r="H67" s="795">
        <v>11284</v>
      </c>
      <c r="I67" s="795">
        <v>475</v>
      </c>
      <c r="J67" s="1288">
        <v>281</v>
      </c>
      <c r="K67" s="1289">
        <v>-285</v>
      </c>
      <c r="L67" s="1285">
        <f>I67/TableA10!D66</f>
        <v>2.0652173913043477</v>
      </c>
    </row>
    <row r="68" spans="1:12" x14ac:dyDescent="0.2">
      <c r="A68" s="1273" t="s">
        <v>287</v>
      </c>
      <c r="B68" s="1274">
        <v>17677</v>
      </c>
      <c r="C68" s="794">
        <v>14025</v>
      </c>
      <c r="D68" s="795" t="s">
        <v>283</v>
      </c>
      <c r="E68" s="795" t="s">
        <v>283</v>
      </c>
      <c r="F68" s="800" t="s">
        <v>283</v>
      </c>
      <c r="G68" s="1272">
        <v>12905</v>
      </c>
      <c r="H68" s="800">
        <v>10206</v>
      </c>
      <c r="I68" s="795" t="s">
        <v>283</v>
      </c>
      <c r="J68" s="1288" t="s">
        <v>283</v>
      </c>
      <c r="K68" s="1289">
        <v>4772</v>
      </c>
      <c r="L68" s="1285"/>
    </row>
    <row r="69" spans="1:12" x14ac:dyDescent="0.2">
      <c r="A69" s="1273" t="s">
        <v>71</v>
      </c>
      <c r="B69" s="1274">
        <v>32654</v>
      </c>
      <c r="C69" s="794">
        <v>32233</v>
      </c>
      <c r="D69" s="795">
        <v>106</v>
      </c>
      <c r="E69" s="795">
        <v>107</v>
      </c>
      <c r="F69" s="795">
        <v>208</v>
      </c>
      <c r="G69" s="1274">
        <v>31723</v>
      </c>
      <c r="H69" s="795">
        <v>30238</v>
      </c>
      <c r="I69" s="795">
        <v>318</v>
      </c>
      <c r="J69" s="1288">
        <v>1167</v>
      </c>
      <c r="K69" s="1289">
        <v>931</v>
      </c>
      <c r="L69" s="1285">
        <f>I69/TableA10!D68</f>
        <v>0.30606352261790182</v>
      </c>
    </row>
    <row r="70" spans="1:12" x14ac:dyDescent="0.2">
      <c r="A70" s="1273" t="s">
        <v>272</v>
      </c>
      <c r="B70" s="1274">
        <v>31162</v>
      </c>
      <c r="C70" s="794">
        <v>28773</v>
      </c>
      <c r="D70" s="795" t="s">
        <v>283</v>
      </c>
      <c r="E70" s="795">
        <v>-1137</v>
      </c>
      <c r="F70" s="800" t="s">
        <v>283</v>
      </c>
      <c r="G70" s="1272">
        <v>28971</v>
      </c>
      <c r="H70" s="800">
        <v>25830</v>
      </c>
      <c r="I70" s="795" t="s">
        <v>283</v>
      </c>
      <c r="J70" s="1288" t="s">
        <v>283</v>
      </c>
      <c r="K70" s="1289">
        <v>2191</v>
      </c>
      <c r="L70" s="1285"/>
    </row>
    <row r="71" spans="1:12" x14ac:dyDescent="0.2">
      <c r="A71" s="1271" t="s">
        <v>262</v>
      </c>
      <c r="B71" s="1272" t="s">
        <v>262</v>
      </c>
      <c r="C71" s="799" t="s">
        <v>262</v>
      </c>
      <c r="D71" s="800" t="s">
        <v>262</v>
      </c>
      <c r="E71" s="800" t="s">
        <v>262</v>
      </c>
      <c r="F71" s="800" t="s">
        <v>262</v>
      </c>
      <c r="G71" s="1272" t="s">
        <v>262</v>
      </c>
      <c r="H71" s="800" t="s">
        <v>262</v>
      </c>
      <c r="I71" s="800" t="s">
        <v>262</v>
      </c>
      <c r="J71" s="1286" t="s">
        <v>262</v>
      </c>
      <c r="K71" s="1287" t="s">
        <v>262</v>
      </c>
      <c r="L71" s="1285"/>
    </row>
    <row r="72" spans="1:12" x14ac:dyDescent="0.2">
      <c r="A72" s="1271" t="s">
        <v>288</v>
      </c>
      <c r="B72" s="72">
        <v>70317</v>
      </c>
      <c r="C72" s="73">
        <v>64440</v>
      </c>
      <c r="D72" s="74" t="s">
        <v>283</v>
      </c>
      <c r="E72" s="74" t="s">
        <v>283</v>
      </c>
      <c r="F72" s="74">
        <v>672</v>
      </c>
      <c r="G72" s="72">
        <v>59752</v>
      </c>
      <c r="H72" s="74">
        <v>51742</v>
      </c>
      <c r="I72" s="74">
        <v>3863</v>
      </c>
      <c r="J72" s="75">
        <v>4146</v>
      </c>
      <c r="K72" s="76">
        <v>10565</v>
      </c>
      <c r="L72" s="1285">
        <f>I72/TableA10!D71</f>
        <v>0.3670657544659825</v>
      </c>
    </row>
    <row r="73" spans="1:12" x14ac:dyDescent="0.2">
      <c r="A73" s="1273" t="s">
        <v>44</v>
      </c>
      <c r="B73" s="1274">
        <v>21132</v>
      </c>
      <c r="C73" s="794">
        <v>20522</v>
      </c>
      <c r="D73" s="795">
        <v>463</v>
      </c>
      <c r="E73" s="795">
        <v>-15</v>
      </c>
      <c r="F73" s="795">
        <v>162</v>
      </c>
      <c r="G73" s="1274">
        <v>18499</v>
      </c>
      <c r="H73" s="795">
        <v>16740</v>
      </c>
      <c r="I73" s="795">
        <v>390</v>
      </c>
      <c r="J73" s="1288">
        <v>1369</v>
      </c>
      <c r="K73" s="1289">
        <v>2633</v>
      </c>
      <c r="L73" s="1285">
        <f>I73/TableA10!D72</f>
        <v>0.14590347923681257</v>
      </c>
    </row>
    <row r="74" spans="1:12" x14ac:dyDescent="0.2">
      <c r="A74" s="1273" t="s">
        <v>289</v>
      </c>
      <c r="B74" s="1274">
        <v>12224</v>
      </c>
      <c r="C74" s="794">
        <v>11077</v>
      </c>
      <c r="D74" s="795" t="s">
        <v>283</v>
      </c>
      <c r="E74" s="800" t="s">
        <v>283</v>
      </c>
      <c r="F74" s="800">
        <v>32</v>
      </c>
      <c r="G74" s="1274">
        <v>10915</v>
      </c>
      <c r="H74" s="795">
        <v>10237</v>
      </c>
      <c r="I74" s="795">
        <v>162</v>
      </c>
      <c r="J74" s="1288">
        <v>516</v>
      </c>
      <c r="K74" s="1289">
        <v>1309</v>
      </c>
      <c r="L74" s="1285">
        <f>I74/TableA10!D73</f>
        <v>0.39130434782608697</v>
      </c>
    </row>
    <row r="75" spans="1:12" x14ac:dyDescent="0.2">
      <c r="A75" s="1273" t="s">
        <v>290</v>
      </c>
      <c r="B75" s="1274">
        <v>23691</v>
      </c>
      <c r="C75" s="794">
        <v>22986</v>
      </c>
      <c r="D75" s="795" t="s">
        <v>283</v>
      </c>
      <c r="E75" s="800">
        <v>162</v>
      </c>
      <c r="F75" s="800" t="s">
        <v>283</v>
      </c>
      <c r="G75" s="1274">
        <v>20688</v>
      </c>
      <c r="H75" s="795">
        <v>17144</v>
      </c>
      <c r="I75" s="795" t="s">
        <v>283</v>
      </c>
      <c r="J75" s="1288" t="s">
        <v>283</v>
      </c>
      <c r="K75" s="1289">
        <v>3003</v>
      </c>
      <c r="L75" s="1285"/>
    </row>
    <row r="76" spans="1:12" x14ac:dyDescent="0.2">
      <c r="A76" s="1273" t="s">
        <v>272</v>
      </c>
      <c r="B76" s="1274">
        <v>13269</v>
      </c>
      <c r="C76" s="794">
        <v>9855</v>
      </c>
      <c r="D76" s="795" t="s">
        <v>283</v>
      </c>
      <c r="E76" s="800" t="s">
        <v>283</v>
      </c>
      <c r="F76" s="800" t="s">
        <v>283</v>
      </c>
      <c r="G76" s="1274">
        <v>9649</v>
      </c>
      <c r="H76" s="795">
        <v>7621</v>
      </c>
      <c r="I76" s="795" t="s">
        <v>283</v>
      </c>
      <c r="J76" s="1288" t="s">
        <v>283</v>
      </c>
      <c r="K76" s="1289">
        <v>3620</v>
      </c>
      <c r="L76" s="1285"/>
    </row>
    <row r="77" spans="1:12" x14ac:dyDescent="0.2">
      <c r="A77" s="1271" t="s">
        <v>262</v>
      </c>
      <c r="B77" s="1272" t="s">
        <v>262</v>
      </c>
      <c r="C77" s="799" t="s">
        <v>262</v>
      </c>
      <c r="D77" s="800" t="s">
        <v>262</v>
      </c>
      <c r="E77" s="800" t="s">
        <v>262</v>
      </c>
      <c r="F77" s="800" t="s">
        <v>262</v>
      </c>
      <c r="G77" s="1272" t="s">
        <v>262</v>
      </c>
      <c r="H77" s="800" t="s">
        <v>262</v>
      </c>
      <c r="I77" s="800" t="s">
        <v>262</v>
      </c>
      <c r="J77" s="1286" t="s">
        <v>262</v>
      </c>
      <c r="K77" s="1287" t="s">
        <v>262</v>
      </c>
      <c r="L77" s="1285"/>
    </row>
    <row r="78" spans="1:12" x14ac:dyDescent="0.2">
      <c r="A78" s="1271" t="s">
        <v>291</v>
      </c>
      <c r="B78" s="72">
        <v>1724881</v>
      </c>
      <c r="C78" s="73">
        <v>1653007</v>
      </c>
      <c r="D78" s="74">
        <v>51895</v>
      </c>
      <c r="E78" s="74">
        <v>-3333</v>
      </c>
      <c r="F78" s="74">
        <v>23313</v>
      </c>
      <c r="G78" s="72">
        <v>1579451</v>
      </c>
      <c r="H78" s="74">
        <v>1461139</v>
      </c>
      <c r="I78" s="74">
        <v>23359</v>
      </c>
      <c r="J78" s="75">
        <v>94952</v>
      </c>
      <c r="K78" s="76">
        <v>145430</v>
      </c>
      <c r="L78" s="124">
        <f>I78/TableA10!D77</f>
        <v>0.19166830773270316</v>
      </c>
    </row>
    <row r="79" spans="1:12" x14ac:dyDescent="0.2">
      <c r="A79" s="1273" t="s">
        <v>29</v>
      </c>
      <c r="B79" s="1274">
        <v>160065</v>
      </c>
      <c r="C79" s="794">
        <v>152193</v>
      </c>
      <c r="D79" s="795">
        <v>10436</v>
      </c>
      <c r="E79" s="795">
        <v>-6243</v>
      </c>
      <c r="F79" s="795">
        <v>3678</v>
      </c>
      <c r="G79" s="1274">
        <v>156494</v>
      </c>
      <c r="H79" s="795">
        <v>133326</v>
      </c>
      <c r="I79" s="795">
        <v>2186</v>
      </c>
      <c r="J79" s="1288">
        <v>20981</v>
      </c>
      <c r="K79" s="1289">
        <v>3571</v>
      </c>
      <c r="L79" s="1285">
        <f>I79/TableA10!D78</f>
        <v>1.1034830893488137</v>
      </c>
    </row>
    <row r="80" spans="1:12" x14ac:dyDescent="0.2">
      <c r="A80" s="1273" t="s">
        <v>66</v>
      </c>
      <c r="B80" s="1274">
        <v>363697</v>
      </c>
      <c r="C80" s="794">
        <v>355840</v>
      </c>
      <c r="D80" s="795">
        <v>4432</v>
      </c>
      <c r="E80" s="795">
        <v>-1809</v>
      </c>
      <c r="F80" s="795">
        <v>5233</v>
      </c>
      <c r="G80" s="1274">
        <v>341758</v>
      </c>
      <c r="H80" s="795">
        <v>323290</v>
      </c>
      <c r="I80" s="795">
        <v>5230</v>
      </c>
      <c r="J80" s="1288">
        <v>13238</v>
      </c>
      <c r="K80" s="1289">
        <v>21938</v>
      </c>
      <c r="L80" s="1285">
        <f>I80/TableA10!D79</f>
        <v>0.21222204187631877</v>
      </c>
    </row>
    <row r="81" spans="1:12" x14ac:dyDescent="0.2">
      <c r="A81" s="1273" t="s">
        <v>91</v>
      </c>
      <c r="B81" s="1274">
        <v>156597</v>
      </c>
      <c r="C81" s="794">
        <v>142786</v>
      </c>
      <c r="D81" s="795">
        <v>8493</v>
      </c>
      <c r="E81" s="795">
        <v>2465</v>
      </c>
      <c r="F81" s="795">
        <v>2853</v>
      </c>
      <c r="G81" s="1274">
        <v>138184</v>
      </c>
      <c r="H81" s="795">
        <v>130574</v>
      </c>
      <c r="I81" s="795">
        <v>1239</v>
      </c>
      <c r="J81" s="1288">
        <v>6371</v>
      </c>
      <c r="K81" s="1289">
        <v>18413</v>
      </c>
      <c r="L81" s="1285">
        <f>I81/TableA10!D80</f>
        <v>0.14233199310740954</v>
      </c>
    </row>
    <row r="82" spans="1:12" x14ac:dyDescent="0.2">
      <c r="A82" s="1273" t="s">
        <v>69</v>
      </c>
      <c r="B82" s="1274">
        <v>82239</v>
      </c>
      <c r="C82" s="794">
        <v>80115</v>
      </c>
      <c r="D82" s="795">
        <v>389</v>
      </c>
      <c r="E82" s="795">
        <v>567</v>
      </c>
      <c r="F82" s="795">
        <v>1168</v>
      </c>
      <c r="G82" s="1274">
        <v>77084</v>
      </c>
      <c r="H82" s="795">
        <v>68470</v>
      </c>
      <c r="I82" s="795">
        <v>2293</v>
      </c>
      <c r="J82" s="1288">
        <v>6321</v>
      </c>
      <c r="K82" s="1289">
        <v>5155</v>
      </c>
      <c r="L82" s="1285">
        <f>I82/TableA10!D81</f>
        <v>0.35320394331484906</v>
      </c>
    </row>
    <row r="83" spans="1:12" x14ac:dyDescent="0.2">
      <c r="A83" s="1273" t="s">
        <v>292</v>
      </c>
      <c r="B83" s="1274">
        <v>27497</v>
      </c>
      <c r="C83" s="794">
        <v>26021</v>
      </c>
      <c r="D83" s="795">
        <v>1430</v>
      </c>
      <c r="E83" s="795">
        <v>-32</v>
      </c>
      <c r="F83" s="800">
        <v>77</v>
      </c>
      <c r="G83" s="1272">
        <v>24244</v>
      </c>
      <c r="H83" s="800">
        <v>20828</v>
      </c>
      <c r="I83" s="795">
        <v>1953</v>
      </c>
      <c r="J83" s="1288">
        <v>1462</v>
      </c>
      <c r="K83" s="1289">
        <v>3253</v>
      </c>
      <c r="L83" s="1285">
        <f>I83/TableA10!D82</f>
        <v>0.45845070422535211</v>
      </c>
    </row>
    <row r="84" spans="1:12" x14ac:dyDescent="0.2">
      <c r="A84" s="1273" t="s">
        <v>46</v>
      </c>
      <c r="B84" s="1274">
        <v>219703</v>
      </c>
      <c r="C84" s="794">
        <v>215684</v>
      </c>
      <c r="D84" s="795">
        <v>4130</v>
      </c>
      <c r="E84" s="795">
        <v>-3001</v>
      </c>
      <c r="F84" s="795">
        <v>2890</v>
      </c>
      <c r="G84" s="1274">
        <v>201795</v>
      </c>
      <c r="H84" s="795">
        <v>186886</v>
      </c>
      <c r="I84" s="795">
        <v>5505</v>
      </c>
      <c r="J84" s="1288">
        <v>9405</v>
      </c>
      <c r="K84" s="1289">
        <v>17908</v>
      </c>
      <c r="L84" s="1285">
        <f>I84/TableA10!D83</f>
        <v>0.24690527448869753</v>
      </c>
    </row>
    <row r="85" spans="1:12" x14ac:dyDescent="0.2">
      <c r="A85" s="1273" t="s">
        <v>308</v>
      </c>
      <c r="B85" s="1274">
        <v>73036</v>
      </c>
      <c r="C85" s="794">
        <v>71673</v>
      </c>
      <c r="D85" s="795">
        <v>396</v>
      </c>
      <c r="E85" s="795">
        <v>328</v>
      </c>
      <c r="F85" s="795">
        <v>639</v>
      </c>
      <c r="G85" s="1274">
        <v>68268</v>
      </c>
      <c r="H85" s="795">
        <v>63234</v>
      </c>
      <c r="I85" s="795">
        <v>1096</v>
      </c>
      <c r="J85" s="1288">
        <v>3938</v>
      </c>
      <c r="K85" s="1289">
        <v>4768</v>
      </c>
      <c r="L85" s="1285">
        <f>I85/TableA10!D84</f>
        <v>0.21318809570122543</v>
      </c>
    </row>
    <row r="86" spans="1:12" x14ac:dyDescent="0.2">
      <c r="A86" s="1273" t="s">
        <v>293</v>
      </c>
      <c r="B86" s="1274">
        <v>48439</v>
      </c>
      <c r="C86" s="794">
        <v>47568</v>
      </c>
      <c r="D86" s="795">
        <v>-39</v>
      </c>
      <c r="E86" s="795">
        <v>241</v>
      </c>
      <c r="F86" s="795">
        <v>670</v>
      </c>
      <c r="G86" s="1274">
        <v>45321</v>
      </c>
      <c r="H86" s="795">
        <v>42394</v>
      </c>
      <c r="I86" s="795">
        <v>-178</v>
      </c>
      <c r="J86" s="1288">
        <v>3105</v>
      </c>
      <c r="K86" s="1289">
        <v>3118</v>
      </c>
      <c r="L86" s="1285">
        <f>I86/TableA10!D85</f>
        <v>-6.1000685400959563E-2</v>
      </c>
    </row>
    <row r="87" spans="1:12" x14ac:dyDescent="0.2">
      <c r="A87" s="1273" t="s">
        <v>52</v>
      </c>
      <c r="B87" s="1274">
        <v>15078</v>
      </c>
      <c r="C87" s="794">
        <v>14769</v>
      </c>
      <c r="D87" s="795" t="s">
        <v>283</v>
      </c>
      <c r="E87" s="795" t="s">
        <v>283</v>
      </c>
      <c r="F87" s="795" t="s">
        <v>283</v>
      </c>
      <c r="G87" s="1274">
        <v>13837</v>
      </c>
      <c r="H87" s="795">
        <v>12928</v>
      </c>
      <c r="I87" s="795">
        <v>196</v>
      </c>
      <c r="J87" s="1288">
        <v>713</v>
      </c>
      <c r="K87" s="1289">
        <v>1241</v>
      </c>
      <c r="L87" s="1285">
        <f>I87/TableA10!D86</f>
        <v>0.15909090909090909</v>
      </c>
    </row>
    <row r="88" spans="1:12" x14ac:dyDescent="0.2">
      <c r="A88" s="1273" t="s">
        <v>294</v>
      </c>
      <c r="B88" s="1274">
        <v>22206</v>
      </c>
      <c r="C88" s="794">
        <v>21975</v>
      </c>
      <c r="D88" s="795">
        <v>51</v>
      </c>
      <c r="E88" s="795">
        <v>5</v>
      </c>
      <c r="F88" s="795">
        <v>175</v>
      </c>
      <c r="G88" s="1274">
        <v>21701</v>
      </c>
      <c r="H88" s="795">
        <v>19010</v>
      </c>
      <c r="I88" s="795">
        <v>371</v>
      </c>
      <c r="J88" s="1288">
        <v>2319</v>
      </c>
      <c r="K88" s="1289">
        <v>505</v>
      </c>
      <c r="L88" s="1285">
        <f>I88/TableA10!D87</f>
        <v>0.45243902439024392</v>
      </c>
    </row>
    <row r="89" spans="1:12" x14ac:dyDescent="0.2">
      <c r="A89" s="1273" t="s">
        <v>102</v>
      </c>
      <c r="B89" s="1274">
        <v>431201</v>
      </c>
      <c r="C89" s="794">
        <v>401090</v>
      </c>
      <c r="D89" s="795">
        <v>20744</v>
      </c>
      <c r="E89" s="795">
        <v>4938</v>
      </c>
      <c r="F89" s="795">
        <v>4429</v>
      </c>
      <c r="G89" s="1274">
        <v>377593</v>
      </c>
      <c r="H89" s="795">
        <v>354068</v>
      </c>
      <c r="I89" s="795">
        <v>1714</v>
      </c>
      <c r="J89" s="1288">
        <v>21812</v>
      </c>
      <c r="K89" s="1289">
        <v>53608</v>
      </c>
      <c r="L89" s="1285">
        <f>I89/TableA10!D88</f>
        <v>5.7823358747722826E-2</v>
      </c>
    </row>
    <row r="90" spans="1:12" x14ac:dyDescent="0.2">
      <c r="A90" s="1273" t="s">
        <v>295</v>
      </c>
      <c r="B90" s="1274">
        <v>37909</v>
      </c>
      <c r="C90" s="794">
        <v>37217</v>
      </c>
      <c r="D90" s="795">
        <v>321</v>
      </c>
      <c r="E90" s="795">
        <v>110</v>
      </c>
      <c r="F90" s="795">
        <v>260</v>
      </c>
      <c r="G90" s="1274">
        <v>35057</v>
      </c>
      <c r="H90" s="795">
        <v>32579</v>
      </c>
      <c r="I90" s="795">
        <v>484</v>
      </c>
      <c r="J90" s="1288">
        <v>1994</v>
      </c>
      <c r="K90" s="1289">
        <v>2852</v>
      </c>
      <c r="L90" s="1285">
        <f>I90/TableA10!D89</f>
        <v>0.16666666666666666</v>
      </c>
    </row>
    <row r="91" spans="1:12" x14ac:dyDescent="0.2">
      <c r="A91" s="1273" t="s">
        <v>296</v>
      </c>
      <c r="B91" s="1274">
        <v>56660</v>
      </c>
      <c r="C91" s="794">
        <v>55678</v>
      </c>
      <c r="D91" s="795">
        <v>140</v>
      </c>
      <c r="E91" s="795">
        <v>438</v>
      </c>
      <c r="F91" s="795">
        <v>404</v>
      </c>
      <c r="G91" s="1274">
        <v>51455</v>
      </c>
      <c r="H91" s="795">
        <v>48939</v>
      </c>
      <c r="I91" s="795">
        <v>763</v>
      </c>
      <c r="J91" s="1288">
        <v>1752</v>
      </c>
      <c r="K91" s="1289">
        <v>5206</v>
      </c>
      <c r="L91" s="1285">
        <f>I91/TableA10!D90</f>
        <v>0.1339066339066339</v>
      </c>
    </row>
    <row r="92" spans="1:12" x14ac:dyDescent="0.2">
      <c r="A92" s="1273" t="s">
        <v>272</v>
      </c>
      <c r="B92" s="1274">
        <v>30556</v>
      </c>
      <c r="C92" s="794">
        <v>30399</v>
      </c>
      <c r="D92" s="795" t="s">
        <v>283</v>
      </c>
      <c r="E92" s="795" t="s">
        <v>283</v>
      </c>
      <c r="F92" s="800" t="s">
        <v>283</v>
      </c>
      <c r="G92" s="1272">
        <v>26661</v>
      </c>
      <c r="H92" s="800">
        <v>24613</v>
      </c>
      <c r="I92" s="795">
        <v>507</v>
      </c>
      <c r="J92" s="1288">
        <v>1540</v>
      </c>
      <c r="K92" s="1289">
        <v>3895</v>
      </c>
      <c r="L92" s="1285">
        <f>I92/TableA10!D91</f>
        <v>9.8676527831841179E-2</v>
      </c>
    </row>
    <row r="93" spans="1:12" x14ac:dyDescent="0.2">
      <c r="A93" s="1271" t="s">
        <v>262</v>
      </c>
      <c r="B93" s="1272" t="s">
        <v>262</v>
      </c>
      <c r="C93" s="799" t="s">
        <v>262</v>
      </c>
      <c r="D93" s="800" t="s">
        <v>262</v>
      </c>
      <c r="E93" s="800" t="s">
        <v>262</v>
      </c>
      <c r="F93" s="800" t="s">
        <v>262</v>
      </c>
      <c r="G93" s="1272" t="s">
        <v>262</v>
      </c>
      <c r="H93" s="800" t="s">
        <v>262</v>
      </c>
      <c r="I93" s="800" t="s">
        <v>262</v>
      </c>
      <c r="J93" s="1286" t="s">
        <v>262</v>
      </c>
      <c r="K93" s="1287" t="s">
        <v>262</v>
      </c>
      <c r="L93" s="1285"/>
    </row>
    <row r="94" spans="1:12" x14ac:dyDescent="0.2">
      <c r="A94" s="1271" t="s">
        <v>297</v>
      </c>
      <c r="B94" s="1272" t="s">
        <v>262</v>
      </c>
      <c r="C94" s="799" t="s">
        <v>262</v>
      </c>
      <c r="D94" s="800" t="s">
        <v>262</v>
      </c>
      <c r="E94" s="800" t="s">
        <v>262</v>
      </c>
      <c r="F94" s="800" t="s">
        <v>262</v>
      </c>
      <c r="G94" s="1272" t="s">
        <v>262</v>
      </c>
      <c r="H94" s="800" t="s">
        <v>262</v>
      </c>
      <c r="I94" s="800" t="s">
        <v>262</v>
      </c>
      <c r="J94" s="1286" t="s">
        <v>262</v>
      </c>
      <c r="K94" s="1287" t="s">
        <v>262</v>
      </c>
      <c r="L94" s="1285"/>
    </row>
    <row r="95" spans="1:12" x14ac:dyDescent="0.2">
      <c r="A95" s="1273" t="s">
        <v>298</v>
      </c>
      <c r="B95" s="1274">
        <v>2948107</v>
      </c>
      <c r="C95" s="794">
        <v>2386308</v>
      </c>
      <c r="D95" s="795">
        <v>451075</v>
      </c>
      <c r="E95" s="795">
        <v>-29134</v>
      </c>
      <c r="F95" s="795">
        <v>139858</v>
      </c>
      <c r="G95" s="1274">
        <v>2362270</v>
      </c>
      <c r="H95" s="795">
        <v>2060533</v>
      </c>
      <c r="I95" s="795">
        <v>32595</v>
      </c>
      <c r="J95" s="1288">
        <v>269141</v>
      </c>
      <c r="K95" s="1289">
        <v>585837</v>
      </c>
      <c r="L95" s="1285">
        <f>I95/TableA10!D94</f>
        <v>0.16548373339831851</v>
      </c>
    </row>
    <row r="96" spans="1:12" ht="17" thickBot="1" x14ac:dyDescent="0.25">
      <c r="A96" s="1276" t="s">
        <v>299</v>
      </c>
      <c r="B96" s="1277">
        <v>97268</v>
      </c>
      <c r="C96" s="1278">
        <v>84915</v>
      </c>
      <c r="D96" s="1279">
        <v>14137</v>
      </c>
      <c r="E96" s="1279">
        <v>-2688</v>
      </c>
      <c r="F96" s="1279">
        <v>902</v>
      </c>
      <c r="G96" s="1277">
        <v>82533</v>
      </c>
      <c r="H96" s="1279">
        <v>71746</v>
      </c>
      <c r="I96" s="1279">
        <v>5854</v>
      </c>
      <c r="J96" s="1290">
        <v>4934</v>
      </c>
      <c r="K96" s="1291">
        <v>14734</v>
      </c>
      <c r="L96" s="1292">
        <f>I96/TableA10!D95</f>
        <v>0.5874560963371801</v>
      </c>
    </row>
    <row r="97" spans="1:12" ht="17" thickTop="1" x14ac:dyDescent="0.2">
      <c r="A97" s="1281"/>
      <c r="B97" s="1281"/>
      <c r="C97" s="1281"/>
      <c r="D97" s="1281"/>
      <c r="E97" s="1281"/>
      <c r="F97" s="1281"/>
      <c r="G97" s="1281"/>
      <c r="H97" s="1281"/>
      <c r="I97" s="1281"/>
      <c r="J97" s="1281"/>
      <c r="K97" s="1281"/>
      <c r="L97" s="1281"/>
    </row>
    <row r="99" spans="1:12" x14ac:dyDescent="0.2">
      <c r="A99" s="1281" t="s">
        <v>322</v>
      </c>
      <c r="B99" s="1293">
        <f t="shared" ref="B99:G99" si="0">B26+B27+B24+B35+B59+B89</f>
        <v>2171040</v>
      </c>
      <c r="C99" s="1293">
        <f t="shared" si="0"/>
        <v>1571317</v>
      </c>
      <c r="D99" s="1293">
        <f t="shared" si="0"/>
        <v>499559</v>
      </c>
      <c r="E99" s="1293">
        <f t="shared" si="0"/>
        <v>-14065</v>
      </c>
      <c r="F99" s="1293">
        <f t="shared" si="0"/>
        <v>114228</v>
      </c>
      <c r="G99" s="1293">
        <f t="shared" si="0"/>
        <v>1487580</v>
      </c>
      <c r="H99" s="1293">
        <f>H26+H27+H24+H35+H59+H89</f>
        <v>1265417</v>
      </c>
      <c r="I99" s="1293">
        <f>I26+I27+I24+I35+I59+I89</f>
        <v>14897</v>
      </c>
      <c r="J99" s="1293">
        <f>J26+J27+J24+J35+J59+J89</f>
        <v>207264</v>
      </c>
      <c r="K99" s="1293">
        <f>K26+K27+K24+K35+K59+K89</f>
        <v>683460</v>
      </c>
      <c r="L99" s="1294">
        <f>I99/(K99+I99-D99-E99)</f>
        <v>6.9983980306582164E-2</v>
      </c>
    </row>
    <row r="100" spans="1:12" x14ac:dyDescent="0.2">
      <c r="A100" s="1281" t="s">
        <v>323</v>
      </c>
      <c r="B100" s="1293">
        <f>B13-B26-B27-B24-B35-B29</f>
        <v>1975103</v>
      </c>
      <c r="C100" s="1293">
        <f t="shared" ref="C100:K100" si="1">C13-C26-C27-C24-C35-C29</f>
        <v>1788414</v>
      </c>
      <c r="D100" s="1293">
        <f t="shared" si="1"/>
        <v>138768</v>
      </c>
      <c r="E100" s="1293">
        <f t="shared" si="1"/>
        <v>-7236</v>
      </c>
      <c r="F100" s="1293">
        <f t="shared" si="1"/>
        <v>55158</v>
      </c>
      <c r="G100" s="1293">
        <f t="shared" si="1"/>
        <v>1780591</v>
      </c>
      <c r="H100" s="1293">
        <f t="shared" si="1"/>
        <v>1605982</v>
      </c>
      <c r="I100" s="1293">
        <f t="shared" si="1"/>
        <v>27140</v>
      </c>
      <c r="J100" s="1293">
        <f t="shared" si="1"/>
        <v>147473</v>
      </c>
      <c r="K100" s="1293">
        <f t="shared" si="1"/>
        <v>194511</v>
      </c>
      <c r="L100" s="1294">
        <f>I100/(K100+I100-D100-E100)</f>
        <v>0.30115735860362408</v>
      </c>
    </row>
    <row r="101" spans="1:12" x14ac:dyDescent="0.2">
      <c r="A101" s="1281" t="s">
        <v>324</v>
      </c>
      <c r="B101" s="1293">
        <f t="shared" ref="B101:H101" si="2">B82+B80+B83+B85+B42</f>
        <v>874564</v>
      </c>
      <c r="C101" s="1293">
        <f t="shared" si="2"/>
        <v>853203</v>
      </c>
      <c r="D101" s="1293">
        <f t="shared" si="2"/>
        <v>14660</v>
      </c>
      <c r="E101" s="1293">
        <f t="shared" si="2"/>
        <v>-4893</v>
      </c>
      <c r="F101" s="1293">
        <f t="shared" si="2"/>
        <v>11592</v>
      </c>
      <c r="G101" s="1293">
        <f t="shared" si="2"/>
        <v>830990</v>
      </c>
      <c r="H101" s="1293">
        <f t="shared" si="2"/>
        <v>768218</v>
      </c>
      <c r="I101" s="1293">
        <f>I82+I80+I83+I85+I42</f>
        <v>16835</v>
      </c>
      <c r="J101" s="1293">
        <f>J82+J80+J83+J85+J42</f>
        <v>45936</v>
      </c>
      <c r="K101" s="1293">
        <f>K82+K80+K83+K85+K42</f>
        <v>43573</v>
      </c>
      <c r="L101" s="1294">
        <f>I101/(K101+I101-D101-E101)</f>
        <v>0.3324381430066547</v>
      </c>
    </row>
  </sheetData>
  <mergeCells count="6">
    <mergeCell ref="K7:K8"/>
    <mergeCell ref="B6:K6"/>
    <mergeCell ref="A3:L3"/>
    <mergeCell ref="B7:F7"/>
    <mergeCell ref="G7:J7"/>
    <mergeCell ref="L6:L8"/>
  </mergeCells>
  <pageMargins left="0.7" right="0.7" top="0.75" bottom="0.75" header="0.3" footer="0.3"/>
  <pageSetup scale="46" orientation="portrait" horizontalDpi="300" verticalDpi="300"/>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L101"/>
  <sheetViews>
    <sheetView workbookViewId="0">
      <pane xSplit="1" ySplit="8" topLeftCell="B69" activePane="bottomRight" state="frozen"/>
      <selection pane="topRight" activeCell="B1" sqref="B1"/>
      <selection pane="bottomLeft" activeCell="A8" sqref="A8"/>
      <selection pane="bottomRight" activeCell="A3" sqref="A3:L3"/>
    </sheetView>
  </sheetViews>
  <sheetFormatPr baseColWidth="10" defaultColWidth="7.6640625" defaultRowHeight="16" x14ac:dyDescent="0.2"/>
  <cols>
    <col min="1" max="1" width="29.33203125" style="80" customWidth="1"/>
    <col min="2" max="11" width="12.1640625" style="80" customWidth="1"/>
    <col min="12" max="12" width="11" style="80" customWidth="1"/>
    <col min="13" max="248" width="7.6640625" style="80"/>
    <col min="249" max="249" width="38.83203125" style="80" customWidth="1"/>
    <col min="250" max="259" width="12.1640625" style="80" customWidth="1"/>
    <col min="260" max="504" width="7.6640625" style="80"/>
    <col min="505" max="505" width="38.83203125" style="80" customWidth="1"/>
    <col min="506" max="515" width="12.1640625" style="80" customWidth="1"/>
    <col min="516" max="760" width="7.6640625" style="80"/>
    <col min="761" max="761" width="38.83203125" style="80" customWidth="1"/>
    <col min="762" max="771" width="12.1640625" style="80" customWidth="1"/>
    <col min="772" max="1016" width="7.6640625" style="80"/>
    <col min="1017" max="1017" width="38.83203125" style="80" customWidth="1"/>
    <col min="1018" max="1027" width="12.1640625" style="80" customWidth="1"/>
    <col min="1028" max="1272" width="7.6640625" style="80"/>
    <col min="1273" max="1273" width="38.83203125" style="80" customWidth="1"/>
    <col min="1274" max="1283" width="12.1640625" style="80" customWidth="1"/>
    <col min="1284" max="1528" width="7.6640625" style="80"/>
    <col min="1529" max="1529" width="38.83203125" style="80" customWidth="1"/>
    <col min="1530" max="1539" width="12.1640625" style="80" customWidth="1"/>
    <col min="1540" max="1784" width="7.6640625" style="80"/>
    <col min="1785" max="1785" width="38.83203125" style="80" customWidth="1"/>
    <col min="1786" max="1795" width="12.1640625" style="80" customWidth="1"/>
    <col min="1796" max="2040" width="7.6640625" style="80"/>
    <col min="2041" max="2041" width="38.83203125" style="80" customWidth="1"/>
    <col min="2042" max="2051" width="12.1640625" style="80" customWidth="1"/>
    <col min="2052" max="2296" width="7.6640625" style="80"/>
    <col min="2297" max="2297" width="38.83203125" style="80" customWidth="1"/>
    <col min="2298" max="2307" width="12.1640625" style="80" customWidth="1"/>
    <col min="2308" max="2552" width="7.6640625" style="80"/>
    <col min="2553" max="2553" width="38.83203125" style="80" customWidth="1"/>
    <col min="2554" max="2563" width="12.1640625" style="80" customWidth="1"/>
    <col min="2564" max="2808" width="7.6640625" style="80"/>
    <col min="2809" max="2809" width="38.83203125" style="80" customWidth="1"/>
    <col min="2810" max="2819" width="12.1640625" style="80" customWidth="1"/>
    <col min="2820" max="3064" width="7.6640625" style="80"/>
    <col min="3065" max="3065" width="38.83203125" style="80" customWidth="1"/>
    <col min="3066" max="3075" width="12.1640625" style="80" customWidth="1"/>
    <col min="3076" max="3320" width="7.6640625" style="80"/>
    <col min="3321" max="3321" width="38.83203125" style="80" customWidth="1"/>
    <col min="3322" max="3331" width="12.1640625" style="80" customWidth="1"/>
    <col min="3332" max="3576" width="7.6640625" style="80"/>
    <col min="3577" max="3577" width="38.83203125" style="80" customWidth="1"/>
    <col min="3578" max="3587" width="12.1640625" style="80" customWidth="1"/>
    <col min="3588" max="3832" width="7.6640625" style="80"/>
    <col min="3833" max="3833" width="38.83203125" style="80" customWidth="1"/>
    <col min="3834" max="3843" width="12.1640625" style="80" customWidth="1"/>
    <col min="3844" max="4088" width="7.6640625" style="80"/>
    <col min="4089" max="4089" width="38.83203125" style="80" customWidth="1"/>
    <col min="4090" max="4099" width="12.1640625" style="80" customWidth="1"/>
    <col min="4100" max="4344" width="7.6640625" style="80"/>
    <col min="4345" max="4345" width="38.83203125" style="80" customWidth="1"/>
    <col min="4346" max="4355" width="12.1640625" style="80" customWidth="1"/>
    <col min="4356" max="4600" width="7.6640625" style="80"/>
    <col min="4601" max="4601" width="38.83203125" style="80" customWidth="1"/>
    <col min="4602" max="4611" width="12.1640625" style="80" customWidth="1"/>
    <col min="4612" max="4856" width="7.6640625" style="80"/>
    <col min="4857" max="4857" width="38.83203125" style="80" customWidth="1"/>
    <col min="4858" max="4867" width="12.1640625" style="80" customWidth="1"/>
    <col min="4868" max="5112" width="7.6640625" style="80"/>
    <col min="5113" max="5113" width="38.83203125" style="80" customWidth="1"/>
    <col min="5114" max="5123" width="12.1640625" style="80" customWidth="1"/>
    <col min="5124" max="5368" width="7.6640625" style="80"/>
    <col min="5369" max="5369" width="38.83203125" style="80" customWidth="1"/>
    <col min="5370" max="5379" width="12.1640625" style="80" customWidth="1"/>
    <col min="5380" max="5624" width="7.6640625" style="80"/>
    <col min="5625" max="5625" width="38.83203125" style="80" customWidth="1"/>
    <col min="5626" max="5635" width="12.1640625" style="80" customWidth="1"/>
    <col min="5636" max="5880" width="7.6640625" style="80"/>
    <col min="5881" max="5881" width="38.83203125" style="80" customWidth="1"/>
    <col min="5882" max="5891" width="12.1640625" style="80" customWidth="1"/>
    <col min="5892" max="6136" width="7.6640625" style="80"/>
    <col min="6137" max="6137" width="38.83203125" style="80" customWidth="1"/>
    <col min="6138" max="6147" width="12.1640625" style="80" customWidth="1"/>
    <col min="6148" max="6392" width="7.6640625" style="80"/>
    <col min="6393" max="6393" width="38.83203125" style="80" customWidth="1"/>
    <col min="6394" max="6403" width="12.1640625" style="80" customWidth="1"/>
    <col min="6404" max="6648" width="7.6640625" style="80"/>
    <col min="6649" max="6649" width="38.83203125" style="80" customWidth="1"/>
    <col min="6650" max="6659" width="12.1640625" style="80" customWidth="1"/>
    <col min="6660" max="6904" width="7.6640625" style="80"/>
    <col min="6905" max="6905" width="38.83203125" style="80" customWidth="1"/>
    <col min="6906" max="6915" width="12.1640625" style="80" customWidth="1"/>
    <col min="6916" max="7160" width="7.6640625" style="80"/>
    <col min="7161" max="7161" width="38.83203125" style="80" customWidth="1"/>
    <col min="7162" max="7171" width="12.1640625" style="80" customWidth="1"/>
    <col min="7172" max="7416" width="7.6640625" style="80"/>
    <col min="7417" max="7417" width="38.83203125" style="80" customWidth="1"/>
    <col min="7418" max="7427" width="12.1640625" style="80" customWidth="1"/>
    <col min="7428" max="7672" width="7.6640625" style="80"/>
    <col min="7673" max="7673" width="38.83203125" style="80" customWidth="1"/>
    <col min="7674" max="7683" width="12.1640625" style="80" customWidth="1"/>
    <col min="7684" max="7928" width="7.6640625" style="80"/>
    <col min="7929" max="7929" width="38.83203125" style="80" customWidth="1"/>
    <col min="7930" max="7939" width="12.1640625" style="80" customWidth="1"/>
    <col min="7940" max="8184" width="7.6640625" style="80"/>
    <col min="8185" max="8185" width="38.83203125" style="80" customWidth="1"/>
    <col min="8186" max="8195" width="12.1640625" style="80" customWidth="1"/>
    <col min="8196" max="8440" width="7.6640625" style="80"/>
    <col min="8441" max="8441" width="38.83203125" style="80" customWidth="1"/>
    <col min="8442" max="8451" width="12.1640625" style="80" customWidth="1"/>
    <col min="8452" max="8696" width="7.6640625" style="80"/>
    <col min="8697" max="8697" width="38.83203125" style="80" customWidth="1"/>
    <col min="8698" max="8707" width="12.1640625" style="80" customWidth="1"/>
    <col min="8708" max="8952" width="7.6640625" style="80"/>
    <col min="8953" max="8953" width="38.83203125" style="80" customWidth="1"/>
    <col min="8954" max="8963" width="12.1640625" style="80" customWidth="1"/>
    <col min="8964" max="9208" width="7.6640625" style="80"/>
    <col min="9209" max="9209" width="38.83203125" style="80" customWidth="1"/>
    <col min="9210" max="9219" width="12.1640625" style="80" customWidth="1"/>
    <col min="9220" max="9464" width="7.6640625" style="80"/>
    <col min="9465" max="9465" width="38.83203125" style="80" customWidth="1"/>
    <col min="9466" max="9475" width="12.1640625" style="80" customWidth="1"/>
    <col min="9476" max="9720" width="7.6640625" style="80"/>
    <col min="9721" max="9721" width="38.83203125" style="80" customWidth="1"/>
    <col min="9722" max="9731" width="12.1640625" style="80" customWidth="1"/>
    <col min="9732" max="9976" width="7.6640625" style="80"/>
    <col min="9977" max="9977" width="38.83203125" style="80" customWidth="1"/>
    <col min="9978" max="9987" width="12.1640625" style="80" customWidth="1"/>
    <col min="9988" max="10232" width="7.6640625" style="80"/>
    <col min="10233" max="10233" width="38.83203125" style="80" customWidth="1"/>
    <col min="10234" max="10243" width="12.1640625" style="80" customWidth="1"/>
    <col min="10244" max="10488" width="7.6640625" style="80"/>
    <col min="10489" max="10489" width="38.83203125" style="80" customWidth="1"/>
    <col min="10490" max="10499" width="12.1640625" style="80" customWidth="1"/>
    <col min="10500" max="10744" width="7.6640625" style="80"/>
    <col min="10745" max="10745" width="38.83203125" style="80" customWidth="1"/>
    <col min="10746" max="10755" width="12.1640625" style="80" customWidth="1"/>
    <col min="10756" max="11000" width="7.6640625" style="80"/>
    <col min="11001" max="11001" width="38.83203125" style="80" customWidth="1"/>
    <col min="11002" max="11011" width="12.1640625" style="80" customWidth="1"/>
    <col min="11012" max="11256" width="7.6640625" style="80"/>
    <col min="11257" max="11257" width="38.83203125" style="80" customWidth="1"/>
    <col min="11258" max="11267" width="12.1640625" style="80" customWidth="1"/>
    <col min="11268" max="11512" width="7.6640625" style="80"/>
    <col min="11513" max="11513" width="38.83203125" style="80" customWidth="1"/>
    <col min="11514" max="11523" width="12.1640625" style="80" customWidth="1"/>
    <col min="11524" max="11768" width="7.6640625" style="80"/>
    <col min="11769" max="11769" width="38.83203125" style="80" customWidth="1"/>
    <col min="11770" max="11779" width="12.1640625" style="80" customWidth="1"/>
    <col min="11780" max="12024" width="7.6640625" style="80"/>
    <col min="12025" max="12025" width="38.83203125" style="80" customWidth="1"/>
    <col min="12026" max="12035" width="12.1640625" style="80" customWidth="1"/>
    <col min="12036" max="12280" width="7.6640625" style="80"/>
    <col min="12281" max="12281" width="38.83203125" style="80" customWidth="1"/>
    <col min="12282" max="12291" width="12.1640625" style="80" customWidth="1"/>
    <col min="12292" max="12536" width="7.6640625" style="80"/>
    <col min="12537" max="12537" width="38.83203125" style="80" customWidth="1"/>
    <col min="12538" max="12547" width="12.1640625" style="80" customWidth="1"/>
    <col min="12548" max="12792" width="7.6640625" style="80"/>
    <col min="12793" max="12793" width="38.83203125" style="80" customWidth="1"/>
    <col min="12794" max="12803" width="12.1640625" style="80" customWidth="1"/>
    <col min="12804" max="13048" width="7.6640625" style="80"/>
    <col min="13049" max="13049" width="38.83203125" style="80" customWidth="1"/>
    <col min="13050" max="13059" width="12.1640625" style="80" customWidth="1"/>
    <col min="13060" max="13304" width="7.6640625" style="80"/>
    <col min="13305" max="13305" width="38.83203125" style="80" customWidth="1"/>
    <col min="13306" max="13315" width="12.1640625" style="80" customWidth="1"/>
    <col min="13316" max="13560" width="7.6640625" style="80"/>
    <col min="13561" max="13561" width="38.83203125" style="80" customWidth="1"/>
    <col min="13562" max="13571" width="12.1640625" style="80" customWidth="1"/>
    <col min="13572" max="13816" width="7.6640625" style="80"/>
    <col min="13817" max="13817" width="38.83203125" style="80" customWidth="1"/>
    <col min="13818" max="13827" width="12.1640625" style="80" customWidth="1"/>
    <col min="13828" max="14072" width="7.6640625" style="80"/>
    <col min="14073" max="14073" width="38.83203125" style="80" customWidth="1"/>
    <col min="14074" max="14083" width="12.1640625" style="80" customWidth="1"/>
    <col min="14084" max="14328" width="7.6640625" style="80"/>
    <col min="14329" max="14329" width="38.83203125" style="80" customWidth="1"/>
    <col min="14330" max="14339" width="12.1640625" style="80" customWidth="1"/>
    <col min="14340" max="14584" width="7.6640625" style="80"/>
    <col min="14585" max="14585" width="38.83203125" style="80" customWidth="1"/>
    <col min="14586" max="14595" width="12.1640625" style="80" customWidth="1"/>
    <col min="14596" max="14840" width="7.6640625" style="80"/>
    <col min="14841" max="14841" width="38.83203125" style="80" customWidth="1"/>
    <col min="14842" max="14851" width="12.1640625" style="80" customWidth="1"/>
    <col min="14852" max="15096" width="7.6640625" style="80"/>
    <col min="15097" max="15097" width="38.83203125" style="80" customWidth="1"/>
    <col min="15098" max="15107" width="12.1640625" style="80" customWidth="1"/>
    <col min="15108" max="15352" width="7.6640625" style="80"/>
    <col min="15353" max="15353" width="38.83203125" style="80" customWidth="1"/>
    <col min="15354" max="15363" width="12.1640625" style="80" customWidth="1"/>
    <col min="15364" max="15608" width="7.6640625" style="80"/>
    <col min="15609" max="15609" width="38.83203125" style="80" customWidth="1"/>
    <col min="15610" max="15619" width="12.1640625" style="80" customWidth="1"/>
    <col min="15620" max="15864" width="7.6640625" style="80"/>
    <col min="15865" max="15865" width="38.83203125" style="80" customWidth="1"/>
    <col min="15866" max="15875" width="12.1640625" style="80" customWidth="1"/>
    <col min="15876" max="16120" width="7.6640625" style="80"/>
    <col min="16121" max="16121" width="38.83203125" style="80" customWidth="1"/>
    <col min="16122" max="16131" width="12.1640625" style="80" customWidth="1"/>
    <col min="16132" max="16384" width="7.6640625" style="80"/>
  </cols>
  <sheetData>
    <row r="2" spans="1:12" ht="17" thickBot="1" x14ac:dyDescent="0.25">
      <c r="A2" s="1281"/>
      <c r="B2" s="1281"/>
      <c r="C2" s="1281"/>
      <c r="D2" s="1281"/>
      <c r="E2" s="1281"/>
      <c r="F2" s="1281"/>
      <c r="G2" s="1281"/>
      <c r="H2" s="1281"/>
      <c r="I2" s="1281"/>
      <c r="J2" s="1281"/>
      <c r="K2" s="1281"/>
      <c r="L2" s="1281"/>
    </row>
    <row r="3" spans="1:12" ht="33" customHeight="1" thickTop="1" x14ac:dyDescent="0.2">
      <c r="A3" s="2102" t="s">
        <v>325</v>
      </c>
      <c r="B3" s="2116"/>
      <c r="C3" s="2116"/>
      <c r="D3" s="2116"/>
      <c r="E3" s="2116"/>
      <c r="F3" s="2116"/>
      <c r="G3" s="2116"/>
      <c r="H3" s="2116"/>
      <c r="I3" s="2116"/>
      <c r="J3" s="2116"/>
      <c r="K3" s="2116"/>
      <c r="L3" s="2117"/>
    </row>
    <row r="4" spans="1:12" x14ac:dyDescent="0.2">
      <c r="A4" s="81"/>
      <c r="B4" s="82"/>
      <c r="C4" s="82"/>
      <c r="D4" s="82"/>
      <c r="E4" s="82"/>
      <c r="F4" s="82"/>
      <c r="G4" s="82"/>
      <c r="H4" s="82"/>
      <c r="I4" s="82"/>
      <c r="J4" s="82"/>
      <c r="K4" s="82"/>
      <c r="L4" s="1282"/>
    </row>
    <row r="5" spans="1:12" ht="17" x14ac:dyDescent="0.2">
      <c r="A5" s="1283" t="s">
        <v>262</v>
      </c>
      <c r="B5" s="3" t="s">
        <v>1</v>
      </c>
      <c r="C5" s="3" t="s">
        <v>2</v>
      </c>
      <c r="D5" s="3" t="s">
        <v>3</v>
      </c>
      <c r="E5" s="3" t="s">
        <v>4</v>
      </c>
      <c r="F5" s="3" t="s">
        <v>5</v>
      </c>
      <c r="G5" s="3" t="s">
        <v>6</v>
      </c>
      <c r="H5" s="3" t="s">
        <v>7</v>
      </c>
      <c r="I5" s="3" t="s">
        <v>8</v>
      </c>
      <c r="J5" s="3" t="s">
        <v>9</v>
      </c>
      <c r="K5" s="3" t="s">
        <v>10</v>
      </c>
      <c r="L5" s="1794" t="s">
        <v>11</v>
      </c>
    </row>
    <row r="6" spans="1:12" x14ac:dyDescent="0.2">
      <c r="A6" s="81"/>
      <c r="B6" s="2113" t="s">
        <v>263</v>
      </c>
      <c r="C6" s="2114"/>
      <c r="D6" s="2114"/>
      <c r="E6" s="2114"/>
      <c r="F6" s="2114"/>
      <c r="G6" s="2114"/>
      <c r="H6" s="2114"/>
      <c r="I6" s="2114"/>
      <c r="J6" s="2114"/>
      <c r="K6" s="2115"/>
      <c r="L6" s="2124" t="s">
        <v>311</v>
      </c>
    </row>
    <row r="7" spans="1:12" ht="23.25" customHeight="1" x14ac:dyDescent="0.2">
      <c r="A7" s="1284" t="s">
        <v>262</v>
      </c>
      <c r="B7" s="2118" t="s">
        <v>312</v>
      </c>
      <c r="C7" s="2119"/>
      <c r="D7" s="2119"/>
      <c r="E7" s="2119"/>
      <c r="F7" s="2120"/>
      <c r="G7" s="2118" t="s">
        <v>313</v>
      </c>
      <c r="H7" s="2119"/>
      <c r="I7" s="2119"/>
      <c r="J7" s="2120"/>
      <c r="K7" s="2111" t="s">
        <v>314</v>
      </c>
      <c r="L7" s="2125"/>
    </row>
    <row r="8" spans="1:12" ht="107.25" customHeight="1" x14ac:dyDescent="0.2">
      <c r="A8" s="1795" t="s">
        <v>262</v>
      </c>
      <c r="B8" s="1267" t="s">
        <v>231</v>
      </c>
      <c r="C8" s="1268" t="s">
        <v>315</v>
      </c>
      <c r="D8" s="1269" t="s">
        <v>316</v>
      </c>
      <c r="E8" s="1269" t="s">
        <v>317</v>
      </c>
      <c r="F8" s="1269" t="s">
        <v>272</v>
      </c>
      <c r="G8" s="1267" t="s">
        <v>231</v>
      </c>
      <c r="H8" s="416" t="s">
        <v>318</v>
      </c>
      <c r="I8" s="1269" t="s">
        <v>319</v>
      </c>
      <c r="J8" s="1295" t="s">
        <v>272</v>
      </c>
      <c r="K8" s="2112"/>
      <c r="L8" s="2126"/>
    </row>
    <row r="9" spans="1:12" x14ac:dyDescent="0.2">
      <c r="A9" s="1270" t="s">
        <v>269</v>
      </c>
      <c r="B9" s="72">
        <v>7454513</v>
      </c>
      <c r="C9" s="73">
        <v>6504909</v>
      </c>
      <c r="D9" s="74">
        <v>746914</v>
      </c>
      <c r="E9" s="74">
        <v>10251</v>
      </c>
      <c r="F9" s="74">
        <v>192439</v>
      </c>
      <c r="G9" s="72">
        <v>6288291</v>
      </c>
      <c r="H9" s="83">
        <v>5743289</v>
      </c>
      <c r="I9" s="74">
        <v>133164</v>
      </c>
      <c r="J9" s="75">
        <v>411837</v>
      </c>
      <c r="K9" s="76">
        <v>1166223</v>
      </c>
      <c r="L9" s="1285">
        <f>I9/TableA10b!D8</f>
        <v>0.24027021467776682</v>
      </c>
    </row>
    <row r="10" spans="1:12" x14ac:dyDescent="0.2">
      <c r="A10" s="1271" t="s">
        <v>262</v>
      </c>
      <c r="B10" s="1272" t="s">
        <v>262</v>
      </c>
      <c r="C10" s="799" t="s">
        <v>262</v>
      </c>
      <c r="D10" s="800"/>
      <c r="E10" s="800" t="s">
        <v>262</v>
      </c>
      <c r="F10" s="800" t="s">
        <v>262</v>
      </c>
      <c r="G10" s="1272" t="s">
        <v>262</v>
      </c>
      <c r="H10" s="800" t="s">
        <v>262</v>
      </c>
      <c r="I10" s="800" t="s">
        <v>262</v>
      </c>
      <c r="J10" s="1286" t="s">
        <v>262</v>
      </c>
      <c r="K10" s="1287" t="s">
        <v>262</v>
      </c>
      <c r="L10" s="1285"/>
    </row>
    <row r="11" spans="1:12" x14ac:dyDescent="0.2">
      <c r="A11" s="1271" t="s">
        <v>270</v>
      </c>
      <c r="B11" s="72">
        <v>726159</v>
      </c>
      <c r="C11" s="73">
        <v>677696</v>
      </c>
      <c r="D11" s="74">
        <v>49262</v>
      </c>
      <c r="E11" s="74">
        <v>-12788</v>
      </c>
      <c r="F11" s="74">
        <v>11990</v>
      </c>
      <c r="G11" s="72">
        <v>655124</v>
      </c>
      <c r="H11" s="74">
        <v>616384</v>
      </c>
      <c r="I11" s="74">
        <v>9178</v>
      </c>
      <c r="J11" s="75">
        <v>29562</v>
      </c>
      <c r="K11" s="76">
        <v>71035</v>
      </c>
      <c r="L11" s="1285">
        <f>I11/TableA10b!D10</f>
        <v>0.19777614963582296</v>
      </c>
    </row>
    <row r="12" spans="1:12" x14ac:dyDescent="0.2">
      <c r="A12" s="1271" t="s">
        <v>262</v>
      </c>
      <c r="B12" s="1272" t="s">
        <v>262</v>
      </c>
      <c r="C12" s="799" t="s">
        <v>262</v>
      </c>
      <c r="D12" s="800"/>
      <c r="E12" s="800" t="s">
        <v>262</v>
      </c>
      <c r="F12" s="800" t="s">
        <v>262</v>
      </c>
      <c r="G12" s="1272" t="s">
        <v>262</v>
      </c>
      <c r="H12" s="800" t="s">
        <v>262</v>
      </c>
      <c r="I12" s="800" t="s">
        <v>262</v>
      </c>
      <c r="J12" s="1286" t="s">
        <v>262</v>
      </c>
      <c r="K12" s="1287" t="s">
        <v>262</v>
      </c>
      <c r="L12" s="1285"/>
    </row>
    <row r="13" spans="1:12" x14ac:dyDescent="0.2">
      <c r="A13" s="1271" t="s">
        <v>271</v>
      </c>
      <c r="B13" s="72">
        <v>3632353</v>
      </c>
      <c r="C13" s="73">
        <v>3036358</v>
      </c>
      <c r="D13" s="74">
        <v>453184</v>
      </c>
      <c r="E13" s="74">
        <v>13287</v>
      </c>
      <c r="F13" s="74">
        <v>129523</v>
      </c>
      <c r="G13" s="72">
        <v>2982696</v>
      </c>
      <c r="H13" s="74">
        <v>2677372</v>
      </c>
      <c r="I13" s="74">
        <v>52277</v>
      </c>
      <c r="J13" s="75">
        <v>253047</v>
      </c>
      <c r="K13" s="76">
        <v>649657</v>
      </c>
      <c r="L13" s="1285">
        <f>I13/TableA10b!D12</f>
        <v>0.21970480201057402</v>
      </c>
    </row>
    <row r="14" spans="1:12" x14ac:dyDescent="0.2">
      <c r="A14" s="1273" t="s">
        <v>30</v>
      </c>
      <c r="B14" s="1274">
        <v>27244</v>
      </c>
      <c r="C14" s="794">
        <v>22467</v>
      </c>
      <c r="D14" s="795">
        <v>3399</v>
      </c>
      <c r="E14" s="795">
        <v>8</v>
      </c>
      <c r="F14" s="795">
        <v>1369</v>
      </c>
      <c r="G14" s="1274">
        <v>23046</v>
      </c>
      <c r="H14" s="795">
        <v>21580</v>
      </c>
      <c r="I14" s="795" t="s">
        <v>283</v>
      </c>
      <c r="J14" s="1288" t="s">
        <v>283</v>
      </c>
      <c r="K14" s="1289">
        <v>4198</v>
      </c>
      <c r="L14" s="1285"/>
    </row>
    <row r="15" spans="1:12" x14ac:dyDescent="0.2">
      <c r="A15" s="1273" t="s">
        <v>31</v>
      </c>
      <c r="B15" s="1274">
        <v>151437</v>
      </c>
      <c r="C15" s="794">
        <v>141254</v>
      </c>
      <c r="D15" s="795"/>
      <c r="E15" s="795">
        <v>251</v>
      </c>
      <c r="F15" s="795">
        <v>2334</v>
      </c>
      <c r="G15" s="1274">
        <v>138404</v>
      </c>
      <c r="H15" s="795">
        <v>130637</v>
      </c>
      <c r="I15" s="795">
        <v>1590</v>
      </c>
      <c r="J15" s="1288">
        <v>6177</v>
      </c>
      <c r="K15" s="1289">
        <v>13032</v>
      </c>
      <c r="L15" s="1285">
        <f>I15/TableA10b!D14</f>
        <v>0.23472099202834368</v>
      </c>
    </row>
    <row r="16" spans="1:12" x14ac:dyDescent="0.2">
      <c r="A16" s="1273" t="s">
        <v>34</v>
      </c>
      <c r="B16" s="1274">
        <v>19397</v>
      </c>
      <c r="C16" s="794">
        <v>19003</v>
      </c>
      <c r="D16" s="795">
        <v>92</v>
      </c>
      <c r="E16" s="795">
        <v>56</v>
      </c>
      <c r="F16" s="795">
        <v>246</v>
      </c>
      <c r="G16" s="1274">
        <v>18089</v>
      </c>
      <c r="H16" s="795">
        <v>16683</v>
      </c>
      <c r="I16" s="795">
        <v>264</v>
      </c>
      <c r="J16" s="1288">
        <v>1142</v>
      </c>
      <c r="K16" s="1289">
        <v>1308</v>
      </c>
      <c r="L16" s="1285">
        <f>I16/TableA10b!D15</f>
        <v>0.1853932584269663</v>
      </c>
    </row>
    <row r="17" spans="1:12" x14ac:dyDescent="0.2">
      <c r="A17" s="1273" t="s">
        <v>35</v>
      </c>
      <c r="B17" s="1274">
        <v>26206</v>
      </c>
      <c r="C17" s="794">
        <v>23123</v>
      </c>
      <c r="D17" s="795">
        <v>1475</v>
      </c>
      <c r="E17" s="795">
        <v>1204</v>
      </c>
      <c r="F17" s="795">
        <v>405</v>
      </c>
      <c r="G17" s="1274">
        <v>23430</v>
      </c>
      <c r="H17" s="795">
        <v>19661</v>
      </c>
      <c r="I17" s="795">
        <v>2219</v>
      </c>
      <c r="J17" s="1288">
        <v>1550</v>
      </c>
      <c r="K17" s="1289">
        <v>2777</v>
      </c>
      <c r="L17" s="1285">
        <f>I17/TableA10b!D16</f>
        <v>0.95770392749244715</v>
      </c>
    </row>
    <row r="18" spans="1:12" x14ac:dyDescent="0.2">
      <c r="A18" s="1273" t="s">
        <v>37</v>
      </c>
      <c r="B18" s="1274">
        <v>11432</v>
      </c>
      <c r="C18" s="794">
        <v>11140</v>
      </c>
      <c r="D18" s="795"/>
      <c r="E18" s="795">
        <v>-16</v>
      </c>
      <c r="F18" s="795">
        <v>98</v>
      </c>
      <c r="G18" s="1274">
        <v>11556</v>
      </c>
      <c r="H18" s="795">
        <v>10631</v>
      </c>
      <c r="I18" s="795">
        <v>105</v>
      </c>
      <c r="J18" s="1288">
        <v>820</v>
      </c>
      <c r="K18" s="1289">
        <v>-124</v>
      </c>
      <c r="L18" s="1285">
        <f>I18/TableA10b!D17</f>
        <v>-0.49295774647887325</v>
      </c>
    </row>
    <row r="19" spans="1:12" x14ac:dyDescent="0.2">
      <c r="A19" s="1273" t="s">
        <v>38</v>
      </c>
      <c r="B19" s="1274">
        <v>228594</v>
      </c>
      <c r="C19" s="794">
        <v>218946</v>
      </c>
      <c r="D19" s="795">
        <v>5273</v>
      </c>
      <c r="E19" s="795">
        <v>-948</v>
      </c>
      <c r="F19" s="795">
        <v>5322</v>
      </c>
      <c r="G19" s="1274">
        <v>220706</v>
      </c>
      <c r="H19" s="795">
        <v>205604</v>
      </c>
      <c r="I19" s="795">
        <v>3877</v>
      </c>
      <c r="J19" s="1288">
        <v>11226</v>
      </c>
      <c r="K19" s="1289">
        <v>7888</v>
      </c>
      <c r="L19" s="1285">
        <f>I19/TableA10b!D18</f>
        <v>0.52082213863514237</v>
      </c>
    </row>
    <row r="20" spans="1:12" x14ac:dyDescent="0.2">
      <c r="A20" s="1271" t="s">
        <v>262</v>
      </c>
      <c r="B20" s="1272" t="s">
        <v>262</v>
      </c>
      <c r="C20" s="799" t="s">
        <v>262</v>
      </c>
      <c r="D20" s="800"/>
      <c r="E20" s="800" t="s">
        <v>262</v>
      </c>
      <c r="F20" s="800" t="s">
        <v>262</v>
      </c>
      <c r="G20" s="1272" t="s">
        <v>262</v>
      </c>
      <c r="H20" s="800" t="s">
        <v>262</v>
      </c>
      <c r="I20" s="800" t="s">
        <v>262</v>
      </c>
      <c r="J20" s="1286" t="s">
        <v>262</v>
      </c>
      <c r="K20" s="1287" t="s">
        <v>262</v>
      </c>
      <c r="L20" s="1285"/>
    </row>
    <row r="21" spans="1:12" x14ac:dyDescent="0.2">
      <c r="A21" s="1273" t="s">
        <v>39</v>
      </c>
      <c r="B21" s="1274">
        <v>391864</v>
      </c>
      <c r="C21" s="794">
        <v>363546</v>
      </c>
      <c r="D21" s="795">
        <v>14781</v>
      </c>
      <c r="E21" s="795">
        <v>-242</v>
      </c>
      <c r="F21" s="795">
        <v>13779</v>
      </c>
      <c r="G21" s="1274">
        <v>368888</v>
      </c>
      <c r="H21" s="795">
        <v>336179</v>
      </c>
      <c r="I21" s="795" t="s">
        <v>283</v>
      </c>
      <c r="J21" s="1288" t="s">
        <v>283</v>
      </c>
      <c r="K21" s="1289">
        <v>22976</v>
      </c>
      <c r="L21" s="1285"/>
    </row>
    <row r="22" spans="1:12" x14ac:dyDescent="0.2">
      <c r="A22" s="1273" t="s">
        <v>40</v>
      </c>
      <c r="B22" s="1274">
        <v>6667</v>
      </c>
      <c r="C22" s="794">
        <v>6445</v>
      </c>
      <c r="D22" s="795"/>
      <c r="E22" s="800" t="s">
        <v>283</v>
      </c>
      <c r="F22" s="800">
        <v>104</v>
      </c>
      <c r="G22" s="1274">
        <v>6492</v>
      </c>
      <c r="H22" s="795">
        <v>6212</v>
      </c>
      <c r="I22" s="795">
        <v>92</v>
      </c>
      <c r="J22" s="1288">
        <v>187</v>
      </c>
      <c r="K22" s="1289">
        <v>175</v>
      </c>
      <c r="L22" s="1285">
        <f>I22/TableA10b!D21</f>
        <v>0.6174496644295302</v>
      </c>
    </row>
    <row r="23" spans="1:12" x14ac:dyDescent="0.2">
      <c r="A23" s="1273" t="s">
        <v>41</v>
      </c>
      <c r="B23" s="1274">
        <v>24122</v>
      </c>
      <c r="C23" s="794">
        <v>22872</v>
      </c>
      <c r="D23" s="800"/>
      <c r="E23" s="795">
        <v>88</v>
      </c>
      <c r="F23" s="795">
        <v>759</v>
      </c>
      <c r="G23" s="1272">
        <v>23434</v>
      </c>
      <c r="H23" s="795">
        <v>19620</v>
      </c>
      <c r="I23" s="795">
        <v>433</v>
      </c>
      <c r="J23" s="1288">
        <v>3380</v>
      </c>
      <c r="K23" s="1287">
        <v>689</v>
      </c>
      <c r="L23" s="1285"/>
    </row>
    <row r="24" spans="1:12" x14ac:dyDescent="0.2">
      <c r="A24" s="1273" t="s">
        <v>43</v>
      </c>
      <c r="B24" s="1274">
        <v>428444</v>
      </c>
      <c r="C24" s="794">
        <v>358012</v>
      </c>
      <c r="D24" s="795">
        <v>54257</v>
      </c>
      <c r="E24" s="795">
        <v>3298</v>
      </c>
      <c r="F24" s="795">
        <v>12877</v>
      </c>
      <c r="G24" s="1274">
        <v>313162</v>
      </c>
      <c r="H24" s="795">
        <v>279344</v>
      </c>
      <c r="I24" s="795">
        <v>3840</v>
      </c>
      <c r="J24" s="1288">
        <v>29979</v>
      </c>
      <c r="K24" s="1289">
        <v>115282</v>
      </c>
      <c r="L24" s="1285">
        <f>I24/TableA10b!D23</f>
        <v>6.2366010524264277E-2</v>
      </c>
    </row>
    <row r="25" spans="1:12" x14ac:dyDescent="0.2">
      <c r="A25" s="1273" t="s">
        <v>45</v>
      </c>
      <c r="B25" s="1274">
        <v>121658</v>
      </c>
      <c r="C25" s="794">
        <v>119115</v>
      </c>
      <c r="D25" s="795">
        <v>1277</v>
      </c>
      <c r="E25" s="795">
        <v>-312</v>
      </c>
      <c r="F25" s="795">
        <v>1578</v>
      </c>
      <c r="G25" s="1274">
        <v>119423</v>
      </c>
      <c r="H25" s="795">
        <v>111017</v>
      </c>
      <c r="I25" s="795">
        <v>2220</v>
      </c>
      <c r="J25" s="1288">
        <v>6187</v>
      </c>
      <c r="K25" s="1289">
        <v>2236</v>
      </c>
      <c r="L25" s="1285">
        <f>I25/TableA10b!D24</f>
        <v>0.6353749284487693</v>
      </c>
    </row>
    <row r="26" spans="1:12" x14ac:dyDescent="0.2">
      <c r="A26" s="1273" t="s">
        <v>49</v>
      </c>
      <c r="B26" s="1274">
        <v>200150</v>
      </c>
      <c r="C26" s="794">
        <v>65027</v>
      </c>
      <c r="D26" s="795">
        <v>117965</v>
      </c>
      <c r="E26" s="795">
        <v>145</v>
      </c>
      <c r="F26" s="795">
        <v>17013</v>
      </c>
      <c r="G26" s="1274">
        <v>75718</v>
      </c>
      <c r="H26" s="795">
        <v>46128</v>
      </c>
      <c r="I26" s="795">
        <v>795</v>
      </c>
      <c r="J26" s="1288">
        <v>28794</v>
      </c>
      <c r="K26" s="1289">
        <v>124432</v>
      </c>
      <c r="L26" s="1285">
        <f>I26/TableA10b!D25</f>
        <v>0.11168867659454904</v>
      </c>
    </row>
    <row r="27" spans="1:12" x14ac:dyDescent="0.2">
      <c r="A27" s="1273" t="s">
        <v>51</v>
      </c>
      <c r="B27" s="1274">
        <v>443839</v>
      </c>
      <c r="C27" s="794">
        <v>271919</v>
      </c>
      <c r="D27" s="795">
        <v>130704</v>
      </c>
      <c r="E27" s="795">
        <v>11239</v>
      </c>
      <c r="F27" s="795">
        <v>29978</v>
      </c>
      <c r="G27" s="1274">
        <v>291220</v>
      </c>
      <c r="H27" s="795">
        <v>240961</v>
      </c>
      <c r="I27" s="795">
        <v>4344</v>
      </c>
      <c r="J27" s="1288">
        <v>45916</v>
      </c>
      <c r="K27" s="1289">
        <v>152619</v>
      </c>
      <c r="L27" s="1285">
        <f>I27/TableA10b!D26</f>
        <v>0.28900272769609475</v>
      </c>
    </row>
    <row r="28" spans="1:12" x14ac:dyDescent="0.2">
      <c r="A28" s="1271" t="s">
        <v>262</v>
      </c>
      <c r="B28" s="1272" t="s">
        <v>262</v>
      </c>
      <c r="C28" s="799" t="s">
        <v>262</v>
      </c>
      <c r="D28" s="800"/>
      <c r="E28" s="800" t="s">
        <v>262</v>
      </c>
      <c r="F28" s="800" t="s">
        <v>262</v>
      </c>
      <c r="G28" s="1272" t="s">
        <v>262</v>
      </c>
      <c r="H28" s="800" t="s">
        <v>262</v>
      </c>
      <c r="I28" s="800" t="s">
        <v>262</v>
      </c>
      <c r="J28" s="1286" t="s">
        <v>262</v>
      </c>
      <c r="K28" s="1287" t="s">
        <v>262</v>
      </c>
      <c r="L28" s="1285"/>
    </row>
    <row r="29" spans="1:12" x14ac:dyDescent="0.2">
      <c r="A29" s="1273" t="s">
        <v>53</v>
      </c>
      <c r="B29" s="1274">
        <v>60966</v>
      </c>
      <c r="C29" s="794">
        <v>55694</v>
      </c>
      <c r="D29" s="795"/>
      <c r="E29" s="795">
        <v>-2433</v>
      </c>
      <c r="F29" s="795">
        <v>1438</v>
      </c>
      <c r="G29" s="1274">
        <v>50169</v>
      </c>
      <c r="H29" s="795">
        <v>41242</v>
      </c>
      <c r="I29" s="795" t="s">
        <v>283</v>
      </c>
      <c r="J29" s="1288" t="s">
        <v>283</v>
      </c>
      <c r="K29" s="1289">
        <v>10797</v>
      </c>
      <c r="L29" s="1285"/>
    </row>
    <row r="30" spans="1:12" x14ac:dyDescent="0.2">
      <c r="A30" s="1273" t="s">
        <v>54</v>
      </c>
      <c r="B30" s="1274">
        <v>43210</v>
      </c>
      <c r="C30" s="794">
        <v>41579</v>
      </c>
      <c r="D30" s="795">
        <v>657</v>
      </c>
      <c r="E30" s="795">
        <v>242</v>
      </c>
      <c r="F30" s="795">
        <v>732</v>
      </c>
      <c r="G30" s="1274">
        <v>40407</v>
      </c>
      <c r="H30" s="795">
        <v>37144</v>
      </c>
      <c r="I30" s="795">
        <v>373</v>
      </c>
      <c r="J30" s="1288">
        <v>2891</v>
      </c>
      <c r="K30" s="1289">
        <v>2803</v>
      </c>
      <c r="L30" s="1285">
        <f>I30/TableA10b!D29</f>
        <v>0.16352476983779043</v>
      </c>
    </row>
    <row r="31" spans="1:12" x14ac:dyDescent="0.2">
      <c r="A31" s="1273" t="s">
        <v>55</v>
      </c>
      <c r="B31" s="1274">
        <v>10332</v>
      </c>
      <c r="C31" s="794">
        <v>9946</v>
      </c>
      <c r="D31" s="795"/>
      <c r="E31" s="800" t="s">
        <v>283</v>
      </c>
      <c r="F31" s="800" t="s">
        <v>283</v>
      </c>
      <c r="G31" s="1274">
        <v>9612</v>
      </c>
      <c r="H31" s="795">
        <v>9116</v>
      </c>
      <c r="I31" s="795">
        <v>153</v>
      </c>
      <c r="J31" s="1288">
        <v>344</v>
      </c>
      <c r="K31" s="1289">
        <v>720</v>
      </c>
      <c r="L31" s="1285">
        <f>I31/TableA10b!D30</f>
        <v>0.26333907056798622</v>
      </c>
    </row>
    <row r="32" spans="1:12" x14ac:dyDescent="0.2">
      <c r="A32" s="1273" t="s">
        <v>70</v>
      </c>
      <c r="B32" s="1274">
        <v>57203</v>
      </c>
      <c r="C32" s="794">
        <v>56447</v>
      </c>
      <c r="D32" s="795"/>
      <c r="E32" s="795">
        <v>265</v>
      </c>
      <c r="F32" s="795">
        <v>802</v>
      </c>
      <c r="G32" s="1274">
        <v>55147</v>
      </c>
      <c r="H32" s="795">
        <v>51820</v>
      </c>
      <c r="I32" s="795" t="s">
        <v>283</v>
      </c>
      <c r="J32" s="1288" t="s">
        <v>283</v>
      </c>
      <c r="K32" s="1289">
        <v>2056</v>
      </c>
      <c r="L32" s="1285"/>
    </row>
    <row r="33" spans="1:12" x14ac:dyDescent="0.2">
      <c r="A33" s="1273" t="s">
        <v>58</v>
      </c>
      <c r="B33" s="1274">
        <v>92384</v>
      </c>
      <c r="C33" s="794">
        <v>85384</v>
      </c>
      <c r="D33" s="795">
        <v>2470</v>
      </c>
      <c r="E33" s="795">
        <v>566</v>
      </c>
      <c r="F33" s="795">
        <v>3965</v>
      </c>
      <c r="G33" s="1274">
        <v>87646</v>
      </c>
      <c r="H33" s="795">
        <v>79852</v>
      </c>
      <c r="I33" s="795">
        <v>918</v>
      </c>
      <c r="J33" s="1288">
        <v>6875</v>
      </c>
      <c r="K33" s="1289">
        <v>4738</v>
      </c>
      <c r="L33" s="1285">
        <f>I33/TableA10b!D32</f>
        <v>0.35011441647597252</v>
      </c>
    </row>
    <row r="34" spans="1:12" x14ac:dyDescent="0.2">
      <c r="A34" s="1273" t="s">
        <v>59</v>
      </c>
      <c r="B34" s="1274">
        <v>39847</v>
      </c>
      <c r="C34" s="794">
        <v>37735</v>
      </c>
      <c r="D34" s="795"/>
      <c r="E34" s="795">
        <v>-353</v>
      </c>
      <c r="F34" s="795">
        <v>2166</v>
      </c>
      <c r="G34" s="1274">
        <v>37181</v>
      </c>
      <c r="H34" s="795">
        <v>33192</v>
      </c>
      <c r="I34" s="795">
        <v>475</v>
      </c>
      <c r="J34" s="1288">
        <v>3514</v>
      </c>
      <c r="K34" s="1289">
        <v>2666</v>
      </c>
      <c r="L34" s="1285">
        <f>I34/TableA10b!D33</f>
        <v>0.14866979655712051</v>
      </c>
    </row>
    <row r="35" spans="1:12" ht="16" customHeight="1" x14ac:dyDescent="0.2">
      <c r="A35" s="1273" t="s">
        <v>60</v>
      </c>
      <c r="B35" s="1274">
        <v>381821</v>
      </c>
      <c r="C35" s="794">
        <v>337624</v>
      </c>
      <c r="D35" s="795">
        <v>35033</v>
      </c>
      <c r="E35" s="795">
        <v>68</v>
      </c>
      <c r="F35" s="795">
        <v>9097</v>
      </c>
      <c r="G35" s="1274">
        <v>311217</v>
      </c>
      <c r="H35" s="795">
        <v>285695</v>
      </c>
      <c r="I35" s="795">
        <v>2677</v>
      </c>
      <c r="J35" s="1288">
        <v>22845</v>
      </c>
      <c r="K35" s="1289">
        <v>70604</v>
      </c>
      <c r="L35" s="1285">
        <f>I35/TableA10b!D34</f>
        <v>7.0106062590022264E-2</v>
      </c>
    </row>
    <row r="36" spans="1:12" x14ac:dyDescent="0.2">
      <c r="A36" s="1273" t="s">
        <v>61</v>
      </c>
      <c r="B36" s="1274">
        <v>27017</v>
      </c>
      <c r="C36" s="794">
        <v>26706</v>
      </c>
      <c r="D36" s="795"/>
      <c r="E36" s="800">
        <v>9</v>
      </c>
      <c r="F36" s="800">
        <v>328</v>
      </c>
      <c r="G36" s="1272">
        <v>26340</v>
      </c>
      <c r="H36" s="800">
        <v>24931</v>
      </c>
      <c r="I36" s="795">
        <v>333</v>
      </c>
      <c r="J36" s="1288">
        <v>1076</v>
      </c>
      <c r="K36" s="1289">
        <v>677</v>
      </c>
      <c r="L36" s="1285">
        <f>I36/TableA10b!D35</f>
        <v>0.32424537487828625</v>
      </c>
    </row>
    <row r="37" spans="1:12" x14ac:dyDescent="0.2">
      <c r="A37" s="1273" t="s">
        <v>62</v>
      </c>
      <c r="B37" s="1274">
        <v>756426</v>
      </c>
      <c r="C37" s="794">
        <v>676048</v>
      </c>
      <c r="D37" s="795">
        <v>54183.585446845376</v>
      </c>
      <c r="E37" s="795">
        <v>585</v>
      </c>
      <c r="F37" s="795" t="s">
        <v>283</v>
      </c>
      <c r="G37" s="1274">
        <v>675002</v>
      </c>
      <c r="H37" s="795">
        <v>622369</v>
      </c>
      <c r="I37" s="795">
        <v>8513</v>
      </c>
      <c r="J37" s="1288">
        <v>44119</v>
      </c>
      <c r="K37" s="1289">
        <v>81424</v>
      </c>
      <c r="L37" s="1285">
        <f>I37/TableA10b!D36</f>
        <v>0.23949248860631295</v>
      </c>
    </row>
    <row r="38" spans="1:12" x14ac:dyDescent="0.2">
      <c r="A38" s="1273" t="s">
        <v>272</v>
      </c>
      <c r="B38" s="1274">
        <v>82092</v>
      </c>
      <c r="C38" s="794">
        <v>66327</v>
      </c>
      <c r="D38" s="800"/>
      <c r="E38" s="800">
        <v>-476</v>
      </c>
      <c r="F38" s="795" t="s">
        <v>283</v>
      </c>
      <c r="G38" s="1274">
        <v>56407</v>
      </c>
      <c r="H38" s="795">
        <v>47754</v>
      </c>
      <c r="I38" s="795">
        <v>5415</v>
      </c>
      <c r="J38" s="1288">
        <v>3238</v>
      </c>
      <c r="K38" s="1289">
        <v>25685</v>
      </c>
      <c r="L38" s="1285">
        <f>I38/TableA10b!D37</f>
        <v>0.33062645011600927</v>
      </c>
    </row>
    <row r="39" spans="1:12" x14ac:dyDescent="0.2">
      <c r="A39" s="1271" t="s">
        <v>262</v>
      </c>
      <c r="B39" s="1272" t="s">
        <v>262</v>
      </c>
      <c r="C39" s="799" t="s">
        <v>262</v>
      </c>
      <c r="D39" s="800"/>
      <c r="E39" s="800" t="s">
        <v>262</v>
      </c>
      <c r="F39" s="800" t="s">
        <v>262</v>
      </c>
      <c r="G39" s="1272" t="s">
        <v>262</v>
      </c>
      <c r="H39" s="800" t="s">
        <v>262</v>
      </c>
      <c r="I39" s="800" t="s">
        <v>262</v>
      </c>
      <c r="J39" s="1286" t="s">
        <v>262</v>
      </c>
      <c r="K39" s="1287" t="s">
        <v>262</v>
      </c>
      <c r="L39" s="1285"/>
    </row>
    <row r="40" spans="1:12" x14ac:dyDescent="0.2">
      <c r="A40" s="1271" t="s">
        <v>320</v>
      </c>
      <c r="B40" s="72">
        <v>1024797</v>
      </c>
      <c r="C40" s="73">
        <v>840014</v>
      </c>
      <c r="D40" s="74">
        <v>157427</v>
      </c>
      <c r="E40" s="74">
        <v>4696</v>
      </c>
      <c r="F40" s="74">
        <v>22660</v>
      </c>
      <c r="G40" s="72">
        <v>802195</v>
      </c>
      <c r="H40" s="74">
        <v>731980</v>
      </c>
      <c r="I40" s="74">
        <v>16505</v>
      </c>
      <c r="J40" s="75">
        <v>53710</v>
      </c>
      <c r="K40" s="76">
        <v>222602</v>
      </c>
      <c r="L40" s="1285">
        <f>I40/TableA10b!D39</f>
        <v>0.21022264112492359</v>
      </c>
    </row>
    <row r="41" spans="1:12" x14ac:dyDescent="0.2">
      <c r="A41" s="1271" t="s">
        <v>262</v>
      </c>
      <c r="B41" s="1272" t="s">
        <v>262</v>
      </c>
      <c r="C41" s="799" t="s">
        <v>262</v>
      </c>
      <c r="D41" s="800"/>
      <c r="E41" s="800" t="s">
        <v>262</v>
      </c>
      <c r="F41" s="800" t="s">
        <v>262</v>
      </c>
      <c r="G41" s="1272" t="s">
        <v>262</v>
      </c>
      <c r="H41" s="800" t="s">
        <v>262</v>
      </c>
      <c r="I41" s="800" t="s">
        <v>262</v>
      </c>
      <c r="J41" s="1286" t="s">
        <v>262</v>
      </c>
      <c r="K41" s="1287" t="s">
        <v>262</v>
      </c>
      <c r="L41" s="1285"/>
    </row>
    <row r="42" spans="1:12" x14ac:dyDescent="0.2">
      <c r="A42" s="1273" t="s">
        <v>274</v>
      </c>
      <c r="B42" s="1274">
        <v>391530</v>
      </c>
      <c r="C42" s="794">
        <v>381783</v>
      </c>
      <c r="D42" s="795"/>
      <c r="E42" s="795">
        <v>-3094</v>
      </c>
      <c r="F42" s="795">
        <v>5870</v>
      </c>
      <c r="G42" s="1274">
        <v>374514</v>
      </c>
      <c r="H42" s="795">
        <v>347174</v>
      </c>
      <c r="I42" s="795">
        <v>8109</v>
      </c>
      <c r="J42" s="1288">
        <v>19231</v>
      </c>
      <c r="K42" s="1289">
        <v>17016</v>
      </c>
      <c r="L42" s="1285">
        <f>I42/TableA10b!D41</f>
        <v>0.36410578779578823</v>
      </c>
    </row>
    <row r="43" spans="1:12" x14ac:dyDescent="0.2">
      <c r="A43" s="1275" t="s">
        <v>275</v>
      </c>
      <c r="B43" s="1274">
        <v>50196</v>
      </c>
      <c r="C43" s="794">
        <v>47582</v>
      </c>
      <c r="D43" s="795"/>
      <c r="E43" s="795">
        <v>-165</v>
      </c>
      <c r="F43" s="795">
        <v>772</v>
      </c>
      <c r="G43" s="1274">
        <v>45857</v>
      </c>
      <c r="H43" s="795">
        <v>40769</v>
      </c>
      <c r="I43" s="795" t="s">
        <v>283</v>
      </c>
      <c r="J43" s="1288" t="s">
        <v>283</v>
      </c>
      <c r="K43" s="1289">
        <v>4339</v>
      </c>
      <c r="L43" s="1285"/>
    </row>
    <row r="44" spans="1:12" x14ac:dyDescent="0.2">
      <c r="A44" s="1275" t="s">
        <v>65</v>
      </c>
      <c r="B44" s="1274">
        <v>221931</v>
      </c>
      <c r="C44" s="794">
        <v>216629</v>
      </c>
      <c r="D44" s="795">
        <v>2673</v>
      </c>
      <c r="E44" s="795">
        <v>-1238</v>
      </c>
      <c r="F44" s="795">
        <v>3867</v>
      </c>
      <c r="G44" s="1274">
        <v>214780</v>
      </c>
      <c r="H44" s="795">
        <v>202826</v>
      </c>
      <c r="I44" s="795">
        <v>1537</v>
      </c>
      <c r="J44" s="1288">
        <v>10416</v>
      </c>
      <c r="K44" s="1289">
        <v>7151</v>
      </c>
      <c r="L44" s="1285">
        <f>I44/TableA10b!D43</f>
        <v>0.20493333333333333</v>
      </c>
    </row>
    <row r="45" spans="1:12" x14ac:dyDescent="0.2">
      <c r="A45" s="1275" t="s">
        <v>33</v>
      </c>
      <c r="B45" s="1274">
        <v>40241</v>
      </c>
      <c r="C45" s="794">
        <v>39412</v>
      </c>
      <c r="D45" s="795">
        <v>788</v>
      </c>
      <c r="E45" s="795">
        <v>-456</v>
      </c>
      <c r="F45" s="795">
        <v>497</v>
      </c>
      <c r="G45" s="1274">
        <v>36872</v>
      </c>
      <c r="H45" s="795">
        <v>32286</v>
      </c>
      <c r="I45" s="795" t="s">
        <v>283</v>
      </c>
      <c r="J45" s="1288" t="s">
        <v>283</v>
      </c>
      <c r="K45" s="1289">
        <v>3370</v>
      </c>
      <c r="L45" s="1285"/>
    </row>
    <row r="46" spans="1:12" x14ac:dyDescent="0.2">
      <c r="A46" s="1275" t="s">
        <v>67</v>
      </c>
      <c r="B46" s="1274">
        <v>25735</v>
      </c>
      <c r="C46" s="794">
        <v>25681</v>
      </c>
      <c r="D46" s="795">
        <v>-325</v>
      </c>
      <c r="E46" s="795">
        <v>186</v>
      </c>
      <c r="F46" s="795">
        <v>193</v>
      </c>
      <c r="G46" s="1274">
        <v>25226</v>
      </c>
      <c r="H46" s="795">
        <v>23361</v>
      </c>
      <c r="I46" s="795" t="s">
        <v>283</v>
      </c>
      <c r="J46" s="1288" t="s">
        <v>283</v>
      </c>
      <c r="K46" s="1289">
        <v>509</v>
      </c>
      <c r="L46" s="1285"/>
    </row>
    <row r="47" spans="1:12" x14ac:dyDescent="0.2">
      <c r="A47" s="1275" t="s">
        <v>276</v>
      </c>
      <c r="B47" s="1274">
        <v>6699</v>
      </c>
      <c r="C47" s="794">
        <v>6377</v>
      </c>
      <c r="D47" s="795"/>
      <c r="E47" s="795" t="s">
        <v>283</v>
      </c>
      <c r="F47" s="795">
        <v>15</v>
      </c>
      <c r="G47" s="1274">
        <v>6173</v>
      </c>
      <c r="H47" s="795">
        <v>5982</v>
      </c>
      <c r="I47" s="795">
        <v>75</v>
      </c>
      <c r="J47" s="1288">
        <v>116</v>
      </c>
      <c r="K47" s="1289">
        <v>525</v>
      </c>
      <c r="L47" s="1285">
        <f>I47/TableA10b!D46</f>
        <v>0.25510204081632654</v>
      </c>
    </row>
    <row r="48" spans="1:12" x14ac:dyDescent="0.2">
      <c r="A48" s="1275" t="s">
        <v>277</v>
      </c>
      <c r="B48" s="1274">
        <v>18646</v>
      </c>
      <c r="C48" s="794">
        <v>18032</v>
      </c>
      <c r="D48" s="795">
        <v>454</v>
      </c>
      <c r="E48" s="795" t="s">
        <v>283</v>
      </c>
      <c r="F48" s="795" t="s">
        <v>283</v>
      </c>
      <c r="G48" s="1274">
        <v>16901</v>
      </c>
      <c r="H48" s="795">
        <v>15308</v>
      </c>
      <c r="I48" s="795">
        <v>885</v>
      </c>
      <c r="J48" s="1288">
        <v>708</v>
      </c>
      <c r="K48" s="1289">
        <v>1746</v>
      </c>
      <c r="L48" s="1285">
        <f>I48/TableA10b!D47</f>
        <v>0.37153652392947101</v>
      </c>
    </row>
    <row r="49" spans="1:12" x14ac:dyDescent="0.2">
      <c r="A49" s="1275" t="s">
        <v>278</v>
      </c>
      <c r="B49" s="1274">
        <v>18932</v>
      </c>
      <c r="C49" s="794">
        <v>19144</v>
      </c>
      <c r="D49" s="795"/>
      <c r="E49" s="795">
        <v>-1679</v>
      </c>
      <c r="F49" s="795">
        <v>294</v>
      </c>
      <c r="G49" s="1274">
        <v>20184</v>
      </c>
      <c r="H49" s="795">
        <v>18411</v>
      </c>
      <c r="I49" s="795">
        <v>448</v>
      </c>
      <c r="J49" s="1288">
        <v>1325</v>
      </c>
      <c r="K49" s="1289">
        <v>-1252</v>
      </c>
      <c r="L49" s="1285">
        <f>I49/TableA10b!D48</f>
        <v>-1.5238095238095237</v>
      </c>
    </row>
    <row r="50" spans="1:12" x14ac:dyDescent="0.2">
      <c r="A50" s="1275" t="s">
        <v>272</v>
      </c>
      <c r="B50" s="1274">
        <v>9150</v>
      </c>
      <c r="C50" s="794">
        <v>8925</v>
      </c>
      <c r="D50" s="795"/>
      <c r="E50" s="795" t="s">
        <v>283</v>
      </c>
      <c r="F50" s="795" t="s">
        <v>283</v>
      </c>
      <c r="G50" s="1274">
        <v>8521</v>
      </c>
      <c r="H50" s="795">
        <v>8230</v>
      </c>
      <c r="I50" s="795">
        <v>101</v>
      </c>
      <c r="J50" s="1288">
        <v>190</v>
      </c>
      <c r="K50" s="1289">
        <v>629</v>
      </c>
      <c r="L50" s="1285">
        <f>I50/TableA10b!D49</f>
        <v>0.15955766192733017</v>
      </c>
    </row>
    <row r="51" spans="1:12" x14ac:dyDescent="0.2">
      <c r="A51" s="1271" t="s">
        <v>262</v>
      </c>
      <c r="B51" s="1272" t="s">
        <v>262</v>
      </c>
      <c r="C51" s="799" t="s">
        <v>262</v>
      </c>
      <c r="D51" s="800"/>
      <c r="E51" s="800" t="s">
        <v>262</v>
      </c>
      <c r="F51" s="800" t="s">
        <v>262</v>
      </c>
      <c r="G51" s="1272" t="s">
        <v>262</v>
      </c>
      <c r="H51" s="800" t="s">
        <v>262</v>
      </c>
      <c r="I51" s="800" t="s">
        <v>262</v>
      </c>
      <c r="J51" s="1286" t="s">
        <v>262</v>
      </c>
      <c r="K51" s="1287" t="s">
        <v>262</v>
      </c>
      <c r="L51" s="1285"/>
    </row>
    <row r="52" spans="1:12" x14ac:dyDescent="0.2">
      <c r="A52" s="1273" t="s">
        <v>279</v>
      </c>
      <c r="B52" s="1274">
        <v>304389</v>
      </c>
      <c r="C52" s="794">
        <v>291882</v>
      </c>
      <c r="D52" s="795"/>
      <c r="E52" s="795">
        <v>459</v>
      </c>
      <c r="F52" s="795">
        <v>4229</v>
      </c>
      <c r="G52" s="1274">
        <v>281770</v>
      </c>
      <c r="H52" s="795">
        <v>267283</v>
      </c>
      <c r="I52" s="795" t="s">
        <v>283</v>
      </c>
      <c r="J52" s="1288" t="s">
        <v>283</v>
      </c>
      <c r="K52" s="1289">
        <v>22619</v>
      </c>
      <c r="L52" s="1285"/>
    </row>
    <row r="53" spans="1:12" x14ac:dyDescent="0.2">
      <c r="A53" s="1275" t="s">
        <v>68</v>
      </c>
      <c r="B53" s="1274">
        <v>13181</v>
      </c>
      <c r="C53" s="794">
        <v>12980</v>
      </c>
      <c r="D53" s="795"/>
      <c r="E53" s="795">
        <v>101</v>
      </c>
      <c r="F53" s="795" t="s">
        <v>283</v>
      </c>
      <c r="G53" s="1274">
        <v>12462</v>
      </c>
      <c r="H53" s="795">
        <v>12113</v>
      </c>
      <c r="I53" s="795" t="s">
        <v>283</v>
      </c>
      <c r="J53" s="1288" t="s">
        <v>283</v>
      </c>
      <c r="K53" s="1289">
        <v>719</v>
      </c>
      <c r="L53" s="1285"/>
    </row>
    <row r="54" spans="1:12" x14ac:dyDescent="0.2">
      <c r="A54" s="1275" t="s">
        <v>280</v>
      </c>
      <c r="B54" s="1274">
        <v>3938</v>
      </c>
      <c r="C54" s="794">
        <v>3901</v>
      </c>
      <c r="D54" s="795">
        <v>3</v>
      </c>
      <c r="E54" s="795">
        <v>27</v>
      </c>
      <c r="F54" s="795">
        <v>7</v>
      </c>
      <c r="G54" s="1274">
        <v>3852</v>
      </c>
      <c r="H54" s="795">
        <v>3808</v>
      </c>
      <c r="I54" s="795">
        <v>24</v>
      </c>
      <c r="J54" s="1288">
        <v>21</v>
      </c>
      <c r="K54" s="1289">
        <v>85</v>
      </c>
      <c r="L54" s="1285">
        <f>I54/TableA10b!D53</f>
        <v>0.30379746835443039</v>
      </c>
    </row>
    <row r="55" spans="1:12" x14ac:dyDescent="0.2">
      <c r="A55" s="1275" t="s">
        <v>50</v>
      </c>
      <c r="B55" s="1274">
        <v>264722</v>
      </c>
      <c r="C55" s="794">
        <v>252937</v>
      </c>
      <c r="D55" s="795"/>
      <c r="E55" s="795">
        <v>238</v>
      </c>
      <c r="F55" s="795">
        <v>4056</v>
      </c>
      <c r="G55" s="1274">
        <v>243723</v>
      </c>
      <c r="H55" s="795">
        <v>230162</v>
      </c>
      <c r="I55" s="795" t="s">
        <v>283</v>
      </c>
      <c r="J55" s="1288" t="s">
        <v>283</v>
      </c>
      <c r="K55" s="1289">
        <v>20999</v>
      </c>
      <c r="L55" s="1285"/>
    </row>
    <row r="56" spans="1:12" x14ac:dyDescent="0.2">
      <c r="A56" s="1275" t="s">
        <v>107</v>
      </c>
      <c r="B56" s="1274">
        <v>12494</v>
      </c>
      <c r="C56" s="794">
        <v>12233</v>
      </c>
      <c r="D56" s="795">
        <v>199</v>
      </c>
      <c r="E56" s="795">
        <v>33</v>
      </c>
      <c r="F56" s="795">
        <v>30</v>
      </c>
      <c r="G56" s="1274">
        <v>12300</v>
      </c>
      <c r="H56" s="795">
        <v>12038</v>
      </c>
      <c r="I56" s="795">
        <v>74</v>
      </c>
      <c r="J56" s="1288">
        <v>188</v>
      </c>
      <c r="K56" s="1289">
        <v>194</v>
      </c>
      <c r="L56" s="1285">
        <f>I56/TableA10b!D55</f>
        <v>2</v>
      </c>
    </row>
    <row r="57" spans="1:12" x14ac:dyDescent="0.2">
      <c r="A57" s="1275" t="s">
        <v>272</v>
      </c>
      <c r="B57" s="1274">
        <v>10054</v>
      </c>
      <c r="C57" s="794">
        <v>9831</v>
      </c>
      <c r="D57" s="795"/>
      <c r="E57" s="795">
        <v>61</v>
      </c>
      <c r="F57" s="795" t="s">
        <v>283</v>
      </c>
      <c r="G57" s="1274">
        <v>9433</v>
      </c>
      <c r="H57" s="795">
        <v>9163</v>
      </c>
      <c r="I57" s="795" t="s">
        <v>283</v>
      </c>
      <c r="J57" s="1288" t="s">
        <v>283</v>
      </c>
      <c r="K57" s="1289">
        <v>621</v>
      </c>
      <c r="L57" s="1285"/>
    </row>
    <row r="58" spans="1:12" x14ac:dyDescent="0.2">
      <c r="A58" s="1271" t="s">
        <v>262</v>
      </c>
      <c r="B58" s="1272" t="s">
        <v>262</v>
      </c>
      <c r="C58" s="799" t="s">
        <v>262</v>
      </c>
      <c r="D58" s="800"/>
      <c r="E58" s="800" t="s">
        <v>262</v>
      </c>
      <c r="F58" s="800" t="s">
        <v>262</v>
      </c>
      <c r="G58" s="1272" t="s">
        <v>262</v>
      </c>
      <c r="H58" s="800" t="s">
        <v>262</v>
      </c>
      <c r="I58" s="800" t="s">
        <v>262</v>
      </c>
      <c r="J58" s="1286" t="s">
        <v>262</v>
      </c>
      <c r="K58" s="1287" t="s">
        <v>262</v>
      </c>
      <c r="L58" s="1285"/>
    </row>
    <row r="59" spans="1:12" x14ac:dyDescent="0.2">
      <c r="A59" s="1273" t="s">
        <v>281</v>
      </c>
      <c r="B59" s="1274">
        <v>328878</v>
      </c>
      <c r="C59" s="794">
        <v>166349</v>
      </c>
      <c r="D59" s="795">
        <v>142635</v>
      </c>
      <c r="E59" s="795">
        <v>7332</v>
      </c>
      <c r="F59" s="795">
        <v>12562</v>
      </c>
      <c r="G59" s="1274">
        <v>145911</v>
      </c>
      <c r="H59" s="795">
        <v>117523</v>
      </c>
      <c r="I59" s="116">
        <f>I60+I61+I62+I63+I64</f>
        <v>1788.6947186038897</v>
      </c>
      <c r="J59" s="1288" t="s">
        <v>283</v>
      </c>
      <c r="K59" s="1289">
        <v>182967</v>
      </c>
      <c r="L59" s="1285">
        <f>I59/TableA10b!D58</f>
        <v>4.9227871710579046E-2</v>
      </c>
    </row>
    <row r="60" spans="1:12" x14ac:dyDescent="0.2">
      <c r="A60" s="1275" t="s">
        <v>79</v>
      </c>
      <c r="B60" s="1274">
        <v>13218</v>
      </c>
      <c r="C60" s="794">
        <v>11703</v>
      </c>
      <c r="D60" s="795"/>
      <c r="E60" s="795" t="s">
        <v>283</v>
      </c>
      <c r="F60" s="795" t="s">
        <v>283</v>
      </c>
      <c r="G60" s="1274">
        <v>10633</v>
      </c>
      <c r="H60" s="795">
        <v>10070</v>
      </c>
      <c r="I60" s="795">
        <v>366</v>
      </c>
      <c r="J60" s="1288">
        <v>196</v>
      </c>
      <c r="K60" s="1289">
        <v>2585</v>
      </c>
      <c r="L60" s="1285">
        <f>I60/TableA10b!D59</f>
        <v>0.20446927374301677</v>
      </c>
    </row>
    <row r="61" spans="1:12" x14ac:dyDescent="0.2">
      <c r="A61" s="1275" t="s">
        <v>81</v>
      </c>
      <c r="B61" s="1274">
        <v>142934</v>
      </c>
      <c r="C61" s="794">
        <v>60210</v>
      </c>
      <c r="D61" s="795">
        <v>75963</v>
      </c>
      <c r="E61" s="795">
        <v>1427</v>
      </c>
      <c r="F61" s="795">
        <v>5334</v>
      </c>
      <c r="G61" s="1274">
        <v>58712</v>
      </c>
      <c r="H61" s="795">
        <v>47241</v>
      </c>
      <c r="I61" s="116">
        <f>TableA11!I61*TableA11!K61/TableA11b!K61</f>
        <v>544.20811664410724</v>
      </c>
      <c r="J61" s="1288" t="s">
        <v>283</v>
      </c>
      <c r="K61" s="1289">
        <v>84222</v>
      </c>
      <c r="L61" s="1285"/>
    </row>
    <row r="62" spans="1:12" x14ac:dyDescent="0.2">
      <c r="A62" s="1275" t="s">
        <v>282</v>
      </c>
      <c r="B62" s="1274">
        <v>3907</v>
      </c>
      <c r="C62" s="794">
        <v>3825</v>
      </c>
      <c r="D62" s="795"/>
      <c r="E62" s="800">
        <v>45</v>
      </c>
      <c r="F62" s="800">
        <v>34</v>
      </c>
      <c r="G62" s="1274">
        <v>3526</v>
      </c>
      <c r="H62" s="795">
        <v>3347</v>
      </c>
      <c r="I62" s="795">
        <v>83</v>
      </c>
      <c r="J62" s="1288">
        <v>96</v>
      </c>
      <c r="K62" s="1289">
        <v>380</v>
      </c>
      <c r="L62" s="1285">
        <f>I62/TableA10b!D61</f>
        <v>0.19951923076923078</v>
      </c>
    </row>
    <row r="63" spans="1:12" x14ac:dyDescent="0.2">
      <c r="A63" s="1275" t="s">
        <v>284</v>
      </c>
      <c r="B63" s="1274">
        <v>130053</v>
      </c>
      <c r="C63" s="794">
        <v>64106</v>
      </c>
      <c r="D63" s="795">
        <v>57818</v>
      </c>
      <c r="E63" s="800">
        <v>4053</v>
      </c>
      <c r="F63" s="800">
        <v>4075</v>
      </c>
      <c r="G63" s="1274">
        <v>55807</v>
      </c>
      <c r="H63" s="795">
        <v>42050</v>
      </c>
      <c r="I63" s="795">
        <v>697</v>
      </c>
      <c r="J63" s="1288">
        <v>13060</v>
      </c>
      <c r="K63" s="1289">
        <v>74246</v>
      </c>
      <c r="L63" s="1285">
        <f>I63/TableA10b!D62</f>
        <v>5.3287461773700306E-2</v>
      </c>
    </row>
    <row r="64" spans="1:12" x14ac:dyDescent="0.2">
      <c r="A64" s="1275" t="s">
        <v>272</v>
      </c>
      <c r="B64" s="1274">
        <v>38766</v>
      </c>
      <c r="C64" s="794">
        <v>26505</v>
      </c>
      <c r="D64" s="795"/>
      <c r="E64" s="800" t="s">
        <v>283</v>
      </c>
      <c r="F64" s="800" t="s">
        <v>283</v>
      </c>
      <c r="G64" s="1274">
        <v>17233</v>
      </c>
      <c r="H64" s="795">
        <v>14814</v>
      </c>
      <c r="I64" s="116">
        <f>TableA11!I64*TableA11!K64/TableA11b!K64</f>
        <v>98.486601959782661</v>
      </c>
      <c r="J64" s="1288" t="s">
        <v>283</v>
      </c>
      <c r="K64" s="1289">
        <v>21533</v>
      </c>
      <c r="L64" s="1285"/>
    </row>
    <row r="65" spans="1:12" x14ac:dyDescent="0.2">
      <c r="A65" s="1271" t="s">
        <v>262</v>
      </c>
      <c r="B65" s="1272" t="s">
        <v>262</v>
      </c>
      <c r="C65" s="799" t="s">
        <v>262</v>
      </c>
      <c r="D65" s="800"/>
      <c r="E65" s="800" t="s">
        <v>262</v>
      </c>
      <c r="F65" s="800" t="s">
        <v>262</v>
      </c>
      <c r="G65" s="1272" t="s">
        <v>262</v>
      </c>
      <c r="H65" s="800" t="s">
        <v>262</v>
      </c>
      <c r="I65" s="800" t="s">
        <v>262</v>
      </c>
      <c r="J65" s="1286" t="s">
        <v>262</v>
      </c>
      <c r="K65" s="1287" t="s">
        <v>262</v>
      </c>
      <c r="L65" s="1285"/>
    </row>
    <row r="66" spans="1:12" x14ac:dyDescent="0.2">
      <c r="A66" s="1271" t="s">
        <v>285</v>
      </c>
      <c r="B66" s="72">
        <v>133890</v>
      </c>
      <c r="C66" s="73">
        <v>114276</v>
      </c>
      <c r="D66" s="74">
        <v>15852</v>
      </c>
      <c r="E66" s="74">
        <v>1738</v>
      </c>
      <c r="F66" s="74">
        <v>2023</v>
      </c>
      <c r="G66" s="72">
        <v>104574</v>
      </c>
      <c r="H66" s="74">
        <v>83709</v>
      </c>
      <c r="I66" s="74" t="s">
        <v>283</v>
      </c>
      <c r="J66" s="75" t="s">
        <v>283</v>
      </c>
      <c r="K66" s="76">
        <v>29316</v>
      </c>
      <c r="L66" s="1285"/>
    </row>
    <row r="67" spans="1:12" x14ac:dyDescent="0.2">
      <c r="A67" s="1273" t="s">
        <v>286</v>
      </c>
      <c r="B67" s="1274">
        <v>14641</v>
      </c>
      <c r="C67" s="794">
        <v>13940</v>
      </c>
      <c r="D67" s="795">
        <v>4</v>
      </c>
      <c r="E67" s="795">
        <v>20</v>
      </c>
      <c r="F67" s="795">
        <v>678</v>
      </c>
      <c r="G67" s="1274">
        <v>13148</v>
      </c>
      <c r="H67" s="795">
        <v>11346</v>
      </c>
      <c r="I67" s="795" t="s">
        <v>283</v>
      </c>
      <c r="J67" s="1288" t="s">
        <v>283</v>
      </c>
      <c r="K67" s="1289">
        <v>1493</v>
      </c>
      <c r="L67" s="1285"/>
    </row>
    <row r="68" spans="1:12" x14ac:dyDescent="0.2">
      <c r="A68" s="1273" t="s">
        <v>287</v>
      </c>
      <c r="B68" s="1274" t="s">
        <v>283</v>
      </c>
      <c r="C68" s="794">
        <v>25040</v>
      </c>
      <c r="D68" s="795"/>
      <c r="E68" s="795">
        <v>53</v>
      </c>
      <c r="F68" s="800" t="s">
        <v>283</v>
      </c>
      <c r="G68" s="1272">
        <v>20551</v>
      </c>
      <c r="H68" s="800">
        <v>11911</v>
      </c>
      <c r="I68" s="795" t="s">
        <v>283</v>
      </c>
      <c r="J68" s="1288" t="s">
        <v>283</v>
      </c>
      <c r="K68" s="1289" t="s">
        <v>283</v>
      </c>
      <c r="L68" s="1285"/>
    </row>
    <row r="69" spans="1:12" x14ac:dyDescent="0.2">
      <c r="A69" s="1273" t="s">
        <v>71</v>
      </c>
      <c r="B69" s="1274">
        <v>35719</v>
      </c>
      <c r="C69" s="794">
        <v>35236</v>
      </c>
      <c r="D69" s="795">
        <v>228</v>
      </c>
      <c r="E69" s="795">
        <v>-46</v>
      </c>
      <c r="F69" s="795">
        <v>301</v>
      </c>
      <c r="G69" s="1274">
        <v>34433</v>
      </c>
      <c r="H69" s="795">
        <v>33154</v>
      </c>
      <c r="I69" s="795">
        <v>439</v>
      </c>
      <c r="J69" s="1288">
        <v>840</v>
      </c>
      <c r="K69" s="1289">
        <v>1286</v>
      </c>
      <c r="L69" s="1285">
        <f>I69/TableA10b!D68</f>
        <v>0.28359173126614989</v>
      </c>
    </row>
    <row r="70" spans="1:12" x14ac:dyDescent="0.2">
      <c r="A70" s="1273" t="s">
        <v>272</v>
      </c>
      <c r="B70" s="1274" t="s">
        <v>283</v>
      </c>
      <c r="C70" s="794">
        <v>40061</v>
      </c>
      <c r="D70" s="795"/>
      <c r="E70" s="795">
        <v>1711</v>
      </c>
      <c r="F70" s="800" t="s">
        <v>283</v>
      </c>
      <c r="G70" s="1272">
        <v>36443</v>
      </c>
      <c r="H70" s="800">
        <v>27298</v>
      </c>
      <c r="I70" s="795">
        <v>6190</v>
      </c>
      <c r="J70" s="1288">
        <v>2955</v>
      </c>
      <c r="K70" s="1289" t="s">
        <v>283</v>
      </c>
      <c r="L70" s="1285"/>
    </row>
    <row r="71" spans="1:12" x14ac:dyDescent="0.2">
      <c r="A71" s="1271" t="s">
        <v>262</v>
      </c>
      <c r="B71" s="1272" t="s">
        <v>262</v>
      </c>
      <c r="C71" s="799" t="s">
        <v>262</v>
      </c>
      <c r="D71" s="800"/>
      <c r="E71" s="800" t="s">
        <v>262</v>
      </c>
      <c r="F71" s="800" t="s">
        <v>262</v>
      </c>
      <c r="G71" s="1272" t="s">
        <v>262</v>
      </c>
      <c r="H71" s="800" t="s">
        <v>262</v>
      </c>
      <c r="I71" s="800" t="s">
        <v>262</v>
      </c>
      <c r="J71" s="1286" t="s">
        <v>262</v>
      </c>
      <c r="K71" s="1287" t="s">
        <v>262</v>
      </c>
      <c r="L71" s="1285"/>
    </row>
    <row r="72" spans="1:12" x14ac:dyDescent="0.2">
      <c r="A72" s="1271" t="s">
        <v>288</v>
      </c>
      <c r="B72" s="72">
        <v>89544</v>
      </c>
      <c r="C72" s="73">
        <v>75092</v>
      </c>
      <c r="D72" s="74">
        <v>14002</v>
      </c>
      <c r="E72" s="74">
        <v>-866</v>
      </c>
      <c r="F72" s="74">
        <v>1316</v>
      </c>
      <c r="G72" s="72">
        <v>67735</v>
      </c>
      <c r="H72" s="74">
        <v>56485</v>
      </c>
      <c r="I72" s="74" t="s">
        <v>283</v>
      </c>
      <c r="J72" s="75" t="s">
        <v>283</v>
      </c>
      <c r="K72" s="76">
        <v>21809</v>
      </c>
      <c r="L72" s="1285"/>
    </row>
    <row r="73" spans="1:12" x14ac:dyDescent="0.2">
      <c r="A73" s="1273" t="s">
        <v>44</v>
      </c>
      <c r="B73" s="1274">
        <v>21950</v>
      </c>
      <c r="C73" s="794">
        <v>20667</v>
      </c>
      <c r="D73" s="795"/>
      <c r="E73" s="795" t="s">
        <v>283</v>
      </c>
      <c r="F73" s="795">
        <v>952</v>
      </c>
      <c r="G73" s="1274">
        <v>18669</v>
      </c>
      <c r="H73" s="795">
        <v>16978</v>
      </c>
      <c r="I73" s="795" t="s">
        <v>283</v>
      </c>
      <c r="J73" s="1288" t="s">
        <v>283</v>
      </c>
      <c r="K73" s="1289">
        <v>3281</v>
      </c>
      <c r="L73" s="1285"/>
    </row>
    <row r="74" spans="1:12" x14ac:dyDescent="0.2">
      <c r="A74" s="1273" t="s">
        <v>289</v>
      </c>
      <c r="B74" s="1274">
        <v>15914</v>
      </c>
      <c r="C74" s="794">
        <v>14249</v>
      </c>
      <c r="D74" s="795"/>
      <c r="E74" s="800">
        <v>-25</v>
      </c>
      <c r="F74" s="800" t="s">
        <v>283</v>
      </c>
      <c r="G74" s="1274">
        <v>13556</v>
      </c>
      <c r="H74" s="795">
        <v>11518</v>
      </c>
      <c r="I74" s="795" t="s">
        <v>283</v>
      </c>
      <c r="J74" s="1288" t="s">
        <v>283</v>
      </c>
      <c r="K74" s="1289">
        <v>2358</v>
      </c>
      <c r="L74" s="1285"/>
    </row>
    <row r="75" spans="1:12" x14ac:dyDescent="0.2">
      <c r="A75" s="1273" t="s">
        <v>290</v>
      </c>
      <c r="B75" s="1274">
        <v>27397</v>
      </c>
      <c r="C75" s="794">
        <v>26942</v>
      </c>
      <c r="D75" s="795"/>
      <c r="E75" s="800">
        <v>-91</v>
      </c>
      <c r="F75" s="800" t="s">
        <v>283</v>
      </c>
      <c r="G75" s="1274">
        <v>23997</v>
      </c>
      <c r="H75" s="795">
        <v>19324</v>
      </c>
      <c r="I75" s="795" t="s">
        <v>283</v>
      </c>
      <c r="J75" s="1288" t="s">
        <v>283</v>
      </c>
      <c r="K75" s="1289">
        <v>3400</v>
      </c>
      <c r="L75" s="1285"/>
    </row>
    <row r="76" spans="1:12" x14ac:dyDescent="0.2">
      <c r="A76" s="1273" t="s">
        <v>272</v>
      </c>
      <c r="B76" s="1274">
        <v>24283</v>
      </c>
      <c r="C76" s="794">
        <v>13234</v>
      </c>
      <c r="D76" s="795"/>
      <c r="E76" s="800" t="s">
        <v>283</v>
      </c>
      <c r="F76" s="800" t="s">
        <v>283</v>
      </c>
      <c r="G76" s="1274">
        <v>11512</v>
      </c>
      <c r="H76" s="795">
        <v>8665</v>
      </c>
      <c r="I76" s="795" t="s">
        <v>283</v>
      </c>
      <c r="J76" s="1288" t="s">
        <v>283</v>
      </c>
      <c r="K76" s="1289">
        <v>12771</v>
      </c>
      <c r="L76" s="1285"/>
    </row>
    <row r="77" spans="1:12" x14ac:dyDescent="0.2">
      <c r="A77" s="1271" t="s">
        <v>262</v>
      </c>
      <c r="B77" s="1272" t="s">
        <v>262</v>
      </c>
      <c r="C77" s="799" t="s">
        <v>262</v>
      </c>
      <c r="D77" s="800"/>
      <c r="E77" s="800" t="s">
        <v>262</v>
      </c>
      <c r="F77" s="800" t="s">
        <v>262</v>
      </c>
      <c r="G77" s="1272" t="s">
        <v>262</v>
      </c>
      <c r="H77" s="800" t="s">
        <v>262</v>
      </c>
      <c r="I77" s="800" t="s">
        <v>262</v>
      </c>
      <c r="J77" s="1286" t="s">
        <v>262</v>
      </c>
      <c r="K77" s="1287" t="s">
        <v>262</v>
      </c>
      <c r="L77" s="1285"/>
    </row>
    <row r="78" spans="1:12" x14ac:dyDescent="0.2">
      <c r="A78" s="1271" t="s">
        <v>291</v>
      </c>
      <c r="B78" s="72">
        <v>1847770</v>
      </c>
      <c r="C78" s="73">
        <v>1761472</v>
      </c>
      <c r="D78" s="74">
        <v>57187</v>
      </c>
      <c r="E78" s="74">
        <v>4184</v>
      </c>
      <c r="F78" s="74">
        <v>24927</v>
      </c>
      <c r="G78" s="72">
        <v>1675967</v>
      </c>
      <c r="H78" s="74">
        <v>1577360</v>
      </c>
      <c r="I78" s="74">
        <v>31915</v>
      </c>
      <c r="J78" s="75">
        <v>66692</v>
      </c>
      <c r="K78" s="76">
        <v>171804</v>
      </c>
      <c r="L78" s="1285">
        <f>I78/TableA10b!D77</f>
        <v>0.22067415730337078</v>
      </c>
    </row>
    <row r="79" spans="1:12" x14ac:dyDescent="0.2">
      <c r="A79" s="1273" t="s">
        <v>29</v>
      </c>
      <c r="B79" s="1274">
        <v>198859</v>
      </c>
      <c r="C79" s="794">
        <v>183124</v>
      </c>
      <c r="D79" s="795">
        <v>11476</v>
      </c>
      <c r="E79" s="795">
        <v>-1237</v>
      </c>
      <c r="F79" s="795">
        <v>5497</v>
      </c>
      <c r="G79" s="1274">
        <v>179205</v>
      </c>
      <c r="H79" s="795">
        <v>161239</v>
      </c>
      <c r="I79" s="795">
        <v>3528</v>
      </c>
      <c r="J79" s="1288">
        <v>14437</v>
      </c>
      <c r="K79" s="1289">
        <v>19654</v>
      </c>
      <c r="L79" s="1285">
        <f>I79/TableA10b!D78</f>
        <v>0.25124626121635096</v>
      </c>
    </row>
    <row r="80" spans="1:12" x14ac:dyDescent="0.2">
      <c r="A80" s="1273" t="s">
        <v>66</v>
      </c>
      <c r="B80" s="1274">
        <v>351822</v>
      </c>
      <c r="C80" s="794">
        <v>343031</v>
      </c>
      <c r="D80" s="795">
        <v>4180</v>
      </c>
      <c r="E80" s="795">
        <v>53</v>
      </c>
      <c r="F80" s="795">
        <v>4558</v>
      </c>
      <c r="G80" s="1274">
        <v>326138</v>
      </c>
      <c r="H80" s="795">
        <v>308745</v>
      </c>
      <c r="I80" s="795" t="s">
        <v>283</v>
      </c>
      <c r="J80" s="1288" t="s">
        <v>283</v>
      </c>
      <c r="K80" s="1289">
        <v>25684</v>
      </c>
      <c r="L80" s="1285"/>
    </row>
    <row r="81" spans="1:12" x14ac:dyDescent="0.2">
      <c r="A81" s="1273" t="s">
        <v>91</v>
      </c>
      <c r="B81" s="1274">
        <v>154650</v>
      </c>
      <c r="C81" s="794">
        <v>142981</v>
      </c>
      <c r="D81" s="795">
        <v>8607</v>
      </c>
      <c r="E81" s="795">
        <v>1210</v>
      </c>
      <c r="F81" s="795">
        <v>1852</v>
      </c>
      <c r="G81" s="1274">
        <v>138351</v>
      </c>
      <c r="H81" s="795">
        <v>132854</v>
      </c>
      <c r="I81" s="795">
        <v>1372</v>
      </c>
      <c r="J81" s="1288">
        <v>4126</v>
      </c>
      <c r="K81" s="1289">
        <v>16299</v>
      </c>
      <c r="L81" s="1285">
        <f>I81/TableA10b!D80</f>
        <v>0.17457691818297494</v>
      </c>
    </row>
    <row r="82" spans="1:12" x14ac:dyDescent="0.2">
      <c r="A82" s="1273" t="s">
        <v>69</v>
      </c>
      <c r="B82" s="1274">
        <v>79260</v>
      </c>
      <c r="C82" s="794">
        <v>76881</v>
      </c>
      <c r="D82" s="795">
        <v>186</v>
      </c>
      <c r="E82" s="795">
        <v>617</v>
      </c>
      <c r="F82" s="795">
        <v>1575</v>
      </c>
      <c r="G82" s="1274">
        <v>74288</v>
      </c>
      <c r="H82" s="795">
        <v>68832</v>
      </c>
      <c r="I82" s="795">
        <v>2763</v>
      </c>
      <c r="J82" s="1288">
        <v>2693</v>
      </c>
      <c r="K82" s="1289">
        <v>4972</v>
      </c>
      <c r="L82" s="1285">
        <f>I82/TableA10b!D81</f>
        <v>0.39864377434713605</v>
      </c>
    </row>
    <row r="83" spans="1:12" x14ac:dyDescent="0.2">
      <c r="A83" s="1273" t="s">
        <v>292</v>
      </c>
      <c r="B83" s="1274">
        <v>32267</v>
      </c>
      <c r="C83" s="794">
        <v>29625</v>
      </c>
      <c r="D83" s="795">
        <v>2281</v>
      </c>
      <c r="E83" s="795">
        <v>238</v>
      </c>
      <c r="F83" s="800">
        <v>122</v>
      </c>
      <c r="G83" s="1272">
        <v>26148</v>
      </c>
      <c r="H83" s="800">
        <v>22600</v>
      </c>
      <c r="I83" s="795" t="s">
        <v>283</v>
      </c>
      <c r="J83" s="1288" t="s">
        <v>283</v>
      </c>
      <c r="K83" s="1289">
        <v>6118</v>
      </c>
      <c r="L83" s="1285"/>
    </row>
    <row r="84" spans="1:12" x14ac:dyDescent="0.2">
      <c r="A84" s="1273" t="s">
        <v>46</v>
      </c>
      <c r="B84" s="1274">
        <v>242992</v>
      </c>
      <c r="C84" s="794">
        <v>233748</v>
      </c>
      <c r="D84" s="795">
        <v>5321</v>
      </c>
      <c r="E84" s="795">
        <v>911</v>
      </c>
      <c r="F84" s="795">
        <v>3013</v>
      </c>
      <c r="G84" s="1274">
        <v>223445</v>
      </c>
      <c r="H84" s="795">
        <v>207071</v>
      </c>
      <c r="I84" s="795" t="s">
        <v>283</v>
      </c>
      <c r="J84" s="1288" t="s">
        <v>283</v>
      </c>
      <c r="K84" s="1289">
        <v>19547</v>
      </c>
      <c r="L84" s="1285"/>
    </row>
    <row r="85" spans="1:12" x14ac:dyDescent="0.2">
      <c r="A85" s="1273" t="s">
        <v>308</v>
      </c>
      <c r="B85" s="1274">
        <v>76428</v>
      </c>
      <c r="C85" s="794">
        <v>74499</v>
      </c>
      <c r="D85" s="795">
        <v>355</v>
      </c>
      <c r="E85" s="795">
        <v>793</v>
      </c>
      <c r="F85" s="795">
        <v>781</v>
      </c>
      <c r="G85" s="1274">
        <v>71440</v>
      </c>
      <c r="H85" s="795">
        <v>66615</v>
      </c>
      <c r="I85" s="795">
        <v>1253</v>
      </c>
      <c r="J85" s="1288">
        <v>3572</v>
      </c>
      <c r="K85" s="1289">
        <v>4988</v>
      </c>
      <c r="L85" s="1285">
        <f>I85/TableA10b!D84</f>
        <v>0.24602395444728059</v>
      </c>
    </row>
    <row r="86" spans="1:12" x14ac:dyDescent="0.2">
      <c r="A86" s="1273" t="s">
        <v>293</v>
      </c>
      <c r="B86" s="1274">
        <v>53911</v>
      </c>
      <c r="C86" s="794">
        <v>51413</v>
      </c>
      <c r="D86" s="795">
        <v>1597</v>
      </c>
      <c r="E86" s="795">
        <v>632</v>
      </c>
      <c r="F86" s="795">
        <v>270</v>
      </c>
      <c r="G86" s="1274">
        <v>46952</v>
      </c>
      <c r="H86" s="795">
        <v>45017</v>
      </c>
      <c r="I86" s="795" t="s">
        <v>283</v>
      </c>
      <c r="J86" s="1288" t="s">
        <v>283</v>
      </c>
      <c r="K86" s="1289">
        <v>6960</v>
      </c>
      <c r="L86" s="1285"/>
    </row>
    <row r="87" spans="1:12" x14ac:dyDescent="0.2">
      <c r="A87" s="1273" t="s">
        <v>52</v>
      </c>
      <c r="B87" s="1274">
        <v>17722</v>
      </c>
      <c r="C87" s="794">
        <v>17276</v>
      </c>
      <c r="D87" s="795">
        <v>107</v>
      </c>
      <c r="E87" s="795">
        <v>-66</v>
      </c>
      <c r="F87" s="795">
        <v>406</v>
      </c>
      <c r="G87" s="1274">
        <v>16383</v>
      </c>
      <c r="H87" s="795">
        <v>15471</v>
      </c>
      <c r="I87" s="795" t="s">
        <v>283</v>
      </c>
      <c r="J87" s="1288" t="s">
        <v>283</v>
      </c>
      <c r="K87" s="1289">
        <v>1339</v>
      </c>
      <c r="L87" s="1285"/>
    </row>
    <row r="88" spans="1:12" x14ac:dyDescent="0.2">
      <c r="A88" s="1273" t="s">
        <v>294</v>
      </c>
      <c r="B88" s="1274">
        <v>23780</v>
      </c>
      <c r="C88" s="794">
        <v>22488</v>
      </c>
      <c r="D88" s="795">
        <v>790</v>
      </c>
      <c r="E88" s="795">
        <v>320</v>
      </c>
      <c r="F88" s="795">
        <v>183</v>
      </c>
      <c r="G88" s="1274">
        <v>21020</v>
      </c>
      <c r="H88" s="795">
        <v>19946</v>
      </c>
      <c r="I88" s="795">
        <v>460</v>
      </c>
      <c r="J88" s="1288">
        <v>615</v>
      </c>
      <c r="K88" s="1289">
        <v>2760</v>
      </c>
      <c r="L88" s="1285">
        <f>I88/TableA10b!D87</f>
        <v>0.21800947867298578</v>
      </c>
    </row>
    <row r="89" spans="1:12" x14ac:dyDescent="0.2">
      <c r="A89" s="1273" t="s">
        <v>102</v>
      </c>
      <c r="B89" s="1274">
        <v>477624</v>
      </c>
      <c r="C89" s="794">
        <v>450946</v>
      </c>
      <c r="D89" s="795">
        <v>20988</v>
      </c>
      <c r="E89" s="795">
        <v>195</v>
      </c>
      <c r="F89" s="795">
        <v>5495</v>
      </c>
      <c r="G89" s="1274">
        <v>429474</v>
      </c>
      <c r="H89" s="795">
        <v>412448</v>
      </c>
      <c r="I89" s="795">
        <v>1931</v>
      </c>
      <c r="J89" s="1288">
        <v>15095</v>
      </c>
      <c r="K89" s="1289">
        <v>48150</v>
      </c>
      <c r="L89" s="1285">
        <f>I89/TableA10b!D88</f>
        <v>6.6816608996539795E-2</v>
      </c>
    </row>
    <row r="90" spans="1:12" x14ac:dyDescent="0.2">
      <c r="A90" s="1273" t="s">
        <v>295</v>
      </c>
      <c r="B90" s="1274">
        <v>39636</v>
      </c>
      <c r="C90" s="794">
        <v>38691</v>
      </c>
      <c r="D90" s="795"/>
      <c r="E90" s="795">
        <v>250</v>
      </c>
      <c r="F90" s="795">
        <v>343</v>
      </c>
      <c r="G90" s="1274">
        <v>36345</v>
      </c>
      <c r="H90" s="795">
        <v>34198</v>
      </c>
      <c r="I90" s="795">
        <v>559</v>
      </c>
      <c r="J90" s="1288">
        <v>1588</v>
      </c>
      <c r="K90" s="1289">
        <v>3292</v>
      </c>
      <c r="L90" s="1285">
        <f>I90/TableA10b!D89</f>
        <v>0.17205293936595875</v>
      </c>
    </row>
    <row r="91" spans="1:12" x14ac:dyDescent="0.2">
      <c r="A91" s="1273" t="s">
        <v>296</v>
      </c>
      <c r="B91" s="1274">
        <v>63793</v>
      </c>
      <c r="C91" s="794">
        <v>62792</v>
      </c>
      <c r="D91" s="795">
        <v>298</v>
      </c>
      <c r="E91" s="795">
        <v>430</v>
      </c>
      <c r="F91" s="795">
        <v>273</v>
      </c>
      <c r="G91" s="1274">
        <v>58217</v>
      </c>
      <c r="H91" s="795">
        <v>55782</v>
      </c>
      <c r="I91" s="795" t="s">
        <v>283</v>
      </c>
      <c r="J91" s="1288" t="s">
        <v>283</v>
      </c>
      <c r="K91" s="1289">
        <v>5576</v>
      </c>
      <c r="L91" s="1285"/>
    </row>
    <row r="92" spans="1:12" x14ac:dyDescent="0.2">
      <c r="A92" s="1273" t="s">
        <v>272</v>
      </c>
      <c r="B92" s="1274">
        <v>35025</v>
      </c>
      <c r="C92" s="794">
        <v>33978</v>
      </c>
      <c r="D92" s="795"/>
      <c r="E92" s="795">
        <v>-161</v>
      </c>
      <c r="F92" s="800">
        <v>557</v>
      </c>
      <c r="G92" s="1272">
        <v>28561</v>
      </c>
      <c r="H92" s="800">
        <v>26540</v>
      </c>
      <c r="I92" s="795" t="s">
        <v>283</v>
      </c>
      <c r="J92" s="1288" t="s">
        <v>283</v>
      </c>
      <c r="K92" s="1289">
        <v>6464</v>
      </c>
      <c r="L92" s="1285"/>
    </row>
    <row r="93" spans="1:12" x14ac:dyDescent="0.2">
      <c r="A93" s="1271" t="s">
        <v>262</v>
      </c>
      <c r="B93" s="1272" t="s">
        <v>262</v>
      </c>
      <c r="C93" s="799" t="s">
        <v>262</v>
      </c>
      <c r="D93" s="800"/>
      <c r="E93" s="800" t="s">
        <v>262</v>
      </c>
      <c r="F93" s="800" t="s">
        <v>262</v>
      </c>
      <c r="G93" s="1272" t="s">
        <v>262</v>
      </c>
      <c r="H93" s="800" t="s">
        <v>262</v>
      </c>
      <c r="I93" s="800" t="s">
        <v>262</v>
      </c>
      <c r="J93" s="1286" t="s">
        <v>262</v>
      </c>
      <c r="K93" s="1287" t="s">
        <v>262</v>
      </c>
      <c r="L93" s="1285"/>
    </row>
    <row r="94" spans="1:12" x14ac:dyDescent="0.2">
      <c r="A94" s="1271" t="s">
        <v>297</v>
      </c>
      <c r="B94" s="1272" t="s">
        <v>262</v>
      </c>
      <c r="C94" s="799" t="s">
        <v>262</v>
      </c>
      <c r="D94" s="800"/>
      <c r="E94" s="800" t="s">
        <v>262</v>
      </c>
      <c r="F94" s="800" t="s">
        <v>262</v>
      </c>
      <c r="G94" s="1272" t="s">
        <v>262</v>
      </c>
      <c r="H94" s="800" t="s">
        <v>262</v>
      </c>
      <c r="I94" s="800" t="s">
        <v>262</v>
      </c>
      <c r="J94" s="1286" t="s">
        <v>262</v>
      </c>
      <c r="K94" s="1287" t="s">
        <v>262</v>
      </c>
      <c r="L94" s="1285"/>
    </row>
    <row r="95" spans="1:12" x14ac:dyDescent="0.2">
      <c r="A95" s="1273" t="s">
        <v>298</v>
      </c>
      <c r="B95" s="1274">
        <v>3054598</v>
      </c>
      <c r="C95" s="794">
        <v>2520897</v>
      </c>
      <c r="D95" s="795">
        <v>400417</v>
      </c>
      <c r="E95" s="795">
        <v>15861</v>
      </c>
      <c r="F95" s="795">
        <v>117423</v>
      </c>
      <c r="G95" s="1274">
        <v>2510289</v>
      </c>
      <c r="H95" s="795">
        <v>2250704</v>
      </c>
      <c r="I95" s="795">
        <v>36817</v>
      </c>
      <c r="J95" s="1288">
        <v>222769</v>
      </c>
      <c r="K95" s="1289">
        <v>544308</v>
      </c>
      <c r="L95" s="1285">
        <f>I95/TableA10b!D94</f>
        <v>0.22059449127915687</v>
      </c>
    </row>
    <row r="96" spans="1:12" ht="17" thickBot="1" x14ac:dyDescent="0.25">
      <c r="A96" s="1276" t="s">
        <v>299</v>
      </c>
      <c r="B96" s="1277">
        <v>139650</v>
      </c>
      <c r="C96" s="1278">
        <v>114884</v>
      </c>
      <c r="D96" s="1279">
        <v>25520</v>
      </c>
      <c r="E96" s="1279">
        <v>-1550</v>
      </c>
      <c r="F96" s="1279">
        <v>796</v>
      </c>
      <c r="G96" s="1277">
        <v>104324</v>
      </c>
      <c r="H96" s="1279">
        <v>80870</v>
      </c>
      <c r="I96" s="1279">
        <v>18040</v>
      </c>
      <c r="J96" s="1290">
        <v>5414</v>
      </c>
      <c r="K96" s="1291">
        <v>35326</v>
      </c>
      <c r="L96" s="1292">
        <f>I96/TableA10b!D95</f>
        <v>0.59575311251279683</v>
      </c>
    </row>
    <row r="97" spans="1:12" ht="17" thickTop="1" x14ac:dyDescent="0.2">
      <c r="A97" s="1281"/>
      <c r="B97" s="1281"/>
      <c r="C97" s="1281"/>
      <c r="D97" s="1281"/>
      <c r="E97" s="1281"/>
      <c r="F97" s="1281"/>
      <c r="G97" s="1281"/>
      <c r="H97" s="1281"/>
      <c r="I97" s="1281"/>
      <c r="J97" s="1281"/>
      <c r="K97" s="1281"/>
      <c r="L97" s="1281"/>
    </row>
    <row r="99" spans="1:12" x14ac:dyDescent="0.2">
      <c r="A99" s="1281" t="s">
        <v>322</v>
      </c>
      <c r="B99" s="1293">
        <f t="shared" ref="B99:G99" si="0">B26+B27+B24+B35+B59+B89</f>
        <v>2260756</v>
      </c>
      <c r="C99" s="1293">
        <f t="shared" si="0"/>
        <v>1649877</v>
      </c>
      <c r="D99" s="1293">
        <f t="shared" si="0"/>
        <v>501582</v>
      </c>
      <c r="E99" s="1293">
        <f t="shared" si="0"/>
        <v>22277</v>
      </c>
      <c r="F99" s="1293">
        <f t="shared" si="0"/>
        <v>87022</v>
      </c>
      <c r="G99" s="1293">
        <f t="shared" si="0"/>
        <v>1566702</v>
      </c>
      <c r="H99" s="1293">
        <f>H26+H27+H24+H35+H59+H89</f>
        <v>1382099</v>
      </c>
      <c r="I99" s="1293">
        <f>I26+I27+I24+I35+I59+I89</f>
        <v>15375.694718603889</v>
      </c>
      <c r="J99" s="1293" t="e">
        <f>J26+J27+J24+J35+J59+J89</f>
        <v>#VALUE!</v>
      </c>
      <c r="K99" s="1293">
        <f>K26+K27+K24+K35+K59+K89</f>
        <v>694054</v>
      </c>
      <c r="L99" s="1294">
        <f>I99/(K99+I99-D99-E99)</f>
        <v>8.2856265327450121E-2</v>
      </c>
    </row>
    <row r="100" spans="1:12" x14ac:dyDescent="0.2">
      <c r="A100" s="1281" t="s">
        <v>323</v>
      </c>
      <c r="B100" s="1293">
        <f>B13-B26-B27-B24-B35-B29</f>
        <v>2117133</v>
      </c>
      <c r="C100" s="1293">
        <f t="shared" ref="C100:K100" si="1">C13-C26-C27-C24-C35-C29</f>
        <v>1948082</v>
      </c>
      <c r="D100" s="1293">
        <f t="shared" si="1"/>
        <v>115225</v>
      </c>
      <c r="E100" s="1293">
        <f t="shared" si="1"/>
        <v>970</v>
      </c>
      <c r="F100" s="1293">
        <f t="shared" si="1"/>
        <v>59120</v>
      </c>
      <c r="G100" s="1293">
        <f t="shared" si="1"/>
        <v>1941210</v>
      </c>
      <c r="H100" s="1293">
        <f t="shared" si="1"/>
        <v>1784002</v>
      </c>
      <c r="I100" s="1293" t="e">
        <f t="shared" si="1"/>
        <v>#VALUE!</v>
      </c>
      <c r="J100" s="1293" t="e">
        <f t="shared" si="1"/>
        <v>#VALUE!</v>
      </c>
      <c r="K100" s="1293">
        <f t="shared" si="1"/>
        <v>175923</v>
      </c>
      <c r="L100" s="1296"/>
    </row>
    <row r="101" spans="1:12" x14ac:dyDescent="0.2">
      <c r="A101" s="1281" t="s">
        <v>324</v>
      </c>
      <c r="B101" s="1293">
        <f t="shared" ref="B101:H101" si="2">B82+B80+B83+B85+B42</f>
        <v>931307</v>
      </c>
      <c r="C101" s="1293">
        <f t="shared" si="2"/>
        <v>905819</v>
      </c>
      <c r="D101" s="1293">
        <f t="shared" si="2"/>
        <v>7002</v>
      </c>
      <c r="E101" s="1293">
        <f t="shared" si="2"/>
        <v>-1393</v>
      </c>
      <c r="F101" s="1293">
        <f t="shared" si="2"/>
        <v>12906</v>
      </c>
      <c r="G101" s="1293">
        <f t="shared" si="2"/>
        <v>872528</v>
      </c>
      <c r="H101" s="1293">
        <f t="shared" si="2"/>
        <v>813966</v>
      </c>
      <c r="I101" s="1293" t="e">
        <f>I82+I80+I83+I85+I42</f>
        <v>#VALUE!</v>
      </c>
      <c r="J101" s="1293" t="e">
        <f>J82+J80+J83+J85+J42</f>
        <v>#VALUE!</v>
      </c>
      <c r="K101" s="1293">
        <f>K82+K80+K83+K85+K42</f>
        <v>58778</v>
      </c>
      <c r="L101" s="1296"/>
    </row>
  </sheetData>
  <mergeCells count="6">
    <mergeCell ref="A3:L3"/>
    <mergeCell ref="B6:K6"/>
    <mergeCell ref="L6:L8"/>
    <mergeCell ref="B7:F7"/>
    <mergeCell ref="G7:J7"/>
    <mergeCell ref="K7:K8"/>
  </mergeCells>
  <pageMargins left="0.7" right="0.7" top="0.75" bottom="0.75" header="0.3" footer="0.3"/>
  <pageSetup scale="46" orientation="portrait" horizontalDpi="300" verticalDpi="300"/>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5CEDB-115E-654B-940D-76CF01C79105}">
  <sheetPr>
    <pageSetUpPr fitToPage="1"/>
  </sheetPr>
  <dimension ref="B1:R20"/>
  <sheetViews>
    <sheetView zoomScale="50" zoomScaleNormal="50" zoomScalePageLayoutView="50" workbookViewId="0">
      <pane xSplit="2" ySplit="3" topLeftCell="C4" activePane="bottomRight" state="frozen"/>
      <selection pane="topRight" activeCell="B1" sqref="B1"/>
      <selection pane="bottomLeft" activeCell="A2" sqref="A2"/>
      <selection pane="bottomRight" activeCell="L23" sqref="L23"/>
    </sheetView>
  </sheetViews>
  <sheetFormatPr baseColWidth="10" defaultColWidth="10.83203125" defaultRowHeight="16" x14ac:dyDescent="0.2"/>
  <cols>
    <col min="1" max="1" width="10.83203125" style="1909"/>
    <col min="2" max="2" width="47.83203125" style="1909" customWidth="1"/>
    <col min="3" max="7" width="20.5" style="1909" customWidth="1"/>
    <col min="8" max="8" width="23.5" style="1909" customWidth="1"/>
    <col min="9" max="9" width="19.5" style="1909" bestFit="1" customWidth="1"/>
    <col min="10" max="10" width="10.83203125" style="1909"/>
    <col min="11" max="11" width="20.83203125" style="1909" bestFit="1" customWidth="1"/>
    <col min="12" max="16384" width="10.83203125" style="1909"/>
  </cols>
  <sheetData>
    <row r="1" spans="2:18" ht="17" thickBot="1" x14ac:dyDescent="0.25"/>
    <row r="2" spans="2:18" ht="99" customHeight="1" thickTop="1" x14ac:dyDescent="0.2">
      <c r="B2" s="2127" t="s">
        <v>1991</v>
      </c>
      <c r="C2" s="2127"/>
      <c r="D2" s="2127"/>
      <c r="E2" s="2127"/>
      <c r="F2" s="2127"/>
      <c r="G2" s="2127"/>
      <c r="H2" s="2127"/>
      <c r="I2" s="2127"/>
    </row>
    <row r="3" spans="2:18" s="1910" customFormat="1" ht="175" customHeight="1" x14ac:dyDescent="0.2">
      <c r="B3" s="1916"/>
      <c r="C3" s="1917" t="s">
        <v>1990</v>
      </c>
      <c r="D3" s="1918" t="s">
        <v>1989</v>
      </c>
      <c r="E3" s="1918" t="s">
        <v>1988</v>
      </c>
      <c r="F3" s="1917" t="s">
        <v>1987</v>
      </c>
      <c r="G3" s="1916" t="s">
        <v>1986</v>
      </c>
      <c r="H3" s="1916" t="s">
        <v>1985</v>
      </c>
      <c r="I3" s="1917" t="s">
        <v>1984</v>
      </c>
    </row>
    <row r="4" spans="2:18" ht="30" x14ac:dyDescent="0.3">
      <c r="B4" s="1919" t="str">
        <f>TableA1!$A12</f>
        <v>Belgium</v>
      </c>
      <c r="C4" s="1920">
        <f>VLOOKUP($B4,TableA6!$A$9:$L$91,2,)</f>
        <v>80.241889758299209</v>
      </c>
      <c r="D4" s="1921">
        <f>VLOOKUP($B4,TableA6!$A$9:$L$91,11,)</f>
        <v>48.035141815518401</v>
      </c>
      <c r="E4" s="1921">
        <f>VLOOKUP($B4,TableA6!$A$9:$L$91,5,)</f>
        <v>32.206747942780808</v>
      </c>
      <c r="F4" s="1920">
        <f>-VLOOKUP(B4,TableA7!$A$9:$P$91,16,)</f>
        <v>-13.106870602869716</v>
      </c>
      <c r="G4" s="1922">
        <f>VLOOKUP($B4,TableA6!$A$9:$L$91,12,)</f>
        <v>0.18742426983704405</v>
      </c>
      <c r="H4" s="1923" t="e">
        <v>#N/A</v>
      </c>
      <c r="I4" s="1924">
        <f t="shared" ref="I4:I16" si="0">F4/C4</f>
        <v>-0.16334199808042416</v>
      </c>
    </row>
    <row r="5" spans="2:18" ht="30" x14ac:dyDescent="0.3">
      <c r="B5" s="1919" t="str">
        <f>TableA1!$A24</f>
        <v>Ireland</v>
      </c>
      <c r="C5" s="1920">
        <f>VLOOKUP($B5,TableA6!$A$9:$L$91,2,)</f>
        <v>174.30510209753976</v>
      </c>
      <c r="D5" s="1921">
        <f>VLOOKUP($B5,TableA6!$A$9:$L$91,11,)</f>
        <v>58.031972841329662</v>
      </c>
      <c r="E5" s="1921">
        <f>VLOOKUP($B5,TableA6!$A$9:$L$91,5,)</f>
        <v>116.2731292562101</v>
      </c>
      <c r="F5" s="1920">
        <f>-VLOOKUP(B5,TableA7!$A$9:$P$91,16,)</f>
        <v>-106.3289638729139</v>
      </c>
      <c r="G5" s="1922">
        <f>VLOOKUP($B5,TableA6!$A$9:$L$91,12,)</f>
        <v>4.3730990037364761E-2</v>
      </c>
      <c r="H5" s="1923" t="e">
        <v>#N/A</v>
      </c>
      <c r="I5" s="1924">
        <f t="shared" si="0"/>
        <v>-0.61001635978167212</v>
      </c>
    </row>
    <row r="6" spans="2:18" ht="30" x14ac:dyDescent="0.3">
      <c r="B6" s="1919" t="str">
        <f>TableA1!$A30</f>
        <v>Luxembourg</v>
      </c>
      <c r="C6" s="1920">
        <f>VLOOKUP($B6,TableA6!$A$9:$L$91,2,)</f>
        <v>91.027431841444567</v>
      </c>
      <c r="D6" s="1921">
        <f>VLOOKUP($B6,TableA6!$A$9:$L$91,11,)</f>
        <v>39.722599658914945</v>
      </c>
      <c r="E6" s="1921">
        <f>VLOOKUP($B6,TableA6!$A$9:$L$91,5,)</f>
        <v>51.304832182529623</v>
      </c>
      <c r="F6" s="1920">
        <f>-VLOOKUP(B6,TableA7!$A$9:$P$91,16,)</f>
        <v>-46.799572185855702</v>
      </c>
      <c r="G6" s="1922">
        <f>VLOOKUP($B6,TableA6!$A$9:$L$91,12,)</f>
        <v>2.7963025736591773E-2</v>
      </c>
      <c r="H6" s="1923" t="e">
        <v>#N/A</v>
      </c>
      <c r="I6" s="1924">
        <f t="shared" si="0"/>
        <v>-0.5141260303528411</v>
      </c>
    </row>
    <row r="7" spans="2:18" ht="30" x14ac:dyDescent="0.3">
      <c r="B7" s="1919" t="s">
        <v>96</v>
      </c>
      <c r="C7" s="1920">
        <f>VLOOKUP($B7,TableA6!$A$9:$L$91,2,)</f>
        <v>13.646495114506827</v>
      </c>
      <c r="D7" s="1921">
        <f>VLOOKUP($B7,TableA6!$A$9:$L$91,11,)</f>
        <v>0.79144089380624261</v>
      </c>
      <c r="E7" s="1921">
        <f>VLOOKUP($B7,TableA6!$A$9:$L$91,5,)</f>
        <v>12.855054220700584</v>
      </c>
      <c r="F7" s="1920">
        <f>-VLOOKUP(B7,TableA7!$A$9:$P$91,16,)</f>
        <v>-12.327426958163089</v>
      </c>
      <c r="G7" s="1922">
        <f>VLOOKUP($B7,TableA6!$A$9:$L$91,12,)</f>
        <v>4.7649291571561309E-2</v>
      </c>
      <c r="H7" s="1923" t="e">
        <v>#N/A</v>
      </c>
      <c r="I7" s="1924">
        <f t="shared" si="0"/>
        <v>-0.90334015105889642</v>
      </c>
    </row>
    <row r="8" spans="2:18" ht="30" x14ac:dyDescent="0.3">
      <c r="B8" s="1919" t="str">
        <f>TableA1!$A32</f>
        <v>Netherlands</v>
      </c>
      <c r="C8" s="1920">
        <f>VLOOKUP($B8,TableA6!$A$9:$L$91,2,)</f>
        <v>195.09598848383817</v>
      </c>
      <c r="D8" s="1921">
        <f>VLOOKUP($B8,TableA6!$A$9:$L$91,11,)</f>
        <v>105.76204146485456</v>
      </c>
      <c r="E8" s="1921">
        <f>VLOOKUP($B8,TableA6!$A$9:$L$91,5,)</f>
        <v>89.333947018983608</v>
      </c>
      <c r="F8" s="1920">
        <f>-VLOOKUP(B8,TableA7!$A$9:$P$91,16,)</f>
        <v>-57.353364287520073</v>
      </c>
      <c r="G8" s="1922">
        <f>VLOOKUP($B8,TableA6!$A$9:$L$91,12,)</f>
        <v>0.10484903843270543</v>
      </c>
      <c r="H8" s="1923" t="e">
        <v>#N/A</v>
      </c>
      <c r="I8" s="1924">
        <f t="shared" si="0"/>
        <v>-0.29397510801341387</v>
      </c>
    </row>
    <row r="9" spans="2:18" ht="30" x14ac:dyDescent="0.3">
      <c r="B9" s="1919" t="s">
        <v>1983</v>
      </c>
      <c r="C9" s="1920">
        <f>TableA6!$E$55+TableA6!$E$56+TableA6!$E$57+TableA6!$E$58+TableA6!$E$60+TableA6!$E$61+TableA6!$E$63+TableA6!$E$64+TableA6!$E$65+TableA6!$E$66+TableA6!$E$69+TableA6!$E$78+TableA6!$C$84+TableA6!$C$85+TableA6!$C$86+TableA6!$C$87+TableA6!$C$88</f>
        <v>102.24493064007694</v>
      </c>
      <c r="D9" s="1921">
        <f>C9-E9</f>
        <v>3.8664188443038086</v>
      </c>
      <c r="E9" s="1921">
        <f>TableA6!$E$55+TableA6!$E$56+TableA6!$E$57+TableA6!$E$58+TableA6!$E$60+TableA6!$E$61+TableA6!$E$63+TableA6!$E$64+TableA6!$E$65+TableA6!$E$66+TableA6!$E$69+TableA6!$E$78+TableA6!$E$84+TableA6!$E$85+TableA6!$E$86+TableA6!$E$87+TableA6!$E$88</f>
        <v>98.378511795773136</v>
      </c>
      <c r="F9" s="1920">
        <f>-(TableA7!$P$55+TableA7!$P$56+TableA7!$P$57+TableA7!$P$58+TableA7!$P$60+TableA7!$P$61+TableA7!$P$63+TableA7!$P$64+TableA7!$P$65+TableA7!$P$66+TableA7!$P$69+TableA7!$P$80+TableA7!$P$84+TableA7!$P$85+TableA7!$P$86+TableA7!$P$87+TableA7!$P$88)</f>
        <v>-96.73216830648569</v>
      </c>
      <c r="G9" s="1922">
        <v>0.02</v>
      </c>
      <c r="H9" s="1923" t="e">
        <v>#N/A</v>
      </c>
      <c r="I9" s="1924">
        <f t="shared" si="0"/>
        <v>-0.94608278083734731</v>
      </c>
    </row>
    <row r="10" spans="2:18" ht="30" x14ac:dyDescent="0.3">
      <c r="B10" s="1919" t="s">
        <v>81</v>
      </c>
      <c r="C10" s="1920">
        <f>VLOOKUP($B10,TableA6!$A$9:$L$91,2,)</f>
        <v>25.438024032487199</v>
      </c>
      <c r="D10" s="1921">
        <f>VLOOKUP($B10,TableA6!$A$9:$L$91,11,)</f>
        <v>0.89240592903512039</v>
      </c>
      <c r="E10" s="1921">
        <f>VLOOKUP($B10,TableA6!$A$9:$L$91,5,)</f>
        <v>24.545618103452078</v>
      </c>
      <c r="F10" s="1920">
        <f>-VLOOKUP(B10,TableA7!$A$9:$P$91,16,)</f>
        <v>-23.950680817428665</v>
      </c>
      <c r="G10" s="1922">
        <f>VLOOKUP($B10,TableA6!$A$9:$L$91,12,)</f>
        <v>0</v>
      </c>
      <c r="H10" s="1923"/>
      <c r="I10" s="1924">
        <f t="shared" si="0"/>
        <v>-0.94153070957244833</v>
      </c>
    </row>
    <row r="11" spans="2:18" ht="30" x14ac:dyDescent="0.3">
      <c r="B11" s="1919" t="s">
        <v>102</v>
      </c>
      <c r="C11" s="1920">
        <f>VLOOKUP($B11,TableA6!$A$9:$L$91,2,)</f>
        <v>120.07387384516201</v>
      </c>
      <c r="D11" s="1921">
        <f>VLOOKUP($B11,TableA6!$A$9:$L$91,11,)</f>
        <v>29.794561305006578</v>
      </c>
      <c r="E11" s="1921">
        <f>VLOOKUP($B11,TableA6!$A$9:$L$91,5,)</f>
        <v>90.279312540155431</v>
      </c>
      <c r="F11" s="1920">
        <f>-VLOOKUP(B11,TableA7!$A$9:$P$91,16,)</f>
        <v>-70.416271670151048</v>
      </c>
      <c r="G11" s="1922">
        <f>VLOOKUP($B11,TableA6!$A$9:$L$91,12,)</f>
        <v>8.300833934937181E-2</v>
      </c>
      <c r="H11" s="1923" t="e">
        <v>#N/A</v>
      </c>
      <c r="I11" s="1924">
        <f t="shared" si="0"/>
        <v>-0.58644124167222611</v>
      </c>
    </row>
    <row r="12" spans="2:18" ht="30" x14ac:dyDescent="0.3">
      <c r="B12" s="1919" t="s">
        <v>108</v>
      </c>
      <c r="C12" s="1920">
        <f>VLOOKUP($B12,TableA6!$A$9:$L$91,2,)</f>
        <v>52.764834331533464</v>
      </c>
      <c r="D12" s="1921">
        <f>VLOOKUP($B12,TableA6!$A$9:$L$91,11,)</f>
        <v>9.8517915193119219</v>
      </c>
      <c r="E12" s="1921">
        <f>VLOOKUP($B12,TableA6!$A$9:$L$91,5,)</f>
        <v>42.913042812221541</v>
      </c>
      <c r="F12" s="1920">
        <f>-VLOOKUP(B12,TableA7!$A$9:$P$91,16,)</f>
        <v>-41.683062581236264</v>
      </c>
      <c r="G12" s="1922">
        <f>VLOOKUP($B12,TableA6!$A$9:$L$91,12,)</f>
        <v>3.2938604318924807E-2</v>
      </c>
      <c r="H12" s="1923" t="e">
        <v>#N/A</v>
      </c>
      <c r="I12" s="1924">
        <f t="shared" si="0"/>
        <v>-0.78997808122227953</v>
      </c>
    </row>
    <row r="13" spans="2:18" ht="30" x14ac:dyDescent="0.3">
      <c r="B13" s="1919" t="s">
        <v>91</v>
      </c>
      <c r="C13" s="1920">
        <f>VLOOKUP($B13,TableA6!$A$9:$L$91,2,)</f>
        <v>95.223967679643692</v>
      </c>
      <c r="D13" s="1921">
        <f>VLOOKUP($B13,TableA6!$A$9:$L$91,11,)</f>
        <v>44.867795494357466</v>
      </c>
      <c r="E13" s="1921">
        <f>VLOOKUP($B13,TableA6!$A$9:$L$91,5,)</f>
        <v>50.356172185286226</v>
      </c>
      <c r="F13" s="1920">
        <f>-VLOOKUP(B13,TableA7!$A$9:$P$91,16,)</f>
        <v>-39.035168909870336</v>
      </c>
      <c r="G13" s="1922">
        <f>VLOOKUP($B13,TableA6!$A$9:$L$91,12,)</f>
        <v>0.17659863513001625</v>
      </c>
      <c r="H13" s="1923" t="e">
        <v>#N/A</v>
      </c>
      <c r="I13" s="1924">
        <f t="shared" si="0"/>
        <v>-0.40993008232122846</v>
      </c>
      <c r="R13" s="1915"/>
    </row>
    <row r="14" spans="2:18" ht="30" x14ac:dyDescent="0.3">
      <c r="B14" s="1919" t="s">
        <v>60</v>
      </c>
      <c r="C14" s="1920">
        <f>VLOOKUP($B14,TableA6!$A$9:$L$91,2,)</f>
        <v>94.889238877326122</v>
      </c>
      <c r="D14" s="1921">
        <f>VLOOKUP($B14,TableA6!$A$9:$L$91,11,)</f>
        <v>34.576111736785066</v>
      </c>
      <c r="E14" s="1921">
        <f>VLOOKUP($B14,TableA6!$A$9:$L$91,5,)</f>
        <v>60.313127140541056</v>
      </c>
      <c r="F14" s="1920">
        <f>-VLOOKUP(B14,TableA7!$A$9:$P$91,16,)</f>
        <v>-58.152724672949248</v>
      </c>
      <c r="G14" s="1922">
        <f>VLOOKUP($B14,TableA6!$A$9:$L$91,12,)</f>
        <v>0.21188216848158226</v>
      </c>
      <c r="H14" s="1923" t="e">
        <v>#N/A</v>
      </c>
      <c r="I14" s="1924">
        <f t="shared" si="0"/>
        <v>-0.6128484679714814</v>
      </c>
    </row>
    <row r="15" spans="2:18" ht="30" x14ac:dyDescent="0.3">
      <c r="B15" s="1919" t="s">
        <v>272</v>
      </c>
      <c r="C15" s="1920">
        <f>TableA6!$B$53-C9-C10-C11-C12-C13-C7</f>
        <v>76.360135496271937</v>
      </c>
      <c r="D15" s="1921">
        <f>TableA6!$K$53-D9-D10-D11-D12-D13-D7</f>
        <v>16.046306788128465</v>
      </c>
      <c r="E15" s="1921">
        <f>TableA6!$E$53-E9-E10-E11-E12-E13-E7</f>
        <v>60.313828708143532</v>
      </c>
      <c r="F15" s="1920">
        <f>-TableA7!$P$91-SUM(F4:F14)</f>
        <v>-50.575354983473517</v>
      </c>
      <c r="G15" s="1922">
        <f>TableA6!$L$53</f>
        <v>7.00691340466289E-2</v>
      </c>
      <c r="H15" s="1923"/>
      <c r="I15" s="1924">
        <f t="shared" si="0"/>
        <v>-0.66232667942217982</v>
      </c>
    </row>
    <row r="16" spans="2:18" ht="31" thickBot="1" x14ac:dyDescent="0.35">
      <c r="B16" s="1925" t="s">
        <v>1982</v>
      </c>
      <c r="C16" s="1926">
        <f>SUM(C4:C15)</f>
        <v>1121.3119121981299</v>
      </c>
      <c r="D16" s="1927">
        <f>SUM(D4:D15)</f>
        <v>392.2385882913523</v>
      </c>
      <c r="E16" s="1927">
        <f>SUM(E4:E15)</f>
        <v>729.07332390677766</v>
      </c>
      <c r="F16" s="1926">
        <f>SUM(F4:F15)</f>
        <v>-616.46162984891726</v>
      </c>
      <c r="G16" s="1928"/>
      <c r="H16" s="1929"/>
      <c r="I16" s="1930">
        <f t="shared" si="0"/>
        <v>-0.54976819843147418</v>
      </c>
    </row>
    <row r="17" spans="2:8" ht="17" thickTop="1" x14ac:dyDescent="0.2"/>
    <row r="18" spans="2:8" ht="40" customHeight="1" x14ac:dyDescent="0.35">
      <c r="B18" s="1911"/>
      <c r="C18" s="1912"/>
      <c r="D18" s="1912"/>
      <c r="E18" s="1912"/>
      <c r="F18" s="1912"/>
      <c r="G18" s="1913"/>
      <c r="H18" s="1914"/>
    </row>
    <row r="19" spans="2:8" ht="33" x14ac:dyDescent="0.35">
      <c r="B19" s="1911"/>
      <c r="C19" s="1912"/>
      <c r="D19" s="1912"/>
      <c r="E19" s="1912"/>
      <c r="F19" s="1912"/>
      <c r="G19" s="1912"/>
    </row>
    <row r="20" spans="2:8" ht="33" x14ac:dyDescent="0.35">
      <c r="C20" s="1912"/>
      <c r="D20" s="1912"/>
      <c r="E20" s="1912"/>
      <c r="F20" s="1912"/>
      <c r="G20" s="1912"/>
    </row>
  </sheetData>
  <mergeCells count="1">
    <mergeCell ref="B2:I2"/>
  </mergeCells>
  <pageMargins left="0.75" right="0.75" top="1" bottom="1" header="0.5" footer="0.5"/>
  <pageSetup scale="55" orientation="landscape"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Q97"/>
  <sheetViews>
    <sheetView topLeftCell="B3" workbookViewId="0">
      <pane xSplit="1" ySplit="8" topLeftCell="C11" activePane="bottomRight" state="frozen"/>
      <selection pane="topRight" activeCell="Q8" sqref="Q8"/>
      <selection pane="bottomLeft" activeCell="Q8" sqref="Q8"/>
      <selection pane="bottomRight" activeCell="C15" sqref="C15"/>
    </sheetView>
  </sheetViews>
  <sheetFormatPr baseColWidth="10" defaultColWidth="7.6640625" defaultRowHeight="13" x14ac:dyDescent="0.15"/>
  <cols>
    <col min="1" max="1" width="7.6640625" style="145" hidden="1" customWidth="1"/>
    <col min="2" max="2" width="18.5" style="145" customWidth="1"/>
    <col min="3" max="11" width="12.83203125" style="145" customWidth="1"/>
    <col min="12" max="14" width="7.6640625" style="145"/>
    <col min="15" max="15" width="7.6640625" style="759"/>
    <col min="16" max="16384" width="7.6640625" style="145"/>
  </cols>
  <sheetData>
    <row r="1" spans="1:17" hidden="1" x14ac:dyDescent="0.15"/>
    <row r="2" spans="1:17" hidden="1" x14ac:dyDescent="0.15">
      <c r="C2" s="145" t="s">
        <v>326</v>
      </c>
      <c r="D2" s="145">
        <v>0.90165899999999999</v>
      </c>
    </row>
    <row r="3" spans="1:17" ht="14" thickBot="1" x14ac:dyDescent="0.2"/>
    <row r="4" spans="1:17" ht="33" customHeight="1" thickTop="1" x14ac:dyDescent="0.15">
      <c r="B4" s="1934" t="s">
        <v>327</v>
      </c>
      <c r="C4" s="1935"/>
      <c r="D4" s="1935"/>
      <c r="E4" s="1935"/>
      <c r="F4" s="1935"/>
      <c r="G4" s="1935"/>
      <c r="H4" s="1935"/>
      <c r="I4" s="1935"/>
      <c r="J4" s="1935"/>
      <c r="K4" s="1936"/>
    </row>
    <row r="5" spans="1:17" s="1" customFormat="1" ht="12" customHeight="1" x14ac:dyDescent="0.2">
      <c r="A5" s="958"/>
      <c r="B5" s="4"/>
      <c r="C5" s="620"/>
      <c r="D5" s="620"/>
      <c r="E5" s="620"/>
      <c r="F5" s="620"/>
      <c r="G5" s="620"/>
      <c r="H5" s="620"/>
      <c r="I5" s="620"/>
      <c r="J5" s="620"/>
      <c r="K5" s="5"/>
      <c r="L5" s="958"/>
      <c r="M5" s="958"/>
      <c r="N5" s="958"/>
      <c r="O5" s="1115"/>
      <c r="P5" s="958"/>
      <c r="Q5" s="958"/>
    </row>
    <row r="6" spans="1:17" s="1" customFormat="1" ht="17" thickBot="1" x14ac:dyDescent="0.25">
      <c r="A6" s="1004"/>
      <c r="B6" s="1297"/>
      <c r="C6" s="3" t="s">
        <v>1</v>
      </c>
      <c r="D6" s="3" t="s">
        <v>2</v>
      </c>
      <c r="E6" s="3" t="s">
        <v>3</v>
      </c>
      <c r="F6" s="3" t="s">
        <v>4</v>
      </c>
      <c r="G6" s="3" t="s">
        <v>5</v>
      </c>
      <c r="H6" s="3" t="s">
        <v>6</v>
      </c>
      <c r="I6" s="3" t="s">
        <v>7</v>
      </c>
      <c r="J6" s="3" t="s">
        <v>8</v>
      </c>
      <c r="K6" s="6" t="s">
        <v>9</v>
      </c>
      <c r="L6" s="958"/>
      <c r="M6" s="958"/>
      <c r="N6" s="958"/>
      <c r="O6" s="1115"/>
      <c r="P6" s="958"/>
      <c r="Q6" s="958"/>
    </row>
    <row r="7" spans="1:17" s="1" customFormat="1" ht="16" x14ac:dyDescent="0.2">
      <c r="A7" s="1004"/>
      <c r="B7" s="1297"/>
      <c r="C7" s="2146" t="s">
        <v>136</v>
      </c>
      <c r="D7" s="2147"/>
      <c r="E7" s="2147"/>
      <c r="F7" s="2147"/>
      <c r="G7" s="2147"/>
      <c r="H7" s="2147"/>
      <c r="I7" s="2147"/>
      <c r="J7" s="2147"/>
      <c r="K7" s="2148"/>
      <c r="L7" s="958"/>
      <c r="M7" s="958"/>
      <c r="N7" s="958"/>
      <c r="O7" s="1115"/>
      <c r="P7" s="958"/>
      <c r="Q7" s="958"/>
    </row>
    <row r="8" spans="1:17" ht="24.75" customHeight="1" x14ac:dyDescent="0.2">
      <c r="A8" s="146"/>
      <c r="B8" s="395"/>
      <c r="C8" s="2134" t="s">
        <v>328</v>
      </c>
      <c r="D8" s="2137" t="s">
        <v>329</v>
      </c>
      <c r="E8" s="2137" t="s">
        <v>330</v>
      </c>
      <c r="F8" s="1298"/>
      <c r="G8" s="1298"/>
      <c r="H8" s="1298"/>
      <c r="I8" s="1298"/>
      <c r="J8" s="1298"/>
      <c r="K8" s="2139" t="s">
        <v>331</v>
      </c>
    </row>
    <row r="9" spans="1:17" s="148" customFormat="1" ht="46.5" customHeight="1" thickBot="1" x14ac:dyDescent="0.25">
      <c r="A9" s="149"/>
      <c r="B9" s="396"/>
      <c r="C9" s="2135"/>
      <c r="D9" s="2137"/>
      <c r="E9" s="2137"/>
      <c r="F9" s="2141" t="s">
        <v>125</v>
      </c>
      <c r="G9" s="2143" t="s">
        <v>332</v>
      </c>
      <c r="H9" s="1299"/>
      <c r="I9" s="1299"/>
      <c r="J9" s="2144" t="s">
        <v>333</v>
      </c>
      <c r="K9" s="2139"/>
      <c r="O9" s="760"/>
    </row>
    <row r="10" spans="1:17" ht="72" customHeight="1" thickBot="1" x14ac:dyDescent="0.2">
      <c r="A10" s="146"/>
      <c r="B10" s="395"/>
      <c r="C10" s="2136"/>
      <c r="D10" s="2138"/>
      <c r="E10" s="2138"/>
      <c r="F10" s="2142"/>
      <c r="G10" s="2138" t="s">
        <v>332</v>
      </c>
      <c r="H10" s="397" t="s">
        <v>334</v>
      </c>
      <c r="I10" s="398" t="s">
        <v>335</v>
      </c>
      <c r="J10" s="2145"/>
      <c r="K10" s="2140"/>
      <c r="O10" s="759" t="s">
        <v>26</v>
      </c>
    </row>
    <row r="11" spans="1:17" ht="40" customHeight="1" x14ac:dyDescent="0.15">
      <c r="A11" s="146"/>
      <c r="B11" s="754" t="s">
        <v>28</v>
      </c>
      <c r="C11" s="755">
        <f>SUM(C12:C46)</f>
        <v>82.588599250913376</v>
      </c>
      <c r="D11" s="756">
        <f t="shared" ref="D11:K11" si="0">SUM(D12:D46)</f>
        <v>169.34964211339991</v>
      </c>
      <c r="E11" s="756">
        <f t="shared" si="0"/>
        <v>248.04061139661329</v>
      </c>
      <c r="F11" s="761">
        <f t="shared" si="0"/>
        <v>-16.260849400000001</v>
      </c>
      <c r="G11" s="756">
        <f t="shared" si="0"/>
        <v>416.95715207811338</v>
      </c>
      <c r="H11" s="762">
        <f t="shared" si="0"/>
        <v>428.24080049349629</v>
      </c>
      <c r="I11" s="763">
        <f t="shared" si="0"/>
        <v>-11.282057852271533</v>
      </c>
      <c r="J11" s="764">
        <f t="shared" si="0"/>
        <v>-152.6556912815</v>
      </c>
      <c r="K11" s="765">
        <f t="shared" si="0"/>
        <v>-334.80165425909996</v>
      </c>
    </row>
    <row r="12" spans="1:17" ht="16" x14ac:dyDescent="0.2">
      <c r="A12" s="146"/>
      <c r="B12" s="1297" t="s">
        <v>29</v>
      </c>
      <c r="C12" s="406">
        <f>D12+E12+K12</f>
        <v>-58.411891936082995</v>
      </c>
      <c r="D12" s="399">
        <v>-27.4876196578</v>
      </c>
      <c r="E12" s="399">
        <f t="shared" ref="E12:E46" si="1">F12+G12+J12</f>
        <v>-29.518415384082999</v>
      </c>
      <c r="F12" s="400">
        <f>TableB1b!K12</f>
        <v>-2.8967800000000001</v>
      </c>
      <c r="G12" s="407">
        <f>TableB2!G10-TableB2!C10</f>
        <v>-10.587572319483</v>
      </c>
      <c r="H12" s="401">
        <f>TableB1b!E12</f>
        <v>-6.7292809377112004</v>
      </c>
      <c r="I12" s="402">
        <f>TableB1b!F12</f>
        <v>-3.8582913817716999</v>
      </c>
      <c r="J12" s="403">
        <f>TableB1b!G12+TableB1b!J12+TableB1b!L12</f>
        <v>-16.034063064599998</v>
      </c>
      <c r="K12" s="404">
        <v>-1.4058568942</v>
      </c>
      <c r="O12" s="758">
        <f t="shared" ref="O12:O43" si="2">C12-D12-E12-K12</f>
        <v>4.2188474935755949E-15</v>
      </c>
      <c r="P12" s="392">
        <f t="shared" ref="P12:P43" si="3">E12-F12-G12-J12</f>
        <v>0</v>
      </c>
      <c r="Q12" s="392">
        <f t="shared" ref="Q12:Q43" si="4">G12-H12-I12</f>
        <v>-9.9475983006414026E-14</v>
      </c>
    </row>
    <row r="13" spans="1:17" ht="16" x14ac:dyDescent="0.2">
      <c r="A13" s="146"/>
      <c r="B13" s="1297" t="s">
        <v>30</v>
      </c>
      <c r="C13" s="406">
        <f t="shared" ref="C13:C76" si="5">D13+E13+K13</f>
        <v>6.4007859047542803</v>
      </c>
      <c r="D13" s="399">
        <v>12.839629604700001</v>
      </c>
      <c r="E13" s="399">
        <f t="shared" si="1"/>
        <v>-2.6726777348457205</v>
      </c>
      <c r="F13" s="400">
        <f>TableB1b!K13</f>
        <v>-0.48529899999999998</v>
      </c>
      <c r="G13" s="407">
        <f>TableB2!G11-TableB2!C11</f>
        <v>1.0904048807542801</v>
      </c>
      <c r="H13" s="401">
        <f>TableB1b!E13</f>
        <v>1.1558513588465011</v>
      </c>
      <c r="I13" s="402">
        <f>TableB1b!F13</f>
        <v>-6.5446478092059945E-2</v>
      </c>
      <c r="J13" s="403">
        <f>TableB1b!G13+TableB1b!J13+TableB1b!L13</f>
        <v>-3.2777836156000006</v>
      </c>
      <c r="K13" s="404">
        <v>-3.7661659650999999</v>
      </c>
      <c r="O13" s="758">
        <f t="shared" si="2"/>
        <v>0</v>
      </c>
      <c r="P13" s="392">
        <f t="shared" si="3"/>
        <v>0</v>
      </c>
      <c r="Q13" s="392">
        <f t="shared" si="4"/>
        <v>-1.6109336087311021E-13</v>
      </c>
    </row>
    <row r="14" spans="1:17" ht="16" x14ac:dyDescent="0.2">
      <c r="A14" s="146"/>
      <c r="B14" s="1297" t="s">
        <v>31</v>
      </c>
      <c r="C14" s="406">
        <f t="shared" si="5"/>
        <v>2.9348396848630021</v>
      </c>
      <c r="D14" s="399">
        <v>10.2998078217</v>
      </c>
      <c r="E14" s="399">
        <f t="shared" si="1"/>
        <v>4.3240763363002421E-2</v>
      </c>
      <c r="F14" s="400">
        <f>TableB1b!K14</f>
        <v>6.4764299999999997</v>
      </c>
      <c r="G14" s="407">
        <f>TableB2!G12-TableB2!C12</f>
        <v>-6.8108707709369973</v>
      </c>
      <c r="H14" s="401">
        <f>TableB1b!E14</f>
        <v>-12.627842484748356</v>
      </c>
      <c r="I14" s="402">
        <f>TableB1b!F14</f>
        <v>5.8169717138103998</v>
      </c>
      <c r="J14" s="403">
        <f>TableB1b!G14+TableB1b!J14+TableB1b!L14</f>
        <v>0.37768153430000007</v>
      </c>
      <c r="K14" s="404">
        <v>-7.4082089002</v>
      </c>
      <c r="O14" s="758">
        <f t="shared" si="2"/>
        <v>0</v>
      </c>
      <c r="P14" s="392">
        <f t="shared" si="3"/>
        <v>0</v>
      </c>
      <c r="Q14" s="392">
        <f t="shared" si="4"/>
        <v>9.5923269327613525E-13</v>
      </c>
    </row>
    <row r="15" spans="1:17" ht="16" x14ac:dyDescent="0.2">
      <c r="A15" s="146"/>
      <c r="B15" s="1297" t="s">
        <v>32</v>
      </c>
      <c r="C15" s="406">
        <f t="shared" si="5"/>
        <v>-54.300252163949999</v>
      </c>
      <c r="D15" s="399">
        <v>-37.321059861599998</v>
      </c>
      <c r="E15" s="399">
        <f t="shared" si="1"/>
        <v>-14.143957122550002</v>
      </c>
      <c r="F15" s="400">
        <f>TableB1b!K15</f>
        <v>-1.5351900000000001</v>
      </c>
      <c r="G15" s="407">
        <f>TableB2!G13-TableB2!C13</f>
        <v>5.5487757177499972</v>
      </c>
      <c r="H15" s="401">
        <f>TableB1b!E15</f>
        <v>5.3641555190470012</v>
      </c>
      <c r="I15" s="402">
        <f>TableB1b!F15</f>
        <v>0.18462019870139956</v>
      </c>
      <c r="J15" s="403">
        <f>TableB1b!G15+TableB1b!J15+TableB1b!L15</f>
        <v>-18.1575428403</v>
      </c>
      <c r="K15" s="404">
        <v>-2.8352351798000002</v>
      </c>
      <c r="O15" s="758">
        <f t="shared" si="2"/>
        <v>0</v>
      </c>
      <c r="P15" s="392">
        <f t="shared" si="3"/>
        <v>0</v>
      </c>
      <c r="Q15" s="392">
        <f t="shared" si="4"/>
        <v>1.5965007094109751E-12</v>
      </c>
    </row>
    <row r="16" spans="1:17" ht="16" x14ac:dyDescent="0.2">
      <c r="A16" s="146"/>
      <c r="B16" s="1297" t="s">
        <v>33</v>
      </c>
      <c r="C16" s="406">
        <f t="shared" si="5"/>
        <v>-4.6697952065948005</v>
      </c>
      <c r="D16" s="399">
        <v>4.7467490700000003E-2</v>
      </c>
      <c r="E16" s="399">
        <f t="shared" si="1"/>
        <v>-6.5757078686948001</v>
      </c>
      <c r="F16" s="400">
        <f>TableB1b!K16</f>
        <v>-0.190971</v>
      </c>
      <c r="G16" s="407">
        <f>TableB2!G14-TableB2!C14</f>
        <v>-6.3508948686947999</v>
      </c>
      <c r="H16" s="401">
        <f>TableB1b!E16</f>
        <v>-4.7134820799641899</v>
      </c>
      <c r="I16" s="402">
        <f>TableB1b!F16</f>
        <v>-1.6374127887305399</v>
      </c>
      <c r="J16" s="403">
        <f>TableB1b!G16+TableB1b!J16+TableB1b!L16</f>
        <v>-3.3842000000000039E-2</v>
      </c>
      <c r="K16" s="404">
        <v>1.8584451714000001</v>
      </c>
      <c r="O16" s="758">
        <f t="shared" si="2"/>
        <v>0</v>
      </c>
      <c r="P16" s="392">
        <f t="shared" si="3"/>
        <v>1.1102230246251565E-16</v>
      </c>
      <c r="Q16" s="392">
        <f t="shared" si="4"/>
        <v>-7.0166095156309893E-14</v>
      </c>
    </row>
    <row r="17" spans="1:17" ht="16" x14ac:dyDescent="0.2">
      <c r="A17" s="146"/>
      <c r="B17" s="1297" t="s">
        <v>34</v>
      </c>
      <c r="C17" s="406">
        <f t="shared" si="5"/>
        <v>-0.23557342826079794</v>
      </c>
      <c r="D17" s="399">
        <v>10.8170230157</v>
      </c>
      <c r="E17" s="399">
        <f t="shared" si="1"/>
        <v>-11.058277711260798</v>
      </c>
      <c r="F17" s="400">
        <f>TableB1b!K17</f>
        <v>1.1957899999999999</v>
      </c>
      <c r="G17" s="407">
        <f>TableB2!G15-TableB2!C15</f>
        <v>-12.612613345260799</v>
      </c>
      <c r="H17" s="401">
        <f>TableB1b!E17</f>
        <v>-12.141259708046629</v>
      </c>
      <c r="I17" s="402">
        <f>TableB1b!F17</f>
        <v>-0.47135363721384216</v>
      </c>
      <c r="J17" s="403">
        <f>TableB1b!G17+TableB1b!J17+TableB1b!L17</f>
        <v>0.35854563400000017</v>
      </c>
      <c r="K17" s="404">
        <v>5.6812672999999999E-3</v>
      </c>
      <c r="O17" s="758">
        <f t="shared" si="2"/>
        <v>-4.0766001685454967E-17</v>
      </c>
      <c r="P17" s="392">
        <f t="shared" si="3"/>
        <v>0</v>
      </c>
      <c r="Q17" s="392">
        <f t="shared" si="4"/>
        <v>-3.2784885917180873E-13</v>
      </c>
    </row>
    <row r="18" spans="1:17" ht="16" x14ac:dyDescent="0.2">
      <c r="A18" s="146"/>
      <c r="B18" s="1297" t="s">
        <v>35</v>
      </c>
      <c r="C18" s="406">
        <f t="shared" si="5"/>
        <v>27.1763262822356</v>
      </c>
      <c r="D18" s="399">
        <v>22.318809186700001</v>
      </c>
      <c r="E18" s="399">
        <f t="shared" si="1"/>
        <v>9.6766262891355996</v>
      </c>
      <c r="F18" s="400">
        <f>TableB1b!K18</f>
        <v>-1.51902</v>
      </c>
      <c r="G18" s="407">
        <f>TableB2!G16-TableB2!C16</f>
        <v>7.5993992922355993</v>
      </c>
      <c r="H18" s="401">
        <f>TableB1b!E18</f>
        <v>6.8885122074523499</v>
      </c>
      <c r="I18" s="402">
        <f>TableB1b!F18</f>
        <v>0.71148184494603006</v>
      </c>
      <c r="J18" s="403">
        <f>TableB1b!G18+TableB1b!J18+TableB1b!L18</f>
        <v>3.5962469969000002</v>
      </c>
      <c r="K18" s="404">
        <v>-4.8191091936000001</v>
      </c>
      <c r="O18" s="758">
        <f t="shared" si="2"/>
        <v>0</v>
      </c>
      <c r="P18" s="392">
        <f t="shared" si="3"/>
        <v>0</v>
      </c>
      <c r="Q18" s="392">
        <f t="shared" si="4"/>
        <v>-5.9476016278070531E-4</v>
      </c>
    </row>
    <row r="19" spans="1:17" ht="16" x14ac:dyDescent="0.2">
      <c r="A19" s="146"/>
      <c r="B19" s="1297" t="s">
        <v>36</v>
      </c>
      <c r="C19" s="406">
        <f t="shared" si="5"/>
        <v>0.49777546594623989</v>
      </c>
      <c r="D19" s="399">
        <v>0.9311176498</v>
      </c>
      <c r="E19" s="399">
        <f t="shared" si="1"/>
        <v>-0.45929482925376008</v>
      </c>
      <c r="F19" s="400">
        <f>TableB1b!K19</f>
        <v>0.283752</v>
      </c>
      <c r="G19" s="407">
        <f>TableB2!G17-TableB2!C17</f>
        <v>-0.98771270105376008</v>
      </c>
      <c r="H19" s="401">
        <f>TableB1b!E19</f>
        <v>-1.0265546311702671</v>
      </c>
      <c r="I19" s="402">
        <f>TableB1b!F19</f>
        <v>3.8841930116473002E-2</v>
      </c>
      <c r="J19" s="403">
        <f>TableB1b!G19+TableB1b!J19+TableB1b!L19</f>
        <v>0.24466587179999999</v>
      </c>
      <c r="K19" s="404">
        <v>2.5952645399999998E-2</v>
      </c>
      <c r="O19" s="758">
        <f t="shared" si="2"/>
        <v>0</v>
      </c>
      <c r="P19" s="392">
        <f t="shared" si="3"/>
        <v>0</v>
      </c>
      <c r="Q19" s="392">
        <f t="shared" si="4"/>
        <v>3.404915238647277E-14</v>
      </c>
    </row>
    <row r="20" spans="1:17" ht="16" x14ac:dyDescent="0.2">
      <c r="A20" s="146"/>
      <c r="B20" s="1297" t="s">
        <v>37</v>
      </c>
      <c r="C20" s="406">
        <f t="shared" si="5"/>
        <v>-1.4698836648315998</v>
      </c>
      <c r="D20" s="399">
        <v>-0.10256275209999999</v>
      </c>
      <c r="E20" s="399">
        <f t="shared" si="1"/>
        <v>1.2160564745684002</v>
      </c>
      <c r="F20" s="400">
        <f>TableB1b!K20</f>
        <v>0.17037099999999999</v>
      </c>
      <c r="G20" s="407">
        <f>TableB2!G18-TableB2!C18</f>
        <v>3.2823072656684005</v>
      </c>
      <c r="H20" s="401">
        <f>TableB1b!E20</f>
        <v>3.5463117027172997</v>
      </c>
      <c r="I20" s="402">
        <f>TableB1b!F20</f>
        <v>-0.26400443704936</v>
      </c>
      <c r="J20" s="403">
        <f>TableB1b!G20+TableB1b!J20+TableB1b!L20</f>
        <v>-2.2366217911000001</v>
      </c>
      <c r="K20" s="404">
        <v>-2.5833773873000001</v>
      </c>
      <c r="O20" s="758">
        <f t="shared" si="2"/>
        <v>0</v>
      </c>
      <c r="P20" s="392">
        <f t="shared" si="3"/>
        <v>0</v>
      </c>
      <c r="Q20" s="392">
        <f t="shared" si="4"/>
        <v>4.6079806637067122E-13</v>
      </c>
    </row>
    <row r="21" spans="1:17" ht="16" x14ac:dyDescent="0.2">
      <c r="A21" s="146"/>
      <c r="B21" s="1297" t="s">
        <v>38</v>
      </c>
      <c r="C21" s="406">
        <f t="shared" si="5"/>
        <v>-10.826929085461998</v>
      </c>
      <c r="D21" s="399">
        <v>-17.971380817099998</v>
      </c>
      <c r="E21" s="399">
        <f t="shared" si="1"/>
        <v>56.345356133337994</v>
      </c>
      <c r="F21" s="400">
        <f>TableB1b!K21</f>
        <v>21.572399999999998</v>
      </c>
      <c r="G21" s="407">
        <f>TableB2!G19-TableB2!C19</f>
        <v>44.815971118137995</v>
      </c>
      <c r="H21" s="401">
        <f>TableB1b!E21</f>
        <v>45.529564059900203</v>
      </c>
      <c r="I21" s="402">
        <f>TableB1b!F21</f>
        <v>-0.71359294176330001</v>
      </c>
      <c r="J21" s="403">
        <f>TableB1b!G21+TableB1b!J21+TableB1b!L21</f>
        <v>-10.043014984800001</v>
      </c>
      <c r="K21" s="404">
        <v>-49.200904401699994</v>
      </c>
      <c r="O21" s="758">
        <f t="shared" si="2"/>
        <v>0</v>
      </c>
      <c r="P21" s="392">
        <f t="shared" si="3"/>
        <v>0</v>
      </c>
      <c r="Q21" s="392">
        <f t="shared" si="4"/>
        <v>1.092015367021304E-12</v>
      </c>
    </row>
    <row r="22" spans="1:17" ht="16" x14ac:dyDescent="0.2">
      <c r="A22" s="146"/>
      <c r="B22" s="1297" t="s">
        <v>39</v>
      </c>
      <c r="C22" s="406">
        <f t="shared" si="5"/>
        <v>288.17768460765797</v>
      </c>
      <c r="D22" s="399">
        <v>268.975511187</v>
      </c>
      <c r="E22" s="399">
        <f t="shared" si="1"/>
        <v>63.653237855857995</v>
      </c>
      <c r="F22" s="400">
        <f>TableB1b!K22</f>
        <v>0.87762899999999999</v>
      </c>
      <c r="G22" s="407">
        <f>TableB2!G20-TableB2!C20</f>
        <v>40.567942318358</v>
      </c>
      <c r="H22" s="401">
        <f>TableB1b!E22</f>
        <v>49.392124237382006</v>
      </c>
      <c r="I22" s="402">
        <f>TableB1b!F22</f>
        <v>-8.8241819190237987</v>
      </c>
      <c r="J22" s="403">
        <f>TableB1b!G22+TableB1b!J22+TableB1b!L22</f>
        <v>22.2076665375</v>
      </c>
      <c r="K22" s="404">
        <v>-44.451064435199996</v>
      </c>
      <c r="O22" s="758">
        <f t="shared" si="2"/>
        <v>0</v>
      </c>
      <c r="P22" s="392">
        <f t="shared" si="3"/>
        <v>0</v>
      </c>
      <c r="Q22" s="392">
        <f t="shared" si="4"/>
        <v>-2.078337502098293E-13</v>
      </c>
    </row>
    <row r="23" spans="1:17" ht="16" x14ac:dyDescent="0.2">
      <c r="A23" s="146"/>
      <c r="B23" s="1297" t="s">
        <v>40</v>
      </c>
      <c r="C23" s="406">
        <f t="shared" si="5"/>
        <v>-0.45987457409960014</v>
      </c>
      <c r="D23" s="399">
        <v>-0.34159217080000004</v>
      </c>
      <c r="E23" s="399">
        <f t="shared" si="1"/>
        <v>0.46074003830039995</v>
      </c>
      <c r="F23" s="400">
        <f>TableB1b!K23</f>
        <v>-0.25148100000000001</v>
      </c>
      <c r="G23" s="407">
        <f>TableB2!G21-TableB2!C21</f>
        <v>0.64464147310039999</v>
      </c>
      <c r="H23" s="401">
        <f>TableB1b!E23</f>
        <v>0.70526558069888012</v>
      </c>
      <c r="I23" s="402">
        <f>TableB1b!F23</f>
        <v>-6.0624107598446692E-2</v>
      </c>
      <c r="J23" s="403">
        <f>TableB1b!G23+TableB1b!J23+TableB1b!L23</f>
        <v>6.7579565199999969E-2</v>
      </c>
      <c r="K23" s="404">
        <v>-0.57902244160000005</v>
      </c>
      <c r="O23" s="758">
        <f t="shared" si="2"/>
        <v>0</v>
      </c>
      <c r="P23" s="392">
        <f t="shared" si="3"/>
        <v>0</v>
      </c>
      <c r="Q23" s="392">
        <f t="shared" si="4"/>
        <v>-3.3445468616832841E-14</v>
      </c>
    </row>
    <row r="24" spans="1:17" ht="16" x14ac:dyDescent="0.2">
      <c r="A24" s="146"/>
      <c r="B24" s="1297" t="s">
        <v>41</v>
      </c>
      <c r="C24" s="406">
        <f t="shared" si="5"/>
        <v>3.648509046749699</v>
      </c>
      <c r="D24" s="399">
        <v>10.893274394100001</v>
      </c>
      <c r="E24" s="399">
        <f t="shared" si="1"/>
        <v>-6.0157852389503015</v>
      </c>
      <c r="F24" s="400">
        <f>TableB1b!K24</f>
        <v>3.1714799999999999</v>
      </c>
      <c r="G24" s="407">
        <f>TableB2!G22-TableB2!C22</f>
        <v>-7.6765909009503011</v>
      </c>
      <c r="H24" s="401">
        <f>TableB1b!E24</f>
        <v>-7.7475333495706007</v>
      </c>
      <c r="I24" s="402">
        <f>TableB1b!F24</f>
        <v>7.0942448619956994E-2</v>
      </c>
      <c r="J24" s="403">
        <f>TableB1b!G24+TableB1b!J24+TableB1b!L24</f>
        <v>-1.5106743380000001</v>
      </c>
      <c r="K24" s="404">
        <v>-1.2289801084</v>
      </c>
      <c r="O24" s="758">
        <f t="shared" si="2"/>
        <v>0</v>
      </c>
      <c r="P24" s="392">
        <f t="shared" si="3"/>
        <v>0</v>
      </c>
      <c r="Q24" s="392">
        <f t="shared" si="4"/>
        <v>3.4264258097493894E-13</v>
      </c>
    </row>
    <row r="25" spans="1:17" ht="16" x14ac:dyDescent="0.2">
      <c r="A25" s="146"/>
      <c r="B25" s="1297" t="s">
        <v>42</v>
      </c>
      <c r="C25" s="406">
        <f t="shared" si="5"/>
        <v>0.87548275775753215</v>
      </c>
      <c r="D25" s="399">
        <v>1.2599254712999999</v>
      </c>
      <c r="E25" s="399">
        <f t="shared" si="1"/>
        <v>-0.10160399964246791</v>
      </c>
      <c r="F25" s="400">
        <f>TableB1b!K25</f>
        <v>0.16493099999999999</v>
      </c>
      <c r="G25" s="407">
        <f>TableB2!G23-TableB2!C23</f>
        <v>0.25365420205753203</v>
      </c>
      <c r="H25" s="401">
        <f>TableB1b!E25</f>
        <v>0.23388106244232901</v>
      </c>
      <c r="I25" s="402">
        <f>TableB1b!F25</f>
        <v>1.9773139615190019E-2</v>
      </c>
      <c r="J25" s="403">
        <f>TableB1b!G25+TableB1b!J25+TableB1b!L25</f>
        <v>-0.52018920169999994</v>
      </c>
      <c r="K25" s="404">
        <v>-0.28283871389999998</v>
      </c>
      <c r="O25" s="758">
        <f t="shared" si="2"/>
        <v>0</v>
      </c>
      <c r="P25" s="392">
        <f t="shared" si="3"/>
        <v>0</v>
      </c>
      <c r="Q25" s="392">
        <f t="shared" si="4"/>
        <v>1.3003487175922146E-14</v>
      </c>
    </row>
    <row r="26" spans="1:17" ht="16" x14ac:dyDescent="0.2">
      <c r="A26" s="146"/>
      <c r="B26" s="1297" t="s">
        <v>43</v>
      </c>
      <c r="C26" s="406">
        <f t="shared" si="5"/>
        <v>24.787732492359986</v>
      </c>
      <c r="D26" s="399">
        <v>90.068905246899988</v>
      </c>
      <c r="E26" s="399">
        <f t="shared" si="1"/>
        <v>-61.798868747440004</v>
      </c>
      <c r="F26" s="400">
        <f>TableB1b!K26</f>
        <v>-0.101033</v>
      </c>
      <c r="G26" s="407">
        <f>TableB2!G24-TableB2!C24</f>
        <v>-52.939545202440002</v>
      </c>
      <c r="H26" s="401">
        <f>TableB1b!E26</f>
        <v>-50.441486411536403</v>
      </c>
      <c r="I26" s="402">
        <f>TableB1b!F26</f>
        <v>-2.4980587909040999</v>
      </c>
      <c r="J26" s="403">
        <f>TableB1b!G26+TableB1b!J26+TableB1b!L26</f>
        <v>-8.7582905450000013</v>
      </c>
      <c r="K26" s="404">
        <v>-3.4823040070999998</v>
      </c>
      <c r="O26" s="758">
        <f t="shared" si="2"/>
        <v>8.8817841970012523E-15</v>
      </c>
      <c r="P26" s="392">
        <f t="shared" si="3"/>
        <v>0</v>
      </c>
      <c r="Q26" s="392">
        <f t="shared" si="4"/>
        <v>5.0093262871087063E-13</v>
      </c>
    </row>
    <row r="27" spans="1:17" ht="16" x14ac:dyDescent="0.2">
      <c r="A27" s="146"/>
      <c r="B27" s="1297" t="s">
        <v>44</v>
      </c>
      <c r="C27" s="406">
        <f t="shared" si="5"/>
        <v>15.092500000000001</v>
      </c>
      <c r="D27" s="399">
        <v>8.9740000000000002</v>
      </c>
      <c r="E27" s="399">
        <f t="shared" si="1"/>
        <v>-3.0516999999999994</v>
      </c>
      <c r="F27" s="400">
        <f>TableB1b!K27</f>
        <v>-4.0746000000000002</v>
      </c>
      <c r="G27" s="407">
        <f>TableB2!G25-TableB2!C25</f>
        <v>1.3800000000000008</v>
      </c>
      <c r="H27" s="401">
        <f>TableB1b!E27</f>
        <v>1.3544</v>
      </c>
      <c r="I27" s="402">
        <f>TableB1b!F27</f>
        <v>2.5600000000000733E-2</v>
      </c>
      <c r="J27" s="403">
        <f>TableB1b!G27+TableB1b!J27+TableB1b!L27</f>
        <v>-0.35709999999999997</v>
      </c>
      <c r="K27" s="404">
        <v>9.1701999999999995</v>
      </c>
      <c r="O27" s="758">
        <f t="shared" si="2"/>
        <v>0</v>
      </c>
      <c r="P27" s="392">
        <f t="shared" si="3"/>
        <v>0</v>
      </c>
      <c r="Q27" s="392">
        <f t="shared" si="4"/>
        <v>0</v>
      </c>
    </row>
    <row r="28" spans="1:17" ht="16" x14ac:dyDescent="0.2">
      <c r="A28" s="146"/>
      <c r="B28" s="1297" t="s">
        <v>45</v>
      </c>
      <c r="C28" s="406">
        <f t="shared" si="5"/>
        <v>25.151834301675002</v>
      </c>
      <c r="D28" s="399">
        <v>53.088411933899998</v>
      </c>
      <c r="E28" s="399">
        <f t="shared" si="1"/>
        <v>-11.188730909324995</v>
      </c>
      <c r="F28" s="400">
        <f>TableB1b!K28</f>
        <v>4.75448</v>
      </c>
      <c r="G28" s="407">
        <f>TableB2!G26-TableB2!C26</f>
        <v>0.48626289517500254</v>
      </c>
      <c r="H28" s="401">
        <f>TableB1b!E28</f>
        <v>1.5988386023293986</v>
      </c>
      <c r="I28" s="402">
        <f>TableB1b!F28</f>
        <v>-1.11257570715474</v>
      </c>
      <c r="J28" s="403">
        <f>TableB1b!G28+TableB1b!J28+TableB1b!L28</f>
        <v>-16.429473804499999</v>
      </c>
      <c r="K28" s="404">
        <v>-16.7478467229</v>
      </c>
      <c r="O28" s="758">
        <f t="shared" si="2"/>
        <v>0</v>
      </c>
      <c r="P28" s="392">
        <f t="shared" si="3"/>
        <v>0</v>
      </c>
      <c r="Q28" s="392">
        <f t="shared" si="4"/>
        <v>3.439470930288735E-13</v>
      </c>
    </row>
    <row r="29" spans="1:17" ht="16" x14ac:dyDescent="0.2">
      <c r="A29" s="146"/>
      <c r="B29" s="1297" t="s">
        <v>46</v>
      </c>
      <c r="C29" s="406">
        <f t="shared" si="5"/>
        <v>134.86390135182299</v>
      </c>
      <c r="D29" s="399">
        <v>-23.275907631199999</v>
      </c>
      <c r="E29" s="399">
        <f t="shared" si="1"/>
        <v>174.40935293412298</v>
      </c>
      <c r="F29" s="400">
        <f>TableB1b!K29</f>
        <v>-9.51264E-2</v>
      </c>
      <c r="G29" s="407">
        <f>TableB2!G27-TableB2!C27</f>
        <v>70.150732672022997</v>
      </c>
      <c r="H29" s="401">
        <f>TableB1b!E29</f>
        <v>69.291244877162995</v>
      </c>
      <c r="I29" s="402">
        <f>TableB1b!F29</f>
        <v>0.86031422543211022</v>
      </c>
      <c r="J29" s="403">
        <f>TableB1b!G29+TableB1b!J29+TableB1b!L29</f>
        <v>104.35374666209999</v>
      </c>
      <c r="K29" s="404">
        <v>-16.269543951100001</v>
      </c>
      <c r="O29" s="758">
        <f t="shared" si="2"/>
        <v>0</v>
      </c>
      <c r="P29" s="392">
        <f t="shared" si="3"/>
        <v>0</v>
      </c>
      <c r="Q29" s="392">
        <f t="shared" si="4"/>
        <v>-8.2643057210873838E-4</v>
      </c>
    </row>
    <row r="30" spans="1:17" ht="16" x14ac:dyDescent="0.2">
      <c r="A30" s="1004" t="s">
        <v>308</v>
      </c>
      <c r="B30" s="1297" t="s">
        <v>47</v>
      </c>
      <c r="C30" s="406">
        <f t="shared" si="5"/>
        <v>99.982259627982302</v>
      </c>
      <c r="D30" s="399">
        <v>107.3524</v>
      </c>
      <c r="E30" s="399">
        <f t="shared" si="1"/>
        <v>-2.3849403720177</v>
      </c>
      <c r="F30" s="400">
        <f>TableB1b!K30</f>
        <v>0</v>
      </c>
      <c r="G30" s="407">
        <f>TableB2!G28-TableB2!C28</f>
        <v>-2.3849403720177</v>
      </c>
      <c r="H30" s="401">
        <f>TableB1b!E30</f>
        <v>-2.6293595946325299</v>
      </c>
      <c r="I30" s="402">
        <f>TableB1b!F30</f>
        <v>0.24441922261483998</v>
      </c>
      <c r="J30" s="403">
        <f>TableB1b!G30+TableB1b!J30+TableB1b!L30</f>
        <v>0</v>
      </c>
      <c r="K30" s="404">
        <v>-4.9851999999999999</v>
      </c>
      <c r="O30" s="758">
        <f t="shared" si="2"/>
        <v>0</v>
      </c>
      <c r="P30" s="392">
        <f t="shared" si="3"/>
        <v>0</v>
      </c>
      <c r="Q30" s="392">
        <f t="shared" si="4"/>
        <v>-1.0130785099704553E-14</v>
      </c>
    </row>
    <row r="31" spans="1:17" ht="16" x14ac:dyDescent="0.2">
      <c r="A31" s="146"/>
      <c r="B31" s="1297" t="s">
        <v>48</v>
      </c>
      <c r="C31" s="406">
        <f t="shared" si="5"/>
        <v>-0.27511606188919002</v>
      </c>
      <c r="D31" s="399">
        <v>-0.30946332460000003</v>
      </c>
      <c r="E31" s="399">
        <f t="shared" si="1"/>
        <v>-0.12541684718918999</v>
      </c>
      <c r="F31" s="400">
        <f>TableB1b!K31</f>
        <v>0.70552400000000004</v>
      </c>
      <c r="G31" s="407">
        <f>TableB2!G29-TableB2!C29</f>
        <v>-0.99833610648919002</v>
      </c>
      <c r="H31" s="401">
        <f>TableB1b!E31</f>
        <v>-0.951747088186362</v>
      </c>
      <c r="I31" s="402">
        <f>TableB1b!F31</f>
        <v>-4.6589018302828807E-2</v>
      </c>
      <c r="J31" s="403">
        <f>TableB1b!G31+TableB1b!J31+TableB1b!L31</f>
        <v>0.16739525929999999</v>
      </c>
      <c r="K31" s="404">
        <v>0.15976410990000001</v>
      </c>
      <c r="O31" s="758">
        <f t="shared" si="2"/>
        <v>0</v>
      </c>
      <c r="P31" s="392">
        <f t="shared" si="3"/>
        <v>0</v>
      </c>
      <c r="Q31" s="392">
        <f t="shared" si="4"/>
        <v>7.8409501114151681E-16</v>
      </c>
    </row>
    <row r="32" spans="1:17" ht="16" x14ac:dyDescent="0.2">
      <c r="A32" s="146"/>
      <c r="B32" s="1297" t="s">
        <v>49</v>
      </c>
      <c r="C32" s="406">
        <f t="shared" si="5"/>
        <v>5.6533274492640047</v>
      </c>
      <c r="D32" s="399">
        <v>19.656265059400003</v>
      </c>
      <c r="E32" s="399">
        <f t="shared" si="1"/>
        <v>-14.977610578835998</v>
      </c>
      <c r="F32" s="400">
        <f>TableB1b!K32</f>
        <v>-9.6544399999999992</v>
      </c>
      <c r="G32" s="407">
        <f>TableB2!G30-TableB2!C30</f>
        <v>25.640599001664</v>
      </c>
      <c r="H32" s="401">
        <f>TableB1b!E32</f>
        <v>10.52911813643999</v>
      </c>
      <c r="I32" s="402">
        <f>TableB1b!F32</f>
        <v>15.111480865224303</v>
      </c>
      <c r="J32" s="403">
        <f>TableB1b!G32+TableB1b!J32+TableB1b!L32</f>
        <v>-30.963769580499999</v>
      </c>
      <c r="K32" s="404">
        <v>0.97467296870000009</v>
      </c>
      <c r="O32" s="758">
        <f t="shared" si="2"/>
        <v>0</v>
      </c>
      <c r="P32" s="392">
        <f t="shared" si="3"/>
        <v>0</v>
      </c>
      <c r="Q32" s="392">
        <f t="shared" si="4"/>
        <v>-2.9309887850104133E-13</v>
      </c>
    </row>
    <row r="33" spans="1:17" ht="16" x14ac:dyDescent="0.2">
      <c r="A33" s="146"/>
      <c r="B33" s="1297" t="s">
        <v>50</v>
      </c>
      <c r="C33" s="406">
        <f t="shared" si="5"/>
        <v>-29.221343168899992</v>
      </c>
      <c r="D33" s="399">
        <v>-24.351929606799999</v>
      </c>
      <c r="E33" s="399">
        <f t="shared" si="1"/>
        <v>-29.0000770895</v>
      </c>
      <c r="F33" s="400">
        <f>TableB1b!K33</f>
        <v>1.4483999999999999</v>
      </c>
      <c r="G33" s="407">
        <f>TableB2!G31-TableB2!C31</f>
        <v>-11.75</v>
      </c>
      <c r="H33" s="401">
        <f>TableB1b!E33</f>
        <v>-12.151103767799999</v>
      </c>
      <c r="I33" s="402">
        <f>TableB1b!F33</f>
        <v>0.40110376779999646</v>
      </c>
      <c r="J33" s="403">
        <f>TableB1b!G33+TableB1b!J33+TableB1b!L33</f>
        <v>-18.698477089499999</v>
      </c>
      <c r="K33" s="404">
        <v>24.130663527400003</v>
      </c>
      <c r="O33" s="758">
        <f t="shared" si="2"/>
        <v>0</v>
      </c>
      <c r="P33" s="392">
        <f t="shared" si="3"/>
        <v>0</v>
      </c>
      <c r="Q33" s="392">
        <f t="shared" si="4"/>
        <v>2.2204460492503131E-15</v>
      </c>
    </row>
    <row r="34" spans="1:17" ht="16" x14ac:dyDescent="0.2">
      <c r="A34" s="146"/>
      <c r="B34" s="1297" t="s">
        <v>51</v>
      </c>
      <c r="C34" s="406">
        <f t="shared" si="5"/>
        <v>70.094385151309993</v>
      </c>
      <c r="D34" s="399">
        <v>80.05690781780001</v>
      </c>
      <c r="E34" s="399">
        <f t="shared" si="1"/>
        <v>3.0772612948099898</v>
      </c>
      <c r="F34" s="400">
        <f>TableB1b!K34</f>
        <v>-5.4400599999999999</v>
      </c>
      <c r="G34" s="407">
        <f>TableB2!G32-TableB2!C32</f>
        <v>32.227398779809988</v>
      </c>
      <c r="H34" s="401">
        <f>TableB1b!E34</f>
        <v>10.998336106487443</v>
      </c>
      <c r="I34" s="402">
        <f>TableB1b!F34</f>
        <v>21.230171935662998</v>
      </c>
      <c r="J34" s="403">
        <f>TableB1b!G34+TableB1b!J34+TableB1b!L34</f>
        <v>-23.710077484999999</v>
      </c>
      <c r="K34" s="404">
        <v>-13.0397839613</v>
      </c>
      <c r="O34" s="758">
        <f t="shared" si="2"/>
        <v>0</v>
      </c>
      <c r="P34" s="392">
        <f t="shared" si="3"/>
        <v>0</v>
      </c>
      <c r="Q34" s="392">
        <f t="shared" si="4"/>
        <v>-1.1092623404529434E-3</v>
      </c>
    </row>
    <row r="35" spans="1:17" ht="16" x14ac:dyDescent="0.2">
      <c r="A35" s="146"/>
      <c r="B35" s="1297" t="s">
        <v>52</v>
      </c>
      <c r="C35" s="406">
        <f t="shared" si="5"/>
        <v>-5.1786588190918996</v>
      </c>
      <c r="D35" s="399">
        <v>1.3633438012999999</v>
      </c>
      <c r="E35" s="399">
        <f t="shared" si="1"/>
        <v>-6.2872922682918997</v>
      </c>
      <c r="F35" s="400">
        <f>TableB1b!K35</f>
        <v>-0.160082</v>
      </c>
      <c r="G35" s="407">
        <f>TableB2!G33-TableB2!C33</f>
        <v>-5.3765165248918994</v>
      </c>
      <c r="H35" s="401">
        <f>TableB1b!E35</f>
        <v>-4.7496862362292553</v>
      </c>
      <c r="I35" s="402">
        <f>TableB1b!F35</f>
        <v>-0.62752754148654288</v>
      </c>
      <c r="J35" s="403">
        <f>TableB1b!G35+TableB1b!J35+TableB1b!L35</f>
        <v>-0.75069374340000017</v>
      </c>
      <c r="K35" s="404">
        <v>-0.25471035209999998</v>
      </c>
      <c r="O35" s="758">
        <f t="shared" si="2"/>
        <v>0</v>
      </c>
      <c r="P35" s="392">
        <f t="shared" si="3"/>
        <v>0</v>
      </c>
      <c r="Q35" s="392">
        <f t="shared" si="4"/>
        <v>6.9725282389887511E-4</v>
      </c>
    </row>
    <row r="36" spans="1:17" ht="16" x14ac:dyDescent="0.2">
      <c r="A36" s="146"/>
      <c r="B36" s="1103" t="s">
        <v>53</v>
      </c>
      <c r="C36" s="406">
        <f t="shared" si="5"/>
        <v>32.069760378401298</v>
      </c>
      <c r="D36" s="399">
        <v>21.086789962599997</v>
      </c>
      <c r="E36" s="399">
        <f t="shared" si="1"/>
        <v>17.896533121601298</v>
      </c>
      <c r="F36" s="400">
        <f>TableB1b!K36</f>
        <v>-3.8540199999999998</v>
      </c>
      <c r="G36" s="407">
        <f>TableB2!G34-TableB2!C34</f>
        <v>3.0403134804013003</v>
      </c>
      <c r="H36" s="401">
        <f>TableB1b!E36</f>
        <v>4.7785920662673007</v>
      </c>
      <c r="I36" s="402">
        <f>TableB1b!F36</f>
        <v>-1.7384025891893802</v>
      </c>
      <c r="J36" s="403">
        <f>TableB1b!G36+TableB1b!J36+TableB1b!L36</f>
        <v>18.710239641199998</v>
      </c>
      <c r="K36" s="404">
        <v>-6.9135627058000004</v>
      </c>
      <c r="O36" s="758">
        <f t="shared" si="2"/>
        <v>0</v>
      </c>
      <c r="P36" s="392">
        <f t="shared" si="3"/>
        <v>0</v>
      </c>
      <c r="Q36" s="392">
        <f t="shared" si="4"/>
        <v>1.2400332337980657E-4</v>
      </c>
    </row>
    <row r="37" spans="1:17" ht="16" x14ac:dyDescent="0.2">
      <c r="A37" s="146"/>
      <c r="B37" s="1297" t="s">
        <v>54</v>
      </c>
      <c r="C37" s="406">
        <f t="shared" si="5"/>
        <v>-4.6353125033156983</v>
      </c>
      <c r="D37" s="399">
        <v>14.577</v>
      </c>
      <c r="E37" s="399">
        <f t="shared" si="1"/>
        <v>-18.262312503315698</v>
      </c>
      <c r="F37" s="400">
        <f>TableB1b!K37</f>
        <v>0.92800000000000005</v>
      </c>
      <c r="G37" s="407">
        <f>TableB2!G35-TableB2!C35</f>
        <v>-17.459312503315701</v>
      </c>
      <c r="H37" s="401">
        <f>TableB1b!E37</f>
        <v>-15.362580234470316</v>
      </c>
      <c r="I37" s="402">
        <f>TableB1b!F37</f>
        <v>-2.0967322688451793</v>
      </c>
      <c r="J37" s="403">
        <f>TableB1b!G37+TableB1b!J37+TableB1b!L37</f>
        <v>-1.7309999999999999</v>
      </c>
      <c r="K37" s="404">
        <v>-0.95</v>
      </c>
      <c r="O37" s="758">
        <f t="shared" si="2"/>
        <v>0</v>
      </c>
      <c r="P37" s="392">
        <f t="shared" si="3"/>
        <v>1.7763568394002505E-15</v>
      </c>
      <c r="Q37" s="392">
        <f t="shared" si="4"/>
        <v>-2.0516921495072893E-13</v>
      </c>
    </row>
    <row r="38" spans="1:17" ht="16" x14ac:dyDescent="0.2">
      <c r="A38" s="146"/>
      <c r="B38" s="1297" t="s">
        <v>55</v>
      </c>
      <c r="C38" s="406">
        <f t="shared" si="5"/>
        <v>6.2101720256900528E-2</v>
      </c>
      <c r="D38" s="399">
        <v>3.5112692421</v>
      </c>
      <c r="E38" s="399">
        <f t="shared" si="1"/>
        <v>-5.1143602359430993</v>
      </c>
      <c r="F38" s="400">
        <f>TableB1b!K38</f>
        <v>0.13298699999999999</v>
      </c>
      <c r="G38" s="407">
        <f>TableB2!G36-TableB2!C36</f>
        <v>-2.9450915141430998</v>
      </c>
      <c r="H38" s="401">
        <f>TableB1b!E38</f>
        <v>-2.0610094287299101</v>
      </c>
      <c r="I38" s="402">
        <f>TableB1b!F38</f>
        <v>-0.88408208541319999</v>
      </c>
      <c r="J38" s="403">
        <f>TableB1b!G38+TableB1b!J38+TableB1b!L38</f>
        <v>-2.3022557217999999</v>
      </c>
      <c r="K38" s="404">
        <v>1.6651927140999998</v>
      </c>
      <c r="O38" s="758">
        <f t="shared" si="2"/>
        <v>0</v>
      </c>
      <c r="P38" s="392">
        <f t="shared" si="3"/>
        <v>0</v>
      </c>
      <c r="Q38" s="392">
        <f t="shared" si="4"/>
        <v>1.0325074129013956E-14</v>
      </c>
    </row>
    <row r="39" spans="1:17" ht="16" x14ac:dyDescent="0.2">
      <c r="A39" s="146"/>
      <c r="B39" s="1297" t="s">
        <v>336</v>
      </c>
      <c r="C39" s="406">
        <f t="shared" si="5"/>
        <v>-0.46455140495939951</v>
      </c>
      <c r="D39" s="399">
        <v>2.4223451886999996</v>
      </c>
      <c r="E39" s="399">
        <f t="shared" si="1"/>
        <v>-1.5203485240593992</v>
      </c>
      <c r="F39" s="400">
        <f>TableB1b!K39</f>
        <v>1.6504700000000001</v>
      </c>
      <c r="G39" s="407">
        <f>TableB2!G37-TableB2!C37</f>
        <v>-4.0705713843593996</v>
      </c>
      <c r="H39" s="401">
        <f>TableB1b!E39</f>
        <v>-3.7777937914586763</v>
      </c>
      <c r="I39" s="402">
        <f>TableB1b!F39</f>
        <v>-0.29277759290072503</v>
      </c>
      <c r="J39" s="403">
        <f>TableB1b!G39+TableB1b!J39+TableB1b!L39</f>
        <v>0.89975286030000001</v>
      </c>
      <c r="K39" s="404">
        <v>-1.3665480695999999</v>
      </c>
      <c r="O39" s="758">
        <f t="shared" si="2"/>
        <v>0</v>
      </c>
      <c r="P39" s="392">
        <f t="shared" si="3"/>
        <v>0</v>
      </c>
      <c r="Q39" s="392">
        <f t="shared" si="4"/>
        <v>1.7763568394002505E-15</v>
      </c>
    </row>
    <row r="40" spans="1:17" ht="16" x14ac:dyDescent="0.2">
      <c r="A40" s="146"/>
      <c r="B40" s="1103" t="s">
        <v>57</v>
      </c>
      <c r="C40" s="406">
        <f t="shared" si="5"/>
        <v>1.8669149447324922</v>
      </c>
      <c r="D40" s="399">
        <v>3.6988828380999998</v>
      </c>
      <c r="E40" s="399">
        <f t="shared" si="1"/>
        <v>-1.4149578055675078</v>
      </c>
      <c r="F40" s="400">
        <f>TableB1b!K40</f>
        <v>0.22276299999999999</v>
      </c>
      <c r="G40" s="407">
        <f>TableB2!G38-TableB2!C38</f>
        <v>-1.0230083194675079</v>
      </c>
      <c r="H40" s="401">
        <f>TableB1b!E40</f>
        <v>-0.99966389351080898</v>
      </c>
      <c r="I40" s="402">
        <f>TableB1b!F40</f>
        <v>-2.3344425956739003E-2</v>
      </c>
      <c r="J40" s="403">
        <f>TableB1b!G40+TableB1b!J40+TableB1b!L40</f>
        <v>-0.61471248609999996</v>
      </c>
      <c r="K40" s="404">
        <v>-0.41701008779999998</v>
      </c>
      <c r="O40" s="758">
        <f t="shared" si="2"/>
        <v>0</v>
      </c>
      <c r="P40" s="392">
        <f t="shared" si="3"/>
        <v>0</v>
      </c>
      <c r="Q40" s="392">
        <f t="shared" si="4"/>
        <v>4.0058234507256429E-14</v>
      </c>
    </row>
    <row r="41" spans="1:17" ht="16" x14ac:dyDescent="0.2">
      <c r="A41" s="146"/>
      <c r="B41" s="1297" t="s">
        <v>58</v>
      </c>
      <c r="C41" s="406">
        <f t="shared" si="5"/>
        <v>19.095024122486002</v>
      </c>
      <c r="D41" s="399">
        <v>29.088750019199999</v>
      </c>
      <c r="E41" s="399">
        <f t="shared" si="1"/>
        <v>2.0812292535860042</v>
      </c>
      <c r="F41" s="400">
        <f>TableB1b!K41</f>
        <v>2.3014299999999999</v>
      </c>
      <c r="G41" s="407">
        <f>TableB2!G39-TableB2!C39</f>
        <v>8.869661674986002</v>
      </c>
      <c r="H41" s="401">
        <f>TableB1b!E41</f>
        <v>13.300055463116902</v>
      </c>
      <c r="I41" s="402">
        <f>TableB1b!F41</f>
        <v>-4.4303937881308997</v>
      </c>
      <c r="J41" s="403">
        <f>TableB1b!G41+TableB1b!J41+TableB1b!L41</f>
        <v>-9.0898624213999977</v>
      </c>
      <c r="K41" s="404">
        <v>-12.074955150299999</v>
      </c>
      <c r="O41" s="758">
        <f t="shared" si="2"/>
        <v>0</v>
      </c>
      <c r="P41" s="392">
        <f t="shared" si="3"/>
        <v>0</v>
      </c>
      <c r="Q41" s="392">
        <f t="shared" si="4"/>
        <v>0</v>
      </c>
    </row>
    <row r="42" spans="1:17" ht="16" x14ac:dyDescent="0.2">
      <c r="A42" s="146"/>
      <c r="B42" s="1297" t="s">
        <v>59</v>
      </c>
      <c r="C42" s="406">
        <f t="shared" si="5"/>
        <v>22.801183079806002</v>
      </c>
      <c r="D42" s="399">
        <v>24.546649288000001</v>
      </c>
      <c r="E42" s="399">
        <f t="shared" si="1"/>
        <v>6.4959621662059996</v>
      </c>
      <c r="F42" s="400">
        <f>TableB1b!K42</f>
        <v>2.0425800000000001</v>
      </c>
      <c r="G42" s="407">
        <f>TableB2!G40-TableB2!C40</f>
        <v>7.8616255205059993</v>
      </c>
      <c r="H42" s="401">
        <f>TableB1b!E42</f>
        <v>8.014069970222403</v>
      </c>
      <c r="I42" s="402">
        <f>TableB1b!F42</f>
        <v>-0.15256308353010017</v>
      </c>
      <c r="J42" s="403">
        <f>TableB1b!G42+TableB1b!J42+TableB1b!L42</f>
        <v>-3.4082433543000006</v>
      </c>
      <c r="K42" s="404">
        <v>-8.2414283743999999</v>
      </c>
      <c r="O42" s="758">
        <f t="shared" si="2"/>
        <v>0</v>
      </c>
      <c r="P42" s="392">
        <f t="shared" si="3"/>
        <v>0</v>
      </c>
      <c r="Q42" s="392">
        <f t="shared" si="4"/>
        <v>1.1863381369647819E-4</v>
      </c>
    </row>
    <row r="43" spans="1:17" ht="16" x14ac:dyDescent="0.2">
      <c r="A43" s="146"/>
      <c r="B43" s="1297" t="s">
        <v>60</v>
      </c>
      <c r="C43" s="406">
        <f t="shared" si="5"/>
        <v>75.743675341047009</v>
      </c>
      <c r="D43" s="399">
        <v>72.236173587100012</v>
      </c>
      <c r="E43" s="399">
        <f t="shared" si="1"/>
        <v>16.765160490646998</v>
      </c>
      <c r="F43" s="400">
        <f>TableB1b!K43</f>
        <v>-21.828399999999998</v>
      </c>
      <c r="G43" s="407">
        <f>TableB2!G41-TableB2!C41</f>
        <v>30.368160490646993</v>
      </c>
      <c r="H43" s="401">
        <f>TableB1b!E43</f>
        <v>26.818145302579005</v>
      </c>
      <c r="I43" s="402">
        <f>TableB1b!F43</f>
        <v>3.5500151880690005</v>
      </c>
      <c r="J43" s="403">
        <f>TableB1b!G43+TableB1b!J43+TableB1b!L43</f>
        <v>8.2254000000000023</v>
      </c>
      <c r="K43" s="404">
        <v>-13.257658736700002</v>
      </c>
      <c r="O43" s="758">
        <f t="shared" si="2"/>
        <v>0</v>
      </c>
      <c r="P43" s="392">
        <f t="shared" si="3"/>
        <v>0</v>
      </c>
      <c r="Q43" s="392">
        <f t="shared" si="4"/>
        <v>-1.0125233984581428E-12</v>
      </c>
    </row>
    <row r="44" spans="1:17" ht="16" x14ac:dyDescent="0.2">
      <c r="A44" s="146"/>
      <c r="B44" s="1297" t="s">
        <v>61</v>
      </c>
      <c r="C44" s="406">
        <f t="shared" si="5"/>
        <v>-32.119169999999997</v>
      </c>
      <c r="D44" s="399">
        <v>-23.905999999999999</v>
      </c>
      <c r="E44" s="399">
        <f t="shared" si="1"/>
        <v>-9.6431699999999996</v>
      </c>
      <c r="F44" s="400">
        <f>TableB1b!K44</f>
        <v>-0.40699999999999997</v>
      </c>
      <c r="G44" s="407">
        <f>TableB2!G42-TableB2!C42</f>
        <v>-3.3191699999999997</v>
      </c>
      <c r="H44" s="401">
        <f>TableB1b!E44</f>
        <v>-3.1791100000000001</v>
      </c>
      <c r="I44" s="402">
        <f>TableB1b!F44</f>
        <v>-0.14006000000000002</v>
      </c>
      <c r="J44" s="403">
        <f>TableB1b!G44+TableB1b!J44+TableB1b!L44</f>
        <v>-5.9169999999999998</v>
      </c>
      <c r="K44" s="404">
        <v>1.43</v>
      </c>
      <c r="O44" s="758">
        <f t="shared" ref="O44:O64" si="6">C44-D44-E44-K44</f>
        <v>0</v>
      </c>
      <c r="P44" s="392">
        <f t="shared" ref="P44:P64" si="7">E44-F44-G44-J44</f>
        <v>0</v>
      </c>
      <c r="Q44" s="392">
        <f t="shared" ref="Q44:Q64" si="8">G44-H44-I44</f>
        <v>3.8857805861880479E-16</v>
      </c>
    </row>
    <row r="45" spans="1:17" ht="16" x14ac:dyDescent="0.2">
      <c r="A45" s="146"/>
      <c r="B45" s="1297" t="s">
        <v>62</v>
      </c>
      <c r="C45" s="406">
        <f t="shared" si="5"/>
        <v>-122.385052442757</v>
      </c>
      <c r="D45" s="399">
        <v>-45.693501871400002</v>
      </c>
      <c r="E45" s="399">
        <f t="shared" si="1"/>
        <v>-39.030639648157006</v>
      </c>
      <c r="F45" s="400">
        <f>TableB1b!K45</f>
        <v>-0.13176399999999999</v>
      </c>
      <c r="G45" s="407">
        <f>TableB2!G43-TableB2!C43</f>
        <v>13.893048128342997</v>
      </c>
      <c r="H45" s="401">
        <f>TableB1b!E45</f>
        <v>24.846827878169748</v>
      </c>
      <c r="I45" s="402">
        <f>TableB1b!F45</f>
        <v>-10.953779749826746</v>
      </c>
      <c r="J45" s="403">
        <f>TableB1b!G45+TableB1b!J45+TableB1b!L45</f>
        <v>-52.791923776499999</v>
      </c>
      <c r="K45" s="404">
        <v>-37.660910923199999</v>
      </c>
      <c r="O45" s="758">
        <f t="shared" si="6"/>
        <v>0</v>
      </c>
      <c r="P45" s="392">
        <f t="shared" si="7"/>
        <v>0</v>
      </c>
      <c r="Q45" s="392">
        <f t="shared" si="8"/>
        <v>0</v>
      </c>
    </row>
    <row r="46" spans="1:17" ht="16" x14ac:dyDescent="0.2">
      <c r="A46" s="146"/>
      <c r="B46" s="1297" t="s">
        <v>63</v>
      </c>
      <c r="C46" s="406">
        <f t="shared" si="5"/>
        <v>-449.73400000000004</v>
      </c>
      <c r="D46" s="399">
        <v>-500</v>
      </c>
      <c r="E46" s="399">
        <f t="shared" si="1"/>
        <v>170.26599999999999</v>
      </c>
      <c r="F46" s="400">
        <f>TableB1b!K46</f>
        <v>-11.734999999999999</v>
      </c>
      <c r="G46" s="407">
        <f>TableB2!G44-TableB2!C44</f>
        <v>266.529</v>
      </c>
      <c r="H46" s="401">
        <f>TableB1b!E46</f>
        <v>285.185</v>
      </c>
      <c r="I46" s="402">
        <f>TableB1b!F46</f>
        <v>-18.655999999999999</v>
      </c>
      <c r="J46" s="403">
        <f>TableB1b!G46+TableB1b!J46+TableB1b!L46</f>
        <v>-84.527999999999992</v>
      </c>
      <c r="K46" s="404">
        <v>-120</v>
      </c>
      <c r="O46" s="758">
        <f t="shared" si="6"/>
        <v>0</v>
      </c>
      <c r="P46" s="392">
        <f t="shared" si="7"/>
        <v>0</v>
      </c>
      <c r="Q46" s="392">
        <f t="shared" si="8"/>
        <v>0</v>
      </c>
    </row>
    <row r="47" spans="1:17" ht="40" customHeight="1" x14ac:dyDescent="0.15">
      <c r="A47" s="146"/>
      <c r="B47" s="7" t="s">
        <v>64</v>
      </c>
      <c r="C47" s="766"/>
      <c r="D47" s="767"/>
      <c r="E47" s="767"/>
      <c r="F47" s="768"/>
      <c r="G47" s="767"/>
      <c r="H47" s="769"/>
      <c r="I47" s="770"/>
      <c r="J47" s="771"/>
      <c r="K47" s="772"/>
      <c r="O47" s="758"/>
      <c r="P47" s="392"/>
      <c r="Q47" s="392"/>
    </row>
    <row r="48" spans="1:17" ht="16" x14ac:dyDescent="0.2">
      <c r="A48" s="146" t="s">
        <v>65</v>
      </c>
      <c r="B48" s="1297" t="s">
        <v>65</v>
      </c>
      <c r="C48" s="406">
        <f t="shared" si="5"/>
        <v>-62.042500438999994</v>
      </c>
      <c r="D48" s="399">
        <v>-19.248507289099997</v>
      </c>
      <c r="E48" s="399">
        <f t="shared" ref="E48:E54" si="9">F48+G48+J48</f>
        <v>-45.517752664400007</v>
      </c>
      <c r="F48" s="400">
        <f>TableB1b!K48</f>
        <v>0.34923399999999999</v>
      </c>
      <c r="G48" s="407">
        <f>TableB2!G46-TableB2!C46</f>
        <v>-21.310946850500002</v>
      </c>
      <c r="H48" s="401">
        <f>TableB1b!E48</f>
        <v>-16.685762936409997</v>
      </c>
      <c r="I48" s="402">
        <f>TableB1b!F48</f>
        <v>-4.58980803627</v>
      </c>
      <c r="J48" s="403">
        <f>TableB1b!G48+TableB1b!J48+TableB1b!L48</f>
        <v>-24.5560398139</v>
      </c>
      <c r="K48" s="404">
        <v>2.7237595145000002</v>
      </c>
      <c r="O48" s="758">
        <f t="shared" si="6"/>
        <v>9.7699626167013776E-15</v>
      </c>
      <c r="P48" s="392">
        <f t="shared" si="7"/>
        <v>0</v>
      </c>
      <c r="Q48" s="392">
        <f t="shared" si="8"/>
        <v>-3.5375877820005286E-2</v>
      </c>
    </row>
    <row r="49" spans="1:17" ht="16" x14ac:dyDescent="0.2">
      <c r="A49" s="1004" t="s">
        <v>337</v>
      </c>
      <c r="B49" s="1297" t="s">
        <v>66</v>
      </c>
      <c r="C49" s="406">
        <f t="shared" si="5"/>
        <v>304.16446188040561</v>
      </c>
      <c r="D49" s="399">
        <v>357.87076428130001</v>
      </c>
      <c r="E49" s="399">
        <f t="shared" si="9"/>
        <v>-41.05697396009441</v>
      </c>
      <c r="F49" s="400">
        <f>TableB1b!K49</f>
        <v>27.386500000000002</v>
      </c>
      <c r="G49" s="407">
        <f>TableB2!G47-TableB2!C47</f>
        <v>-34.555951026594414</v>
      </c>
      <c r="H49" s="401">
        <f>TableB1b!E49</f>
        <v>-34.555951026594414</v>
      </c>
      <c r="I49" s="402">
        <f>TableB1b!F49</f>
        <v>0</v>
      </c>
      <c r="J49" s="403">
        <f>TableB1b!G49+TableB1b!J49+TableB1b!L49</f>
        <v>-33.887522933500001</v>
      </c>
      <c r="K49" s="404">
        <v>-12.6493284408</v>
      </c>
      <c r="O49" s="758">
        <f t="shared" si="6"/>
        <v>0</v>
      </c>
      <c r="P49" s="392">
        <f t="shared" si="7"/>
        <v>0</v>
      </c>
      <c r="Q49" s="392">
        <f t="shared" si="8"/>
        <v>0</v>
      </c>
    </row>
    <row r="50" spans="1:17" ht="16" x14ac:dyDescent="0.2">
      <c r="A50" s="146"/>
      <c r="B50" s="1297" t="s">
        <v>67</v>
      </c>
      <c r="C50" s="406">
        <f t="shared" si="5"/>
        <v>-19.083277812800006</v>
      </c>
      <c r="D50" s="399">
        <v>-18.543288431700002</v>
      </c>
      <c r="E50" s="399">
        <f t="shared" si="9"/>
        <v>-5.9697216002999998</v>
      </c>
      <c r="F50" s="400">
        <f>TableB1b!K50</f>
        <v>-3.4732199999999998E-2</v>
      </c>
      <c r="G50" s="407">
        <f>TableB2!G48-TableB2!C48</f>
        <v>-1.7484193972999997</v>
      </c>
      <c r="H50" s="401">
        <f>TableB1b!E50</f>
        <v>-1.2611379088999999</v>
      </c>
      <c r="I50" s="402">
        <f>TableB1b!F50</f>
        <v>-0.48728148839999996</v>
      </c>
      <c r="J50" s="403">
        <f>TableB1b!G50+TableB1b!J50+TableB1b!L50</f>
        <v>-4.1865700029999999</v>
      </c>
      <c r="K50" s="404">
        <v>5.4297322191999999</v>
      </c>
      <c r="O50" s="758">
        <f t="shared" si="6"/>
        <v>0</v>
      </c>
      <c r="P50" s="392">
        <f t="shared" si="7"/>
        <v>0</v>
      </c>
      <c r="Q50" s="392">
        <f t="shared" si="8"/>
        <v>0</v>
      </c>
    </row>
    <row r="51" spans="1:17" ht="16" x14ac:dyDescent="0.2">
      <c r="A51" s="146"/>
      <c r="B51" s="1297" t="s">
        <v>68</v>
      </c>
      <c r="C51" s="406">
        <f t="shared" si="5"/>
        <v>-2.1082263101000001</v>
      </c>
      <c r="D51" s="399">
        <v>-1.8108003000000001E-2</v>
      </c>
      <c r="E51" s="399">
        <f t="shared" si="9"/>
        <v>-2.5472001676999998</v>
      </c>
      <c r="F51" s="400">
        <f>TableB1b!K51</f>
        <v>-6.08671E-2</v>
      </c>
      <c r="G51" s="407">
        <f>TableB2!G49-TableB2!C49</f>
        <v>-1.9651139597</v>
      </c>
      <c r="H51" s="401">
        <f>TableB1b!E51</f>
        <v>-0.89792523350000009</v>
      </c>
      <c r="I51" s="402">
        <f>TableB1b!F51</f>
        <v>-1.0671887261999999</v>
      </c>
      <c r="J51" s="403">
        <f>TableB1b!G51+TableB1b!J51+TableB1b!L51</f>
        <v>-0.52121910799999993</v>
      </c>
      <c r="K51" s="404">
        <v>0.4570818606</v>
      </c>
      <c r="O51" s="758">
        <f t="shared" si="6"/>
        <v>0</v>
      </c>
      <c r="P51" s="392">
        <f t="shared" si="7"/>
        <v>0</v>
      </c>
      <c r="Q51" s="392">
        <f t="shared" si="8"/>
        <v>0</v>
      </c>
    </row>
    <row r="52" spans="1:17" ht="16" x14ac:dyDescent="0.2">
      <c r="A52" s="146"/>
      <c r="B52" s="1297" t="s">
        <v>69</v>
      </c>
      <c r="C52" s="406">
        <f t="shared" si="5"/>
        <v>-25.787330963999992</v>
      </c>
      <c r="D52" s="399">
        <v>-63.249171394800001</v>
      </c>
      <c r="E52" s="399">
        <f t="shared" si="9"/>
        <v>-26.690869753999998</v>
      </c>
      <c r="F52" s="400">
        <f>TableB1b!K52</f>
        <v>1.31857</v>
      </c>
      <c r="G52" s="407">
        <f>TableB2!G50-TableB2!C50</f>
        <v>-8.6814563184999987</v>
      </c>
      <c r="H52" s="401">
        <f>TableB1b!E52</f>
        <v>-1.9692084181999983</v>
      </c>
      <c r="I52" s="402">
        <f>TableB1b!F52</f>
        <v>-6.7122479003000004</v>
      </c>
      <c r="J52" s="403">
        <f>TableB1b!G52+TableB1b!J52+TableB1b!L52</f>
        <v>-19.327983435499998</v>
      </c>
      <c r="K52" s="404">
        <v>64.1527101848</v>
      </c>
      <c r="O52" s="758">
        <f t="shared" si="6"/>
        <v>0</v>
      </c>
      <c r="P52" s="392">
        <f t="shared" si="7"/>
        <v>0</v>
      </c>
      <c r="Q52" s="392">
        <f t="shared" si="8"/>
        <v>0</v>
      </c>
    </row>
    <row r="53" spans="1:17" ht="16" x14ac:dyDescent="0.2">
      <c r="A53" s="146"/>
      <c r="B53" s="1297" t="s">
        <v>338</v>
      </c>
      <c r="C53" s="406">
        <f t="shared" si="5"/>
        <v>67.858109999999996</v>
      </c>
      <c r="D53" s="399">
        <v>111.47775</v>
      </c>
      <c r="E53" s="399">
        <f t="shared" si="9"/>
        <v>-37.899680000000004</v>
      </c>
      <c r="F53" s="400">
        <f>TableB1b!K53</f>
        <v>-5.1038699999999997</v>
      </c>
      <c r="G53" s="407">
        <f>TableB2!G51-TableB2!C51</f>
        <v>-23.717169999999999</v>
      </c>
      <c r="H53" s="401">
        <f>TableB1b!E53</f>
        <v>-18.431759999999997</v>
      </c>
      <c r="I53" s="402">
        <f>TableB1b!F53</f>
        <v>-5.2854099999999997</v>
      </c>
      <c r="J53" s="403">
        <f>TableB1b!G53+TableB1b!J53+TableB1b!L53</f>
        <v>-9.0786400000000018</v>
      </c>
      <c r="K53" s="404">
        <v>-5.7199600000000004</v>
      </c>
      <c r="O53" s="758">
        <f t="shared" si="6"/>
        <v>0</v>
      </c>
      <c r="P53" s="392">
        <f t="shared" si="7"/>
        <v>0</v>
      </c>
      <c r="Q53" s="392">
        <f t="shared" si="8"/>
        <v>0</v>
      </c>
    </row>
    <row r="54" spans="1:17" ht="16" x14ac:dyDescent="0.2">
      <c r="A54" s="146"/>
      <c r="B54" s="1297" t="s">
        <v>71</v>
      </c>
      <c r="C54" s="406">
        <f t="shared" si="5"/>
        <v>-13.9090694671</v>
      </c>
      <c r="D54" s="399">
        <v>-3.4638944553000002</v>
      </c>
      <c r="E54" s="399">
        <f t="shared" si="9"/>
        <v>-7.7994050636000001</v>
      </c>
      <c r="F54" s="400">
        <f>TableB1b!K54</f>
        <v>-0.15484400000000001</v>
      </c>
      <c r="G54" s="407">
        <f>TableB2!G52-TableB2!C52</f>
        <v>-3.7332209097</v>
      </c>
      <c r="H54" s="401">
        <f>TableB1b!E54</f>
        <v>-3.7332209096999995</v>
      </c>
      <c r="I54" s="402">
        <f>TableB1b!F54</f>
        <v>0</v>
      </c>
      <c r="J54" s="403">
        <f>TableB1b!G54+TableB1b!J54+TableB1b!L54</f>
        <v>-3.9113401538999999</v>
      </c>
      <c r="K54" s="404">
        <v>-2.6457699481999999</v>
      </c>
      <c r="O54" s="758">
        <f t="shared" si="6"/>
        <v>0</v>
      </c>
      <c r="P54" s="392">
        <f t="shared" si="7"/>
        <v>0</v>
      </c>
      <c r="Q54" s="392">
        <f t="shared" si="8"/>
        <v>-4.4408920985006262E-16</v>
      </c>
    </row>
    <row r="55" spans="1:17" ht="40" customHeight="1" x14ac:dyDescent="0.2">
      <c r="A55" s="146"/>
      <c r="B55" s="7" t="s">
        <v>72</v>
      </c>
      <c r="C55" s="406"/>
      <c r="D55" s="399"/>
      <c r="E55" s="399" t="e">
        <v>#REF!</v>
      </c>
      <c r="F55" s="400"/>
      <c r="G55" s="407"/>
      <c r="H55" s="401"/>
      <c r="I55" s="402"/>
      <c r="J55" s="403"/>
      <c r="K55" s="405"/>
      <c r="O55" s="758"/>
      <c r="P55" s="392"/>
      <c r="Q55" s="392"/>
    </row>
    <row r="56" spans="1:17" ht="16" x14ac:dyDescent="0.2">
      <c r="A56" s="146"/>
      <c r="B56" s="1297" t="s">
        <v>73</v>
      </c>
      <c r="C56" s="406" t="e">
        <f t="shared" si="5"/>
        <v>#N/A</v>
      </c>
      <c r="D56" s="399" t="e">
        <v>#N/A</v>
      </c>
      <c r="E56" s="399">
        <f t="shared" ref="E56:E91" si="10">F56+G56+J56</f>
        <v>3.27E-2</v>
      </c>
      <c r="F56" s="400">
        <f>TableB1b!K56</f>
        <v>0</v>
      </c>
      <c r="G56" s="407">
        <f>TableB2!G54-TableB2!C54</f>
        <v>3.27E-2</v>
      </c>
      <c r="H56" s="401">
        <f>TableB2!H54+TableB2!J54-TableB2!D54-TableB2!F54</f>
        <v>3.27E-2</v>
      </c>
      <c r="I56" s="402">
        <f>TableB2!I54-TableB2!E54</f>
        <v>0</v>
      </c>
      <c r="J56" s="403">
        <f>TableB1b!G56+TableB1b!J56+TableB1b!L56</f>
        <v>0</v>
      </c>
      <c r="K56" s="404" t="e">
        <v>#N/A</v>
      </c>
      <c r="O56" s="758" t="e">
        <f t="shared" si="6"/>
        <v>#N/A</v>
      </c>
      <c r="P56" s="392">
        <f t="shared" si="7"/>
        <v>0</v>
      </c>
      <c r="Q56" s="392">
        <f t="shared" si="8"/>
        <v>0</v>
      </c>
    </row>
    <row r="57" spans="1:17" ht="16" x14ac:dyDescent="0.2">
      <c r="A57" s="146"/>
      <c r="B57" s="1297" t="s">
        <v>74</v>
      </c>
      <c r="C57" s="406">
        <f t="shared" si="5"/>
        <v>-0.1027</v>
      </c>
      <c r="D57" s="399">
        <v>0</v>
      </c>
      <c r="E57" s="399">
        <f t="shared" si="10"/>
        <v>-0.1027</v>
      </c>
      <c r="F57" s="400">
        <f>TableB1b!K57</f>
        <v>0</v>
      </c>
      <c r="G57" s="407">
        <f>TableB2!G55-TableB2!C55</f>
        <v>-0.1027</v>
      </c>
      <c r="H57" s="401">
        <f>TableB2!H55+TableB2!J55-TableB2!D55-TableB2!F55</f>
        <v>-0.1027</v>
      </c>
      <c r="I57" s="402">
        <f>TableB2!I55-TableB2!E55</f>
        <v>0</v>
      </c>
      <c r="J57" s="403">
        <f>TableB1b!G57+TableB1b!J57+TableB1b!L57</f>
        <v>0</v>
      </c>
      <c r="K57" s="404">
        <v>0</v>
      </c>
      <c r="O57" s="758">
        <f t="shared" si="6"/>
        <v>0</v>
      </c>
      <c r="P57" s="392">
        <f t="shared" si="7"/>
        <v>0</v>
      </c>
      <c r="Q57" s="392">
        <f t="shared" si="8"/>
        <v>0</v>
      </c>
    </row>
    <row r="58" spans="1:17" ht="16" x14ac:dyDescent="0.2">
      <c r="A58" s="146"/>
      <c r="B58" s="1297" t="s">
        <v>75</v>
      </c>
      <c r="C58" s="406">
        <f t="shared" si="5"/>
        <v>-7.690000000000001E-2</v>
      </c>
      <c r="D58" s="399">
        <v>0</v>
      </c>
      <c r="E58" s="399">
        <f t="shared" si="10"/>
        <v>-7.690000000000001E-2</v>
      </c>
      <c r="F58" s="400">
        <f>TableB1b!K58</f>
        <v>0</v>
      </c>
      <c r="G58" s="407">
        <f>TableB2!G56-TableB2!C56</f>
        <v>-7.690000000000001E-2</v>
      </c>
      <c r="H58" s="401">
        <f>TableB2!H56+TableB2!J56-TableB2!D56-TableB2!F56</f>
        <v>-7.690000000000001E-2</v>
      </c>
      <c r="I58" s="402">
        <f>TableB2!I56-TableB2!E56</f>
        <v>0</v>
      </c>
      <c r="J58" s="403">
        <f>TableB1b!G58+TableB1b!J58+TableB1b!L58</f>
        <v>0</v>
      </c>
      <c r="K58" s="404">
        <v>0</v>
      </c>
      <c r="O58" s="758">
        <f t="shared" si="6"/>
        <v>0</v>
      </c>
      <c r="P58" s="392">
        <f t="shared" si="7"/>
        <v>0</v>
      </c>
      <c r="Q58" s="392">
        <f t="shared" si="8"/>
        <v>0</v>
      </c>
    </row>
    <row r="59" spans="1:17" ht="16" x14ac:dyDescent="0.2">
      <c r="A59" s="146"/>
      <c r="B59" s="1297" t="s">
        <v>76</v>
      </c>
      <c r="C59" s="406">
        <f t="shared" si="5"/>
        <v>0.13945810064916003</v>
      </c>
      <c r="D59" s="399">
        <v>0.28709497210000001</v>
      </c>
      <c r="E59" s="399">
        <f t="shared" si="10"/>
        <v>-8.115642455083999E-2</v>
      </c>
      <c r="F59" s="400">
        <f>TableB1b!K59</f>
        <v>-3.4636871508399998E-3</v>
      </c>
      <c r="G59" s="407">
        <f>TableB2!G57-TableB2!C57</f>
        <v>-4.1715083800000004E-2</v>
      </c>
      <c r="H59" s="401">
        <f>TableB2!H57+TableB2!J57-TableB2!D57-TableB2!F57</f>
        <v>-4.1715083799999997E-2</v>
      </c>
      <c r="I59" s="402">
        <f>TableB2!I57-TableB2!E57</f>
        <v>0</v>
      </c>
      <c r="J59" s="403">
        <f>TableB1b!G59+TableB1b!J59+TableB1b!L59</f>
        <v>-3.5977653599999992E-2</v>
      </c>
      <c r="K59" s="404">
        <v>-6.6480446900000004E-2</v>
      </c>
      <c r="O59" s="758">
        <f t="shared" si="6"/>
        <v>0</v>
      </c>
      <c r="P59" s="392">
        <f t="shared" si="7"/>
        <v>0</v>
      </c>
      <c r="Q59" s="392">
        <f t="shared" si="8"/>
        <v>-6.9388939039072284E-18</v>
      </c>
    </row>
    <row r="60" spans="1:17" ht="16" x14ac:dyDescent="0.2">
      <c r="A60" s="146" t="s">
        <v>339</v>
      </c>
      <c r="B60" s="1297" t="s">
        <v>152</v>
      </c>
      <c r="C60" s="406" t="e">
        <f t="shared" si="5"/>
        <v>#N/A</v>
      </c>
      <c r="D60" s="399" t="e">
        <v>#N/A</v>
      </c>
      <c r="E60" s="399">
        <f t="shared" si="10"/>
        <v>-1.1414548391967188</v>
      </c>
      <c r="F60" s="400">
        <f>TableB1b!K60</f>
        <v>-6.64965E-2</v>
      </c>
      <c r="G60" s="407">
        <f>TableB2!G58-TableB2!C58</f>
        <v>-0.73882524149671891</v>
      </c>
      <c r="H60" s="401">
        <f>TableB2!H58+TableB2!J58-TableB2!D58-TableB2!F58</f>
        <v>-0.73882524149671902</v>
      </c>
      <c r="I60" s="402">
        <f>TableB2!I58-TableB2!E58</f>
        <v>0</v>
      </c>
      <c r="J60" s="403">
        <f>TableB1b!G60+TableB1b!J60+TableB1b!L60</f>
        <v>-0.33613309769999999</v>
      </c>
      <c r="K60" s="404">
        <v>1.5321789000000001E-2</v>
      </c>
      <c r="O60" s="758" t="e">
        <f t="shared" si="6"/>
        <v>#N/A</v>
      </c>
      <c r="P60" s="392">
        <f t="shared" si="7"/>
        <v>0</v>
      </c>
      <c r="Q60" s="392">
        <f t="shared" si="8"/>
        <v>1.1102230246251565E-16</v>
      </c>
    </row>
    <row r="61" spans="1:17" ht="16" x14ac:dyDescent="0.2">
      <c r="A61" s="1004" t="s">
        <v>340</v>
      </c>
      <c r="B61" s="1297" t="s">
        <v>78</v>
      </c>
      <c r="C61" s="406" t="e">
        <f t="shared" si="5"/>
        <v>#N/A</v>
      </c>
      <c r="D61" s="399" t="e">
        <v>#N/A</v>
      </c>
      <c r="E61" s="399">
        <f t="shared" si="10"/>
        <v>-0.64260805649591413</v>
      </c>
      <c r="F61" s="400">
        <f>TableB1b!K61</f>
        <v>0</v>
      </c>
      <c r="G61" s="407">
        <f>TableB2!G59-TableB2!C59</f>
        <v>-0.64260805649591413</v>
      </c>
      <c r="H61" s="401">
        <f>TableB2!H59+TableB2!J59-TableB2!D59-TableB2!F59</f>
        <v>-0.64260805649591413</v>
      </c>
      <c r="I61" s="402">
        <f>TableB2!I59-TableB2!E59</f>
        <v>0</v>
      </c>
      <c r="J61" s="403">
        <f>TableB1b!G61+TableB1b!J61+TableB1b!L61</f>
        <v>0</v>
      </c>
      <c r="K61" s="404">
        <v>0</v>
      </c>
      <c r="O61" s="758" t="e">
        <f t="shared" si="6"/>
        <v>#N/A</v>
      </c>
      <c r="P61" s="392">
        <f t="shared" si="7"/>
        <v>0</v>
      </c>
      <c r="Q61" s="392">
        <f t="shared" si="8"/>
        <v>0</v>
      </c>
    </row>
    <row r="62" spans="1:17" ht="16" x14ac:dyDescent="0.2">
      <c r="A62" s="146"/>
      <c r="B62" s="1297" t="s">
        <v>79</v>
      </c>
      <c r="C62" s="406">
        <f t="shared" si="5"/>
        <v>-1.8957898653382528</v>
      </c>
      <c r="D62" s="399">
        <v>0</v>
      </c>
      <c r="E62" s="399">
        <f t="shared" si="10"/>
        <v>-1.8957898653382528</v>
      </c>
      <c r="F62" s="400">
        <f>TableB1b!K62</f>
        <v>0</v>
      </c>
      <c r="G62" s="407">
        <f>TableB2!G60-TableB2!C60</f>
        <v>-1.8957898653382528</v>
      </c>
      <c r="H62" s="401">
        <f>TableB2!H60+TableB2!J60-TableB2!D60-TableB2!F60</f>
        <v>-1.8957898653382528</v>
      </c>
      <c r="I62" s="402">
        <f>TableB2!I60-TableB2!E60</f>
        <v>0</v>
      </c>
      <c r="J62" s="403">
        <f>TableB1b!G62+TableB1b!J62+TableB1b!L62</f>
        <v>0</v>
      </c>
      <c r="K62" s="404">
        <v>0</v>
      </c>
      <c r="O62" s="758">
        <f t="shared" si="6"/>
        <v>0</v>
      </c>
      <c r="P62" s="392">
        <f t="shared" si="7"/>
        <v>0</v>
      </c>
      <c r="Q62" s="392">
        <f t="shared" si="8"/>
        <v>0</v>
      </c>
    </row>
    <row r="63" spans="1:17" ht="16" x14ac:dyDescent="0.2">
      <c r="A63" s="146"/>
      <c r="B63" s="1297" t="s">
        <v>80</v>
      </c>
      <c r="C63" s="406">
        <f t="shared" si="5"/>
        <v>-0.18947414577512001</v>
      </c>
      <c r="D63" s="399">
        <v>-0.14897820119999999</v>
      </c>
      <c r="E63" s="399">
        <f t="shared" si="10"/>
        <v>-0.11020450537512001</v>
      </c>
      <c r="F63" s="400">
        <f>TableB1b!K63</f>
        <v>-4.26969227512E-3</v>
      </c>
      <c r="G63" s="407">
        <f>TableB2!G61-TableB2!C61</f>
        <v>-6.4989477700000006E-2</v>
      </c>
      <c r="H63" s="401">
        <f>TableB2!H61+TableB2!J61-TableB2!D61-TableB2!F61</f>
        <v>-6.4989477700000006E-2</v>
      </c>
      <c r="I63" s="402">
        <f>TableB2!I61-TableB2!E61</f>
        <v>0</v>
      </c>
      <c r="J63" s="403">
        <f>TableB1b!G63+TableB1b!J63+TableB1b!L63</f>
        <v>-4.0945335400000005E-2</v>
      </c>
      <c r="K63" s="404">
        <v>6.97085608E-2</v>
      </c>
      <c r="O63" s="758">
        <f t="shared" si="6"/>
        <v>0</v>
      </c>
      <c r="P63" s="392">
        <f t="shared" si="7"/>
        <v>0</v>
      </c>
      <c r="Q63" s="392">
        <f t="shared" si="8"/>
        <v>0</v>
      </c>
    </row>
    <row r="64" spans="1:17" ht="16" x14ac:dyDescent="0.2">
      <c r="A64" s="146"/>
      <c r="B64" s="1297" t="s">
        <v>81</v>
      </c>
      <c r="C64" s="406">
        <f t="shared" si="5"/>
        <v>-14.589563351836661</v>
      </c>
      <c r="D64" s="399">
        <v>-0.61723925479999997</v>
      </c>
      <c r="E64" s="399">
        <f t="shared" si="10"/>
        <v>-13.834507059336662</v>
      </c>
      <c r="F64" s="400">
        <f>TableB1b!K64</f>
        <v>1.37815</v>
      </c>
      <c r="G64" s="407">
        <f>TableB2!G62-TableB2!C62</f>
        <v>-15.447398527436661</v>
      </c>
      <c r="H64" s="401">
        <f>TableB2!H62+TableB2!J62-TableB2!D62-TableB2!F62</f>
        <v>-15.447398527436663</v>
      </c>
      <c r="I64" s="402">
        <f>TableB2!I62-TableB2!E62</f>
        <v>0</v>
      </c>
      <c r="J64" s="403">
        <f>TableB1b!G64+TableB1b!J64+TableB1b!L64</f>
        <v>0.23474146810000002</v>
      </c>
      <c r="K64" s="404">
        <v>-0.13781703769999998</v>
      </c>
      <c r="O64" s="758">
        <f t="shared" si="6"/>
        <v>3.3306690738754696E-16</v>
      </c>
      <c r="P64" s="392">
        <f t="shared" si="7"/>
        <v>-7.2164496600635175E-16</v>
      </c>
      <c r="Q64" s="392">
        <f t="shared" si="8"/>
        <v>1.7763568394002505E-15</v>
      </c>
    </row>
    <row r="65" spans="1:17" ht="16" x14ac:dyDescent="0.2">
      <c r="A65" s="146"/>
      <c r="B65" s="1297" t="s">
        <v>82</v>
      </c>
      <c r="C65" s="406" t="e">
        <f t="shared" si="5"/>
        <v>#N/A</v>
      </c>
      <c r="D65" s="399" t="e">
        <v>#N/A</v>
      </c>
      <c r="E65" s="399">
        <f t="shared" si="10"/>
        <v>9.4000000000000004E-3</v>
      </c>
      <c r="F65" s="400">
        <f>TableB1b!K65</f>
        <v>0</v>
      </c>
      <c r="G65" s="407">
        <f>TableB2!G63-TableB2!C63</f>
        <v>9.4000000000000004E-3</v>
      </c>
      <c r="H65" s="401">
        <f>TableB2!H63+TableB2!J63-TableB2!D63-TableB2!F63</f>
        <v>9.3999999999999986E-3</v>
      </c>
      <c r="I65" s="402">
        <f>TableB2!I63-TableB2!E63</f>
        <v>0</v>
      </c>
      <c r="J65" s="403">
        <f>TableB1b!G65+TableB1b!J65+TableB1b!L65</f>
        <v>0</v>
      </c>
      <c r="K65" s="404" t="e">
        <v>#N/A</v>
      </c>
      <c r="O65" s="758"/>
      <c r="P65" s="392"/>
      <c r="Q65" s="392"/>
    </row>
    <row r="66" spans="1:17" ht="16" x14ac:dyDescent="0.2">
      <c r="A66" s="146"/>
      <c r="B66" s="1297" t="s">
        <v>153</v>
      </c>
      <c r="C66" s="406" t="e">
        <f t="shared" si="5"/>
        <v>#N/A</v>
      </c>
      <c r="D66" s="399" t="e">
        <v>#N/A</v>
      </c>
      <c r="E66" s="399">
        <f t="shared" si="10"/>
        <v>4.0091023290772432</v>
      </c>
      <c r="F66" s="400">
        <f>TableB1b!K66</f>
        <v>0</v>
      </c>
      <c r="G66" s="407">
        <f>TableB2!G64-TableB2!C64</f>
        <v>4.0091023290772432</v>
      </c>
      <c r="H66" s="401">
        <f>TableB2!H64+TableB2!J64-TableB2!D64-TableB2!F64</f>
        <v>4.0091023290772432</v>
      </c>
      <c r="I66" s="402">
        <f>TableB2!I64-TableB2!E64</f>
        <v>0</v>
      </c>
      <c r="J66" s="403">
        <f>TableB1b!G66+TableB1b!J66+TableB1b!L66</f>
        <v>0</v>
      </c>
      <c r="K66" s="404" t="e">
        <v>#N/A</v>
      </c>
      <c r="O66" s="758"/>
      <c r="P66" s="392"/>
      <c r="Q66" s="392"/>
    </row>
    <row r="67" spans="1:17" ht="16" x14ac:dyDescent="0.2">
      <c r="A67" s="146"/>
      <c r="B67" s="113" t="s">
        <v>84</v>
      </c>
      <c r="C67" s="406" t="e">
        <f t="shared" si="5"/>
        <v>#N/A</v>
      </c>
      <c r="D67" s="399" t="e">
        <v>#N/A</v>
      </c>
      <c r="E67" s="399">
        <f t="shared" si="10"/>
        <v>-16.042018175138416</v>
      </c>
      <c r="F67" s="400">
        <f>TableB1b!K67</f>
        <v>0</v>
      </c>
      <c r="G67" s="407">
        <f>TableB2!G65-TableB2!C65</f>
        <v>-16.042018175138416</v>
      </c>
      <c r="H67" s="401">
        <f>TableB2!H65+TableB2!J65-TableB2!D65-TableB2!F65</f>
        <v>-16.042018175138416</v>
      </c>
      <c r="I67" s="402">
        <f>TableB2!I65-TableB2!E65</f>
        <v>0</v>
      </c>
      <c r="J67" s="403">
        <f>TableB1b!G67+TableB1b!J67+TableB1b!L67</f>
        <v>0</v>
      </c>
      <c r="K67" s="404" t="e">
        <v>#N/A</v>
      </c>
      <c r="O67" s="758"/>
      <c r="P67" s="392"/>
      <c r="Q67" s="392"/>
    </row>
    <row r="68" spans="1:17" ht="16" x14ac:dyDescent="0.2">
      <c r="A68" s="146"/>
      <c r="B68" s="1297" t="s">
        <v>85</v>
      </c>
      <c r="C68" s="406">
        <f t="shared" si="5"/>
        <v>1.7145125548400937</v>
      </c>
      <c r="D68" s="399">
        <v>-0.47401675980000002</v>
      </c>
      <c r="E68" s="399">
        <f t="shared" si="10"/>
        <v>2.2305740073400937</v>
      </c>
      <c r="F68" s="400">
        <f>TableB1b!K68</f>
        <v>4.2642458100559999E-2</v>
      </c>
      <c r="G68" s="407">
        <f>TableB2!G66-TableB2!C66</f>
        <v>2.1990097615395339</v>
      </c>
      <c r="H68" s="401">
        <f>TableB2!H66+TableB2!J66-TableB2!D66-TableB2!F66</f>
        <v>2.1990097615395339</v>
      </c>
      <c r="I68" s="402">
        <f>TableB2!I66-TableB2!E66</f>
        <v>0</v>
      </c>
      <c r="J68" s="403">
        <f>TableB1b!G68+TableB1b!J68+TableB1b!L68</f>
        <v>-1.1078212299999999E-2</v>
      </c>
      <c r="K68" s="404">
        <v>-4.2044692700000004E-2</v>
      </c>
      <c r="O68" s="758">
        <f>C68-D68-E68-K68</f>
        <v>-2.1510571102112408E-16</v>
      </c>
      <c r="P68" s="392">
        <f>E68-F68-G68-J68</f>
        <v>-1.6826817716975029E-16</v>
      </c>
      <c r="Q68" s="392">
        <f>G68-H68-I68</f>
        <v>0</v>
      </c>
    </row>
    <row r="69" spans="1:17" ht="16" x14ac:dyDescent="0.2">
      <c r="A69" s="146"/>
      <c r="B69" s="1297" t="s">
        <v>86</v>
      </c>
      <c r="C69" s="406">
        <f t="shared" si="5"/>
        <v>-3.3735185330952282</v>
      </c>
      <c r="D69" s="399">
        <v>5.94995044E-2</v>
      </c>
      <c r="E69" s="399">
        <f t="shared" si="10"/>
        <v>-2.8674717586952285</v>
      </c>
      <c r="F69" s="400">
        <f>TableB1b!K69</f>
        <v>-1.04276E-2</v>
      </c>
      <c r="G69" s="407">
        <f>TableB2!G67-TableB2!C67</f>
        <v>-2.2882870559952284</v>
      </c>
      <c r="H69" s="401">
        <f>TableB2!H67+TableB2!J67-TableB2!D67-TableB2!F67</f>
        <v>-2.2882870559952284</v>
      </c>
      <c r="I69" s="402">
        <f>TableB2!I67-TableB2!E67</f>
        <v>0</v>
      </c>
      <c r="J69" s="403">
        <f>TableB1b!G69+TableB1b!J69+TableB1b!L69</f>
        <v>-0.56875710270000002</v>
      </c>
      <c r="K69" s="404">
        <v>-0.56554627879999997</v>
      </c>
      <c r="O69" s="758">
        <f>C69-D69-E69-K69</f>
        <v>0</v>
      </c>
      <c r="P69" s="392">
        <f>E69-F69-G69-J69</f>
        <v>0</v>
      </c>
      <c r="Q69" s="392">
        <f>G69-H69-I69</f>
        <v>0</v>
      </c>
    </row>
    <row r="70" spans="1:17" ht="16" x14ac:dyDescent="0.2">
      <c r="A70" s="146"/>
      <c r="B70" s="1297" t="s">
        <v>87</v>
      </c>
      <c r="C70" s="406" t="e">
        <f t="shared" si="5"/>
        <v>#N/A</v>
      </c>
      <c r="D70" s="399" t="e">
        <v>#N/A</v>
      </c>
      <c r="E70" s="399">
        <f t="shared" si="10"/>
        <v>-2.0350376390608886</v>
      </c>
      <c r="F70" s="400">
        <f>TableB1b!K70</f>
        <v>0</v>
      </c>
      <c r="G70" s="407">
        <f>TableB2!G68-TableB2!C68</f>
        <v>-2.0350376390608886</v>
      </c>
      <c r="H70" s="401">
        <f>TableB2!H68+TableB2!J68-TableB2!D68-TableB2!F68</f>
        <v>-2.0350376390608886</v>
      </c>
      <c r="I70" s="402">
        <f>TableB2!I68-TableB2!E68</f>
        <v>0</v>
      </c>
      <c r="J70" s="403">
        <f>TableB1b!G70+TableB1b!J70+TableB1b!L70</f>
        <v>0</v>
      </c>
      <c r="K70" s="404" t="e">
        <v>#N/A</v>
      </c>
      <c r="O70" s="758"/>
      <c r="P70" s="392"/>
      <c r="Q70" s="392"/>
    </row>
    <row r="71" spans="1:17" ht="16" x14ac:dyDescent="0.2">
      <c r="A71" s="146"/>
      <c r="B71" s="1297" t="s">
        <v>88</v>
      </c>
      <c r="C71" s="406">
        <f t="shared" si="5"/>
        <v>-1.52E-2</v>
      </c>
      <c r="D71" s="399">
        <v>0</v>
      </c>
      <c r="E71" s="399">
        <f t="shared" si="10"/>
        <v>-1.52E-2</v>
      </c>
      <c r="F71" s="400">
        <f>TableB1b!K71</f>
        <v>0</v>
      </c>
      <c r="G71" s="407">
        <f>TableB2!G69-TableB2!C69</f>
        <v>-1.52E-2</v>
      </c>
      <c r="H71" s="401">
        <f>TableB2!H69+TableB2!J69-TableB2!D69-TableB2!F69</f>
        <v>-1.52E-2</v>
      </c>
      <c r="I71" s="402">
        <f>TableB2!I69-TableB2!E69</f>
        <v>0</v>
      </c>
      <c r="J71" s="403">
        <f>TableB1b!G71+TableB1b!J71+TableB1b!L71</f>
        <v>0</v>
      </c>
      <c r="K71" s="404">
        <v>0</v>
      </c>
      <c r="O71" s="758">
        <f>C71-D71-E71-K71</f>
        <v>0</v>
      </c>
      <c r="P71" s="392">
        <f>E71-F71-G71-J71</f>
        <v>0</v>
      </c>
      <c r="Q71" s="392">
        <f>G71-H71-I71</f>
        <v>0</v>
      </c>
    </row>
    <row r="72" spans="1:17" ht="16" x14ac:dyDescent="0.2">
      <c r="A72" s="146"/>
      <c r="B72" s="1297" t="s">
        <v>89</v>
      </c>
      <c r="C72" s="406" t="e">
        <f t="shared" si="5"/>
        <v>#N/A</v>
      </c>
      <c r="D72" s="399" t="e">
        <v>#N/A</v>
      </c>
      <c r="E72" s="399">
        <f t="shared" si="10"/>
        <v>1.9626714972368675</v>
      </c>
      <c r="F72" s="400">
        <f>TableB1b!K72</f>
        <v>0</v>
      </c>
      <c r="G72" s="407">
        <f>TableB2!G70-TableB2!C70</f>
        <v>1.9626714972368675</v>
      </c>
      <c r="H72" s="401">
        <f>TableB2!H70+TableB2!J70-TableB2!D70-TableB2!F70</f>
        <v>1.9626714972368675</v>
      </c>
      <c r="I72" s="402">
        <f>TableB2!I70-TableB2!E70</f>
        <v>0</v>
      </c>
      <c r="J72" s="403">
        <f>TableB1b!G72+TableB1b!J72+TableB1b!L72</f>
        <v>0</v>
      </c>
      <c r="K72" s="404" t="e">
        <v>#N/A</v>
      </c>
      <c r="O72" s="758"/>
      <c r="P72" s="392"/>
      <c r="Q72" s="392"/>
    </row>
    <row r="73" spans="1:17" ht="16" x14ac:dyDescent="0.2">
      <c r="A73" s="146"/>
      <c r="B73" s="1297" t="s">
        <v>90</v>
      </c>
      <c r="C73" s="406" t="e">
        <f t="shared" si="5"/>
        <v>#N/A</v>
      </c>
      <c r="D73" s="399" t="e">
        <v>#N/A</v>
      </c>
      <c r="E73" s="399">
        <f t="shared" si="10"/>
        <v>2.7822519102711953</v>
      </c>
      <c r="F73" s="400">
        <f>TableB1b!K73</f>
        <v>0</v>
      </c>
      <c r="G73" s="407">
        <f>TableB2!G71-TableB2!C71</f>
        <v>2.7822519102711953</v>
      </c>
      <c r="H73" s="401">
        <f>TableB2!H71+TableB2!J71-TableB2!D71-TableB2!F71</f>
        <v>2.7822519102711953</v>
      </c>
      <c r="I73" s="402">
        <f>TableB2!I71-TableB2!E71</f>
        <v>0</v>
      </c>
      <c r="J73" s="403">
        <f>TableB1b!G73+TableB1b!J73+TableB1b!L73</f>
        <v>0</v>
      </c>
      <c r="K73" s="404" t="e">
        <v>#N/A</v>
      </c>
      <c r="O73" s="758"/>
      <c r="P73" s="392"/>
      <c r="Q73" s="392"/>
    </row>
    <row r="74" spans="1:17" ht="16" x14ac:dyDescent="0.2">
      <c r="A74" s="1004" t="s">
        <v>341</v>
      </c>
      <c r="B74" s="1297" t="s">
        <v>91</v>
      </c>
      <c r="C74" s="406" t="e">
        <f t="shared" si="5"/>
        <v>#N/A</v>
      </c>
      <c r="D74" s="399" t="e">
        <v>#N/A</v>
      </c>
      <c r="E74" s="399">
        <f t="shared" si="10"/>
        <v>5.2383283873000064</v>
      </c>
      <c r="F74" s="400">
        <f>TableB1b!K74</f>
        <v>-0.37179099999999998</v>
      </c>
      <c r="G74" s="407">
        <f>TableB2!G72-TableB2!C72</f>
        <v>-15.315460612699994</v>
      </c>
      <c r="H74" s="401">
        <f>TableB2!H72+TableB2!J72-TableB2!D72-TableB2!F72</f>
        <v>-15.315460612700001</v>
      </c>
      <c r="I74" s="402">
        <f>TableB2!I72-TableB2!E72</f>
        <v>0</v>
      </c>
      <c r="J74" s="403">
        <f>TableB1b!G74+TableB1b!J74+TableB1b!L74</f>
        <v>20.92558</v>
      </c>
      <c r="K74" s="404">
        <v>-2.8540231194000003</v>
      </c>
      <c r="O74" s="758" t="e">
        <f>C74-D74-E74-K74</f>
        <v>#N/A</v>
      </c>
      <c r="P74" s="392">
        <f>E74-F74-G74-J74</f>
        <v>0</v>
      </c>
      <c r="Q74" s="392">
        <f>G74-H74-I74</f>
        <v>7.1054273576010019E-15</v>
      </c>
    </row>
    <row r="75" spans="1:17" ht="16" x14ac:dyDescent="0.2">
      <c r="A75" s="146"/>
      <c r="B75" s="1297" t="s">
        <v>92</v>
      </c>
      <c r="C75" s="406" t="e">
        <f t="shared" si="5"/>
        <v>#N/A</v>
      </c>
      <c r="D75" s="399" t="e">
        <v>#N/A</v>
      </c>
      <c r="E75" s="399">
        <f t="shared" si="10"/>
        <v>-0.57979007685009587</v>
      </c>
      <c r="F75" s="400">
        <f>TableB1b!K75</f>
        <v>0</v>
      </c>
      <c r="G75" s="407">
        <f>TableB2!G73-TableB2!C73</f>
        <v>-0.57979007685009587</v>
      </c>
      <c r="H75" s="401">
        <f>TableB2!H73+TableB2!J73-TableB2!D73-TableB2!F73</f>
        <v>-0.57979007685009587</v>
      </c>
      <c r="I75" s="402">
        <f>TableB2!I73-TableB2!E73</f>
        <v>0</v>
      </c>
      <c r="J75" s="403">
        <f>TableB1b!G75+TableB1b!J75+TableB1b!L75</f>
        <v>0</v>
      </c>
      <c r="K75" s="404" t="e">
        <v>#N/A</v>
      </c>
      <c r="O75" s="758"/>
      <c r="P75" s="392"/>
      <c r="Q75" s="392"/>
    </row>
    <row r="76" spans="1:17" ht="16" x14ac:dyDescent="0.2">
      <c r="A76" s="146"/>
      <c r="B76" s="1297" t="s">
        <v>93</v>
      </c>
      <c r="C76" s="406">
        <f t="shared" si="5"/>
        <v>-8.0513607922000006</v>
      </c>
      <c r="D76" s="399">
        <v>-10.9004712246</v>
      </c>
      <c r="E76" s="399">
        <f t="shared" si="10"/>
        <v>-0.53632502799999993</v>
      </c>
      <c r="F76" s="400">
        <f>TableB1b!K76</f>
        <v>0.22838600000000001</v>
      </c>
      <c r="G76" s="407">
        <f>TableB2!G74-TableB2!C74</f>
        <v>5.1541391299999961E-2</v>
      </c>
      <c r="H76" s="401">
        <f>TableB2!H74+TableB2!J74-TableB2!D74-TableB2!F74</f>
        <v>5.1541391299999934E-2</v>
      </c>
      <c r="I76" s="402">
        <f>TableB2!I74-TableB2!E74</f>
        <v>0</v>
      </c>
      <c r="J76" s="403">
        <f>TableB1b!G76+TableB1b!J76+TableB1b!L76</f>
        <v>-0.81625241929999992</v>
      </c>
      <c r="K76" s="404">
        <v>3.3854354604000001</v>
      </c>
      <c r="O76" s="758">
        <f>C76-D76-E76-K76</f>
        <v>0</v>
      </c>
      <c r="P76" s="392">
        <f>E76-F76-G76-J76</f>
        <v>0</v>
      </c>
      <c r="Q76" s="392">
        <f>G76-H76-I76</f>
        <v>2.7755575615628914E-17</v>
      </c>
    </row>
    <row r="77" spans="1:17" ht="16" x14ac:dyDescent="0.2">
      <c r="A77" s="146"/>
      <c r="B77" s="1297" t="s">
        <v>94</v>
      </c>
      <c r="C77" s="406" t="e">
        <f t="shared" ref="C77:C91" si="11">D77+E77+K77</f>
        <v>#N/A</v>
      </c>
      <c r="D77" s="399" t="e">
        <v>#N/A</v>
      </c>
      <c r="E77" s="399">
        <f t="shared" si="10"/>
        <v>1.7876512367491164</v>
      </c>
      <c r="F77" s="400">
        <f>TableB1b!K77</f>
        <v>0</v>
      </c>
      <c r="G77" s="407">
        <f>TableB2!G75-TableB2!C75</f>
        <v>1.7876512367491164</v>
      </c>
      <c r="H77" s="401">
        <f>TableB2!H75+TableB2!J75-TableB2!D75-TableB2!F75</f>
        <v>1.7876512367491164</v>
      </c>
      <c r="I77" s="402">
        <f>TableB2!I75-TableB2!E75</f>
        <v>0</v>
      </c>
      <c r="J77" s="403">
        <f>TableB1b!G77+TableB1b!J77+TableB1b!L77</f>
        <v>0</v>
      </c>
      <c r="K77" s="404" t="e">
        <v>#N/A</v>
      </c>
      <c r="O77" s="758"/>
      <c r="P77" s="392"/>
      <c r="Q77" s="392"/>
    </row>
    <row r="78" spans="1:17" ht="16" x14ac:dyDescent="0.2">
      <c r="A78" s="1004" t="s">
        <v>342</v>
      </c>
      <c r="B78" s="1297" t="s">
        <v>95</v>
      </c>
      <c r="C78" s="406" t="e">
        <f t="shared" si="11"/>
        <v>#N/A</v>
      </c>
      <c r="D78" s="399" t="e">
        <v>#N/A</v>
      </c>
      <c r="E78" s="399">
        <f t="shared" si="10"/>
        <v>-3.7243811860999996</v>
      </c>
      <c r="F78" s="400">
        <f>TableB1b!K78</f>
        <v>-0.24190600000000001</v>
      </c>
      <c r="G78" s="407">
        <f>TableB2!G76-TableB2!C76</f>
        <v>-6.3523999999999994</v>
      </c>
      <c r="H78" s="401">
        <f>TableB2!H76+TableB2!J76-TableB2!D76-TableB2!F76</f>
        <v>-6.3523999999999994</v>
      </c>
      <c r="I78" s="402">
        <f>TableB2!I76-TableB2!E76</f>
        <v>0</v>
      </c>
      <c r="J78" s="403">
        <f>TableB1b!G78+TableB1b!J78+TableB1b!L78</f>
        <v>2.8699248139</v>
      </c>
      <c r="K78" s="404">
        <v>-2.6313869786999997</v>
      </c>
      <c r="O78" s="758" t="e">
        <f>C78-D78-E78-K78</f>
        <v>#N/A</v>
      </c>
      <c r="P78" s="392">
        <f>E78-F78-G78-J78</f>
        <v>0</v>
      </c>
      <c r="Q78" s="392">
        <f>G78-H78-I78</f>
        <v>0</v>
      </c>
    </row>
    <row r="79" spans="1:17" ht="16" x14ac:dyDescent="0.2">
      <c r="A79" s="146"/>
      <c r="B79" s="1297" t="s">
        <v>96</v>
      </c>
      <c r="C79" s="406">
        <f t="shared" si="11"/>
        <v>1.3078159852703561</v>
      </c>
      <c r="D79" s="399">
        <v>0.82165718189999992</v>
      </c>
      <c r="E79" s="399">
        <f t="shared" si="10"/>
        <v>0.25530257497035613</v>
      </c>
      <c r="F79" s="400">
        <f>TableB1b!K79</f>
        <v>-3.8364299999999997E-2</v>
      </c>
      <c r="G79" s="407">
        <f>TableB2!G77-TableB2!C77</f>
        <v>-9.2496091507296434</v>
      </c>
      <c r="H79" s="401">
        <f>TableB2!H77+TableB2!J77-TableB2!D77-TableB2!F77</f>
        <v>-9.2496091507296434</v>
      </c>
      <c r="I79" s="402">
        <f>TableB2!I77-TableB2!E77</f>
        <v>0</v>
      </c>
      <c r="J79" s="403">
        <f>TableB1b!G79+TableB1b!J79+TableB1b!L79</f>
        <v>9.5432760256999991</v>
      </c>
      <c r="K79" s="404">
        <v>0.2308562284</v>
      </c>
      <c r="O79" s="758">
        <f>C79-D79-E79-K79</f>
        <v>0</v>
      </c>
      <c r="P79" s="392">
        <f>E79-F79-G79-J79</f>
        <v>0</v>
      </c>
      <c r="Q79" s="392">
        <f>G79-H79-I79</f>
        <v>0</v>
      </c>
    </row>
    <row r="80" spans="1:17" ht="16" x14ac:dyDescent="0.2">
      <c r="A80" s="146"/>
      <c r="B80" s="1297" t="s">
        <v>97</v>
      </c>
      <c r="C80" s="406" t="e">
        <f t="shared" si="11"/>
        <v>#N/A</v>
      </c>
      <c r="D80" s="399" t="e">
        <v>#N/A</v>
      </c>
      <c r="E80" s="399">
        <f t="shared" si="10"/>
        <v>0.28108196978038985</v>
      </c>
      <c r="F80" s="400">
        <f>TableB1b!K80</f>
        <v>0</v>
      </c>
      <c r="G80" s="407">
        <f>TableB2!G78-TableB2!C78</f>
        <v>0.28108196978038985</v>
      </c>
      <c r="H80" s="401">
        <f>TableB2!H78+TableB2!J78-TableB2!D78-TableB2!F78</f>
        <v>0.28108196978038985</v>
      </c>
      <c r="I80" s="402">
        <f>TableB2!I78-TableB2!E78</f>
        <v>0</v>
      </c>
      <c r="J80" s="403">
        <f>TableB1b!G80+TableB1b!J80+TableB1b!L80</f>
        <v>0</v>
      </c>
      <c r="K80" s="404" t="e">
        <v>#N/A</v>
      </c>
      <c r="O80" s="758"/>
      <c r="P80" s="392"/>
      <c r="Q80" s="392"/>
    </row>
    <row r="81" spans="1:17" ht="16" x14ac:dyDescent="0.2">
      <c r="A81" s="146"/>
      <c r="B81" s="1297" t="s">
        <v>98</v>
      </c>
      <c r="C81" s="406" t="e">
        <f t="shared" si="11"/>
        <v>#N/A</v>
      </c>
      <c r="D81" s="399" t="e">
        <v>#N/A</v>
      </c>
      <c r="E81" s="399">
        <f t="shared" si="10"/>
        <v>0</v>
      </c>
      <c r="F81" s="400">
        <f>TableB1b!K81</f>
        <v>0</v>
      </c>
      <c r="G81" s="407">
        <f>TableB2!G79-TableB2!C79</f>
        <v>0</v>
      </c>
      <c r="H81" s="401">
        <f>TableB2!H79+TableB2!J79-TableB2!D79-TableB2!F79</f>
        <v>0</v>
      </c>
      <c r="I81" s="402">
        <f>TableB2!I79-TableB2!E79</f>
        <v>0</v>
      </c>
      <c r="J81" s="403">
        <f>TableB1b!G81+TableB1b!J81+TableB1b!L81</f>
        <v>0</v>
      </c>
      <c r="K81" s="404" t="e">
        <v>#N/A</v>
      </c>
      <c r="O81" s="758"/>
      <c r="P81" s="392"/>
      <c r="Q81" s="392"/>
    </row>
    <row r="82" spans="1:17" ht="16" x14ac:dyDescent="0.2">
      <c r="A82" s="146"/>
      <c r="B82" s="1297" t="s">
        <v>99</v>
      </c>
      <c r="C82" s="406">
        <f t="shared" si="11"/>
        <v>1.1265953600000003E-2</v>
      </c>
      <c r="D82" s="399">
        <v>8.2435754200000003E-2</v>
      </c>
      <c r="E82" s="399">
        <f t="shared" si="10"/>
        <v>-1.6376504499999996E-2</v>
      </c>
      <c r="F82" s="400">
        <f>TableB1b!K82</f>
        <v>-3.6111699999999997E-2</v>
      </c>
      <c r="G82" s="407">
        <f>TableB2!G80-TableB2!C80</f>
        <v>-3.5217877E-3</v>
      </c>
      <c r="H82" s="401">
        <f>TableB2!H80+TableB2!J80-TableB2!D80-TableB2!F80</f>
        <v>-3.5217877E-3</v>
      </c>
      <c r="I82" s="402">
        <f>TableB2!I80-TableB2!E80</f>
        <v>0</v>
      </c>
      <c r="J82" s="403">
        <f>TableB1b!G82+TableB1b!J82+TableB1b!L82</f>
        <v>2.3256983200000001E-2</v>
      </c>
      <c r="K82" s="404">
        <v>-5.47932961E-2</v>
      </c>
      <c r="O82" s="758">
        <f t="shared" ref="O82:O88" si="12">C82-D82-E82-K82</f>
        <v>0</v>
      </c>
      <c r="P82" s="392">
        <f t="shared" ref="P82:P88" si="13">E82-F82-G82-J82</f>
        <v>0</v>
      </c>
      <c r="Q82" s="392">
        <f t="shared" ref="Q82:Q88" si="14">G82-H82-I82</f>
        <v>0</v>
      </c>
    </row>
    <row r="83" spans="1:17" ht="16" x14ac:dyDescent="0.2">
      <c r="A83" s="146"/>
      <c r="B83" s="1297" t="s">
        <v>100</v>
      </c>
      <c r="C83" s="406">
        <f t="shared" si="11"/>
        <v>-0.58751640589025933</v>
      </c>
      <c r="D83" s="399">
        <v>-1.2604900272000001</v>
      </c>
      <c r="E83" s="399">
        <f t="shared" si="10"/>
        <v>0.89874964850974082</v>
      </c>
      <c r="F83" s="400">
        <f>TableB1b!K83</f>
        <v>-5.8143641902599994E-3</v>
      </c>
      <c r="G83" s="407">
        <f>TableB2!G81-TableB2!C81</f>
        <v>-0.31856366779999945</v>
      </c>
      <c r="H83" s="401">
        <f>TableB2!H81+TableB2!J81-TableB2!D81-TableB2!F81</f>
        <v>-0.31856366779999967</v>
      </c>
      <c r="I83" s="402">
        <f>TableB2!I81-TableB2!E81</f>
        <v>0</v>
      </c>
      <c r="J83" s="403">
        <f>TableB1b!G83+TableB1b!J83+TableB1b!L83</f>
        <v>1.2231276805000002</v>
      </c>
      <c r="K83" s="404">
        <v>-0.22577602719999998</v>
      </c>
      <c r="O83" s="758">
        <f t="shared" si="12"/>
        <v>0</v>
      </c>
      <c r="P83" s="392">
        <f t="shared" si="13"/>
        <v>0</v>
      </c>
      <c r="Q83" s="392">
        <f t="shared" si="14"/>
        <v>2.2204460492503131E-16</v>
      </c>
    </row>
    <row r="84" spans="1:17" ht="16" x14ac:dyDescent="0.2">
      <c r="A84" s="146"/>
      <c r="B84" s="1297" t="s">
        <v>101</v>
      </c>
      <c r="C84" s="406">
        <f t="shared" si="11"/>
        <v>-0.25760984858000002</v>
      </c>
      <c r="D84" s="399">
        <v>-0.12379804920000001</v>
      </c>
      <c r="E84" s="399">
        <f t="shared" si="10"/>
        <v>-0.10680721618</v>
      </c>
      <c r="F84" s="400">
        <f>TableB1b!K84</f>
        <v>-1.50898E-2</v>
      </c>
      <c r="G84" s="407">
        <f>TableB2!G82-TableB2!C82</f>
        <v>-6.8115529979999992E-2</v>
      </c>
      <c r="H84" s="401">
        <f>TableB2!H82+TableB2!J82-TableB2!D82-TableB2!F82</f>
        <v>-6.8115529979999992E-2</v>
      </c>
      <c r="I84" s="402">
        <f>TableB2!I82-TableB2!E82</f>
        <v>0</v>
      </c>
      <c r="J84" s="403">
        <f>TableB1b!G84+TableB1b!J84+TableB1b!L84</f>
        <v>-2.3601886200000002E-2</v>
      </c>
      <c r="K84" s="404">
        <v>-2.7004583199999998E-2</v>
      </c>
      <c r="O84" s="758">
        <f t="shared" si="12"/>
        <v>0</v>
      </c>
      <c r="P84" s="392">
        <f t="shared" si="13"/>
        <v>0</v>
      </c>
      <c r="Q84" s="392">
        <f t="shared" si="14"/>
        <v>0</v>
      </c>
    </row>
    <row r="85" spans="1:17" ht="16" x14ac:dyDescent="0.2">
      <c r="A85" s="146"/>
      <c r="B85" s="1297" t="s">
        <v>102</v>
      </c>
      <c r="C85" s="406">
        <f t="shared" si="11"/>
        <v>54.266346320696478</v>
      </c>
      <c r="D85" s="399">
        <v>76.94164711869999</v>
      </c>
      <c r="E85" s="399">
        <f t="shared" si="10"/>
        <v>-12.696503496503503</v>
      </c>
      <c r="F85" s="400">
        <f>TableB1b!K85</f>
        <v>0</v>
      </c>
      <c r="G85" s="407">
        <f>TableB2!G83-TableB2!C83</f>
        <v>-45.636512043373877</v>
      </c>
      <c r="H85" s="401">
        <f>TableB2!H83+TableB2!J83-TableB2!D83-TableB2!F83</f>
        <v>-45.63651204337387</v>
      </c>
      <c r="I85" s="402">
        <f>TableB2!I83-TableB2!E83</f>
        <v>0</v>
      </c>
      <c r="J85" s="403">
        <f>TableB1b!G85+TableB1b!J85+TableB1b!L85</f>
        <v>32.940008546870374</v>
      </c>
      <c r="K85" s="404">
        <v>-9.9787973015000002</v>
      </c>
      <c r="O85" s="758">
        <f t="shared" si="12"/>
        <v>0</v>
      </c>
      <c r="P85" s="392">
        <f t="shared" si="13"/>
        <v>0</v>
      </c>
      <c r="Q85" s="392">
        <f t="shared" si="14"/>
        <v>-7.1054273576010019E-15</v>
      </c>
    </row>
    <row r="86" spans="1:17" ht="16" x14ac:dyDescent="0.2">
      <c r="A86" s="146"/>
      <c r="B86" s="1297" t="s">
        <v>103</v>
      </c>
      <c r="C86" s="406">
        <f t="shared" si="11"/>
        <v>-3.0000000000000003E-4</v>
      </c>
      <c r="D86" s="399">
        <v>0</v>
      </c>
      <c r="E86" s="399">
        <f t="shared" si="10"/>
        <v>-3.0000000000000003E-4</v>
      </c>
      <c r="F86" s="400">
        <f>TableB1b!K86</f>
        <v>0</v>
      </c>
      <c r="G86" s="407">
        <f>TableB2!G84-TableB2!C84</f>
        <v>-3.0000000000000003E-4</v>
      </c>
      <c r="H86" s="401">
        <f>TableB2!H84+TableB2!J84-TableB2!D84-TableB2!F84</f>
        <v>-3.0000000000000003E-4</v>
      </c>
      <c r="I86" s="402">
        <f>TableB2!I84-TableB2!E84</f>
        <v>0</v>
      </c>
      <c r="J86" s="403">
        <f>TableB1b!G86+TableB1b!J86+TableB1b!L86</f>
        <v>0</v>
      </c>
      <c r="K86" s="404">
        <v>0</v>
      </c>
      <c r="O86" s="758">
        <f t="shared" si="12"/>
        <v>0</v>
      </c>
      <c r="P86" s="392">
        <f t="shared" si="13"/>
        <v>0</v>
      </c>
      <c r="Q86" s="392">
        <f t="shared" si="14"/>
        <v>0</v>
      </c>
    </row>
    <row r="87" spans="1:17" ht="16" x14ac:dyDescent="0.2">
      <c r="A87" s="146"/>
      <c r="B87" s="1297" t="s">
        <v>104</v>
      </c>
      <c r="C87" s="406">
        <f t="shared" si="11"/>
        <v>-6.9400000000000003E-2</v>
      </c>
      <c r="D87" s="399">
        <v>0</v>
      </c>
      <c r="E87" s="399">
        <f t="shared" si="10"/>
        <v>-6.9400000000000003E-2</v>
      </c>
      <c r="F87" s="400">
        <f>TableB1b!K87</f>
        <v>0</v>
      </c>
      <c r="G87" s="407">
        <f>TableB2!G85-TableB2!C85</f>
        <v>-6.9400000000000003E-2</v>
      </c>
      <c r="H87" s="401">
        <f>TableB2!H85+TableB2!J85-TableB2!D85-TableB2!F85</f>
        <v>-6.9400000000000003E-2</v>
      </c>
      <c r="I87" s="402">
        <f>TableB2!I85-TableB2!E85</f>
        <v>0</v>
      </c>
      <c r="J87" s="403">
        <f>TableB1b!G87+TableB1b!J87+TableB1b!L87</f>
        <v>0</v>
      </c>
      <c r="K87" s="404">
        <v>0</v>
      </c>
      <c r="O87" s="758">
        <f t="shared" si="12"/>
        <v>0</v>
      </c>
      <c r="P87" s="392">
        <f t="shared" si="13"/>
        <v>0</v>
      </c>
      <c r="Q87" s="392">
        <f t="shared" si="14"/>
        <v>0</v>
      </c>
    </row>
    <row r="88" spans="1:17" ht="16" x14ac:dyDescent="0.2">
      <c r="A88" s="146"/>
      <c r="B88" s="1297" t="s">
        <v>105</v>
      </c>
      <c r="C88" s="406">
        <f t="shared" si="11"/>
        <v>-1.6300000000000002E-2</v>
      </c>
      <c r="D88" s="399">
        <v>0</v>
      </c>
      <c r="E88" s="399">
        <f t="shared" si="10"/>
        <v>-1.6300000000000002E-2</v>
      </c>
      <c r="F88" s="400">
        <f>TableB1b!K88</f>
        <v>0</v>
      </c>
      <c r="G88" s="407">
        <f>TableB2!G86-TableB2!C86</f>
        <v>-1.6300000000000002E-2</v>
      </c>
      <c r="H88" s="401">
        <f>TableB2!H86+TableB2!J86-TableB2!D86-TableB2!F86</f>
        <v>-1.6300000000000002E-2</v>
      </c>
      <c r="I88" s="402">
        <f>TableB2!I86-TableB2!E86</f>
        <v>0</v>
      </c>
      <c r="J88" s="403">
        <f>TableB1b!G88+TableB1b!J88+TableB1b!L88</f>
        <v>0</v>
      </c>
      <c r="K88" s="404">
        <v>0</v>
      </c>
      <c r="O88" s="758">
        <f t="shared" si="12"/>
        <v>0</v>
      </c>
      <c r="P88" s="392">
        <f t="shared" si="13"/>
        <v>0</v>
      </c>
      <c r="Q88" s="392">
        <f t="shared" si="14"/>
        <v>0</v>
      </c>
    </row>
    <row r="89" spans="1:17" ht="16" x14ac:dyDescent="0.2">
      <c r="A89" s="146"/>
      <c r="B89" s="1297" t="s">
        <v>106</v>
      </c>
      <c r="C89" s="406" t="e">
        <f t="shared" si="11"/>
        <v>#N/A</v>
      </c>
      <c r="D89" s="399" t="e">
        <v>#N/A</v>
      </c>
      <c r="E89" s="399">
        <f t="shared" si="10"/>
        <v>0</v>
      </c>
      <c r="F89" s="400">
        <f>TableB1b!K89</f>
        <v>0</v>
      </c>
      <c r="G89" s="407">
        <f>TableB2!G87-TableB2!C87</f>
        <v>0</v>
      </c>
      <c r="H89" s="401">
        <f>TableB2!H87+TableB2!J87-TableB2!D87-TableB2!F87</f>
        <v>0</v>
      </c>
      <c r="I89" s="402">
        <f>TableB2!I87-TableB2!E87</f>
        <v>0</v>
      </c>
      <c r="J89" s="403">
        <f>TableB1b!G89+TableB1b!J89+TableB1b!L89</f>
        <v>0</v>
      </c>
      <c r="K89" s="404" t="e">
        <v>#N/A</v>
      </c>
      <c r="O89" s="758"/>
      <c r="P89" s="392"/>
      <c r="Q89" s="392"/>
    </row>
    <row r="90" spans="1:17" ht="16" x14ac:dyDescent="0.2">
      <c r="A90" s="146"/>
      <c r="B90" s="1297" t="s">
        <v>107</v>
      </c>
      <c r="C90" s="406">
        <f t="shared" si="11"/>
        <v>-3.2609818939811026</v>
      </c>
      <c r="D90" s="399">
        <v>0.95050000000000001</v>
      </c>
      <c r="E90" s="399">
        <f t="shared" si="10"/>
        <v>-4.1054818939811026</v>
      </c>
      <c r="F90" s="400">
        <f>TableB1b!K90</f>
        <v>8.4199999999999997E-2</v>
      </c>
      <c r="G90" s="407">
        <f>TableB2!G88-TableB2!C88</f>
        <v>-3.3522818939811025</v>
      </c>
      <c r="H90" s="401">
        <f>TableB2!H88+TableB2!J88-TableB2!D88-TableB2!F88</f>
        <v>-3.352281893981103</v>
      </c>
      <c r="I90" s="402">
        <f>TableB2!I88-TableB2!E88</f>
        <v>0</v>
      </c>
      <c r="J90" s="403">
        <f>TableB1b!G90+TableB1b!J90+TableB1b!L90</f>
        <v>-0.83739999999999992</v>
      </c>
      <c r="K90" s="404">
        <v>-0.106</v>
      </c>
      <c r="O90" s="758">
        <f>C90-D90-E90-K90</f>
        <v>1.2490009027033011E-16</v>
      </c>
      <c r="P90" s="392">
        <f>E90-F90-G90-J90</f>
        <v>0</v>
      </c>
      <c r="Q90" s="392">
        <f>G90-H90-I90</f>
        <v>4.4408920985006262E-16</v>
      </c>
    </row>
    <row r="91" spans="1:17" ht="16" x14ac:dyDescent="0.2">
      <c r="A91" s="146"/>
      <c r="B91" s="1297" t="s">
        <v>108</v>
      </c>
      <c r="C91" s="406" t="e">
        <f t="shared" si="11"/>
        <v>#N/A</v>
      </c>
      <c r="D91" s="399">
        <v>24.823500000000013</v>
      </c>
      <c r="E91" s="399">
        <f t="shared" si="10"/>
        <v>-34.773400000000002</v>
      </c>
      <c r="F91" s="400">
        <f>TableB1b!K91</f>
        <v>0</v>
      </c>
      <c r="G91" s="407">
        <f>TableB2!G89-TableB2!C89</f>
        <v>-34.773400000000002</v>
      </c>
      <c r="H91" s="401">
        <f>TableB2!H89+TableB2!J89-TableB2!D89-TableB2!F89</f>
        <v>-34.773400000000002</v>
      </c>
      <c r="I91" s="402">
        <f>TableB2!I89-TableB2!E89</f>
        <v>0</v>
      </c>
      <c r="J91" s="403">
        <f>TableB1b!G91+TableB1b!J91+TableB1b!L91</f>
        <v>0</v>
      </c>
      <c r="K91" s="404" t="e">
        <v>#N/A</v>
      </c>
      <c r="O91" s="758" t="e">
        <f>C91-D91-E91-K91</f>
        <v>#N/A</v>
      </c>
      <c r="P91" s="392">
        <f>E91-F91-G91-J91</f>
        <v>0</v>
      </c>
      <c r="Q91" s="392">
        <f>G91-H91-I91</f>
        <v>0</v>
      </c>
    </row>
    <row r="92" spans="1:17" ht="40" customHeight="1" x14ac:dyDescent="0.15">
      <c r="B92" s="1300" t="s">
        <v>343</v>
      </c>
      <c r="C92" s="1301">
        <f t="shared" ref="C92:J92" si="15">C93-SUMIF(C12:C91,"&gt;-999999999")</f>
        <v>-76.541550216678445</v>
      </c>
      <c r="D92" s="1302">
        <f t="shared" si="15"/>
        <v>-112.86052783530079</v>
      </c>
      <c r="E92" s="1302">
        <f t="shared" si="15"/>
        <v>-69.507708022451141</v>
      </c>
      <c r="F92" s="1303">
        <f t="shared" si="15"/>
        <v>39.321214885515658</v>
      </c>
      <c r="G92" s="1302">
        <f t="shared" si="15"/>
        <v>7.7908401738035309</v>
      </c>
      <c r="H92" s="1800">
        <f t="shared" si="15"/>
        <v>-5.4151202705692754</v>
      </c>
      <c r="I92" s="1304">
        <f t="shared" si="15"/>
        <v>13.168994003441536</v>
      </c>
      <c r="J92" s="1305">
        <f t="shared" si="15"/>
        <v>-116.61976308177037</v>
      </c>
      <c r="K92" s="1306">
        <f>+C92-D92-E92</f>
        <v>105.82668564107348</v>
      </c>
      <c r="O92" s="758">
        <f>C92-D92-E92-K92</f>
        <v>0</v>
      </c>
      <c r="P92" s="392">
        <f>E92-F92-G92-J92</f>
        <v>0</v>
      </c>
      <c r="Q92" s="392">
        <f>G92-H92-I92</f>
        <v>3.6966440931269773E-2</v>
      </c>
    </row>
    <row r="93" spans="1:17" ht="40" customHeight="1" thickBot="1" x14ac:dyDescent="0.2">
      <c r="B93" s="263" t="s">
        <v>344</v>
      </c>
      <c r="C93" s="773">
        <f>+TableB9!N54</f>
        <v>280.09199999999998</v>
      </c>
      <c r="D93" s="774">
        <f>+TableB9!O54+TableB9!P54</f>
        <v>511.7559999999994</v>
      </c>
      <c r="E93" s="774">
        <f>+TableB9!Q54</f>
        <v>-64.93100000000004</v>
      </c>
      <c r="F93" s="775">
        <f>+TableB9!R54</f>
        <v>47.7</v>
      </c>
      <c r="G93" s="774">
        <f>+TableB9!S54</f>
        <v>187.024</v>
      </c>
      <c r="H93" s="776">
        <f>+TableB9!T54</f>
        <v>203.279</v>
      </c>
      <c r="I93" s="777">
        <f>+G93-H93</f>
        <v>-16.254999999999995</v>
      </c>
      <c r="J93" s="778">
        <f>+E93-G93-F93</f>
        <v>-299.65500000000003</v>
      </c>
      <c r="K93" s="779">
        <f>+C93-D93-E93</f>
        <v>-166.73299999999938</v>
      </c>
      <c r="O93" s="758">
        <f>C93-D93-E93-K93</f>
        <v>0</v>
      </c>
      <c r="P93" s="392">
        <f>E93-F93-G93-J93</f>
        <v>0</v>
      </c>
      <c r="Q93" s="392">
        <f>G93-H93-I93</f>
        <v>0</v>
      </c>
    </row>
    <row r="94" spans="1:17" ht="14" thickTop="1" x14ac:dyDescent="0.15"/>
    <row r="95" spans="1:17" ht="14" thickBot="1" x14ac:dyDescent="0.2">
      <c r="J95" s="392"/>
      <c r="K95" s="392"/>
    </row>
    <row r="96" spans="1:17" x14ac:dyDescent="0.15">
      <c r="B96" s="2128" t="s">
        <v>345</v>
      </c>
      <c r="C96" s="2129"/>
      <c r="D96" s="2129"/>
      <c r="E96" s="2129"/>
      <c r="F96" s="2129"/>
      <c r="G96" s="2129"/>
      <c r="H96" s="2129"/>
      <c r="I96" s="2129"/>
      <c r="J96" s="2129"/>
      <c r="K96" s="2130"/>
    </row>
    <row r="97" spans="2:11" ht="14" thickBot="1" x14ac:dyDescent="0.2">
      <c r="B97" s="2131"/>
      <c r="C97" s="2132"/>
      <c r="D97" s="2132"/>
      <c r="E97" s="2132"/>
      <c r="F97" s="2132"/>
      <c r="G97" s="2132"/>
      <c r="H97" s="2132"/>
      <c r="I97" s="2132"/>
      <c r="J97" s="2132"/>
      <c r="K97" s="2133"/>
    </row>
  </sheetData>
  <mergeCells count="10">
    <mergeCell ref="B96:K97"/>
    <mergeCell ref="B4:K4"/>
    <mergeCell ref="C8:C10"/>
    <mergeCell ref="D8:D10"/>
    <mergeCell ref="E8:E10"/>
    <mergeCell ref="K8:K10"/>
    <mergeCell ref="F9:F10"/>
    <mergeCell ref="G9:G10"/>
    <mergeCell ref="J9:J10"/>
    <mergeCell ref="C7:K7"/>
  </mergeCells>
  <phoneticPr fontId="36" type="noConversion"/>
  <conditionalFormatting sqref="C12:K91">
    <cfRule type="cellIs" dxfId="20" priority="7" operator="greaterThan">
      <formula>-999999999999999000</formula>
    </cfRule>
  </conditionalFormatting>
  <conditionalFormatting sqref="C93:H93">
    <cfRule type="cellIs" dxfId="19" priority="6" operator="greaterThan">
      <formula>-999999999999999000</formula>
    </cfRule>
  </conditionalFormatting>
  <conditionalFormatting sqref="K93">
    <cfRule type="cellIs" dxfId="18" priority="5" operator="greaterThan">
      <formula>-999999999999999000</formula>
    </cfRule>
  </conditionalFormatting>
  <conditionalFormatting sqref="J93">
    <cfRule type="cellIs" dxfId="17" priority="4" operator="greaterThan">
      <formula>-999999999999999000</formula>
    </cfRule>
  </conditionalFormatting>
  <conditionalFormatting sqref="I93">
    <cfRule type="cellIs" dxfId="16" priority="3" operator="greaterThan">
      <formula>-999999999999999000</formula>
    </cfRule>
  </conditionalFormatting>
  <conditionalFormatting sqref="C92:J92">
    <cfRule type="cellIs" dxfId="15" priority="2" operator="greaterThan">
      <formula>-999999999999999000</formula>
    </cfRule>
  </conditionalFormatting>
  <conditionalFormatting sqref="K92">
    <cfRule type="cellIs" dxfId="14" priority="1" operator="greaterThan">
      <formula>-999999999999999000</formula>
    </cfRule>
  </conditionalFormatting>
  <hyperlinks>
    <hyperlink ref="B48" r:id="rId1" display="  Brazil" xr:uid="{00000000-0004-0000-0F00-000000000000}"/>
    <hyperlink ref="B54" r:id="rId2" tooltip="Click once to display linked information. Click and hold to select this cell." display="  South Africa" xr:uid="{00000000-0004-0000-0F00-000001000000}"/>
    <hyperlink ref="B53" r:id="rId3" tooltip="Click once to display linked information. Click and hold to select this cell." display="  Russia" xr:uid="{00000000-0004-0000-0F00-000002000000}"/>
    <hyperlink ref="B52" r:id="rId4" tooltip="Click once to display linked information. Click and hold to select this cell." display="  India" xr:uid="{00000000-0004-0000-0F00-000003000000}"/>
  </hyperlinks>
  <pageMargins left="0.7" right="0.7" top="0.75" bottom="0.75" header="0.3" footer="0.3"/>
  <pageSetup scale="63" fitToHeight="2" orientation="portrait" horizontalDpi="4294967292" verticalDpi="4294967292"/>
  <extLst>
    <ext xmlns:mx="http://schemas.microsoft.com/office/mac/excel/2008/main" uri="{64002731-A6B0-56B0-2670-7721B7C09600}">
      <mx:PLV Mode="0" OnePage="0" WScale="10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Q92"/>
  <sheetViews>
    <sheetView workbookViewId="0">
      <pane xSplit="1" ySplit="11" topLeftCell="B79" activePane="bottomRight" state="frozen"/>
      <selection pane="topRight" activeCell="B1" sqref="B1"/>
      <selection pane="bottomLeft" activeCell="A13" sqref="A13"/>
      <selection pane="bottomRight" activeCell="A4" sqref="A4:Q91"/>
    </sheetView>
  </sheetViews>
  <sheetFormatPr baseColWidth="10" defaultColWidth="7.6640625" defaultRowHeight="15" x14ac:dyDescent="0.2"/>
  <cols>
    <col min="1" max="1" width="19.83203125" style="434" customWidth="1"/>
    <col min="2" max="17" width="11.6640625" style="434" customWidth="1"/>
    <col min="18" max="26" width="7.6640625" style="434"/>
    <col min="27" max="27" width="16.5" style="434" bestFit="1" customWidth="1"/>
    <col min="28" max="28" width="17.33203125" style="434" bestFit="1" customWidth="1"/>
    <col min="29" max="29" width="16.5" style="434" bestFit="1" customWidth="1"/>
    <col min="30" max="16384" width="7.6640625" style="434"/>
  </cols>
  <sheetData>
    <row r="1" spans="1:17" x14ac:dyDescent="0.2">
      <c r="G1" s="494"/>
    </row>
    <row r="3" spans="1:17" ht="16" thickBot="1" x14ac:dyDescent="0.25"/>
    <row r="4" spans="1:17" ht="33" customHeight="1" thickTop="1" x14ac:dyDescent="0.2">
      <c r="A4" s="1934" t="s">
        <v>346</v>
      </c>
      <c r="B4" s="1935"/>
      <c r="C4" s="1935"/>
      <c r="D4" s="1935"/>
      <c r="E4" s="1935"/>
      <c r="F4" s="1935"/>
      <c r="G4" s="1935"/>
      <c r="H4" s="1935"/>
      <c r="I4" s="1935"/>
      <c r="J4" s="1935"/>
      <c r="K4" s="1935"/>
      <c r="L4" s="1935"/>
      <c r="M4" s="1935"/>
      <c r="N4" s="1935"/>
      <c r="O4" s="1935"/>
      <c r="P4" s="1935"/>
      <c r="Q4" s="498"/>
    </row>
    <row r="5" spans="1:17" ht="20" x14ac:dyDescent="0.2">
      <c r="A5" s="4"/>
      <c r="B5" s="620"/>
      <c r="C5" s="620"/>
      <c r="D5" s="620"/>
      <c r="E5" s="620"/>
      <c r="F5" s="620"/>
      <c r="G5" s="620"/>
      <c r="H5" s="620"/>
      <c r="I5" s="620"/>
      <c r="J5" s="620"/>
      <c r="K5" s="620"/>
      <c r="L5" s="620"/>
      <c r="M5" s="620"/>
      <c r="N5" s="620"/>
      <c r="O5" s="620"/>
      <c r="P5" s="620"/>
      <c r="Q5" s="454"/>
    </row>
    <row r="6" spans="1:17" ht="20" x14ac:dyDescent="0.2">
      <c r="A6" s="4"/>
      <c r="B6" s="1307" t="s">
        <v>1</v>
      </c>
      <c r="C6" s="1307" t="s">
        <v>2</v>
      </c>
      <c r="D6" s="1307" t="s">
        <v>3</v>
      </c>
      <c r="E6" s="1307" t="s">
        <v>4</v>
      </c>
      <c r="F6" s="1307" t="s">
        <v>5</v>
      </c>
      <c r="G6" s="1307" t="s">
        <v>6</v>
      </c>
      <c r="H6" s="1307" t="s">
        <v>7</v>
      </c>
      <c r="I6" s="1307" t="s">
        <v>8</v>
      </c>
      <c r="J6" s="1307" t="s">
        <v>9</v>
      </c>
      <c r="K6" s="1307" t="s">
        <v>10</v>
      </c>
      <c r="L6" s="1307" t="s">
        <v>11</v>
      </c>
      <c r="M6" s="1307" t="s">
        <v>12</v>
      </c>
      <c r="N6" s="3" t="s">
        <v>13</v>
      </c>
      <c r="O6" s="3" t="s">
        <v>177</v>
      </c>
      <c r="P6" s="3" t="s">
        <v>178</v>
      </c>
      <c r="Q6" s="499" t="s">
        <v>179</v>
      </c>
    </row>
    <row r="7" spans="1:17" ht="16" x14ac:dyDescent="0.2">
      <c r="A7" s="1297"/>
      <c r="B7" s="2150" t="s">
        <v>136</v>
      </c>
      <c r="C7" s="2151"/>
      <c r="D7" s="2151"/>
      <c r="E7" s="2151"/>
      <c r="F7" s="2151"/>
      <c r="G7" s="2151"/>
      <c r="H7" s="2151"/>
      <c r="I7" s="2151"/>
      <c r="J7" s="2151"/>
      <c r="K7" s="2151"/>
      <c r="L7" s="2151"/>
      <c r="M7" s="2158"/>
      <c r="N7" s="2150" t="s">
        <v>347</v>
      </c>
      <c r="O7" s="2151"/>
      <c r="P7" s="2151"/>
      <c r="Q7" s="2152"/>
    </row>
    <row r="8" spans="1:17" ht="15" customHeight="1" x14ac:dyDescent="0.2">
      <c r="A8" s="1297"/>
      <c r="B8" s="2170" t="s">
        <v>348</v>
      </c>
      <c r="C8" s="2172" t="s">
        <v>349</v>
      </c>
      <c r="D8" s="462"/>
      <c r="E8" s="450"/>
      <c r="F8" s="450"/>
      <c r="G8" s="450"/>
      <c r="H8" s="450"/>
      <c r="I8" s="450"/>
      <c r="J8" s="450"/>
      <c r="K8" s="2165" t="s">
        <v>125</v>
      </c>
      <c r="L8" s="2167" t="s">
        <v>350</v>
      </c>
      <c r="M8" s="2169" t="s">
        <v>351</v>
      </c>
      <c r="N8" s="2159" t="s">
        <v>352</v>
      </c>
      <c r="O8" s="2137" t="s">
        <v>353</v>
      </c>
      <c r="P8" s="2137" t="s">
        <v>354</v>
      </c>
      <c r="Q8" s="2149" t="s">
        <v>355</v>
      </c>
    </row>
    <row r="9" spans="1:17" ht="15" customHeight="1" thickBot="1" x14ac:dyDescent="0.25">
      <c r="A9" s="395"/>
      <c r="B9" s="2171"/>
      <c r="C9" s="2173"/>
      <c r="D9" s="2137" t="s">
        <v>356</v>
      </c>
      <c r="E9" s="1844"/>
      <c r="F9" s="1844"/>
      <c r="G9" s="2160" t="s">
        <v>357</v>
      </c>
      <c r="H9" s="1844"/>
      <c r="I9" s="1844"/>
      <c r="J9" s="2137" t="s">
        <v>358</v>
      </c>
      <c r="K9" s="2166"/>
      <c r="L9" s="2168"/>
      <c r="M9" s="2169"/>
      <c r="N9" s="2159"/>
      <c r="O9" s="2137"/>
      <c r="P9" s="2137"/>
      <c r="Q9" s="2149"/>
    </row>
    <row r="10" spans="1:17" ht="16" customHeight="1" x14ac:dyDescent="0.2">
      <c r="A10" s="396"/>
      <c r="B10" s="2171"/>
      <c r="C10" s="2173"/>
      <c r="D10" s="2153"/>
      <c r="E10" s="2154" t="s">
        <v>334</v>
      </c>
      <c r="F10" s="2156" t="s">
        <v>335</v>
      </c>
      <c r="G10" s="2160"/>
      <c r="H10" s="2161" t="s">
        <v>359</v>
      </c>
      <c r="I10" s="2163" t="s">
        <v>360</v>
      </c>
      <c r="J10" s="2137"/>
      <c r="K10" s="2166"/>
      <c r="L10" s="2168"/>
      <c r="M10" s="2169"/>
      <c r="N10" s="2159"/>
      <c r="O10" s="2137"/>
      <c r="P10" s="2137"/>
      <c r="Q10" s="2149"/>
    </row>
    <row r="11" spans="1:17" ht="46" customHeight="1" x14ac:dyDescent="0.2">
      <c r="A11" s="395"/>
      <c r="B11" s="2171"/>
      <c r="C11" s="2173"/>
      <c r="D11" s="2153"/>
      <c r="E11" s="2155"/>
      <c r="F11" s="2157"/>
      <c r="G11" s="2160"/>
      <c r="H11" s="2162"/>
      <c r="I11" s="2164"/>
      <c r="J11" s="2137"/>
      <c r="K11" s="2166"/>
      <c r="L11" s="2168"/>
      <c r="M11" s="2169"/>
      <c r="N11" s="2159"/>
      <c r="O11" s="2137"/>
      <c r="P11" s="2137"/>
      <c r="Q11" s="2149"/>
    </row>
    <row r="12" spans="1:17" ht="16" x14ac:dyDescent="0.2">
      <c r="A12" s="1308" t="s">
        <v>29</v>
      </c>
      <c r="B12" s="467">
        <f t="shared" ref="B12:B46" si="0">C12+K12+L12</f>
        <v>-29.518415384082896</v>
      </c>
      <c r="C12" s="468">
        <f t="shared" ref="C12:C46" si="1">D12+G12+J12</f>
        <v>-26.959686351682898</v>
      </c>
      <c r="D12" s="469">
        <f>E12+F12</f>
        <v>-10.5875723194829</v>
      </c>
      <c r="E12" s="470">
        <f>TableB2!H10+TableB2!J10-TableB2!D10-TableB2!F10</f>
        <v>-6.7292809377112004</v>
      </c>
      <c r="F12" s="469">
        <f>TableB2!I10-TableB2!E10</f>
        <v>-3.8582913817716999</v>
      </c>
      <c r="G12" s="500">
        <f>IFERROR(H12+I12,0)</f>
        <v>-14.591359642199999</v>
      </c>
      <c r="H12" s="470">
        <v>-2.5402093093000002</v>
      </c>
      <c r="I12" s="471">
        <v>-12.051150332899999</v>
      </c>
      <c r="J12" s="472">
        <v>-1.78075439</v>
      </c>
      <c r="K12" s="473">
        <v>-2.8967800000000001</v>
      </c>
      <c r="L12" s="474">
        <v>0.33805096760000003</v>
      </c>
      <c r="M12" s="475">
        <f>TableA1!B10-TableA1!M10+B12</f>
        <v>975.05377733015882</v>
      </c>
      <c r="N12" s="476">
        <f>(F12)/M12</f>
        <v>-3.9570036765933783E-3</v>
      </c>
      <c r="O12" s="477">
        <f>(E12)/M12</f>
        <v>-6.9014459449990182E-3</v>
      </c>
      <c r="P12" s="477">
        <f>TableB1!D12/M12</f>
        <v>-2.8190875515671721E-2</v>
      </c>
      <c r="Q12" s="1309">
        <f t="shared" ref="Q12:Q46" si="2">B12/M12</f>
        <v>-3.0273628050453458E-2</v>
      </c>
    </row>
    <row r="13" spans="1:17" ht="16" x14ac:dyDescent="0.2">
      <c r="A13" s="1297" t="s">
        <v>30</v>
      </c>
      <c r="B13" s="458">
        <f t="shared" si="0"/>
        <v>-2.6726777348455593</v>
      </c>
      <c r="C13" s="1310">
        <f t="shared" si="1"/>
        <v>-2.7307609181455592</v>
      </c>
      <c r="D13" s="451">
        <f t="shared" ref="D13:D46" si="3">E13+F13</f>
        <v>1.0904048807544413</v>
      </c>
      <c r="E13" s="401">
        <f>TableB2!H11+TableB2!J11-TableB2!D11-TableB2!F11</f>
        <v>1.1558513588465011</v>
      </c>
      <c r="F13" s="451">
        <f>TableB2!I11-TableB2!E11</f>
        <v>-6.5446478092059945E-2</v>
      </c>
      <c r="G13" s="400">
        <f t="shared" ref="G13:G54" si="4">IFERROR(H13+I13,0)</f>
        <v>-3.6269865039000004</v>
      </c>
      <c r="H13" s="401">
        <v>1.0610486473</v>
      </c>
      <c r="I13" s="461">
        <v>-4.6880351512000003</v>
      </c>
      <c r="J13" s="399">
        <v>-0.194179295</v>
      </c>
      <c r="K13" s="463">
        <v>-0.48529899999999998</v>
      </c>
      <c r="L13" s="464">
        <v>0.54338218329999999</v>
      </c>
      <c r="M13" s="452">
        <f>TableA1!B11-TableA1!M11+B13</f>
        <v>310.85072745492135</v>
      </c>
      <c r="N13" s="455">
        <f t="shared" ref="N13:N76" si="5">(F13)/M13</f>
        <v>-2.1053989040945964E-4</v>
      </c>
      <c r="O13" s="453">
        <f t="shared" ref="O13:O76" si="6">(E13)/M13</f>
        <v>3.7183485729951177E-3</v>
      </c>
      <c r="P13" s="453">
        <f>TableB1!D13/M13</f>
        <v>4.1304807969484214E-2</v>
      </c>
      <c r="Q13" s="1311">
        <f t="shared" si="2"/>
        <v>-8.5979458910326757E-3</v>
      </c>
    </row>
    <row r="14" spans="1:17" ht="16" x14ac:dyDescent="0.2">
      <c r="A14" s="1297" t="s">
        <v>31</v>
      </c>
      <c r="B14" s="458">
        <f t="shared" si="0"/>
        <v>4.3240763362043189E-2</v>
      </c>
      <c r="C14" s="1310">
        <f t="shared" si="1"/>
        <v>-5.7951812021379565</v>
      </c>
      <c r="D14" s="451">
        <f t="shared" si="3"/>
        <v>-6.8108707709379566</v>
      </c>
      <c r="E14" s="401">
        <f>TableB2!H12+TableB2!J12-TableB2!D12-TableB2!F12</f>
        <v>-12.627842484748356</v>
      </c>
      <c r="F14" s="451">
        <f>TableB2!I12-TableB2!E12</f>
        <v>5.8169717138103998</v>
      </c>
      <c r="G14" s="400">
        <f t="shared" si="4"/>
        <v>1.5217639961</v>
      </c>
      <c r="H14" s="401">
        <v>1.2458868175</v>
      </c>
      <c r="I14" s="461">
        <v>0.27587717860000005</v>
      </c>
      <c r="J14" s="399">
        <v>-0.50607442729999996</v>
      </c>
      <c r="K14" s="463">
        <v>6.4764299999999997</v>
      </c>
      <c r="L14" s="464">
        <v>-0.63800803449999999</v>
      </c>
      <c r="M14" s="452">
        <f>TableA1!B12-TableA1!M12+B14</f>
        <v>367.156417696105</v>
      </c>
      <c r="N14" s="455">
        <f t="shared" si="5"/>
        <v>1.5843306649279659E-2</v>
      </c>
      <c r="O14" s="453">
        <f t="shared" si="6"/>
        <v>-3.4393631368308017E-2</v>
      </c>
      <c r="P14" s="453">
        <f>TableB1!D14/M14</f>
        <v>2.8052915120838608E-2</v>
      </c>
      <c r="Q14" s="1311">
        <f t="shared" si="2"/>
        <v>1.1777204830948515E-4</v>
      </c>
    </row>
    <row r="15" spans="1:17" ht="16" x14ac:dyDescent="0.2">
      <c r="A15" s="1297" t="s">
        <v>32</v>
      </c>
      <c r="B15" s="458">
        <f t="shared" si="0"/>
        <v>-14.143957122551599</v>
      </c>
      <c r="C15" s="1310">
        <f t="shared" si="1"/>
        <v>-12.608767122551599</v>
      </c>
      <c r="D15" s="451">
        <f t="shared" si="3"/>
        <v>5.5487757177484003</v>
      </c>
      <c r="E15" s="401">
        <f>TableB2!H13+TableB2!J13-TableB2!D13-TableB2!F13</f>
        <v>5.3641555190470012</v>
      </c>
      <c r="F15" s="451">
        <f>TableB2!I13-TableB2!E13</f>
        <v>0.18462019870139956</v>
      </c>
      <c r="G15" s="400">
        <f t="shared" si="4"/>
        <v>-17.4844449406</v>
      </c>
      <c r="H15" s="401">
        <v>4.8758243471</v>
      </c>
      <c r="I15" s="461">
        <v>-22.3602692877</v>
      </c>
      <c r="J15" s="399">
        <v>-0.6730978997</v>
      </c>
      <c r="K15" s="463">
        <v>-1.5351900000000001</v>
      </c>
      <c r="L15" s="464">
        <v>0</v>
      </c>
      <c r="M15" s="452">
        <f>TableA1!B13-TableA1!M13+B15</f>
        <v>1278.741341736488</v>
      </c>
      <c r="N15" s="455">
        <f t="shared" si="5"/>
        <v>1.4437649951216209E-4</v>
      </c>
      <c r="O15" s="453">
        <f t="shared" si="6"/>
        <v>4.194871428621098E-3</v>
      </c>
      <c r="P15" s="453">
        <f>TableB1!D15/M15</f>
        <v>-2.9185777172824681E-2</v>
      </c>
      <c r="Q15" s="1311">
        <f t="shared" si="2"/>
        <v>-1.1060842924922236E-2</v>
      </c>
    </row>
    <row r="16" spans="1:17" ht="16" x14ac:dyDescent="0.2">
      <c r="A16" s="1297" t="s">
        <v>33</v>
      </c>
      <c r="B16" s="458">
        <f t="shared" si="0"/>
        <v>-6.5757078686947308</v>
      </c>
      <c r="C16" s="1310">
        <f t="shared" si="1"/>
        <v>-6.3847368686947306</v>
      </c>
      <c r="D16" s="451">
        <f t="shared" si="3"/>
        <v>-6.3508948686947297</v>
      </c>
      <c r="E16" s="401">
        <f>TableB2!H14+TableB2!J14-TableB2!D14-TableB2!F14</f>
        <v>-4.7134820799641899</v>
      </c>
      <c r="F16" s="451">
        <f>TableB2!I14-TableB2!E14</f>
        <v>-1.6374127887305399</v>
      </c>
      <c r="G16" s="400">
        <f t="shared" si="4"/>
        <v>0.17790501599999997</v>
      </c>
      <c r="H16" s="401">
        <v>1.7092656159999999</v>
      </c>
      <c r="I16" s="461">
        <v>-1.5313606</v>
      </c>
      <c r="J16" s="399">
        <v>-0.21174701600000001</v>
      </c>
      <c r="K16" s="463">
        <v>-0.190971</v>
      </c>
      <c r="L16" s="464">
        <v>0</v>
      </c>
      <c r="M16" s="452">
        <f>TableA1!B14-TableA1!M14+B16</f>
        <v>187.47361197091911</v>
      </c>
      <c r="N16" s="455">
        <f t="shared" si="5"/>
        <v>-8.7340974098505941E-3</v>
      </c>
      <c r="O16" s="453">
        <f t="shared" si="6"/>
        <v>-2.5142109496964004E-2</v>
      </c>
      <c r="P16" s="453">
        <f>TableB1!D16/M16</f>
        <v>2.5319558417300435E-4</v>
      </c>
      <c r="Q16" s="1311">
        <f t="shared" si="2"/>
        <v>-3.5075378340258118E-2</v>
      </c>
    </row>
    <row r="17" spans="1:17" ht="16" x14ac:dyDescent="0.2">
      <c r="A17" s="1297" t="s">
        <v>34</v>
      </c>
      <c r="B17" s="458">
        <f t="shared" si="0"/>
        <v>-11.05827771126047</v>
      </c>
      <c r="C17" s="1310">
        <f t="shared" si="1"/>
        <v>-13.264963967360471</v>
      </c>
      <c r="D17" s="451">
        <f t="shared" si="3"/>
        <v>-12.612613345260471</v>
      </c>
      <c r="E17" s="401">
        <f>TableB2!H15+TableB2!J15-TableB2!D15-TableB2!F15</f>
        <v>-12.141259708046629</v>
      </c>
      <c r="F17" s="451">
        <f>TableB2!I15-TableB2!E15</f>
        <v>-0.47135363721384216</v>
      </c>
      <c r="G17" s="400">
        <f t="shared" si="4"/>
        <v>-0.9642354756</v>
      </c>
      <c r="H17" s="401">
        <v>-0.34563953010000004</v>
      </c>
      <c r="I17" s="461">
        <v>-0.61859594549999997</v>
      </c>
      <c r="J17" s="399">
        <v>0.3118848535</v>
      </c>
      <c r="K17" s="463">
        <v>1.1957899999999999</v>
      </c>
      <c r="L17" s="464">
        <v>1.0108962561000001</v>
      </c>
      <c r="M17" s="452">
        <f>TableA1!B15-TableA1!M15+B17</f>
        <v>136.38848279486282</v>
      </c>
      <c r="N17" s="455">
        <f t="shared" si="5"/>
        <v>-3.4559636382405453E-3</v>
      </c>
      <c r="O17" s="453">
        <f t="shared" si="6"/>
        <v>-8.9019684501570967E-2</v>
      </c>
      <c r="P17" s="453">
        <f>TableB1!D17/M17</f>
        <v>7.931038452835866E-2</v>
      </c>
      <c r="Q17" s="1311">
        <f t="shared" si="2"/>
        <v>-8.1079263326749085E-2</v>
      </c>
    </row>
    <row r="18" spans="1:17" ht="16" x14ac:dyDescent="0.2">
      <c r="A18" s="1297" t="s">
        <v>35</v>
      </c>
      <c r="B18" s="458">
        <f t="shared" si="0"/>
        <v>9.6772210492983799</v>
      </c>
      <c r="C18" s="1310">
        <f t="shared" si="1"/>
        <v>10.58797707559838</v>
      </c>
      <c r="D18" s="451">
        <f t="shared" si="3"/>
        <v>7.5999940523983796</v>
      </c>
      <c r="E18" s="401">
        <f>TableB2!H16+TableB2!J16-TableB2!D16-TableB2!F16</f>
        <v>6.8885122074523499</v>
      </c>
      <c r="F18" s="451">
        <f>TableB2!I16-TableB2!E16</f>
        <v>0.71148184494603006</v>
      </c>
      <c r="G18" s="400">
        <f t="shared" si="4"/>
        <v>1.6641586606000001</v>
      </c>
      <c r="H18" s="401">
        <v>0.76818408660000004</v>
      </c>
      <c r="I18" s="461">
        <v>0.89597457400000002</v>
      </c>
      <c r="J18" s="399">
        <v>1.3238243625999999</v>
      </c>
      <c r="K18" s="463">
        <v>-1.51902</v>
      </c>
      <c r="L18" s="464">
        <v>0.60826397370000007</v>
      </c>
      <c r="M18" s="452">
        <f>TableA1!B16-TableA1!M16+B18</f>
        <v>260.92430279403715</v>
      </c>
      <c r="N18" s="455">
        <f t="shared" si="5"/>
        <v>2.7267749202635385E-3</v>
      </c>
      <c r="O18" s="453">
        <f t="shared" si="6"/>
        <v>2.6400423930191954E-2</v>
      </c>
      <c r="P18" s="453">
        <f>TableB1!D18/M18</f>
        <v>8.5537487109115878E-2</v>
      </c>
      <c r="Q18" s="1311">
        <f t="shared" si="2"/>
        <v>3.708823189588889E-2</v>
      </c>
    </row>
    <row r="19" spans="1:17" ht="16" x14ac:dyDescent="0.2">
      <c r="A19" s="1297" t="s">
        <v>36</v>
      </c>
      <c r="B19" s="458">
        <f t="shared" si="0"/>
        <v>-0.45929482925379417</v>
      </c>
      <c r="C19" s="1310">
        <f t="shared" si="1"/>
        <v>-0.91381544065379416</v>
      </c>
      <c r="D19" s="451">
        <f t="shared" si="3"/>
        <v>-0.98771270105379416</v>
      </c>
      <c r="E19" s="401">
        <f>TableB2!H17+TableB2!J17-TableB2!D17-TableB2!F17</f>
        <v>-1.0265546311702671</v>
      </c>
      <c r="F19" s="451">
        <f>TableB2!I17-TableB2!E17</f>
        <v>3.8841930116473002E-2</v>
      </c>
      <c r="G19" s="400">
        <f t="shared" si="4"/>
        <v>6.0501559400000002E-2</v>
      </c>
      <c r="H19" s="401">
        <v>2.70224082E-2</v>
      </c>
      <c r="I19" s="461">
        <v>3.3479151200000001E-2</v>
      </c>
      <c r="J19" s="399">
        <v>1.3395700999999999E-2</v>
      </c>
      <c r="K19" s="463">
        <v>0.283752</v>
      </c>
      <c r="L19" s="464">
        <v>0.17076861139999999</v>
      </c>
      <c r="M19" s="452">
        <f>TableA1!B17-TableA1!M17+B19</f>
        <v>18.384636191231781</v>
      </c>
      <c r="N19" s="455">
        <f t="shared" si="5"/>
        <v>2.1127385776063363E-3</v>
      </c>
      <c r="O19" s="453">
        <f t="shared" si="6"/>
        <v>-5.5837636409681236E-2</v>
      </c>
      <c r="P19" s="453">
        <f>TableB1!D19/M19</f>
        <v>5.0646509406810002E-2</v>
      </c>
      <c r="Q19" s="1311">
        <f t="shared" si="2"/>
        <v>-2.4982535660555878E-2</v>
      </c>
    </row>
    <row r="20" spans="1:17" ht="16" x14ac:dyDescent="0.2">
      <c r="A20" s="1297" t="s">
        <v>37</v>
      </c>
      <c r="B20" s="458">
        <f t="shared" si="0"/>
        <v>1.2160564745679392</v>
      </c>
      <c r="C20" s="1310">
        <f t="shared" si="1"/>
        <v>0.70209723166793936</v>
      </c>
      <c r="D20" s="451">
        <f t="shared" si="3"/>
        <v>3.2823072656679395</v>
      </c>
      <c r="E20" s="401">
        <f>TableB2!H18+TableB2!J18-TableB2!D18-TableB2!F18</f>
        <v>3.5463117027172997</v>
      </c>
      <c r="F20" s="451">
        <f>TableB2!I18-TableB2!E18</f>
        <v>-0.26400443704936</v>
      </c>
      <c r="G20" s="400">
        <f t="shared" si="4"/>
        <v>-2.1497130635000001</v>
      </c>
      <c r="H20" s="401">
        <v>-0.75080875670000002</v>
      </c>
      <c r="I20" s="461">
        <v>-1.3989043068</v>
      </c>
      <c r="J20" s="399">
        <v>-0.43049697050000002</v>
      </c>
      <c r="K20" s="463">
        <v>0.17037099999999999</v>
      </c>
      <c r="L20" s="464">
        <v>0.34358824289999995</v>
      </c>
      <c r="M20" s="452">
        <f>TableA1!B18-TableA1!M18+B20</f>
        <v>189.63429441152635</v>
      </c>
      <c r="N20" s="455">
        <f t="shared" si="5"/>
        <v>-1.3921766517423406E-3</v>
      </c>
      <c r="O20" s="453">
        <f t="shared" si="6"/>
        <v>1.870079309083952E-2</v>
      </c>
      <c r="P20" s="453">
        <f>TableB1!D20/M20</f>
        <v>-5.4084495854651708E-4</v>
      </c>
      <c r="Q20" s="1311">
        <f t="shared" si="2"/>
        <v>6.412640067776817E-3</v>
      </c>
    </row>
    <row r="21" spans="1:17" ht="16" x14ac:dyDescent="0.2">
      <c r="A21" s="1297" t="s">
        <v>38</v>
      </c>
      <c r="B21" s="458">
        <f t="shared" si="0"/>
        <v>56.3453561333369</v>
      </c>
      <c r="C21" s="1310">
        <f t="shared" si="1"/>
        <v>23.916729885736899</v>
      </c>
      <c r="D21" s="451">
        <f t="shared" si="3"/>
        <v>44.8159711181369</v>
      </c>
      <c r="E21" s="401">
        <f>TableB2!H19+TableB2!J19-TableB2!D19-TableB2!F19</f>
        <v>45.529564059900203</v>
      </c>
      <c r="F21" s="451">
        <f>TableB2!I19-TableB2!E19</f>
        <v>-0.71359294176330001</v>
      </c>
      <c r="G21" s="400">
        <f t="shared" si="4"/>
        <v>-19.8282231982</v>
      </c>
      <c r="H21" s="401">
        <v>-9.2975558635999995</v>
      </c>
      <c r="I21" s="461">
        <v>-10.5306673346</v>
      </c>
      <c r="J21" s="399">
        <v>-1.0710180342</v>
      </c>
      <c r="K21" s="463">
        <v>21.572399999999998</v>
      </c>
      <c r="L21" s="464">
        <v>10.8562262476</v>
      </c>
      <c r="M21" s="452">
        <f>TableA1!B19-TableA1!M19+B21</f>
        <v>2054.3745445515747</v>
      </c>
      <c r="N21" s="455">
        <f t="shared" si="5"/>
        <v>-3.4735289319848045E-4</v>
      </c>
      <c r="O21" s="453">
        <f t="shared" si="6"/>
        <v>2.2162250881003938E-2</v>
      </c>
      <c r="P21" s="453">
        <f>TableB1!D21/M21</f>
        <v>-8.7478599580403001E-3</v>
      </c>
      <c r="Q21" s="1311">
        <f t="shared" si="2"/>
        <v>2.7427012412498456E-2</v>
      </c>
    </row>
    <row r="22" spans="1:17" ht="16" x14ac:dyDescent="0.2">
      <c r="A22" s="1297" t="s">
        <v>39</v>
      </c>
      <c r="B22" s="458">
        <f t="shared" si="0"/>
        <v>63.653237855858208</v>
      </c>
      <c r="C22" s="1310">
        <f t="shared" si="1"/>
        <v>63.235658190258206</v>
      </c>
      <c r="D22" s="451">
        <f t="shared" si="3"/>
        <v>40.567942318358206</v>
      </c>
      <c r="E22" s="401">
        <f>TableB2!H20+TableB2!J20-TableB2!D20-TableB2!F20</f>
        <v>49.392124237382006</v>
      </c>
      <c r="F22" s="451">
        <f>TableB2!I20-TableB2!E20</f>
        <v>-8.8241819190237987</v>
      </c>
      <c r="G22" s="400">
        <f t="shared" si="4"/>
        <v>7.5559022102000011</v>
      </c>
      <c r="H22" s="401">
        <v>-9.2704448577999994</v>
      </c>
      <c r="I22" s="461">
        <v>16.826347068</v>
      </c>
      <c r="J22" s="399">
        <v>15.111813661700001</v>
      </c>
      <c r="K22" s="463">
        <v>0.87762899999999999</v>
      </c>
      <c r="L22" s="464">
        <v>-0.46004933439999995</v>
      </c>
      <c r="M22" s="452">
        <f>TableA1!B20-TableA1!M20+B22</f>
        <v>2844.671338933982</v>
      </c>
      <c r="N22" s="455">
        <f t="shared" si="5"/>
        <v>-3.102004016509897E-3</v>
      </c>
      <c r="O22" s="453">
        <f t="shared" si="6"/>
        <v>1.7363033669784613E-2</v>
      </c>
      <c r="P22" s="453">
        <f>TableB1!D22/M22</f>
        <v>9.4554160793772546E-2</v>
      </c>
      <c r="Q22" s="1311">
        <f t="shared" si="2"/>
        <v>2.2376306529566171E-2</v>
      </c>
    </row>
    <row r="23" spans="1:17" ht="16" x14ac:dyDescent="0.2">
      <c r="A23" s="1297" t="s">
        <v>40</v>
      </c>
      <c r="B23" s="458">
        <f t="shared" si="0"/>
        <v>0.46074003830043342</v>
      </c>
      <c r="C23" s="1310">
        <f t="shared" si="1"/>
        <v>-2.4806423845995664</v>
      </c>
      <c r="D23" s="451">
        <f t="shared" si="3"/>
        <v>0.6446414731004334</v>
      </c>
      <c r="E23" s="401">
        <f>TableB2!H21+TableB2!J21-TableB2!D21-TableB2!F21</f>
        <v>0.70526558069888012</v>
      </c>
      <c r="F23" s="451">
        <f>TableB2!I21-TableB2!E21</f>
        <v>-6.0624107598446692E-2</v>
      </c>
      <c r="G23" s="400">
        <f t="shared" si="4"/>
        <v>-0.42426810629999995</v>
      </c>
      <c r="H23" s="401">
        <v>-0.35629227469999997</v>
      </c>
      <c r="I23" s="461">
        <v>-6.7975831599999995E-2</v>
      </c>
      <c r="J23" s="399">
        <v>-2.7010157513999999</v>
      </c>
      <c r="K23" s="463">
        <v>-0.25148100000000001</v>
      </c>
      <c r="L23" s="464">
        <v>3.1928634228999999</v>
      </c>
      <c r="M23" s="452">
        <f>TableA1!B21-TableA1!M21+B23</f>
        <v>157.17664228072243</v>
      </c>
      <c r="N23" s="455">
        <f t="shared" si="5"/>
        <v>-3.8570685006853708E-4</v>
      </c>
      <c r="O23" s="453">
        <f t="shared" si="6"/>
        <v>4.4870889876833832E-3</v>
      </c>
      <c r="P23" s="453">
        <f>TableB1!D23/M23</f>
        <v>-2.1733011078701229E-3</v>
      </c>
      <c r="Q23" s="1311">
        <f t="shared" si="2"/>
        <v>2.9313518320205441E-3</v>
      </c>
    </row>
    <row r="24" spans="1:17" ht="16" x14ac:dyDescent="0.2">
      <c r="A24" s="1297" t="s">
        <v>41</v>
      </c>
      <c r="B24" s="458">
        <f t="shared" si="0"/>
        <v>-6.0157852389506434</v>
      </c>
      <c r="C24" s="1310">
        <f t="shared" si="1"/>
        <v>-10.571598893050643</v>
      </c>
      <c r="D24" s="451">
        <f t="shared" si="3"/>
        <v>-7.6765909009506439</v>
      </c>
      <c r="E24" s="401">
        <f>TableB2!H22+TableB2!J22-TableB2!D22-TableB2!F22</f>
        <v>-7.7475333495706007</v>
      </c>
      <c r="F24" s="451">
        <f>TableB2!I22-TableB2!E22</f>
        <v>7.0942448619956994E-2</v>
      </c>
      <c r="G24" s="400">
        <f t="shared" si="4"/>
        <v>-2.3047368414</v>
      </c>
      <c r="H24" s="401">
        <v>-0.1349522544</v>
      </c>
      <c r="I24" s="461">
        <v>-2.1697845870000001</v>
      </c>
      <c r="J24" s="399">
        <v>-0.59027115070000002</v>
      </c>
      <c r="K24" s="463">
        <v>3.1714799999999999</v>
      </c>
      <c r="L24" s="464">
        <v>1.3843336541</v>
      </c>
      <c r="M24" s="452">
        <f>TableA1!B22-TableA1!M22+B24</f>
        <v>94.887768769265378</v>
      </c>
      <c r="N24" s="455">
        <f t="shared" si="5"/>
        <v>7.476458719612723E-4</v>
      </c>
      <c r="O24" s="453">
        <f t="shared" si="6"/>
        <v>-8.1649441756923943E-2</v>
      </c>
      <c r="P24" s="453">
        <f>TableB1!D24/M24</f>
        <v>0.11480167080952995</v>
      </c>
      <c r="Q24" s="1311">
        <f t="shared" si="2"/>
        <v>-6.3398953489769344E-2</v>
      </c>
    </row>
    <row r="25" spans="1:17" ht="16" x14ac:dyDescent="0.2">
      <c r="A25" s="1297" t="s">
        <v>42</v>
      </c>
      <c r="B25" s="458">
        <f t="shared" si="0"/>
        <v>-0.1016039996424809</v>
      </c>
      <c r="C25" s="1310">
        <f t="shared" si="1"/>
        <v>-0.2665349996424809</v>
      </c>
      <c r="D25" s="451">
        <f t="shared" si="3"/>
        <v>0.25365420205751904</v>
      </c>
      <c r="E25" s="401">
        <f>TableB2!H23+TableB2!J23-TableB2!D23-TableB2!F23</f>
        <v>0.23388106244232901</v>
      </c>
      <c r="F25" s="451">
        <f>TableB2!I23-TableB2!E23</f>
        <v>1.9773139615190019E-2</v>
      </c>
      <c r="G25" s="400">
        <f t="shared" si="4"/>
        <v>-0.44490653449999995</v>
      </c>
      <c r="H25" s="401">
        <v>1.85242145E-2</v>
      </c>
      <c r="I25" s="461">
        <v>-0.46343074899999998</v>
      </c>
      <c r="J25" s="399">
        <v>-7.52826672E-2</v>
      </c>
      <c r="K25" s="463">
        <v>0.16493099999999999</v>
      </c>
      <c r="L25" s="464">
        <v>0</v>
      </c>
      <c r="M25" s="452">
        <f>TableA1!B23-TableA1!M23+B25</f>
        <v>14.224749086284451</v>
      </c>
      <c r="N25" s="455">
        <f t="shared" si="5"/>
        <v>1.390051908490628E-3</v>
      </c>
      <c r="O25" s="453">
        <f t="shared" si="6"/>
        <v>1.6441840978962355E-2</v>
      </c>
      <c r="P25" s="453">
        <f>TableB1!D25/M25</f>
        <v>8.8572772964749455E-2</v>
      </c>
      <c r="Q25" s="1311">
        <f t="shared" si="2"/>
        <v>-7.1427621693832058E-3</v>
      </c>
    </row>
    <row r="26" spans="1:17" ht="16" x14ac:dyDescent="0.2">
      <c r="A26" s="1297" t="s">
        <v>43</v>
      </c>
      <c r="B26" s="458">
        <f t="shared" si="0"/>
        <v>-61.798868747440494</v>
      </c>
      <c r="C26" s="1310">
        <f t="shared" si="1"/>
        <v>-63.079668018440493</v>
      </c>
      <c r="D26" s="451">
        <f t="shared" si="3"/>
        <v>-52.939545202440499</v>
      </c>
      <c r="E26" s="401">
        <f>TableB2!H24+TableB2!J24-TableB2!D24-TableB2!F24</f>
        <v>-50.441486411536403</v>
      </c>
      <c r="F26" s="451">
        <f>TableB2!I24-TableB2!E24</f>
        <v>-2.4980587909040999</v>
      </c>
      <c r="G26" s="400">
        <f t="shared" si="4"/>
        <v>-9.1713707749000015</v>
      </c>
      <c r="H26" s="401">
        <v>-28.180499168000001</v>
      </c>
      <c r="I26" s="461">
        <v>19.009128393099999</v>
      </c>
      <c r="J26" s="399">
        <v>-0.96875204110000002</v>
      </c>
      <c r="K26" s="463">
        <v>-0.101033</v>
      </c>
      <c r="L26" s="464">
        <v>1.3818322709999999</v>
      </c>
      <c r="M26" s="452">
        <f>TableA1!B24-TableA1!M24+B26</f>
        <v>165.84391327991131</v>
      </c>
      <c r="N26" s="455">
        <f t="shared" si="5"/>
        <v>-1.5062710120014335E-2</v>
      </c>
      <c r="O26" s="453">
        <f t="shared" si="6"/>
        <v>-0.30415036291625175</v>
      </c>
      <c r="P26" s="453">
        <f>TableB1!D26/M26</f>
        <v>0.54309442816198938</v>
      </c>
      <c r="Q26" s="1311">
        <f t="shared" si="2"/>
        <v>-0.37263272148635557</v>
      </c>
    </row>
    <row r="27" spans="1:17" ht="16" x14ac:dyDescent="0.2">
      <c r="A27" s="1297" t="s">
        <v>44</v>
      </c>
      <c r="B27" s="458">
        <f t="shared" si="0"/>
        <v>-3.0516999999999994</v>
      </c>
      <c r="C27" s="1310">
        <f t="shared" si="1"/>
        <v>1.0229000000000008</v>
      </c>
      <c r="D27" s="451">
        <f t="shared" si="3"/>
        <v>1.3800000000000008</v>
      </c>
      <c r="E27" s="401">
        <f>TableB2!H25+TableB2!J25-TableB2!D25-TableB2!F25</f>
        <v>1.3544</v>
      </c>
      <c r="F27" s="451">
        <f>TableB2!I25-TableB2!E25</f>
        <v>2.5600000000000733E-2</v>
      </c>
      <c r="G27" s="400">
        <f t="shared" si="4"/>
        <v>-0.9022</v>
      </c>
      <c r="H27" s="401">
        <v>-0.22770000000000001</v>
      </c>
      <c r="I27" s="461">
        <v>-0.67449999999999999</v>
      </c>
      <c r="J27" s="399">
        <v>0.54510000000000003</v>
      </c>
      <c r="K27" s="463">
        <v>-4.0746000000000002</v>
      </c>
      <c r="L27" s="464">
        <v>0</v>
      </c>
      <c r="M27" s="452">
        <f>TableA1!B25-TableA1!M25+B27</f>
        <v>257.07202378746399</v>
      </c>
      <c r="N27" s="455">
        <f t="shared" si="5"/>
        <v>9.958298698875808E-5</v>
      </c>
      <c r="O27" s="453">
        <f t="shared" si="6"/>
        <v>5.2685624053738309E-3</v>
      </c>
      <c r="P27" s="453">
        <f>TableB1!D27/M27</f>
        <v>3.4908504892073804E-2</v>
      </c>
      <c r="Q27" s="1311">
        <f t="shared" si="2"/>
        <v>-1.1870992241936886E-2</v>
      </c>
    </row>
    <row r="28" spans="1:17" ht="16" x14ac:dyDescent="0.2">
      <c r="A28" s="1297" t="s">
        <v>45</v>
      </c>
      <c r="B28" s="458">
        <f t="shared" si="0"/>
        <v>-11.188730909325342</v>
      </c>
      <c r="C28" s="1310">
        <f t="shared" si="1"/>
        <v>-18.329270259025343</v>
      </c>
      <c r="D28" s="451">
        <f t="shared" si="3"/>
        <v>0.48626289517465859</v>
      </c>
      <c r="E28" s="401">
        <f>TableB2!H26+TableB2!J26-TableB2!D26-TableB2!F26</f>
        <v>1.5988386023293986</v>
      </c>
      <c r="F28" s="451">
        <f>TableB2!I26-TableB2!E26</f>
        <v>-1.11257570715474</v>
      </c>
      <c r="G28" s="400">
        <f t="shared" si="4"/>
        <v>-18.460144010100002</v>
      </c>
      <c r="H28" s="401">
        <v>4.0070257603000003</v>
      </c>
      <c r="I28" s="461">
        <v>-22.467169770400002</v>
      </c>
      <c r="J28" s="399">
        <v>-0.3553891441</v>
      </c>
      <c r="K28" s="463">
        <v>4.75448</v>
      </c>
      <c r="L28" s="464">
        <v>2.3860593497</v>
      </c>
      <c r="M28" s="452">
        <f>TableA1!B26-TableA1!M26+B28</f>
        <v>1490.1723157834931</v>
      </c>
      <c r="N28" s="455">
        <f t="shared" si="5"/>
        <v>-7.4660876153089526E-4</v>
      </c>
      <c r="O28" s="453">
        <f t="shared" si="6"/>
        <v>1.0729219603632025E-3</v>
      </c>
      <c r="P28" s="453">
        <f>TableB1!D28/M28</f>
        <v>3.562568662134051E-2</v>
      </c>
      <c r="Q28" s="1311">
        <f t="shared" si="2"/>
        <v>-7.5083470487388596E-3</v>
      </c>
    </row>
    <row r="29" spans="1:17" ht="16" x14ac:dyDescent="0.2">
      <c r="A29" s="1297" t="s">
        <v>46</v>
      </c>
      <c r="B29" s="458">
        <f t="shared" si="0"/>
        <v>174.41017936469513</v>
      </c>
      <c r="C29" s="1310">
        <f t="shared" si="1"/>
        <v>175.24238456279511</v>
      </c>
      <c r="D29" s="451">
        <f t="shared" si="3"/>
        <v>70.151559102595101</v>
      </c>
      <c r="E29" s="401">
        <f>TableB2!H27+TableB2!J27-TableB2!D27-TableB2!F27</f>
        <v>69.291244877162995</v>
      </c>
      <c r="F29" s="451">
        <f>TableB2!I27-TableB2!E27</f>
        <v>0.86031422543211022</v>
      </c>
      <c r="G29" s="400">
        <f t="shared" si="4"/>
        <v>100.1103292298</v>
      </c>
      <c r="H29" s="401">
        <v>25.025492990900002</v>
      </c>
      <c r="I29" s="461">
        <v>75.084836238899996</v>
      </c>
      <c r="J29" s="399">
        <v>4.9804962304</v>
      </c>
      <c r="K29" s="463">
        <v>-9.51264E-2</v>
      </c>
      <c r="L29" s="464">
        <v>-0.73707879809999999</v>
      </c>
      <c r="M29" s="452">
        <f>TableA1!B27-TableA1!M27+B29</f>
        <v>3551.1310304467343</v>
      </c>
      <c r="N29" s="455">
        <f t="shared" si="5"/>
        <v>2.4226484972138081E-4</v>
      </c>
      <c r="O29" s="453">
        <f t="shared" si="6"/>
        <v>1.9512443861708511E-2</v>
      </c>
      <c r="P29" s="453">
        <f>TableB1!D29/M29</f>
        <v>-6.5545054326739041E-3</v>
      </c>
      <c r="Q29" s="1311">
        <f t="shared" si="2"/>
        <v>4.9113980269760486E-2</v>
      </c>
    </row>
    <row r="30" spans="1:17" ht="16" x14ac:dyDescent="0.2">
      <c r="A30" s="1297" t="s">
        <v>47</v>
      </c>
      <c r="B30" s="458">
        <f t="shared" si="0"/>
        <v>-2.3849403720176898</v>
      </c>
      <c r="C30" s="1310">
        <f t="shared" si="1"/>
        <v>-2.3849403720176898</v>
      </c>
      <c r="D30" s="451">
        <f t="shared" si="3"/>
        <v>-2.3849403720176898</v>
      </c>
      <c r="E30" s="401">
        <f>TableB2!H28+TableB2!J28-TableB2!D28-TableB2!F28</f>
        <v>-2.6293595946325299</v>
      </c>
      <c r="F30" s="451">
        <f>TableB2!I28-TableB2!E28</f>
        <v>0.24441922261483998</v>
      </c>
      <c r="G30" s="400">
        <f t="shared" si="4"/>
        <v>0</v>
      </c>
      <c r="H30" s="401" t="e">
        <v>#N/A</v>
      </c>
      <c r="I30" s="461" t="e">
        <v>#N/A</v>
      </c>
      <c r="J30" s="399">
        <v>0</v>
      </c>
      <c r="K30" s="463">
        <v>0</v>
      </c>
      <c r="L30" s="464">
        <v>0</v>
      </c>
      <c r="M30" s="452">
        <f>TableA1!B28-TableA1!M28+B30</f>
        <v>1110.1422717978173</v>
      </c>
      <c r="N30" s="455">
        <f t="shared" si="5"/>
        <v>2.201692781403737E-4</v>
      </c>
      <c r="O30" s="453">
        <f t="shared" si="6"/>
        <v>-2.368488851770701E-3</v>
      </c>
      <c r="P30" s="453">
        <f>TableB1!D30/M30</f>
        <v>9.6701479375385285E-2</v>
      </c>
      <c r="Q30" s="1311">
        <f t="shared" si="2"/>
        <v>-2.1483195736303274E-3</v>
      </c>
    </row>
    <row r="31" spans="1:17" ht="16" x14ac:dyDescent="0.2">
      <c r="A31" s="1297" t="s">
        <v>48</v>
      </c>
      <c r="B31" s="458">
        <f t="shared" si="0"/>
        <v>-0.12541684718919069</v>
      </c>
      <c r="C31" s="1310">
        <f t="shared" si="1"/>
        <v>-1.0551275116891907</v>
      </c>
      <c r="D31" s="451">
        <f t="shared" si="3"/>
        <v>-0.9983361064891908</v>
      </c>
      <c r="E31" s="401">
        <f>TableB2!H29+TableB2!J29-TableB2!D29-TableB2!F29</f>
        <v>-0.951747088186362</v>
      </c>
      <c r="F31" s="451">
        <f>TableB2!I29-TableB2!E29</f>
        <v>-4.6589018302828807E-2</v>
      </c>
      <c r="G31" s="400">
        <f t="shared" si="4"/>
        <v>7.5380401999999994E-3</v>
      </c>
      <c r="H31" s="401">
        <v>-2.3552427000000003E-3</v>
      </c>
      <c r="I31" s="461">
        <v>9.8932828999999996E-3</v>
      </c>
      <c r="J31" s="399">
        <v>-6.4329445400000004E-2</v>
      </c>
      <c r="K31" s="463">
        <v>0.70552400000000004</v>
      </c>
      <c r="L31" s="464">
        <v>0.22418666449999999</v>
      </c>
      <c r="M31" s="452">
        <f>TableA1!B29-TableA1!M29+B31</f>
        <v>20.674424334454866</v>
      </c>
      <c r="N31" s="455">
        <f t="shared" si="5"/>
        <v>-2.2534614531049407E-3</v>
      </c>
      <c r="O31" s="453">
        <f t="shared" si="6"/>
        <v>-4.6034998256286742E-2</v>
      </c>
      <c r="P31" s="453">
        <f>TableB1!D31/M31</f>
        <v>-1.4968413126950547E-2</v>
      </c>
      <c r="Q31" s="1311">
        <f t="shared" si="2"/>
        <v>-6.0662800163280885E-3</v>
      </c>
    </row>
    <row r="32" spans="1:17" ht="16" x14ac:dyDescent="0.2">
      <c r="A32" s="1297" t="s">
        <v>49</v>
      </c>
      <c r="B32" s="458">
        <f t="shared" si="0"/>
        <v>-14.977610578835707</v>
      </c>
      <c r="C32" s="1310">
        <f t="shared" si="1"/>
        <v>-5.8471417645357082</v>
      </c>
      <c r="D32" s="451">
        <f t="shared" si="3"/>
        <v>25.640599001664292</v>
      </c>
      <c r="E32" s="401">
        <f>TableB2!H30+TableB2!J30-TableB2!D30-TableB2!F30</f>
        <v>10.52911813643999</v>
      </c>
      <c r="F32" s="451">
        <f>TableB2!I30-TableB2!E30</f>
        <v>15.111480865224303</v>
      </c>
      <c r="G32" s="400">
        <f t="shared" si="4"/>
        <v>-33.591651887899999</v>
      </c>
      <c r="H32" s="401">
        <v>-59.774582981499996</v>
      </c>
      <c r="I32" s="461">
        <v>26.182931093599997</v>
      </c>
      <c r="J32" s="399">
        <v>2.1039111216999999</v>
      </c>
      <c r="K32" s="463">
        <v>-9.6544399999999992</v>
      </c>
      <c r="L32" s="464">
        <v>0.52397118570000001</v>
      </c>
      <c r="M32" s="452">
        <f>TableA1!B30-TableA1!M30+B32</f>
        <v>35.921121646983586</v>
      </c>
      <c r="N32" s="455">
        <f t="shared" si="5"/>
        <v>0.4206851059310745</v>
      </c>
      <c r="O32" s="453">
        <f t="shared" si="6"/>
        <v>0.29311774392557577</v>
      </c>
      <c r="P32" s="453">
        <f>TableB1!D32/M32</f>
        <v>0.54720632759112642</v>
      </c>
      <c r="Q32" s="1311">
        <f t="shared" si="2"/>
        <v>-0.4169583212358689</v>
      </c>
    </row>
    <row r="33" spans="1:17" ht="16" x14ac:dyDescent="0.2">
      <c r="A33" s="1297" t="s">
        <v>50</v>
      </c>
      <c r="B33" s="458">
        <f t="shared" si="0"/>
        <v>-29.000077089500003</v>
      </c>
      <c r="C33" s="1310">
        <f t="shared" si="1"/>
        <v>-30.449025612200003</v>
      </c>
      <c r="D33" s="451">
        <f t="shared" si="3"/>
        <v>-11.750000000000002</v>
      </c>
      <c r="E33" s="401">
        <f>TableB2!H31+TableB2!J31-TableB2!D31-TableB2!F31</f>
        <v>-12.151103767799999</v>
      </c>
      <c r="F33" s="451">
        <f>TableB2!I31-TableB2!E31</f>
        <v>0.40110376779999646</v>
      </c>
      <c r="G33" s="400">
        <f t="shared" si="4"/>
        <v>-16.830543761600001</v>
      </c>
      <c r="H33" s="401">
        <v>0</v>
      </c>
      <c r="I33" s="461">
        <v>-16.830543761600001</v>
      </c>
      <c r="J33" s="399">
        <v>-1.8684818505999998</v>
      </c>
      <c r="K33" s="463">
        <v>1.4483999999999999</v>
      </c>
      <c r="L33" s="464">
        <v>5.4852269999999999E-4</v>
      </c>
      <c r="M33" s="452">
        <f>TableA1!B31-TableA1!M31+B33</f>
        <v>976.95476958237907</v>
      </c>
      <c r="N33" s="455">
        <f t="shared" si="5"/>
        <v>4.1056534067739607E-4</v>
      </c>
      <c r="O33" s="453">
        <f t="shared" si="6"/>
        <v>-1.2437734218744084E-2</v>
      </c>
      <c r="P33" s="453">
        <f>TableB1!D33/M33</f>
        <v>-2.4926363394704311E-2</v>
      </c>
      <c r="Q33" s="1311">
        <f t="shared" si="2"/>
        <v>-2.9684155287861204E-2</v>
      </c>
    </row>
    <row r="34" spans="1:17" ht="16" x14ac:dyDescent="0.2">
      <c r="A34" s="1297" t="s">
        <v>51</v>
      </c>
      <c r="B34" s="458">
        <f t="shared" si="0"/>
        <v>3.0783705571504383</v>
      </c>
      <c r="C34" s="1310">
        <f t="shared" si="1"/>
        <v>10.400022025650438</v>
      </c>
      <c r="D34" s="451">
        <f t="shared" si="3"/>
        <v>32.228508042150438</v>
      </c>
      <c r="E34" s="401">
        <f>TableB2!H32+TableB2!J32-TableB2!D32-TableB2!F32</f>
        <v>10.998336106487443</v>
      </c>
      <c r="F34" s="451">
        <f>TableB2!I32-TableB2!E32</f>
        <v>21.230171935662998</v>
      </c>
      <c r="G34" s="400">
        <f t="shared" si="4"/>
        <v>-20.0607634102</v>
      </c>
      <c r="H34" s="401">
        <v>-5.39039497</v>
      </c>
      <c r="I34" s="461">
        <v>-14.670368440200001</v>
      </c>
      <c r="J34" s="399">
        <v>-1.7677226063</v>
      </c>
      <c r="K34" s="463">
        <v>-5.4400599999999999</v>
      </c>
      <c r="L34" s="464">
        <v>-1.8815914684999999</v>
      </c>
      <c r="M34" s="452">
        <f>TableA1!B32-TableA1!M32+B34</f>
        <v>637.13403905266819</v>
      </c>
      <c r="N34" s="455">
        <f t="shared" si="5"/>
        <v>3.3321358826204579E-2</v>
      </c>
      <c r="O34" s="453">
        <f t="shared" si="6"/>
        <v>1.7262201408734142E-2</v>
      </c>
      <c r="P34" s="453">
        <f>TableB1!D34/M34</f>
        <v>0.12565159434399983</v>
      </c>
      <c r="Q34" s="1311">
        <f t="shared" si="2"/>
        <v>4.8315901654345092E-3</v>
      </c>
    </row>
    <row r="35" spans="1:17" ht="16" x14ac:dyDescent="0.2">
      <c r="A35" s="1297" t="s">
        <v>52</v>
      </c>
      <c r="B35" s="458">
        <f t="shared" si="0"/>
        <v>-6.287989521115799</v>
      </c>
      <c r="C35" s="1310">
        <f t="shared" si="1"/>
        <v>-6.127907521115799</v>
      </c>
      <c r="D35" s="451">
        <f t="shared" si="3"/>
        <v>-5.3772137777157987</v>
      </c>
      <c r="E35" s="401">
        <f>TableB2!H33+TableB2!J33-TableB2!D33-TableB2!F33</f>
        <v>-4.7496862362292553</v>
      </c>
      <c r="F35" s="451">
        <f>TableB2!I33-TableB2!E33</f>
        <v>-0.62752754148654288</v>
      </c>
      <c r="G35" s="400">
        <f t="shared" si="4"/>
        <v>-0.75069374340000017</v>
      </c>
      <c r="H35" s="401">
        <v>0.32062624419999997</v>
      </c>
      <c r="I35" s="461">
        <v>-1.0713199876000001</v>
      </c>
      <c r="J35" s="399">
        <v>0</v>
      </c>
      <c r="K35" s="463">
        <v>-0.160082</v>
      </c>
      <c r="L35" s="464">
        <v>0</v>
      </c>
      <c r="M35" s="452">
        <f>TableA1!B33-TableA1!M33+B35</f>
        <v>147.36698286079505</v>
      </c>
      <c r="N35" s="455">
        <f t="shared" si="5"/>
        <v>-4.2582641600209343E-3</v>
      </c>
      <c r="O35" s="453">
        <f t="shared" si="6"/>
        <v>-3.2230328286736228E-2</v>
      </c>
      <c r="P35" s="453">
        <f>TableB1!D35/M35</f>
        <v>9.2513517942335415E-3</v>
      </c>
      <c r="Q35" s="1311">
        <f t="shared" si="2"/>
        <v>-4.2668916734595316E-2</v>
      </c>
    </row>
    <row r="36" spans="1:17" ht="16" x14ac:dyDescent="0.2">
      <c r="A36" s="1103" t="s">
        <v>53</v>
      </c>
      <c r="B36" s="458">
        <f t="shared" si="0"/>
        <v>17.896409118277923</v>
      </c>
      <c r="C36" s="1310">
        <f t="shared" si="1"/>
        <v>21.750429118277921</v>
      </c>
      <c r="D36" s="451">
        <f t="shared" si="3"/>
        <v>3.0401894770779205</v>
      </c>
      <c r="E36" s="401">
        <f>TableB2!H34+TableB2!J34-TableB2!D34-TableB2!F34</f>
        <v>4.7785920662673007</v>
      </c>
      <c r="F36" s="451">
        <f>TableB2!I34-TableB2!E34</f>
        <v>-1.7384025891893802</v>
      </c>
      <c r="G36" s="400">
        <f t="shared" si="4"/>
        <v>12.4307526628</v>
      </c>
      <c r="H36" s="401">
        <v>12.4307526628</v>
      </c>
      <c r="I36" s="461">
        <v>0</v>
      </c>
      <c r="J36" s="399">
        <v>6.2794869783999996</v>
      </c>
      <c r="K36" s="463">
        <v>-3.8540199999999998</v>
      </c>
      <c r="L36" s="464">
        <v>0</v>
      </c>
      <c r="M36" s="452">
        <f>TableA1!B34-TableA1!M34+B36</f>
        <v>336.05537085604954</v>
      </c>
      <c r="N36" s="455">
        <f t="shared" si="5"/>
        <v>-5.1729647550671966E-3</v>
      </c>
      <c r="O36" s="453">
        <f t="shared" si="6"/>
        <v>1.4219656880039054E-2</v>
      </c>
      <c r="P36" s="453">
        <f>TableB1!D36/M36</f>
        <v>6.2747962958855957E-2</v>
      </c>
      <c r="Q36" s="1311">
        <f t="shared" si="2"/>
        <v>5.325434636765234E-2</v>
      </c>
    </row>
    <row r="37" spans="1:17" ht="16" x14ac:dyDescent="0.2">
      <c r="A37" s="1297" t="s">
        <v>54</v>
      </c>
      <c r="B37" s="458">
        <f t="shared" si="0"/>
        <v>-18.262312503315496</v>
      </c>
      <c r="C37" s="1310">
        <f t="shared" si="1"/>
        <v>-24.041312503315496</v>
      </c>
      <c r="D37" s="451">
        <f t="shared" si="3"/>
        <v>-17.459312503315495</v>
      </c>
      <c r="E37" s="401">
        <f>TableB2!H35+TableB2!J35-TableB2!D35-TableB2!F35</f>
        <v>-15.362580234470316</v>
      </c>
      <c r="F37" s="451">
        <f>TableB2!I35-TableB2!E35</f>
        <v>-2.0967322688451793</v>
      </c>
      <c r="G37" s="400">
        <f t="shared" si="4"/>
        <v>-4.87</v>
      </c>
      <c r="H37" s="401">
        <v>-0.82499999999999996</v>
      </c>
      <c r="I37" s="461">
        <v>-4.0449999999999999</v>
      </c>
      <c r="J37" s="399">
        <v>-1.712</v>
      </c>
      <c r="K37" s="463">
        <v>0.92800000000000005</v>
      </c>
      <c r="L37" s="464">
        <v>4.851</v>
      </c>
      <c r="M37" s="452">
        <f>TableA1!B35-TableA1!M35+B37</f>
        <v>404.14569916932015</v>
      </c>
      <c r="N37" s="455">
        <f t="shared" si="5"/>
        <v>-5.1880603286260287E-3</v>
      </c>
      <c r="O37" s="453">
        <f t="shared" si="6"/>
        <v>-3.8012479821130145E-2</v>
      </c>
      <c r="P37" s="453">
        <f>TableB1!D37/M37</f>
        <v>3.6068675306854737E-2</v>
      </c>
      <c r="Q37" s="1311">
        <f t="shared" si="2"/>
        <v>-4.5187447350922692E-2</v>
      </c>
    </row>
    <row r="38" spans="1:17" ht="16" x14ac:dyDescent="0.2">
      <c r="A38" s="1297" t="s">
        <v>55</v>
      </c>
      <c r="B38" s="458">
        <f t="shared" si="0"/>
        <v>-5.11436023594311</v>
      </c>
      <c r="C38" s="1310">
        <f t="shared" si="1"/>
        <v>-6.9098013014431094</v>
      </c>
      <c r="D38" s="451">
        <f t="shared" si="3"/>
        <v>-2.94509151414311</v>
      </c>
      <c r="E38" s="401">
        <f>TableB2!H36+TableB2!J36-TableB2!D36-TableB2!F36</f>
        <v>-2.0610094287299101</v>
      </c>
      <c r="F38" s="451">
        <f>TableB2!I36-TableB2!E36</f>
        <v>-0.88408208541319999</v>
      </c>
      <c r="G38" s="400">
        <f t="shared" si="4"/>
        <v>-1.5951980593999999</v>
      </c>
      <c r="H38" s="401">
        <v>-0.4827625337</v>
      </c>
      <c r="I38" s="461">
        <v>-1.1124355257</v>
      </c>
      <c r="J38" s="399">
        <v>-2.3695117279</v>
      </c>
      <c r="K38" s="463">
        <v>0.13298699999999999</v>
      </c>
      <c r="L38" s="464">
        <v>1.6624540655</v>
      </c>
      <c r="M38" s="452">
        <f>TableA1!B36-TableA1!M36+B38</f>
        <v>159.91084330552877</v>
      </c>
      <c r="N38" s="455">
        <f t="shared" si="5"/>
        <v>-5.5285937284694046E-3</v>
      </c>
      <c r="O38" s="453">
        <f t="shared" si="6"/>
        <v>-1.2888490774775701E-2</v>
      </c>
      <c r="P38" s="453">
        <f>TableB1!D38/M38</f>
        <v>2.1957668220105003E-2</v>
      </c>
      <c r="Q38" s="1311">
        <f t="shared" si="2"/>
        <v>-3.1982573102760231E-2</v>
      </c>
    </row>
    <row r="39" spans="1:17" ht="16" x14ac:dyDescent="0.2">
      <c r="A39" s="1297" t="s">
        <v>336</v>
      </c>
      <c r="B39" s="458">
        <f t="shared" si="0"/>
        <v>-1.5203485240594012</v>
      </c>
      <c r="C39" s="1310">
        <f t="shared" si="1"/>
        <v>-4.3520693866594016</v>
      </c>
      <c r="D39" s="451">
        <f t="shared" si="3"/>
        <v>-4.0705713843594014</v>
      </c>
      <c r="E39" s="401">
        <f>TableB2!H37+TableB2!J37-TableB2!D37-TableB2!F37</f>
        <v>-3.7777937914586763</v>
      </c>
      <c r="F39" s="451">
        <f>TableB2!I37-TableB2!E37</f>
        <v>-0.29277759290072503</v>
      </c>
      <c r="G39" s="400">
        <f t="shared" si="4"/>
        <v>-0.3070000376</v>
      </c>
      <c r="H39" s="401">
        <v>5.1116562999999997E-3</v>
      </c>
      <c r="I39" s="461">
        <v>-0.31211169389999999</v>
      </c>
      <c r="J39" s="399">
        <v>2.55020353E-2</v>
      </c>
      <c r="K39" s="463">
        <v>1.6504700000000001</v>
      </c>
      <c r="L39" s="464">
        <v>1.1812508626</v>
      </c>
      <c r="M39" s="452">
        <f>TableA1!B37-TableA1!M37+B39</f>
        <v>68.34592797293115</v>
      </c>
      <c r="N39" s="455">
        <f t="shared" si="5"/>
        <v>-4.2837605923893738E-3</v>
      </c>
      <c r="O39" s="453">
        <f t="shared" si="6"/>
        <v>-5.5274599431218437E-2</v>
      </c>
      <c r="P39" s="453">
        <f>TableB1!D39/M39</f>
        <v>3.5442421524503775E-2</v>
      </c>
      <c r="Q39" s="1311">
        <f t="shared" si="2"/>
        <v>-2.2244902793060989E-2</v>
      </c>
    </row>
    <row r="40" spans="1:17" ht="16" x14ac:dyDescent="0.2">
      <c r="A40" s="1103" t="s">
        <v>57</v>
      </c>
      <c r="B40" s="458">
        <f t="shared" si="0"/>
        <v>-1.4149578055675478</v>
      </c>
      <c r="C40" s="1310">
        <f t="shared" si="1"/>
        <v>-1.7425808899675479</v>
      </c>
      <c r="D40" s="451">
        <f t="shared" si="3"/>
        <v>-1.0230083194675479</v>
      </c>
      <c r="E40" s="401">
        <f>TableB2!H38+TableB2!J38-TableB2!D38-TableB2!F38</f>
        <v>-0.99966389351080898</v>
      </c>
      <c r="F40" s="451">
        <f>TableB2!I38-TableB2!E38</f>
        <v>-2.3344425956739003E-2</v>
      </c>
      <c r="G40" s="400">
        <f t="shared" si="4"/>
        <v>-0.64969845999999998</v>
      </c>
      <c r="H40" s="401">
        <v>4.1249311399999995E-2</v>
      </c>
      <c r="I40" s="461">
        <v>-0.69094777139999997</v>
      </c>
      <c r="J40" s="399">
        <v>-6.9874110500000003E-2</v>
      </c>
      <c r="K40" s="463">
        <v>0.22276299999999999</v>
      </c>
      <c r="L40" s="464">
        <v>0.10486008440000001</v>
      </c>
      <c r="M40" s="452">
        <f>TableA1!B38-TableA1!M38+B40</f>
        <v>32.494690187742563</v>
      </c>
      <c r="N40" s="455">
        <f t="shared" si="5"/>
        <v>-7.1840740200516929E-4</v>
      </c>
      <c r="O40" s="453">
        <f t="shared" si="6"/>
        <v>-3.0763915203841388E-2</v>
      </c>
      <c r="P40" s="453">
        <f>TableB1!D40/M40</f>
        <v>0.11383037710866585</v>
      </c>
      <c r="Q40" s="1311">
        <f t="shared" si="2"/>
        <v>-4.3544277461715547E-2</v>
      </c>
    </row>
    <row r="41" spans="1:17" ht="16" x14ac:dyDescent="0.2">
      <c r="A41" s="1297" t="s">
        <v>58</v>
      </c>
      <c r="B41" s="458">
        <f t="shared" si="0"/>
        <v>2.0812292535860042</v>
      </c>
      <c r="C41" s="1310">
        <f t="shared" si="1"/>
        <v>-3.3073130343139958</v>
      </c>
      <c r="D41" s="451">
        <f t="shared" si="3"/>
        <v>8.869661674986002</v>
      </c>
      <c r="E41" s="401">
        <f>TableB2!H39+TableB2!J39-TableB2!D39-TableB2!F39</f>
        <v>13.300055463116902</v>
      </c>
      <c r="F41" s="451">
        <f>TableB2!I39-TableB2!E39</f>
        <v>-4.4303937881308997</v>
      </c>
      <c r="G41" s="400">
        <f t="shared" si="4"/>
        <v>-12.176974709299998</v>
      </c>
      <c r="H41" s="401">
        <v>0.87793564400000002</v>
      </c>
      <c r="I41" s="461">
        <v>-13.054910353299999</v>
      </c>
      <c r="J41" s="399">
        <v>0</v>
      </c>
      <c r="K41" s="463">
        <v>2.3014299999999999</v>
      </c>
      <c r="L41" s="464">
        <v>3.0871122879000001</v>
      </c>
      <c r="M41" s="452">
        <f>TableA1!B39-TableA1!M39+B41</f>
        <v>990.06449121847527</v>
      </c>
      <c r="N41" s="455">
        <f t="shared" si="5"/>
        <v>-4.4748537367282019E-3</v>
      </c>
      <c r="O41" s="453">
        <f t="shared" si="6"/>
        <v>1.3433524362386217E-2</v>
      </c>
      <c r="P41" s="453">
        <f>TableB1!D41/M41</f>
        <v>2.9380661842947613E-2</v>
      </c>
      <c r="Q41" s="1311">
        <f t="shared" si="2"/>
        <v>2.1021148339787736E-3</v>
      </c>
    </row>
    <row r="42" spans="1:17" ht="16" x14ac:dyDescent="0.2">
      <c r="A42" s="1297" t="s">
        <v>59</v>
      </c>
      <c r="B42" s="458">
        <f t="shared" si="0"/>
        <v>6.4958435323923025</v>
      </c>
      <c r="C42" s="1310">
        <f t="shared" si="1"/>
        <v>4.2268231626923027</v>
      </c>
      <c r="D42" s="451">
        <f t="shared" si="3"/>
        <v>7.861506886692303</v>
      </c>
      <c r="E42" s="401">
        <f>TableB2!H40+TableB2!J40-TableB2!D40-TableB2!F40</f>
        <v>8.014069970222403</v>
      </c>
      <c r="F42" s="451">
        <f>TableB2!I40-TableB2!E40</f>
        <v>-0.15256308353010017</v>
      </c>
      <c r="G42" s="400">
        <f t="shared" si="4"/>
        <v>-4.0301339594000005</v>
      </c>
      <c r="H42" s="401">
        <v>1.4510839307999999</v>
      </c>
      <c r="I42" s="461">
        <v>-5.4812178901999999</v>
      </c>
      <c r="J42" s="399">
        <v>0.39545023539999996</v>
      </c>
      <c r="K42" s="463">
        <v>2.0425800000000001</v>
      </c>
      <c r="L42" s="464">
        <v>0.22644036969999998</v>
      </c>
      <c r="M42" s="452">
        <f>TableA1!B40-TableA1!M40+B42</f>
        <v>422.84571900722341</v>
      </c>
      <c r="N42" s="455">
        <f t="shared" si="5"/>
        <v>-3.6080082326077416E-4</v>
      </c>
      <c r="O42" s="453">
        <f t="shared" si="6"/>
        <v>1.8952704520784094E-2</v>
      </c>
      <c r="P42" s="453">
        <f>TableB1!D42/M42</f>
        <v>5.8051076751188944E-2</v>
      </c>
      <c r="Q42" s="1311">
        <f t="shared" si="2"/>
        <v>1.5362207160672083E-2</v>
      </c>
    </row>
    <row r="43" spans="1:17" ht="16" x14ac:dyDescent="0.2">
      <c r="A43" s="1297" t="s">
        <v>60</v>
      </c>
      <c r="B43" s="458">
        <f t="shared" si="0"/>
        <v>16.765160490648011</v>
      </c>
      <c r="C43" s="1310">
        <f t="shared" si="1"/>
        <v>38.593560490648009</v>
      </c>
      <c r="D43" s="451">
        <f t="shared" si="3"/>
        <v>30.368160490648005</v>
      </c>
      <c r="E43" s="401">
        <f>TableB2!H41+TableB2!J41-TableB2!D41-TableB2!F41</f>
        <v>26.818145302579005</v>
      </c>
      <c r="F43" s="451">
        <f>TableB2!I41-TableB2!E41</f>
        <v>3.5500151880690005</v>
      </c>
      <c r="G43" s="400">
        <f t="shared" si="4"/>
        <v>-2.4536814018000008</v>
      </c>
      <c r="H43" s="401">
        <v>-15.7207335086</v>
      </c>
      <c r="I43" s="461">
        <v>13.2670521068</v>
      </c>
      <c r="J43" s="399">
        <v>10.679081401800003</v>
      </c>
      <c r="K43" s="463">
        <v>-21.828399999999998</v>
      </c>
      <c r="L43" s="464">
        <v>0</v>
      </c>
      <c r="M43" s="452">
        <f>TableA1!B41-TableA1!M41+B43</f>
        <v>555.75724242077763</v>
      </c>
      <c r="N43" s="455">
        <f t="shared" si="5"/>
        <v>6.3877083681460976E-3</v>
      </c>
      <c r="O43" s="453">
        <f t="shared" si="6"/>
        <v>4.8255143173238792E-2</v>
      </c>
      <c r="P43" s="453">
        <f>TableB1!D43/M43</f>
        <v>0.12997792574407552</v>
      </c>
      <c r="Q43" s="1311">
        <f t="shared" si="2"/>
        <v>3.0166337405918484E-2</v>
      </c>
    </row>
    <row r="44" spans="1:17" ht="16" x14ac:dyDescent="0.2">
      <c r="A44" s="1297" t="s">
        <v>61</v>
      </c>
      <c r="B44" s="458">
        <f t="shared" si="0"/>
        <v>-9.6431700000000014</v>
      </c>
      <c r="C44" s="1310">
        <f t="shared" si="1"/>
        <v>-9.2361700000000013</v>
      </c>
      <c r="D44" s="451">
        <f t="shared" si="3"/>
        <v>-3.3191700000000002</v>
      </c>
      <c r="E44" s="401">
        <f>TableB2!H42+TableB2!J42-TableB2!D42-TableB2!F42</f>
        <v>-3.1791100000000001</v>
      </c>
      <c r="F44" s="451">
        <f>TableB2!I42-TableB2!E42</f>
        <v>-0.14006000000000002</v>
      </c>
      <c r="G44" s="400">
        <f t="shared" si="4"/>
        <v>-2.4790000000000001</v>
      </c>
      <c r="H44" s="401">
        <v>-0.13</v>
      </c>
      <c r="I44" s="461">
        <v>-2.3490000000000002</v>
      </c>
      <c r="J44" s="399">
        <v>-3.4380000000000002</v>
      </c>
      <c r="K44" s="463">
        <v>-0.40699999999999997</v>
      </c>
      <c r="L44" s="464">
        <v>0</v>
      </c>
      <c r="M44" s="452">
        <f>TableA1!B42-TableA1!M42+B44</f>
        <v>723.59100279133986</v>
      </c>
      <c r="N44" s="455">
        <f t="shared" si="5"/>
        <v>-1.9356238463400129E-4</v>
      </c>
      <c r="O44" s="453">
        <f t="shared" si="6"/>
        <v>-4.3935178681550743E-3</v>
      </c>
      <c r="P44" s="453">
        <f>TableB1!D44/M44</f>
        <v>-3.3038000621593844E-2</v>
      </c>
      <c r="Q44" s="1311">
        <f t="shared" si="2"/>
        <v>-1.3326824079901914E-2</v>
      </c>
    </row>
    <row r="45" spans="1:17" ht="16" x14ac:dyDescent="0.2">
      <c r="A45" s="1297" t="s">
        <v>62</v>
      </c>
      <c r="B45" s="458">
        <f t="shared" si="0"/>
        <v>-39.030639648156992</v>
      </c>
      <c r="C45" s="1310">
        <f t="shared" si="1"/>
        <v>-37.176745587956994</v>
      </c>
      <c r="D45" s="451">
        <f t="shared" si="3"/>
        <v>13.893048128343002</v>
      </c>
      <c r="E45" s="401">
        <f>TableB2!H43+TableB2!J43-TableB2!D43-TableB2!F43</f>
        <v>24.846827878169748</v>
      </c>
      <c r="F45" s="451">
        <f>TableB2!I43-TableB2!E43</f>
        <v>-10.953779749826746</v>
      </c>
      <c r="G45" s="400">
        <f t="shared" si="4"/>
        <v>-36.571395419799998</v>
      </c>
      <c r="H45" s="401">
        <v>-15.101116887</v>
      </c>
      <c r="I45" s="461">
        <v>-21.470278532799998</v>
      </c>
      <c r="J45" s="399">
        <v>-14.4983982965</v>
      </c>
      <c r="K45" s="463">
        <v>-0.13176399999999999</v>
      </c>
      <c r="L45" s="464">
        <v>-1.7221300602</v>
      </c>
      <c r="M45" s="452">
        <f>TableA1!B43-TableA1!M43+B45</f>
        <v>2447.6188649695541</v>
      </c>
      <c r="N45" s="455">
        <f t="shared" si="5"/>
        <v>-4.4752799982864157E-3</v>
      </c>
      <c r="O45" s="453">
        <f t="shared" si="6"/>
        <v>1.01514284898596E-2</v>
      </c>
      <c r="P45" s="453">
        <f>TableB1!D45/M45</f>
        <v>-1.8668552741346999E-2</v>
      </c>
      <c r="Q45" s="1311">
        <f t="shared" si="2"/>
        <v>-1.5946371474237879E-2</v>
      </c>
    </row>
    <row r="46" spans="1:17" ht="16" x14ac:dyDescent="0.2">
      <c r="A46" s="1297" t="s">
        <v>63</v>
      </c>
      <c r="B46" s="458">
        <f t="shared" si="0"/>
        <v>170.26600000000002</v>
      </c>
      <c r="C46" s="1310">
        <f t="shared" si="1"/>
        <v>182.001</v>
      </c>
      <c r="D46" s="451">
        <f t="shared" si="3"/>
        <v>266.529</v>
      </c>
      <c r="E46" s="401">
        <f>TableB2!H44+TableB2!J44-TableB2!D44-TableB2!F44</f>
        <v>285.185</v>
      </c>
      <c r="F46" s="451">
        <f>TableB2!I44-TableB2!E44</f>
        <v>-18.655999999999999</v>
      </c>
      <c r="G46" s="400">
        <f t="shared" si="4"/>
        <v>-93.713999999999999</v>
      </c>
      <c r="H46" s="401">
        <v>66.286000000000001</v>
      </c>
      <c r="I46" s="461">
        <v>-160</v>
      </c>
      <c r="J46" s="399">
        <v>9.1859999999999999</v>
      </c>
      <c r="K46" s="463">
        <v>-11.734999999999999</v>
      </c>
      <c r="L46" s="464">
        <v>0</v>
      </c>
      <c r="M46" s="452">
        <f>TableA1!B44-TableA1!M44+B46</f>
        <v>15449.4339</v>
      </c>
      <c r="N46" s="455">
        <f t="shared" si="5"/>
        <v>-1.2075523362703924E-3</v>
      </c>
      <c r="O46" s="453">
        <f t="shared" si="6"/>
        <v>1.8459252413125637E-2</v>
      </c>
      <c r="P46" s="453">
        <f>TableB1!D46/M46</f>
        <v>-3.2363645376028954E-2</v>
      </c>
      <c r="Q46" s="1311">
        <f t="shared" si="2"/>
        <v>1.1020856887189893E-2</v>
      </c>
    </row>
    <row r="47" spans="1:17" ht="40" customHeight="1" x14ac:dyDescent="0.2">
      <c r="A47" s="7" t="s">
        <v>64</v>
      </c>
      <c r="B47" s="459"/>
      <c r="C47" s="1312"/>
      <c r="D47" s="450"/>
      <c r="E47" s="460"/>
      <c r="F47" s="450"/>
      <c r="G47" s="400" t="e">
        <f>H47+I47</f>
        <v>#N/A</v>
      </c>
      <c r="H47" s="401" t="e">
        <v>#N/A</v>
      </c>
      <c r="I47" s="461" t="e">
        <v>#N/A</v>
      </c>
      <c r="J47" s="399" t="e">
        <v>#N/A</v>
      </c>
      <c r="K47" s="463"/>
      <c r="L47" s="464">
        <v>0</v>
      </c>
      <c r="M47" s="407"/>
      <c r="N47" s="456" t="e">
        <f t="shared" si="5"/>
        <v>#DIV/0!</v>
      </c>
      <c r="O47" s="453" t="e">
        <f t="shared" si="6"/>
        <v>#DIV/0!</v>
      </c>
      <c r="P47" s="450"/>
      <c r="Q47" s="1311"/>
    </row>
    <row r="48" spans="1:17" ht="16" x14ac:dyDescent="0.2">
      <c r="A48" s="1297" t="s">
        <v>65</v>
      </c>
      <c r="B48" s="458">
        <f t="shared" ref="B48:B54" si="7">C48+K48+L48</f>
        <v>-45.482376786579998</v>
      </c>
      <c r="C48" s="1310">
        <f t="shared" ref="C48:C54" si="8">D48+G48+J48</f>
        <v>-45.831610786580001</v>
      </c>
      <c r="D48" s="451">
        <f t="shared" ref="D48" si="9">E48+F48</f>
        <v>-21.275570972679997</v>
      </c>
      <c r="E48" s="401">
        <f>TableB2!H46+TableB2!J46-TableB2!D46-TableB2!F46</f>
        <v>-16.685762936409997</v>
      </c>
      <c r="F48" s="451">
        <f>TableB2!I46-TableB2!E46</f>
        <v>-4.58980803627</v>
      </c>
      <c r="G48" s="504">
        <f t="shared" si="4"/>
        <v>-18.623718009800001</v>
      </c>
      <c r="H48" s="401">
        <v>-4.1282420920999998</v>
      </c>
      <c r="I48" s="461">
        <v>-14.4954759177</v>
      </c>
      <c r="J48" s="399">
        <v>-5.9323218041000008</v>
      </c>
      <c r="K48" s="463">
        <v>0.34923399999999999</v>
      </c>
      <c r="L48" s="464">
        <v>0</v>
      </c>
      <c r="M48" s="452">
        <f>TableA1!B46-TableA1!M46+B48+(TableB10!I46-TableB10!R46)/1000</f>
        <v>2032.467181138315</v>
      </c>
      <c r="N48" s="455">
        <f t="shared" si="5"/>
        <v>-2.2582445998952888E-3</v>
      </c>
      <c r="O48" s="453">
        <f t="shared" si="6"/>
        <v>-8.2096100204013499E-3</v>
      </c>
      <c r="P48" s="453">
        <f>TableB1!D48/M48</f>
        <v>-9.4705132106091723E-3</v>
      </c>
      <c r="Q48" s="1311">
        <f t="shared" ref="Q48:Q54" si="10">B48/M48</f>
        <v>-2.2377914491641081E-2</v>
      </c>
    </row>
    <row r="49" spans="1:17" ht="16" x14ac:dyDescent="0.2">
      <c r="A49" s="1297" t="s">
        <v>66</v>
      </c>
      <c r="B49" s="458">
        <f t="shared" si="7"/>
        <v>-41.05697396009441</v>
      </c>
      <c r="C49" s="1310">
        <f t="shared" si="8"/>
        <v>-69.11190102659441</v>
      </c>
      <c r="D49" s="451">
        <f t="shared" ref="D49" si="11">E49+F49</f>
        <v>-34.555951026594414</v>
      </c>
      <c r="E49" s="401">
        <f>TableB2!H47+TableB2!J47-TableB2!D47-TableB2!F47</f>
        <v>-34.555951026594414</v>
      </c>
      <c r="F49" s="451">
        <f>TableB2!I47-TableB2!E47</f>
        <v>0</v>
      </c>
      <c r="G49" s="400">
        <v>-34.555950000000003</v>
      </c>
      <c r="H49" s="401"/>
      <c r="I49" s="461">
        <v>0</v>
      </c>
      <c r="J49" s="399">
        <v>0</v>
      </c>
      <c r="K49" s="463">
        <v>27.386500000000002</v>
      </c>
      <c r="L49" s="464">
        <v>0.66842706650000006</v>
      </c>
      <c r="M49" s="452">
        <f>TableA1!B47-TableA1!M47+B49+(TableB10!I47-TableB10!R47)/1000</f>
        <v>9542.7014074727304</v>
      </c>
      <c r="N49" s="455">
        <f t="shared" si="5"/>
        <v>0</v>
      </c>
      <c r="O49" s="453">
        <f t="shared" si="6"/>
        <v>-3.6211916889209409E-3</v>
      </c>
      <c r="P49" s="453">
        <f>TableB1!D49/M49</f>
        <v>3.7502039412137256E-2</v>
      </c>
      <c r="Q49" s="1311">
        <f t="shared" si="10"/>
        <v>-4.3024477249118762E-3</v>
      </c>
    </row>
    <row r="50" spans="1:17" ht="16" x14ac:dyDescent="0.2">
      <c r="A50" s="1297" t="s">
        <v>67</v>
      </c>
      <c r="B50" s="458">
        <f t="shared" si="7"/>
        <v>-5.9697216002999998</v>
      </c>
      <c r="C50" s="1310">
        <f t="shared" si="8"/>
        <v>-5.9349894003000001</v>
      </c>
      <c r="D50" s="451">
        <f>E50+F50</f>
        <v>-1.7484193972999997</v>
      </c>
      <c r="E50" s="401">
        <f>TableB2!H48+TableB2!J48-TableB2!D48-TableB2!F48</f>
        <v>-1.2611379088999999</v>
      </c>
      <c r="F50" s="451">
        <f>TableB2!I48-TableB2!E48</f>
        <v>-0.48728148839999996</v>
      </c>
      <c r="G50" s="400">
        <f t="shared" si="4"/>
        <v>-2.9548247790000004</v>
      </c>
      <c r="H50" s="401">
        <v>-0.34961508669999997</v>
      </c>
      <c r="I50" s="461">
        <v>-2.6052096923000003</v>
      </c>
      <c r="J50" s="399">
        <v>-1.231745224</v>
      </c>
      <c r="K50" s="463">
        <v>-3.4732199999999998E-2</v>
      </c>
      <c r="L50" s="464">
        <v>0</v>
      </c>
      <c r="M50" s="452">
        <f>TableA1!B48-TableA1!M48+B50+(TableB10!I48-TableB10!R48)/1000</f>
        <v>252.25768406694951</v>
      </c>
      <c r="N50" s="455">
        <f t="shared" si="5"/>
        <v>-1.9316814478907006E-3</v>
      </c>
      <c r="O50" s="453">
        <f t="shared" si="6"/>
        <v>-4.9994033425173768E-3</v>
      </c>
      <c r="P50" s="453">
        <f>TableB1!D50/M50</f>
        <v>-7.3509310530174343E-2</v>
      </c>
      <c r="Q50" s="1311">
        <f t="shared" si="10"/>
        <v>-2.3665172469892446E-2</v>
      </c>
    </row>
    <row r="51" spans="1:17" ht="16" x14ac:dyDescent="0.2">
      <c r="A51" s="1297" t="s">
        <v>68</v>
      </c>
      <c r="B51" s="458">
        <f t="shared" si="7"/>
        <v>-2.5472001676999998</v>
      </c>
      <c r="C51" s="1310">
        <f t="shared" si="8"/>
        <v>-2.4863330677</v>
      </c>
      <c r="D51" s="451">
        <f>E51+F51</f>
        <v>-1.9651139597</v>
      </c>
      <c r="E51" s="401">
        <f>TableB2!H49+TableB2!J49-TableB2!D49-TableB2!F49</f>
        <v>-0.89792523350000009</v>
      </c>
      <c r="F51" s="451">
        <f>TableB2!I49-TableB2!E49</f>
        <v>-1.0671887261999999</v>
      </c>
      <c r="G51" s="400">
        <f t="shared" si="4"/>
        <v>-0.25257986430000001</v>
      </c>
      <c r="H51" s="401">
        <v>-3.4342103999999997E-3</v>
      </c>
      <c r="I51" s="461">
        <v>-0.24914565390000001</v>
      </c>
      <c r="J51" s="399">
        <v>-0.26863924369999997</v>
      </c>
      <c r="K51" s="463">
        <v>-6.08671E-2</v>
      </c>
      <c r="L51" s="464">
        <v>0</v>
      </c>
      <c r="M51" s="452">
        <f>TableA1!B49-TableA1!M49+B51+(TableB10!I49-TableB10!R49)/1000</f>
        <v>49.283690160911952</v>
      </c>
      <c r="N51" s="455">
        <f t="shared" si="5"/>
        <v>-2.1653993901747486E-2</v>
      </c>
      <c r="O51" s="453">
        <f t="shared" si="6"/>
        <v>-1.8219521114759496E-2</v>
      </c>
      <c r="P51" s="453">
        <f>TableB1!D51/M51</f>
        <v>-3.6742384632476002E-4</v>
      </c>
      <c r="Q51" s="1311">
        <f t="shared" si="10"/>
        <v>-5.1684444881934667E-2</v>
      </c>
    </row>
    <row r="52" spans="1:17" ht="16" x14ac:dyDescent="0.2">
      <c r="A52" s="1297" t="s">
        <v>69</v>
      </c>
      <c r="B52" s="458">
        <f t="shared" si="7"/>
        <v>-26.690869753999994</v>
      </c>
      <c r="C52" s="1310">
        <f t="shared" si="8"/>
        <v>-29.068055135099996</v>
      </c>
      <c r="D52" s="451">
        <f>E52+F52</f>
        <v>-8.6814563184999987</v>
      </c>
      <c r="E52" s="401">
        <f>TableB2!H50+TableB2!J50-TableB2!D50-TableB2!F50</f>
        <v>-1.9692084181999983</v>
      </c>
      <c r="F52" s="451">
        <f>TableB2!I50-TableB2!E50</f>
        <v>-6.7122479003000004</v>
      </c>
      <c r="G52" s="400">
        <f t="shared" si="4"/>
        <v>-8.6422302068000008</v>
      </c>
      <c r="H52" s="401">
        <v>-3.6736434021999997</v>
      </c>
      <c r="I52" s="461">
        <v>-4.9685868046000001</v>
      </c>
      <c r="J52" s="399">
        <v>-11.744368609799999</v>
      </c>
      <c r="K52" s="463">
        <v>1.31857</v>
      </c>
      <c r="L52" s="464">
        <v>1.0586153811000001</v>
      </c>
      <c r="M52" s="452">
        <f>TableA1!B50-TableA1!M50+B52+(TableB10!I50-TableB10!R50)/1000</f>
        <v>1666.0116851860782</v>
      </c>
      <c r="N52" s="455">
        <f t="shared" si="5"/>
        <v>-4.0289320657137554E-3</v>
      </c>
      <c r="O52" s="453">
        <f t="shared" si="6"/>
        <v>-1.1819895596831037E-3</v>
      </c>
      <c r="P52" s="453">
        <f>TableB1!D52/M52</f>
        <v>-3.7964422433048928E-2</v>
      </c>
      <c r="Q52" s="1311">
        <f t="shared" si="10"/>
        <v>-1.6020817855799653E-2</v>
      </c>
    </row>
    <row r="53" spans="1:17" ht="16" x14ac:dyDescent="0.2">
      <c r="A53" s="1297" t="s">
        <v>338</v>
      </c>
      <c r="B53" s="458">
        <f t="shared" si="7"/>
        <v>-37.899679999999996</v>
      </c>
      <c r="C53" s="1310">
        <f t="shared" si="8"/>
        <v>-32.812439999999995</v>
      </c>
      <c r="D53" s="451">
        <f>E53+F53</f>
        <v>-23.717169999999996</v>
      </c>
      <c r="E53" s="401">
        <f>TableB2!H51+TableB2!J51-TableB2!D51-TableB2!F51</f>
        <v>-18.431759999999997</v>
      </c>
      <c r="F53" s="451">
        <f>TableB2!I51-TableB2!E51</f>
        <v>-5.2854099999999997</v>
      </c>
      <c r="G53" s="400">
        <f t="shared" si="4"/>
        <v>-6.0481500000000006</v>
      </c>
      <c r="H53" s="401">
        <v>-8.2625100000000007</v>
      </c>
      <c r="I53" s="461">
        <v>2.2143600000000001</v>
      </c>
      <c r="J53" s="399">
        <v>-3.0471200000000001</v>
      </c>
      <c r="K53" s="463">
        <v>-5.1038699999999997</v>
      </c>
      <c r="L53" s="464">
        <v>1.6629999999999999E-2</v>
      </c>
      <c r="M53" s="452">
        <f>TableA1!B51-TableA1!M51+B53+(TableB10!I51-TableB10!R51)/1000</f>
        <v>1166.1366423721297</v>
      </c>
      <c r="N53" s="455">
        <f t="shared" si="5"/>
        <v>-4.5324105323099476E-3</v>
      </c>
      <c r="O53" s="453">
        <f t="shared" si="6"/>
        <v>-1.5805832121445488E-2</v>
      </c>
      <c r="P53" s="453">
        <f>TableB1!D53/M53</f>
        <v>9.5595786933883153E-2</v>
      </c>
      <c r="Q53" s="1311">
        <f t="shared" si="10"/>
        <v>-3.2500205055648788E-2</v>
      </c>
    </row>
    <row r="54" spans="1:17" ht="16" x14ac:dyDescent="0.2">
      <c r="A54" s="1297" t="s">
        <v>71</v>
      </c>
      <c r="B54" s="458">
        <f t="shared" si="7"/>
        <v>-7.7994050635999992</v>
      </c>
      <c r="C54" s="1310">
        <f t="shared" si="8"/>
        <v>-7.6445610635999994</v>
      </c>
      <c r="D54" s="451">
        <f>E54+F54</f>
        <v>-3.7332209096999995</v>
      </c>
      <c r="E54" s="401">
        <f>TableB2!H52+TableB2!J52-TableB2!D52-TableB2!F52</f>
        <v>-3.7332209096999995</v>
      </c>
      <c r="F54" s="451">
        <f>TableB2!I52-TableB2!E52</f>
        <v>0</v>
      </c>
      <c r="G54" s="400">
        <f t="shared" si="4"/>
        <v>-3.9113401538999999</v>
      </c>
      <c r="H54" s="401">
        <v>0.56292104679999999</v>
      </c>
      <c r="I54" s="461">
        <v>-4.4742612007</v>
      </c>
      <c r="J54" s="399">
        <v>0</v>
      </c>
      <c r="K54" s="463">
        <v>-0.15484400000000001</v>
      </c>
      <c r="L54" s="464">
        <v>0</v>
      </c>
      <c r="M54" s="452">
        <f>TableA1!B52-TableA1!M52+B54+(TableB10!I52-TableB10!R52)/1000</f>
        <v>284.65241492723413</v>
      </c>
      <c r="N54" s="455">
        <f t="shared" si="5"/>
        <v>0</v>
      </c>
      <c r="O54" s="453">
        <f t="shared" si="6"/>
        <v>-1.3115015766349023E-2</v>
      </c>
      <c r="P54" s="453">
        <f>TableB1!D54/M54</f>
        <v>-1.2168856730709549E-2</v>
      </c>
      <c r="Q54" s="1311">
        <f t="shared" si="10"/>
        <v>-2.7399750202694629E-2</v>
      </c>
    </row>
    <row r="55" spans="1:17" ht="40" customHeight="1" x14ac:dyDescent="0.2">
      <c r="A55" s="7" t="s">
        <v>72</v>
      </c>
      <c r="B55" s="459"/>
      <c r="C55" s="1312"/>
      <c r="D55" s="450"/>
      <c r="E55" s="460"/>
      <c r="F55" s="450"/>
      <c r="G55" s="400" t="e">
        <f>H55+I55</f>
        <v>#N/A</v>
      </c>
      <c r="H55" s="401" t="e">
        <v>#N/A</v>
      </c>
      <c r="I55" s="461" t="e">
        <v>#N/A</v>
      </c>
      <c r="J55" s="399" t="e">
        <v>#N/A</v>
      </c>
      <c r="K55" s="463"/>
      <c r="L55" s="464"/>
      <c r="M55" s="407"/>
      <c r="N55" s="456" t="e">
        <f t="shared" si="5"/>
        <v>#DIV/0!</v>
      </c>
      <c r="O55" s="453" t="e">
        <f t="shared" si="6"/>
        <v>#DIV/0!</v>
      </c>
      <c r="P55" s="450"/>
      <c r="Q55" s="1311"/>
    </row>
    <row r="56" spans="1:17" ht="16" x14ac:dyDescent="0.2">
      <c r="A56" s="1297" t="s">
        <v>73</v>
      </c>
      <c r="B56" s="458">
        <f t="shared" ref="B56:B91" si="12">C56+K56+L56</f>
        <v>3.27E-2</v>
      </c>
      <c r="C56" s="1310">
        <f t="shared" ref="C56:C91" si="13">D56+G56+J56</f>
        <v>3.27E-2</v>
      </c>
      <c r="D56" s="451">
        <f t="shared" ref="D56:D91" si="14">E56+F56</f>
        <v>3.27E-2</v>
      </c>
      <c r="E56" s="401">
        <f>TableB2!H54+TableB2!J54-TableB2!D54-TableB2!F54</f>
        <v>3.27E-2</v>
      </c>
      <c r="F56" s="451">
        <f>TableB2!I54-TableB2!E54</f>
        <v>0</v>
      </c>
      <c r="G56" s="400">
        <f>IFERROR(H56+I56,0)</f>
        <v>0</v>
      </c>
      <c r="H56" s="401" t="e">
        <v>#N/A</v>
      </c>
      <c r="I56" s="461" t="e">
        <v>#N/A</v>
      </c>
      <c r="J56" s="399">
        <v>0</v>
      </c>
      <c r="K56" s="463">
        <v>0</v>
      </c>
      <c r="L56" s="464">
        <v>0</v>
      </c>
      <c r="M56" s="452">
        <f>TableA1!B54-TableA1!M54+B56+(TableB10!I54-TableB10!R54)/1000</f>
        <v>2.472283347091313</v>
      </c>
      <c r="N56" s="455">
        <f t="shared" si="5"/>
        <v>0</v>
      </c>
      <c r="O56" s="453">
        <f t="shared" si="6"/>
        <v>1.3226639267894658E-2</v>
      </c>
      <c r="P56" s="453" t="e">
        <f>TableB1!D56/M56</f>
        <v>#N/A</v>
      </c>
      <c r="Q56" s="1311">
        <f>B56/M56</f>
        <v>1.3226639267894658E-2</v>
      </c>
    </row>
    <row r="57" spans="1:17" ht="16" x14ac:dyDescent="0.2">
      <c r="A57" s="1297" t="s">
        <v>74</v>
      </c>
      <c r="B57" s="458">
        <f t="shared" si="12"/>
        <v>-0.1027</v>
      </c>
      <c r="C57" s="1310">
        <f t="shared" si="13"/>
        <v>-0.1027</v>
      </c>
      <c r="D57" s="451">
        <f t="shared" si="14"/>
        <v>-0.1027</v>
      </c>
      <c r="E57" s="401">
        <f>TableB2!H55+TableB2!J55-TableB2!D55-TableB2!F55</f>
        <v>-0.1027</v>
      </c>
      <c r="F57" s="451">
        <f>TableB2!I55-TableB2!E55</f>
        <v>0</v>
      </c>
      <c r="G57" s="400">
        <f t="shared" ref="G57:G91" si="15">IFERROR(H57+I57,0)</f>
        <v>0</v>
      </c>
      <c r="H57" s="401">
        <v>0</v>
      </c>
      <c r="I57" s="461">
        <v>0</v>
      </c>
      <c r="J57" s="399">
        <v>0</v>
      </c>
      <c r="K57" s="463">
        <v>0</v>
      </c>
      <c r="L57" s="464">
        <v>0</v>
      </c>
      <c r="M57" s="452">
        <f>TableA1!B55-TableA1!M55+B57+(TableB10!I55-TableB10!R55)/1000</f>
        <v>0.25094872313484867</v>
      </c>
      <c r="N57" s="455">
        <f t="shared" si="5"/>
        <v>0</v>
      </c>
      <c r="O57" s="453">
        <f t="shared" si="6"/>
        <v>-0.40924695179585985</v>
      </c>
      <c r="P57" s="453">
        <f>TableB1!D57/M57</f>
        <v>0</v>
      </c>
      <c r="Q57" s="1311">
        <f t="shared" ref="Q57:Q91" si="16">B57/M57</f>
        <v>-0.40924695179585985</v>
      </c>
    </row>
    <row r="58" spans="1:17" ht="16" x14ac:dyDescent="0.2">
      <c r="A58" s="1297" t="s">
        <v>75</v>
      </c>
      <c r="B58" s="458">
        <f t="shared" si="12"/>
        <v>-7.690000000000001E-2</v>
      </c>
      <c r="C58" s="1310">
        <f t="shared" si="13"/>
        <v>-7.690000000000001E-2</v>
      </c>
      <c r="D58" s="451">
        <f t="shared" si="14"/>
        <v>-7.690000000000001E-2</v>
      </c>
      <c r="E58" s="401">
        <f>TableB2!H56+TableB2!J56-TableB2!D56-TableB2!F56</f>
        <v>-7.690000000000001E-2</v>
      </c>
      <c r="F58" s="451">
        <f>TableB2!I56-TableB2!E56</f>
        <v>0</v>
      </c>
      <c r="G58" s="400">
        <f t="shared" si="15"/>
        <v>0</v>
      </c>
      <c r="H58" s="401">
        <v>0</v>
      </c>
      <c r="I58" s="461">
        <v>0</v>
      </c>
      <c r="J58" s="399">
        <v>0</v>
      </c>
      <c r="K58" s="463">
        <v>0</v>
      </c>
      <c r="L58" s="464">
        <v>0</v>
      </c>
      <c r="M58" s="452">
        <f>TableA1!B56-TableA1!M56+B58+(TableB10!I56-TableB10!R56)/1000</f>
        <v>1.2001899986900824</v>
      </c>
      <c r="N58" s="455">
        <f t="shared" si="5"/>
        <v>0</v>
      </c>
      <c r="O58" s="453">
        <f t="shared" si="6"/>
        <v>-6.4073188481765894E-2</v>
      </c>
      <c r="P58" s="453">
        <f>TableB1!D58/M58</f>
        <v>0</v>
      </c>
      <c r="Q58" s="1311">
        <f t="shared" si="16"/>
        <v>-6.4073188481765894E-2</v>
      </c>
    </row>
    <row r="59" spans="1:17" ht="16" x14ac:dyDescent="0.2">
      <c r="A59" s="1297" t="s">
        <v>76</v>
      </c>
      <c r="B59" s="458">
        <f t="shared" si="12"/>
        <v>-8.115642455083999E-2</v>
      </c>
      <c r="C59" s="1310">
        <f t="shared" si="13"/>
        <v>-7.7692737399999989E-2</v>
      </c>
      <c r="D59" s="451">
        <f t="shared" si="14"/>
        <v>-4.1715083799999997E-2</v>
      </c>
      <c r="E59" s="401">
        <f>TableB2!H57+TableB2!J57-TableB2!D57-TableB2!F57</f>
        <v>-4.1715083799999997E-2</v>
      </c>
      <c r="F59" s="451">
        <f>TableB2!I57-TableB2!E57</f>
        <v>0</v>
      </c>
      <c r="G59" s="400">
        <f t="shared" si="15"/>
        <v>-3.2234636799999994E-2</v>
      </c>
      <c r="H59" s="401">
        <v>1.0167597800000001E-2</v>
      </c>
      <c r="I59" s="461">
        <v>-4.2402234599999998E-2</v>
      </c>
      <c r="J59" s="399">
        <v>-3.7430167999999999E-3</v>
      </c>
      <c r="K59" s="463">
        <v>-3.4636871508399998E-3</v>
      </c>
      <c r="L59" s="464">
        <v>0</v>
      </c>
      <c r="M59" s="452">
        <f>TableA1!B57-TableA1!M57+B59+(TableB10!I57-TableB10!R57)/1000</f>
        <v>2.0602171613152462</v>
      </c>
      <c r="N59" s="455">
        <f t="shared" si="5"/>
        <v>0</v>
      </c>
      <c r="O59" s="453">
        <f t="shared" si="6"/>
        <v>-2.024790618352534E-2</v>
      </c>
      <c r="P59" s="453">
        <f>TableB1!D59/M59</f>
        <v>0.13935180110659698</v>
      </c>
      <c r="Q59" s="1311">
        <f t="shared" si="16"/>
        <v>-3.939216994922496E-2</v>
      </c>
    </row>
    <row r="60" spans="1:17" ht="16" x14ac:dyDescent="0.2">
      <c r="A60" s="1297" t="s">
        <v>152</v>
      </c>
      <c r="B60" s="458">
        <f t="shared" si="12"/>
        <v>-1.141454839196719</v>
      </c>
      <c r="C60" s="1310">
        <f t="shared" si="13"/>
        <v>-1.074958339196719</v>
      </c>
      <c r="D60" s="451">
        <f t="shared" si="14"/>
        <v>-0.73882524149671902</v>
      </c>
      <c r="E60" s="401">
        <f>TableB2!H58+TableB2!J58-TableB2!D58-TableB2!F58</f>
        <v>-0.73882524149671902</v>
      </c>
      <c r="F60" s="451">
        <f>TableB2!I58-TableB2!E58</f>
        <v>0</v>
      </c>
      <c r="G60" s="400">
        <f t="shared" si="15"/>
        <v>0</v>
      </c>
      <c r="H60" s="401">
        <v>0</v>
      </c>
      <c r="I60" s="461">
        <v>0</v>
      </c>
      <c r="J60" s="399">
        <v>-0.33613309769999999</v>
      </c>
      <c r="K60" s="463">
        <v>-6.64965E-2</v>
      </c>
      <c r="L60" s="464">
        <v>0</v>
      </c>
      <c r="M60" s="452">
        <f>TableA1!B58-TableA1!M58+B60+(TableB10!I58-TableB10!R58)/1000</f>
        <v>9.4812570036479258</v>
      </c>
      <c r="N60" s="455">
        <f t="shared" si="5"/>
        <v>0</v>
      </c>
      <c r="O60" s="453">
        <f t="shared" si="6"/>
        <v>-7.7924819590108677E-2</v>
      </c>
      <c r="P60" s="453" t="e">
        <f>TableB1!D60/M60</f>
        <v>#N/A</v>
      </c>
      <c r="Q60" s="1311">
        <f t="shared" si="16"/>
        <v>-0.12039066536826738</v>
      </c>
    </row>
    <row r="61" spans="1:17" ht="16" x14ac:dyDescent="0.2">
      <c r="A61" s="1297" t="s">
        <v>78</v>
      </c>
      <c r="B61" s="458">
        <f t="shared" si="12"/>
        <v>-0.64260805649591413</v>
      </c>
      <c r="C61" s="1310">
        <f t="shared" si="13"/>
        <v>-0.64260805649591413</v>
      </c>
      <c r="D61" s="451">
        <f t="shared" si="14"/>
        <v>-0.64260805649591413</v>
      </c>
      <c r="E61" s="401">
        <f>TableB2!H59+TableB2!J59-TableB2!D59-TableB2!F59</f>
        <v>-0.64260805649591413</v>
      </c>
      <c r="F61" s="451">
        <f>TableB2!I59-TableB2!E59</f>
        <v>0</v>
      </c>
      <c r="G61" s="400">
        <f t="shared" si="15"/>
        <v>0</v>
      </c>
      <c r="H61" s="401">
        <v>0</v>
      </c>
      <c r="I61" s="461">
        <v>0</v>
      </c>
      <c r="J61" s="399">
        <v>0</v>
      </c>
      <c r="K61" s="463">
        <v>0</v>
      </c>
      <c r="L61" s="464">
        <v>0</v>
      </c>
      <c r="M61" s="452">
        <f>TableA1!B59-TableA1!M59+B61+(TableB10!I59-TableB10!R59)/1000</f>
        <v>29.814439960067279</v>
      </c>
      <c r="N61" s="455">
        <f t="shared" si="5"/>
        <v>0</v>
      </c>
      <c r="O61" s="453">
        <f t="shared" si="6"/>
        <v>-2.1553584684354542E-2</v>
      </c>
      <c r="P61" s="453" t="e">
        <f>TableB1!D61/M61</f>
        <v>#N/A</v>
      </c>
      <c r="Q61" s="1311">
        <f t="shared" si="16"/>
        <v>-2.1553584684354542E-2</v>
      </c>
    </row>
    <row r="62" spans="1:17" ht="16" x14ac:dyDescent="0.2">
      <c r="A62" s="1297" t="s">
        <v>79</v>
      </c>
      <c r="B62" s="458">
        <f t="shared" si="12"/>
        <v>-1.8957898653382528</v>
      </c>
      <c r="C62" s="1310">
        <f t="shared" si="13"/>
        <v>-1.8957898653382528</v>
      </c>
      <c r="D62" s="451">
        <f t="shared" si="14"/>
        <v>-1.8957898653382528</v>
      </c>
      <c r="E62" s="401">
        <f>TableB2!H60+TableB2!J60-TableB2!D60-TableB2!F60</f>
        <v>-1.8957898653382528</v>
      </c>
      <c r="F62" s="451">
        <f>TableB2!I60-TableB2!E60</f>
        <v>0</v>
      </c>
      <c r="G62" s="400">
        <f t="shared" si="15"/>
        <v>0</v>
      </c>
      <c r="H62" s="401">
        <v>0</v>
      </c>
      <c r="I62" s="461">
        <v>0</v>
      </c>
      <c r="J62" s="399">
        <v>0</v>
      </c>
      <c r="K62" s="463">
        <v>0</v>
      </c>
      <c r="L62" s="464">
        <v>0</v>
      </c>
      <c r="M62" s="452">
        <f>TableA1!B60-TableA1!M60+B62+(TableB10!I60-TableB10!R60)/1000</f>
        <v>4.0310706226305815</v>
      </c>
      <c r="N62" s="455">
        <f t="shared" si="5"/>
        <v>0</v>
      </c>
      <c r="O62" s="453">
        <f t="shared" si="6"/>
        <v>-0.47029438152118136</v>
      </c>
      <c r="P62" s="453">
        <f>TableB1!D62/M62</f>
        <v>0</v>
      </c>
      <c r="Q62" s="1311">
        <f t="shared" si="16"/>
        <v>-0.47029438152118136</v>
      </c>
    </row>
    <row r="63" spans="1:17" ht="16" x14ac:dyDescent="0.2">
      <c r="A63" s="1297" t="s">
        <v>80</v>
      </c>
      <c r="B63" s="458">
        <f t="shared" si="12"/>
        <v>-0.11020450537512001</v>
      </c>
      <c r="C63" s="1310">
        <f t="shared" si="13"/>
        <v>-0.10593481310000001</v>
      </c>
      <c r="D63" s="451">
        <f t="shared" si="14"/>
        <v>-6.4989477700000006E-2</v>
      </c>
      <c r="E63" s="401">
        <f>TableB2!H61+TableB2!J61-TableB2!D61-TableB2!F61</f>
        <v>-6.4989477700000006E-2</v>
      </c>
      <c r="F63" s="451">
        <f>TableB2!I61-TableB2!E61</f>
        <v>0</v>
      </c>
      <c r="G63" s="400">
        <f t="shared" si="15"/>
        <v>-2.4430825E-2</v>
      </c>
      <c r="H63" s="401">
        <v>0</v>
      </c>
      <c r="I63" s="461">
        <v>-2.4430825E-2</v>
      </c>
      <c r="J63" s="399">
        <v>-1.6514510400000001E-2</v>
      </c>
      <c r="K63" s="463">
        <v>-4.26969227512E-3</v>
      </c>
      <c r="L63" s="464">
        <v>0</v>
      </c>
      <c r="M63" s="452">
        <f>TableA1!B61-TableA1!M61+B63+(TableB10!I61-TableB10!R61)/1000</f>
        <v>1.4368455753337859</v>
      </c>
      <c r="N63" s="455">
        <f t="shared" si="5"/>
        <v>0</v>
      </c>
      <c r="O63" s="453">
        <f t="shared" si="6"/>
        <v>-4.5230662790538674E-2</v>
      </c>
      <c r="P63" s="453">
        <f>TableB1!D63/M63</f>
        <v>-0.10368421196925889</v>
      </c>
      <c r="Q63" s="1311">
        <f t="shared" si="16"/>
        <v>-7.6698921071959317E-2</v>
      </c>
    </row>
    <row r="64" spans="1:17" ht="16" x14ac:dyDescent="0.2">
      <c r="A64" s="1297" t="s">
        <v>81</v>
      </c>
      <c r="B64" s="458">
        <f t="shared" si="12"/>
        <v>-13.834507059336662</v>
      </c>
      <c r="C64" s="1310">
        <f t="shared" si="13"/>
        <v>-15.366738824636663</v>
      </c>
      <c r="D64" s="451">
        <f t="shared" si="14"/>
        <v>-15.447398527436663</v>
      </c>
      <c r="E64" s="401">
        <f>TableB2!H62+TableB2!J62-TableB2!D62-TableB2!F62</f>
        <v>-15.447398527436663</v>
      </c>
      <c r="F64" s="451">
        <f>TableB2!I62-TableB2!E62</f>
        <v>0</v>
      </c>
      <c r="G64" s="400">
        <f t="shared" si="15"/>
        <v>0.1605242995</v>
      </c>
      <c r="H64" s="401">
        <v>2.6829983000000002E-2</v>
      </c>
      <c r="I64" s="461">
        <v>0.13369431649999999</v>
      </c>
      <c r="J64" s="399">
        <v>-7.9864596699999998E-2</v>
      </c>
      <c r="K64" s="463">
        <v>1.37815</v>
      </c>
      <c r="L64" s="464">
        <v>0.15408176530000001</v>
      </c>
      <c r="M64" s="452">
        <f>TableA1!B62-TableA1!M62+B64+(TableB10!I62-TableB10!R62)/1000</f>
        <v>7.333309392284173</v>
      </c>
      <c r="N64" s="455">
        <f t="shared" si="5"/>
        <v>0</v>
      </c>
      <c r="O64" s="453">
        <f t="shared" si="6"/>
        <v>-2.1064703125289959</v>
      </c>
      <c r="P64" s="453">
        <f>TableB1!D64/M64</f>
        <v>-8.416926407733942E-2</v>
      </c>
      <c r="Q64" s="1311">
        <f t="shared" si="16"/>
        <v>-1.8865298488418885</v>
      </c>
    </row>
    <row r="65" spans="1:17" ht="16" x14ac:dyDescent="0.2">
      <c r="A65" s="1297" t="s">
        <v>82</v>
      </c>
      <c r="B65" s="458">
        <f t="shared" si="12"/>
        <v>9.3999999999999986E-3</v>
      </c>
      <c r="C65" s="1310">
        <f t="shared" si="13"/>
        <v>9.3999999999999986E-3</v>
      </c>
      <c r="D65" s="451">
        <f t="shared" si="14"/>
        <v>9.3999999999999986E-3</v>
      </c>
      <c r="E65" s="401">
        <f>TableB2!H63+TableB2!J63-TableB2!D63-TableB2!F63</f>
        <v>9.3999999999999986E-3</v>
      </c>
      <c r="F65" s="451">
        <f>TableB2!I63-TableB2!E63</f>
        <v>0</v>
      </c>
      <c r="G65" s="400">
        <f t="shared" si="15"/>
        <v>0</v>
      </c>
      <c r="H65" s="401" t="e">
        <v>#N/A</v>
      </c>
      <c r="I65" s="461" t="e">
        <v>#N/A</v>
      </c>
      <c r="J65" s="399">
        <v>0</v>
      </c>
      <c r="K65" s="463">
        <v>0</v>
      </c>
      <c r="L65" s="464">
        <v>0</v>
      </c>
      <c r="M65" s="452">
        <f>TableA1!B63-TableA1!M63+B65+(TableB10!I63-TableB10!R63)/1000</f>
        <v>0.35471805944617224</v>
      </c>
      <c r="N65" s="455">
        <f t="shared" si="5"/>
        <v>0</v>
      </c>
      <c r="O65" s="453">
        <f t="shared" si="6"/>
        <v>2.6499919442151861E-2</v>
      </c>
      <c r="P65" s="453" t="e">
        <f>TableB1!D65/M65</f>
        <v>#N/A</v>
      </c>
      <c r="Q65" s="1311">
        <f t="shared" si="16"/>
        <v>2.6499919442151861E-2</v>
      </c>
    </row>
    <row r="66" spans="1:17" s="512" customFormat="1" ht="16" x14ac:dyDescent="0.2">
      <c r="A66" s="1103" t="s">
        <v>153</v>
      </c>
      <c r="B66" s="501">
        <f t="shared" si="12"/>
        <v>4.0091023290772432</v>
      </c>
      <c r="C66" s="1313">
        <f t="shared" si="13"/>
        <v>4.0091023290772432</v>
      </c>
      <c r="D66" s="502">
        <f t="shared" si="14"/>
        <v>4.0091023290772432</v>
      </c>
      <c r="E66" s="503">
        <f>TableB2!H64+TableB2!J64-TableB2!D64-TableB2!F64</f>
        <v>4.0091023290772432</v>
      </c>
      <c r="F66" s="502">
        <f>TableB2!I64-TableB2!E64</f>
        <v>0</v>
      </c>
      <c r="G66" s="504">
        <f t="shared" si="15"/>
        <v>0</v>
      </c>
      <c r="H66" s="503" t="e">
        <v>#N/A</v>
      </c>
      <c r="I66" s="505" t="e">
        <v>#N/A</v>
      </c>
      <c r="J66" s="506">
        <v>0</v>
      </c>
      <c r="K66" s="507">
        <v>0</v>
      </c>
      <c r="L66" s="508">
        <v>0</v>
      </c>
      <c r="M66" s="509">
        <f>TableA1!B64-TableA1!M64+B66+(TableB10!I64-TableB10!R64)/1000</f>
        <v>0.79141469991593816</v>
      </c>
      <c r="N66" s="510">
        <f t="shared" si="5"/>
        <v>0</v>
      </c>
      <c r="O66" s="511">
        <f t="shared" si="6"/>
        <v>5.0657415505462291</v>
      </c>
      <c r="P66" s="511" t="e">
        <f>TableB1!D66/M66</f>
        <v>#N/A</v>
      </c>
      <c r="Q66" s="1314">
        <f t="shared" si="16"/>
        <v>5.0657415505462291</v>
      </c>
    </row>
    <row r="67" spans="1:17" s="512" customFormat="1" ht="16" x14ac:dyDescent="0.2">
      <c r="A67" s="513" t="s">
        <v>84</v>
      </c>
      <c r="B67" s="501">
        <f t="shared" si="12"/>
        <v>-16.042018175138416</v>
      </c>
      <c r="C67" s="1313">
        <f t="shared" si="13"/>
        <v>-16.042018175138416</v>
      </c>
      <c r="D67" s="502">
        <f t="shared" si="14"/>
        <v>-16.042018175138416</v>
      </c>
      <c r="E67" s="503">
        <f>TableB2!H65+TableB2!J65-TableB2!D65-TableB2!F65</f>
        <v>-16.042018175138416</v>
      </c>
      <c r="F67" s="502">
        <f>TableB2!I65-TableB2!E65</f>
        <v>0</v>
      </c>
      <c r="G67" s="504">
        <f t="shared" si="15"/>
        <v>0</v>
      </c>
      <c r="H67" s="503" t="e">
        <v>#N/A</v>
      </c>
      <c r="I67" s="505" t="e">
        <v>#N/A</v>
      </c>
      <c r="J67" s="506">
        <v>0</v>
      </c>
      <c r="K67" s="507">
        <v>0</v>
      </c>
      <c r="L67" s="508">
        <v>0</v>
      </c>
      <c r="M67" s="509">
        <f>TableA1!B65-TableA1!M65+B67+(TableB10!I65-TableB10!R65)/1000</f>
        <v>3.2593377369734728</v>
      </c>
      <c r="N67" s="510">
        <f t="shared" si="5"/>
        <v>0</v>
      </c>
      <c r="O67" s="511">
        <f t="shared" si="6"/>
        <v>-4.9218643386231502</v>
      </c>
      <c r="P67" s="511" t="e">
        <f>TableB1!D67/M67</f>
        <v>#N/A</v>
      </c>
      <c r="Q67" s="1314">
        <f t="shared" si="16"/>
        <v>-4.9218643386231502</v>
      </c>
    </row>
    <row r="68" spans="1:17" s="512" customFormat="1" ht="16" x14ac:dyDescent="0.2">
      <c r="A68" s="1103" t="s">
        <v>85</v>
      </c>
      <c r="B68" s="501">
        <f t="shared" si="12"/>
        <v>2.2305740073400941</v>
      </c>
      <c r="C68" s="1313">
        <f t="shared" si="13"/>
        <v>2.1909483090395341</v>
      </c>
      <c r="D68" s="502">
        <f t="shared" si="14"/>
        <v>2.1990097615395339</v>
      </c>
      <c r="E68" s="503">
        <f>TableB2!H66+TableB2!J66-TableB2!D66-TableB2!F66</f>
        <v>2.1990097615395339</v>
      </c>
      <c r="F68" s="502">
        <f>TableB2!I66-TableB2!E66</f>
        <v>0</v>
      </c>
      <c r="G68" s="504">
        <f t="shared" si="15"/>
        <v>-1.2268156400000001E-2</v>
      </c>
      <c r="H68" s="503">
        <v>-8.2067039000000008E-3</v>
      </c>
      <c r="I68" s="505">
        <v>-4.0614524999999999E-3</v>
      </c>
      <c r="J68" s="506">
        <v>4.2067039000000007E-3</v>
      </c>
      <c r="K68" s="507">
        <v>4.2642458100559999E-2</v>
      </c>
      <c r="L68" s="508">
        <v>-3.0167597999999998E-3</v>
      </c>
      <c r="M68" s="509">
        <f>TableA1!B66-TableA1!M66+B68+(TableB10!I66-TableB10!R66)/1000</f>
        <v>2.4748769924524794</v>
      </c>
      <c r="N68" s="510">
        <f t="shared" si="5"/>
        <v>0</v>
      </c>
      <c r="O68" s="511">
        <f t="shared" si="6"/>
        <v>0.88853295264603238</v>
      </c>
      <c r="P68" s="511">
        <f>TableB1!D68/M68</f>
        <v>-0.19153144226787333</v>
      </c>
      <c r="Q68" s="1314">
        <f t="shared" si="16"/>
        <v>0.90128681713983161</v>
      </c>
    </row>
    <row r="69" spans="1:17" s="512" customFormat="1" ht="16" x14ac:dyDescent="0.2">
      <c r="A69" s="1103" t="s">
        <v>86</v>
      </c>
      <c r="B69" s="501">
        <f t="shared" si="12"/>
        <v>-2.8674717586952285</v>
      </c>
      <c r="C69" s="1313">
        <f t="shared" si="13"/>
        <v>-2.9203411463952285</v>
      </c>
      <c r="D69" s="502">
        <f t="shared" si="14"/>
        <v>-2.2882870559952284</v>
      </c>
      <c r="E69" s="503">
        <f>TableB2!H67+TableB2!J67-TableB2!D67-TableB2!F67</f>
        <v>-2.2882870559952284</v>
      </c>
      <c r="F69" s="502">
        <f>TableB2!I67-TableB2!E67</f>
        <v>0</v>
      </c>
      <c r="G69" s="504">
        <f t="shared" si="15"/>
        <v>1.1075343800000026E-2</v>
      </c>
      <c r="H69" s="503">
        <v>0.28301673380000003</v>
      </c>
      <c r="I69" s="505">
        <v>-0.27194139000000001</v>
      </c>
      <c r="J69" s="506">
        <v>-0.64312943420000002</v>
      </c>
      <c r="K69" s="507">
        <v>-1.04276E-2</v>
      </c>
      <c r="L69" s="508">
        <v>6.3296987700000001E-2</v>
      </c>
      <c r="M69" s="509">
        <f>TableA1!B67-TableA1!M67+B69+(TableB10!I67-TableB10!R67)/1000</f>
        <v>17.313380320371792</v>
      </c>
      <c r="N69" s="510">
        <f t="shared" si="5"/>
        <v>0</v>
      </c>
      <c r="O69" s="511">
        <f t="shared" si="6"/>
        <v>-0.13216870499302294</v>
      </c>
      <c r="P69" s="511">
        <f>TableB1!D69/M69</f>
        <v>3.43661972988544E-3</v>
      </c>
      <c r="Q69" s="1314">
        <f t="shared" si="16"/>
        <v>-0.16562171601586187</v>
      </c>
    </row>
    <row r="70" spans="1:17" s="512" customFormat="1" ht="16" x14ac:dyDescent="0.2">
      <c r="A70" s="1103" t="s">
        <v>87</v>
      </c>
      <c r="B70" s="501">
        <f t="shared" si="12"/>
        <v>-2.0350376390608886</v>
      </c>
      <c r="C70" s="1313">
        <f t="shared" si="13"/>
        <v>-2.0350376390608886</v>
      </c>
      <c r="D70" s="502">
        <f t="shared" si="14"/>
        <v>-2.0350376390608886</v>
      </c>
      <c r="E70" s="503">
        <f>TableB2!H68+TableB2!J68-TableB2!D68-TableB2!F68</f>
        <v>-2.0350376390608886</v>
      </c>
      <c r="F70" s="502">
        <f>TableB2!I68-TableB2!E68</f>
        <v>0</v>
      </c>
      <c r="G70" s="504">
        <f t="shared" si="15"/>
        <v>0</v>
      </c>
      <c r="H70" s="503" t="e">
        <v>#N/A</v>
      </c>
      <c r="I70" s="505" t="e">
        <v>#N/A</v>
      </c>
      <c r="J70" s="506">
        <v>0</v>
      </c>
      <c r="K70" s="507">
        <v>0</v>
      </c>
      <c r="L70" s="508">
        <v>0</v>
      </c>
      <c r="M70" s="509">
        <f>TableA1!B68-TableA1!M68+B70+(TableB10!I68-TableB10!R68)/1000</f>
        <v>5.3254059595000705</v>
      </c>
      <c r="N70" s="510">
        <f t="shared" si="5"/>
        <v>0</v>
      </c>
      <c r="O70" s="511">
        <f t="shared" si="6"/>
        <v>-0.38213755994142662</v>
      </c>
      <c r="P70" s="511" t="e">
        <f>TableB1!D70/M70</f>
        <v>#N/A</v>
      </c>
      <c r="Q70" s="1314">
        <f t="shared" si="16"/>
        <v>-0.38213755994142662</v>
      </c>
    </row>
    <row r="71" spans="1:17" s="512" customFormat="1" ht="16" x14ac:dyDescent="0.2">
      <c r="A71" s="1103" t="s">
        <v>88</v>
      </c>
      <c r="B71" s="501">
        <f t="shared" si="12"/>
        <v>-1.52E-2</v>
      </c>
      <c r="C71" s="1313">
        <f t="shared" si="13"/>
        <v>-1.52E-2</v>
      </c>
      <c r="D71" s="502">
        <f t="shared" si="14"/>
        <v>-1.52E-2</v>
      </c>
      <c r="E71" s="503">
        <f>TableB2!H69+TableB2!J69-TableB2!D69-TableB2!F69</f>
        <v>-1.52E-2</v>
      </c>
      <c r="F71" s="502">
        <f>TableB2!I69-TableB2!E69</f>
        <v>0</v>
      </c>
      <c r="G71" s="504">
        <f t="shared" si="15"/>
        <v>0</v>
      </c>
      <c r="H71" s="503">
        <v>0</v>
      </c>
      <c r="I71" s="505">
        <v>0</v>
      </c>
      <c r="J71" s="506">
        <v>0</v>
      </c>
      <c r="K71" s="507">
        <v>0</v>
      </c>
      <c r="L71" s="508">
        <v>0</v>
      </c>
      <c r="M71" s="509">
        <f>TableA1!B69-TableA1!M69+B71+(TableB10!I69-TableB10!R69)/1000</f>
        <v>0.86626234229196941</v>
      </c>
      <c r="N71" s="510">
        <f t="shared" si="5"/>
        <v>0</v>
      </c>
      <c r="O71" s="511">
        <f t="shared" si="6"/>
        <v>-1.7546647543033696E-2</v>
      </c>
      <c r="P71" s="511">
        <f>TableB1!D71/M71</f>
        <v>0</v>
      </c>
      <c r="Q71" s="1314">
        <f t="shared" si="16"/>
        <v>-1.7546647543033696E-2</v>
      </c>
    </row>
    <row r="72" spans="1:17" s="512" customFormat="1" ht="16" x14ac:dyDescent="0.2">
      <c r="A72" s="1103" t="s">
        <v>89</v>
      </c>
      <c r="B72" s="501">
        <f t="shared" si="12"/>
        <v>1.9626714972368675</v>
      </c>
      <c r="C72" s="1313">
        <f t="shared" si="13"/>
        <v>1.9626714972368675</v>
      </c>
      <c r="D72" s="502">
        <f t="shared" si="14"/>
        <v>1.9626714972368675</v>
      </c>
      <c r="E72" s="503">
        <f>TableB2!H70+TableB2!J70-TableB2!D70-TableB2!F70</f>
        <v>1.9626714972368675</v>
      </c>
      <c r="F72" s="502">
        <f>TableB2!I70-TableB2!E70</f>
        <v>0</v>
      </c>
      <c r="G72" s="504">
        <f t="shared" si="15"/>
        <v>0</v>
      </c>
      <c r="H72" s="503" t="e">
        <v>#N/A</v>
      </c>
      <c r="I72" s="505" t="e">
        <v>#N/A</v>
      </c>
      <c r="J72" s="506">
        <v>0</v>
      </c>
      <c r="K72" s="507">
        <v>0</v>
      </c>
      <c r="L72" s="508">
        <v>0</v>
      </c>
      <c r="M72" s="509">
        <f>TableA1!B70-TableA1!M70+B72+(TableB10!I70-TableB10!R70)/1000</f>
        <v>3.7024881449618121</v>
      </c>
      <c r="N72" s="510">
        <f t="shared" si="5"/>
        <v>0</v>
      </c>
      <c r="O72" s="511">
        <f t="shared" si="6"/>
        <v>0.53009528198154721</v>
      </c>
      <c r="P72" s="511" t="e">
        <f>TableB1!D72/M72</f>
        <v>#N/A</v>
      </c>
      <c r="Q72" s="1314">
        <f t="shared" si="16"/>
        <v>0.53009528198154721</v>
      </c>
    </row>
    <row r="73" spans="1:17" s="512" customFormat="1" ht="16" x14ac:dyDescent="0.2">
      <c r="A73" s="1103" t="s">
        <v>90</v>
      </c>
      <c r="B73" s="501">
        <f t="shared" si="12"/>
        <v>2.7822519102711953</v>
      </c>
      <c r="C73" s="1313">
        <f t="shared" si="13"/>
        <v>2.7822519102711953</v>
      </c>
      <c r="D73" s="502">
        <f t="shared" si="14"/>
        <v>2.7822519102711953</v>
      </c>
      <c r="E73" s="503">
        <f>TableB2!H71+TableB2!J71-TableB2!D71-TableB2!F71</f>
        <v>2.7822519102711953</v>
      </c>
      <c r="F73" s="502">
        <f>TableB2!I71-TableB2!E71</f>
        <v>0</v>
      </c>
      <c r="G73" s="504">
        <f t="shared" si="15"/>
        <v>0</v>
      </c>
      <c r="H73" s="503" t="e">
        <v>#N/A</v>
      </c>
      <c r="I73" s="505" t="e">
        <v>#N/A</v>
      </c>
      <c r="J73" s="506">
        <v>0</v>
      </c>
      <c r="K73" s="507">
        <v>0</v>
      </c>
      <c r="L73" s="508">
        <v>0</v>
      </c>
      <c r="M73" s="509">
        <f>TableA1!B71-TableA1!M71+B73+(TableB10!I71-TableB10!R71)/1000</f>
        <v>2.2071667262121482</v>
      </c>
      <c r="N73" s="510">
        <f t="shared" si="5"/>
        <v>0</v>
      </c>
      <c r="O73" s="511">
        <f t="shared" si="6"/>
        <v>1.2605535763245153</v>
      </c>
      <c r="P73" s="511" t="e">
        <f>TableB1!D73/M73</f>
        <v>#N/A</v>
      </c>
      <c r="Q73" s="1314">
        <f t="shared" si="16"/>
        <v>1.2605535763245153</v>
      </c>
    </row>
    <row r="74" spans="1:17" s="512" customFormat="1" ht="16" x14ac:dyDescent="0.2">
      <c r="A74" s="1103" t="s">
        <v>91</v>
      </c>
      <c r="B74" s="501">
        <f t="shared" si="12"/>
        <v>5.2383283872999993</v>
      </c>
      <c r="C74" s="1313">
        <f t="shared" si="13"/>
        <v>5.6101193872999993</v>
      </c>
      <c r="D74" s="502">
        <f t="shared" si="14"/>
        <v>-15.315460612700001</v>
      </c>
      <c r="E74" s="503">
        <f>TableB2!H72+TableB2!J72-TableB2!D72-TableB2!F72</f>
        <v>-15.315460612700001</v>
      </c>
      <c r="F74" s="502">
        <f>TableB2!I72-TableB2!E72</f>
        <v>0</v>
      </c>
      <c r="G74" s="504">
        <f t="shared" si="15"/>
        <v>16.1962192403</v>
      </c>
      <c r="H74" s="503">
        <v>6.7826281376999997</v>
      </c>
      <c r="I74" s="505">
        <v>9.4135911025999999</v>
      </c>
      <c r="J74" s="506">
        <v>4.7293607597000005</v>
      </c>
      <c r="K74" s="507">
        <v>-0.37179099999999998</v>
      </c>
      <c r="L74" s="508">
        <v>0</v>
      </c>
      <c r="M74" s="509">
        <f>TableA1!B72-TableA1!M72+B74+(TableB10!I72-TableB10!R72)/1000</f>
        <v>275.32309900507698</v>
      </c>
      <c r="N74" s="510">
        <f t="shared" si="5"/>
        <v>0</v>
      </c>
      <c r="O74" s="511">
        <f t="shared" si="6"/>
        <v>-5.5627227312364309E-2</v>
      </c>
      <c r="P74" s="511" t="e">
        <f>TableB1!D74/M74</f>
        <v>#N/A</v>
      </c>
      <c r="Q74" s="1314">
        <f t="shared" si="16"/>
        <v>1.902611297864043E-2</v>
      </c>
    </row>
    <row r="75" spans="1:17" s="512" customFormat="1" ht="16" x14ac:dyDescent="0.2">
      <c r="A75" s="1103" t="s">
        <v>92</v>
      </c>
      <c r="B75" s="501">
        <f t="shared" si="12"/>
        <v>-0.57979007685009587</v>
      </c>
      <c r="C75" s="1313">
        <f t="shared" si="13"/>
        <v>-0.57979007685009587</v>
      </c>
      <c r="D75" s="502">
        <f t="shared" si="14"/>
        <v>-0.57979007685009587</v>
      </c>
      <c r="E75" s="503">
        <f>TableB2!H73+TableB2!J73-TableB2!D73-TableB2!F73</f>
        <v>-0.57979007685009587</v>
      </c>
      <c r="F75" s="502">
        <f>TableB2!I73-TableB2!E73</f>
        <v>0</v>
      </c>
      <c r="G75" s="504">
        <f t="shared" si="15"/>
        <v>0</v>
      </c>
      <c r="H75" s="503" t="e">
        <v>#N/A</v>
      </c>
      <c r="I75" s="505" t="e">
        <v>#N/A</v>
      </c>
      <c r="J75" s="506">
        <v>0</v>
      </c>
      <c r="K75" s="507">
        <v>0</v>
      </c>
      <c r="L75" s="508">
        <v>0</v>
      </c>
      <c r="M75" s="509">
        <f>TableA1!B73-TableA1!M73+B75+(TableB10!I73-TableB10!R73)/1000</f>
        <v>5.9729132708255319</v>
      </c>
      <c r="N75" s="510">
        <f t="shared" si="5"/>
        <v>0</v>
      </c>
      <c r="O75" s="511">
        <f t="shared" si="6"/>
        <v>-9.706989714417226E-2</v>
      </c>
      <c r="P75" s="511" t="e">
        <f>TableB1!D75/M75</f>
        <v>#N/A</v>
      </c>
      <c r="Q75" s="1314">
        <f t="shared" si="16"/>
        <v>-9.706989714417226E-2</v>
      </c>
    </row>
    <row r="76" spans="1:17" s="512" customFormat="1" ht="16" x14ac:dyDescent="0.2">
      <c r="A76" s="1103" t="s">
        <v>93</v>
      </c>
      <c r="B76" s="501">
        <f t="shared" si="12"/>
        <v>-0.53632502800000004</v>
      </c>
      <c r="C76" s="1313">
        <f t="shared" si="13"/>
        <v>-0.76471102800000001</v>
      </c>
      <c r="D76" s="502">
        <f t="shared" si="14"/>
        <v>5.1541391299999934E-2</v>
      </c>
      <c r="E76" s="503">
        <f>TableB2!H74+TableB2!J74-TableB2!D74-TableB2!F74</f>
        <v>5.1541391299999934E-2</v>
      </c>
      <c r="F76" s="502">
        <f>TableB2!I74-TableB2!E74</f>
        <v>0</v>
      </c>
      <c r="G76" s="504">
        <f t="shared" si="15"/>
        <v>-3.4749963799999992E-2</v>
      </c>
      <c r="H76" s="503">
        <v>2.9951687500000001E-2</v>
      </c>
      <c r="I76" s="505">
        <v>-6.4701651299999996E-2</v>
      </c>
      <c r="J76" s="506">
        <v>-0.78150245549999997</v>
      </c>
      <c r="K76" s="507">
        <v>0.22838600000000001</v>
      </c>
      <c r="L76" s="508">
        <v>0</v>
      </c>
      <c r="M76" s="509">
        <f>TableA1!B74-TableA1!M74+B76+(TableB10!I74-TableB10!R74)/1000</f>
        <v>42.955689514828869</v>
      </c>
      <c r="N76" s="510">
        <f t="shared" si="5"/>
        <v>0</v>
      </c>
      <c r="O76" s="511">
        <f t="shared" si="6"/>
        <v>1.1998734482473426E-3</v>
      </c>
      <c r="P76" s="511">
        <f>TableB1!D76/M76</f>
        <v>-0.25376082534624461</v>
      </c>
      <c r="Q76" s="1314">
        <f t="shared" si="16"/>
        <v>-1.248554112522984E-2</v>
      </c>
    </row>
    <row r="77" spans="1:17" s="512" customFormat="1" ht="16" x14ac:dyDescent="0.2">
      <c r="A77" s="1103" t="s">
        <v>94</v>
      </c>
      <c r="B77" s="501">
        <f t="shared" si="12"/>
        <v>1.7876512367491164</v>
      </c>
      <c r="C77" s="1313">
        <f t="shared" si="13"/>
        <v>1.7876512367491164</v>
      </c>
      <c r="D77" s="502">
        <f t="shared" si="14"/>
        <v>1.7876512367491164</v>
      </c>
      <c r="E77" s="503">
        <f>TableB2!H75+TableB2!J75-TableB2!D75-TableB2!F75</f>
        <v>1.7876512367491164</v>
      </c>
      <c r="F77" s="502">
        <f>TableB2!I75-TableB2!E75</f>
        <v>0</v>
      </c>
      <c r="G77" s="504">
        <f t="shared" si="15"/>
        <v>0</v>
      </c>
      <c r="H77" s="503" t="e">
        <v>#N/A</v>
      </c>
      <c r="I77" s="505" t="e">
        <v>#N/A</v>
      </c>
      <c r="J77" s="506">
        <v>0</v>
      </c>
      <c r="K77" s="507">
        <v>0</v>
      </c>
      <c r="L77" s="508">
        <v>0</v>
      </c>
      <c r="M77" s="509">
        <f>TableA1!B75-TableA1!M75+B77+(TableB10!I75-TableB10!R75)/1000</f>
        <v>5.4987517933034953</v>
      </c>
      <c r="N77" s="510">
        <f t="shared" ref="N77:N91" si="17">(F77)/M77</f>
        <v>0</v>
      </c>
      <c r="O77" s="511">
        <f t="shared" ref="O77:O91" si="18">(E77)/M77</f>
        <v>0.3251012782439387</v>
      </c>
      <c r="P77" s="511" t="e">
        <f>TableB1!D77/M77</f>
        <v>#N/A</v>
      </c>
      <c r="Q77" s="1314">
        <f t="shared" si="16"/>
        <v>0.3251012782439387</v>
      </c>
    </row>
    <row r="78" spans="1:17" s="512" customFormat="1" ht="16" x14ac:dyDescent="0.2">
      <c r="A78" s="1103" t="s">
        <v>95</v>
      </c>
      <c r="B78" s="501">
        <f t="shared" si="12"/>
        <v>-3.7243811860999996</v>
      </c>
      <c r="C78" s="1313">
        <f t="shared" si="13"/>
        <v>-3.4824751860999994</v>
      </c>
      <c r="D78" s="502">
        <f t="shared" si="14"/>
        <v>-6.3523999999999994</v>
      </c>
      <c r="E78" s="503">
        <f>TableB2!H76+TableB2!J76-TableB2!D76-TableB2!F76</f>
        <v>-6.3523999999999994</v>
      </c>
      <c r="F78" s="502">
        <f>TableB2!I76-TableB2!E76</f>
        <v>0</v>
      </c>
      <c r="G78" s="504">
        <f t="shared" si="15"/>
        <v>1.6818003725000001</v>
      </c>
      <c r="H78" s="503">
        <v>0.56666373870000009</v>
      </c>
      <c r="I78" s="505">
        <v>1.1151366337999999</v>
      </c>
      <c r="J78" s="506">
        <v>1.1881244414000001</v>
      </c>
      <c r="K78" s="507">
        <v>-0.24190600000000001</v>
      </c>
      <c r="L78" s="508">
        <v>0</v>
      </c>
      <c r="M78" s="509">
        <f>TableA1!B76-TableA1!M76+B78+(TableB10!I76-TableB10!R76)/1000</f>
        <v>37.088087758640761</v>
      </c>
      <c r="N78" s="510">
        <f t="shared" si="17"/>
        <v>0</v>
      </c>
      <c r="O78" s="511">
        <f t="shared" si="18"/>
        <v>-0.17127871464659217</v>
      </c>
      <c r="P78" s="511" t="e">
        <f>TableB1!D78/M78</f>
        <v>#N/A</v>
      </c>
      <c r="Q78" s="1314">
        <f t="shared" si="16"/>
        <v>-0.10041987633164763</v>
      </c>
    </row>
    <row r="79" spans="1:17" s="512" customFormat="1" ht="16" x14ac:dyDescent="0.2">
      <c r="A79" s="1103" t="s">
        <v>96</v>
      </c>
      <c r="B79" s="501">
        <f t="shared" si="12"/>
        <v>0.25530257497035636</v>
      </c>
      <c r="C79" s="1313">
        <f t="shared" si="13"/>
        <v>0.38682656187035641</v>
      </c>
      <c r="D79" s="502">
        <f t="shared" si="14"/>
        <v>-9.2496091507296434</v>
      </c>
      <c r="E79" s="503">
        <f>TableB2!H77+TableB2!J77-TableB2!D77-TableB2!F77</f>
        <v>-9.2496091507296434</v>
      </c>
      <c r="F79" s="502">
        <f>TableB2!I77-TableB2!E77</f>
        <v>0</v>
      </c>
      <c r="G79" s="504">
        <f t="shared" si="15"/>
        <v>9.3518768472999998</v>
      </c>
      <c r="H79" s="503">
        <v>8.2261775245000006</v>
      </c>
      <c r="I79" s="505">
        <v>1.1256993227999998</v>
      </c>
      <c r="J79" s="506">
        <v>0.28455886530000002</v>
      </c>
      <c r="K79" s="507">
        <v>-3.8364299999999997E-2</v>
      </c>
      <c r="L79" s="508">
        <v>-9.3159686900000011E-2</v>
      </c>
      <c r="M79" s="509">
        <f>TableA1!B77-TableA1!M77+B79+(TableB10!I77-TableB10!R77)/1000</f>
        <v>8.0329894691828354</v>
      </c>
      <c r="N79" s="510">
        <f t="shared" si="17"/>
        <v>0</v>
      </c>
      <c r="O79" s="511">
        <f t="shared" si="18"/>
        <v>-1.1514529162790712</v>
      </c>
      <c r="P79" s="511">
        <f>TableB1!D79/M79</f>
        <v>0.10228535529047368</v>
      </c>
      <c r="Q79" s="1314">
        <f t="shared" si="16"/>
        <v>3.1781763931072016E-2</v>
      </c>
    </row>
    <row r="80" spans="1:17" s="512" customFormat="1" ht="16" x14ac:dyDescent="0.2">
      <c r="A80" s="1103" t="s">
        <v>97</v>
      </c>
      <c r="B80" s="501">
        <f t="shared" si="12"/>
        <v>0.28108196978038985</v>
      </c>
      <c r="C80" s="1313">
        <f t="shared" si="13"/>
        <v>0.28108196978038985</v>
      </c>
      <c r="D80" s="502">
        <f t="shared" si="14"/>
        <v>0.28108196978038985</v>
      </c>
      <c r="E80" s="503">
        <f>TableB2!H78+TableB2!J78-TableB2!D78-TableB2!F78</f>
        <v>0.28108196978038985</v>
      </c>
      <c r="F80" s="502">
        <f>TableB2!I78-TableB2!E78</f>
        <v>0</v>
      </c>
      <c r="G80" s="504">
        <f t="shared" si="15"/>
        <v>0</v>
      </c>
      <c r="H80" s="503" t="e">
        <v>#N/A</v>
      </c>
      <c r="I80" s="505" t="e">
        <v>#N/A</v>
      </c>
      <c r="J80" s="506">
        <v>0</v>
      </c>
      <c r="K80" s="507">
        <v>0</v>
      </c>
      <c r="L80" s="508">
        <v>0</v>
      </c>
      <c r="M80" s="509">
        <f>TableA1!B78-TableA1!M78+B80+(TableB10!I78-TableB10!R78)/1000</f>
        <v>0.15629275994494929</v>
      </c>
      <c r="N80" s="510">
        <f t="shared" si="17"/>
        <v>0</v>
      </c>
      <c r="O80" s="511">
        <f t="shared" si="18"/>
        <v>1.7984324410125896</v>
      </c>
      <c r="P80" s="511" t="e">
        <f>TableB1!D80/M80</f>
        <v>#N/A</v>
      </c>
      <c r="Q80" s="1314">
        <f t="shared" si="16"/>
        <v>1.7984324410125896</v>
      </c>
    </row>
    <row r="81" spans="1:17" ht="16" x14ac:dyDescent="0.2">
      <c r="A81" s="1297" t="s">
        <v>98</v>
      </c>
      <c r="B81" s="458">
        <f t="shared" si="12"/>
        <v>0</v>
      </c>
      <c r="C81" s="1310">
        <f t="shared" si="13"/>
        <v>0</v>
      </c>
      <c r="D81" s="451">
        <f t="shared" si="14"/>
        <v>0</v>
      </c>
      <c r="E81" s="401">
        <f>TableB2!H79+TableB2!J79-TableB2!D79-TableB2!F79</f>
        <v>0</v>
      </c>
      <c r="F81" s="451">
        <f>TableB2!I79-TableB2!E79</f>
        <v>0</v>
      </c>
      <c r="G81" s="400">
        <f t="shared" si="15"/>
        <v>0</v>
      </c>
      <c r="H81" s="401" t="e">
        <v>#N/A</v>
      </c>
      <c r="I81" s="461" t="e">
        <v>#N/A</v>
      </c>
      <c r="J81" s="399">
        <v>0</v>
      </c>
      <c r="K81" s="463">
        <v>0</v>
      </c>
      <c r="L81" s="464">
        <v>0</v>
      </c>
      <c r="M81" s="452">
        <f>TableA1!B79-TableA1!M79+B81+(TableB10!I79-TableB10!R79)/1000</f>
        <v>5.0474669953517299</v>
      </c>
      <c r="N81" s="455">
        <f t="shared" si="17"/>
        <v>0</v>
      </c>
      <c r="O81" s="453">
        <f t="shared" si="18"/>
        <v>0</v>
      </c>
      <c r="P81" s="453" t="e">
        <f>TableB1!D81/M81</f>
        <v>#N/A</v>
      </c>
      <c r="Q81" s="1311">
        <f t="shared" si="16"/>
        <v>0</v>
      </c>
    </row>
    <row r="82" spans="1:17" ht="16" x14ac:dyDescent="0.2">
      <c r="A82" s="1297" t="s">
        <v>99</v>
      </c>
      <c r="B82" s="458">
        <f t="shared" si="12"/>
        <v>-1.63765045E-2</v>
      </c>
      <c r="C82" s="1310">
        <f t="shared" si="13"/>
        <v>-2.1739664799999999E-2</v>
      </c>
      <c r="D82" s="451">
        <f t="shared" si="14"/>
        <v>-3.5217877E-3</v>
      </c>
      <c r="E82" s="401">
        <f>TableB2!H80+TableB2!J80-TableB2!D80-TableB2!F80</f>
        <v>-3.5217877E-3</v>
      </c>
      <c r="F82" s="451">
        <f>TableB2!I80-TableB2!E80</f>
        <v>0</v>
      </c>
      <c r="G82" s="400">
        <f t="shared" si="15"/>
        <v>-6.5698323999999995E-3</v>
      </c>
      <c r="H82" s="401">
        <v>2.1564246000000003E-3</v>
      </c>
      <c r="I82" s="461">
        <v>-8.7262569999999994E-3</v>
      </c>
      <c r="J82" s="399">
        <v>-1.1648044699999999E-2</v>
      </c>
      <c r="K82" s="463">
        <v>-3.6111699999999997E-2</v>
      </c>
      <c r="L82" s="464">
        <v>4.1474860299999999E-2</v>
      </c>
      <c r="M82" s="452">
        <f>TableA1!B80-TableA1!M80+B82+(TableB10!I80-TableB10!R80)/1000</f>
        <v>0.68569080212522648</v>
      </c>
      <c r="N82" s="455">
        <f t="shared" si="17"/>
        <v>0</v>
      </c>
      <c r="O82" s="453">
        <f t="shared" si="18"/>
        <v>-5.1361162918980244E-3</v>
      </c>
      <c r="P82" s="453">
        <f>TableB1!D82/M82</f>
        <v>0.12022292547092517</v>
      </c>
      <c r="Q82" s="1311">
        <f t="shared" si="16"/>
        <v>-2.3883220322108371E-2</v>
      </c>
    </row>
    <row r="83" spans="1:17" ht="16" x14ac:dyDescent="0.2">
      <c r="A83" s="1297" t="s">
        <v>100</v>
      </c>
      <c r="B83" s="458">
        <f t="shared" si="12"/>
        <v>0.89874964850974048</v>
      </c>
      <c r="C83" s="1310">
        <f t="shared" si="13"/>
        <v>0.90456401270000053</v>
      </c>
      <c r="D83" s="451">
        <f t="shared" si="14"/>
        <v>-0.31856366779999967</v>
      </c>
      <c r="E83" s="401">
        <f>TableB2!H81+TableB2!J81-TableB2!D81-TableB2!F81</f>
        <v>-0.31856366779999967</v>
      </c>
      <c r="F83" s="451">
        <f>TableB2!I81-TableB2!E81</f>
        <v>0</v>
      </c>
      <c r="G83" s="400">
        <f t="shared" si="15"/>
        <v>1.2849709337000002</v>
      </c>
      <c r="H83" s="401">
        <v>1.2849709337000002</v>
      </c>
      <c r="I83" s="461">
        <v>0</v>
      </c>
      <c r="J83" s="399">
        <v>-6.1843253200000003E-2</v>
      </c>
      <c r="K83" s="463">
        <v>-5.8143641902599994E-3</v>
      </c>
      <c r="L83" s="464">
        <v>0</v>
      </c>
      <c r="M83" s="452">
        <f>TableA1!B81-TableA1!M81+B83+(TableB10!I81-TableB10!R81)/1000</f>
        <v>11.18036516331917</v>
      </c>
      <c r="N83" s="455">
        <f t="shared" si="17"/>
        <v>0</v>
      </c>
      <c r="O83" s="453">
        <f t="shared" si="18"/>
        <v>-2.849313623898006E-2</v>
      </c>
      <c r="P83" s="453">
        <f>TableB1!D83/M83</f>
        <v>-0.11274140055241204</v>
      </c>
      <c r="Q83" s="1311">
        <f t="shared" si="16"/>
        <v>8.0386430620207422E-2</v>
      </c>
    </row>
    <row r="84" spans="1:17" ht="16" x14ac:dyDescent="0.2">
      <c r="A84" s="1297" t="s">
        <v>101</v>
      </c>
      <c r="B84" s="458">
        <f t="shared" si="12"/>
        <v>-0.10680721618</v>
      </c>
      <c r="C84" s="1310">
        <f t="shared" si="13"/>
        <v>-9.1717416179999997E-2</v>
      </c>
      <c r="D84" s="451">
        <f t="shared" si="14"/>
        <v>-6.8115529979999992E-2</v>
      </c>
      <c r="E84" s="401">
        <f>TableB2!H82+TableB2!J82-TableB2!D82-TableB2!F82</f>
        <v>-6.8115529979999992E-2</v>
      </c>
      <c r="F84" s="451">
        <f>TableB2!I82-TableB2!E82</f>
        <v>0</v>
      </c>
      <c r="G84" s="400">
        <f t="shared" si="15"/>
        <v>-5.9113074999999999E-3</v>
      </c>
      <c r="H84" s="401">
        <v>0</v>
      </c>
      <c r="I84" s="461">
        <v>-5.9113074999999999E-3</v>
      </c>
      <c r="J84" s="399">
        <v>-1.7690578700000001E-2</v>
      </c>
      <c r="K84" s="463">
        <v>-1.50898E-2</v>
      </c>
      <c r="L84" s="464">
        <v>0</v>
      </c>
      <c r="M84" s="452">
        <f>TableA1!B82-TableA1!M82+B84+(TableB10!I82-TableB10!R82)/1000</f>
        <v>1.1574518917768675</v>
      </c>
      <c r="N84" s="455">
        <f t="shared" si="17"/>
        <v>0</v>
      </c>
      <c r="O84" s="453">
        <f t="shared" si="18"/>
        <v>-5.8849556049739682E-2</v>
      </c>
      <c r="P84" s="453">
        <f>TableB1!D84/M84</f>
        <v>-0.10695740365498119</v>
      </c>
      <c r="Q84" s="1311">
        <f t="shared" si="16"/>
        <v>-9.2277888125470525E-2</v>
      </c>
    </row>
    <row r="85" spans="1:17" s="512" customFormat="1" ht="16" x14ac:dyDescent="0.2">
      <c r="A85" s="1103" t="s">
        <v>102</v>
      </c>
      <c r="B85" s="501">
        <f t="shared" si="12"/>
        <v>-12.696503496503496</v>
      </c>
      <c r="C85" s="1313">
        <f>-18.156/1.43</f>
        <v>-12.696503496503496</v>
      </c>
      <c r="D85" s="502">
        <f t="shared" si="14"/>
        <v>-45.63651204337387</v>
      </c>
      <c r="E85" s="503">
        <f>TableB2!H83+TableB2!J83-TableB2!D83-TableB2!F83</f>
        <v>-45.63651204337387</v>
      </c>
      <c r="F85" s="502">
        <f>TableB2!I83-TableB2!E83</f>
        <v>0</v>
      </c>
      <c r="G85" s="504">
        <f>C85-D85-J85</f>
        <v>32.940008546870374</v>
      </c>
      <c r="H85" s="503">
        <v>0</v>
      </c>
      <c r="I85" s="505">
        <v>0</v>
      </c>
      <c r="J85" s="506">
        <v>0</v>
      </c>
      <c r="K85" s="507">
        <v>0</v>
      </c>
      <c r="L85" s="508">
        <v>0</v>
      </c>
      <c r="M85" s="509">
        <f>TableA1!B83-TableA1!M83+B85+(TableB10!I83-TableB10!R83)/1000</f>
        <v>272.01336035492153</v>
      </c>
      <c r="N85" s="510">
        <f t="shared" si="17"/>
        <v>0</v>
      </c>
      <c r="O85" s="511">
        <f t="shared" si="18"/>
        <v>-0.16777305344056484</v>
      </c>
      <c r="P85" s="511">
        <f>TableB1!D85/M85</f>
        <v>0.2828598088649284</v>
      </c>
      <c r="Q85" s="1314">
        <f t="shared" si="16"/>
        <v>-4.6676029000697498E-2</v>
      </c>
    </row>
    <row r="86" spans="1:17" ht="16" x14ac:dyDescent="0.2">
      <c r="A86" s="1297" t="s">
        <v>103</v>
      </c>
      <c r="B86" s="458">
        <f t="shared" si="12"/>
        <v>-3.0000000000000003E-4</v>
      </c>
      <c r="C86" s="1310">
        <f t="shared" si="13"/>
        <v>-3.0000000000000003E-4</v>
      </c>
      <c r="D86" s="451">
        <f t="shared" si="14"/>
        <v>-3.0000000000000003E-4</v>
      </c>
      <c r="E86" s="401">
        <f>TableB2!H84+TableB2!J84-TableB2!D84-TableB2!F84</f>
        <v>-3.0000000000000003E-4</v>
      </c>
      <c r="F86" s="451">
        <f>TableB2!I84-TableB2!E84</f>
        <v>0</v>
      </c>
      <c r="G86" s="400">
        <f t="shared" si="15"/>
        <v>0</v>
      </c>
      <c r="H86" s="401">
        <v>0</v>
      </c>
      <c r="I86" s="461">
        <v>0</v>
      </c>
      <c r="J86" s="399">
        <v>0</v>
      </c>
      <c r="K86" s="463">
        <v>0</v>
      </c>
      <c r="L86" s="464">
        <v>0</v>
      </c>
      <c r="M86" s="452">
        <f>TableA1!B84-TableA1!M84+B86+(TableB10!I84-TableB10!R84)/1000</f>
        <v>0.77231708647206965</v>
      </c>
      <c r="N86" s="455">
        <f t="shared" si="17"/>
        <v>0</v>
      </c>
      <c r="O86" s="453">
        <f t="shared" si="18"/>
        <v>-3.8844149023090313E-4</v>
      </c>
      <c r="P86" s="453">
        <f>TableB1!D86/M86</f>
        <v>0</v>
      </c>
      <c r="Q86" s="1311">
        <f t="shared" si="16"/>
        <v>-3.8844149023090313E-4</v>
      </c>
    </row>
    <row r="87" spans="1:17" ht="16" x14ac:dyDescent="0.2">
      <c r="A87" s="1297" t="s">
        <v>104</v>
      </c>
      <c r="B87" s="458">
        <f t="shared" si="12"/>
        <v>-6.9400000000000003E-2</v>
      </c>
      <c r="C87" s="1310">
        <f t="shared" si="13"/>
        <v>-6.9400000000000003E-2</v>
      </c>
      <c r="D87" s="451">
        <f t="shared" si="14"/>
        <v>-6.9400000000000003E-2</v>
      </c>
      <c r="E87" s="401">
        <f>TableB2!H85+TableB2!J85-TableB2!D85-TableB2!F85</f>
        <v>-6.9400000000000003E-2</v>
      </c>
      <c r="F87" s="451">
        <f>TableB2!I85-TableB2!E85</f>
        <v>0</v>
      </c>
      <c r="G87" s="400">
        <f t="shared" si="15"/>
        <v>0</v>
      </c>
      <c r="H87" s="401">
        <v>0</v>
      </c>
      <c r="I87" s="461">
        <v>0</v>
      </c>
      <c r="J87" s="399">
        <v>0</v>
      </c>
      <c r="K87" s="463">
        <v>0</v>
      </c>
      <c r="L87" s="464">
        <v>0</v>
      </c>
      <c r="M87" s="452">
        <f>TableA1!B85-TableA1!M85+B87+(TableB10!I85-TableB10!R85)/1000</f>
        <v>1.4501713679519095</v>
      </c>
      <c r="N87" s="455">
        <f t="shared" si="17"/>
        <v>0</v>
      </c>
      <c r="O87" s="453">
        <f t="shared" si="18"/>
        <v>-4.785641306517744E-2</v>
      </c>
      <c r="P87" s="453">
        <f>TableB1!D87/M87</f>
        <v>0</v>
      </c>
      <c r="Q87" s="1311">
        <f t="shared" si="16"/>
        <v>-4.785641306517744E-2</v>
      </c>
    </row>
    <row r="88" spans="1:17" ht="16" x14ac:dyDescent="0.2">
      <c r="A88" s="1297" t="s">
        <v>105</v>
      </c>
      <c r="B88" s="458">
        <f t="shared" si="12"/>
        <v>-1.6300000000000002E-2</v>
      </c>
      <c r="C88" s="1310">
        <f t="shared" si="13"/>
        <v>-1.6300000000000002E-2</v>
      </c>
      <c r="D88" s="451">
        <f t="shared" si="14"/>
        <v>-1.6300000000000002E-2</v>
      </c>
      <c r="E88" s="401">
        <f>TableB2!H86+TableB2!J86-TableB2!D86-TableB2!F86</f>
        <v>-1.6300000000000002E-2</v>
      </c>
      <c r="F88" s="451">
        <f>TableB2!I86-TableB2!E86</f>
        <v>0</v>
      </c>
      <c r="G88" s="400">
        <f t="shared" si="15"/>
        <v>0</v>
      </c>
      <c r="H88" s="401">
        <v>0</v>
      </c>
      <c r="I88" s="461">
        <v>0</v>
      </c>
      <c r="J88" s="399">
        <v>0</v>
      </c>
      <c r="K88" s="463">
        <v>0</v>
      </c>
      <c r="L88" s="464">
        <v>0</v>
      </c>
      <c r="M88" s="452">
        <f>TableA1!B86-TableA1!M86+B88+(TableB10!I86-TableB10!R86)/1000</f>
        <v>0.66409012774462228</v>
      </c>
      <c r="N88" s="455">
        <f t="shared" si="17"/>
        <v>0</v>
      </c>
      <c r="O88" s="453">
        <f t="shared" si="18"/>
        <v>-2.454486118527004E-2</v>
      </c>
      <c r="P88" s="453">
        <f>TableB1!D88/M88</f>
        <v>0</v>
      </c>
      <c r="Q88" s="1311">
        <f t="shared" si="16"/>
        <v>-2.454486118527004E-2</v>
      </c>
    </row>
    <row r="89" spans="1:17" ht="16" x14ac:dyDescent="0.2">
      <c r="A89" s="1297" t="s">
        <v>106</v>
      </c>
      <c r="B89" s="458">
        <f t="shared" si="12"/>
        <v>0</v>
      </c>
      <c r="C89" s="1310">
        <f t="shared" si="13"/>
        <v>0</v>
      </c>
      <c r="D89" s="451">
        <f t="shared" si="14"/>
        <v>0</v>
      </c>
      <c r="E89" s="401">
        <f>TableB2!H87+TableB2!J87-TableB2!D87-TableB2!F87</f>
        <v>0</v>
      </c>
      <c r="F89" s="451">
        <f>TableB2!I87-TableB2!E87</f>
        <v>0</v>
      </c>
      <c r="G89" s="400">
        <f t="shared" si="15"/>
        <v>0</v>
      </c>
      <c r="H89" s="401" t="e">
        <v>#N/A</v>
      </c>
      <c r="I89" s="461" t="e">
        <v>#N/A</v>
      </c>
      <c r="J89" s="399">
        <v>0</v>
      </c>
      <c r="K89" s="463">
        <v>0</v>
      </c>
      <c r="L89" s="464">
        <v>0</v>
      </c>
      <c r="M89" s="452">
        <f>TableA1!B87-TableA1!M87+B89+(TableB10!I87-TableB10!R87)/1000</f>
        <v>0.55574911235330438</v>
      </c>
      <c r="N89" s="455">
        <f t="shared" si="17"/>
        <v>0</v>
      </c>
      <c r="O89" s="453">
        <f t="shared" si="18"/>
        <v>0</v>
      </c>
      <c r="P89" s="453" t="e">
        <f>TableB1!D89/M89</f>
        <v>#N/A</v>
      </c>
      <c r="Q89" s="1311">
        <f t="shared" si="16"/>
        <v>0</v>
      </c>
    </row>
    <row r="90" spans="1:17" ht="16" x14ac:dyDescent="0.2">
      <c r="A90" s="1297" t="s">
        <v>107</v>
      </c>
      <c r="B90" s="458">
        <f t="shared" si="12"/>
        <v>-4.1054818939811026</v>
      </c>
      <c r="C90" s="1310">
        <f t="shared" si="13"/>
        <v>-4.1896818939811027</v>
      </c>
      <c r="D90" s="451">
        <f t="shared" si="14"/>
        <v>-3.352281893981103</v>
      </c>
      <c r="E90" s="401">
        <f>TableB2!H88+TableB2!J88-TableB2!D88-TableB2!F88</f>
        <v>-3.352281893981103</v>
      </c>
      <c r="F90" s="451">
        <f>TableB2!I88-TableB2!E88</f>
        <v>0</v>
      </c>
      <c r="G90" s="400">
        <f t="shared" si="15"/>
        <v>-0.45519999999999999</v>
      </c>
      <c r="H90" s="401">
        <v>5.3E-3</v>
      </c>
      <c r="I90" s="461">
        <v>-0.46050000000000002</v>
      </c>
      <c r="J90" s="399">
        <v>-0.38219999999999998</v>
      </c>
      <c r="K90" s="463">
        <v>8.4199999999999997E-2</v>
      </c>
      <c r="L90" s="464">
        <v>0</v>
      </c>
      <c r="M90" s="452">
        <f>TableA1!B88-TableA1!M88+B90+(TableB10!I88-TableB10!R88)/1000</f>
        <v>41.192120219217557</v>
      </c>
      <c r="N90" s="455">
        <f t="shared" si="17"/>
        <v>0</v>
      </c>
      <c r="O90" s="453">
        <f t="shared" si="18"/>
        <v>-8.138163017928722E-2</v>
      </c>
      <c r="P90" s="453">
        <f>TableB1!D90/M90</f>
        <v>2.3074801562570666E-2</v>
      </c>
      <c r="Q90" s="1311">
        <f t="shared" si="16"/>
        <v>-9.9666680717875558E-2</v>
      </c>
    </row>
    <row r="91" spans="1:17" ht="17" thickBot="1" x14ac:dyDescent="0.25">
      <c r="A91" s="1315" t="s">
        <v>108</v>
      </c>
      <c r="B91" s="483">
        <f t="shared" si="12"/>
        <v>-34.773400000000002</v>
      </c>
      <c r="C91" s="484">
        <f t="shared" si="13"/>
        <v>-34.773400000000002</v>
      </c>
      <c r="D91" s="485">
        <f t="shared" si="14"/>
        <v>-34.773400000000002</v>
      </c>
      <c r="E91" s="486">
        <f>TableB2!H89+TableB2!J89-(TableB2!D89+TableB2!F89)</f>
        <v>-34.773400000000002</v>
      </c>
      <c r="F91" s="485">
        <f>TableB2!I89-TableB2!E89</f>
        <v>0</v>
      </c>
      <c r="G91" s="457">
        <f t="shared" si="15"/>
        <v>0</v>
      </c>
      <c r="H91" s="486" t="e">
        <v>#N/A</v>
      </c>
      <c r="I91" s="487" t="e">
        <v>#N/A</v>
      </c>
      <c r="J91" s="488">
        <v>0</v>
      </c>
      <c r="K91" s="489">
        <v>0</v>
      </c>
      <c r="L91" s="490">
        <v>0</v>
      </c>
      <c r="M91" s="491">
        <f>TableA1!B89-TableA1!M89+B91+(TableB10!I89-TableB10!R89)/1000</f>
        <v>60.500361133885896</v>
      </c>
      <c r="N91" s="492">
        <f t="shared" si="17"/>
        <v>0</v>
      </c>
      <c r="O91" s="493">
        <f t="shared" si="18"/>
        <v>-0.5747635112961933</v>
      </c>
      <c r="P91" s="493">
        <f>TableB1!D91/M91</f>
        <v>0.41030333595970087</v>
      </c>
      <c r="Q91" s="1316">
        <f t="shared" si="16"/>
        <v>-0.5747635112961933</v>
      </c>
    </row>
    <row r="92" spans="1:17" ht="16" thickTop="1" x14ac:dyDescent="0.2"/>
  </sheetData>
  <mergeCells count="19">
    <mergeCell ref="M8:M11"/>
    <mergeCell ref="B8:B11"/>
    <mergeCell ref="C8:C11"/>
    <mergeCell ref="Q8:Q11"/>
    <mergeCell ref="N7:Q7"/>
    <mergeCell ref="O8:O11"/>
    <mergeCell ref="P8:P11"/>
    <mergeCell ref="A4:P4"/>
    <mergeCell ref="D9:D11"/>
    <mergeCell ref="E10:E11"/>
    <mergeCell ref="F10:F11"/>
    <mergeCell ref="B7:M7"/>
    <mergeCell ref="N8:N11"/>
    <mergeCell ref="G9:G11"/>
    <mergeCell ref="H10:H11"/>
    <mergeCell ref="I10:I11"/>
    <mergeCell ref="J9:J11"/>
    <mergeCell ref="K8:K11"/>
    <mergeCell ref="L8:L11"/>
  </mergeCells>
  <phoneticPr fontId="36" type="noConversion"/>
  <conditionalFormatting sqref="D13:F46 P44:P46 O44:O91 J55:N55 J13:P43 J44:N47 D12:P12 G13:I91 J48:M54 J56:M91">
    <cfRule type="cellIs" dxfId="13" priority="29" operator="greaterThan">
      <formula>-999999999999999000</formula>
    </cfRule>
  </conditionalFormatting>
  <conditionalFormatting sqref="C12:C46">
    <cfRule type="cellIs" dxfId="12" priority="28" operator="greaterThan">
      <formula>-999999999999999000</formula>
    </cfRule>
  </conditionalFormatting>
  <conditionalFormatting sqref="D91:F91 D56:D90">
    <cfRule type="cellIs" dxfId="11" priority="19" operator="greaterThan">
      <formula>-999999999999999000</formula>
    </cfRule>
  </conditionalFormatting>
  <conditionalFormatting sqref="C56:C91">
    <cfRule type="cellIs" dxfId="10" priority="15" operator="greaterThan">
      <formula>-999999999999999000</formula>
    </cfRule>
  </conditionalFormatting>
  <conditionalFormatting sqref="D48:F54">
    <cfRule type="cellIs" dxfId="9" priority="20" operator="greaterThan">
      <formula>-999999999999999000</formula>
    </cfRule>
  </conditionalFormatting>
  <conditionalFormatting sqref="B12:B46">
    <cfRule type="cellIs" dxfId="8" priority="14" operator="greaterThan">
      <formula>-999999999999999000</formula>
    </cfRule>
  </conditionalFormatting>
  <conditionalFormatting sqref="C48:C54">
    <cfRule type="cellIs" dxfId="7" priority="16" operator="greaterThan">
      <formula>-999999999999999000</formula>
    </cfRule>
  </conditionalFormatting>
  <conditionalFormatting sqref="B56:B91">
    <cfRule type="cellIs" dxfId="6" priority="10" operator="greaterThan">
      <formula>-999999999999999000</formula>
    </cfRule>
  </conditionalFormatting>
  <conditionalFormatting sqref="B48:B54">
    <cfRule type="cellIs" dxfId="5" priority="11" operator="greaterThan">
      <formula>-999999999999999000</formula>
    </cfRule>
  </conditionalFormatting>
  <conditionalFormatting sqref="E56:F90">
    <cfRule type="cellIs" dxfId="4" priority="7" operator="greaterThan">
      <formula>-999999999999999000</formula>
    </cfRule>
  </conditionalFormatting>
  <conditionalFormatting sqref="N48:N54 P48:P54">
    <cfRule type="cellIs" dxfId="3" priority="5" operator="greaterThan">
      <formula>-999999999999999000</formula>
    </cfRule>
  </conditionalFormatting>
  <conditionalFormatting sqref="N56:N91">
    <cfRule type="cellIs" dxfId="2" priority="4" operator="greaterThan">
      <formula>-999999999999999000</formula>
    </cfRule>
  </conditionalFormatting>
  <conditionalFormatting sqref="P56:P91">
    <cfRule type="cellIs" dxfId="1" priority="1" operator="greaterThan">
      <formula>-999999999999999000</formula>
    </cfRule>
  </conditionalFormatting>
  <hyperlinks>
    <hyperlink ref="A48" r:id="rId1" display="  Brazil" xr:uid="{00000000-0004-0000-1000-000000000000}"/>
    <hyperlink ref="A54" r:id="rId2" tooltip="Click once to display linked information. Click and hold to select this cell." display="  South Africa" xr:uid="{00000000-0004-0000-1000-000001000000}"/>
    <hyperlink ref="A53" r:id="rId3" tooltip="Click once to display linked information. Click and hold to select this cell." display="  Russia" xr:uid="{00000000-0004-0000-1000-000002000000}"/>
    <hyperlink ref="A52" r:id="rId4" tooltip="Click once to display linked information. Click and hold to select this cell." display="  India" xr:uid="{00000000-0004-0000-1000-000003000000}"/>
  </hyperlinks>
  <pageMargins left="0.7" right="0.7" top="0.75" bottom="0.75" header="0.3" footer="0.3"/>
  <pageSetup paperSize="9" scale="39" fitToHeight="0" orientation="portrait"/>
  <extLst>
    <ext xmlns:mx="http://schemas.microsoft.com/office/mac/excel/2008/main" uri="{64002731-A6B0-56B0-2670-7721B7C09600}">
      <mx:PLV Mode="0" OnePage="0" WScale="10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X97"/>
  <sheetViews>
    <sheetView workbookViewId="0">
      <pane xSplit="2" ySplit="9" topLeftCell="C13" activePane="bottomRight" state="frozen"/>
      <selection pane="topRight" activeCell="K93" sqref="B4:K93"/>
      <selection pane="bottomLeft" activeCell="K93" sqref="B4:K93"/>
      <selection pane="bottomRight" activeCell="R5" sqref="R5"/>
    </sheetView>
  </sheetViews>
  <sheetFormatPr baseColWidth="10" defaultColWidth="10.83203125" defaultRowHeight="16" x14ac:dyDescent="0.2"/>
  <cols>
    <col min="1" max="1" width="10.83203125" style="1" hidden="1" customWidth="1"/>
    <col min="2" max="2" width="16.6640625" style="1" customWidth="1"/>
    <col min="3" max="3" width="12.5" style="1" customWidth="1"/>
    <col min="4" max="4" width="11.83203125" style="1" customWidth="1"/>
    <col min="5" max="6" width="11.33203125" style="1" customWidth="1"/>
    <col min="7" max="7" width="11.83203125" style="1" customWidth="1"/>
    <col min="8" max="10" width="11.33203125" style="1" customWidth="1"/>
    <col min="11" max="11" width="15.1640625" style="1" customWidth="1"/>
    <col min="12" max="16" width="11.83203125" style="1" customWidth="1"/>
    <col min="17" max="18" width="10.83203125" style="1"/>
    <col min="19" max="21" width="10.83203125" style="10"/>
    <col min="22" max="22" width="10.83203125" style="478"/>
    <col min="23" max="24" width="10.83203125" style="10"/>
    <col min="25" max="16384" width="10.83203125" style="1"/>
  </cols>
  <sheetData>
    <row r="2" spans="2:24" ht="17" thickBot="1" x14ac:dyDescent="0.25">
      <c r="B2" s="958"/>
      <c r="C2" s="958"/>
      <c r="D2" s="958"/>
      <c r="E2" s="958"/>
      <c r="F2" s="958"/>
      <c r="G2" s="958"/>
      <c r="H2" s="958"/>
      <c r="I2" s="958"/>
      <c r="J2" s="958"/>
      <c r="K2" s="958"/>
      <c r="L2" s="958"/>
      <c r="M2" s="958"/>
      <c r="N2" s="958"/>
      <c r="O2" s="958"/>
      <c r="P2" s="958"/>
      <c r="Q2" s="958"/>
      <c r="R2" s="958"/>
    </row>
    <row r="3" spans="2:24" ht="32.25" customHeight="1" thickTop="1" x14ac:dyDescent="0.2">
      <c r="B3" s="1934" t="s">
        <v>361</v>
      </c>
      <c r="C3" s="1935"/>
      <c r="D3" s="1935"/>
      <c r="E3" s="1935"/>
      <c r="F3" s="1935"/>
      <c r="G3" s="1935"/>
      <c r="H3" s="1935"/>
      <c r="I3" s="1935"/>
      <c r="J3" s="1935"/>
      <c r="K3" s="1935"/>
      <c r="L3" s="1935"/>
      <c r="M3" s="1935"/>
      <c r="N3" s="1935"/>
      <c r="O3" s="1935"/>
      <c r="P3" s="1936"/>
      <c r="Q3" s="958"/>
      <c r="R3" s="958"/>
    </row>
    <row r="4" spans="2:24" ht="12" customHeight="1" x14ac:dyDescent="0.2">
      <c r="B4" s="4"/>
      <c r="C4" s="620"/>
      <c r="D4" s="620"/>
      <c r="E4" s="620"/>
      <c r="F4" s="620"/>
      <c r="G4" s="620"/>
      <c r="H4" s="620"/>
      <c r="I4" s="620"/>
      <c r="J4" s="620"/>
      <c r="K4" s="620"/>
      <c r="L4" s="620"/>
      <c r="M4" s="620"/>
      <c r="N4" s="620"/>
      <c r="O4" s="1031"/>
      <c r="P4" s="1079"/>
      <c r="Q4" s="958"/>
      <c r="R4" s="958"/>
    </row>
    <row r="5" spans="2:24" ht="17" thickBot="1" x14ac:dyDescent="0.25">
      <c r="B5" s="1154"/>
      <c r="C5" s="3" t="s">
        <v>1</v>
      </c>
      <c r="D5" s="3" t="s">
        <v>2</v>
      </c>
      <c r="E5" s="3" t="s">
        <v>3</v>
      </c>
      <c r="F5" s="3" t="s">
        <v>4</v>
      </c>
      <c r="G5" s="3" t="s">
        <v>5</v>
      </c>
      <c r="H5" s="3" t="s">
        <v>6</v>
      </c>
      <c r="I5" s="3" t="s">
        <v>7</v>
      </c>
      <c r="J5" s="3" t="s">
        <v>8</v>
      </c>
      <c r="K5" s="3" t="s">
        <v>9</v>
      </c>
      <c r="L5" s="3" t="s">
        <v>10</v>
      </c>
      <c r="M5" s="3" t="s">
        <v>11</v>
      </c>
      <c r="N5" s="3" t="s">
        <v>12</v>
      </c>
      <c r="O5" s="3" t="s">
        <v>13</v>
      </c>
      <c r="P5" s="6" t="s">
        <v>177</v>
      </c>
      <c r="Q5" s="958"/>
      <c r="R5" s="958"/>
    </row>
    <row r="6" spans="2:24" ht="21" customHeight="1" x14ac:dyDescent="0.2">
      <c r="B6" s="1154"/>
      <c r="C6" s="2004" t="s">
        <v>362</v>
      </c>
      <c r="D6" s="2005"/>
      <c r="E6" s="2005"/>
      <c r="F6" s="2005"/>
      <c r="G6" s="2005"/>
      <c r="H6" s="2005"/>
      <c r="I6" s="2005"/>
      <c r="J6" s="2005"/>
      <c r="K6" s="2005"/>
      <c r="L6" s="2005"/>
      <c r="M6" s="2005"/>
      <c r="N6" s="2005"/>
      <c r="O6" s="2005"/>
      <c r="P6" s="2174"/>
      <c r="Q6" s="958"/>
      <c r="R6" s="958"/>
    </row>
    <row r="7" spans="2:24" ht="21" customHeight="1" x14ac:dyDescent="0.2">
      <c r="B7" s="1154"/>
      <c r="C7" s="2098" t="s">
        <v>312</v>
      </c>
      <c r="D7" s="2099"/>
      <c r="E7" s="2099"/>
      <c r="F7" s="2099"/>
      <c r="G7" s="2099"/>
      <c r="H7" s="2099"/>
      <c r="I7" s="2099"/>
      <c r="J7" s="2100"/>
      <c r="K7" s="2099" t="s">
        <v>363</v>
      </c>
      <c r="L7" s="2099"/>
      <c r="M7" s="2099"/>
      <c r="N7" s="2099"/>
      <c r="O7" s="2099"/>
      <c r="P7" s="2175"/>
      <c r="Q7" s="958"/>
      <c r="R7" s="958"/>
    </row>
    <row r="8" spans="2:24" ht="85" customHeight="1" x14ac:dyDescent="0.2">
      <c r="B8" s="1154"/>
      <c r="C8" s="2055" t="s">
        <v>364</v>
      </c>
      <c r="D8" s="1824" t="s">
        <v>365</v>
      </c>
      <c r="E8" s="1825" t="s">
        <v>366</v>
      </c>
      <c r="F8" s="1825" t="s">
        <v>367</v>
      </c>
      <c r="G8" s="2019" t="s">
        <v>368</v>
      </c>
      <c r="H8" s="1825" t="s">
        <v>365</v>
      </c>
      <c r="I8" s="1825" t="s">
        <v>366</v>
      </c>
      <c r="J8" s="1825" t="s">
        <v>367</v>
      </c>
      <c r="K8" s="2019" t="s">
        <v>364</v>
      </c>
      <c r="L8" s="1833" t="s">
        <v>369</v>
      </c>
      <c r="M8" s="1833" t="s">
        <v>370</v>
      </c>
      <c r="N8" s="2019" t="s">
        <v>368</v>
      </c>
      <c r="O8" s="1833" t="s">
        <v>369</v>
      </c>
      <c r="P8" s="1317" t="s">
        <v>370</v>
      </c>
      <c r="Q8" s="958"/>
      <c r="R8" s="958"/>
    </row>
    <row r="9" spans="2:24" ht="33" customHeight="1" x14ac:dyDescent="0.2">
      <c r="B9" s="1154"/>
      <c r="C9" s="2011"/>
      <c r="D9" s="1318"/>
      <c r="E9" s="1319"/>
      <c r="F9" s="1319"/>
      <c r="G9" s="2050"/>
      <c r="H9" s="1319"/>
      <c r="I9" s="1319"/>
      <c r="J9" s="1319"/>
      <c r="K9" s="2050"/>
      <c r="L9" s="1320"/>
      <c r="M9" s="1320"/>
      <c r="N9" s="2050"/>
      <c r="O9" s="1320"/>
      <c r="P9" s="1321"/>
      <c r="Q9" s="958"/>
      <c r="R9" s="958"/>
      <c r="S9" s="10" t="s">
        <v>26</v>
      </c>
    </row>
    <row r="10" spans="2:24" x14ac:dyDescent="0.2">
      <c r="B10" s="1322" t="s">
        <v>29</v>
      </c>
      <c r="C10" s="408">
        <v>23.973251183409999</v>
      </c>
      <c r="D10" s="1323">
        <v>8.7955518821850003</v>
      </c>
      <c r="E10" s="1324">
        <v>4.0739349312495001</v>
      </c>
      <c r="F10" s="1324">
        <v>11.103764369975</v>
      </c>
      <c r="G10" s="1325">
        <v>13.385678863927</v>
      </c>
      <c r="H10" s="1326">
        <v>9.1652265384326004</v>
      </c>
      <c r="I10" s="1327">
        <v>0.21564354947780001</v>
      </c>
      <c r="J10" s="1324">
        <v>4.0048087760162003</v>
      </c>
      <c r="K10" s="1206">
        <v>535.93336742895008</v>
      </c>
      <c r="L10" s="1159">
        <v>388.58698034630999</v>
      </c>
      <c r="M10" s="1159">
        <v>147.34638708263</v>
      </c>
      <c r="N10" s="1206">
        <v>390.27763571271998</v>
      </c>
      <c r="O10" s="1159">
        <v>392.86257032220004</v>
      </c>
      <c r="P10" s="1192">
        <v>-2.5849346094835002</v>
      </c>
      <c r="Q10" s="958"/>
      <c r="R10" s="958"/>
      <c r="S10" s="479">
        <f>C10-D10-E10-F10</f>
        <v>4.9915627187147038E-13</v>
      </c>
      <c r="T10" s="479">
        <f>G10-H10-I10-J10</f>
        <v>3.9879211044535623E-13</v>
      </c>
      <c r="U10" s="479">
        <f>G10-C10-(TableB3!B10-TableB4!B10)</f>
        <v>5.3347358929999089E-2</v>
      </c>
      <c r="V10" s="480">
        <f>G10-C10-TableB1!G12</f>
        <v>0</v>
      </c>
      <c r="W10" s="268">
        <f>K10-L10-M10</f>
        <v>1.0089706847793423E-11</v>
      </c>
      <c r="X10" s="268">
        <f>N10-O10-P10</f>
        <v>3.4421354655478353E-12</v>
      </c>
    </row>
    <row r="11" spans="2:24" x14ac:dyDescent="0.2">
      <c r="B11" s="1154" t="s">
        <v>30</v>
      </c>
      <c r="C11" s="408">
        <v>0.60676650027732004</v>
      </c>
      <c r="D11" s="1323">
        <v>8.8086522462561998</v>
      </c>
      <c r="E11" s="1324">
        <v>0.56572379367719994</v>
      </c>
      <c r="F11" s="1324">
        <v>-8.7676095396560996</v>
      </c>
      <c r="G11" s="1325">
        <v>1.6971713810316</v>
      </c>
      <c r="H11" s="1326">
        <v>10.214087631725</v>
      </c>
      <c r="I11" s="1327">
        <v>0.50027731558513999</v>
      </c>
      <c r="J11" s="1324">
        <v>-9.0171935662783991</v>
      </c>
      <c r="K11" s="1206">
        <v>243.40337506805</v>
      </c>
      <c r="L11" s="1159">
        <v>235.68209036472999</v>
      </c>
      <c r="M11" s="1159">
        <v>7.7212847033205998</v>
      </c>
      <c r="N11" s="1206">
        <v>291.06804572673002</v>
      </c>
      <c r="O11" s="1159">
        <v>262.63908546543001</v>
      </c>
      <c r="P11" s="1192">
        <v>28.428960261296002</v>
      </c>
      <c r="Q11" s="958"/>
      <c r="R11" s="958"/>
      <c r="S11" s="479">
        <f t="shared" ref="S11:S44" si="0">C11-D11-E11-F11</f>
        <v>1.9539925233402755E-14</v>
      </c>
      <c r="T11" s="479">
        <f t="shared" ref="T11:T44" si="1">G11-H11-I11-J11</f>
        <v>-1.4210854715202004E-13</v>
      </c>
      <c r="U11" s="479">
        <f>G11-C11-(TableB3!B11-TableB4!B11)</f>
        <v>-1.1092623405202229E-3</v>
      </c>
      <c r="V11" s="480">
        <f>G11-C11-TableB1!G13</f>
        <v>0</v>
      </c>
      <c r="W11" s="268">
        <f t="shared" ref="W11:W74" si="2">K11-L11-M11</f>
        <v>-5.9063864910058328E-13</v>
      </c>
      <c r="X11" s="268">
        <f t="shared" ref="X11:X74" si="3">N11-O11-P11</f>
        <v>4.0039083160081645E-12</v>
      </c>
    </row>
    <row r="12" spans="2:24" x14ac:dyDescent="0.2">
      <c r="B12" s="1154" t="s">
        <v>31</v>
      </c>
      <c r="C12" s="408">
        <v>20.735440931779998</v>
      </c>
      <c r="D12" s="1326">
        <v>25.354409317803999</v>
      </c>
      <c r="E12" s="1324">
        <v>-3.8103161397670999</v>
      </c>
      <c r="F12" s="1324">
        <v>-0.80865224625623999</v>
      </c>
      <c r="G12" s="1325">
        <v>13.924570160843</v>
      </c>
      <c r="H12" s="1326">
        <v>13.474209650582001</v>
      </c>
      <c r="I12" s="1327">
        <v>2.0066555740432999</v>
      </c>
      <c r="J12" s="1324">
        <v>-1.5562950637826001</v>
      </c>
      <c r="K12" s="1206">
        <v>551.77354382144995</v>
      </c>
      <c r="L12" s="1159">
        <v>703.18889493740005</v>
      </c>
      <c r="M12" s="1159">
        <v>-151.41535111595002</v>
      </c>
      <c r="N12" s="1206">
        <v>610.21121393575993</v>
      </c>
      <c r="O12" s="1159">
        <v>569.14207947740999</v>
      </c>
      <c r="P12" s="1192">
        <v>41.069134458355997</v>
      </c>
      <c r="Q12" s="958"/>
      <c r="R12" s="958"/>
      <c r="S12" s="479">
        <f t="shared" si="0"/>
        <v>-6.610267888618182E-13</v>
      </c>
      <c r="T12" s="479">
        <f t="shared" si="1"/>
        <v>2.9976021664879227E-13</v>
      </c>
      <c r="U12" s="480">
        <f>G12-C12-(TableB3!B12-TableB4!B12)</f>
        <v>-3.3277870219947658E-3</v>
      </c>
      <c r="V12" s="480">
        <f>G12-C12-TableB1!G14</f>
        <v>0</v>
      </c>
      <c r="W12" s="268">
        <f t="shared" si="2"/>
        <v>0</v>
      </c>
      <c r="X12" s="268">
        <f t="shared" si="3"/>
        <v>-6.0609295360336546E-12</v>
      </c>
    </row>
    <row r="13" spans="2:24" x14ac:dyDescent="0.2">
      <c r="B13" s="1154" t="s">
        <v>32</v>
      </c>
      <c r="C13" s="408">
        <v>34.465305483846002</v>
      </c>
      <c r="D13" s="1326">
        <v>17.312837362122</v>
      </c>
      <c r="E13" s="1324">
        <v>3.7753266056481003</v>
      </c>
      <c r="F13" s="1324">
        <v>13.377923805054001</v>
      </c>
      <c r="G13" s="1325">
        <v>40.014081201595999</v>
      </c>
      <c r="H13" s="1326">
        <v>12.971133536728001</v>
      </c>
      <c r="I13" s="1327">
        <v>3.9599468043494999</v>
      </c>
      <c r="J13" s="1324">
        <v>23.083783149495002</v>
      </c>
      <c r="K13" s="1206">
        <v>796.65101156068999</v>
      </c>
      <c r="L13" s="1159">
        <v>684.49277456646996</v>
      </c>
      <c r="M13" s="1159">
        <v>112.15823699422</v>
      </c>
      <c r="N13" s="1206">
        <v>1097.0534682081</v>
      </c>
      <c r="O13" s="1159">
        <v>1032.6654624277</v>
      </c>
      <c r="P13" s="1192">
        <v>64.388005780347001</v>
      </c>
      <c r="Q13" s="958"/>
      <c r="R13" s="958"/>
      <c r="S13" s="479">
        <f t="shared" si="0"/>
        <v>-7.822889780992881E-4</v>
      </c>
      <c r="T13" s="479">
        <f t="shared" si="1"/>
        <v>-7.822889765023433E-4</v>
      </c>
      <c r="U13" s="480">
        <f>G13-C13-(TableB3!B13-TableB4!B13)</f>
        <v>5.5487757177499972</v>
      </c>
      <c r="V13" s="480">
        <f>G13-C13-TableB1!G15</f>
        <v>0</v>
      </c>
      <c r="W13" s="268">
        <f t="shared" si="2"/>
        <v>0</v>
      </c>
      <c r="X13" s="268">
        <f t="shared" si="3"/>
        <v>5.290701210469706E-11</v>
      </c>
    </row>
    <row r="14" spans="2:24" x14ac:dyDescent="0.2">
      <c r="B14" s="1154" t="s">
        <v>33</v>
      </c>
      <c r="C14" s="408">
        <v>10.233519814927</v>
      </c>
      <c r="D14" s="1326">
        <v>4.5824140671539997</v>
      </c>
      <c r="E14" s="1324">
        <v>1.9709003885879</v>
      </c>
      <c r="F14" s="1324">
        <v>3.6802053591849999</v>
      </c>
      <c r="G14" s="1325">
        <v>3.8826249462322</v>
      </c>
      <c r="H14" s="1326">
        <v>0.68380616694661001</v>
      </c>
      <c r="I14" s="1327">
        <v>0.33348759985735998</v>
      </c>
      <c r="J14" s="1324">
        <v>2.8653311794281997</v>
      </c>
      <c r="K14" s="1206">
        <v>231.58496436983998</v>
      </c>
      <c r="L14" s="1159">
        <v>183.38203592317998</v>
      </c>
      <c r="M14" s="1159">
        <v>48.202928446657999</v>
      </c>
      <c r="N14" s="1206">
        <v>111.38991119887</v>
      </c>
      <c r="O14" s="1159">
        <v>82.228797243963001</v>
      </c>
      <c r="P14" s="1192">
        <v>29.161113954909002</v>
      </c>
      <c r="Q14" s="958"/>
      <c r="R14" s="958"/>
      <c r="S14" s="479">
        <f t="shared" si="0"/>
        <v>1.0036416142611415E-13</v>
      </c>
      <c r="T14" s="479">
        <f t="shared" si="1"/>
        <v>3.0198066269804258E-14</v>
      </c>
      <c r="U14" s="480">
        <f>G14-C14-(TableB3!B14-TableB4!B14)</f>
        <v>0</v>
      </c>
      <c r="V14" s="480">
        <f>G14-C14-TableB1!G16</f>
        <v>0</v>
      </c>
      <c r="W14" s="268">
        <f t="shared" si="2"/>
        <v>1.9966250874858815E-12</v>
      </c>
      <c r="X14" s="268">
        <f t="shared" si="3"/>
        <v>-2.007283228522283E-12</v>
      </c>
    </row>
    <row r="15" spans="2:24" x14ac:dyDescent="0.2">
      <c r="B15" s="1154" t="s">
        <v>34</v>
      </c>
      <c r="C15" s="408">
        <v>14.473508721994</v>
      </c>
      <c r="D15" s="1326">
        <v>10.907534664335</v>
      </c>
      <c r="E15" s="1324">
        <v>0.47867279307119998</v>
      </c>
      <c r="F15" s="1324">
        <v>3.0872606026104998</v>
      </c>
      <c r="G15" s="1325">
        <v>1.8608953767331999</v>
      </c>
      <c r="H15" s="1326">
        <v>0.88073842150204995</v>
      </c>
      <c r="I15" s="1327">
        <v>7.3191558573578001E-3</v>
      </c>
      <c r="J15" s="1324">
        <v>0.97279713739681994</v>
      </c>
      <c r="K15" s="1206">
        <v>116.62781985175999</v>
      </c>
      <c r="L15" s="1159">
        <v>109.47792458911</v>
      </c>
      <c r="M15" s="1159">
        <v>7.1498952626490002</v>
      </c>
      <c r="N15" s="1206">
        <v>18.591363196906002</v>
      </c>
      <c r="O15" s="1159">
        <v>17.725950692877998</v>
      </c>
      <c r="P15" s="1192">
        <v>0.86541250402836001</v>
      </c>
      <c r="Q15" s="958"/>
      <c r="R15" s="958"/>
      <c r="S15" s="479">
        <f t="shared" si="0"/>
        <v>4.066197730034915E-5</v>
      </c>
      <c r="T15" s="479">
        <f t="shared" si="1"/>
        <v>4.0661976972278246E-5</v>
      </c>
      <c r="U15" s="480">
        <f>G15-C15-(TableB3!B15-TableB4!B15)</f>
        <v>-8.1323953798673188E-5</v>
      </c>
      <c r="V15" s="480">
        <f>G15-C15-TableB1!G17</f>
        <v>0</v>
      </c>
      <c r="W15" s="268">
        <f t="shared" si="2"/>
        <v>9.9120711638533976E-13</v>
      </c>
      <c r="X15" s="268">
        <f t="shared" si="3"/>
        <v>-3.5571545708990016E-13</v>
      </c>
    </row>
    <row r="16" spans="2:24" x14ac:dyDescent="0.2">
      <c r="B16" s="1154" t="s">
        <v>35</v>
      </c>
      <c r="C16" s="408">
        <v>5.3098700449044003</v>
      </c>
      <c r="D16" s="1326">
        <v>5.2588693609302002</v>
      </c>
      <c r="E16" s="1324">
        <v>0.27121063431171</v>
      </c>
      <c r="F16" s="1324">
        <v>-0.22065602045975002</v>
      </c>
      <c r="G16" s="1325">
        <v>12.90926933714</v>
      </c>
      <c r="H16" s="1326">
        <v>10.532310345853</v>
      </c>
      <c r="I16" s="1327">
        <v>0.98269247925774006</v>
      </c>
      <c r="J16" s="1324">
        <v>1.3944152020698</v>
      </c>
      <c r="K16" s="1206">
        <v>112.89399707174</v>
      </c>
      <c r="L16" s="1159">
        <v>99.993118594435998</v>
      </c>
      <c r="M16" s="1159">
        <v>12.900878477306</v>
      </c>
      <c r="N16" s="1206">
        <v>189.33352855051001</v>
      </c>
      <c r="O16" s="1159">
        <v>165.26500732064</v>
      </c>
      <c r="P16" s="1192">
        <v>24.068521229868001</v>
      </c>
      <c r="Q16" s="958"/>
      <c r="R16" s="958"/>
      <c r="S16" s="479">
        <f t="shared" si="0"/>
        <v>4.4607012224012754E-4</v>
      </c>
      <c r="T16" s="479">
        <f t="shared" si="1"/>
        <v>-1.4869004054074431E-4</v>
      </c>
      <c r="U16" s="480">
        <f>G16-C16-(TableB3!B16-TableB4!B16)</f>
        <v>-1.4869004100148686E-4</v>
      </c>
      <c r="V16" s="480">
        <f>G16-C16-TableB1!G18</f>
        <v>0</v>
      </c>
      <c r="W16" s="268">
        <f t="shared" si="2"/>
        <v>-1.9948487306464813E-12</v>
      </c>
      <c r="X16" s="268">
        <f t="shared" si="3"/>
        <v>2.014388655879884E-12</v>
      </c>
    </row>
    <row r="17" spans="2:24" x14ac:dyDescent="0.2">
      <c r="B17" s="1154" t="s">
        <v>36</v>
      </c>
      <c r="C17" s="408">
        <v>1.3219900166389</v>
      </c>
      <c r="D17" s="1326">
        <v>0.72318469217970005</v>
      </c>
      <c r="E17" s="1324">
        <v>1.4843039378812999E-2</v>
      </c>
      <c r="F17" s="1324">
        <v>0.58396228508042003</v>
      </c>
      <c r="G17" s="1325">
        <v>0.33427731558514001</v>
      </c>
      <c r="H17" s="1326">
        <v>0.24203549639490002</v>
      </c>
      <c r="I17" s="1327">
        <v>5.3684969495285999E-2</v>
      </c>
      <c r="J17" s="1324">
        <v>3.8556849694953002E-2</v>
      </c>
      <c r="K17" s="1206">
        <v>18.862318998367002</v>
      </c>
      <c r="L17" s="1159">
        <v>18.073254218835</v>
      </c>
      <c r="M17" s="1159">
        <v>0.78906477953185006</v>
      </c>
      <c r="N17" s="1206">
        <v>6.2183745236799002</v>
      </c>
      <c r="O17" s="1159">
        <v>4.3978943930321002</v>
      </c>
      <c r="P17" s="1192">
        <v>1.8204801306478</v>
      </c>
      <c r="Q17" s="958"/>
      <c r="R17" s="958"/>
      <c r="S17" s="479">
        <f t="shared" si="0"/>
        <v>-3.3084646133829665E-14</v>
      </c>
      <c r="T17" s="479">
        <f t="shared" si="1"/>
        <v>9.9226182825873366E-16</v>
      </c>
      <c r="U17" s="480">
        <f>G17-C17-(TableB3!B17-TableB4!B17)</f>
        <v>-2.728785357701824E-4</v>
      </c>
      <c r="V17" s="480">
        <f>G17-C17-TableB1!G19</f>
        <v>0</v>
      </c>
      <c r="W17" s="268">
        <f t="shared" si="2"/>
        <v>1.5132339825640884E-13</v>
      </c>
      <c r="X17" s="268">
        <f t="shared" si="3"/>
        <v>0</v>
      </c>
    </row>
    <row r="18" spans="2:24" x14ac:dyDescent="0.2">
      <c r="B18" s="1154" t="s">
        <v>37</v>
      </c>
      <c r="C18" s="408">
        <v>4.0898502495839999</v>
      </c>
      <c r="D18" s="1326">
        <v>5.4220743205768001</v>
      </c>
      <c r="E18" s="1324">
        <v>0.69661674986134003</v>
      </c>
      <c r="F18" s="1324">
        <v>-2.0288408208541</v>
      </c>
      <c r="G18" s="1325">
        <v>7.3721575152524004</v>
      </c>
      <c r="H18" s="1326">
        <v>10.647809206877</v>
      </c>
      <c r="I18" s="1327">
        <v>0.43261231281198004</v>
      </c>
      <c r="J18" s="1324">
        <v>-3.7082640044369999</v>
      </c>
      <c r="K18" s="1206">
        <v>81.626565051715005</v>
      </c>
      <c r="L18" s="1159">
        <v>66.060968971149009</v>
      </c>
      <c r="M18" s="1159">
        <v>15.565596080565999</v>
      </c>
      <c r="N18" s="1206">
        <v>94.545454545455001</v>
      </c>
      <c r="O18" s="1159">
        <v>107.05280348394001</v>
      </c>
      <c r="P18" s="1192">
        <v>-12.507348938487</v>
      </c>
      <c r="Q18" s="958"/>
      <c r="R18" s="958"/>
      <c r="S18" s="479">
        <f t="shared" si="0"/>
        <v>-3.9968028886505635E-14</v>
      </c>
      <c r="T18" s="479">
        <f t="shared" si="1"/>
        <v>4.205524817280093E-13</v>
      </c>
      <c r="U18" s="480">
        <f>G18-C18-(TableB3!B18-TableB4!B18)</f>
        <v>1.0036416142611415E-13</v>
      </c>
      <c r="V18" s="480">
        <f>G18-C18-TableB1!G20</f>
        <v>0</v>
      </c>
      <c r="W18" s="268">
        <f t="shared" si="2"/>
        <v>0</v>
      </c>
      <c r="X18" s="268">
        <f t="shared" si="3"/>
        <v>1.9912960169676808E-12</v>
      </c>
    </row>
    <row r="19" spans="2:24" x14ac:dyDescent="0.2">
      <c r="B19" s="1154" t="s">
        <v>38</v>
      </c>
      <c r="C19" s="408">
        <v>25.964458011464</v>
      </c>
      <c r="D19" s="1326">
        <v>15.593480865224999</v>
      </c>
      <c r="E19" s="1324">
        <v>2.8098090929952</v>
      </c>
      <c r="F19" s="1324">
        <v>7.5611680532446002</v>
      </c>
      <c r="G19" s="1325">
        <v>70.780429129601998</v>
      </c>
      <c r="H19" s="1326">
        <v>64.215373266778002</v>
      </c>
      <c r="I19" s="1327">
        <v>2.0962161512319</v>
      </c>
      <c r="J19" s="1324">
        <v>4.4688397115917997</v>
      </c>
      <c r="K19" s="1206">
        <v>688.35512451670002</v>
      </c>
      <c r="L19" s="1159">
        <v>627.55858206655</v>
      </c>
      <c r="M19" s="1159">
        <v>60.796542450151001</v>
      </c>
      <c r="N19" s="1206">
        <v>1254.2751858124</v>
      </c>
      <c r="O19" s="1159">
        <v>1171.7563896738</v>
      </c>
      <c r="P19" s="1192">
        <v>82.518796138552005</v>
      </c>
      <c r="Q19" s="958"/>
      <c r="R19" s="958"/>
      <c r="S19" s="479">
        <f t="shared" si="0"/>
        <v>-7.9936057773011271E-13</v>
      </c>
      <c r="T19" s="479">
        <f t="shared" si="1"/>
        <v>2.9665159217984183E-13</v>
      </c>
      <c r="U19" s="480">
        <f>G19-C19-(TableB3!B19-TableB4!B19)</f>
        <v>9.9475983006414026E-13</v>
      </c>
      <c r="V19" s="480">
        <f>G19-C19-TableB1!G21</f>
        <v>0</v>
      </c>
      <c r="W19" s="268">
        <f t="shared" si="2"/>
        <v>-9.8765440270653926E-13</v>
      </c>
      <c r="X19" s="268">
        <f t="shared" si="3"/>
        <v>4.8004267227952369E-11</v>
      </c>
    </row>
    <row r="20" spans="2:24" x14ac:dyDescent="0.2">
      <c r="B20" s="1154" t="s">
        <v>39</v>
      </c>
      <c r="C20" s="408">
        <v>33.633943427620999</v>
      </c>
      <c r="D20" s="1326">
        <v>21.960066555739999</v>
      </c>
      <c r="E20" s="1324">
        <v>6.8208541320021991</v>
      </c>
      <c r="F20" s="1324">
        <v>4.8530227398779999</v>
      </c>
      <c r="G20" s="1325">
        <v>74.201885745978998</v>
      </c>
      <c r="H20" s="1326">
        <v>65.433166943982002</v>
      </c>
      <c r="I20" s="1327">
        <v>-2.0033277870216</v>
      </c>
      <c r="J20" s="1324">
        <v>10.772046589018</v>
      </c>
      <c r="K20" s="1206">
        <v>789.22808927598999</v>
      </c>
      <c r="L20" s="1159">
        <v>587.67882416983991</v>
      </c>
      <c r="M20" s="1159">
        <v>201.54926510615002</v>
      </c>
      <c r="N20" s="1206">
        <v>1342.4496461622</v>
      </c>
      <c r="O20" s="1159">
        <v>1436.3777898748001</v>
      </c>
      <c r="P20" s="1192">
        <v>-93.928143712574993</v>
      </c>
      <c r="Q20" s="958"/>
      <c r="R20" s="958"/>
      <c r="S20" s="479">
        <f t="shared" si="0"/>
        <v>8.0024875614981283E-13</v>
      </c>
      <c r="T20" s="479">
        <f t="shared" si="1"/>
        <v>5.9685589803848416E-13</v>
      </c>
      <c r="U20" s="480">
        <f>G20-C20-(TableB3!B20-TableB4!B20)</f>
        <v>-1.109262341003614E-3</v>
      </c>
      <c r="V20" s="480">
        <f>G20-C20-TableB1!G22</f>
        <v>0</v>
      </c>
      <c r="W20" s="268">
        <f t="shared" si="2"/>
        <v>0</v>
      </c>
      <c r="X20" s="268">
        <f t="shared" si="3"/>
        <v>-2.5110580281761941E-11</v>
      </c>
    </row>
    <row r="21" spans="2:24" x14ac:dyDescent="0.2">
      <c r="B21" s="1154" t="s">
        <v>40</v>
      </c>
      <c r="C21" s="408">
        <v>1.1568235296728</v>
      </c>
      <c r="D21" s="1326">
        <v>0.62594856905157992</v>
      </c>
      <c r="E21" s="1324">
        <v>6.4186108707708994E-2</v>
      </c>
      <c r="F21" s="1324">
        <v>0.46668885191347997</v>
      </c>
      <c r="G21" s="1325">
        <v>1.8014650027732</v>
      </c>
      <c r="H21" s="1326">
        <v>0.24941714475873999</v>
      </c>
      <c r="I21" s="1327">
        <v>3.5620011092623001E-3</v>
      </c>
      <c r="J21" s="1324">
        <v>1.5484858569052</v>
      </c>
      <c r="K21" s="1206">
        <v>26.950778184268003</v>
      </c>
      <c r="L21" s="1159">
        <v>19.553694940935998</v>
      </c>
      <c r="M21" s="1159">
        <v>7.3970832433315001</v>
      </c>
      <c r="N21" s="1206">
        <v>27.287786076330999</v>
      </c>
      <c r="O21" s="1159">
        <v>25.277765105181999</v>
      </c>
      <c r="P21" s="1192">
        <v>2.0100209711486001</v>
      </c>
      <c r="Q21" s="958"/>
      <c r="R21" s="958"/>
      <c r="S21" s="479">
        <f t="shared" si="0"/>
        <v>3.1086244689504383E-14</v>
      </c>
      <c r="T21" s="479">
        <f t="shared" si="1"/>
        <v>-2.4424906541753444E-15</v>
      </c>
      <c r="U21" s="480">
        <f>G21-C21-(TableB3!B21-TableB4!B21)</f>
        <v>0</v>
      </c>
      <c r="V21" s="480">
        <f>G21-C21-TableB1!G23</f>
        <v>0</v>
      </c>
      <c r="W21" s="268">
        <f t="shared" si="2"/>
        <v>5.0537352080937126E-13</v>
      </c>
      <c r="X21" s="268">
        <f t="shared" si="3"/>
        <v>4.0012437807490642E-13</v>
      </c>
    </row>
    <row r="22" spans="2:24" x14ac:dyDescent="0.2">
      <c r="B22" s="1154" t="s">
        <v>41</v>
      </c>
      <c r="C22" s="408">
        <v>11.620257265557001</v>
      </c>
      <c r="D22" s="1326">
        <v>6.0308644132753999</v>
      </c>
      <c r="E22" s="1324">
        <v>-0.10981389643044</v>
      </c>
      <c r="F22" s="1324">
        <v>5.6992067487124007</v>
      </c>
      <c r="G22" s="1325">
        <v>3.9436663646066998</v>
      </c>
      <c r="H22" s="1326">
        <v>1.1560207561767</v>
      </c>
      <c r="I22" s="1327">
        <v>-3.8871447810482997E-2</v>
      </c>
      <c r="J22" s="1324">
        <v>2.8265170562405002</v>
      </c>
      <c r="K22" s="1206">
        <v>196.81426367442</v>
      </c>
      <c r="L22" s="1159">
        <v>197.45931901057</v>
      </c>
      <c r="M22" s="1159">
        <v>-0.64505533614764998</v>
      </c>
      <c r="N22" s="1206">
        <v>146.76073879217</v>
      </c>
      <c r="O22" s="1159">
        <v>146.40758730419</v>
      </c>
      <c r="P22" s="1192">
        <v>0.35315148798102003</v>
      </c>
      <c r="Q22" s="958"/>
      <c r="R22" s="958"/>
      <c r="S22" s="479">
        <f t="shared" si="0"/>
        <v>-3.5971225997855072E-13</v>
      </c>
      <c r="T22" s="479">
        <f t="shared" si="1"/>
        <v>-1.7319479184152442E-14</v>
      </c>
      <c r="U22" s="480">
        <f>G22-C22-(TableB3!B22-TableB4!B22)</f>
        <v>7.1632983988934029E-9</v>
      </c>
      <c r="V22" s="480">
        <f>G22-C22-TableB1!G24</f>
        <v>0</v>
      </c>
      <c r="W22" s="268">
        <f t="shared" si="2"/>
        <v>-2.344235916496018E-12</v>
      </c>
      <c r="X22" s="268">
        <f t="shared" si="3"/>
        <v>-1.0200729150255938E-12</v>
      </c>
    </row>
    <row r="23" spans="2:24" x14ac:dyDescent="0.2">
      <c r="B23" s="1154" t="s">
        <v>42</v>
      </c>
      <c r="C23" s="408">
        <v>3.6703132238177998E-2</v>
      </c>
      <c r="D23" s="1326">
        <v>2.2275108968346998E-2</v>
      </c>
      <c r="E23" s="1324">
        <v>0.10725866799700999</v>
      </c>
      <c r="F23" s="1324">
        <v>-9.2830644727175005E-2</v>
      </c>
      <c r="G23" s="1325">
        <v>0.29035733429571003</v>
      </c>
      <c r="H23" s="1326">
        <v>5.5285940979301E-2</v>
      </c>
      <c r="I23" s="1327">
        <v>0.12703180761220001</v>
      </c>
      <c r="J23" s="1324">
        <v>0.1080395857042</v>
      </c>
      <c r="K23" s="1206">
        <v>11.293364683512999</v>
      </c>
      <c r="L23" s="1159">
        <v>7.6595321085980004</v>
      </c>
      <c r="M23" s="1159">
        <v>3.6338325749151998</v>
      </c>
      <c r="N23" s="1206">
        <v>11.078872659058002</v>
      </c>
      <c r="O23" s="1159">
        <v>8.0560059078677995</v>
      </c>
      <c r="P23" s="1192">
        <v>3.0228667511897003</v>
      </c>
      <c r="Q23" s="958"/>
      <c r="R23" s="958"/>
      <c r="S23" s="479">
        <f t="shared" si="0"/>
        <v>-3.9829251008427491E-15</v>
      </c>
      <c r="T23" s="479">
        <f t="shared" si="1"/>
        <v>9.0205620750793969E-15</v>
      </c>
      <c r="U23" s="480">
        <f>G23-C23-(TableB3!B23-TableB4!B23)</f>
        <v>2.0539125955565396E-15</v>
      </c>
      <c r="V23" s="480">
        <f>G23-C23-TableB1!G25</f>
        <v>0</v>
      </c>
      <c r="W23" s="268">
        <f t="shared" si="2"/>
        <v>-2.007283228522283E-13</v>
      </c>
      <c r="X23" s="268">
        <f t="shared" si="3"/>
        <v>5.0182080713057076E-13</v>
      </c>
    </row>
    <row r="24" spans="2:24" x14ac:dyDescent="0.2">
      <c r="B24" s="1154" t="s">
        <v>43</v>
      </c>
      <c r="C24" s="408">
        <v>64.704381586245006</v>
      </c>
      <c r="D24" s="1326">
        <v>17.189129229062999</v>
      </c>
      <c r="E24" s="1324">
        <v>0.92734331669439996</v>
      </c>
      <c r="F24" s="1324">
        <v>46.587909040488</v>
      </c>
      <c r="G24" s="1325">
        <v>11.764836383805001</v>
      </c>
      <c r="H24" s="1326">
        <v>1.6195230171935999</v>
      </c>
      <c r="I24" s="1327">
        <v>-1.5707154742097</v>
      </c>
      <c r="J24" s="1324">
        <v>11.716028840821</v>
      </c>
      <c r="K24" s="1206">
        <v>888.22101252041</v>
      </c>
      <c r="L24" s="1159">
        <v>642.85356559607999</v>
      </c>
      <c r="M24" s="1159">
        <v>245.36744692433001</v>
      </c>
      <c r="N24" s="1206">
        <v>909.66793685357004</v>
      </c>
      <c r="O24" s="1159">
        <v>816.48775176918991</v>
      </c>
      <c r="P24" s="1192">
        <v>93.180185084376987</v>
      </c>
      <c r="Q24" s="958"/>
      <c r="R24" s="958"/>
      <c r="S24" s="479">
        <f t="shared" si="0"/>
        <v>-3.907985046680551E-13</v>
      </c>
      <c r="T24" s="479">
        <f t="shared" si="1"/>
        <v>1.0125233984581428E-13</v>
      </c>
      <c r="U24" s="480">
        <f>G24-C24-(TableB3!B24-TableB4!B24)</f>
        <v>2.2185246819930171E-3</v>
      </c>
      <c r="V24" s="480">
        <f>G24-C24-TableB1!G26</f>
        <v>0</v>
      </c>
      <c r="W24" s="268">
        <f t="shared" si="2"/>
        <v>0</v>
      </c>
      <c r="X24" s="268">
        <f t="shared" si="3"/>
        <v>3.1405988920596428E-12</v>
      </c>
    </row>
    <row r="25" spans="2:24" x14ac:dyDescent="0.2">
      <c r="B25" s="1154" t="s">
        <v>44</v>
      </c>
      <c r="C25" s="408">
        <f>+TableB10!$E$25/1000</f>
        <v>5.0199999999999996</v>
      </c>
      <c r="D25" s="1326">
        <v>1.1495</v>
      </c>
      <c r="E25" s="1324">
        <f>+C25-D25-F25</f>
        <v>0.15850000000000009</v>
      </c>
      <c r="F25" s="1324">
        <v>3.7119999999999997</v>
      </c>
      <c r="G25" s="1325">
        <f>+TableB10!$N$25/1000</f>
        <v>6.4</v>
      </c>
      <c r="H25" s="1326">
        <v>1.7479</v>
      </c>
      <c r="I25" s="1327">
        <f>+G25-H25-J25</f>
        <v>0.18410000000000082</v>
      </c>
      <c r="J25" s="1327">
        <v>4.468</v>
      </c>
      <c r="K25" s="1206">
        <v>29.5</v>
      </c>
      <c r="L25" s="1159">
        <v>17.7</v>
      </c>
      <c r="M25" s="1159">
        <f>+K25-L25</f>
        <v>11.8</v>
      </c>
      <c r="N25" s="1206">
        <v>17</v>
      </c>
      <c r="O25" s="1159">
        <v>12.8</v>
      </c>
      <c r="P25" s="1192">
        <f>+N25-O25</f>
        <v>4.1999999999999993</v>
      </c>
      <c r="Q25" s="958"/>
      <c r="R25" s="958"/>
      <c r="S25" s="479"/>
      <c r="T25" s="479"/>
      <c r="U25" s="480">
        <f>G25-C25-(TableB3!B25-TableB4!B25)</f>
        <v>1.3800000000000008</v>
      </c>
      <c r="V25" s="480">
        <f>G25-C25-TableB1!G27</f>
        <v>0</v>
      </c>
      <c r="W25" s="268">
        <f t="shared" si="2"/>
        <v>0</v>
      </c>
      <c r="X25" s="268">
        <f t="shared" si="3"/>
        <v>0</v>
      </c>
    </row>
    <row r="26" spans="2:24" x14ac:dyDescent="0.2">
      <c r="B26" s="1154" t="s">
        <v>45</v>
      </c>
      <c r="C26" s="408">
        <v>11.685326677758999</v>
      </c>
      <c r="D26" s="1326">
        <v>3.4079789240155001</v>
      </c>
      <c r="E26" s="1324">
        <v>0.80985579589572998</v>
      </c>
      <c r="F26" s="1324">
        <v>7.4674919578479999</v>
      </c>
      <c r="G26" s="1325">
        <v>12.171589572934002</v>
      </c>
      <c r="H26" s="1326">
        <v>15.558739877980999</v>
      </c>
      <c r="I26" s="1327">
        <v>-0.30271991125901004</v>
      </c>
      <c r="J26" s="1324">
        <v>-3.0844303937881001</v>
      </c>
      <c r="K26" s="1206">
        <v>340.51513445835997</v>
      </c>
      <c r="L26" s="1159">
        <v>306.00955144257</v>
      </c>
      <c r="M26" s="1159">
        <v>34.505583015787003</v>
      </c>
      <c r="N26" s="1206">
        <v>468.36628415894995</v>
      </c>
      <c r="O26" s="1159">
        <v>465.26560805661001</v>
      </c>
      <c r="P26" s="1192">
        <v>3.1006761023407998</v>
      </c>
      <c r="Q26" s="958"/>
      <c r="R26" s="958"/>
      <c r="S26" s="479">
        <f t="shared" si="0"/>
        <v>-2.3181456754173269E-13</v>
      </c>
      <c r="T26" s="479">
        <f t="shared" si="1"/>
        <v>1.127986593019159E-13</v>
      </c>
      <c r="U26" s="480">
        <f>G26-C26-(TableB3!B26-TableB4!B26)</f>
        <v>1.0036416142611415E-12</v>
      </c>
      <c r="V26" s="480">
        <f>G26-C26-TableB1!G28</f>
        <v>0</v>
      </c>
      <c r="W26" s="268">
        <f t="shared" si="2"/>
        <v>2.9629632081196178E-12</v>
      </c>
      <c r="X26" s="268">
        <f t="shared" si="3"/>
        <v>-8.5353946133182035E-13</v>
      </c>
    </row>
    <row r="27" spans="2:24" x14ac:dyDescent="0.2">
      <c r="B27" s="1155" t="s">
        <v>46</v>
      </c>
      <c r="C27" s="411">
        <f>TableB4!B27</f>
        <v>24.191275703023997</v>
      </c>
      <c r="D27" s="1328">
        <f>TableB4!C27</f>
        <v>12.265056118767999</v>
      </c>
      <c r="E27" s="1329">
        <f>TableB4!H27</f>
        <v>0.50577551005228993</v>
      </c>
      <c r="F27" s="1329">
        <f>TableB4!M27</f>
        <v>11.420444074204001</v>
      </c>
      <c r="G27" s="1330">
        <f>TableB3!B27</f>
        <v>94.342008375046987</v>
      </c>
      <c r="H27" s="1328">
        <f>TableB3!C27</f>
        <v>49.686658848633002</v>
      </c>
      <c r="I27" s="1331">
        <f>TableB3!H27</f>
        <v>1.3660897354844002</v>
      </c>
      <c r="J27" s="1329">
        <f>TableB3!M27</f>
        <v>43.290086221502001</v>
      </c>
      <c r="K27" s="1206">
        <v>205.56016597510001</v>
      </c>
      <c r="L27" s="1200">
        <v>176.20746887966999</v>
      </c>
      <c r="M27" s="1200">
        <v>29.352697095436</v>
      </c>
      <c r="N27" s="1206">
        <v>1260.1825726141001</v>
      </c>
      <c r="O27" s="1200">
        <v>1148.2074688796999</v>
      </c>
      <c r="P27" s="1332">
        <v>111.97510373444</v>
      </c>
      <c r="Q27" s="958"/>
      <c r="R27" s="958"/>
      <c r="S27" s="479">
        <f t="shared" si="0"/>
        <v>-2.9309887850104133E-13</v>
      </c>
      <c r="T27" s="479">
        <f t="shared" si="1"/>
        <v>-8.2643057241682527E-4</v>
      </c>
      <c r="U27" s="480">
        <f>G27-C27-(TableB3!B27-TableB4!B27)</f>
        <v>0</v>
      </c>
      <c r="V27" s="480">
        <f>G27-C27-TableB1!G29</f>
        <v>0</v>
      </c>
      <c r="W27" s="268">
        <f t="shared" si="2"/>
        <v>-5.9827698351000436E-12</v>
      </c>
      <c r="X27" s="268">
        <f t="shared" si="3"/>
        <v>-3.986144747614162E-11</v>
      </c>
    </row>
    <row r="28" spans="2:24" x14ac:dyDescent="0.2">
      <c r="B28" s="1154" t="s">
        <v>47</v>
      </c>
      <c r="C28" s="408">
        <v>2.2611056400176999</v>
      </c>
      <c r="D28" s="1326">
        <v>0.68829151943462996</v>
      </c>
      <c r="E28" s="1324">
        <v>0.17891077738516001</v>
      </c>
      <c r="F28" s="1324">
        <v>1.3939033431979</v>
      </c>
      <c r="G28" s="1325">
        <v>-0.123834732</v>
      </c>
      <c r="H28" s="1326">
        <v>3.7789467299999999</v>
      </c>
      <c r="I28" s="1327">
        <v>0.42332999999999998</v>
      </c>
      <c r="J28" s="1324">
        <v>-4.3261114620000001</v>
      </c>
      <c r="K28" s="1206">
        <v>169.65899999999999</v>
      </c>
      <c r="L28" s="1159">
        <v>161.56899999999999</v>
      </c>
      <c r="M28" s="1159">
        <v>8.09</v>
      </c>
      <c r="N28" s="1206">
        <v>276.15319290000002</v>
      </c>
      <c r="O28" s="1159">
        <v>237.2694137</v>
      </c>
      <c r="P28" s="1192">
        <v>38.883779260000004</v>
      </c>
      <c r="Q28" s="958"/>
      <c r="R28" s="958"/>
      <c r="S28" s="479">
        <f t="shared" si="0"/>
        <v>9.9920072216264089E-15</v>
      </c>
      <c r="T28" s="479">
        <f t="shared" si="1"/>
        <v>0</v>
      </c>
      <c r="U28" s="480">
        <f>G28-C28-(TableB3!B28-TableB4!B28)</f>
        <v>-2.577140372017698</v>
      </c>
      <c r="V28" s="480">
        <f>G28-C28-TableB1!G30</f>
        <v>0</v>
      </c>
      <c r="W28" s="268">
        <f t="shared" si="2"/>
        <v>0</v>
      </c>
      <c r="X28" s="268">
        <f t="shared" si="3"/>
        <v>-5.9999983648140187E-8</v>
      </c>
    </row>
    <row r="29" spans="2:24" x14ac:dyDescent="0.2">
      <c r="B29" s="1154" t="s">
        <v>48</v>
      </c>
      <c r="C29" s="408">
        <v>1.1514143094842</v>
      </c>
      <c r="D29" s="1326">
        <v>0.62229617304493001</v>
      </c>
      <c r="E29" s="1324">
        <v>5.3244592346090004E-2</v>
      </c>
      <c r="F29" s="1324">
        <v>0.47587354409318</v>
      </c>
      <c r="G29" s="1325">
        <v>0.15307820299501002</v>
      </c>
      <c r="H29" s="1326">
        <v>8.7631724902939995E-2</v>
      </c>
      <c r="I29" s="1327">
        <v>6.6555740432611993E-3</v>
      </c>
      <c r="J29" s="1324">
        <v>5.8790904048808004E-2</v>
      </c>
      <c r="K29" s="1206">
        <v>14.74251497006</v>
      </c>
      <c r="L29" s="1159">
        <v>11.890038105606999</v>
      </c>
      <c r="M29" s="1159">
        <v>2.8524768644528997</v>
      </c>
      <c r="N29" s="1206">
        <v>1.4240609689710999</v>
      </c>
      <c r="O29" s="1159">
        <v>1.0223189983669001</v>
      </c>
      <c r="P29" s="1192">
        <v>0.40174197060424999</v>
      </c>
      <c r="Q29" s="958"/>
      <c r="R29" s="958"/>
      <c r="S29" s="479">
        <f t="shared" si="0"/>
        <v>0</v>
      </c>
      <c r="T29" s="479">
        <f t="shared" si="1"/>
        <v>8.1878948066105295E-16</v>
      </c>
      <c r="U29" s="480">
        <f>G29-C29-(TableB3!B29-TableB4!B29)</f>
        <v>-2.2185246811400328E-3</v>
      </c>
      <c r="V29" s="480">
        <f>G29-C29-TableB1!G31</f>
        <v>0</v>
      </c>
      <c r="W29" s="268">
        <f t="shared" si="2"/>
        <v>1.0125233984581428E-13</v>
      </c>
      <c r="X29" s="268">
        <f t="shared" si="3"/>
        <v>-5.0182080713057076E-14</v>
      </c>
    </row>
    <row r="30" spans="2:24" x14ac:dyDescent="0.2">
      <c r="B30" s="1154" t="s">
        <v>49</v>
      </c>
      <c r="C30" s="408">
        <v>64.729894620077999</v>
      </c>
      <c r="D30" s="1326">
        <v>54.794231835829002</v>
      </c>
      <c r="E30" s="1324">
        <v>1.6217415418747001</v>
      </c>
      <c r="F30" s="1324">
        <v>8.3139212423738016</v>
      </c>
      <c r="G30" s="1325">
        <v>90.370493621742</v>
      </c>
      <c r="H30" s="1326">
        <v>77.974486966168001</v>
      </c>
      <c r="I30" s="1327">
        <v>16.733222407099003</v>
      </c>
      <c r="J30" s="1324">
        <v>-4.3372157515251999</v>
      </c>
      <c r="K30" s="1206">
        <v>3669.8345127926</v>
      </c>
      <c r="L30" s="1159">
        <v>3345.5405552531001</v>
      </c>
      <c r="M30" s="1159">
        <v>324.29395753947</v>
      </c>
      <c r="N30" s="1206">
        <v>4383.9096352749002</v>
      </c>
      <c r="O30" s="1159">
        <v>4126.2917800761998</v>
      </c>
      <c r="P30" s="1192">
        <v>257.61785519868999</v>
      </c>
      <c r="Q30" s="958"/>
      <c r="R30" s="958"/>
      <c r="S30" s="479">
        <f t="shared" si="0"/>
        <v>4.9560355819266988E-13</v>
      </c>
      <c r="T30" s="479">
        <f t="shared" si="1"/>
        <v>1.9539925233402755E-13</v>
      </c>
      <c r="U30" s="480">
        <f>G30-C30-(TableB3!B30-TableB4!B30)</f>
        <v>4.007461029686965E-12</v>
      </c>
      <c r="V30" s="480">
        <f>G30-C30-TableB1!G32</f>
        <v>0</v>
      </c>
      <c r="W30" s="268">
        <f t="shared" si="2"/>
        <v>2.9842794901924208E-11</v>
      </c>
      <c r="X30" s="268">
        <f t="shared" si="3"/>
        <v>1.0459189070388675E-11</v>
      </c>
    </row>
    <row r="31" spans="2:24" x14ac:dyDescent="0.2">
      <c r="B31" s="1154" t="s">
        <v>50</v>
      </c>
      <c r="C31" s="408">
        <f>+TableB10!$E$31/1000</f>
        <v>16.3</v>
      </c>
      <c r="D31" s="1326">
        <v>5.4101154658999997</v>
      </c>
      <c r="E31" s="1327">
        <f>+C31-D31-F31</f>
        <v>0.151843042200003</v>
      </c>
      <c r="F31" s="1333">
        <v>10.738041491899999</v>
      </c>
      <c r="G31" s="1325">
        <f>+TableB10!$N$31/1000</f>
        <v>4.55</v>
      </c>
      <c r="H31" s="1326">
        <v>1.7385203</v>
      </c>
      <c r="I31" s="1327">
        <f>+G31-H31-J31</f>
        <v>0.55294680999999946</v>
      </c>
      <c r="J31" s="1327">
        <v>2.2585328900000001</v>
      </c>
      <c r="K31" s="1206">
        <v>509</v>
      </c>
      <c r="L31" s="1159">
        <v>398</v>
      </c>
      <c r="M31" s="1159">
        <f>+K31-L31</f>
        <v>111</v>
      </c>
      <c r="N31" s="1206">
        <v>146</v>
      </c>
      <c r="O31" s="1159">
        <v>135</v>
      </c>
      <c r="P31" s="1192">
        <f>+N31-O31</f>
        <v>11</v>
      </c>
      <c r="Q31" s="958"/>
      <c r="R31" s="958"/>
      <c r="S31" s="479">
        <f t="shared" si="0"/>
        <v>0</v>
      </c>
      <c r="T31" s="479">
        <f t="shared" si="1"/>
        <v>0</v>
      </c>
      <c r="U31" s="480">
        <f>G31-C31-(TableB3!B31-TableB4!B31)</f>
        <v>-11.75</v>
      </c>
      <c r="V31" s="480">
        <f>G31-C31-TableB1!G33</f>
        <v>0</v>
      </c>
      <c r="W31" s="268">
        <f t="shared" si="2"/>
        <v>0</v>
      </c>
      <c r="X31" s="268">
        <f t="shared" si="3"/>
        <v>0</v>
      </c>
    </row>
    <row r="32" spans="2:24" x14ac:dyDescent="0.2">
      <c r="B32" s="1154" t="s">
        <v>51</v>
      </c>
      <c r="C32" s="408">
        <v>181.21020521353</v>
      </c>
      <c r="D32" s="1326">
        <v>118.95507487521</v>
      </c>
      <c r="E32" s="1327">
        <v>20.098724348308</v>
      </c>
      <c r="F32" s="1324">
        <v>42.155296727676003</v>
      </c>
      <c r="G32" s="1325">
        <v>213.43760399333999</v>
      </c>
      <c r="H32" s="1326">
        <v>172.83638380477001</v>
      </c>
      <c r="I32" s="1327">
        <v>41.328896283970998</v>
      </c>
      <c r="J32" s="1324">
        <v>-0.72767609539655997</v>
      </c>
      <c r="K32" s="1206">
        <v>4020.7969515514001</v>
      </c>
      <c r="L32" s="1159">
        <v>3033.1836690256</v>
      </c>
      <c r="M32" s="1159">
        <v>987.61328252585997</v>
      </c>
      <c r="N32" s="1206">
        <v>4936.9571039739003</v>
      </c>
      <c r="O32" s="1159">
        <v>3645.9225911813</v>
      </c>
      <c r="P32" s="1192">
        <v>1291.0345127926</v>
      </c>
      <c r="Q32" s="958"/>
      <c r="R32" s="958"/>
      <c r="S32" s="479">
        <f t="shared" si="0"/>
        <v>1.1092623360013931E-3</v>
      </c>
      <c r="T32" s="479">
        <f t="shared" si="1"/>
        <v>-4.4557690870306033E-12</v>
      </c>
      <c r="U32" s="480">
        <f>G32-C32-(TableB3!B32-TableB4!B32)</f>
        <v>-3.3277870002734744E-4</v>
      </c>
      <c r="V32" s="480">
        <f>G32-C32-TableB1!G34</f>
        <v>0</v>
      </c>
      <c r="W32" s="268">
        <f t="shared" si="2"/>
        <v>-5.9912963479291648E-11</v>
      </c>
      <c r="X32" s="268">
        <f t="shared" si="3"/>
        <v>0</v>
      </c>
    </row>
    <row r="33" spans="1:24" x14ac:dyDescent="0.2">
      <c r="A33" s="958"/>
      <c r="B33" s="1154" t="s">
        <v>52</v>
      </c>
      <c r="C33" s="408">
        <v>5.8876028447914992</v>
      </c>
      <c r="D33" s="1326">
        <v>4.2455724445684</v>
      </c>
      <c r="E33" s="1324">
        <v>0.64286710361176991</v>
      </c>
      <c r="F33" s="1324">
        <v>0.99846604378747994</v>
      </c>
      <c r="G33" s="1325">
        <v>0.51108631989960007</v>
      </c>
      <c r="H33" s="1326">
        <v>0.50760005578022993</v>
      </c>
      <c r="I33" s="1327">
        <v>1.5339562125227E-2</v>
      </c>
      <c r="J33" s="1324">
        <v>-1.3247803653605001E-2</v>
      </c>
      <c r="K33" s="1206">
        <v>66.604807231390993</v>
      </c>
      <c r="L33" s="1159">
        <v>44.933917688146003</v>
      </c>
      <c r="M33" s="1159">
        <v>21.670889543245</v>
      </c>
      <c r="N33" s="1206">
        <v>17.025953571184001</v>
      </c>
      <c r="O33" s="1159">
        <v>13.527357392317001</v>
      </c>
      <c r="P33" s="1192">
        <v>3.4985961788674</v>
      </c>
      <c r="Q33" s="958"/>
      <c r="R33" s="958"/>
      <c r="S33" s="479">
        <f t="shared" si="0"/>
        <v>6.9725282384935916E-4</v>
      </c>
      <c r="T33" s="479">
        <f t="shared" si="1"/>
        <v>1.3945056477481423E-3</v>
      </c>
      <c r="U33" s="479">
        <f>G33-C33-(TableB3!B33-TableB4!B33)</f>
        <v>-6.9725282387977927E-4</v>
      </c>
      <c r="V33" s="480">
        <f>G33-C33-TableB1!G35</f>
        <v>0</v>
      </c>
      <c r="W33" s="268">
        <f t="shared" si="2"/>
        <v>0</v>
      </c>
      <c r="X33" s="268">
        <f t="shared" si="3"/>
        <v>-3.9968028886505635E-13</v>
      </c>
    </row>
    <row r="34" spans="1:24" x14ac:dyDescent="0.2">
      <c r="A34" s="958"/>
      <c r="B34" s="1080" t="s">
        <v>53</v>
      </c>
      <c r="C34" s="408">
        <v>6.0380938209143995</v>
      </c>
      <c r="D34" s="1326">
        <v>5.170070557891</v>
      </c>
      <c r="E34" s="1324">
        <v>2.1895266793150001</v>
      </c>
      <c r="F34" s="1324">
        <v>-1.3215034162916</v>
      </c>
      <c r="G34" s="1325">
        <v>9.0784073013156998</v>
      </c>
      <c r="H34" s="1326">
        <v>7.1363912552856004</v>
      </c>
      <c r="I34" s="1327">
        <v>0.45112409012561999</v>
      </c>
      <c r="J34" s="1324">
        <v>1.4907679525811</v>
      </c>
      <c r="K34" s="1206">
        <v>149.47309875142</v>
      </c>
      <c r="L34" s="1159">
        <v>99.822701475595991</v>
      </c>
      <c r="M34" s="1159">
        <v>49.650397275823003</v>
      </c>
      <c r="N34" s="1206">
        <v>174.38751418842</v>
      </c>
      <c r="O34" s="1159">
        <v>178.80885357547999</v>
      </c>
      <c r="P34" s="1192">
        <v>-4.4213393870602005</v>
      </c>
      <c r="Q34" s="958"/>
      <c r="R34" s="958"/>
      <c r="S34" s="479">
        <f t="shared" si="0"/>
        <v>0</v>
      </c>
      <c r="T34" s="479">
        <f t="shared" si="1"/>
        <v>1.2400332337958453E-4</v>
      </c>
      <c r="U34" s="479">
        <f>G34-C34-(TableB3!B34-TableB4!B34)</f>
        <v>1.0230274171352018</v>
      </c>
      <c r="V34" s="480">
        <f>G34-C34-TableB1!G36</f>
        <v>0</v>
      </c>
      <c r="W34" s="268">
        <f t="shared" si="2"/>
        <v>1.0018652574217413E-12</v>
      </c>
      <c r="X34" s="268">
        <f t="shared" si="3"/>
        <v>2.1316282072803006E-13</v>
      </c>
    </row>
    <row r="35" spans="1:24" x14ac:dyDescent="0.2">
      <c r="A35" s="958"/>
      <c r="B35" s="1154" t="s">
        <v>54</v>
      </c>
      <c r="C35" s="408">
        <v>18.178345976340999</v>
      </c>
      <c r="D35" s="1326">
        <v>7.9880112460876997</v>
      </c>
      <c r="E35" s="1324">
        <v>2.1004721234948001</v>
      </c>
      <c r="F35" s="1324">
        <v>8.0898626067583006</v>
      </c>
      <c r="G35" s="1325">
        <v>0.71903347302530007</v>
      </c>
      <c r="H35" s="1326">
        <v>0.69948543843827993</v>
      </c>
      <c r="I35" s="1327">
        <v>3.7398546496207E-3</v>
      </c>
      <c r="J35" s="1324">
        <v>1.5808179937404E-2</v>
      </c>
      <c r="K35" s="1206">
        <v>185.17692445719999</v>
      </c>
      <c r="L35" s="1159">
        <v>139.13101432929</v>
      </c>
      <c r="M35" s="1159">
        <v>46.045910127912997</v>
      </c>
      <c r="N35" s="1206">
        <v>23.588628848273999</v>
      </c>
      <c r="O35" s="1159">
        <v>25.205070364769</v>
      </c>
      <c r="P35" s="1192">
        <v>-1.6164415164953001</v>
      </c>
      <c r="Q35" s="958"/>
      <c r="R35" s="958"/>
      <c r="S35" s="479">
        <f t="shared" si="0"/>
        <v>1.9895196601282805E-13</v>
      </c>
      <c r="T35" s="479">
        <f t="shared" si="1"/>
        <v>-4.5519144009631418E-15</v>
      </c>
      <c r="U35" s="479">
        <f>G35-C35-(TableB3!B35-TableB4!B35)</f>
        <v>-1.0302869668521453E-13</v>
      </c>
      <c r="V35" s="480">
        <f>G35-C35-TableB1!G37</f>
        <v>0</v>
      </c>
      <c r="W35" s="268">
        <f t="shared" si="2"/>
        <v>-3.0055957722652238E-12</v>
      </c>
      <c r="X35" s="268">
        <f t="shared" si="3"/>
        <v>2.9864999362416711E-13</v>
      </c>
    </row>
    <row r="36" spans="1:24" x14ac:dyDescent="0.2">
      <c r="A36" s="958"/>
      <c r="B36" s="1154" t="s">
        <v>55</v>
      </c>
      <c r="C36" s="408">
        <v>4.8574597892401998</v>
      </c>
      <c r="D36" s="1326">
        <v>3.1136993899057002</v>
      </c>
      <c r="E36" s="1324">
        <v>0.75873544093178003</v>
      </c>
      <c r="F36" s="1324">
        <v>0.98502495840266002</v>
      </c>
      <c r="G36" s="1325">
        <v>1.9123682750971001</v>
      </c>
      <c r="H36" s="1326">
        <v>1.3255684969495001</v>
      </c>
      <c r="I36" s="1327">
        <v>-0.12534664448141999</v>
      </c>
      <c r="J36" s="1324">
        <v>0.71214642262895</v>
      </c>
      <c r="K36" s="1206">
        <v>117.18018508438</v>
      </c>
      <c r="L36" s="1159">
        <v>104.49319542733001</v>
      </c>
      <c r="M36" s="1159">
        <v>12.686989657050001</v>
      </c>
      <c r="N36" s="1206">
        <v>56.708764289603003</v>
      </c>
      <c r="O36" s="1159">
        <v>61.250952640173999</v>
      </c>
      <c r="P36" s="1192">
        <v>-4.5421883505715996</v>
      </c>
      <c r="Q36" s="958"/>
      <c r="R36" s="958"/>
      <c r="S36" s="479">
        <f t="shared" si="0"/>
        <v>5.9618976422370906E-14</v>
      </c>
      <c r="T36" s="479">
        <f t="shared" si="1"/>
        <v>6.9944050551384862E-14</v>
      </c>
      <c r="U36" s="479">
        <f>G36-C36-(TableB3!B36-TableB4!B36)</f>
        <v>1.109262340600381E-3</v>
      </c>
      <c r="V36" s="480">
        <f>G36-C36-TableB1!G38</f>
        <v>0</v>
      </c>
      <c r="W36" s="268">
        <f t="shared" si="2"/>
        <v>0</v>
      </c>
      <c r="X36" s="268">
        <f t="shared" si="3"/>
        <v>6.0396132539608516E-13</v>
      </c>
    </row>
    <row r="37" spans="1:24" x14ac:dyDescent="0.2">
      <c r="A37" s="958"/>
      <c r="B37" s="1154" t="s">
        <v>336</v>
      </c>
      <c r="C37" s="408">
        <v>4.4209847509705993</v>
      </c>
      <c r="D37" s="1326">
        <v>3.3260375463117002</v>
      </c>
      <c r="E37" s="1324">
        <v>0.30803216860788002</v>
      </c>
      <c r="F37" s="1324">
        <v>0.78691503605103008</v>
      </c>
      <c r="G37" s="1325">
        <v>0.35041336661119998</v>
      </c>
      <c r="H37" s="1326">
        <v>0.30484747642818</v>
      </c>
      <c r="I37" s="1327">
        <v>1.5254575707155001E-2</v>
      </c>
      <c r="J37" s="1324">
        <v>3.0311314475873999E-2</v>
      </c>
      <c r="K37" s="1206">
        <v>46.015734349482997</v>
      </c>
      <c r="L37" s="1159">
        <v>39.104869896570001</v>
      </c>
      <c r="M37" s="1159">
        <v>6.9108644529124001</v>
      </c>
      <c r="N37" s="1206">
        <v>2.4622449646161999</v>
      </c>
      <c r="O37" s="1159">
        <v>1.8875068045727001</v>
      </c>
      <c r="P37" s="1192">
        <v>0.57473816004355005</v>
      </c>
      <c r="Q37" s="958"/>
      <c r="R37" s="958"/>
      <c r="S37" s="479">
        <f t="shared" si="0"/>
        <v>-1.099120794378905E-14</v>
      </c>
      <c r="T37" s="479">
        <f t="shared" si="1"/>
        <v>-9.0136231811754897E-15</v>
      </c>
      <c r="U37" s="479">
        <f>G37-C37-(TableB3!B37-TableB4!B37)</f>
        <v>2.042810365310288E-14</v>
      </c>
      <c r="V37" s="480">
        <f>G37-C37-TableB1!G39</f>
        <v>0</v>
      </c>
      <c r="W37" s="268">
        <f t="shared" si="2"/>
        <v>5.9596771961878403E-13</v>
      </c>
      <c r="X37" s="268">
        <f t="shared" si="3"/>
        <v>-5.0293103015519591E-14</v>
      </c>
    </row>
    <row r="38" spans="1:24" x14ac:dyDescent="0.2">
      <c r="A38" s="958"/>
      <c r="B38" s="1080" t="s">
        <v>57</v>
      </c>
      <c r="C38" s="408">
        <v>1.0781763727120999</v>
      </c>
      <c r="D38" s="1326">
        <v>0.53209095951191998</v>
      </c>
      <c r="E38" s="1324">
        <v>5.6714364947310004E-2</v>
      </c>
      <c r="F38" s="1324">
        <v>0.48937104825291</v>
      </c>
      <c r="G38" s="1325">
        <v>5.5168053244592001E-2</v>
      </c>
      <c r="H38" s="1326">
        <v>9.5288962839711999E-2</v>
      </c>
      <c r="I38" s="1327">
        <v>3.3369938990571002E-2</v>
      </c>
      <c r="J38" s="1324">
        <v>-7.3490848585690993E-2</v>
      </c>
      <c r="K38" s="1206">
        <v>12.642377789874999</v>
      </c>
      <c r="L38" s="1159">
        <v>10.673601524223999</v>
      </c>
      <c r="M38" s="1159">
        <v>1.9687762656504999</v>
      </c>
      <c r="N38" s="1206">
        <v>5.9971965160587999</v>
      </c>
      <c r="O38" s="1159">
        <v>4.3100827436036999</v>
      </c>
      <c r="P38" s="1192">
        <v>1.6871137724551</v>
      </c>
      <c r="Q38" s="958"/>
      <c r="R38" s="958"/>
      <c r="S38" s="479">
        <f t="shared" si="0"/>
        <v>-4.0134562340199409E-14</v>
      </c>
      <c r="T38" s="479">
        <f t="shared" si="1"/>
        <v>0</v>
      </c>
      <c r="U38" s="479">
        <f>G38-C38-(TableB3!B38-TableB4!B38)</f>
        <v>-2.2185246377759427E-6</v>
      </c>
      <c r="V38" s="480">
        <f>G38-C38-TableB1!G40</f>
        <v>0</v>
      </c>
      <c r="W38" s="268">
        <f t="shared" si="2"/>
        <v>5.0004445029117051E-13</v>
      </c>
      <c r="X38" s="268">
        <f t="shared" si="3"/>
        <v>0</v>
      </c>
    </row>
    <row r="39" spans="1:24" x14ac:dyDescent="0.2">
      <c r="A39" s="958"/>
      <c r="B39" s="1154" t="s">
        <v>58</v>
      </c>
      <c r="C39" s="408">
        <v>21.338879645035998</v>
      </c>
      <c r="D39" s="1328">
        <f>C39-E39-F39</f>
        <v>12.759955629506329</v>
      </c>
      <c r="E39" s="1329">
        <v>3.1103716028840998</v>
      </c>
      <c r="F39" s="1331">
        <f>0.3*(C39-E39)</f>
        <v>5.4685524126455691</v>
      </c>
      <c r="G39" s="1330">
        <v>30.208541320022</v>
      </c>
      <c r="H39" s="1328">
        <f>G39-I39-J39</f>
        <v>22.06999445368816</v>
      </c>
      <c r="I39" s="1331">
        <v>-1.3200221852468002</v>
      </c>
      <c r="J39" s="1331">
        <f>0.3*(G39-I39)</f>
        <v>9.4585690515806391</v>
      </c>
      <c r="K39" s="1206">
        <v>543.89874795863</v>
      </c>
      <c r="L39" s="1159">
        <v>450.21556886228001</v>
      </c>
      <c r="M39" s="1159">
        <v>93.683179096352987</v>
      </c>
      <c r="N39" s="1206">
        <v>492.51388132824997</v>
      </c>
      <c r="O39" s="1159">
        <v>532.58464888405001</v>
      </c>
      <c r="P39" s="1192">
        <v>-40.069678824169998</v>
      </c>
      <c r="Q39" s="958"/>
      <c r="R39" s="958"/>
      <c r="S39" s="479">
        <f t="shared" si="0"/>
        <v>0</v>
      </c>
      <c r="T39" s="479">
        <f t="shared" si="1"/>
        <v>0</v>
      </c>
      <c r="U39" s="479">
        <f>G39-C39-(TableB3!B39-TableB4!B39)</f>
        <v>1.109262339998196E-3</v>
      </c>
      <c r="V39" s="480">
        <f>G39-C39-TableB1!G41</f>
        <v>0</v>
      </c>
      <c r="W39" s="268">
        <f t="shared" si="2"/>
        <v>-2.9984903449076228E-12</v>
      </c>
      <c r="X39" s="268">
        <f t="shared" si="3"/>
        <v>-1.0887316300483008E-3</v>
      </c>
    </row>
    <row r="40" spans="1:24" x14ac:dyDescent="0.2">
      <c r="A40" s="958"/>
      <c r="B40" s="1154" t="s">
        <v>59</v>
      </c>
      <c r="C40" s="408">
        <v>20.771594319813001</v>
      </c>
      <c r="D40" s="1328">
        <v>13.67563142847</v>
      </c>
      <c r="E40" s="1329">
        <v>1.6201819842692</v>
      </c>
      <c r="F40" s="1329">
        <v>5.4757809070740997</v>
      </c>
      <c r="G40" s="1330">
        <v>28.633219840319001</v>
      </c>
      <c r="H40" s="1328">
        <v>20.092415740334001</v>
      </c>
      <c r="I40" s="1331">
        <v>1.4676189007390998</v>
      </c>
      <c r="J40" s="1329">
        <v>7.0730665654325007</v>
      </c>
      <c r="K40" s="1206">
        <v>302.68955549237</v>
      </c>
      <c r="L40" s="1159">
        <v>244.29817078950001</v>
      </c>
      <c r="M40" s="1159">
        <v>58.391384702871996</v>
      </c>
      <c r="N40" s="1206">
        <v>374.40183394938998</v>
      </c>
      <c r="O40" s="1159">
        <v>344.20576248697</v>
      </c>
      <c r="P40" s="1192">
        <v>30.196071462421003</v>
      </c>
      <c r="Q40" s="958"/>
      <c r="R40" s="958"/>
      <c r="S40" s="479">
        <f t="shared" si="0"/>
        <v>-2.9842794901924208E-13</v>
      </c>
      <c r="T40" s="479">
        <f t="shared" si="1"/>
        <v>1.1863381339871637E-4</v>
      </c>
      <c r="U40" s="479">
        <f>G40-C40-(TableB3!B40-TableB4!B40)</f>
        <v>0</v>
      </c>
      <c r="V40" s="480">
        <f>G40-C40-TableB1!G42</f>
        <v>0</v>
      </c>
      <c r="W40" s="268">
        <f t="shared" si="2"/>
        <v>-1.9966250874858815E-12</v>
      </c>
      <c r="X40" s="268">
        <f t="shared" si="3"/>
        <v>-1.0231815394945443E-12</v>
      </c>
    </row>
    <row r="41" spans="1:24" x14ac:dyDescent="0.2">
      <c r="A41" s="958"/>
      <c r="B41" s="1154" t="s">
        <v>60</v>
      </c>
      <c r="C41" s="408">
        <v>60.637403417950004</v>
      </c>
      <c r="D41" s="1328">
        <v>42.610408115972</v>
      </c>
      <c r="E41" s="1329">
        <v>1.2316350712808</v>
      </c>
      <c r="F41" s="1329">
        <v>16.795360230697</v>
      </c>
      <c r="G41" s="1330">
        <v>91.005563908596997</v>
      </c>
      <c r="H41" s="1328">
        <v>55.682380988169001</v>
      </c>
      <c r="I41" s="1331">
        <v>4.7816502593498003</v>
      </c>
      <c r="J41" s="1329">
        <v>30.541532661079</v>
      </c>
      <c r="K41" s="1206">
        <v>886.72579101573001</v>
      </c>
      <c r="L41" s="1159">
        <v>864.70592575345006</v>
      </c>
      <c r="M41" s="1159">
        <v>22.019865262281002</v>
      </c>
      <c r="N41" s="1206">
        <v>1136.6492673456</v>
      </c>
      <c r="O41" s="1159">
        <v>1013.7179756682</v>
      </c>
      <c r="P41" s="1192">
        <v>122.93129167743</v>
      </c>
      <c r="Q41" s="958"/>
      <c r="R41" s="958"/>
      <c r="S41" s="479">
        <f t="shared" si="0"/>
        <v>2.0605739337042905E-13</v>
      </c>
      <c r="T41" s="479">
        <f t="shared" si="1"/>
        <v>-8.0291329140891321E-13</v>
      </c>
      <c r="U41" s="479">
        <f>G41-C41-(TableB3!B41-TableB4!B41)</f>
        <v>-3.117530006591096E-6</v>
      </c>
      <c r="V41" s="480">
        <f>G41-C41-TableB1!G43</f>
        <v>0</v>
      </c>
      <c r="W41" s="268">
        <f t="shared" si="2"/>
        <v>-1.0516032489249483E-12</v>
      </c>
      <c r="X41" s="268">
        <f t="shared" si="3"/>
        <v>-2.9942270884930622E-11</v>
      </c>
    </row>
    <row r="42" spans="1:24" x14ac:dyDescent="0.2">
      <c r="A42" s="958"/>
      <c r="B42" s="1154" t="s">
        <v>61</v>
      </c>
      <c r="C42" s="408">
        <v>3.5422699999999998</v>
      </c>
      <c r="D42" s="1328">
        <v>3.0356700000000001</v>
      </c>
      <c r="E42" s="1329">
        <v>0.14249000000000001</v>
      </c>
      <c r="F42" s="1329">
        <v>0.36410999999999999</v>
      </c>
      <c r="G42" s="1330">
        <v>0.22309999999999999</v>
      </c>
      <c r="H42" s="1328">
        <v>0.18555000000000002</v>
      </c>
      <c r="I42" s="1331">
        <v>2.4300000000000003E-3</v>
      </c>
      <c r="J42" s="1329">
        <v>3.5119999999999998E-2</v>
      </c>
      <c r="K42" s="1206">
        <v>155.87943999999999</v>
      </c>
      <c r="L42" s="1159">
        <v>147.58715000000001</v>
      </c>
      <c r="M42" s="1159">
        <v>8.2922900000000013</v>
      </c>
      <c r="N42" s="1206">
        <v>35.602179999999997</v>
      </c>
      <c r="O42" s="1159">
        <v>27.671020000000002</v>
      </c>
      <c r="P42" s="1192">
        <v>7.9311499999999997</v>
      </c>
      <c r="Q42" s="958"/>
      <c r="R42" s="958"/>
      <c r="S42" s="479">
        <f t="shared" si="0"/>
        <v>0</v>
      </c>
      <c r="T42" s="479">
        <f t="shared" si="1"/>
        <v>0</v>
      </c>
      <c r="U42" s="479">
        <f>G42-C42-(TableB3!B42-TableB4!B42)</f>
        <v>0</v>
      </c>
      <c r="V42" s="480">
        <f>G42-C42-TableB1!G44</f>
        <v>0</v>
      </c>
      <c r="W42" s="268">
        <f t="shared" si="2"/>
        <v>-2.1316282072803006E-14</v>
      </c>
      <c r="X42" s="268">
        <f t="shared" si="3"/>
        <v>9.9999999951805307E-6</v>
      </c>
    </row>
    <row r="43" spans="1:24" x14ac:dyDescent="0.2">
      <c r="A43" s="958"/>
      <c r="B43" s="1154" t="s">
        <v>62</v>
      </c>
      <c r="C43" s="408">
        <v>73.139801375095004</v>
      </c>
      <c r="D43" s="1328">
        <f>$C43*D44/$C44</f>
        <v>23.188293992166898</v>
      </c>
      <c r="E43" s="1329">
        <f>$C43*E44/$C44</f>
        <v>12.867229803496533</v>
      </c>
      <c r="F43" s="1329">
        <f>$C43*F44/$C44</f>
        <v>37.084277579431578</v>
      </c>
      <c r="G43" s="1330">
        <v>87.032849503438001</v>
      </c>
      <c r="H43" s="1328">
        <f>H44/$G44*$G43</f>
        <v>25.654457417576545</v>
      </c>
      <c r="I43" s="1331">
        <f>I44/$G44*$G43</f>
        <v>1.9134500536697876</v>
      </c>
      <c r="J43" s="1329">
        <f>J44/$G44*$G43</f>
        <v>59.464942032191672</v>
      </c>
      <c r="K43" s="1206">
        <v>1408.0097806758001</v>
      </c>
      <c r="L43" s="1159">
        <v>1430</v>
      </c>
      <c r="M43" s="1159">
        <f>+K43-L43</f>
        <v>-21.99021932419987</v>
      </c>
      <c r="N43" s="1206">
        <v>1557.4481327801</v>
      </c>
      <c r="O43" s="1159">
        <v>1640</v>
      </c>
      <c r="P43" s="1192">
        <f>+N43-O43</f>
        <v>-82.551867219900032</v>
      </c>
      <c r="Q43" s="958"/>
      <c r="R43" s="958"/>
      <c r="S43" s="479">
        <f t="shared" si="0"/>
        <v>0</v>
      </c>
      <c r="T43" s="479">
        <f t="shared" si="1"/>
        <v>0</v>
      </c>
      <c r="U43" s="479">
        <f>G43-C43-(TableB3!B43-TableB4!B43)</f>
        <v>9.9475983006414026E-13</v>
      </c>
      <c r="V43" s="480">
        <f>G43-C43-TableB1!G45</f>
        <v>0</v>
      </c>
      <c r="W43" s="268">
        <f t="shared" si="2"/>
        <v>0</v>
      </c>
      <c r="X43" s="268">
        <f t="shared" si="3"/>
        <v>0</v>
      </c>
    </row>
    <row r="44" spans="1:24" x14ac:dyDescent="0.2">
      <c r="A44" s="958"/>
      <c r="B44" s="1154" t="s">
        <v>63</v>
      </c>
      <c r="C44" s="408">
        <v>159.25399999999999</v>
      </c>
      <c r="D44" s="1326">
        <v>50.49</v>
      </c>
      <c r="E44" s="1324">
        <v>28.016999999999999</v>
      </c>
      <c r="F44" s="1324">
        <v>80.747</v>
      </c>
      <c r="G44" s="1325">
        <v>425.78300000000002</v>
      </c>
      <c r="H44" s="1326">
        <v>125.50700000000001</v>
      </c>
      <c r="I44" s="1327">
        <v>9.3610000000000007</v>
      </c>
      <c r="J44" s="1324">
        <v>290.91500000000002</v>
      </c>
      <c r="K44" s="1206">
        <v>5709.6580000000004</v>
      </c>
      <c r="L44" s="1159">
        <v>5076.42</v>
      </c>
      <c r="M44" s="1159">
        <v>633.23800000000006</v>
      </c>
      <c r="N44" s="1206">
        <v>6007.7730000000001</v>
      </c>
      <c r="O44" s="1159">
        <v>5787.9120000000003</v>
      </c>
      <c r="P44" s="1192">
        <v>219.86099999999999</v>
      </c>
      <c r="Q44" s="958"/>
      <c r="R44" s="958"/>
      <c r="S44" s="479">
        <f t="shared" si="0"/>
        <v>0</v>
      </c>
      <c r="T44" s="479">
        <f t="shared" si="1"/>
        <v>0</v>
      </c>
      <c r="U44" s="479">
        <f>G44-C44-(TableB3!B44-TableB4!B44)</f>
        <v>0</v>
      </c>
      <c r="V44" s="480">
        <f>G44-C44-TableB1!G46</f>
        <v>0</v>
      </c>
      <c r="W44" s="268">
        <f t="shared" si="2"/>
        <v>0</v>
      </c>
      <c r="X44" s="268">
        <f t="shared" si="3"/>
        <v>0</v>
      </c>
    </row>
    <row r="45" spans="1:24" ht="51" x14ac:dyDescent="0.2">
      <c r="A45" s="958"/>
      <c r="B45" s="7" t="s">
        <v>64</v>
      </c>
      <c r="C45" s="409"/>
      <c r="D45" s="410"/>
      <c r="E45" s="1327"/>
      <c r="F45" s="1327"/>
      <c r="G45" s="1325"/>
      <c r="H45" s="1326"/>
      <c r="I45" s="1327"/>
      <c r="J45" s="1334"/>
      <c r="K45" s="1206"/>
      <c r="L45" s="1159"/>
      <c r="M45" s="1159"/>
      <c r="N45" s="1206"/>
      <c r="O45" s="1159"/>
      <c r="P45" s="1192"/>
      <c r="Q45" s="958"/>
      <c r="R45" s="958"/>
      <c r="S45" s="479">
        <f>C45-D45-E45-F45</f>
        <v>0</v>
      </c>
      <c r="T45" s="479">
        <f>G45-H45-I45-J45</f>
        <v>0</v>
      </c>
      <c r="U45" s="479">
        <f>G45-C45-(TableB3!B45-TableB4!B45)</f>
        <v>0</v>
      </c>
      <c r="V45" s="480">
        <f>G45-C45-TableB1!G47</f>
        <v>0</v>
      </c>
      <c r="W45" s="268">
        <f t="shared" si="2"/>
        <v>0</v>
      </c>
      <c r="X45" s="268">
        <f t="shared" si="3"/>
        <v>0</v>
      </c>
    </row>
    <row r="46" spans="1:24" x14ac:dyDescent="0.2">
      <c r="A46" s="958" t="s">
        <v>65</v>
      </c>
      <c r="B46" s="1154" t="s">
        <v>371</v>
      </c>
      <c r="C46" s="409">
        <f>+(TableB10!E46+TableB10!I46)/1000</f>
        <v>28.6</v>
      </c>
      <c r="D46" s="1335">
        <v>16.713376362039998</v>
      </c>
      <c r="E46" s="1327">
        <v>4.7060989875599999</v>
      </c>
      <c r="F46" s="1324">
        <v>7.1451487725799998</v>
      </c>
      <c r="G46" s="1325">
        <f>(TableB10!N46+TableB10!R46)/1000</f>
        <v>7.2890531494999999</v>
      </c>
      <c r="H46" s="1326">
        <v>2.6669244664200003</v>
      </c>
      <c r="I46" s="1327">
        <v>0.11629095129</v>
      </c>
      <c r="J46" s="1324">
        <v>4.5058377317900007</v>
      </c>
      <c r="K46" s="1206">
        <v>460</v>
      </c>
      <c r="L46" s="1159">
        <v>393</v>
      </c>
      <c r="M46" s="1159">
        <v>67.326999999999998</v>
      </c>
      <c r="N46" s="1206">
        <v>145</v>
      </c>
      <c r="O46" s="1159">
        <v>259</v>
      </c>
      <c r="P46" s="1192">
        <f t="shared" ref="P46:P52" si="4">+N46-O46</f>
        <v>-114</v>
      </c>
      <c r="Q46" s="958"/>
      <c r="R46" s="958"/>
      <c r="S46" s="479">
        <f>C46-D46-E46-F46</f>
        <v>3.537587782000351E-2</v>
      </c>
      <c r="T46" s="479">
        <f>G46-H46-I46-J46</f>
        <v>0</v>
      </c>
      <c r="U46" s="479">
        <f>G46-C46-(TableB3!B46-TableB4!B46)</f>
        <v>0</v>
      </c>
      <c r="V46" s="480">
        <f>G46-C46-TableB1!G48</f>
        <v>0</v>
      </c>
      <c r="W46" s="268">
        <f t="shared" si="2"/>
        <v>-0.32699999999999818</v>
      </c>
      <c r="X46" s="268">
        <f t="shared" si="3"/>
        <v>0</v>
      </c>
    </row>
    <row r="47" spans="1:24" x14ac:dyDescent="0.2">
      <c r="A47" t="s">
        <v>337</v>
      </c>
      <c r="B47" s="1154" t="s">
        <v>66</v>
      </c>
      <c r="C47" s="409">
        <f>+(TableB10!E47+TableB10!I47)/1000</f>
        <v>129.19020003003806</v>
      </c>
      <c r="D47" s="1335">
        <f>0.7*C47</f>
        <v>90.433140021026631</v>
      </c>
      <c r="E47" s="1327">
        <v>0</v>
      </c>
      <c r="F47" s="1324">
        <f>C47-D47-E47</f>
        <v>38.757060009011425</v>
      </c>
      <c r="G47" s="1325">
        <f>(TableB10!N47+TableB10!R47)/1000</f>
        <v>94.634249003443642</v>
      </c>
      <c r="H47" s="1326">
        <f>0.3*G47</f>
        <v>28.390274701033093</v>
      </c>
      <c r="I47" s="1327">
        <v>0</v>
      </c>
      <c r="J47" s="1324">
        <f t="shared" ref="J47:J52" si="5">+G47-H47-I47</f>
        <v>66.24397430241055</v>
      </c>
      <c r="K47" s="1206">
        <v>2580</v>
      </c>
      <c r="L47" s="1159">
        <v>2390</v>
      </c>
      <c r="M47" s="1159">
        <f>+K47-L47</f>
        <v>190</v>
      </c>
      <c r="N47" s="1206">
        <v>517</v>
      </c>
      <c r="O47" s="1159">
        <v>461</v>
      </c>
      <c r="P47" s="1192">
        <f>+N47-O47</f>
        <v>56</v>
      </c>
      <c r="Q47" s="958"/>
      <c r="R47" s="958"/>
      <c r="S47" s="479">
        <f>C47-D47-E47-F47</f>
        <v>0</v>
      </c>
      <c r="T47" s="479">
        <f>G47-H47-I47-J47</f>
        <v>0</v>
      </c>
      <c r="U47" s="479">
        <f>G47-C47-(TableB3!B47-TableB4!B47)</f>
        <v>0</v>
      </c>
      <c r="V47" s="480">
        <f>G47-C47-TableB1!G49</f>
        <v>0</v>
      </c>
      <c r="W47" s="268">
        <f t="shared" si="2"/>
        <v>0</v>
      </c>
      <c r="X47" s="268">
        <f t="shared" si="3"/>
        <v>0</v>
      </c>
    </row>
    <row r="48" spans="1:24" x14ac:dyDescent="0.2">
      <c r="A48" s="958"/>
      <c r="B48" s="1154" t="s">
        <v>67</v>
      </c>
      <c r="C48" s="409">
        <f>+(TableB10!E48+TableB10!I48)/1000</f>
        <v>5.31</v>
      </c>
      <c r="D48" s="1335">
        <v>3.2548936231000001</v>
      </c>
      <c r="E48" s="1327">
        <v>0.51574077109999994</v>
      </c>
      <c r="F48" s="1324">
        <f>+C48-D48-E48</f>
        <v>1.5393656057999996</v>
      </c>
      <c r="G48" s="1325">
        <f>(TableB10!N48+TableB10!R48)/1000</f>
        <v>3.5615806026999999</v>
      </c>
      <c r="H48" s="410">
        <v>1.6547167199999999</v>
      </c>
      <c r="I48" s="1327">
        <v>2.8459282699999998E-2</v>
      </c>
      <c r="J48" s="1324">
        <f t="shared" si="5"/>
        <v>1.8784045999999999</v>
      </c>
      <c r="K48" s="1206">
        <v>37.6</v>
      </c>
      <c r="L48" s="1159">
        <v>36.5</v>
      </c>
      <c r="M48" s="1159">
        <f t="shared" ref="M48:M88" si="6">+K48-L48</f>
        <v>1.1000000000000014</v>
      </c>
      <c r="N48" s="1206">
        <v>18.3</v>
      </c>
      <c r="O48" s="1159">
        <v>18</v>
      </c>
      <c r="P48" s="1192">
        <f t="shared" si="4"/>
        <v>0.30000000000000071</v>
      </c>
      <c r="Q48" s="958"/>
      <c r="R48" s="958"/>
      <c r="S48" s="479">
        <f>C48-D48-E48-F48</f>
        <v>0</v>
      </c>
      <c r="T48" s="479">
        <f>G48-H48-I48-J48</f>
        <v>0</v>
      </c>
      <c r="U48" s="479">
        <f>G48-C48-(TableB3!B48-TableB4!B48)</f>
        <v>0</v>
      </c>
      <c r="V48" s="480">
        <f>G48-C48-TableB1!G50</f>
        <v>0</v>
      </c>
      <c r="W48" s="268">
        <f t="shared" si="2"/>
        <v>0</v>
      </c>
      <c r="X48" s="268">
        <f t="shared" si="3"/>
        <v>0</v>
      </c>
    </row>
    <row r="49" spans="1:24" x14ac:dyDescent="0.2">
      <c r="A49" s="958"/>
      <c r="B49" s="1154" t="s">
        <v>68</v>
      </c>
      <c r="C49" s="409">
        <f>+(TableB10!E49+TableB10!I49)/1000</f>
        <v>2.04</v>
      </c>
      <c r="D49" s="1335">
        <v>1.9856036526</v>
      </c>
      <c r="E49" s="1327">
        <v>1.0689373862</v>
      </c>
      <c r="F49" s="1324">
        <f>+C49-D49-E49</f>
        <v>-1.0145410388</v>
      </c>
      <c r="G49" s="1325">
        <f>(TableB10!N49+TableB10!R49)/1000</f>
        <v>7.4886040299999984E-2</v>
      </c>
      <c r="H49" s="410">
        <v>3.2629442699999997E-2</v>
      </c>
      <c r="I49" s="1327">
        <v>1.74866E-3</v>
      </c>
      <c r="J49" s="1324">
        <f t="shared" si="5"/>
        <v>4.0507937599999988E-2</v>
      </c>
      <c r="K49" s="1206">
        <v>30.6</v>
      </c>
      <c r="L49" s="1159">
        <v>27.5</v>
      </c>
      <c r="M49" s="1159">
        <f t="shared" si="6"/>
        <v>3.1000000000000014</v>
      </c>
      <c r="N49" s="1206">
        <v>2.81</v>
      </c>
      <c r="O49" s="1159">
        <v>2.38</v>
      </c>
      <c r="P49" s="1192">
        <f t="shared" si="4"/>
        <v>0.43000000000000016</v>
      </c>
      <c r="Q49" s="958"/>
      <c r="R49" s="958"/>
      <c r="S49" s="479">
        <f t="shared" ref="S49:S89" si="7">C49-D49-E49-F49</f>
        <v>0</v>
      </c>
      <c r="T49" s="479">
        <f t="shared" ref="T49:T89" si="8">G49-H49-I49-J49</f>
        <v>0</v>
      </c>
      <c r="U49" s="479">
        <f>G49-C49-(TableB3!B49-TableB4!B49)</f>
        <v>0</v>
      </c>
      <c r="V49" s="480">
        <f>G49-C49-TableB1!G51</f>
        <v>0</v>
      </c>
      <c r="W49" s="268">
        <f t="shared" si="2"/>
        <v>0</v>
      </c>
      <c r="X49" s="268">
        <f t="shared" si="3"/>
        <v>0</v>
      </c>
    </row>
    <row r="50" spans="1:24" x14ac:dyDescent="0.2">
      <c r="A50" s="958"/>
      <c r="B50" s="1154" t="s">
        <v>69</v>
      </c>
      <c r="C50" s="409">
        <f>+(TableB10!E50+TableB10!I50)/1000</f>
        <v>13.7</v>
      </c>
      <c r="D50" s="1335">
        <v>10.231280761199999</v>
      </c>
      <c r="E50" s="1327">
        <v>6.7355001169000008</v>
      </c>
      <c r="F50" s="1324">
        <f>+C50-D50-E50</f>
        <v>-3.2667808781000005</v>
      </c>
      <c r="G50" s="1325">
        <f>(TableB10!N50+TableB10!R50)/1000</f>
        <v>5.0185436815000006</v>
      </c>
      <c r="H50" s="410">
        <v>1.6582014649000001</v>
      </c>
      <c r="I50" s="1327">
        <v>2.32522166E-2</v>
      </c>
      <c r="J50" s="1324">
        <f t="shared" si="5"/>
        <v>3.3370900000000003</v>
      </c>
      <c r="K50" s="1206">
        <v>312</v>
      </c>
      <c r="L50" s="1159">
        <v>295</v>
      </c>
      <c r="M50" s="1159">
        <f t="shared" si="6"/>
        <v>17</v>
      </c>
      <c r="N50" s="1206">
        <v>84.8</v>
      </c>
      <c r="O50" s="1159">
        <v>68</v>
      </c>
      <c r="P50" s="1192">
        <f t="shared" si="4"/>
        <v>16.799999999999997</v>
      </c>
      <c r="Q50" s="958"/>
      <c r="R50" s="958"/>
      <c r="S50" s="479">
        <f t="shared" si="7"/>
        <v>0</v>
      </c>
      <c r="T50" s="479">
        <f t="shared" si="8"/>
        <v>0</v>
      </c>
      <c r="U50" s="479">
        <f>G50-C50-(TableB3!B50-TableB4!B50)</f>
        <v>0</v>
      </c>
      <c r="V50" s="480">
        <f>G50-C50-TableB1!G52</f>
        <v>0</v>
      </c>
      <c r="W50" s="268">
        <f t="shared" si="2"/>
        <v>0</v>
      </c>
      <c r="X50" s="268">
        <f t="shared" si="3"/>
        <v>0</v>
      </c>
    </row>
    <row r="51" spans="1:24" x14ac:dyDescent="0.2">
      <c r="A51" s="958"/>
      <c r="B51" s="1154" t="s">
        <v>338</v>
      </c>
      <c r="C51" s="409">
        <f>+(TableB10!E51+TableB10!I51)/1000</f>
        <v>41</v>
      </c>
      <c r="D51" s="1335">
        <v>28.695729999999998</v>
      </c>
      <c r="E51" s="1327">
        <v>9.3334899999999994</v>
      </c>
      <c r="F51" s="1324">
        <f>+C51-D51-E51</f>
        <v>2.9707800000000031</v>
      </c>
      <c r="G51" s="1325">
        <f>(TableB10!N51+TableB10!R51)/1000</f>
        <v>17.282830000000001</v>
      </c>
      <c r="H51" s="410">
        <v>7.3322399999999996</v>
      </c>
      <c r="I51" s="1327">
        <v>4.0480799999999997</v>
      </c>
      <c r="J51" s="1324">
        <f t="shared" si="5"/>
        <v>5.9025100000000021</v>
      </c>
      <c r="K51" s="1206">
        <v>257</v>
      </c>
      <c r="L51" s="1159">
        <v>201</v>
      </c>
      <c r="M51" s="1159">
        <f t="shared" si="6"/>
        <v>56</v>
      </c>
      <c r="N51" s="1206">
        <v>287</v>
      </c>
      <c r="O51" s="1159">
        <v>282</v>
      </c>
      <c r="P51" s="1192">
        <f t="shared" si="4"/>
        <v>5</v>
      </c>
      <c r="Q51" s="958"/>
      <c r="R51" s="958"/>
      <c r="S51" s="479">
        <f t="shared" si="7"/>
        <v>0</v>
      </c>
      <c r="T51" s="479">
        <f t="shared" si="8"/>
        <v>0</v>
      </c>
      <c r="U51" s="479">
        <f>G51-C51-(TableB3!B51-TableB4!B51)</f>
        <v>0</v>
      </c>
      <c r="V51" s="480">
        <f>G51-C51-TableB1!G53</f>
        <v>0</v>
      </c>
      <c r="W51" s="268">
        <f t="shared" si="2"/>
        <v>0</v>
      </c>
      <c r="X51" s="268">
        <f t="shared" si="3"/>
        <v>0</v>
      </c>
    </row>
    <row r="52" spans="1:24" x14ac:dyDescent="0.2">
      <c r="A52" s="958"/>
      <c r="B52" s="1154" t="s">
        <v>71</v>
      </c>
      <c r="C52" s="409">
        <f>+(TableB10!E52+TableB10!I52)/1000</f>
        <v>7.06</v>
      </c>
      <c r="D52" s="1335">
        <v>6.9219943913000002</v>
      </c>
      <c r="E52" s="1327">
        <v>0.46488415110000003</v>
      </c>
      <c r="F52" s="1324">
        <f>+C52-D52-E52</f>
        <v>-0.32687854240000058</v>
      </c>
      <c r="G52" s="1325">
        <f>(TableB10!N52+TableB10!R52)/1000</f>
        <v>3.3267790902999996</v>
      </c>
      <c r="H52" s="410">
        <v>2.8618949391999999</v>
      </c>
      <c r="I52" s="1327">
        <v>0.46488415110000003</v>
      </c>
      <c r="J52" s="1324">
        <f t="shared" si="5"/>
        <v>0</v>
      </c>
      <c r="K52" s="1206">
        <v>127</v>
      </c>
      <c r="L52" s="1159">
        <v>103</v>
      </c>
      <c r="M52" s="1159">
        <f t="shared" si="6"/>
        <v>24</v>
      </c>
      <c r="N52" s="1206">
        <v>155</v>
      </c>
      <c r="O52" s="1159">
        <v>148</v>
      </c>
      <c r="P52" s="1192">
        <f t="shared" si="4"/>
        <v>7</v>
      </c>
      <c r="Q52" s="958"/>
      <c r="R52" s="958"/>
      <c r="S52" s="479">
        <f t="shared" si="7"/>
        <v>0</v>
      </c>
      <c r="T52" s="479">
        <f t="shared" si="8"/>
        <v>-3.3306690738754696E-16</v>
      </c>
      <c r="U52" s="479">
        <f>G52-C52-(TableB3!B52-TableB4!B52)</f>
        <v>0</v>
      </c>
      <c r="V52" s="480">
        <f>G52-C52-TableB1!G54</f>
        <v>0</v>
      </c>
      <c r="W52" s="268">
        <f t="shared" si="2"/>
        <v>0</v>
      </c>
      <c r="X52" s="268">
        <f t="shared" si="3"/>
        <v>0</v>
      </c>
    </row>
    <row r="53" spans="1:24" ht="34" x14ac:dyDescent="0.2">
      <c r="A53" s="958"/>
      <c r="B53" s="7" t="s">
        <v>72</v>
      </c>
      <c r="C53" s="409"/>
      <c r="D53" s="410"/>
      <c r="E53" s="1327"/>
      <c r="F53" s="1336"/>
      <c r="G53" s="1325"/>
      <c r="H53" s="1326"/>
      <c r="I53" s="1327"/>
      <c r="J53" s="1334"/>
      <c r="K53" s="1206"/>
      <c r="L53" s="1159"/>
      <c r="M53" s="1159"/>
      <c r="N53" s="1206"/>
      <c r="O53" s="1159"/>
      <c r="P53" s="1192"/>
      <c r="Q53" s="958"/>
      <c r="R53" s="958"/>
      <c r="S53" s="479">
        <f t="shared" si="7"/>
        <v>0</v>
      </c>
      <c r="T53" s="479">
        <f t="shared" si="8"/>
        <v>0</v>
      </c>
      <c r="U53" s="479">
        <f>G53-C53-(TableB3!B53-TableB4!B53)</f>
        <v>0</v>
      </c>
      <c r="V53" s="480">
        <f>G53-C53-TableB1!G55</f>
        <v>0</v>
      </c>
      <c r="W53" s="268">
        <f t="shared" si="2"/>
        <v>0</v>
      </c>
      <c r="X53" s="268">
        <f t="shared" si="3"/>
        <v>0</v>
      </c>
    </row>
    <row r="54" spans="1:24" x14ac:dyDescent="0.2">
      <c r="A54" s="958"/>
      <c r="B54" s="1154" t="s">
        <v>73</v>
      </c>
      <c r="C54" s="409">
        <f>+(TableB10!E54+TableB10!I54)/1000</f>
        <v>3.6200000000000003E-2</v>
      </c>
      <c r="D54" s="1337">
        <f>C54-E54-F54</f>
        <v>2.5340000000000001E-2</v>
      </c>
      <c r="E54" s="791">
        <v>0</v>
      </c>
      <c r="F54" s="791">
        <f>0.3*(C54-E54)</f>
        <v>1.086E-2</v>
      </c>
      <c r="G54" s="412">
        <f>+(TableB10!N54+TableB10!R54)/1000</f>
        <v>6.8900000000000003E-2</v>
      </c>
      <c r="H54" s="1337">
        <f>G54-I54-J54</f>
        <v>4.8230000000000002E-2</v>
      </c>
      <c r="I54" s="791">
        <v>0</v>
      </c>
      <c r="J54" s="791">
        <f>0.3*(G54-I54)</f>
        <v>2.0670000000000001E-2</v>
      </c>
      <c r="K54" s="1206">
        <v>0.49299999999999999</v>
      </c>
      <c r="L54" s="1159">
        <v>5.8158714200000003E-2</v>
      </c>
      <c r="M54" s="1159">
        <f t="shared" si="6"/>
        <v>0.43484128579999998</v>
      </c>
      <c r="N54" s="1206">
        <v>1.67</v>
      </c>
      <c r="O54" s="1159">
        <v>6.4426845179999997E-2</v>
      </c>
      <c r="P54" s="1192">
        <f t="shared" ref="P54:P85" si="9">+N54-O54</f>
        <v>1.6055731548199998</v>
      </c>
      <c r="Q54" s="958"/>
      <c r="R54" s="958"/>
      <c r="S54" s="479">
        <f t="shared" si="7"/>
        <v>0</v>
      </c>
      <c r="T54" s="479">
        <f t="shared" si="8"/>
        <v>0</v>
      </c>
      <c r="U54" s="479">
        <f>G54-C54-(TableB3!B54-TableB4!B54)</f>
        <v>0</v>
      </c>
      <c r="V54" s="480">
        <f>G54-C54-TableB1!G56</f>
        <v>0</v>
      </c>
      <c r="W54" s="268">
        <f t="shared" si="2"/>
        <v>0</v>
      </c>
      <c r="X54" s="268">
        <f t="shared" si="3"/>
        <v>0</v>
      </c>
    </row>
    <row r="55" spans="1:24" x14ac:dyDescent="0.2">
      <c r="A55" s="958"/>
      <c r="B55" s="1154" t="s">
        <v>74</v>
      </c>
      <c r="C55" s="409">
        <f>+(TableB10!E55+TableB10!I55)/1000</f>
        <v>0.1085</v>
      </c>
      <c r="D55" s="1337">
        <f t="shared" ref="D55:D89" si="10">C55-E55-F55</f>
        <v>7.5950000000000004E-2</v>
      </c>
      <c r="E55" s="791">
        <v>0</v>
      </c>
      <c r="F55" s="791">
        <f t="shared" ref="F55:F89" si="11">0.3*(C55-E55)</f>
        <v>3.2549999999999996E-2</v>
      </c>
      <c r="G55" s="412">
        <f>+(TableB10!N55+TableB10!R55)/1000</f>
        <v>5.7999999999999996E-3</v>
      </c>
      <c r="H55" s="1337">
        <f t="shared" ref="H55:H89" si="12">G55-I55-J55</f>
        <v>4.0599999999999994E-3</v>
      </c>
      <c r="I55" s="791">
        <v>0</v>
      </c>
      <c r="J55" s="791">
        <f t="shared" ref="J55:J89" si="13">0.3*(G55-I55)</f>
        <v>1.7399999999999998E-3</v>
      </c>
      <c r="K55" s="1206">
        <v>7.4610785309999997E-2</v>
      </c>
      <c r="L55" s="1159">
        <v>6.9464707380000002E-3</v>
      </c>
      <c r="M55" s="1159">
        <f t="shared" si="6"/>
        <v>6.7664314571999992E-2</v>
      </c>
      <c r="N55" s="1206">
        <v>0.91200000000000003</v>
      </c>
      <c r="O55" s="1159">
        <v>0.33600000000000002</v>
      </c>
      <c r="P55" s="1192">
        <f t="shared" si="9"/>
        <v>0.57600000000000007</v>
      </c>
      <c r="Q55" s="958"/>
      <c r="R55" s="958"/>
      <c r="S55" s="479">
        <f t="shared" si="7"/>
        <v>0</v>
      </c>
      <c r="T55" s="479">
        <f t="shared" si="8"/>
        <v>0</v>
      </c>
      <c r="U55" s="479">
        <f>G55-C55-(TableB3!B55-TableB4!B55)</f>
        <v>0</v>
      </c>
      <c r="V55" s="480">
        <f>G55-C55-TableB1!G57</f>
        <v>0</v>
      </c>
      <c r="W55" s="268">
        <f t="shared" si="2"/>
        <v>0</v>
      </c>
      <c r="X55" s="268">
        <f t="shared" si="3"/>
        <v>0</v>
      </c>
    </row>
    <row r="56" spans="1:24" x14ac:dyDescent="0.2">
      <c r="A56" s="958"/>
      <c r="B56" s="1154" t="str">
        <f>+TableA1!A56</f>
        <v>Antigua and Barbuda</v>
      </c>
      <c r="C56" s="409">
        <f>+(TableB10!E56+TableB10!I56)/1000</f>
        <v>7.690000000000001E-2</v>
      </c>
      <c r="D56" s="1337">
        <f t="shared" si="10"/>
        <v>5.3830000000000003E-2</v>
      </c>
      <c r="E56" s="791">
        <v>0</v>
      </c>
      <c r="F56" s="791">
        <f t="shared" si="11"/>
        <v>2.3070000000000004E-2</v>
      </c>
      <c r="G56" s="412">
        <f>+(TableB10!N56+TableB10!R56)/1000</f>
        <v>0</v>
      </c>
      <c r="H56" s="1337">
        <f t="shared" si="12"/>
        <v>0</v>
      </c>
      <c r="I56" s="791">
        <v>0</v>
      </c>
      <c r="J56" s="791">
        <f t="shared" si="13"/>
        <v>0</v>
      </c>
      <c r="K56" s="1206">
        <v>6.6455060100000005E-2</v>
      </c>
      <c r="L56" s="1159">
        <v>6.6469538699999997E-2</v>
      </c>
      <c r="M56" s="1159">
        <f t="shared" si="6"/>
        <v>-1.4478599999992459E-5</v>
      </c>
      <c r="N56" s="1206">
        <v>2.9373530339999999E-2</v>
      </c>
      <c r="O56" s="1159">
        <v>2.1136247239999999E-2</v>
      </c>
      <c r="P56" s="1192">
        <f t="shared" si="9"/>
        <v>8.2372830999999994E-3</v>
      </c>
      <c r="Q56" s="958"/>
      <c r="R56" s="958"/>
      <c r="S56" s="479">
        <f t="shared" si="7"/>
        <v>0</v>
      </c>
      <c r="T56" s="479">
        <f t="shared" si="8"/>
        <v>0</v>
      </c>
      <c r="U56" s="479">
        <f>G56-C56-(TableB3!B56-TableB4!B56)</f>
        <v>0</v>
      </c>
      <c r="V56" s="480">
        <f>G56-C56-TableB1!G58</f>
        <v>0</v>
      </c>
      <c r="W56" s="268">
        <f t="shared" si="2"/>
        <v>0</v>
      </c>
      <c r="X56" s="268">
        <f t="shared" si="3"/>
        <v>0</v>
      </c>
    </row>
    <row r="57" spans="1:24" x14ac:dyDescent="0.2">
      <c r="A57" s="958"/>
      <c r="B57" s="1154" t="s">
        <v>76</v>
      </c>
      <c r="C57" s="409">
        <f>+(TableB10!E57+TableB10!I57)/1000</f>
        <v>9.8715083800000006E-2</v>
      </c>
      <c r="D57" s="1337">
        <f t="shared" si="10"/>
        <v>6.9100558660000005E-2</v>
      </c>
      <c r="E57" s="791">
        <v>0</v>
      </c>
      <c r="F57" s="791">
        <f t="shared" si="11"/>
        <v>2.961452514E-2</v>
      </c>
      <c r="G57" s="412">
        <f>+(TableB10!N57+TableB10!R57)/1000</f>
        <v>5.7000000000000002E-2</v>
      </c>
      <c r="H57" s="1337">
        <f t="shared" si="12"/>
        <v>3.9900000000000005E-2</v>
      </c>
      <c r="I57" s="791">
        <v>0</v>
      </c>
      <c r="J57" s="791">
        <f t="shared" si="13"/>
        <v>1.7100000000000001E-2</v>
      </c>
      <c r="K57" s="1206">
        <v>4.05</v>
      </c>
      <c r="L57" s="1159">
        <v>3.29</v>
      </c>
      <c r="M57" s="1159">
        <f t="shared" si="6"/>
        <v>0.75999999999999979</v>
      </c>
      <c r="N57" s="1206">
        <v>0.105</v>
      </c>
      <c r="O57" s="1159">
        <v>7.1358949239999997E-2</v>
      </c>
      <c r="P57" s="1192">
        <f t="shared" si="9"/>
        <v>3.3641050759999999E-2</v>
      </c>
      <c r="Q57" s="958"/>
      <c r="R57" s="958"/>
      <c r="S57" s="479">
        <f t="shared" si="7"/>
        <v>0</v>
      </c>
      <c r="T57" s="479">
        <f t="shared" si="8"/>
        <v>0</v>
      </c>
      <c r="U57" s="479">
        <f>G57-C57-(TableB3!B57-TableB4!B57)</f>
        <v>0</v>
      </c>
      <c r="V57" s="480">
        <f>G57-C57-TableB1!G59</f>
        <v>0</v>
      </c>
      <c r="W57" s="268">
        <f t="shared" si="2"/>
        <v>0</v>
      </c>
      <c r="X57" s="268">
        <f t="shared" si="3"/>
        <v>0</v>
      </c>
    </row>
    <row r="58" spans="1:24" x14ac:dyDescent="0.2">
      <c r="A58" s="958" t="s">
        <v>339</v>
      </c>
      <c r="B58" s="1154" t="s">
        <v>152</v>
      </c>
      <c r="C58" s="409">
        <f>+(TableB10!E58+TableB10!I58)/1000</f>
        <v>2.4410858728483822</v>
      </c>
      <c r="D58" s="1337">
        <f t="shared" si="10"/>
        <v>1.7087601109938677</v>
      </c>
      <c r="E58" s="791">
        <v>0</v>
      </c>
      <c r="F58" s="791">
        <f t="shared" si="11"/>
        <v>0.73232576185451459</v>
      </c>
      <c r="G58" s="412">
        <f>+(TableB10!N58+TableB10!R58)/1000</f>
        <v>1.7022606313516633</v>
      </c>
      <c r="H58" s="1337">
        <f t="shared" si="12"/>
        <v>1.1915824419461645</v>
      </c>
      <c r="I58" s="791">
        <v>0</v>
      </c>
      <c r="J58" s="791">
        <f t="shared" si="13"/>
        <v>0.51067818940549892</v>
      </c>
      <c r="K58" s="1206">
        <v>82.8</v>
      </c>
      <c r="L58" s="1159">
        <v>26.7</v>
      </c>
      <c r="M58" s="1159">
        <f t="shared" si="6"/>
        <v>56.099999999999994</v>
      </c>
      <c r="N58" s="1206">
        <v>98.3</v>
      </c>
      <c r="O58" s="1159">
        <v>64.099999999999994</v>
      </c>
      <c r="P58" s="1192">
        <f t="shared" si="9"/>
        <v>34.200000000000003</v>
      </c>
      <c r="Q58" s="958"/>
      <c r="R58" s="958"/>
      <c r="S58" s="479">
        <f t="shared" si="7"/>
        <v>0</v>
      </c>
      <c r="T58" s="479">
        <f t="shared" si="8"/>
        <v>0</v>
      </c>
      <c r="U58" s="479">
        <f>G58-C58-(TableB3!B58-TableB4!B58)</f>
        <v>0</v>
      </c>
      <c r="V58" s="480">
        <f>G58-C58-TableB1!G60</f>
        <v>0</v>
      </c>
      <c r="W58" s="268">
        <f t="shared" si="2"/>
        <v>0</v>
      </c>
      <c r="X58" s="268">
        <f t="shared" si="3"/>
        <v>0</v>
      </c>
    </row>
    <row r="59" spans="1:24" x14ac:dyDescent="0.2">
      <c r="A59" t="s">
        <v>340</v>
      </c>
      <c r="B59" s="1154" t="s">
        <v>78</v>
      </c>
      <c r="C59" s="409">
        <f>+(TableB10!E59+TableB10!I59)/1000</f>
        <v>0.72000805649591415</v>
      </c>
      <c r="D59" s="1337">
        <f t="shared" si="10"/>
        <v>0.50400563954713995</v>
      </c>
      <c r="E59" s="791">
        <v>0</v>
      </c>
      <c r="F59" s="791">
        <f t="shared" si="11"/>
        <v>0.21600241694877423</v>
      </c>
      <c r="G59" s="412">
        <f>+(TableB10!N59+TableB10!R59)/1000</f>
        <v>7.740000000000001E-2</v>
      </c>
      <c r="H59" s="1337">
        <f t="shared" si="12"/>
        <v>5.4180000000000006E-2</v>
      </c>
      <c r="I59" s="791">
        <v>0</v>
      </c>
      <c r="J59" s="791">
        <f t="shared" si="13"/>
        <v>2.3220000000000001E-2</v>
      </c>
      <c r="K59" s="1206">
        <v>28.3</v>
      </c>
      <c r="L59" s="1159">
        <v>22.8</v>
      </c>
      <c r="M59" s="1159">
        <f t="shared" si="6"/>
        <v>5.5</v>
      </c>
      <c r="N59" s="1206">
        <v>2.02</v>
      </c>
      <c r="O59" s="1159">
        <v>1.82</v>
      </c>
      <c r="P59" s="1192">
        <f t="shared" si="9"/>
        <v>0.19999999999999996</v>
      </c>
      <c r="Q59" s="958"/>
      <c r="R59" s="958"/>
      <c r="S59" s="479">
        <f t="shared" si="7"/>
        <v>0</v>
      </c>
      <c r="T59" s="479">
        <f t="shared" si="8"/>
        <v>0</v>
      </c>
      <c r="U59" s="479">
        <f>G59-C59-(TableB3!B59-TableB4!B59)</f>
        <v>0</v>
      </c>
      <c r="V59" s="480">
        <f>G59-C59-TableB1!G61</f>
        <v>0</v>
      </c>
      <c r="W59" s="268">
        <f t="shared" si="2"/>
        <v>0</v>
      </c>
      <c r="X59" s="268">
        <f t="shared" si="3"/>
        <v>0</v>
      </c>
    </row>
    <row r="60" spans="1:24" x14ac:dyDescent="0.2">
      <c r="A60" s="958"/>
      <c r="B60" s="1154" t="str">
        <f>+TableA1!A60</f>
        <v>Barbados</v>
      </c>
      <c r="C60" s="409">
        <f>+(TableB10!E60+TableB10!I60)/1000</f>
        <v>2.1307224236508158</v>
      </c>
      <c r="D60" s="1337">
        <f t="shared" si="10"/>
        <v>1.4915056965555711</v>
      </c>
      <c r="E60" s="791">
        <v>0</v>
      </c>
      <c r="F60" s="791">
        <f t="shared" si="11"/>
        <v>0.63921672709524469</v>
      </c>
      <c r="G60" s="412">
        <f>+(TableB10!N60+TableB10!R60)/1000</f>
        <v>0.23493255831256293</v>
      </c>
      <c r="H60" s="1337">
        <f t="shared" si="12"/>
        <v>0.16445279081879405</v>
      </c>
      <c r="I60" s="791">
        <v>0</v>
      </c>
      <c r="J60" s="791">
        <f t="shared" si="13"/>
        <v>7.0479767493768872E-2</v>
      </c>
      <c r="K60" s="1206">
        <v>73.8</v>
      </c>
      <c r="L60" s="1159">
        <v>17.899999999999999</v>
      </c>
      <c r="M60" s="1159">
        <f t="shared" si="6"/>
        <v>55.9</v>
      </c>
      <c r="N60" s="1206">
        <v>16.100000000000001</v>
      </c>
      <c r="O60" s="1159">
        <v>9.52</v>
      </c>
      <c r="P60" s="1192">
        <f t="shared" si="9"/>
        <v>6.5800000000000018</v>
      </c>
      <c r="Q60" s="958"/>
      <c r="R60" s="958"/>
      <c r="S60" s="479">
        <f t="shared" si="7"/>
        <v>0</v>
      </c>
      <c r="T60" s="479">
        <f t="shared" si="8"/>
        <v>0</v>
      </c>
      <c r="U60" s="479">
        <f>G60-C60-(TableB3!B60-TableB4!B60)</f>
        <v>0</v>
      </c>
      <c r="V60" s="480">
        <f>G60-C60-TableB1!G62</f>
        <v>0</v>
      </c>
      <c r="W60" s="268">
        <f t="shared" si="2"/>
        <v>0</v>
      </c>
      <c r="X60" s="268">
        <f t="shared" si="3"/>
        <v>0</v>
      </c>
    </row>
    <row r="61" spans="1:24" x14ac:dyDescent="0.2">
      <c r="A61" s="958"/>
      <c r="B61" s="1154" t="s">
        <v>80</v>
      </c>
      <c r="C61" s="409">
        <f>+(TableB10!E61+TableB10!I61)/1000</f>
        <v>6.6200000000000009E-2</v>
      </c>
      <c r="D61" s="1337">
        <f t="shared" si="10"/>
        <v>4.6340000000000006E-2</v>
      </c>
      <c r="E61" s="791">
        <v>0</v>
      </c>
      <c r="F61" s="791">
        <f t="shared" si="11"/>
        <v>1.9860000000000003E-2</v>
      </c>
      <c r="G61" s="412">
        <f>+(TableB10!N61+TableB10!R61)/1000</f>
        <v>1.2105223E-3</v>
      </c>
      <c r="H61" s="1337">
        <f t="shared" si="12"/>
        <v>8.4736561000000005E-4</v>
      </c>
      <c r="I61" s="791">
        <v>0</v>
      </c>
      <c r="J61" s="791">
        <f t="shared" si="13"/>
        <v>3.6315669000000001E-4</v>
      </c>
      <c r="K61" s="1206">
        <v>0.35899999999999999</v>
      </c>
      <c r="L61" s="1159">
        <v>0.33400000000000002</v>
      </c>
      <c r="M61" s="1159">
        <f t="shared" si="6"/>
        <v>2.4999999999999967E-2</v>
      </c>
      <c r="N61" s="1206">
        <v>2.0099999999999998</v>
      </c>
      <c r="O61" s="1159">
        <v>1.4</v>
      </c>
      <c r="P61" s="1192">
        <f t="shared" si="9"/>
        <v>0.60999999999999988</v>
      </c>
      <c r="Q61" s="958"/>
      <c r="R61" s="958"/>
      <c r="S61" s="479">
        <f t="shared" si="7"/>
        <v>0</v>
      </c>
      <c r="T61" s="479">
        <f t="shared" si="8"/>
        <v>0</v>
      </c>
      <c r="U61" s="479">
        <f>G61-C61-(TableB3!B61-TableB4!B61)</f>
        <v>0</v>
      </c>
      <c r="V61" s="480">
        <f>G61-C61-TableB1!G63</f>
        <v>0</v>
      </c>
      <c r="W61" s="268">
        <f t="shared" si="2"/>
        <v>0</v>
      </c>
      <c r="X61" s="268">
        <f t="shared" si="3"/>
        <v>0</v>
      </c>
    </row>
    <row r="62" spans="1:24" x14ac:dyDescent="0.2">
      <c r="A62" s="958"/>
      <c r="B62" s="1154" t="s">
        <v>81</v>
      </c>
      <c r="C62" s="409">
        <f>+(TableB10!E62+TableB10!I62)/1000</f>
        <v>47.722737121784164</v>
      </c>
      <c r="D62" s="1337">
        <f t="shared" si="10"/>
        <v>33.405915985248917</v>
      </c>
      <c r="E62" s="791">
        <v>0</v>
      </c>
      <c r="F62" s="791">
        <f t="shared" si="11"/>
        <v>14.316821136535248</v>
      </c>
      <c r="G62" s="412">
        <f>+(TableB10!N62+TableB10!R62)/1000</f>
        <v>32.275338594347502</v>
      </c>
      <c r="H62" s="1337">
        <f t="shared" si="12"/>
        <v>22.592737016043252</v>
      </c>
      <c r="I62" s="791">
        <v>0</v>
      </c>
      <c r="J62" s="791">
        <f t="shared" si="13"/>
        <v>9.6826015783042507</v>
      </c>
      <c r="K62" s="1206">
        <v>632</v>
      </c>
      <c r="L62" s="1159">
        <v>607</v>
      </c>
      <c r="M62" s="1159">
        <f t="shared" si="6"/>
        <v>25</v>
      </c>
      <c r="N62" s="1206">
        <v>711</v>
      </c>
      <c r="O62" s="1159">
        <v>511</v>
      </c>
      <c r="P62" s="1192">
        <f t="shared" si="9"/>
        <v>200</v>
      </c>
      <c r="Q62" s="958"/>
      <c r="R62" s="958"/>
      <c r="S62" s="479">
        <f t="shared" si="7"/>
        <v>0</v>
      </c>
      <c r="T62" s="479">
        <f t="shared" si="8"/>
        <v>0</v>
      </c>
      <c r="U62" s="479">
        <f>G62-C62-(TableB3!B62-TableB4!B62)</f>
        <v>0</v>
      </c>
      <c r="V62" s="480">
        <f>G62-C62-TableB1!G64</f>
        <v>0</v>
      </c>
      <c r="W62" s="268">
        <f t="shared" si="2"/>
        <v>0</v>
      </c>
      <c r="X62" s="268">
        <f t="shared" si="3"/>
        <v>0</v>
      </c>
    </row>
    <row r="63" spans="1:24" x14ac:dyDescent="0.2">
      <c r="A63" s="958"/>
      <c r="B63" s="1154" t="s">
        <v>82</v>
      </c>
      <c r="C63" s="409">
        <f>+(TableB10!E63+TableB10!I63)/1000</f>
        <v>1E-4</v>
      </c>
      <c r="D63" s="1337">
        <f t="shared" si="10"/>
        <v>7.0000000000000007E-5</v>
      </c>
      <c r="E63" s="791">
        <v>0</v>
      </c>
      <c r="F63" s="791">
        <f t="shared" si="11"/>
        <v>3.0000000000000001E-5</v>
      </c>
      <c r="G63" s="412">
        <f>+(TableB10!N63+TableB10!R63)/1000</f>
        <v>9.4999999999999998E-3</v>
      </c>
      <c r="H63" s="1337">
        <f t="shared" si="12"/>
        <v>6.6499999999999997E-3</v>
      </c>
      <c r="I63" s="791">
        <v>0</v>
      </c>
      <c r="J63" s="791">
        <f t="shared" si="13"/>
        <v>2.8499999999999997E-3</v>
      </c>
      <c r="K63" s="1206"/>
      <c r="L63" s="1159"/>
      <c r="M63" s="1159"/>
      <c r="N63" s="1206"/>
      <c r="O63" s="1159"/>
      <c r="P63" s="1192"/>
      <c r="Q63" s="958"/>
      <c r="R63" s="958"/>
      <c r="S63" s="479">
        <f t="shared" si="7"/>
        <v>0</v>
      </c>
      <c r="T63" s="479">
        <f t="shared" si="8"/>
        <v>0</v>
      </c>
      <c r="U63" s="479">
        <f>G63-C63-(TableB3!B63-TableB4!B63)</f>
        <v>0</v>
      </c>
      <c r="V63" s="480">
        <f>G63-C63-TableB1!G65</f>
        <v>0</v>
      </c>
      <c r="W63" s="268">
        <f t="shared" si="2"/>
        <v>0</v>
      </c>
      <c r="X63" s="268">
        <f t="shared" si="3"/>
        <v>0</v>
      </c>
    </row>
    <row r="64" spans="1:24" x14ac:dyDescent="0.2">
      <c r="A64" t="s">
        <v>372</v>
      </c>
      <c r="B64" s="1154" t="s">
        <v>153</v>
      </c>
      <c r="C64" s="409">
        <f>+(TableB10!E64+TableB10!I64)/1000</f>
        <v>0.53559617448905006</v>
      </c>
      <c r="D64" s="1337">
        <f t="shared" si="10"/>
        <v>0.37491732214233509</v>
      </c>
      <c r="E64" s="791">
        <v>0</v>
      </c>
      <c r="F64" s="791">
        <f t="shared" si="11"/>
        <v>0.160678852346715</v>
      </c>
      <c r="G64" s="412">
        <f>+(TableB10!N64+TableB10!R64)/1000</f>
        <v>4.544698503566293</v>
      </c>
      <c r="H64" s="1337">
        <f t="shared" si="12"/>
        <v>3.1812889524964052</v>
      </c>
      <c r="I64" s="791">
        <v>0</v>
      </c>
      <c r="J64" s="791">
        <f t="shared" si="13"/>
        <v>1.3634095510698878</v>
      </c>
      <c r="K64" s="1206">
        <v>643</v>
      </c>
      <c r="L64" s="1159">
        <v>492</v>
      </c>
      <c r="M64" s="1159">
        <f t="shared" si="6"/>
        <v>151</v>
      </c>
      <c r="N64" s="1206">
        <v>1130</v>
      </c>
      <c r="O64" s="1159">
        <v>961</v>
      </c>
      <c r="P64" s="1192">
        <f t="shared" si="9"/>
        <v>169</v>
      </c>
      <c r="Q64" s="958"/>
      <c r="R64" s="958"/>
      <c r="S64" s="479">
        <f t="shared" si="7"/>
        <v>0</v>
      </c>
      <c r="T64" s="479">
        <f t="shared" si="8"/>
        <v>0</v>
      </c>
      <c r="U64" s="479">
        <f>G64-C64-(TableB3!B64-TableB4!B64)</f>
        <v>0</v>
      </c>
      <c r="V64" s="480">
        <f>G64-C64-TableB1!G66</f>
        <v>0</v>
      </c>
      <c r="W64" s="268">
        <f t="shared" si="2"/>
        <v>0</v>
      </c>
      <c r="X64" s="268">
        <f t="shared" si="3"/>
        <v>0</v>
      </c>
    </row>
    <row r="65" spans="1:24" x14ac:dyDescent="0.2">
      <c r="A65" s="958"/>
      <c r="B65" s="113" t="s">
        <v>84</v>
      </c>
      <c r="C65" s="409">
        <f>+(TableB10!E65+TableB10!I65)/1000</f>
        <v>32.253212825518716</v>
      </c>
      <c r="D65" s="1337">
        <f t="shared" si="10"/>
        <v>22.5772489778631</v>
      </c>
      <c r="E65" s="791">
        <v>0</v>
      </c>
      <c r="F65" s="791">
        <f t="shared" si="11"/>
        <v>9.6759638476556145</v>
      </c>
      <c r="G65" s="412">
        <f>+(TableB10!N65+TableB10!R65)/1000</f>
        <v>16.2111946503803</v>
      </c>
      <c r="H65" s="1337">
        <f t="shared" si="12"/>
        <v>11.347836255266209</v>
      </c>
      <c r="I65" s="791">
        <v>0</v>
      </c>
      <c r="J65" s="791">
        <f t="shared" si="13"/>
        <v>4.8633583951140897</v>
      </c>
      <c r="K65" s="1206">
        <v>554</v>
      </c>
      <c r="L65" s="1159">
        <v>494</v>
      </c>
      <c r="M65" s="1159">
        <f t="shared" si="6"/>
        <v>60</v>
      </c>
      <c r="N65" s="1206">
        <v>569</v>
      </c>
      <c r="O65" s="1159">
        <v>365</v>
      </c>
      <c r="P65" s="1192">
        <f t="shared" si="9"/>
        <v>204</v>
      </c>
      <c r="Q65" s="958"/>
      <c r="R65" s="958"/>
      <c r="S65" s="479">
        <f t="shared" si="7"/>
        <v>0</v>
      </c>
      <c r="T65" s="479">
        <f t="shared" si="8"/>
        <v>0</v>
      </c>
      <c r="U65" s="479">
        <f>G65-C65-(TableB3!B65-TableB4!B65)</f>
        <v>0</v>
      </c>
      <c r="V65" s="480">
        <f>G65-C65-TableB1!G67</f>
        <v>0</v>
      </c>
      <c r="W65" s="268">
        <f t="shared" si="2"/>
        <v>0</v>
      </c>
      <c r="X65" s="268">
        <f t="shared" si="3"/>
        <v>0</v>
      </c>
    </row>
    <row r="66" spans="1:24" x14ac:dyDescent="0.2">
      <c r="A66" s="958"/>
      <c r="B66" s="1154" t="s">
        <v>85</v>
      </c>
      <c r="C66" s="409">
        <f>+(TableB10!E66+TableB10!I66)/1000</f>
        <v>0.48729023846046576</v>
      </c>
      <c r="D66" s="1337">
        <f t="shared" si="10"/>
        <v>0.34110316692232601</v>
      </c>
      <c r="E66" s="791">
        <v>0</v>
      </c>
      <c r="F66" s="791">
        <f t="shared" si="11"/>
        <v>0.14618707153813973</v>
      </c>
      <c r="G66" s="412">
        <f>+(TableB10!N66+TableB10!R66)/1000</f>
        <v>2.6862999999999997</v>
      </c>
      <c r="H66" s="1337">
        <f t="shared" si="12"/>
        <v>1.8804099999999999</v>
      </c>
      <c r="I66" s="791">
        <v>0</v>
      </c>
      <c r="J66" s="791">
        <f t="shared" si="13"/>
        <v>0.80588999999999988</v>
      </c>
      <c r="K66" s="1206">
        <v>0.83599999999999997</v>
      </c>
      <c r="L66" s="1159">
        <v>0.52100000000000002</v>
      </c>
      <c r="M66" s="1159">
        <f t="shared" si="6"/>
        <v>0.31499999999999995</v>
      </c>
      <c r="N66" s="1206">
        <v>0.54100000000000004</v>
      </c>
      <c r="O66" s="1159">
        <v>0.47499999999999998</v>
      </c>
      <c r="P66" s="1192">
        <f t="shared" si="9"/>
        <v>6.6000000000000059E-2</v>
      </c>
      <c r="Q66" s="958"/>
      <c r="R66" s="958"/>
      <c r="S66" s="479">
        <f t="shared" si="7"/>
        <v>0</v>
      </c>
      <c r="T66" s="479">
        <f t="shared" si="8"/>
        <v>0</v>
      </c>
      <c r="U66" s="479">
        <f>G66-C66-(TableB3!B66-TableB4!B66)</f>
        <v>0</v>
      </c>
      <c r="V66" s="480">
        <f>G66-C66-TableB1!G68</f>
        <v>0</v>
      </c>
      <c r="W66" s="268">
        <f t="shared" si="2"/>
        <v>0</v>
      </c>
      <c r="X66" s="268">
        <f t="shared" si="3"/>
        <v>0</v>
      </c>
    </row>
    <row r="67" spans="1:24" x14ac:dyDescent="0.2">
      <c r="A67" s="958"/>
      <c r="B67" s="1154" t="str">
        <f>+TableA1!A67</f>
        <v>Cyprus</v>
      </c>
      <c r="C67" s="409">
        <f>+(TableB10!E67+TableB10!I67)/1000</f>
        <v>5.2637361260589266</v>
      </c>
      <c r="D67" s="1337">
        <f t="shared" si="10"/>
        <v>3.6846152882412486</v>
      </c>
      <c r="E67" s="791">
        <v>0</v>
      </c>
      <c r="F67" s="791">
        <f t="shared" si="11"/>
        <v>1.579120837817678</v>
      </c>
      <c r="G67" s="412">
        <f>+(TableB10!N67+TableB10!R67)/1000</f>
        <v>2.9754490700636982</v>
      </c>
      <c r="H67" s="1337">
        <f t="shared" si="12"/>
        <v>2.0828143490445887</v>
      </c>
      <c r="I67" s="791">
        <v>0</v>
      </c>
      <c r="J67" s="791">
        <f t="shared" si="13"/>
        <v>0.89263472101910946</v>
      </c>
      <c r="K67" s="1206">
        <v>174</v>
      </c>
      <c r="L67" s="1159">
        <v>160</v>
      </c>
      <c r="M67" s="1159">
        <f t="shared" si="6"/>
        <v>14</v>
      </c>
      <c r="N67" s="1206">
        <v>174</v>
      </c>
      <c r="O67" s="1159">
        <v>159</v>
      </c>
      <c r="P67" s="1192">
        <f t="shared" si="9"/>
        <v>15</v>
      </c>
      <c r="Q67" s="958"/>
      <c r="R67" s="958"/>
      <c r="S67" s="479">
        <f t="shared" si="7"/>
        <v>0</v>
      </c>
      <c r="T67" s="479">
        <f t="shared" si="8"/>
        <v>0</v>
      </c>
      <c r="U67" s="479">
        <f>G67-C67-(TableB3!B67-TableB4!B67)</f>
        <v>0</v>
      </c>
      <c r="V67" s="480">
        <f>G67-C67-TableB1!G69</f>
        <v>0</v>
      </c>
      <c r="W67" s="268">
        <f t="shared" si="2"/>
        <v>0</v>
      </c>
      <c r="X67" s="268">
        <f t="shared" si="3"/>
        <v>0</v>
      </c>
    </row>
    <row r="68" spans="1:24" x14ac:dyDescent="0.2">
      <c r="A68" s="958"/>
      <c r="B68" s="1154" t="s">
        <v>87</v>
      </c>
      <c r="C68" s="409">
        <f>+(TableB10!E68+TableB10!I68)/1000</f>
        <v>2.3281000000000001</v>
      </c>
      <c r="D68" s="1337">
        <f t="shared" si="10"/>
        <v>1.62967</v>
      </c>
      <c r="E68" s="791">
        <v>0</v>
      </c>
      <c r="F68" s="791">
        <f t="shared" si="11"/>
        <v>0.69843</v>
      </c>
      <c r="G68" s="412">
        <f>+(TableB10!N68+TableB10!R68)/1000</f>
        <v>0.29306236093911125</v>
      </c>
      <c r="H68" s="1337">
        <f t="shared" si="12"/>
        <v>0.20514365265737788</v>
      </c>
      <c r="I68" s="791">
        <v>0</v>
      </c>
      <c r="J68" s="791">
        <f t="shared" si="13"/>
        <v>8.7918708281733371E-2</v>
      </c>
      <c r="K68" s="1206">
        <v>66.2</v>
      </c>
      <c r="L68" s="1159">
        <v>110</v>
      </c>
      <c r="M68" s="1159">
        <f t="shared" si="6"/>
        <v>-43.8</v>
      </c>
      <c r="N68" s="1206">
        <v>249</v>
      </c>
      <c r="O68" s="1159">
        <v>208</v>
      </c>
      <c r="P68" s="1192">
        <f t="shared" si="9"/>
        <v>41</v>
      </c>
      <c r="Q68" s="958"/>
      <c r="R68" s="958"/>
      <c r="S68" s="479">
        <f t="shared" si="7"/>
        <v>0</v>
      </c>
      <c r="T68" s="479">
        <f t="shared" si="8"/>
        <v>0</v>
      </c>
      <c r="U68" s="479">
        <f>G68-C68-(TableB3!B68-TableB4!B68)</f>
        <v>0</v>
      </c>
      <c r="V68" s="480">
        <f>G68-C68-TableB1!G70</f>
        <v>0</v>
      </c>
      <c r="W68" s="268">
        <f t="shared" si="2"/>
        <v>0</v>
      </c>
      <c r="X68" s="268">
        <f t="shared" si="3"/>
        <v>0</v>
      </c>
    </row>
    <row r="69" spans="1:24" x14ac:dyDescent="0.2">
      <c r="A69" s="958"/>
      <c r="B69" s="1154" t="str">
        <f>+TableA1!A69</f>
        <v>Grenada</v>
      </c>
      <c r="C69" s="409">
        <f>+(TableB10!E69+TableB10!I69)/1000</f>
        <v>1.52E-2</v>
      </c>
      <c r="D69" s="1337">
        <f t="shared" si="10"/>
        <v>1.064E-2</v>
      </c>
      <c r="E69" s="791">
        <v>0</v>
      </c>
      <c r="F69" s="791">
        <f t="shared" si="11"/>
        <v>4.5599999999999998E-3</v>
      </c>
      <c r="G69" s="412">
        <f>+(TableB10!N69+TableB10!R69)/1000</f>
        <v>0</v>
      </c>
      <c r="H69" s="1337">
        <f t="shared" si="12"/>
        <v>0</v>
      </c>
      <c r="I69" s="791">
        <v>0</v>
      </c>
      <c r="J69" s="791">
        <f t="shared" si="13"/>
        <v>0</v>
      </c>
      <c r="K69" s="1206">
        <v>8.7051583069999994E-3</v>
      </c>
      <c r="L69" s="1159">
        <v>1.897247788E-3</v>
      </c>
      <c r="M69" s="1159">
        <f t="shared" si="6"/>
        <v>6.8079105189999996E-3</v>
      </c>
      <c r="N69" s="1206">
        <v>1.3196146439999999E-2</v>
      </c>
      <c r="O69" s="1159">
        <v>2.4935816460000004E-3</v>
      </c>
      <c r="P69" s="1192">
        <f t="shared" si="9"/>
        <v>1.0702564793999999E-2</v>
      </c>
      <c r="Q69" s="958"/>
      <c r="R69" s="958"/>
      <c r="S69" s="479">
        <f t="shared" si="7"/>
        <v>0</v>
      </c>
      <c r="T69" s="479">
        <f t="shared" si="8"/>
        <v>0</v>
      </c>
      <c r="U69" s="479">
        <f>G69-C69-(TableB3!B69-TableB4!B69)</f>
        <v>0</v>
      </c>
      <c r="V69" s="480">
        <f>G69-C69-TableB1!G71</f>
        <v>0</v>
      </c>
      <c r="W69" s="268">
        <f t="shared" si="2"/>
        <v>0</v>
      </c>
      <c r="X69" s="268">
        <f t="shared" si="3"/>
        <v>0</v>
      </c>
    </row>
    <row r="70" spans="1:24" x14ac:dyDescent="0.2">
      <c r="A70" s="958"/>
      <c r="B70" s="1154" t="s">
        <v>89</v>
      </c>
      <c r="C70" s="409">
        <f>+(TableB10!E70+TableB10!I70)/1000</f>
        <v>0.76690416711093745</v>
      </c>
      <c r="D70" s="1337">
        <f t="shared" si="10"/>
        <v>0.53683291697765623</v>
      </c>
      <c r="E70" s="791">
        <v>0</v>
      </c>
      <c r="F70" s="791">
        <f t="shared" si="11"/>
        <v>0.23007125013328122</v>
      </c>
      <c r="G70" s="412">
        <f>+(TableB10!N70+TableB10!R70)/1000</f>
        <v>2.7295756643478049</v>
      </c>
      <c r="H70" s="1337">
        <f t="shared" si="12"/>
        <v>1.9107029650434635</v>
      </c>
      <c r="I70" s="791">
        <v>0</v>
      </c>
      <c r="J70" s="791">
        <f t="shared" si="13"/>
        <v>0.81887269930434148</v>
      </c>
      <c r="K70" s="1206">
        <v>17.899999999999999</v>
      </c>
      <c r="L70" s="1159">
        <v>21.7</v>
      </c>
      <c r="M70" s="1159">
        <f t="shared" si="6"/>
        <v>-3.8000000000000007</v>
      </c>
      <c r="N70" s="1206">
        <v>31.7</v>
      </c>
      <c r="O70" s="1159">
        <v>21.1</v>
      </c>
      <c r="P70" s="1192">
        <f t="shared" si="9"/>
        <v>10.599999999999998</v>
      </c>
      <c r="Q70" s="958"/>
      <c r="R70" s="958"/>
      <c r="S70" s="479">
        <f t="shared" si="7"/>
        <v>0</v>
      </c>
      <c r="T70" s="479">
        <f t="shared" si="8"/>
        <v>0</v>
      </c>
      <c r="U70" s="479">
        <f>G70-C70-(TableB3!B70-TableB4!B70)</f>
        <v>0</v>
      </c>
      <c r="V70" s="480">
        <f>G70-C70-TableB1!G72</f>
        <v>0</v>
      </c>
      <c r="W70" s="268">
        <f t="shared" si="2"/>
        <v>0</v>
      </c>
      <c r="X70" s="268">
        <f t="shared" si="3"/>
        <v>0</v>
      </c>
    </row>
    <row r="71" spans="1:24" x14ac:dyDescent="0.2">
      <c r="A71"/>
      <c r="B71" s="1154" t="s">
        <v>90</v>
      </c>
      <c r="C71" s="409">
        <f>+(TableB10!E71+TableB10!I71)/1000</f>
        <v>0.30164808972880497</v>
      </c>
      <c r="D71" s="1337">
        <f t="shared" si="10"/>
        <v>0.21115366281016348</v>
      </c>
      <c r="E71" s="791">
        <v>0</v>
      </c>
      <c r="F71" s="791">
        <f t="shared" si="11"/>
        <v>9.0494426918641485E-2</v>
      </c>
      <c r="G71" s="412">
        <f>+(TableB10!N71+TableB10!R71)/1000</f>
        <v>3.0839000000000003</v>
      </c>
      <c r="H71" s="1337">
        <f t="shared" si="12"/>
        <v>2.1587300000000003</v>
      </c>
      <c r="I71" s="791">
        <v>0</v>
      </c>
      <c r="J71" s="791">
        <f t="shared" si="13"/>
        <v>0.92517000000000005</v>
      </c>
      <c r="K71" s="1206">
        <v>122</v>
      </c>
      <c r="L71" s="1159">
        <v>76.5</v>
      </c>
      <c r="M71" s="1159">
        <f t="shared" si="6"/>
        <v>45.5</v>
      </c>
      <c r="N71" s="1206">
        <v>189</v>
      </c>
      <c r="O71" s="1159">
        <v>171</v>
      </c>
      <c r="P71" s="1192">
        <f t="shared" si="9"/>
        <v>18</v>
      </c>
      <c r="Q71" s="958"/>
      <c r="R71" s="958"/>
      <c r="S71" s="479">
        <f t="shared" si="7"/>
        <v>0</v>
      </c>
      <c r="T71" s="479">
        <f t="shared" si="8"/>
        <v>0</v>
      </c>
      <c r="U71" s="479">
        <f>G71-C71-(TableB3!B71-TableB4!B71)</f>
        <v>0</v>
      </c>
      <c r="V71" s="480">
        <f>G71-C71-TableB1!G73</f>
        <v>0</v>
      </c>
      <c r="W71" s="268">
        <f t="shared" si="2"/>
        <v>0</v>
      </c>
      <c r="X71" s="268">
        <f t="shared" si="3"/>
        <v>0</v>
      </c>
    </row>
    <row r="72" spans="1:24" x14ac:dyDescent="0.2">
      <c r="A72" t="s">
        <v>341</v>
      </c>
      <c r="B72" s="1154" t="s">
        <v>91</v>
      </c>
      <c r="C72" s="409">
        <f>+(TableB10!E72+TableB10!I72)/1000</f>
        <v>137</v>
      </c>
      <c r="D72" s="1337">
        <f t="shared" si="10"/>
        <v>95.9</v>
      </c>
      <c r="E72" s="791">
        <v>0</v>
      </c>
      <c r="F72" s="791">
        <f t="shared" si="11"/>
        <v>41.1</v>
      </c>
      <c r="G72" s="412">
        <f>+(TableB10!N72+TableB10!R72)/1000</f>
        <v>121.68453938730001</v>
      </c>
      <c r="H72" s="1337">
        <f t="shared" si="12"/>
        <v>85.179177571110003</v>
      </c>
      <c r="I72" s="791">
        <v>0</v>
      </c>
      <c r="J72" s="791">
        <f t="shared" si="13"/>
        <v>36.505361816190003</v>
      </c>
      <c r="K72" s="1206">
        <v>1390</v>
      </c>
      <c r="L72" s="1159">
        <v>1370</v>
      </c>
      <c r="M72" s="1159">
        <f t="shared" si="6"/>
        <v>20</v>
      </c>
      <c r="N72" s="1206">
        <v>1380</v>
      </c>
      <c r="O72" s="1159">
        <v>1210</v>
      </c>
      <c r="P72" s="1192">
        <f t="shared" si="9"/>
        <v>170</v>
      </c>
      <c r="Q72" s="958"/>
      <c r="R72" s="958"/>
      <c r="S72" s="479">
        <f t="shared" si="7"/>
        <v>0</v>
      </c>
      <c r="T72" s="479">
        <f t="shared" si="8"/>
        <v>0</v>
      </c>
      <c r="U72" s="479">
        <f>G72-C72-(TableB3!B72-TableB4!B72)</f>
        <v>0</v>
      </c>
      <c r="V72" s="480">
        <f>G72-C72-TableB1!G74</f>
        <v>0</v>
      </c>
      <c r="W72" s="268">
        <f t="shared" si="2"/>
        <v>0</v>
      </c>
      <c r="X72" s="268">
        <f t="shared" si="3"/>
        <v>0</v>
      </c>
    </row>
    <row r="73" spans="1:24" x14ac:dyDescent="0.2">
      <c r="A73" s="958"/>
      <c r="B73" s="1154" t="s">
        <v>92</v>
      </c>
      <c r="C73" s="409">
        <f>+(TableB10!E73+TableB10!I73)/1000</f>
        <v>0.6025320598192031</v>
      </c>
      <c r="D73" s="1337">
        <f t="shared" si="10"/>
        <v>0.42177244187344221</v>
      </c>
      <c r="E73" s="791">
        <v>0</v>
      </c>
      <c r="F73" s="791">
        <f t="shared" si="11"/>
        <v>0.18075961794576093</v>
      </c>
      <c r="G73" s="412">
        <f>+(TableB10!N73+TableB10!R73)/1000</f>
        <v>2.2741982969107278E-2</v>
      </c>
      <c r="H73" s="1337">
        <f t="shared" si="12"/>
        <v>1.5919388078375094E-2</v>
      </c>
      <c r="I73" s="791">
        <v>0</v>
      </c>
      <c r="J73" s="791">
        <f t="shared" si="13"/>
        <v>6.8225948907321829E-3</v>
      </c>
      <c r="K73" s="1206">
        <v>5.08</v>
      </c>
      <c r="L73" s="1159">
        <v>15</v>
      </c>
      <c r="M73" s="1159">
        <f t="shared" si="6"/>
        <v>-9.92</v>
      </c>
      <c r="N73" s="1206">
        <v>9.36</v>
      </c>
      <c r="O73" s="1159">
        <v>6.84</v>
      </c>
      <c r="P73" s="1192">
        <f t="shared" si="9"/>
        <v>2.5199999999999996</v>
      </c>
      <c r="Q73" s="958"/>
      <c r="R73" s="958"/>
      <c r="S73" s="479">
        <f t="shared" si="7"/>
        <v>0</v>
      </c>
      <c r="T73" s="479">
        <f t="shared" si="8"/>
        <v>0</v>
      </c>
      <c r="U73" s="479">
        <f>G73-C73-(TableB3!B73-TableB4!B73)</f>
        <v>0</v>
      </c>
      <c r="V73" s="480">
        <f>G73-C73-TableB1!G75</f>
        <v>0</v>
      </c>
      <c r="W73" s="268">
        <f t="shared" si="2"/>
        <v>0</v>
      </c>
      <c r="X73" s="268">
        <f t="shared" si="3"/>
        <v>0</v>
      </c>
    </row>
    <row r="74" spans="1:24" x14ac:dyDescent="0.2">
      <c r="A74" s="958"/>
      <c r="B74" s="1154" t="s">
        <v>93</v>
      </c>
      <c r="C74" s="409">
        <f>+(TableB10!E74+TableB10!I74)/1000</f>
        <v>0.436</v>
      </c>
      <c r="D74" s="1337">
        <f t="shared" si="10"/>
        <v>0.30520000000000003</v>
      </c>
      <c r="E74" s="791">
        <v>0</v>
      </c>
      <c r="F74" s="791">
        <f t="shared" si="11"/>
        <v>0.1308</v>
      </c>
      <c r="G74" s="412">
        <f>+(TableB10!N74+TableB10!R74)/1000</f>
        <v>0.48754139129999996</v>
      </c>
      <c r="H74" s="1337">
        <f t="shared" si="12"/>
        <v>0.34127897390999995</v>
      </c>
      <c r="I74" s="791">
        <v>0</v>
      </c>
      <c r="J74" s="791">
        <f t="shared" si="13"/>
        <v>0.14626241738999998</v>
      </c>
      <c r="K74" s="1206">
        <v>1.43</v>
      </c>
      <c r="L74" s="1159">
        <v>1.02</v>
      </c>
      <c r="M74" s="1159">
        <f t="shared" si="6"/>
        <v>0.40999999999999992</v>
      </c>
      <c r="N74" s="1206">
        <v>7.27</v>
      </c>
      <c r="O74" s="1159">
        <v>6.89</v>
      </c>
      <c r="P74" s="1192">
        <f t="shared" si="9"/>
        <v>0.37999999999999989</v>
      </c>
      <c r="Q74" s="958"/>
      <c r="R74" s="958"/>
      <c r="S74" s="479">
        <f t="shared" si="7"/>
        <v>0</v>
      </c>
      <c r="T74" s="479">
        <f t="shared" si="8"/>
        <v>0</v>
      </c>
      <c r="U74" s="479">
        <f>G74-C74-(TableB3!B74-TableB4!B74)</f>
        <v>0</v>
      </c>
      <c r="V74" s="480">
        <f>G74-C74-TableB1!G76</f>
        <v>0</v>
      </c>
      <c r="W74" s="268">
        <f t="shared" si="2"/>
        <v>0</v>
      </c>
      <c r="X74" s="268">
        <f t="shared" si="3"/>
        <v>0</v>
      </c>
    </row>
    <row r="75" spans="1:24" x14ac:dyDescent="0.2">
      <c r="A75" s="958"/>
      <c r="B75" s="1154" t="s">
        <v>94</v>
      </c>
      <c r="C75" s="409">
        <f>+(TableB10!E75+TableB10!I75)/1000</f>
        <v>7.4999999999999997E-3</v>
      </c>
      <c r="D75" s="1337">
        <f t="shared" si="10"/>
        <v>5.2499999999999995E-3</v>
      </c>
      <c r="E75" s="791">
        <v>0</v>
      </c>
      <c r="F75" s="791">
        <f t="shared" si="11"/>
        <v>2.2499999999999998E-3</v>
      </c>
      <c r="G75" s="412">
        <f>+(TableB10!N75+TableB10!R75)/1000</f>
        <v>1.7951512367491165</v>
      </c>
      <c r="H75" s="1337">
        <f t="shared" si="12"/>
        <v>1.2566058657243815</v>
      </c>
      <c r="I75" s="791">
        <v>0</v>
      </c>
      <c r="J75" s="791">
        <f t="shared" si="13"/>
        <v>0.53854537102473488</v>
      </c>
      <c r="K75" s="1206">
        <v>2.7</v>
      </c>
      <c r="L75" s="1159">
        <v>2.33</v>
      </c>
      <c r="M75" s="1159">
        <f t="shared" si="6"/>
        <v>0.37000000000000011</v>
      </c>
      <c r="N75" s="1206">
        <v>24.6</v>
      </c>
      <c r="O75" s="1159">
        <v>21.3</v>
      </c>
      <c r="P75" s="1192">
        <f t="shared" si="9"/>
        <v>3.3000000000000007</v>
      </c>
      <c r="Q75" s="958"/>
      <c r="R75" s="958"/>
      <c r="S75" s="479">
        <f t="shared" si="7"/>
        <v>0</v>
      </c>
      <c r="T75" s="479">
        <f t="shared" si="8"/>
        <v>0</v>
      </c>
      <c r="U75" s="479">
        <f>G75-C75-(TableB3!B75-TableB4!B75)</f>
        <v>0</v>
      </c>
      <c r="V75" s="480">
        <f>G75-C75-TableB1!G77</f>
        <v>0</v>
      </c>
      <c r="W75" s="268">
        <f t="shared" ref="W75:W89" si="14">K75-L75-M75</f>
        <v>0</v>
      </c>
      <c r="X75" s="268">
        <f t="shared" ref="X75:X89" si="15">N75-O75-P75</f>
        <v>0</v>
      </c>
    </row>
    <row r="76" spans="1:24" x14ac:dyDescent="0.2">
      <c r="A76" t="s">
        <v>342</v>
      </c>
      <c r="B76" s="1154" t="s">
        <v>95</v>
      </c>
      <c r="C76" s="409">
        <f>+(TableB10!E76+TableB10!I76)/1000</f>
        <v>6.43</v>
      </c>
      <c r="D76" s="1337">
        <f t="shared" si="10"/>
        <v>4.5009999999999994</v>
      </c>
      <c r="E76" s="791">
        <v>0</v>
      </c>
      <c r="F76" s="791">
        <f t="shared" si="11"/>
        <v>1.9289999999999998</v>
      </c>
      <c r="G76" s="412">
        <f>+(TableB10!N76+TableB10!R76)/1000</f>
        <v>7.7599999999999988E-2</v>
      </c>
      <c r="H76" s="1337">
        <f t="shared" si="12"/>
        <v>5.4319999999999993E-2</v>
      </c>
      <c r="I76" s="791">
        <v>0</v>
      </c>
      <c r="J76" s="791">
        <f t="shared" si="13"/>
        <v>2.3279999999999995E-2</v>
      </c>
      <c r="K76" s="1206">
        <v>29</v>
      </c>
      <c r="L76" s="1159">
        <v>25.1</v>
      </c>
      <c r="M76" s="1159">
        <f t="shared" si="6"/>
        <v>3.8999999999999986</v>
      </c>
      <c r="N76" s="1206">
        <v>3.09</v>
      </c>
      <c r="O76" s="1159">
        <v>1.1200000000000001</v>
      </c>
      <c r="P76" s="1192">
        <f t="shared" si="9"/>
        <v>1.9699999999999998</v>
      </c>
      <c r="Q76" s="958"/>
      <c r="R76" s="958"/>
      <c r="S76" s="479">
        <f t="shared" si="7"/>
        <v>0</v>
      </c>
      <c r="T76" s="479">
        <f t="shared" si="8"/>
        <v>0</v>
      </c>
      <c r="U76" s="479">
        <f>G76-C76-(TableB3!B76-TableB4!B76)</f>
        <v>0</v>
      </c>
      <c r="V76" s="480">
        <f>G76-C76-TableB1!G78</f>
        <v>0</v>
      </c>
      <c r="W76" s="268">
        <f t="shared" si="14"/>
        <v>0</v>
      </c>
      <c r="X76" s="268">
        <f t="shared" si="15"/>
        <v>0</v>
      </c>
    </row>
    <row r="77" spans="1:24" x14ac:dyDescent="0.2">
      <c r="A77" s="958"/>
      <c r="B77" s="1154" t="s">
        <v>96</v>
      </c>
      <c r="C77" s="409">
        <f>+(TableB10!E77+TableB10!I77)/1000</f>
        <v>10.1</v>
      </c>
      <c r="D77" s="1337">
        <f t="shared" si="10"/>
        <v>7.07</v>
      </c>
      <c r="E77" s="791">
        <v>0</v>
      </c>
      <c r="F77" s="791">
        <f t="shared" si="11"/>
        <v>3.03</v>
      </c>
      <c r="G77" s="412">
        <f>+(TableB10!N77+TableB10!R77)/1000</f>
        <v>0.85039084927035713</v>
      </c>
      <c r="H77" s="1337">
        <f t="shared" si="12"/>
        <v>0.59527359448924999</v>
      </c>
      <c r="I77" s="791">
        <v>0</v>
      </c>
      <c r="J77" s="791">
        <f t="shared" si="13"/>
        <v>0.25511725478110714</v>
      </c>
      <c r="K77" s="1206">
        <v>166</v>
      </c>
      <c r="L77" s="1159">
        <v>137</v>
      </c>
      <c r="M77" s="1159">
        <f t="shared" si="6"/>
        <v>29</v>
      </c>
      <c r="N77" s="1206">
        <v>67</v>
      </c>
      <c r="O77" s="1159">
        <v>32.799999999999997</v>
      </c>
      <c r="P77" s="1192">
        <f t="shared" si="9"/>
        <v>34.200000000000003</v>
      </c>
      <c r="Q77" s="958"/>
      <c r="R77" s="958"/>
      <c r="S77" s="479">
        <f t="shared" si="7"/>
        <v>0</v>
      </c>
      <c r="T77" s="479">
        <f t="shared" si="8"/>
        <v>0</v>
      </c>
      <c r="U77" s="479">
        <f>G77-C77-(TableB3!B77-TableB4!B77)</f>
        <v>0</v>
      </c>
      <c r="V77" s="480">
        <f>G77-C77-TableB1!G79</f>
        <v>0</v>
      </c>
      <c r="W77" s="268">
        <f t="shared" si="14"/>
        <v>0</v>
      </c>
      <c r="X77" s="268">
        <f t="shared" si="15"/>
        <v>0</v>
      </c>
    </row>
    <row r="78" spans="1:24" x14ac:dyDescent="0.2">
      <c r="A78" t="s">
        <v>373</v>
      </c>
      <c r="B78" s="1154" t="s">
        <v>97</v>
      </c>
      <c r="C78" s="409">
        <f>+(TableB10!E78+TableB10!I78)/1000</f>
        <v>0.12425690030132812</v>
      </c>
      <c r="D78" s="1337">
        <f t="shared" si="10"/>
        <v>8.6979830210929684E-2</v>
      </c>
      <c r="E78" s="791">
        <v>0</v>
      </c>
      <c r="F78" s="791">
        <f t="shared" si="11"/>
        <v>3.7277070090398434E-2</v>
      </c>
      <c r="G78" s="412">
        <f>+(TableB10!N78+TableB10!R78)/1000</f>
        <v>0.40533887008171798</v>
      </c>
      <c r="H78" s="1337">
        <f t="shared" si="12"/>
        <v>0.28373720905720257</v>
      </c>
      <c r="I78" s="791">
        <v>0</v>
      </c>
      <c r="J78" s="791">
        <f t="shared" si="13"/>
        <v>0.12160166102451539</v>
      </c>
      <c r="K78" s="1206">
        <v>3.98</v>
      </c>
      <c r="L78" s="1159">
        <v>0.624</v>
      </c>
      <c r="M78" s="1159">
        <f t="shared" si="6"/>
        <v>3.3559999999999999</v>
      </c>
      <c r="N78" s="1206">
        <v>5.43</v>
      </c>
      <c r="O78" s="1159">
        <v>1.66</v>
      </c>
      <c r="P78" s="1192">
        <f t="shared" si="9"/>
        <v>3.7699999999999996</v>
      </c>
      <c r="Q78" s="958"/>
      <c r="R78" s="958"/>
      <c r="S78" s="479">
        <f t="shared" si="7"/>
        <v>0</v>
      </c>
      <c r="T78" s="479">
        <f t="shared" si="8"/>
        <v>0</v>
      </c>
      <c r="U78" s="479">
        <f>G78-C78-(TableB3!B78-TableB4!B78)</f>
        <v>0</v>
      </c>
      <c r="V78" s="480">
        <f>G78-C78-TableB1!G80</f>
        <v>0</v>
      </c>
      <c r="W78" s="268">
        <f t="shared" si="14"/>
        <v>0</v>
      </c>
      <c r="X78" s="268">
        <f t="shared" si="15"/>
        <v>0</v>
      </c>
    </row>
    <row r="79" spans="1:24" x14ac:dyDescent="0.2">
      <c r="A79" s="958"/>
      <c r="B79" s="1154" t="str">
        <f>+TableA1!A79</f>
        <v>Monaco</v>
      </c>
      <c r="C79" s="409">
        <f>+(TableB10!E79+TableB10!I79)/1000</f>
        <v>0</v>
      </c>
      <c r="D79" s="1337">
        <f t="shared" si="10"/>
        <v>0</v>
      </c>
      <c r="E79" s="791">
        <v>0</v>
      </c>
      <c r="F79" s="791">
        <f t="shared" si="11"/>
        <v>0</v>
      </c>
      <c r="G79" s="412">
        <f>+(TableB10!N79+TableB10!R79)/1000</f>
        <v>0</v>
      </c>
      <c r="H79" s="1337">
        <f t="shared" si="12"/>
        <v>0</v>
      </c>
      <c r="I79" s="791">
        <v>0</v>
      </c>
      <c r="J79" s="791">
        <f t="shared" si="13"/>
        <v>0</v>
      </c>
      <c r="K79" s="1206">
        <v>2.5099999999999998</v>
      </c>
      <c r="L79" s="1159">
        <v>2.2599999999999998</v>
      </c>
      <c r="M79" s="1159">
        <f t="shared" si="6"/>
        <v>0.25</v>
      </c>
      <c r="N79" s="1206">
        <v>0.64100000000000001</v>
      </c>
      <c r="O79" s="1159">
        <v>0.51700000000000002</v>
      </c>
      <c r="P79" s="1192">
        <f t="shared" si="9"/>
        <v>0.124</v>
      </c>
      <c r="Q79" s="958"/>
      <c r="R79" s="958"/>
      <c r="S79" s="479">
        <f t="shared" si="7"/>
        <v>0</v>
      </c>
      <c r="T79" s="479">
        <f t="shared" si="8"/>
        <v>0</v>
      </c>
      <c r="U79" s="479">
        <f>G79-C79-(TableB3!B79-TableB4!B79)</f>
        <v>0</v>
      </c>
      <c r="V79" s="480">
        <f>G79-C79-TableB1!G81</f>
        <v>0</v>
      </c>
      <c r="W79" s="268">
        <f t="shared" si="14"/>
        <v>0</v>
      </c>
      <c r="X79" s="268">
        <f t="shared" si="15"/>
        <v>0</v>
      </c>
    </row>
    <row r="80" spans="1:24" x14ac:dyDescent="0.2">
      <c r="A80" s="958"/>
      <c r="B80" s="1154" t="s">
        <v>99</v>
      </c>
      <c r="C80" s="409">
        <f>+(TableB10!E80+TableB10!I80)/1000</f>
        <v>3.5999999999999999E-3</v>
      </c>
      <c r="D80" s="1337">
        <f t="shared" si="10"/>
        <v>2.5199999999999997E-3</v>
      </c>
      <c r="E80" s="791">
        <v>0</v>
      </c>
      <c r="F80" s="791">
        <f t="shared" si="11"/>
        <v>1.08E-3</v>
      </c>
      <c r="G80" s="412">
        <f>+(TableB10!N80+TableB10!R80)/1000</f>
        <v>7.8212299999999997E-5</v>
      </c>
      <c r="H80" s="1337">
        <f t="shared" si="12"/>
        <v>5.474861E-5</v>
      </c>
      <c r="I80" s="791">
        <v>0</v>
      </c>
      <c r="J80" s="791">
        <f t="shared" si="13"/>
        <v>2.346369E-5</v>
      </c>
      <c r="K80" s="1206">
        <v>0.42899999999999999</v>
      </c>
      <c r="L80" s="1159">
        <v>0.27700000000000002</v>
      </c>
      <c r="M80" s="1159">
        <f t="shared" si="6"/>
        <v>0.15199999999999997</v>
      </c>
      <c r="N80" s="1206">
        <v>7.9346E-2</v>
      </c>
      <c r="O80" s="1159">
        <v>3.108E-2</v>
      </c>
      <c r="P80" s="1192">
        <f t="shared" si="9"/>
        <v>4.8266000000000003E-2</v>
      </c>
      <c r="Q80" s="958"/>
      <c r="R80" s="958"/>
      <c r="S80" s="479">
        <f t="shared" si="7"/>
        <v>0</v>
      </c>
      <c r="T80" s="479">
        <f t="shared" si="8"/>
        <v>0</v>
      </c>
      <c r="U80" s="479">
        <f>G80-C80-(TableB3!B80-TableB4!B80)</f>
        <v>0</v>
      </c>
      <c r="V80" s="480">
        <f>G80-C80-TableB1!G82</f>
        <v>0</v>
      </c>
      <c r="W80" s="268">
        <f t="shared" si="14"/>
        <v>0</v>
      </c>
      <c r="X80" s="268">
        <f t="shared" si="15"/>
        <v>0</v>
      </c>
    </row>
    <row r="81" spans="1:24" x14ac:dyDescent="0.2">
      <c r="A81" s="958"/>
      <c r="B81" s="1154" t="s">
        <v>100</v>
      </c>
      <c r="C81" s="409">
        <f>+(TableB10!E81+TableB10!I81)/1000</f>
        <v>4.0199999999999996</v>
      </c>
      <c r="D81" s="1337">
        <f t="shared" si="10"/>
        <v>2.8140000000000001</v>
      </c>
      <c r="E81" s="791">
        <v>0</v>
      </c>
      <c r="F81" s="791">
        <f t="shared" si="11"/>
        <v>1.2059999999999997</v>
      </c>
      <c r="G81" s="412">
        <f>+(TableB10!N81+TableB10!R81)/1000</f>
        <v>3.7014363322000001</v>
      </c>
      <c r="H81" s="1337">
        <f t="shared" si="12"/>
        <v>2.5910054325400003</v>
      </c>
      <c r="I81" s="791">
        <v>0</v>
      </c>
      <c r="J81" s="791">
        <f t="shared" si="13"/>
        <v>1.1104308996600001</v>
      </c>
      <c r="K81" s="1206">
        <v>269</v>
      </c>
      <c r="L81" s="1159">
        <v>169</v>
      </c>
      <c r="M81" s="1159">
        <f t="shared" si="6"/>
        <v>100</v>
      </c>
      <c r="N81" s="1206">
        <v>221</v>
      </c>
      <c r="O81" s="1159">
        <v>174</v>
      </c>
      <c r="P81" s="1192">
        <f t="shared" si="9"/>
        <v>47</v>
      </c>
      <c r="Q81" s="958"/>
      <c r="R81" s="958"/>
      <c r="S81" s="479">
        <f t="shared" si="7"/>
        <v>0</v>
      </c>
      <c r="T81" s="479">
        <f t="shared" si="8"/>
        <v>0</v>
      </c>
      <c r="U81" s="479">
        <f>G81-C81-(TableB3!B81-TableB4!B81)</f>
        <v>0</v>
      </c>
      <c r="V81" s="480">
        <f>G81-C81-TableB1!G83</f>
        <v>0</v>
      </c>
      <c r="W81" s="268">
        <f t="shared" si="14"/>
        <v>0</v>
      </c>
      <c r="X81" s="268">
        <f t="shared" si="15"/>
        <v>0</v>
      </c>
    </row>
    <row r="82" spans="1:24" x14ac:dyDescent="0.2">
      <c r="A82" s="958"/>
      <c r="B82" s="1154" t="str">
        <f>+TableA1!A82</f>
        <v>Seychelles</v>
      </c>
      <c r="C82" s="409">
        <f>+(TableB10!E82+TableB10!I82)/1000</f>
        <v>6.9929293879999993E-2</v>
      </c>
      <c r="D82" s="1337">
        <f t="shared" si="10"/>
        <v>4.8950505716000001E-2</v>
      </c>
      <c r="E82" s="791">
        <v>0</v>
      </c>
      <c r="F82" s="791">
        <f t="shared" si="11"/>
        <v>2.0978788163999996E-2</v>
      </c>
      <c r="G82" s="412">
        <f>+(TableB10!N82+TableB10!R82)/1000</f>
        <v>1.8137638999999998E-3</v>
      </c>
      <c r="H82" s="1337">
        <f t="shared" si="12"/>
        <v>1.2696347299999999E-3</v>
      </c>
      <c r="I82" s="791">
        <v>0</v>
      </c>
      <c r="J82" s="791">
        <f t="shared" si="13"/>
        <v>5.4412916999999994E-4</v>
      </c>
      <c r="K82" s="1206">
        <v>0.97299999999999998</v>
      </c>
      <c r="L82" s="1159">
        <v>0.92500000000000004</v>
      </c>
      <c r="M82" s="1159">
        <f t="shared" si="6"/>
        <v>4.7999999999999932E-2</v>
      </c>
      <c r="N82" s="1206">
        <v>7.21</v>
      </c>
      <c r="O82" s="1159">
        <v>6.05</v>
      </c>
      <c r="P82" s="1192">
        <f t="shared" si="9"/>
        <v>1.1600000000000001</v>
      </c>
      <c r="Q82" s="958"/>
      <c r="R82" s="958"/>
      <c r="S82" s="479">
        <f t="shared" si="7"/>
        <v>0</v>
      </c>
      <c r="T82" s="479">
        <f t="shared" si="8"/>
        <v>0</v>
      </c>
      <c r="U82" s="479">
        <f>G82-C82-(TableB3!B82-TableB4!B82)</f>
        <v>0</v>
      </c>
      <c r="V82" s="480">
        <f>G82-C82-TableB1!G84</f>
        <v>0</v>
      </c>
      <c r="W82" s="268">
        <f t="shared" si="14"/>
        <v>0</v>
      </c>
      <c r="X82" s="268">
        <f t="shared" si="15"/>
        <v>0</v>
      </c>
    </row>
    <row r="83" spans="1:24" x14ac:dyDescent="0.2">
      <c r="A83" s="958"/>
      <c r="B83" s="1154" t="s">
        <v>102</v>
      </c>
      <c r="C83" s="409">
        <f>+(TableB10!E83+TableB10!I83)/1000</f>
        <v>48.948502210899605</v>
      </c>
      <c r="D83" s="1337">
        <f t="shared" si="10"/>
        <v>34.263951547629723</v>
      </c>
      <c r="E83" s="791">
        <v>0</v>
      </c>
      <c r="F83" s="791">
        <f t="shared" si="11"/>
        <v>14.684550663269881</v>
      </c>
      <c r="G83" s="412">
        <f>+(TableB10!N83+TableB10!R83)/1000</f>
        <v>3.3119901675257313</v>
      </c>
      <c r="H83" s="1337">
        <f t="shared" si="12"/>
        <v>2.3183931172680117</v>
      </c>
      <c r="I83" s="791">
        <v>0</v>
      </c>
      <c r="J83" s="791">
        <f t="shared" si="13"/>
        <v>0.99359705025771938</v>
      </c>
      <c r="K83" s="1206">
        <v>870</v>
      </c>
      <c r="L83" s="1159">
        <v>525</v>
      </c>
      <c r="M83" s="1159">
        <f t="shared" si="6"/>
        <v>345</v>
      </c>
      <c r="N83" s="1206">
        <v>447</v>
      </c>
      <c r="O83" s="1159">
        <v>346</v>
      </c>
      <c r="P83" s="1192">
        <f t="shared" si="9"/>
        <v>101</v>
      </c>
      <c r="Q83" s="958"/>
      <c r="R83" s="958"/>
      <c r="S83" s="479">
        <f t="shared" si="7"/>
        <v>0</v>
      </c>
      <c r="T83" s="479">
        <f t="shared" si="8"/>
        <v>0</v>
      </c>
      <c r="U83" s="479">
        <f>G83-C83-(TableB3!B83-TableB4!B83)</f>
        <v>0</v>
      </c>
      <c r="V83" s="480">
        <f>G83-C83-TableB1!G85</f>
        <v>0</v>
      </c>
      <c r="W83" s="268">
        <f t="shared" si="14"/>
        <v>0</v>
      </c>
      <c r="X83" s="268">
        <f t="shared" si="15"/>
        <v>0</v>
      </c>
    </row>
    <row r="84" spans="1:24" x14ac:dyDescent="0.2">
      <c r="A84" s="958"/>
      <c r="B84" s="1154" t="str">
        <f>+TableA1!A84</f>
        <v>St. Kitts and Nevis</v>
      </c>
      <c r="C84" s="409">
        <f>+(TableB10!E84+TableB10!I84)/1000</f>
        <v>3.0000000000000003E-4</v>
      </c>
      <c r="D84" s="1337">
        <f t="shared" si="10"/>
        <v>2.1000000000000001E-4</v>
      </c>
      <c r="E84" s="791">
        <v>0</v>
      </c>
      <c r="F84" s="791">
        <f t="shared" si="11"/>
        <v>9.0000000000000006E-5</v>
      </c>
      <c r="G84" s="412">
        <f>+(TableB10!N84+TableB10!R84)/1000</f>
        <v>0</v>
      </c>
      <c r="H84" s="1337">
        <f t="shared" si="12"/>
        <v>0</v>
      </c>
      <c r="I84" s="791">
        <v>0</v>
      </c>
      <c r="J84" s="791">
        <f t="shared" si="13"/>
        <v>0</v>
      </c>
      <c r="K84" s="1206">
        <v>0.11799999999999999</v>
      </c>
      <c r="L84" s="1159">
        <v>4.8322067740000002E-2</v>
      </c>
      <c r="M84" s="1159">
        <f t="shared" si="6"/>
        <v>6.9677932259999992E-2</v>
      </c>
      <c r="N84" s="1206">
        <v>0.52</v>
      </c>
      <c r="O84" s="1159">
        <v>1.5087819779999999E-2</v>
      </c>
      <c r="P84" s="1192">
        <f t="shared" si="9"/>
        <v>0.50491218022000006</v>
      </c>
      <c r="Q84" s="958"/>
      <c r="R84" s="958"/>
      <c r="S84" s="479">
        <f t="shared" si="7"/>
        <v>0</v>
      </c>
      <c r="T84" s="479">
        <f t="shared" si="8"/>
        <v>0</v>
      </c>
      <c r="U84" s="479">
        <f>G84-C84-(TableB3!B84-TableB4!B84)</f>
        <v>0</v>
      </c>
      <c r="V84" s="480">
        <f>G84-C84-TableB1!G86</f>
        <v>0</v>
      </c>
      <c r="W84" s="268">
        <f t="shared" si="14"/>
        <v>0</v>
      </c>
      <c r="X84" s="268">
        <f t="shared" si="15"/>
        <v>0</v>
      </c>
    </row>
    <row r="85" spans="1:24" x14ac:dyDescent="0.2">
      <c r="A85" s="958"/>
      <c r="B85" s="1154" t="str">
        <f>+TableA1!A85</f>
        <v>St. Lucia</v>
      </c>
      <c r="C85" s="409">
        <f>+(TableB10!E85+TableB10!I85)/1000</f>
        <v>7.1900000000000006E-2</v>
      </c>
      <c r="D85" s="1337">
        <f t="shared" si="10"/>
        <v>5.033E-2</v>
      </c>
      <c r="E85" s="791">
        <v>0</v>
      </c>
      <c r="F85" s="791">
        <f t="shared" si="11"/>
        <v>2.1570000000000002E-2</v>
      </c>
      <c r="G85" s="412">
        <f>+(TableB10!N85+TableB10!R85)/1000</f>
        <v>2.5000000000000001E-3</v>
      </c>
      <c r="H85" s="1337">
        <f t="shared" si="12"/>
        <v>1.75E-3</v>
      </c>
      <c r="I85" s="791">
        <v>0</v>
      </c>
      <c r="J85" s="791">
        <f t="shared" si="13"/>
        <v>7.5000000000000002E-4</v>
      </c>
      <c r="K85" s="1206">
        <v>0.68600000000000005</v>
      </c>
      <c r="L85" s="1159">
        <v>4.573966191E-2</v>
      </c>
      <c r="M85" s="1159">
        <f t="shared" si="6"/>
        <v>0.64026033809000005</v>
      </c>
      <c r="N85" s="1206">
        <v>0.11899999999999999</v>
      </c>
      <c r="O85" s="1159">
        <v>6.6310063980000002E-3</v>
      </c>
      <c r="P85" s="1192">
        <f t="shared" si="9"/>
        <v>0.11236899360199999</v>
      </c>
      <c r="Q85" s="958"/>
      <c r="R85" s="958"/>
      <c r="S85" s="479">
        <f t="shared" si="7"/>
        <v>0</v>
      </c>
      <c r="T85" s="479">
        <f t="shared" si="8"/>
        <v>0</v>
      </c>
      <c r="U85" s="479">
        <f>G85-C85-(TableB3!B85-TableB4!B85)</f>
        <v>0</v>
      </c>
      <c r="V85" s="480">
        <f>G85-C85-TableB1!G87</f>
        <v>0</v>
      </c>
      <c r="W85" s="268">
        <f t="shared" si="14"/>
        <v>0</v>
      </c>
      <c r="X85" s="268">
        <f t="shared" si="15"/>
        <v>0</v>
      </c>
    </row>
    <row r="86" spans="1:24" x14ac:dyDescent="0.2">
      <c r="A86" s="958"/>
      <c r="B86" s="1154" t="str">
        <f>+TableA1!A86</f>
        <v>St. Vincent and the Grenadines</v>
      </c>
      <c r="C86" s="409">
        <f>+(TableB10!E86+TableB10!I86)/1000</f>
        <v>1.6300000000000002E-2</v>
      </c>
      <c r="D86" s="1337">
        <f t="shared" si="10"/>
        <v>1.1410000000000002E-2</v>
      </c>
      <c r="E86" s="791">
        <v>0</v>
      </c>
      <c r="F86" s="791">
        <f t="shared" si="11"/>
        <v>4.8900000000000002E-3</v>
      </c>
      <c r="G86" s="412">
        <f>+(TableB10!N86+TableB10!R86)/1000</f>
        <v>0</v>
      </c>
      <c r="H86" s="1337">
        <f t="shared" si="12"/>
        <v>0</v>
      </c>
      <c r="I86" s="791">
        <v>0</v>
      </c>
      <c r="J86" s="791">
        <f t="shared" si="13"/>
        <v>0</v>
      </c>
      <c r="K86" s="1206">
        <v>5.06395392E-2</v>
      </c>
      <c r="L86" s="1159">
        <v>4.0961454130000005E-2</v>
      </c>
      <c r="M86" s="1159">
        <f t="shared" si="6"/>
        <v>9.6780850699999948E-3</v>
      </c>
      <c r="N86" s="1206">
        <v>0.377</v>
      </c>
      <c r="O86" s="1159">
        <v>0.13400000000000001</v>
      </c>
      <c r="P86" s="1192">
        <f>+N86-O86</f>
        <v>0.24299999999999999</v>
      </c>
      <c r="Q86" s="958"/>
      <c r="R86" s="958"/>
      <c r="S86" s="479">
        <f t="shared" si="7"/>
        <v>0</v>
      </c>
      <c r="T86" s="479">
        <f t="shared" si="8"/>
        <v>0</v>
      </c>
      <c r="U86" s="479">
        <f>G86-C86-(TableB3!B86-TableB4!B86)</f>
        <v>0</v>
      </c>
      <c r="V86" s="480">
        <f>G86-C86-TableB1!G88</f>
        <v>0</v>
      </c>
      <c r="W86" s="268">
        <f t="shared" si="14"/>
        <v>0</v>
      </c>
      <c r="X86" s="268">
        <f t="shared" si="15"/>
        <v>0</v>
      </c>
    </row>
    <row r="87" spans="1:24" x14ac:dyDescent="0.2">
      <c r="A87" t="s">
        <v>374</v>
      </c>
      <c r="B87" s="1154" t="str">
        <f>+TableA1!A87</f>
        <v>Turks and Caicos</v>
      </c>
      <c r="C87" s="409">
        <f>+(TableB10!E87+TableB10!I87)/1000</f>
        <v>0</v>
      </c>
      <c r="D87" s="1337">
        <f t="shared" si="10"/>
        <v>0</v>
      </c>
      <c r="E87" s="791">
        <v>0</v>
      </c>
      <c r="F87" s="791">
        <f t="shared" si="11"/>
        <v>0</v>
      </c>
      <c r="G87" s="412">
        <f>+(TableB10!N87+TableB10!R87)/1000</f>
        <v>0</v>
      </c>
      <c r="H87" s="1337">
        <f t="shared" si="12"/>
        <v>0</v>
      </c>
      <c r="I87" s="791">
        <v>0</v>
      </c>
      <c r="J87" s="791">
        <f t="shared" si="13"/>
        <v>0</v>
      </c>
      <c r="K87" s="1206">
        <v>0.184</v>
      </c>
      <c r="L87" s="1159">
        <v>0.183</v>
      </c>
      <c r="M87" s="1159">
        <f t="shared" si="6"/>
        <v>1.0000000000000009E-3</v>
      </c>
      <c r="N87" s="1206">
        <v>-0.13200000000000001</v>
      </c>
      <c r="O87" s="1159">
        <v>3.4932801350000001E-2</v>
      </c>
      <c r="P87" s="1192">
        <f>+N87-O87</f>
        <v>-0.16693280134999999</v>
      </c>
      <c r="Q87" s="958"/>
      <c r="R87" s="958"/>
      <c r="S87" s="479">
        <f t="shared" si="7"/>
        <v>0</v>
      </c>
      <c r="T87" s="479">
        <f t="shared" si="8"/>
        <v>0</v>
      </c>
      <c r="U87" s="479">
        <f>G87-C87-(TableB3!B87-TableB4!B87)</f>
        <v>0</v>
      </c>
      <c r="V87" s="480">
        <f>G87-C87-TableB1!G89</f>
        <v>0</v>
      </c>
      <c r="W87" s="268">
        <f t="shared" si="14"/>
        <v>0</v>
      </c>
      <c r="X87" s="268">
        <f t="shared" si="15"/>
        <v>0</v>
      </c>
    </row>
    <row r="88" spans="1:24" x14ac:dyDescent="0.2">
      <c r="A88" s="958"/>
      <c r="B88" s="1154" t="str">
        <f>+TableA1!A88</f>
        <v>Panama</v>
      </c>
      <c r="C88" s="409">
        <f>+(TableB10!E88+TableB10!I88)/1000</f>
        <v>4.22</v>
      </c>
      <c r="D88" s="1337">
        <f t="shared" si="10"/>
        <v>2.9539999999999997</v>
      </c>
      <c r="E88" s="791">
        <v>0</v>
      </c>
      <c r="F88" s="791">
        <f t="shared" si="11"/>
        <v>1.2659999999999998</v>
      </c>
      <c r="G88" s="412">
        <f>+(TableB10!N88+TableB10!R88)/1000</f>
        <v>0.8677181060188971</v>
      </c>
      <c r="H88" s="1337">
        <f t="shared" si="12"/>
        <v>0.60740267421322791</v>
      </c>
      <c r="I88" s="791">
        <v>0</v>
      </c>
      <c r="J88" s="791">
        <f t="shared" si="13"/>
        <v>0.26031543180566913</v>
      </c>
      <c r="K88" s="1206">
        <v>39.700000000000003</v>
      </c>
      <c r="L88" s="1159">
        <v>32.299999999999997</v>
      </c>
      <c r="M88" s="1159">
        <f t="shared" si="6"/>
        <v>7.4000000000000057</v>
      </c>
      <c r="N88" s="1206">
        <v>24.3</v>
      </c>
      <c r="O88" s="1159">
        <v>17.7</v>
      </c>
      <c r="P88" s="1192">
        <f>+N88-O88</f>
        <v>6.6000000000000014</v>
      </c>
      <c r="Q88" s="958"/>
      <c r="R88" s="958"/>
      <c r="S88" s="479">
        <f t="shared" si="7"/>
        <v>0</v>
      </c>
      <c r="T88" s="479">
        <f t="shared" si="8"/>
        <v>0</v>
      </c>
      <c r="U88" s="479">
        <f>G88-C88-(TableB3!B88-TableB4!B88)</f>
        <v>0</v>
      </c>
      <c r="V88" s="480">
        <f>G88-C88-TableB1!G90</f>
        <v>0</v>
      </c>
      <c r="W88" s="268">
        <f t="shared" si="14"/>
        <v>0</v>
      </c>
      <c r="X88" s="268">
        <f t="shared" si="15"/>
        <v>0</v>
      </c>
    </row>
    <row r="89" spans="1:24" x14ac:dyDescent="0.2">
      <c r="A89" s="958"/>
      <c r="B89" s="1154" t="s">
        <v>108</v>
      </c>
      <c r="C89" s="409">
        <v>35.126800000000003</v>
      </c>
      <c r="D89" s="1337">
        <f t="shared" si="10"/>
        <v>24.588760000000001</v>
      </c>
      <c r="E89" s="791">
        <v>0</v>
      </c>
      <c r="F89" s="791">
        <f t="shared" si="11"/>
        <v>10.538040000000001</v>
      </c>
      <c r="G89" s="412">
        <v>0.35339999999999999</v>
      </c>
      <c r="H89" s="1337">
        <f t="shared" si="12"/>
        <v>0.24737999999999999</v>
      </c>
      <c r="I89" s="791">
        <v>0</v>
      </c>
      <c r="J89" s="1338">
        <f t="shared" si="13"/>
        <v>0.10601999999999999</v>
      </c>
      <c r="K89" s="1206"/>
      <c r="L89" s="1159"/>
      <c r="M89" s="1159"/>
      <c r="N89" s="1325"/>
      <c r="O89" s="1175"/>
      <c r="P89" s="1339"/>
      <c r="Q89" s="958"/>
      <c r="R89" s="958"/>
      <c r="S89" s="479">
        <f t="shared" si="7"/>
        <v>0</v>
      </c>
      <c r="T89" s="479">
        <f t="shared" si="8"/>
        <v>0</v>
      </c>
      <c r="U89" s="479">
        <f>G89-C89-(TableB3!B89-TableB4!B89)</f>
        <v>0</v>
      </c>
      <c r="V89" s="480">
        <f>G89-C89-TableB1!G91</f>
        <v>0</v>
      </c>
      <c r="W89" s="268">
        <f t="shared" si="14"/>
        <v>0</v>
      </c>
      <c r="X89" s="268">
        <f t="shared" si="15"/>
        <v>0</v>
      </c>
    </row>
    <row r="90" spans="1:24" ht="34" x14ac:dyDescent="0.2">
      <c r="A90" s="958"/>
      <c r="B90" s="1300" t="s">
        <v>343</v>
      </c>
      <c r="C90" s="1340">
        <f>+TableB10!F90/1000</f>
        <v>160.93764714467298</v>
      </c>
      <c r="D90" s="1341">
        <f t="shared" ref="D90" si="16">C90-E90-F90</f>
        <v>112.65635300127109</v>
      </c>
      <c r="E90" s="1342">
        <v>0</v>
      </c>
      <c r="F90" s="1342">
        <f t="shared" ref="F90" si="17">0.3*(C90-E90)</f>
        <v>48.281294143401894</v>
      </c>
      <c r="G90" s="1343">
        <f>+TableB10!O90/1000</f>
        <v>20.147489777298009</v>
      </c>
      <c r="H90" s="1344">
        <f t="shared" ref="H90" si="18">G90-I90-J90</f>
        <v>13.403242844108608</v>
      </c>
      <c r="I90" s="1345">
        <v>1</v>
      </c>
      <c r="J90" s="1346">
        <f t="shared" ref="J90" si="19">0.3*(G90-I90)</f>
        <v>5.7442469331894026</v>
      </c>
      <c r="K90" s="1347">
        <f>+L90+M90</f>
        <v>3567</v>
      </c>
      <c r="L90" s="1348">
        <v>2047</v>
      </c>
      <c r="M90" s="1348">
        <v>1520</v>
      </c>
      <c r="N90" s="1347">
        <f>+O90+P90</f>
        <v>1508</v>
      </c>
      <c r="O90" s="1348">
        <v>911</v>
      </c>
      <c r="P90" s="1349">
        <v>597</v>
      </c>
      <c r="Q90" s="958"/>
      <c r="R90" s="958"/>
      <c r="S90" s="480"/>
      <c r="T90" s="480"/>
      <c r="U90" s="480"/>
      <c r="V90" s="480"/>
      <c r="W90" s="302"/>
      <c r="X90" s="302"/>
    </row>
    <row r="91" spans="1:24" ht="40" customHeight="1" thickBot="1" x14ac:dyDescent="0.25">
      <c r="A91" s="958"/>
      <c r="B91" s="263" t="s">
        <v>344</v>
      </c>
      <c r="C91" s="292">
        <f t="shared" ref="C91:J91" si="20">+SUMIF(C10:C90,"&gt;-99999999999999900")</f>
        <v>1668.3882281964734</v>
      </c>
      <c r="D91" s="211">
        <f t="shared" si="20"/>
        <v>1026.6789843413903</v>
      </c>
      <c r="E91" s="465">
        <f t="shared" si="20"/>
        <v>118.10505358174588</v>
      </c>
      <c r="F91" s="465">
        <f t="shared" si="20"/>
        <v>523.56730343723711</v>
      </c>
      <c r="G91" s="292">
        <f t="shared" si="20"/>
        <v>1706.8312306552948</v>
      </c>
      <c r="H91" s="211">
        <f t="shared" si="20"/>
        <v>982.57365117987194</v>
      </c>
      <c r="I91" s="465">
        <f t="shared" si="20"/>
        <v>89.681059578304357</v>
      </c>
      <c r="J91" s="465">
        <f t="shared" si="20"/>
        <v>634.57659950194954</v>
      </c>
      <c r="K91" s="280">
        <f t="shared" ref="K91:P91" si="21">+SUMIF(K10:K90,"&gt;-99999999999999900")</f>
        <v>36386.710729174571</v>
      </c>
      <c r="L91" s="293">
        <f t="shared" si="21"/>
        <v>30480.220454012335</v>
      </c>
      <c r="M91" s="293">
        <f t="shared" si="21"/>
        <v>5906.8172751622778</v>
      </c>
      <c r="N91" s="280">
        <f t="shared" si="21"/>
        <v>35965.935525303546</v>
      </c>
      <c r="O91" s="293">
        <f t="shared" si="21"/>
        <v>32089.59249916537</v>
      </c>
      <c r="P91" s="466">
        <f t="shared" si="21"/>
        <v>3876.344104929794</v>
      </c>
      <c r="Q91" s="958"/>
      <c r="R91" s="958"/>
      <c r="S91" s="480"/>
      <c r="T91" s="480"/>
      <c r="U91" s="480"/>
      <c r="V91" s="480"/>
      <c r="W91" s="302"/>
      <c r="X91" s="302"/>
    </row>
    <row r="92" spans="1:24" ht="17" thickTop="1" x14ac:dyDescent="0.2">
      <c r="A92" s="958"/>
      <c r="B92" s="413"/>
      <c r="C92" s="414"/>
      <c r="D92" s="415"/>
      <c r="E92" s="415"/>
      <c r="F92" s="415"/>
      <c r="G92" s="415"/>
      <c r="H92" s="415"/>
      <c r="I92" s="415"/>
      <c r="J92" s="415"/>
      <c r="K92" s="13"/>
      <c r="L92" s="245"/>
      <c r="M92" s="245"/>
      <c r="N92" s="13"/>
      <c r="O92" s="245"/>
      <c r="P92" s="245"/>
      <c r="Q92" s="958"/>
      <c r="R92" s="958"/>
      <c r="S92" s="479"/>
      <c r="T92" s="479"/>
      <c r="U92" s="479"/>
    </row>
    <row r="93" spans="1:24" s="2" customFormat="1" x14ac:dyDescent="0.2">
      <c r="B93" s="958"/>
      <c r="C93" s="958"/>
      <c r="D93" s="958"/>
      <c r="E93" s="958"/>
      <c r="F93" s="958"/>
      <c r="G93" s="958"/>
      <c r="H93" s="958"/>
      <c r="I93" s="958"/>
      <c r="S93" s="481"/>
      <c r="T93" s="481"/>
      <c r="U93" s="481"/>
      <c r="V93" s="482"/>
      <c r="W93" s="481"/>
      <c r="X93" s="481"/>
    </row>
    <row r="94" spans="1:24" s="2" customFormat="1" x14ac:dyDescent="0.2">
      <c r="B94" s="958"/>
      <c r="C94" s="958"/>
      <c r="D94" s="958"/>
      <c r="E94" s="958"/>
      <c r="F94" s="958"/>
      <c r="G94" s="958"/>
      <c r="H94" s="958"/>
      <c r="I94" s="958"/>
      <c r="S94" s="481"/>
      <c r="T94" s="481"/>
      <c r="U94" s="481"/>
      <c r="V94" s="482"/>
      <c r="W94" s="481"/>
      <c r="X94" s="481"/>
    </row>
    <row r="95" spans="1:24" s="2" customFormat="1" x14ac:dyDescent="0.2">
      <c r="B95" s="958"/>
      <c r="C95" s="958"/>
      <c r="D95" s="958"/>
      <c r="E95" s="958"/>
      <c r="F95" s="958"/>
      <c r="G95" s="958"/>
      <c r="H95" s="958"/>
      <c r="I95" s="958"/>
      <c r="S95" s="481"/>
      <c r="T95" s="481"/>
      <c r="U95" s="481"/>
      <c r="V95" s="482"/>
      <c r="W95" s="481"/>
      <c r="X95" s="481"/>
    </row>
    <row r="96" spans="1:24" x14ac:dyDescent="0.2">
      <c r="A96" s="958"/>
      <c r="B96" s="958"/>
      <c r="C96" s="958"/>
      <c r="D96" s="958"/>
      <c r="E96" s="958"/>
      <c r="F96" s="958"/>
      <c r="G96" s="958"/>
      <c r="H96" s="958"/>
      <c r="I96" s="958"/>
      <c r="J96" s="2"/>
      <c r="K96" s="958"/>
      <c r="L96" s="958"/>
      <c r="M96" s="958"/>
      <c r="N96" s="958"/>
      <c r="O96" s="958"/>
      <c r="P96" s="958"/>
      <c r="Q96" s="958"/>
      <c r="R96" s="958"/>
    </row>
    <row r="97" spans="2:24" s="2" customFormat="1" x14ac:dyDescent="0.2">
      <c r="B97" s="958"/>
      <c r="C97" s="958"/>
      <c r="D97" s="958"/>
      <c r="E97" s="958"/>
      <c r="F97" s="958"/>
      <c r="G97" s="958"/>
      <c r="H97" s="958"/>
      <c r="I97" s="958"/>
      <c r="J97" s="958"/>
      <c r="K97" s="958"/>
      <c r="L97" s="958"/>
      <c r="M97" s="958"/>
      <c r="N97" s="958"/>
      <c r="O97" s="958"/>
      <c r="S97" s="481"/>
      <c r="T97" s="481"/>
      <c r="U97" s="481"/>
      <c r="V97" s="482"/>
      <c r="W97" s="481"/>
      <c r="X97" s="481"/>
    </row>
  </sheetData>
  <mergeCells count="8">
    <mergeCell ref="C6:P6"/>
    <mergeCell ref="C8:C9"/>
    <mergeCell ref="G8:G9"/>
    <mergeCell ref="B3:P3"/>
    <mergeCell ref="K8:K9"/>
    <mergeCell ref="N8:N9"/>
    <mergeCell ref="C7:J7"/>
    <mergeCell ref="K7:P7"/>
  </mergeCells>
  <hyperlinks>
    <hyperlink ref="B46" r:id="rId1" xr:uid="{00000000-0004-0000-1100-000000000000}"/>
    <hyperlink ref="B52" r:id="rId2" tooltip="Click once to display linked information. Click and hold to select this cell." display="  South Africa" xr:uid="{00000000-0004-0000-1100-000001000000}"/>
    <hyperlink ref="B51" r:id="rId3" tooltip="Click once to display linked information. Click and hold to select this cell." display="  Russia" xr:uid="{00000000-0004-0000-1100-000002000000}"/>
    <hyperlink ref="B50" r:id="rId4" tooltip="Click once to display linked information. Click and hold to select this cell." display="  India" xr:uid="{00000000-0004-0000-1100-000003000000}"/>
  </hyperlinks>
  <pageMargins left="0.75" right="0.75" top="1" bottom="1" header="0.5" footer="0.5"/>
  <pageSetup scale="33" orientation="portrait" horizontalDpi="4294967292" verticalDpi="4294967292"/>
  <legacyDrawing r:id="rId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W158"/>
  <sheetViews>
    <sheetView tabSelected="1" zoomScaleNormal="100" zoomScalePageLayoutView="70" workbookViewId="0">
      <pane xSplit="1" ySplit="8" topLeftCell="B9" activePane="bottomRight" state="frozen"/>
      <selection pane="topRight" activeCell="AR8" sqref="AR8"/>
      <selection pane="bottomLeft" activeCell="AR8" sqref="AR8"/>
      <selection pane="bottomRight" activeCell="A3" sqref="A3:N3"/>
    </sheetView>
  </sheetViews>
  <sheetFormatPr baseColWidth="10" defaultColWidth="10.83203125" defaultRowHeight="16" x14ac:dyDescent="0.2"/>
  <cols>
    <col min="1" max="1" width="19" style="1" customWidth="1"/>
    <col min="2" max="11" width="11.33203125" style="1" customWidth="1"/>
    <col min="12" max="12" width="13" style="1" bestFit="1" customWidth="1"/>
    <col min="13" max="16384" width="10.83203125" style="1"/>
  </cols>
  <sheetData>
    <row r="2" spans="1:18" ht="17" thickBot="1" x14ac:dyDescent="0.25">
      <c r="A2" s="958"/>
      <c r="B2" s="958"/>
      <c r="C2" s="958"/>
      <c r="D2" s="958"/>
      <c r="E2" s="958"/>
      <c r="F2" s="958"/>
      <c r="G2" s="958"/>
      <c r="H2" s="958"/>
      <c r="I2" s="958"/>
      <c r="J2" s="958"/>
      <c r="K2" s="958"/>
      <c r="L2" s="958"/>
      <c r="M2" s="958"/>
      <c r="N2" s="958"/>
      <c r="O2" s="958"/>
      <c r="P2" s="958"/>
      <c r="Q2" s="958"/>
      <c r="R2" s="958"/>
    </row>
    <row r="3" spans="1:18" ht="32.25" customHeight="1" thickTop="1" x14ac:dyDescent="0.2">
      <c r="A3" s="1934" t="s">
        <v>0</v>
      </c>
      <c r="B3" s="1935"/>
      <c r="C3" s="1935"/>
      <c r="D3" s="1935"/>
      <c r="E3" s="1935"/>
      <c r="F3" s="1935"/>
      <c r="G3" s="1935"/>
      <c r="H3" s="1935"/>
      <c r="I3" s="1935"/>
      <c r="J3" s="1935"/>
      <c r="K3" s="1935"/>
      <c r="L3" s="1935"/>
      <c r="M3" s="1935"/>
      <c r="N3" s="1936"/>
      <c r="O3" s="958"/>
      <c r="P3" s="958"/>
      <c r="Q3" s="958"/>
      <c r="R3" s="958"/>
    </row>
    <row r="4" spans="1:18" ht="12" customHeight="1" x14ac:dyDescent="0.2">
      <c r="A4" s="4"/>
      <c r="B4" s="620"/>
      <c r="C4" s="620"/>
      <c r="D4" s="620"/>
      <c r="E4" s="620"/>
      <c r="F4" s="620"/>
      <c r="G4" s="620"/>
      <c r="H4" s="620"/>
      <c r="I4" s="620"/>
      <c r="J4" s="620"/>
      <c r="K4" s="620"/>
      <c r="L4" s="1031"/>
      <c r="M4" s="1031"/>
      <c r="N4" s="1079"/>
      <c r="O4" s="958"/>
      <c r="P4" s="958"/>
      <c r="Q4" s="1023"/>
      <c r="R4" s="958"/>
    </row>
    <row r="5" spans="1:18" ht="17" thickBot="1" x14ac:dyDescent="0.25">
      <c r="A5" s="1080"/>
      <c r="B5" s="126" t="s">
        <v>1</v>
      </c>
      <c r="C5" s="126" t="s">
        <v>2</v>
      </c>
      <c r="D5" s="126" t="s">
        <v>3</v>
      </c>
      <c r="E5" s="126" t="s">
        <v>4</v>
      </c>
      <c r="F5" s="126" t="s">
        <v>5</v>
      </c>
      <c r="G5" s="126" t="s">
        <v>6</v>
      </c>
      <c r="H5" s="3" t="s">
        <v>7</v>
      </c>
      <c r="I5" s="3" t="s">
        <v>8</v>
      </c>
      <c r="J5" s="126" t="s">
        <v>9</v>
      </c>
      <c r="K5" s="126" t="s">
        <v>10</v>
      </c>
      <c r="L5" s="3" t="s">
        <v>11</v>
      </c>
      <c r="M5" s="437" t="s">
        <v>12</v>
      </c>
      <c r="N5" s="438" t="s">
        <v>13</v>
      </c>
      <c r="O5" s="958"/>
      <c r="P5" s="958"/>
      <c r="Q5" s="958"/>
      <c r="R5" s="958"/>
    </row>
    <row r="6" spans="1:18" ht="21" customHeight="1" x14ac:dyDescent="0.2">
      <c r="A6" s="1080"/>
      <c r="B6" s="1947" t="s">
        <v>14</v>
      </c>
      <c r="C6" s="1948"/>
      <c r="D6" s="1948"/>
      <c r="E6" s="1948"/>
      <c r="F6" s="1948"/>
      <c r="G6" s="1948"/>
      <c r="H6" s="1948"/>
      <c r="I6" s="1949"/>
      <c r="J6" s="1955" t="s">
        <v>15</v>
      </c>
      <c r="K6" s="1956"/>
      <c r="L6" s="1957"/>
      <c r="M6" s="1937" t="s">
        <v>16</v>
      </c>
      <c r="N6" s="1940" t="s">
        <v>17</v>
      </c>
      <c r="O6" s="1807"/>
      <c r="P6" s="958"/>
      <c r="Q6" s="958"/>
      <c r="R6" s="958"/>
    </row>
    <row r="7" spans="1:18" ht="85" customHeight="1" x14ac:dyDescent="0.2">
      <c r="A7" s="1080"/>
      <c r="B7" s="1943" t="s">
        <v>18</v>
      </c>
      <c r="C7" s="1944" t="s">
        <v>19</v>
      </c>
      <c r="D7" s="1945" t="s">
        <v>20</v>
      </c>
      <c r="E7" s="1950" t="s">
        <v>21</v>
      </c>
      <c r="F7" s="1807" t="s">
        <v>22</v>
      </c>
      <c r="G7" s="1807" t="s">
        <v>23</v>
      </c>
      <c r="H7" s="1952" t="s">
        <v>24</v>
      </c>
      <c r="I7" s="1953" t="s">
        <v>25</v>
      </c>
      <c r="J7" s="1938" t="s">
        <v>24</v>
      </c>
      <c r="K7" s="1958" t="s">
        <v>21</v>
      </c>
      <c r="L7" s="1960" t="s">
        <v>25</v>
      </c>
      <c r="M7" s="1938"/>
      <c r="N7" s="1941"/>
      <c r="O7" s="1807"/>
      <c r="P7" s="173" t="s">
        <v>26</v>
      </c>
      <c r="Q7" s="958"/>
      <c r="R7" s="440" t="s">
        <v>27</v>
      </c>
    </row>
    <row r="8" spans="1:18" ht="33" customHeight="1" x14ac:dyDescent="0.2">
      <c r="A8" s="1080"/>
      <c r="B8" s="1943"/>
      <c r="C8" s="1944"/>
      <c r="D8" s="1946"/>
      <c r="E8" s="1951"/>
      <c r="F8" s="127"/>
      <c r="G8" s="127"/>
      <c r="H8" s="1944"/>
      <c r="I8" s="1954"/>
      <c r="J8" s="1939"/>
      <c r="K8" s="1959"/>
      <c r="L8" s="1961"/>
      <c r="M8" s="1939"/>
      <c r="N8" s="1942"/>
      <c r="O8" s="1807"/>
      <c r="P8" s="958"/>
      <c r="Q8" s="958"/>
      <c r="R8" s="440"/>
    </row>
    <row r="9" spans="1:18" ht="40" customHeight="1" x14ac:dyDescent="0.2">
      <c r="A9" s="190" t="s">
        <v>28</v>
      </c>
      <c r="B9" s="174">
        <f>SUM(B10:B44)</f>
        <v>46483.587458981725</v>
      </c>
      <c r="C9" s="177">
        <f>SUM(C10:C44)</f>
        <v>4205.6345546075618</v>
      </c>
      <c r="D9" s="178">
        <f t="shared" ref="D9:I9" si="0">SUM(D10:D44)</f>
        <v>42277.952904374171</v>
      </c>
      <c r="E9" s="179">
        <f t="shared" si="0"/>
        <v>26359.302824524231</v>
      </c>
      <c r="F9" s="180">
        <f t="shared" si="0"/>
        <v>23569.365024501058</v>
      </c>
      <c r="G9" s="180">
        <f t="shared" si="0"/>
        <v>2789.9378000231745</v>
      </c>
      <c r="H9" s="180">
        <f t="shared" si="0"/>
        <v>5885.2644618824288</v>
      </c>
      <c r="I9" s="177">
        <f t="shared" si="0"/>
        <v>10033.385617967515</v>
      </c>
      <c r="J9" s="181">
        <f>H9/D9</f>
        <v>0.13920410184461712</v>
      </c>
      <c r="K9" s="188">
        <f>E9/D9</f>
        <v>0.62347632781900941</v>
      </c>
      <c r="L9" s="435">
        <f t="shared" ref="L9:L40" si="1">I9/D9</f>
        <v>0.23731957033637355</v>
      </c>
      <c r="M9" s="180">
        <f>SUM(M10:M44)</f>
        <v>7859.0103804677346</v>
      </c>
      <c r="N9" s="206">
        <f>M9/B9</f>
        <v>0.16907065074103245</v>
      </c>
      <c r="O9" s="175"/>
      <c r="P9" s="958"/>
      <c r="Q9" s="1081"/>
      <c r="R9" s="441">
        <f>TableA2!G9/TableA1!M9</f>
        <v>0.59246386030808973</v>
      </c>
    </row>
    <row r="10" spans="1:18" ht="14.25" customHeight="1" x14ac:dyDescent="0.2">
      <c r="A10" s="1080" t="s">
        <v>29</v>
      </c>
      <c r="B10" s="168">
        <v>1230.2962233958635</v>
      </c>
      <c r="C10" s="1082">
        <v>124.49871909487712</v>
      </c>
      <c r="D10" s="1083">
        <f t="shared" ref="D10:D44" si="2">B10-C10</f>
        <v>1105.7975043009865</v>
      </c>
      <c r="E10" s="1084">
        <f>0.7*D10</f>
        <v>774.05825301069046</v>
      </c>
      <c r="F10" s="1085">
        <f>E10-G10</f>
        <v>672.06429734683604</v>
      </c>
      <c r="G10" s="1085">
        <v>101.99395566385439</v>
      </c>
      <c r="H10" s="1085">
        <f>0.137*D10</f>
        <v>151.49425808923516</v>
      </c>
      <c r="I10" s="1082">
        <f t="shared" ref="I10:I44" si="3">D10-E10-H10</f>
        <v>180.24499320106085</v>
      </c>
      <c r="J10" s="1086">
        <f>H10/D10</f>
        <v>0.13700000000000001</v>
      </c>
      <c r="K10" s="176">
        <f>E10/D10</f>
        <v>0.7</v>
      </c>
      <c r="L10" s="1087">
        <f t="shared" si="1"/>
        <v>0.16300000000000006</v>
      </c>
      <c r="M10" s="1085">
        <v>225.7240306816218</v>
      </c>
      <c r="N10" s="1088">
        <f>M10/B10</f>
        <v>0.18347128633669893</v>
      </c>
      <c r="O10" s="1085"/>
      <c r="P10" s="171">
        <f t="shared" ref="P10:P41" si="4">E10-F10-G10</f>
        <v>0</v>
      </c>
      <c r="Q10" s="171">
        <f>1-J10-K10-L10</f>
        <v>0</v>
      </c>
      <c r="R10" s="441">
        <f>TableA2!G10/TableA1!M10</f>
        <v>0.50531020871400101</v>
      </c>
    </row>
    <row r="11" spans="1:18" ht="14.25" customHeight="1" x14ac:dyDescent="0.2">
      <c r="A11" s="1080" t="s">
        <v>30</v>
      </c>
      <c r="B11" s="168">
        <v>382.06594732598467</v>
      </c>
      <c r="C11" s="1082">
        <v>49.386187017486655</v>
      </c>
      <c r="D11" s="1083">
        <f t="shared" si="2"/>
        <v>332.67976030849803</v>
      </c>
      <c r="E11" s="1089">
        <f t="shared" ref="E11:E44" si="5">F11+G11</f>
        <v>216.83707476995184</v>
      </c>
      <c r="F11" s="1085">
        <v>203.4286798002349</v>
      </c>
      <c r="G11" s="1085">
        <v>13.408394969716932</v>
      </c>
      <c r="H11" s="1085">
        <f>+G$100*$D11</f>
        <v>46.031655431520477</v>
      </c>
      <c r="I11" s="1082">
        <f t="shared" si="3"/>
        <v>69.811030107025715</v>
      </c>
      <c r="J11" s="1090">
        <f>H11/D11</f>
        <v>0.13836626366700144</v>
      </c>
      <c r="K11" s="176">
        <f>E11/D11</f>
        <v>0.65178919982651229</v>
      </c>
      <c r="L11" s="1087">
        <f t="shared" si="1"/>
        <v>0.20984453650648627</v>
      </c>
      <c r="M11" s="1085">
        <v>68.542542136217804</v>
      </c>
      <c r="N11" s="1088">
        <f t="shared" ref="N11:N53" si="6">M11/B11</f>
        <v>0.17939976754258141</v>
      </c>
      <c r="O11" s="1085"/>
      <c r="P11" s="171">
        <f t="shared" si="4"/>
        <v>0</v>
      </c>
      <c r="Q11" s="171">
        <f t="shared" ref="Q11:Q74" si="7">1-J11-K11-L11</f>
        <v>0</v>
      </c>
      <c r="R11" s="441">
        <f>TableA2!G11/TableA1!M11</f>
        <v>0.65490760816802029</v>
      </c>
    </row>
    <row r="12" spans="1:18" ht="14.25" customHeight="1" x14ac:dyDescent="0.2">
      <c r="A12" s="1080" t="s">
        <v>31</v>
      </c>
      <c r="B12" s="168">
        <v>455.20002573034822</v>
      </c>
      <c r="C12" s="1082">
        <v>44.008655156772136</v>
      </c>
      <c r="D12" s="1083">
        <f t="shared" si="2"/>
        <v>411.19137057357608</v>
      </c>
      <c r="E12" s="1089">
        <f t="shared" si="5"/>
        <v>283.38418404296965</v>
      </c>
      <c r="F12" s="1085">
        <v>261.0124226564588</v>
      </c>
      <c r="G12" s="1085">
        <v>22.371761386510865</v>
      </c>
      <c r="H12" s="1085">
        <v>66.945153322930281</v>
      </c>
      <c r="I12" s="1082">
        <f t="shared" si="3"/>
        <v>60.862033207676149</v>
      </c>
      <c r="J12" s="1090">
        <f>H12/D12</f>
        <v>0.16280777787128078</v>
      </c>
      <c r="K12" s="176">
        <f>E12/D12</f>
        <v>0.68917833476824542</v>
      </c>
      <c r="L12" s="1087">
        <f t="shared" si="1"/>
        <v>0.14801388736047386</v>
      </c>
      <c r="M12" s="1085">
        <v>88.086848797605313</v>
      </c>
      <c r="N12" s="1088">
        <f t="shared" si="6"/>
        <v>0.19351239854671334</v>
      </c>
      <c r="O12" s="1085"/>
      <c r="P12" s="171">
        <f t="shared" si="4"/>
        <v>0</v>
      </c>
      <c r="Q12" s="171">
        <f t="shared" si="7"/>
        <v>0</v>
      </c>
      <c r="R12" s="441">
        <f>TableA2!G12/TableA1!M12</f>
        <v>0.64989556093034495</v>
      </c>
    </row>
    <row r="13" spans="1:18" ht="14.25" customHeight="1" x14ac:dyDescent="0.2">
      <c r="A13" s="1080" t="s">
        <v>32</v>
      </c>
      <c r="B13" s="168">
        <v>1559.6232657700973</v>
      </c>
      <c r="C13" s="1082">
        <v>172.92732847678596</v>
      </c>
      <c r="D13" s="1083">
        <f t="shared" si="2"/>
        <v>1386.6959372933113</v>
      </c>
      <c r="E13" s="1089">
        <f>K13*D13</f>
        <v>963.75367641885134</v>
      </c>
      <c r="F13" s="1085">
        <f>+E$100*$E13</f>
        <v>861.40154797047046</v>
      </c>
      <c r="G13" s="1085">
        <f>+F$100*$E13</f>
        <v>102.35212844838091</v>
      </c>
      <c r="H13" s="1085">
        <f>J13*D13</f>
        <v>228.80482965339638</v>
      </c>
      <c r="I13" s="1082">
        <f t="shared" si="3"/>
        <v>194.13743122106359</v>
      </c>
      <c r="J13" s="1086">
        <v>0.16500000000000001</v>
      </c>
      <c r="K13" s="176">
        <v>0.69499999999999995</v>
      </c>
      <c r="L13" s="1087">
        <f t="shared" si="1"/>
        <v>0.14000000000000001</v>
      </c>
      <c r="M13" s="1085">
        <v>266.73796691105764</v>
      </c>
      <c r="N13" s="1088">
        <f t="shared" si="6"/>
        <v>0.17102717865609043</v>
      </c>
      <c r="O13" s="1085"/>
      <c r="P13" s="171">
        <f t="shared" si="4"/>
        <v>0</v>
      </c>
      <c r="Q13" s="171">
        <f t="shared" si="7"/>
        <v>0</v>
      </c>
      <c r="R13" s="441">
        <f>TableA2!G13/TableA1!M13</f>
        <v>0.63369618739448497</v>
      </c>
    </row>
    <row r="14" spans="1:18" ht="14.25" customHeight="1" x14ac:dyDescent="0.2">
      <c r="A14" s="1080" t="s">
        <v>33</v>
      </c>
      <c r="B14" s="168">
        <v>221.41157473670739</v>
      </c>
      <c r="C14" s="1082">
        <f>+B14*SUM($C$11:$C$13,$C$15:$C$44)/SUM($B$11:$B$13,$B$15:$B$44)</f>
        <v>19.967845152988534</v>
      </c>
      <c r="D14" s="1083">
        <f t="shared" si="2"/>
        <v>201.44372958371886</v>
      </c>
      <c r="E14" s="1089">
        <f>TableA2!B14</f>
        <v>154.1756815022006</v>
      </c>
      <c r="F14" s="1085">
        <f>+E$100*$E14</f>
        <v>137.80198608309047</v>
      </c>
      <c r="G14" s="1085">
        <f>+F$100*$E14</f>
        <v>16.373695419110138</v>
      </c>
      <c r="H14" s="1085">
        <f>+G$100*$D14</f>
        <v>27.873016201644983</v>
      </c>
      <c r="I14" s="1082">
        <f t="shared" si="3"/>
        <v>19.395031879873276</v>
      </c>
      <c r="J14" s="1090">
        <f t="shared" ref="J14:J45" si="8">H14/D14</f>
        <v>0.13836626366700144</v>
      </c>
      <c r="K14" s="176">
        <f t="shared" ref="K14:K45" si="9">E14/D14</f>
        <v>0.76535358941577813</v>
      </c>
      <c r="L14" s="1087">
        <f t="shared" si="1"/>
        <v>9.6280146917220435E-2</v>
      </c>
      <c r="M14" s="1085">
        <f>TableA2!G14/K14</f>
        <v>27.36225489709355</v>
      </c>
      <c r="N14" s="1088">
        <f>M14/B14</f>
        <v>0.12358095971103364</v>
      </c>
      <c r="O14" s="1085"/>
      <c r="P14" s="171">
        <f t="shared" si="4"/>
        <v>0</v>
      </c>
      <c r="Q14" s="171">
        <f t="shared" si="7"/>
        <v>0</v>
      </c>
      <c r="R14" s="441">
        <f>TableA2!G14/TableA1!M14</f>
        <v>0.76535358941577813</v>
      </c>
    </row>
    <row r="15" spans="1:18" ht="14.25" customHeight="1" x14ac:dyDescent="0.2">
      <c r="A15" s="1080" t="s">
        <v>34</v>
      </c>
      <c r="B15" s="168">
        <v>186.82994054575946</v>
      </c>
      <c r="C15" s="1082">
        <v>17.645490116367704</v>
      </c>
      <c r="D15" s="1083">
        <f t="shared" si="2"/>
        <v>169.18445042939175</v>
      </c>
      <c r="E15" s="1089">
        <f t="shared" si="5"/>
        <v>112.15354438741807</v>
      </c>
      <c r="F15" s="1085">
        <v>105.46442400528483</v>
      </c>
      <c r="G15" s="1085">
        <v>6.6891203821332379</v>
      </c>
      <c r="H15" s="1085">
        <f>+G$100*$D15</f>
        <v>23.409420276469955</v>
      </c>
      <c r="I15" s="1082">
        <f t="shared" si="3"/>
        <v>33.621485765503721</v>
      </c>
      <c r="J15" s="1090">
        <f t="shared" si="8"/>
        <v>0.13836626366700144</v>
      </c>
      <c r="K15" s="176">
        <f t="shared" si="9"/>
        <v>0.66290692851956134</v>
      </c>
      <c r="L15" s="1087">
        <f t="shared" si="1"/>
        <v>0.19872680781343716</v>
      </c>
      <c r="M15" s="1085">
        <v>39.383180039636166</v>
      </c>
      <c r="N15" s="1088">
        <f t="shared" si="6"/>
        <v>0.21079694145698352</v>
      </c>
      <c r="O15" s="1085"/>
      <c r="P15" s="171">
        <f t="shared" si="4"/>
        <v>0</v>
      </c>
      <c r="Q15" s="171">
        <f t="shared" si="7"/>
        <v>0</v>
      </c>
      <c r="R15" s="441">
        <f>TableA2!G15/TableA1!M15</f>
        <v>0.64761653094571814</v>
      </c>
    </row>
    <row r="16" spans="1:18" ht="14.25" customHeight="1" x14ac:dyDescent="0.2">
      <c r="A16" s="1080" t="s">
        <v>35</v>
      </c>
      <c r="B16" s="168">
        <v>301.29845730626181</v>
      </c>
      <c r="C16" s="1082">
        <v>42.369491730489145</v>
      </c>
      <c r="D16" s="1083">
        <f t="shared" si="2"/>
        <v>258.92896557577268</v>
      </c>
      <c r="E16" s="1089">
        <f t="shared" si="5"/>
        <v>171.31642871995703</v>
      </c>
      <c r="F16" s="1085">
        <v>156.43854767909247</v>
      </c>
      <c r="G16" s="1085">
        <v>14.877881040864565</v>
      </c>
      <c r="H16" s="1085">
        <v>56.930632364567465</v>
      </c>
      <c r="I16" s="1082">
        <f t="shared" si="3"/>
        <v>30.681904491248183</v>
      </c>
      <c r="J16" s="1090">
        <f t="shared" si="8"/>
        <v>0.21986969375161447</v>
      </c>
      <c r="K16" s="176">
        <f t="shared" si="9"/>
        <v>0.66163485548635226</v>
      </c>
      <c r="L16" s="1087">
        <f t="shared" si="1"/>
        <v>0.11849545076203329</v>
      </c>
      <c r="M16" s="1085">
        <v>50.051375561523066</v>
      </c>
      <c r="N16" s="1088">
        <f t="shared" si="6"/>
        <v>0.16611892410271184</v>
      </c>
      <c r="O16" s="1085"/>
      <c r="P16" s="171">
        <f t="shared" si="4"/>
        <v>0</v>
      </c>
      <c r="Q16" s="171">
        <f t="shared" si="7"/>
        <v>0</v>
      </c>
      <c r="R16" s="441">
        <f>TableA2!G16/TableA1!M16</f>
        <v>0.62894034287479106</v>
      </c>
    </row>
    <row r="17" spans="1:18" ht="14.25" customHeight="1" x14ac:dyDescent="0.2">
      <c r="A17" s="1080" t="s">
        <v>36</v>
      </c>
      <c r="B17" s="168">
        <v>22.46048672502576</v>
      </c>
      <c r="C17" s="1082">
        <v>2.9761805738089455</v>
      </c>
      <c r="D17" s="1083">
        <f t="shared" si="2"/>
        <v>19.484306151216813</v>
      </c>
      <c r="E17" s="1089">
        <f t="shared" si="5"/>
        <v>14.300084621791608</v>
      </c>
      <c r="F17" s="1085">
        <v>13.555235404959081</v>
      </c>
      <c r="G17" s="1085">
        <v>0.74484921683252769</v>
      </c>
      <c r="H17" s="1085">
        <v>3.2878283253425074</v>
      </c>
      <c r="I17" s="1082">
        <f t="shared" si="3"/>
        <v>1.8963932040826976</v>
      </c>
      <c r="J17" s="1090">
        <f t="shared" si="8"/>
        <v>0.16874238681253628</v>
      </c>
      <c r="K17" s="176">
        <f t="shared" si="9"/>
        <v>0.73392834781024807</v>
      </c>
      <c r="L17" s="1087">
        <f t="shared" si="1"/>
        <v>9.7329265377215701E-2</v>
      </c>
      <c r="M17" s="1085">
        <v>3.6165557045401866</v>
      </c>
      <c r="N17" s="1088">
        <f t="shared" si="6"/>
        <v>0.16101858115614984</v>
      </c>
      <c r="O17" s="1085"/>
      <c r="P17" s="171">
        <f t="shared" si="4"/>
        <v>0</v>
      </c>
      <c r="Q17" s="171">
        <f t="shared" si="7"/>
        <v>0</v>
      </c>
      <c r="R17" s="441">
        <f>TableA2!G17/TableA1!M17</f>
        <v>0.63813671072403322</v>
      </c>
    </row>
    <row r="18" spans="1:18" ht="14.25" customHeight="1" x14ac:dyDescent="0.2">
      <c r="A18" s="1080" t="s">
        <v>37</v>
      </c>
      <c r="B18" s="168">
        <v>232.46482317594567</v>
      </c>
      <c r="C18" s="1082">
        <v>29.203945172177065</v>
      </c>
      <c r="D18" s="1083">
        <f t="shared" si="2"/>
        <v>203.2608780037686</v>
      </c>
      <c r="E18" s="1089">
        <f t="shared" si="5"/>
        <v>127.77114186183469</v>
      </c>
      <c r="F18" s="1085">
        <v>121.94743245506339</v>
      </c>
      <c r="G18" s="1085">
        <v>5.8237094067712958</v>
      </c>
      <c r="H18" s="1085">
        <v>40.825855450896626</v>
      </c>
      <c r="I18" s="1082">
        <f t="shared" si="3"/>
        <v>34.663880691037278</v>
      </c>
      <c r="J18" s="1090">
        <f t="shared" si="8"/>
        <v>0.20085446767645904</v>
      </c>
      <c r="K18" s="176">
        <f t="shared" si="9"/>
        <v>0.62860666113754426</v>
      </c>
      <c r="L18" s="1087">
        <f t="shared" si="1"/>
        <v>0.17053887118599667</v>
      </c>
      <c r="M18" s="1085">
        <v>44.046585238987248</v>
      </c>
      <c r="N18" s="1088">
        <f t="shared" si="6"/>
        <v>0.18947634587126203</v>
      </c>
      <c r="O18" s="1085"/>
      <c r="P18" s="171">
        <f t="shared" si="4"/>
        <v>0</v>
      </c>
      <c r="Q18" s="171">
        <f t="shared" si="7"/>
        <v>0</v>
      </c>
      <c r="R18" s="441">
        <f>TableA2!G18/TableA1!M18</f>
        <v>0.58516933148684369</v>
      </c>
    </row>
    <row r="19" spans="1:18" ht="14.25" customHeight="1" x14ac:dyDescent="0.2">
      <c r="A19" s="1080" t="s">
        <v>38</v>
      </c>
      <c r="B19" s="168">
        <v>2433.5619119866824</v>
      </c>
      <c r="C19" s="1082">
        <v>316.09510912662103</v>
      </c>
      <c r="D19" s="1083">
        <f t="shared" si="2"/>
        <v>2117.4668028600613</v>
      </c>
      <c r="E19" s="1089">
        <f t="shared" si="5"/>
        <v>1308.4658390810716</v>
      </c>
      <c r="F19" s="1085">
        <v>1208.8882825990756</v>
      </c>
      <c r="G19" s="1085">
        <v>99.57755648199597</v>
      </c>
      <c r="H19" s="1085">
        <v>395.77822658011507</v>
      </c>
      <c r="I19" s="1082">
        <f t="shared" si="3"/>
        <v>413.2227371988746</v>
      </c>
      <c r="J19" s="1090">
        <f t="shared" si="8"/>
        <v>0.18691118370570797</v>
      </c>
      <c r="K19" s="176">
        <f t="shared" si="9"/>
        <v>0.61793924575994652</v>
      </c>
      <c r="L19" s="1087">
        <f t="shared" si="1"/>
        <v>0.19514957053434551</v>
      </c>
      <c r="M19" s="1085">
        <v>435.5327235684444</v>
      </c>
      <c r="N19" s="1088">
        <f t="shared" si="6"/>
        <v>0.17896923904964035</v>
      </c>
      <c r="O19" s="1085"/>
      <c r="P19" s="171">
        <f t="shared" si="4"/>
        <v>0</v>
      </c>
      <c r="Q19" s="171">
        <f t="shared" si="7"/>
        <v>0</v>
      </c>
      <c r="R19" s="441">
        <f>TableA2!G19/TableA1!M19</f>
        <v>0.60249756813054178</v>
      </c>
    </row>
    <row r="20" spans="1:18" ht="14.25" customHeight="1" x14ac:dyDescent="0.2">
      <c r="A20" s="1080" t="s">
        <v>39</v>
      </c>
      <c r="B20" s="168">
        <v>3375.6109571356801</v>
      </c>
      <c r="C20" s="1082">
        <v>333.98102830449204</v>
      </c>
      <c r="D20" s="1083">
        <f t="shared" si="2"/>
        <v>3041.629928831188</v>
      </c>
      <c r="E20" s="1089">
        <f t="shared" si="5"/>
        <v>2072.973263728305</v>
      </c>
      <c r="F20" s="1085">
        <v>1955.0417619077721</v>
      </c>
      <c r="G20" s="1085">
        <v>117.93150182053304</v>
      </c>
      <c r="H20" s="1085">
        <v>325.08409498491113</v>
      </c>
      <c r="I20" s="1082">
        <f t="shared" si="3"/>
        <v>643.57257011797174</v>
      </c>
      <c r="J20" s="1090">
        <f t="shared" si="8"/>
        <v>0.10687825363088524</v>
      </c>
      <c r="K20" s="176">
        <f t="shared" si="9"/>
        <v>0.68153368826328253</v>
      </c>
      <c r="L20" s="1087">
        <f t="shared" si="1"/>
        <v>0.21158805810583223</v>
      </c>
      <c r="M20" s="1085">
        <v>594.59285605755611</v>
      </c>
      <c r="N20" s="1088">
        <f t="shared" si="6"/>
        <v>0.17614377474413942</v>
      </c>
      <c r="O20" s="1085"/>
      <c r="P20" s="171">
        <f t="shared" si="4"/>
        <v>0</v>
      </c>
      <c r="Q20" s="171">
        <f t="shared" si="7"/>
        <v>0</v>
      </c>
      <c r="R20" s="441">
        <f>TableA2!G20/TableA1!M20</f>
        <v>0.57656308289188984</v>
      </c>
    </row>
    <row r="21" spans="1:18" ht="14.25" customHeight="1" x14ac:dyDescent="0.2">
      <c r="A21" s="1080" t="s">
        <v>40</v>
      </c>
      <c r="B21" s="168">
        <v>194.86048960859924</v>
      </c>
      <c r="C21" s="1082">
        <v>26.741065635678233</v>
      </c>
      <c r="D21" s="1083">
        <f t="shared" si="2"/>
        <v>168.119423972921</v>
      </c>
      <c r="E21" s="1089">
        <f t="shared" si="5"/>
        <v>65.374766181006336</v>
      </c>
      <c r="F21" s="1085">
        <v>57.459378101921011</v>
      </c>
      <c r="G21" s="1085">
        <v>7.9153880790853313</v>
      </c>
      <c r="H21" s="1085">
        <v>30.928569891721814</v>
      </c>
      <c r="I21" s="1082">
        <f t="shared" si="3"/>
        <v>71.816087900192855</v>
      </c>
      <c r="J21" s="1090">
        <f t="shared" si="8"/>
        <v>0.18396785547340133</v>
      </c>
      <c r="K21" s="176">
        <f t="shared" si="9"/>
        <v>0.38885908978332123</v>
      </c>
      <c r="L21" s="1087">
        <f t="shared" si="1"/>
        <v>0.42717305474327744</v>
      </c>
      <c r="M21" s="1085">
        <v>38.144587366177234</v>
      </c>
      <c r="N21" s="1088">
        <f t="shared" si="6"/>
        <v>0.19575331788807074</v>
      </c>
      <c r="O21" s="1085"/>
      <c r="P21" s="171">
        <f t="shared" si="4"/>
        <v>0</v>
      </c>
      <c r="Q21" s="171">
        <f t="shared" si="7"/>
        <v>0</v>
      </c>
      <c r="R21" s="441">
        <f>TableA2!G21/TableA1!M21</f>
        <v>0.46775242019107133</v>
      </c>
    </row>
    <row r="22" spans="1:18" ht="14.25" customHeight="1" x14ac:dyDescent="0.2">
      <c r="A22" s="1080" t="s">
        <v>41</v>
      </c>
      <c r="B22" s="168">
        <v>121.71520320764681</v>
      </c>
      <c r="C22" s="1082">
        <v>19.763708125620902</v>
      </c>
      <c r="D22" s="1083">
        <f t="shared" si="2"/>
        <v>101.9514950820259</v>
      </c>
      <c r="E22" s="1089">
        <f t="shared" si="5"/>
        <v>66.600399165868637</v>
      </c>
      <c r="F22" s="1085">
        <v>63.378081676854649</v>
      </c>
      <c r="G22" s="1085">
        <v>3.2223174890139892</v>
      </c>
      <c r="H22" s="1085">
        <v>17.133366149660354</v>
      </c>
      <c r="I22" s="1082">
        <f t="shared" si="3"/>
        <v>18.217729766496909</v>
      </c>
      <c r="J22" s="1090">
        <f t="shared" si="8"/>
        <v>0.16805409411480984</v>
      </c>
      <c r="K22" s="176">
        <f t="shared" si="9"/>
        <v>0.65325573805744341</v>
      </c>
      <c r="L22" s="1087">
        <f t="shared" si="1"/>
        <v>0.17869016782774677</v>
      </c>
      <c r="M22" s="1085">
        <v>20.811649199430786</v>
      </c>
      <c r="N22" s="1088">
        <f t="shared" si="6"/>
        <v>0.17098643925299944</v>
      </c>
      <c r="O22" s="1085"/>
      <c r="P22" s="171">
        <f t="shared" si="4"/>
        <v>0</v>
      </c>
      <c r="Q22" s="171">
        <f t="shared" si="7"/>
        <v>0</v>
      </c>
      <c r="R22" s="441">
        <f>TableA2!G22/TableA1!M22</f>
        <v>0.61749157545451261</v>
      </c>
    </row>
    <row r="23" spans="1:18" ht="14.25" customHeight="1" x14ac:dyDescent="0.2">
      <c r="A23" s="1080" t="s">
        <v>42</v>
      </c>
      <c r="B23" s="168">
        <v>16.779599977895479</v>
      </c>
      <c r="C23" s="1082">
        <v>2.3213715135631632</v>
      </c>
      <c r="D23" s="1083">
        <f>B23-C23</f>
        <v>14.458228464332317</v>
      </c>
      <c r="E23" s="1089">
        <f>+D$100*$D23</f>
        <v>8.7968397543178742</v>
      </c>
      <c r="F23" s="1085">
        <f>+E$100*$E23</f>
        <v>7.8626017902984664</v>
      </c>
      <c r="G23" s="1085">
        <f>+F$100*$E23</f>
        <v>0.93423796401940751</v>
      </c>
      <c r="H23" s="1085">
        <v>2.7194512628269329</v>
      </c>
      <c r="I23" s="1082">
        <f>D23-E23-H23</f>
        <v>2.9419374471875095</v>
      </c>
      <c r="J23" s="1090">
        <f t="shared" si="8"/>
        <v>0.18809021240297005</v>
      </c>
      <c r="K23" s="176">
        <f t="shared" si="9"/>
        <v>0.60843137013771853</v>
      </c>
      <c r="L23" s="1087">
        <f t="shared" si="1"/>
        <v>0.20347841745931136</v>
      </c>
      <c r="M23" s="1085">
        <v>2.4532468919685462</v>
      </c>
      <c r="N23" s="1088">
        <f t="shared" si="6"/>
        <v>0.14620413449666966</v>
      </c>
      <c r="O23" s="1085"/>
      <c r="P23" s="171">
        <f t="shared" si="4"/>
        <v>0</v>
      </c>
      <c r="Q23" s="171">
        <f t="shared" si="7"/>
        <v>0</v>
      </c>
      <c r="R23" s="441">
        <f>TableA2!G23/TableA1!M23</f>
        <v>0.61877180196157067</v>
      </c>
    </row>
    <row r="24" spans="1:18" ht="14.25" customHeight="1" x14ac:dyDescent="0.2">
      <c r="A24" s="1080" t="s">
        <v>43</v>
      </c>
      <c r="B24" s="168">
        <v>290.61710602345232</v>
      </c>
      <c r="C24" s="1082">
        <v>21.642864431009951</v>
      </c>
      <c r="D24" s="1083">
        <f t="shared" si="2"/>
        <v>268.97424159244235</v>
      </c>
      <c r="E24" s="1089">
        <f t="shared" si="5"/>
        <v>216.35996679454206</v>
      </c>
      <c r="F24" s="1085">
        <v>198.23817651684283</v>
      </c>
      <c r="G24" s="1085">
        <v>18.121790277699219</v>
      </c>
      <c r="H24" s="1085">
        <v>25.388975322156163</v>
      </c>
      <c r="I24" s="1082">
        <f t="shared" si="3"/>
        <v>27.22529947574413</v>
      </c>
      <c r="J24" s="1090">
        <f t="shared" si="8"/>
        <v>9.43918464899932E-2</v>
      </c>
      <c r="K24" s="176">
        <f t="shared" si="9"/>
        <v>0.8043891694371873</v>
      </c>
      <c r="L24" s="1087">
        <f t="shared" si="1"/>
        <v>0.10121898407281951</v>
      </c>
      <c r="M24" s="1085">
        <v>62.974323996100523</v>
      </c>
      <c r="N24" s="1088">
        <f t="shared" si="6"/>
        <v>0.21669173180404117</v>
      </c>
      <c r="O24" s="1085"/>
      <c r="P24" s="171">
        <f t="shared" si="4"/>
        <v>0</v>
      </c>
      <c r="Q24" s="171">
        <f t="shared" si="7"/>
        <v>0</v>
      </c>
      <c r="R24" s="441">
        <f>TableA2!G24/TableA1!M24</f>
        <v>0.85958509346182332</v>
      </c>
    </row>
    <row r="25" spans="1:18" ht="14.25" customHeight="1" x14ac:dyDescent="0.2">
      <c r="A25" s="1080" t="s">
        <v>44</v>
      </c>
      <c r="B25" s="168">
        <v>299.09387264644505</v>
      </c>
      <c r="C25" s="1082">
        <v>41.443413802445328</v>
      </c>
      <c r="D25" s="1083">
        <f t="shared" si="2"/>
        <v>257.65045884399973</v>
      </c>
      <c r="E25" s="1089">
        <f t="shared" si="5"/>
        <v>168.61095158963607</v>
      </c>
      <c r="F25" s="1085">
        <v>156.86592670691022</v>
      </c>
      <c r="G25" s="1085">
        <v>11.745024882725858</v>
      </c>
      <c r="H25" s="1085">
        <v>36.217430231759373</v>
      </c>
      <c r="I25" s="1082">
        <f t="shared" si="3"/>
        <v>52.822077022604283</v>
      </c>
      <c r="J25" s="1090">
        <f t="shared" si="8"/>
        <v>0.1405680796931475</v>
      </c>
      <c r="K25" s="176">
        <f t="shared" si="9"/>
        <v>0.65441743184212753</v>
      </c>
      <c r="L25" s="1087">
        <f t="shared" si="1"/>
        <v>0.20501448846472498</v>
      </c>
      <c r="M25" s="1085">
        <v>38.970148858981077</v>
      </c>
      <c r="N25" s="1088">
        <f t="shared" si="6"/>
        <v>0.1302940395072793</v>
      </c>
      <c r="O25" s="1085"/>
      <c r="P25" s="171">
        <f t="shared" si="4"/>
        <v>0</v>
      </c>
      <c r="Q25" s="171">
        <f t="shared" si="7"/>
        <v>0</v>
      </c>
      <c r="R25" s="441">
        <f>TableA2!G25/TableA1!M25</f>
        <v>0.58484805056438849</v>
      </c>
    </row>
    <row r="26" spans="1:18" ht="14.25" customHeight="1" x14ac:dyDescent="0.2">
      <c r="A26" s="1080" t="s">
        <v>45</v>
      </c>
      <c r="B26" s="168">
        <v>1832.3473730090866</v>
      </c>
      <c r="C26" s="1082">
        <v>243.08435894279324</v>
      </c>
      <c r="D26" s="1083">
        <f t="shared" si="2"/>
        <v>1589.2630140662934</v>
      </c>
      <c r="E26" s="1089">
        <f t="shared" si="5"/>
        <v>872.75122856867165</v>
      </c>
      <c r="F26" s="1085">
        <v>795.37641170331563</v>
      </c>
      <c r="G26" s="1085">
        <v>77.374816865355967</v>
      </c>
      <c r="H26" s="1085">
        <v>228.77939442738332</v>
      </c>
      <c r="I26" s="1082">
        <f t="shared" si="3"/>
        <v>487.73239107023846</v>
      </c>
      <c r="J26" s="1090">
        <f t="shared" si="8"/>
        <v>0.14395313576324137</v>
      </c>
      <c r="K26" s="176">
        <f t="shared" si="9"/>
        <v>0.54915468418008895</v>
      </c>
      <c r="L26" s="1087">
        <f t="shared" si="1"/>
        <v>0.30689218005666968</v>
      </c>
      <c r="M26" s="1085">
        <v>330.98632631626811</v>
      </c>
      <c r="N26" s="1088">
        <f t="shared" si="6"/>
        <v>0.18063514112650012</v>
      </c>
      <c r="O26" s="1085"/>
      <c r="P26" s="171">
        <f t="shared" si="4"/>
        <v>0</v>
      </c>
      <c r="Q26" s="171">
        <f t="shared" si="7"/>
        <v>0</v>
      </c>
      <c r="R26" s="441">
        <f>TableA2!G26/TableA1!M26</f>
        <v>0.56400182551213529</v>
      </c>
    </row>
    <row r="27" spans="1:18" ht="14.25" customHeight="1" x14ac:dyDescent="0.2">
      <c r="A27" s="1080" t="s">
        <v>46</v>
      </c>
      <c r="B27" s="168">
        <v>4368.6301587942826</v>
      </c>
      <c r="C27" s="1082">
        <v>341.88633673217913</v>
      </c>
      <c r="D27" s="1083">
        <f t="shared" si="2"/>
        <v>4026.7438220621034</v>
      </c>
      <c r="E27" s="1089">
        <f>K28*$D27</f>
        <v>2733.7570791303033</v>
      </c>
      <c r="F27" s="1085">
        <f>+E$100*$E27</f>
        <v>2443.427856470912</v>
      </c>
      <c r="G27" s="1085">
        <f>+F$100*$E27</f>
        <v>290.32922265939106</v>
      </c>
      <c r="H27" s="1085">
        <f>+G$100*$D27</f>
        <v>557.16549740291418</v>
      </c>
      <c r="I27" s="1082">
        <f t="shared" si="3"/>
        <v>735.82124552888592</v>
      </c>
      <c r="J27" s="1090">
        <f t="shared" si="8"/>
        <v>0.13836626366700144</v>
      </c>
      <c r="K27" s="176">
        <f t="shared" si="9"/>
        <v>0.678900173423583</v>
      </c>
      <c r="L27" s="1087">
        <f t="shared" si="1"/>
        <v>0.18273356290941559</v>
      </c>
      <c r="M27" s="1085">
        <v>991.90930771224316</v>
      </c>
      <c r="N27" s="1088">
        <f t="shared" si="6"/>
        <v>0.22705270797883348</v>
      </c>
      <c r="O27" s="1085"/>
      <c r="P27" s="171">
        <f t="shared" si="4"/>
        <v>0</v>
      </c>
      <c r="Q27" s="171">
        <f t="shared" si="7"/>
        <v>0</v>
      </c>
      <c r="R27" s="441">
        <f>TableA2!G27/TableA1!M27</f>
        <v>0.66539124322136312</v>
      </c>
    </row>
    <row r="28" spans="1:18" ht="14.25" customHeight="1" x14ac:dyDescent="0.2">
      <c r="A28" s="1080" t="s">
        <v>47</v>
      </c>
      <c r="B28" s="168">
        <v>1382.7640271138193</v>
      </c>
      <c r="C28" s="1082">
        <v>140.36833951063403</v>
      </c>
      <c r="D28" s="1083">
        <f t="shared" si="2"/>
        <v>1242.3956876031853</v>
      </c>
      <c r="E28" s="1089">
        <f>TableA2!B28</f>
        <v>843.46264777451415</v>
      </c>
      <c r="F28" s="1085">
        <f>TableA2b!B28</f>
        <v>776.97252593029702</v>
      </c>
      <c r="G28" s="1085">
        <f>E28-F28</f>
        <v>66.490121844217128</v>
      </c>
      <c r="H28" s="1085">
        <f>+G$100*$D28</f>
        <v>171.9056492896479</v>
      </c>
      <c r="I28" s="1082">
        <f t="shared" si="3"/>
        <v>227.0273905390232</v>
      </c>
      <c r="J28" s="1090">
        <f t="shared" si="8"/>
        <v>0.13836626366700144</v>
      </c>
      <c r="K28" s="176">
        <f t="shared" si="9"/>
        <v>0.678900173423583</v>
      </c>
      <c r="L28" s="1087">
        <f t="shared" si="1"/>
        <v>0.18273356290941553</v>
      </c>
      <c r="M28" s="1085">
        <v>270.23681494398437</v>
      </c>
      <c r="N28" s="1088">
        <f t="shared" si="6"/>
        <v>0.19543234394666559</v>
      </c>
      <c r="O28" s="1085"/>
      <c r="P28" s="171">
        <f t="shared" si="4"/>
        <v>0</v>
      </c>
      <c r="Q28" s="171">
        <f t="shared" si="7"/>
        <v>0</v>
      </c>
      <c r="R28" s="441">
        <f>TableA2!G28/TableA1!M28</f>
        <v>0.68014010711841522</v>
      </c>
    </row>
    <row r="29" spans="1:18" ht="14.25" customHeight="1" x14ac:dyDescent="0.2">
      <c r="A29" s="1080" t="s">
        <v>48</v>
      </c>
      <c r="B29" s="168">
        <v>27.009231871472473</v>
      </c>
      <c r="C29" s="1082">
        <v>3.1466940384335986</v>
      </c>
      <c r="D29" s="1083">
        <f t="shared" si="2"/>
        <v>23.862537833038875</v>
      </c>
      <c r="E29" s="1089">
        <f t="shared" si="5"/>
        <v>16.865578894016473</v>
      </c>
      <c r="F29" s="1085">
        <v>15.789667712516593</v>
      </c>
      <c r="G29" s="1085">
        <v>1.0759111814998796</v>
      </c>
      <c r="H29" s="1085">
        <v>3.7631366181671786</v>
      </c>
      <c r="I29" s="1082">
        <f t="shared" si="3"/>
        <v>3.2338223208552237</v>
      </c>
      <c r="J29" s="1090">
        <f t="shared" si="8"/>
        <v>0.15770060353584556</v>
      </c>
      <c r="K29" s="176">
        <f t="shared" si="9"/>
        <v>0.70678060363995465</v>
      </c>
      <c r="L29" s="1087">
        <f t="shared" si="1"/>
        <v>0.13551879282419974</v>
      </c>
      <c r="M29" s="1085">
        <v>6.2093906898284157</v>
      </c>
      <c r="N29" s="1088">
        <f t="shared" si="6"/>
        <v>0.22989882568214984</v>
      </c>
      <c r="O29" s="1085"/>
      <c r="P29" s="171">
        <f t="shared" si="4"/>
        <v>0</v>
      </c>
      <c r="Q29" s="171">
        <f t="shared" si="7"/>
        <v>0</v>
      </c>
      <c r="R29" s="441">
        <f>TableA2!G29/TableA1!M29</f>
        <v>0.58188385878069637</v>
      </c>
    </row>
    <row r="30" spans="1:18" ht="14.25" customHeight="1" x14ac:dyDescent="0.2">
      <c r="A30" s="1080" t="s">
        <v>49</v>
      </c>
      <c r="B30" s="168">
        <v>57.78448393461386</v>
      </c>
      <c r="C30" s="1082">
        <v>6.0478517931945444</v>
      </c>
      <c r="D30" s="1083">
        <f t="shared" si="2"/>
        <v>51.736632141419314</v>
      </c>
      <c r="E30" s="1089">
        <f t="shared" si="5"/>
        <v>39.231128397764564</v>
      </c>
      <c r="F30" s="1085">
        <v>25.812973640810995</v>
      </c>
      <c r="G30" s="1085">
        <v>13.418154756953573</v>
      </c>
      <c r="H30" s="1085">
        <v>6.4658590442728343</v>
      </c>
      <c r="I30" s="1082">
        <f t="shared" si="3"/>
        <v>6.0396446993819151</v>
      </c>
      <c r="J30" s="1090">
        <f t="shared" si="8"/>
        <v>0.12497641954348236</v>
      </c>
      <c r="K30" s="176">
        <f t="shared" si="9"/>
        <v>0.75828531494915197</v>
      </c>
      <c r="L30" s="1087">
        <f t="shared" si="1"/>
        <v>0.11673826550736564</v>
      </c>
      <c r="M30" s="1085">
        <v>6.885751708794567</v>
      </c>
      <c r="N30" s="1088">
        <f t="shared" si="6"/>
        <v>0.11916264090177135</v>
      </c>
      <c r="O30" s="1085"/>
      <c r="P30" s="171">
        <f t="shared" si="4"/>
        <v>0</v>
      </c>
      <c r="Q30" s="171">
        <f t="shared" si="7"/>
        <v>0</v>
      </c>
      <c r="R30" s="441">
        <f>TableA2!G30/TableA1!M30</f>
        <v>0.60683567954128137</v>
      </c>
    </row>
    <row r="31" spans="1:18" ht="14.25" customHeight="1" x14ac:dyDescent="0.2">
      <c r="A31" s="1080" t="s">
        <v>50</v>
      </c>
      <c r="B31" s="168">
        <v>1148.0597847070599</v>
      </c>
      <c r="C31" s="1082">
        <v>75.148910603285515</v>
      </c>
      <c r="D31" s="1083">
        <f t="shared" si="2"/>
        <v>1072.9108741037744</v>
      </c>
      <c r="E31" s="1089">
        <f t="shared" si="5"/>
        <v>580.51899302302263</v>
      </c>
      <c r="F31" s="1085">
        <v>539.63509070108421</v>
      </c>
      <c r="G31" s="1085">
        <v>40.883902321938415</v>
      </c>
      <c r="H31" s="1085">
        <v>107.06274698678412</v>
      </c>
      <c r="I31" s="1082">
        <f t="shared" si="3"/>
        <v>385.32913409396764</v>
      </c>
      <c r="J31" s="1090">
        <f t="shared" si="8"/>
        <v>9.9787176708611466E-2</v>
      </c>
      <c r="K31" s="176">
        <f t="shared" si="9"/>
        <v>0.54106916709921749</v>
      </c>
      <c r="L31" s="1087">
        <f t="shared" si="1"/>
        <v>0.35914365619217103</v>
      </c>
      <c r="M31" s="1085">
        <v>142.10493803518077</v>
      </c>
      <c r="N31" s="1088">
        <f t="shared" si="6"/>
        <v>0.12377834319093445</v>
      </c>
      <c r="O31" s="1085"/>
      <c r="P31" s="171">
        <f t="shared" si="4"/>
        <v>0</v>
      </c>
      <c r="Q31" s="171">
        <f t="shared" si="7"/>
        <v>0</v>
      </c>
      <c r="R31" s="441">
        <f>TableA2!G31/TableA1!M31</f>
        <v>0.7202929510322954</v>
      </c>
    </row>
    <row r="32" spans="1:18" ht="14.25" customHeight="1" x14ac:dyDescent="0.2">
      <c r="A32" s="1080" t="s">
        <v>51</v>
      </c>
      <c r="B32" s="168">
        <v>757.99942106716617</v>
      </c>
      <c r="C32" s="1082">
        <v>77.939664551676415</v>
      </c>
      <c r="D32" s="1083">
        <f t="shared" si="2"/>
        <v>680.05975651548977</v>
      </c>
      <c r="E32" s="1089">
        <f t="shared" si="5"/>
        <v>501.13845699981925</v>
      </c>
      <c r="F32" s="1085">
        <v>450.70808365468542</v>
      </c>
      <c r="G32" s="1085">
        <v>50.430373345133802</v>
      </c>
      <c r="H32" s="1085">
        <v>90.792638902290108</v>
      </c>
      <c r="I32" s="1082">
        <f t="shared" si="3"/>
        <v>88.128660613380404</v>
      </c>
      <c r="J32" s="1090">
        <f t="shared" si="8"/>
        <v>0.13350685440864213</v>
      </c>
      <c r="K32" s="176">
        <f t="shared" si="9"/>
        <v>0.73690356207455543</v>
      </c>
      <c r="L32" s="1087">
        <f t="shared" si="1"/>
        <v>0.12958958351680244</v>
      </c>
      <c r="M32" s="1085">
        <v>123.94375257164849</v>
      </c>
      <c r="N32" s="1088">
        <f t="shared" si="6"/>
        <v>0.16351431033700731</v>
      </c>
      <c r="O32" s="1085"/>
      <c r="P32" s="171">
        <f t="shared" si="4"/>
        <v>0</v>
      </c>
      <c r="Q32" s="171">
        <f t="shared" si="7"/>
        <v>0</v>
      </c>
      <c r="R32" s="441">
        <f>TableA2!G32/TableA1!M32</f>
        <v>0.57923135430182104</v>
      </c>
    </row>
    <row r="33" spans="1:18" ht="14.25" customHeight="1" x14ac:dyDescent="0.2">
      <c r="A33" s="1080" t="s">
        <v>52</v>
      </c>
      <c r="B33" s="168">
        <v>175.57279589951008</v>
      </c>
      <c r="C33" s="1082">
        <v>23.149636499938982</v>
      </c>
      <c r="D33" s="1083">
        <f>B33-C33</f>
        <v>152.42315939957109</v>
      </c>
      <c r="E33" s="1089">
        <f>+TableA2!B33</f>
        <v>117.72450705207552</v>
      </c>
      <c r="F33" s="1085">
        <v>110.9119754528496</v>
      </c>
      <c r="G33" s="1085">
        <f>+E33-F33</f>
        <v>6.8125315992259203</v>
      </c>
      <c r="H33" s="1085">
        <v>20.029895918687561</v>
      </c>
      <c r="I33" s="1082">
        <f>D33-E33-H33</f>
        <v>14.668756428808006</v>
      </c>
      <c r="J33" s="1090">
        <f t="shared" si="8"/>
        <v>0.13140979361397442</v>
      </c>
      <c r="K33" s="176">
        <f t="shared" si="9"/>
        <v>0.77235314840486635</v>
      </c>
      <c r="L33" s="1087">
        <f t="shared" si="1"/>
        <v>9.623705798115928E-2</v>
      </c>
      <c r="M33" s="1085">
        <f>TableA2!G33/K33</f>
        <v>21.917823517599246</v>
      </c>
      <c r="N33" s="1088">
        <f t="shared" si="6"/>
        <v>0.12483610234323554</v>
      </c>
      <c r="O33" s="1085"/>
      <c r="P33" s="171">
        <f t="shared" si="4"/>
        <v>0</v>
      </c>
      <c r="Q33" s="171">
        <f t="shared" si="7"/>
        <v>0</v>
      </c>
      <c r="R33" s="441">
        <f>TableA2!G33/TableA1!M33</f>
        <v>0.77235314840486635</v>
      </c>
    </row>
    <row r="34" spans="1:18" ht="14.25" customHeight="1" x14ac:dyDescent="0.2">
      <c r="A34" s="1080" t="s">
        <v>53</v>
      </c>
      <c r="B34" s="168">
        <v>386.57842775329436</v>
      </c>
      <c r="C34" s="1082">
        <v>38.771394491210316</v>
      </c>
      <c r="D34" s="1083">
        <f t="shared" si="2"/>
        <v>347.80703326208402</v>
      </c>
      <c r="E34" s="1089">
        <f t="shared" si="5"/>
        <v>244.0517414879925</v>
      </c>
      <c r="F34" s="1085">
        <v>227.26315067631907</v>
      </c>
      <c r="G34" s="1085">
        <v>16.788590811673419</v>
      </c>
      <c r="H34" s="1085">
        <v>69.872188906802151</v>
      </c>
      <c r="I34" s="1082">
        <f t="shared" si="3"/>
        <v>33.883102867289367</v>
      </c>
      <c r="J34" s="1090">
        <f t="shared" si="8"/>
        <v>0.20089354792935185</v>
      </c>
      <c r="K34" s="176">
        <f t="shared" si="9"/>
        <v>0.70168719476150299</v>
      </c>
      <c r="L34" s="1087">
        <f t="shared" si="1"/>
        <v>9.7419257309145149E-2</v>
      </c>
      <c r="M34" s="1085">
        <v>68.419466015522744</v>
      </c>
      <c r="N34" s="1088">
        <f t="shared" si="6"/>
        <v>0.17698728408918488</v>
      </c>
      <c r="O34" s="1085"/>
      <c r="P34" s="171">
        <f t="shared" si="4"/>
        <v>0</v>
      </c>
      <c r="Q34" s="171">
        <f t="shared" si="7"/>
        <v>0</v>
      </c>
      <c r="R34" s="441">
        <f>TableA2!G34/TableA1!M34</f>
        <v>0.63842057758461324</v>
      </c>
    </row>
    <row r="35" spans="1:18" ht="14.25" customHeight="1" x14ac:dyDescent="0.2">
      <c r="A35" s="1080" t="s">
        <v>54</v>
      </c>
      <c r="B35" s="168">
        <v>477.06645443692798</v>
      </c>
      <c r="C35" s="1082">
        <v>55.285051067780877</v>
      </c>
      <c r="D35" s="1083">
        <f t="shared" si="2"/>
        <v>421.78140336914709</v>
      </c>
      <c r="E35" s="1089">
        <f t="shared" si="5"/>
        <v>234.89932351770796</v>
      </c>
      <c r="F35" s="1085">
        <v>219.12534818941506</v>
      </c>
      <c r="G35" s="1085">
        <v>15.773975328292877</v>
      </c>
      <c r="H35" s="1085">
        <v>59.604722111685902</v>
      </c>
      <c r="I35" s="1082">
        <f t="shared" si="3"/>
        <v>127.27735773975323</v>
      </c>
      <c r="J35" s="1090">
        <f t="shared" si="8"/>
        <v>0.14131661954645089</v>
      </c>
      <c r="K35" s="176">
        <f t="shared" si="9"/>
        <v>0.55692195445639847</v>
      </c>
      <c r="L35" s="1087">
        <f t="shared" si="1"/>
        <v>0.30176142599715067</v>
      </c>
      <c r="M35" s="1085">
        <v>54.658442764292346</v>
      </c>
      <c r="N35" s="1088">
        <f t="shared" si="6"/>
        <v>0.11457196844578942</v>
      </c>
      <c r="O35" s="1085"/>
      <c r="P35" s="171">
        <f t="shared" si="4"/>
        <v>1.4210854715202004E-14</v>
      </c>
      <c r="Q35" s="171">
        <f t="shared" si="7"/>
        <v>0</v>
      </c>
      <c r="R35" s="441">
        <f>TableA2!G35/TableA1!M35</f>
        <v>0.66477054869318319</v>
      </c>
    </row>
    <row r="36" spans="1:18" ht="14.25" customHeight="1" x14ac:dyDescent="0.2">
      <c r="A36" s="1080" t="s">
        <v>55</v>
      </c>
      <c r="B36" s="168">
        <v>199.42024645680905</v>
      </c>
      <c r="C36" s="1082">
        <v>26.452146543205355</v>
      </c>
      <c r="D36" s="1083">
        <f t="shared" si="2"/>
        <v>172.96809991360371</v>
      </c>
      <c r="E36" s="1089">
        <f t="shared" si="5"/>
        <v>101.75390252856124</v>
      </c>
      <c r="F36" s="1085">
        <v>93.25897817245766</v>
      </c>
      <c r="G36" s="1085">
        <v>8.4949243561035814</v>
      </c>
      <c r="H36" s="1085">
        <v>28.746567161199522</v>
      </c>
      <c r="I36" s="1082">
        <f t="shared" si="3"/>
        <v>42.467630223842946</v>
      </c>
      <c r="J36" s="1090">
        <f t="shared" si="8"/>
        <v>0.16619577353025339</v>
      </c>
      <c r="K36" s="176">
        <f t="shared" si="9"/>
        <v>0.58828132227495455</v>
      </c>
      <c r="L36" s="1087">
        <f t="shared" si="1"/>
        <v>0.24552290419479206</v>
      </c>
      <c r="M36" s="1085">
        <v>34.395042915337172</v>
      </c>
      <c r="N36" s="1088">
        <f t="shared" si="6"/>
        <v>0.17247518006044857</v>
      </c>
      <c r="O36" s="1085"/>
      <c r="P36" s="171">
        <f t="shared" si="4"/>
        <v>0</v>
      </c>
      <c r="Q36" s="171">
        <f t="shared" si="7"/>
        <v>0</v>
      </c>
      <c r="R36" s="441">
        <f>TableA2!G36/TableA1!M36</f>
        <v>0.50303663672184851</v>
      </c>
    </row>
    <row r="37" spans="1:18" ht="14.25" customHeight="1" x14ac:dyDescent="0.2">
      <c r="A37" s="1080" t="s">
        <v>56</v>
      </c>
      <c r="B37" s="168">
        <v>87.501420159949603</v>
      </c>
      <c r="C37" s="1082">
        <v>8.4615758285560272</v>
      </c>
      <c r="D37" s="1083">
        <f t="shared" si="2"/>
        <v>79.039844331393581</v>
      </c>
      <c r="E37" s="1089">
        <f t="shared" si="5"/>
        <v>43.35690211044308</v>
      </c>
      <c r="F37" s="1085">
        <v>40.681291929654115</v>
      </c>
      <c r="G37" s="1085">
        <v>2.6756101807889676</v>
      </c>
      <c r="H37" s="1085">
        <v>11.16217106467079</v>
      </c>
      <c r="I37" s="1082">
        <f t="shared" si="3"/>
        <v>24.520771156279711</v>
      </c>
      <c r="J37" s="1090">
        <f t="shared" si="8"/>
        <v>0.14122207804295134</v>
      </c>
      <c r="K37" s="176">
        <f t="shared" si="9"/>
        <v>0.54854488235906473</v>
      </c>
      <c r="L37" s="1087">
        <f t="shared" si="1"/>
        <v>0.31023303959798393</v>
      </c>
      <c r="M37" s="1085">
        <v>17.635143662959056</v>
      </c>
      <c r="N37" s="1088">
        <f t="shared" si="6"/>
        <v>0.20154122791061696</v>
      </c>
      <c r="O37" s="1085"/>
      <c r="P37" s="171">
        <f t="shared" si="4"/>
        <v>0</v>
      </c>
      <c r="Q37" s="171">
        <f t="shared" si="7"/>
        <v>0</v>
      </c>
      <c r="R37" s="441">
        <f>TableA2!G37/TableA1!M37</f>
        <v>0.63554628339578056</v>
      </c>
    </row>
    <row r="38" spans="1:18" ht="14.25" customHeight="1" x14ac:dyDescent="0.2">
      <c r="A38" s="1080" t="s">
        <v>57</v>
      </c>
      <c r="B38" s="168">
        <v>42.776714811253477</v>
      </c>
      <c r="C38" s="1082">
        <v>5.8237055250377354</v>
      </c>
      <c r="D38" s="1083">
        <f t="shared" si="2"/>
        <v>36.953009286215739</v>
      </c>
      <c r="E38" s="1089">
        <f t="shared" si="5"/>
        <v>23.475728296395868</v>
      </c>
      <c r="F38" s="1085">
        <v>22.013766401710626</v>
      </c>
      <c r="G38" s="1085">
        <v>1.4619618946852413</v>
      </c>
      <c r="H38" s="1085">
        <v>5.9998325309235545</v>
      </c>
      <c r="I38" s="1082">
        <f t="shared" si="3"/>
        <v>7.4774484588963164</v>
      </c>
      <c r="J38" s="1090">
        <f t="shared" si="8"/>
        <v>0.16236384118144392</v>
      </c>
      <c r="K38" s="176">
        <f t="shared" si="9"/>
        <v>0.63528596858153086</v>
      </c>
      <c r="L38" s="1087">
        <f t="shared" si="1"/>
        <v>0.20235019023702527</v>
      </c>
      <c r="M38" s="1085">
        <v>8.8670668179433694</v>
      </c>
      <c r="N38" s="1088">
        <f t="shared" si="6"/>
        <v>0.20728723224932336</v>
      </c>
      <c r="O38" s="1085"/>
      <c r="P38" s="171">
        <f t="shared" si="4"/>
        <v>0</v>
      </c>
      <c r="Q38" s="171">
        <f t="shared" si="7"/>
        <v>0</v>
      </c>
      <c r="R38" s="441">
        <f>TableA2!G38/TableA1!M38</f>
        <v>0.61444135340093187</v>
      </c>
    </row>
    <row r="39" spans="1:18" x14ac:dyDescent="0.2">
      <c r="A39" s="1080" t="s">
        <v>58</v>
      </c>
      <c r="B39" s="168">
        <v>1197.7898518175941</v>
      </c>
      <c r="C39" s="1082">
        <v>125.42324759138432</v>
      </c>
      <c r="D39" s="1083">
        <f t="shared" si="2"/>
        <v>1072.3666042262098</v>
      </c>
      <c r="E39" s="1089">
        <f t="shared" si="5"/>
        <v>678.97508925214515</v>
      </c>
      <c r="F39" s="1085">
        <v>641.19251291230933</v>
      </c>
      <c r="G39" s="1085">
        <v>37.782576339835785</v>
      </c>
      <c r="H39" s="1085">
        <v>163.01506445341309</v>
      </c>
      <c r="I39" s="1082">
        <f t="shared" si="3"/>
        <v>230.37645052065156</v>
      </c>
      <c r="J39" s="1090">
        <f t="shared" si="8"/>
        <v>0.1520143053793066</v>
      </c>
      <c r="K39" s="176">
        <f t="shared" si="9"/>
        <v>0.63315575716018768</v>
      </c>
      <c r="L39" s="1087">
        <f t="shared" si="1"/>
        <v>0.21482993746050574</v>
      </c>
      <c r="M39" s="1085">
        <v>209.80658985270483</v>
      </c>
      <c r="N39" s="1088">
        <f t="shared" si="6"/>
        <v>0.17516143548413976</v>
      </c>
      <c r="O39" s="1085"/>
      <c r="P39" s="171">
        <f t="shared" si="4"/>
        <v>0</v>
      </c>
      <c r="Q39" s="171">
        <f t="shared" si="7"/>
        <v>0</v>
      </c>
      <c r="R39" s="441">
        <f>TableA2!G39/TableA1!M39</f>
        <v>0.63679998308435637</v>
      </c>
    </row>
    <row r="40" spans="1:18" x14ac:dyDescent="0.2">
      <c r="A40" s="1080" t="s">
        <v>59</v>
      </c>
      <c r="B40" s="168">
        <v>497.91809946387843</v>
      </c>
      <c r="C40" s="1082">
        <v>100.53206693522733</v>
      </c>
      <c r="D40" s="1083">
        <f t="shared" si="2"/>
        <v>397.38603252865107</v>
      </c>
      <c r="E40" s="1089">
        <f t="shared" si="5"/>
        <v>287.8253425286855</v>
      </c>
      <c r="F40" s="1085">
        <v>269.43791827255546</v>
      </c>
      <c r="G40" s="1085">
        <v>18.387424256130021</v>
      </c>
      <c r="H40" s="1085">
        <v>77.441768019100763</v>
      </c>
      <c r="I40" s="1082">
        <f t="shared" si="3"/>
        <v>32.118921980864812</v>
      </c>
      <c r="J40" s="1090">
        <f t="shared" si="8"/>
        <v>0.19487793148219748</v>
      </c>
      <c r="K40" s="176">
        <f t="shared" si="9"/>
        <v>0.72429657554190363</v>
      </c>
      <c r="L40" s="1087">
        <f t="shared" si="1"/>
        <v>8.0825492975898888E-2</v>
      </c>
      <c r="M40" s="1085">
        <v>81.568223989047326</v>
      </c>
      <c r="N40" s="1088">
        <f t="shared" si="6"/>
        <v>0.16381855585662378</v>
      </c>
      <c r="O40" s="1085"/>
      <c r="P40" s="171">
        <f t="shared" si="4"/>
        <v>0</v>
      </c>
      <c r="Q40" s="171">
        <f t="shared" si="7"/>
        <v>0</v>
      </c>
      <c r="R40" s="441">
        <f>TableA2!G40/TableA1!M40</f>
        <v>0.70678982289630321</v>
      </c>
    </row>
    <row r="41" spans="1:18" x14ac:dyDescent="0.2">
      <c r="A41" s="1080" t="s">
        <v>60</v>
      </c>
      <c r="B41" s="168">
        <v>679.2893983775657</v>
      </c>
      <c r="C41" s="1082">
        <v>20.130951463089978</v>
      </c>
      <c r="D41" s="1083">
        <f t="shared" si="2"/>
        <v>659.15844691447569</v>
      </c>
      <c r="E41" s="1089">
        <f t="shared" si="5"/>
        <v>483.52057116672086</v>
      </c>
      <c r="F41" s="1085">
        <v>418.96218472725457</v>
      </c>
      <c r="G41" s="1085">
        <v>64.558386439466275</v>
      </c>
      <c r="H41" s="1085">
        <v>70.134861453000426</v>
      </c>
      <c r="I41" s="1082">
        <f t="shared" si="3"/>
        <v>105.50301429475441</v>
      </c>
      <c r="J41" s="1090">
        <f t="shared" si="8"/>
        <v>0.10640061093247322</v>
      </c>
      <c r="K41" s="176">
        <f t="shared" si="9"/>
        <v>0.73354225138141416</v>
      </c>
      <c r="L41" s="1087">
        <f t="shared" ref="L41:L53" si="10">I41/D41</f>
        <v>0.16005713768611265</v>
      </c>
      <c r="M41" s="1085">
        <v>140.29731644743609</v>
      </c>
      <c r="N41" s="1088">
        <f t="shared" si="6"/>
        <v>0.20653541301031081</v>
      </c>
      <c r="O41" s="1085"/>
      <c r="P41" s="171">
        <f t="shared" si="4"/>
        <v>0</v>
      </c>
      <c r="Q41" s="171">
        <f t="shared" si="7"/>
        <v>0</v>
      </c>
      <c r="R41" s="441">
        <f>TableA2!G41/TableA1!M41</f>
        <v>0.69513860792272686</v>
      </c>
    </row>
    <row r="42" spans="1:18" x14ac:dyDescent="0.2">
      <c r="A42" s="1080" t="s">
        <v>61</v>
      </c>
      <c r="B42" s="168">
        <v>859.38316380570791</v>
      </c>
      <c r="C42" s="1082">
        <v>100.93627631379161</v>
      </c>
      <c r="D42" s="1083">
        <f t="shared" si="2"/>
        <v>758.4468874919163</v>
      </c>
      <c r="E42" s="1089">
        <f t="shared" si="5"/>
        <v>461.75718903871274</v>
      </c>
      <c r="F42" s="1085">
        <v>436.54209967687609</v>
      </c>
      <c r="G42" s="1085">
        <v>25.215089361836664</v>
      </c>
      <c r="H42" s="1085">
        <v>81.860188697905045</v>
      </c>
      <c r="I42" s="1082">
        <f t="shared" si="3"/>
        <v>214.82950975529852</v>
      </c>
      <c r="J42" s="1090">
        <f t="shared" si="8"/>
        <v>0.10793133975222165</v>
      </c>
      <c r="K42" s="176">
        <f t="shared" si="9"/>
        <v>0.60881941326924394</v>
      </c>
      <c r="L42" s="1087">
        <f t="shared" si="10"/>
        <v>0.28324924697853443</v>
      </c>
      <c r="M42" s="1085">
        <v>126.14899101436797</v>
      </c>
      <c r="N42" s="1088">
        <f t="shared" si="6"/>
        <v>0.1467901587177104</v>
      </c>
      <c r="O42" s="1085"/>
      <c r="P42" s="171">
        <f t="shared" ref="P42:P73" si="11">E42-F42-G42</f>
        <v>0</v>
      </c>
      <c r="Q42" s="171">
        <f t="shared" si="7"/>
        <v>0</v>
      </c>
      <c r="R42" s="441">
        <f>TableA2!G42/TableA1!M42</f>
        <v>0.49748317045874885</v>
      </c>
    </row>
    <row r="43" spans="1:18" x14ac:dyDescent="0.2">
      <c r="A43" s="1080" t="s">
        <v>62</v>
      </c>
      <c r="B43" s="168">
        <v>2861.0928202033469</v>
      </c>
      <c r="C43" s="1082">
        <v>349.55274274496026</v>
      </c>
      <c r="D43" s="1083">
        <f t="shared" si="2"/>
        <v>2511.5400774583868</v>
      </c>
      <c r="E43" s="1089">
        <f t="shared" si="5"/>
        <v>1619.5418191262634</v>
      </c>
      <c r="F43" s="1085">
        <v>1440.0278055748649</v>
      </c>
      <c r="G43" s="1085">
        <v>179.51401355139831</v>
      </c>
      <c r="H43" s="1085">
        <v>311.14896607567084</v>
      </c>
      <c r="I43" s="1082">
        <f t="shared" si="3"/>
        <v>580.8492922564526</v>
      </c>
      <c r="J43" s="1090">
        <f t="shared" si="8"/>
        <v>0.12388771689064404</v>
      </c>
      <c r="K43" s="176">
        <f t="shared" si="9"/>
        <v>0.64484012565118909</v>
      </c>
      <c r="L43" s="1087">
        <f t="shared" si="10"/>
        <v>0.23127215745816684</v>
      </c>
      <c r="M43" s="1085">
        <v>374.44331558563579</v>
      </c>
      <c r="N43" s="1088">
        <f t="shared" si="6"/>
        <v>0.13087422852608568</v>
      </c>
      <c r="O43" s="1085"/>
      <c r="P43" s="171">
        <f t="shared" si="11"/>
        <v>0</v>
      </c>
      <c r="Q43" s="171">
        <f t="shared" si="7"/>
        <v>0</v>
      </c>
      <c r="R43" s="441">
        <f>TableA2!G43/TableA1!M43</f>
        <v>0.54700314170304787</v>
      </c>
    </row>
    <row r="44" spans="1:18" x14ac:dyDescent="0.2">
      <c r="A44" s="1080" t="s">
        <v>63</v>
      </c>
      <c r="B44" s="168">
        <v>18120.7137</v>
      </c>
      <c r="C44" s="1082">
        <v>1198.5211999999999</v>
      </c>
      <c r="D44" s="1083">
        <f t="shared" si="2"/>
        <v>16922.192500000001</v>
      </c>
      <c r="E44" s="1089">
        <f t="shared" si="5"/>
        <v>9749.7634999999991</v>
      </c>
      <c r="F44" s="1085">
        <v>8421.3765999999996</v>
      </c>
      <c r="G44" s="1085">
        <v>1328.3869000000002</v>
      </c>
      <c r="H44" s="1085">
        <f>+G$100*$D44</f>
        <v>2341.4605492787546</v>
      </c>
      <c r="I44" s="1082">
        <f t="shared" si="3"/>
        <v>4830.9684507212478</v>
      </c>
      <c r="J44" s="1090">
        <f t="shared" si="8"/>
        <v>0.13836626366700144</v>
      </c>
      <c r="K44" s="189">
        <f t="shared" si="9"/>
        <v>0.57615249915163169</v>
      </c>
      <c r="L44" s="1087">
        <f t="shared" si="10"/>
        <v>0.28548123718136686</v>
      </c>
      <c r="M44" s="1085">
        <v>2841.5457999999999</v>
      </c>
      <c r="N44" s="1088">
        <f t="shared" si="6"/>
        <v>0.1568120244623698</v>
      </c>
      <c r="O44" s="1085"/>
      <c r="P44" s="171">
        <f t="shared" si="11"/>
        <v>0</v>
      </c>
      <c r="Q44" s="171">
        <f t="shared" si="7"/>
        <v>0</v>
      </c>
      <c r="R44" s="441">
        <f>TableA2!G44/TableA1!M44</f>
        <v>0.54579190664461574</v>
      </c>
    </row>
    <row r="45" spans="1:18" ht="40" customHeight="1" x14ac:dyDescent="0.2">
      <c r="A45" s="187" t="s">
        <v>64</v>
      </c>
      <c r="B45" s="168">
        <f>SUM(B46:B52)</f>
        <v>17713.814901017813</v>
      </c>
      <c r="C45" s="781">
        <f t="shared" ref="C45:I45" si="12">SUM(C46:C52)</f>
        <v>2096.2982094108293</v>
      </c>
      <c r="D45" s="1091">
        <f t="shared" si="12"/>
        <v>15617.516691606983</v>
      </c>
      <c r="E45" s="1092">
        <f t="shared" si="12"/>
        <v>9449.600738407149</v>
      </c>
      <c r="F45" s="175">
        <f t="shared" si="12"/>
        <v>8417.5286702232133</v>
      </c>
      <c r="G45" s="175">
        <f t="shared" si="12"/>
        <v>1032.0720681839359</v>
      </c>
      <c r="H45" s="175">
        <f t="shared" si="12"/>
        <v>1308.7596495123901</v>
      </c>
      <c r="I45" s="781">
        <f t="shared" si="12"/>
        <v>4859.1563036874422</v>
      </c>
      <c r="J45" s="176">
        <f t="shared" si="8"/>
        <v>8.3800752408718815E-2</v>
      </c>
      <c r="K45" s="176">
        <f t="shared" si="9"/>
        <v>0.60506423172164514</v>
      </c>
      <c r="L45" s="1093">
        <f t="shared" si="10"/>
        <v>0.31113501586963588</v>
      </c>
      <c r="M45" s="168">
        <f>SUM(M46:M52)</f>
        <v>2552.8579683611897</v>
      </c>
      <c r="N45" s="186">
        <f t="shared" si="6"/>
        <v>0.14411678018688712</v>
      </c>
      <c r="O45" s="175"/>
      <c r="P45" s="171">
        <f t="shared" si="11"/>
        <v>0</v>
      </c>
      <c r="Q45" s="171">
        <f t="shared" si="7"/>
        <v>0</v>
      </c>
      <c r="R45" s="441">
        <f>TableA2!G45/TableA1!M45</f>
        <v>0.58457282815343814</v>
      </c>
    </row>
    <row r="46" spans="1:18" x14ac:dyDescent="0.2">
      <c r="A46" s="1094" t="s">
        <v>65</v>
      </c>
      <c r="B46" s="168">
        <v>2456.0437271988544</v>
      </c>
      <c r="C46" s="1082">
        <f>+C101*B46</f>
        <v>290.65450307182704</v>
      </c>
      <c r="D46" s="1095">
        <f t="shared" ref="D46:D52" si="13">B46-C46</f>
        <v>2165.3892241270273</v>
      </c>
      <c r="E46" s="1089">
        <f>TableA2!B46</f>
        <v>1105.0676793002151</v>
      </c>
      <c r="F46" s="1085">
        <f>+E46*E100</f>
        <v>987.70778556038204</v>
      </c>
      <c r="G46" s="1085">
        <f>+E46-F46</f>
        <v>117.35989373983307</v>
      </c>
      <c r="H46" s="1085">
        <f>+G$101*$D46</f>
        <v>155.61044333553789</v>
      </c>
      <c r="I46" s="1082">
        <f t="shared" ref="I46:I52" si="14">D46-E46-H46</f>
        <v>904.71110149127435</v>
      </c>
      <c r="J46" s="1090">
        <f t="shared" ref="J46:J53" si="15">H46/D46</f>
        <v>7.1862573989797132E-2</v>
      </c>
      <c r="K46" s="176">
        <f t="shared" ref="K46:K53" si="16">E46/D46</f>
        <v>0.51033212273683548</v>
      </c>
      <c r="L46" s="1087">
        <f t="shared" si="10"/>
        <v>0.4178053032733674</v>
      </c>
      <c r="M46" s="1085">
        <f>TableA2!G46/K46</f>
        <v>378.09416927395921</v>
      </c>
      <c r="N46" s="1088">
        <f t="shared" si="6"/>
        <v>0.15394439646446356</v>
      </c>
      <c r="O46" s="1085"/>
      <c r="P46" s="171">
        <f t="shared" si="11"/>
        <v>0</v>
      </c>
      <c r="Q46" s="171">
        <f t="shared" si="7"/>
        <v>0</v>
      </c>
      <c r="R46" s="441">
        <f>TableA2!G46/TableA1!M46</f>
        <v>0.51033212273683548</v>
      </c>
    </row>
    <row r="47" spans="1:18" x14ac:dyDescent="0.2">
      <c r="A47" s="1080" t="s">
        <v>66</v>
      </c>
      <c r="B47" s="168">
        <v>11063.07</v>
      </c>
      <c r="C47" s="1082">
        <v>1383.5163753552181</v>
      </c>
      <c r="D47" s="1095">
        <f t="shared" si="13"/>
        <v>9679.5536246447809</v>
      </c>
      <c r="E47" s="1089">
        <v>6211.8447853385696</v>
      </c>
      <c r="F47" s="1085">
        <v>5523.3790716286385</v>
      </c>
      <c r="G47" s="1085">
        <f>+E47-F47</f>
        <v>688.46571370993115</v>
      </c>
      <c r="H47" s="1085">
        <v>795.34694435553956</v>
      </c>
      <c r="I47" s="1082">
        <f t="shared" si="14"/>
        <v>2672.3618949506717</v>
      </c>
      <c r="J47" s="1086">
        <f t="shared" si="15"/>
        <v>8.2167729545971402E-2</v>
      </c>
      <c r="K47" s="176">
        <f t="shared" si="16"/>
        <v>0.64174909569412408</v>
      </c>
      <c r="L47" s="1087">
        <f t="shared" si="10"/>
        <v>0.27608317475990446</v>
      </c>
      <c r="M47" s="1085">
        <f>TableA2!G47/K47</f>
        <v>1479.3116185671761</v>
      </c>
      <c r="N47" s="1088">
        <f t="shared" si="6"/>
        <v>0.13371619438068963</v>
      </c>
      <c r="O47" s="1085"/>
      <c r="P47" s="171">
        <f t="shared" si="11"/>
        <v>0</v>
      </c>
      <c r="Q47" s="171">
        <f t="shared" si="7"/>
        <v>0</v>
      </c>
      <c r="R47" s="441">
        <f>TableA2!G47/TableA1!M47</f>
        <v>0.64174909569412408</v>
      </c>
    </row>
    <row r="48" spans="1:18" x14ac:dyDescent="0.2">
      <c r="A48" s="1080" t="s">
        <v>67</v>
      </c>
      <c r="B48" s="168">
        <v>291.51959153295098</v>
      </c>
      <c r="C48" s="1082">
        <v>31.164008619046871</v>
      </c>
      <c r="D48" s="1095">
        <f t="shared" si="13"/>
        <v>260.35558291390413</v>
      </c>
      <c r="E48" s="1089">
        <f>+TableA2!D48+TableA2!C48+TableA2!G48</f>
        <v>135.02409969740114</v>
      </c>
      <c r="F48" s="1085">
        <f>+E48*E102</f>
        <v>97.612859020116034</v>
      </c>
      <c r="G48" s="1085">
        <f>+E48-F48</f>
        <v>37.411240677285107</v>
      </c>
      <c r="H48" s="1085">
        <f>+G$101*$D48</f>
        <v>18.709822340807197</v>
      </c>
      <c r="I48" s="1082">
        <f t="shared" si="14"/>
        <v>106.6216608756958</v>
      </c>
      <c r="J48" s="1090">
        <f t="shared" si="15"/>
        <v>7.1862573989797132E-2</v>
      </c>
      <c r="K48" s="176">
        <f t="shared" si="16"/>
        <v>0.51861418981766827</v>
      </c>
      <c r="L48" s="1087">
        <f t="shared" si="10"/>
        <v>0.40952323619253461</v>
      </c>
      <c r="M48" s="1085">
        <f>TableA2!G48/K48</f>
        <v>33.292185865701477</v>
      </c>
      <c r="N48" s="1088">
        <f t="shared" si="6"/>
        <v>0.1142022245936716</v>
      </c>
      <c r="O48" s="1085"/>
      <c r="P48" s="171">
        <f t="shared" si="11"/>
        <v>0</v>
      </c>
      <c r="Q48" s="171">
        <f t="shared" si="7"/>
        <v>0</v>
      </c>
      <c r="R48" s="441">
        <f>TableA2!G48/TableA1!M48</f>
        <v>0.51861418981766827</v>
      </c>
    </row>
    <row r="49" spans="1:23" x14ac:dyDescent="0.2">
      <c r="A49" s="1080" t="s">
        <v>68</v>
      </c>
      <c r="B49" s="168">
        <v>54.743277431512311</v>
      </c>
      <c r="C49" s="1082">
        <v>6.1139990822831773</v>
      </c>
      <c r="D49" s="1095">
        <f t="shared" si="13"/>
        <v>48.629278349229132</v>
      </c>
      <c r="E49" s="1089">
        <v>29.987501894855708</v>
      </c>
      <c r="F49" s="1085">
        <v>27.462161051015293</v>
      </c>
      <c r="G49" s="1085">
        <v>2.5253408438404121</v>
      </c>
      <c r="H49" s="1085">
        <v>8.0721776098757676</v>
      </c>
      <c r="I49" s="1082">
        <f t="shared" si="14"/>
        <v>10.569598844497657</v>
      </c>
      <c r="J49" s="1090">
        <f t="shared" si="15"/>
        <v>0.16599418876640037</v>
      </c>
      <c r="K49" s="176">
        <f t="shared" si="16"/>
        <v>0.61665529312406642</v>
      </c>
      <c r="L49" s="1087">
        <f t="shared" si="10"/>
        <v>0.21735051810953318</v>
      </c>
      <c r="M49" s="1085">
        <v>2.9123871029003596</v>
      </c>
      <c r="N49" s="1088">
        <f t="shared" si="6"/>
        <v>5.3200817334036324E-2</v>
      </c>
      <c r="O49" s="1085"/>
      <c r="P49" s="171">
        <f t="shared" si="11"/>
        <v>0</v>
      </c>
      <c r="Q49" s="171">
        <f t="shared" si="7"/>
        <v>0</v>
      </c>
      <c r="R49" s="441">
        <f>TableA2!G49/TableA1!M49</f>
        <v>0.89316181056889166</v>
      </c>
      <c r="S49" s="958"/>
      <c r="T49" s="958"/>
      <c r="U49" s="958"/>
      <c r="V49" s="958"/>
      <c r="W49" s="958"/>
    </row>
    <row r="50" spans="1:23" x14ac:dyDescent="0.2">
      <c r="A50" s="1080" t="s">
        <v>69</v>
      </c>
      <c r="B50" s="168">
        <v>2132.7545428709068</v>
      </c>
      <c r="C50" s="1082">
        <v>190.70240490295976</v>
      </c>
      <c r="D50" s="1095">
        <f t="shared" si="13"/>
        <v>1942.0521379679471</v>
      </c>
      <c r="E50" s="1089">
        <v>919.01579786888453</v>
      </c>
      <c r="F50" s="1085">
        <v>806.65022403685839</v>
      </c>
      <c r="G50" s="1085">
        <f>+E50-F50</f>
        <v>112.36557383202614</v>
      </c>
      <c r="H50" s="1085">
        <v>187.32261644323668</v>
      </c>
      <c r="I50" s="1082">
        <f t="shared" si="14"/>
        <v>835.7137236558259</v>
      </c>
      <c r="J50" s="1090">
        <f t="shared" si="15"/>
        <v>9.6456018240190206E-2</v>
      </c>
      <c r="K50" s="176">
        <f t="shared" si="16"/>
        <v>0.47321891101774971</v>
      </c>
      <c r="L50" s="1087">
        <f t="shared" si="10"/>
        <v>0.43032507074206011</v>
      </c>
      <c r="M50" s="1085">
        <f>TableA2!G50/K50</f>
        <v>440.0519879308286</v>
      </c>
      <c r="N50" s="1088">
        <f t="shared" si="6"/>
        <v>0.20633034842278353</v>
      </c>
      <c r="O50" s="1085"/>
      <c r="P50" s="171">
        <f t="shared" si="11"/>
        <v>0</v>
      </c>
      <c r="Q50" s="171">
        <f t="shared" si="7"/>
        <v>0</v>
      </c>
      <c r="R50" s="441">
        <f>TableA2!G50/TableA1!M50</f>
        <v>0.47321891101774971</v>
      </c>
      <c r="S50" s="958"/>
      <c r="T50" s="958"/>
      <c r="U50" s="958"/>
      <c r="V50" s="958"/>
      <c r="W50" s="958"/>
    </row>
    <row r="51" spans="1:23" x14ac:dyDescent="0.2">
      <c r="A51" s="1080" t="s">
        <v>70</v>
      </c>
      <c r="B51" s="168">
        <v>1365.8652475111858</v>
      </c>
      <c r="C51" s="1082">
        <v>152.16687220462228</v>
      </c>
      <c r="D51" s="1095">
        <f t="shared" si="13"/>
        <v>1213.6983753065635</v>
      </c>
      <c r="E51" s="1089">
        <f>+TableA2!D51+TableA2!C51+TableA2!G51</f>
        <v>856.3415010588692</v>
      </c>
      <c r="F51" s="1085">
        <v>810.92385311543865</v>
      </c>
      <c r="G51" s="1085">
        <f>+E51-F51</f>
        <v>45.417647943430552</v>
      </c>
      <c r="H51" s="1085">
        <f>+G$101*$D51</f>
        <v>87.219489296764493</v>
      </c>
      <c r="I51" s="1082">
        <f t="shared" si="14"/>
        <v>270.13738495092986</v>
      </c>
      <c r="J51" s="1090">
        <f t="shared" si="15"/>
        <v>7.1862573989797132E-2</v>
      </c>
      <c r="K51" s="176">
        <f t="shared" si="16"/>
        <v>0.70556368738861419</v>
      </c>
      <c r="L51" s="1087">
        <f t="shared" si="10"/>
        <v>0.22257373862158863</v>
      </c>
      <c r="M51" s="1085">
        <v>161.82892513905608</v>
      </c>
      <c r="N51" s="1088">
        <f t="shared" si="6"/>
        <v>0.11848088633482183</v>
      </c>
      <c r="O51" s="1085"/>
      <c r="P51" s="171">
        <f t="shared" si="11"/>
        <v>0</v>
      </c>
      <c r="Q51" s="171">
        <f t="shared" si="7"/>
        <v>0</v>
      </c>
      <c r="R51" s="441">
        <f>TableA2!G51/TableA1!M51</f>
        <v>0.53194208667215126</v>
      </c>
      <c r="S51" s="958"/>
      <c r="T51" s="958"/>
      <c r="U51" s="958"/>
      <c r="V51" s="958"/>
      <c r="W51" s="958"/>
    </row>
    <row r="52" spans="1:23" x14ac:dyDescent="0.2">
      <c r="A52" s="1080" t="s">
        <v>71</v>
      </c>
      <c r="B52" s="168">
        <v>349.818514472402</v>
      </c>
      <c r="C52" s="1082">
        <v>41.980046174871852</v>
      </c>
      <c r="D52" s="1095">
        <f t="shared" si="13"/>
        <v>307.83846829753014</v>
      </c>
      <c r="E52" s="1089">
        <v>192.31937324835505</v>
      </c>
      <c r="F52" s="1085">
        <v>163.79271581076557</v>
      </c>
      <c r="G52" s="1085">
        <f>+E52-F52</f>
        <v>28.526657437589478</v>
      </c>
      <c r="H52" s="1085">
        <v>56.478156130628307</v>
      </c>
      <c r="I52" s="1082">
        <f t="shared" si="14"/>
        <v>59.040938918546786</v>
      </c>
      <c r="J52" s="1090">
        <f t="shared" si="15"/>
        <v>0.18346685663742773</v>
      </c>
      <c r="K52" s="176">
        <f t="shared" si="16"/>
        <v>0.62474119726478017</v>
      </c>
      <c r="L52" s="1087">
        <f t="shared" si="10"/>
        <v>0.1917919460977921</v>
      </c>
      <c r="M52" s="1085">
        <f>TableA2!G52/K52</f>
        <v>57.36669448156789</v>
      </c>
      <c r="N52" s="1088">
        <f t="shared" si="6"/>
        <v>0.16398987505875331</v>
      </c>
      <c r="O52" s="1085"/>
      <c r="P52" s="171">
        <f t="shared" si="11"/>
        <v>0</v>
      </c>
      <c r="Q52" s="171">
        <f t="shared" si="7"/>
        <v>0</v>
      </c>
      <c r="R52" s="441">
        <f>TableA2!G52/TableA1!M52</f>
        <v>0.62474119726478017</v>
      </c>
      <c r="S52" s="958"/>
      <c r="T52" s="958"/>
      <c r="U52" s="958"/>
      <c r="V52" s="958"/>
      <c r="W52" s="958"/>
    </row>
    <row r="53" spans="1:23" ht="40" customHeight="1" x14ac:dyDescent="0.2">
      <c r="A53" s="187" t="s">
        <v>72</v>
      </c>
      <c r="B53" s="168">
        <f>SUM(B54:B89)</f>
        <v>1018.652050927711</v>
      </c>
      <c r="C53" s="175">
        <f t="shared" ref="C53:I53" si="17">SUM(C54:C89)</f>
        <v>80.912276689999999</v>
      </c>
      <c r="D53" s="168">
        <f t="shared" si="17"/>
        <v>937.73977423771089</v>
      </c>
      <c r="E53" s="1092">
        <f t="shared" si="17"/>
        <v>687.54671431433303</v>
      </c>
      <c r="F53" s="175">
        <f t="shared" si="17"/>
        <v>555.54858798470366</v>
      </c>
      <c r="G53" s="175">
        <f t="shared" si="17"/>
        <v>131.99812632962932</v>
      </c>
      <c r="H53" s="175">
        <f t="shared" si="17"/>
        <v>129.52069133600003</v>
      </c>
      <c r="I53" s="781">
        <f t="shared" si="17"/>
        <v>120.6723685873779</v>
      </c>
      <c r="J53" s="176">
        <f t="shared" si="15"/>
        <v>0.13812007861273395</v>
      </c>
      <c r="K53" s="176">
        <f t="shared" si="16"/>
        <v>0.73319564041446372</v>
      </c>
      <c r="L53" s="1093">
        <f t="shared" si="10"/>
        <v>0.12868428097280243</v>
      </c>
      <c r="M53" s="168">
        <f>SUM(M54:M89)</f>
        <v>149.58288092316121</v>
      </c>
      <c r="N53" s="186">
        <f t="shared" si="6"/>
        <v>0.14684394027080441</v>
      </c>
      <c r="O53" s="175"/>
      <c r="P53" s="171">
        <f t="shared" si="11"/>
        <v>0</v>
      </c>
      <c r="Q53" s="171">
        <f>1-J53-K53-L53</f>
        <v>0</v>
      </c>
      <c r="R53" s="441">
        <f>TableA2!G53/TableA1!M53</f>
        <v>0.72001898069467207</v>
      </c>
      <c r="S53" s="958"/>
      <c r="T53" s="958"/>
      <c r="U53" s="958"/>
      <c r="V53" s="958"/>
      <c r="W53" s="958"/>
    </row>
    <row r="54" spans="1:23" x14ac:dyDescent="0.2">
      <c r="A54" s="1080" t="s">
        <v>73</v>
      </c>
      <c r="B54" s="125">
        <v>2.81149</v>
      </c>
      <c r="C54" s="1040">
        <v>0.30302600000000002</v>
      </c>
      <c r="D54" s="1096">
        <f t="shared" ref="D54:D89" si="18">+B54-C54</f>
        <v>2.508464</v>
      </c>
      <c r="E54" s="1097">
        <v>1.8902000000000001</v>
      </c>
      <c r="F54" s="1040">
        <v>1.4903599999999999</v>
      </c>
      <c r="G54" s="1098">
        <f t="shared" ref="G54:G89" si="19">+E54-F54</f>
        <v>0.3998400000000002</v>
      </c>
      <c r="H54" s="1040">
        <v>0.35965999999999998</v>
      </c>
      <c r="I54" s="1099">
        <f t="shared" ref="I54:I89" si="20">D54-E54-H54</f>
        <v>0.25860399999999995</v>
      </c>
      <c r="J54" s="1090">
        <f t="shared" ref="J54:J89" si="21">H54/D54</f>
        <v>0.14337857748805644</v>
      </c>
      <c r="K54" s="176">
        <f t="shared" ref="K54:K89" si="22">E54/D54</f>
        <v>0.75352885271624392</v>
      </c>
      <c r="L54" s="1087">
        <f t="shared" ref="L54:L89" si="23">I54/D54</f>
        <v>0.10309256979569965</v>
      </c>
      <c r="M54" s="1085">
        <f>TableA2!G54/K54</f>
        <v>0.3392066529086869</v>
      </c>
      <c r="N54" s="1088">
        <f t="shared" ref="N54" si="24">M54/B54</f>
        <v>0.12065013672774468</v>
      </c>
      <c r="O54" s="1085"/>
      <c r="P54" s="171">
        <f t="shared" si="11"/>
        <v>0</v>
      </c>
      <c r="Q54" s="171">
        <f t="shared" si="7"/>
        <v>0</v>
      </c>
      <c r="R54" s="441">
        <f>TableA2!G54/TableA1!M54</f>
        <v>0.75352885271624392</v>
      </c>
      <c r="S54" s="958"/>
      <c r="T54" s="958"/>
      <c r="U54" s="958"/>
      <c r="V54" s="958"/>
      <c r="W54" s="958"/>
    </row>
    <row r="55" spans="1:23" x14ac:dyDescent="0.2">
      <c r="A55" s="1080" t="s">
        <v>74</v>
      </c>
      <c r="B55" s="125">
        <v>0.28305000000000002</v>
      </c>
      <c r="C55" s="1040">
        <v>4.5657999999999997E-2</v>
      </c>
      <c r="D55" s="1096">
        <f t="shared" si="18"/>
        <v>0.23739200000000002</v>
      </c>
      <c r="E55" s="1097">
        <v>0.17888200000000001</v>
      </c>
      <c r="F55" s="1040">
        <v>0.141043</v>
      </c>
      <c r="G55" s="1098">
        <f t="shared" si="19"/>
        <v>3.7839000000000012E-2</v>
      </c>
      <c r="H55" s="1040">
        <v>3.4036928000000001E-2</v>
      </c>
      <c r="I55" s="1099">
        <f t="shared" si="20"/>
        <v>2.4473072000000005E-2</v>
      </c>
      <c r="J55" s="1090">
        <f t="shared" si="21"/>
        <v>0.14337858057558805</v>
      </c>
      <c r="K55" s="176">
        <f t="shared" si="22"/>
        <v>0.75353002628563726</v>
      </c>
      <c r="L55" s="1087">
        <f t="shared" si="23"/>
        <v>0.1030913931387747</v>
      </c>
      <c r="M55" s="1085">
        <f>TableA2!G55/K55</f>
        <v>3.2101276865151331E-2</v>
      </c>
      <c r="N55" s="1088">
        <f t="shared" ref="N55:N89" si="25">M55/B55</f>
        <v>0.11341203626621207</v>
      </c>
      <c r="O55" s="1085"/>
      <c r="P55" s="171">
        <f t="shared" si="11"/>
        <v>0</v>
      </c>
      <c r="Q55" s="171">
        <f t="shared" si="7"/>
        <v>0</v>
      </c>
      <c r="R55" s="441">
        <f>TableA2!G55/TableA1!M55</f>
        <v>0.75353002628563714</v>
      </c>
      <c r="S55" s="958"/>
      <c r="T55" s="958"/>
      <c r="U55" s="958"/>
      <c r="V55" s="958"/>
      <c r="W55" s="958"/>
    </row>
    <row r="56" spans="1:23" x14ac:dyDescent="0.2">
      <c r="A56" s="1080" t="s">
        <v>75</v>
      </c>
      <c r="B56" s="125">
        <v>1.36486</v>
      </c>
      <c r="C56" s="1040">
        <v>0.14710699999999999</v>
      </c>
      <c r="D56" s="1096">
        <f t="shared" si="18"/>
        <v>1.2177530000000001</v>
      </c>
      <c r="E56" s="1097">
        <v>0.91761499999999996</v>
      </c>
      <c r="F56" s="1040">
        <v>0.72351100000000002</v>
      </c>
      <c r="G56" s="1098">
        <f t="shared" si="19"/>
        <v>0.19410399999999994</v>
      </c>
      <c r="H56" s="1040">
        <v>0.17460000000000001</v>
      </c>
      <c r="I56" s="1099">
        <f t="shared" si="20"/>
        <v>0.12553800000000012</v>
      </c>
      <c r="J56" s="1090">
        <f t="shared" si="21"/>
        <v>0.14337882969699109</v>
      </c>
      <c r="K56" s="176">
        <f t="shared" si="22"/>
        <v>0.75353129904011729</v>
      </c>
      <c r="L56" s="1087">
        <f t="shared" si="23"/>
        <v>0.10308987126289167</v>
      </c>
      <c r="M56" s="1085">
        <f>TableA2!G56/K56</f>
        <v>0.16467000130991757</v>
      </c>
      <c r="N56" s="1088">
        <f t="shared" si="25"/>
        <v>0.12064973792910451</v>
      </c>
      <c r="O56" s="1085"/>
      <c r="P56" s="171">
        <f t="shared" si="11"/>
        <v>0</v>
      </c>
      <c r="Q56" s="171">
        <f t="shared" si="7"/>
        <v>0</v>
      </c>
      <c r="R56" s="441">
        <f>TableA2!G56/TableA1!M56</f>
        <v>0.75353129904011729</v>
      </c>
      <c r="S56" s="958"/>
      <c r="T56" s="958"/>
      <c r="U56" s="958"/>
      <c r="V56" s="958"/>
      <c r="W56" s="958"/>
    </row>
    <row r="57" spans="1:23" x14ac:dyDescent="0.2">
      <c r="A57" s="1080" t="s">
        <v>76</v>
      </c>
      <c r="B57" s="125">
        <v>2.5</v>
      </c>
      <c r="C57" s="1040">
        <v>0.269453</v>
      </c>
      <c r="D57" s="1096">
        <f t="shared" si="18"/>
        <v>2.2305470000000001</v>
      </c>
      <c r="E57" s="1097">
        <v>1.6807799999999999</v>
      </c>
      <c r="F57" s="1040">
        <v>1.32524</v>
      </c>
      <c r="G57" s="1098">
        <f t="shared" si="19"/>
        <v>0.35553999999999997</v>
      </c>
      <c r="H57" s="1040">
        <v>0.31981300000000001</v>
      </c>
      <c r="I57" s="1099">
        <f t="shared" si="20"/>
        <v>0.2299540000000001</v>
      </c>
      <c r="J57" s="1090">
        <f t="shared" si="21"/>
        <v>0.14337873176400229</v>
      </c>
      <c r="K57" s="176">
        <f t="shared" si="22"/>
        <v>0.7535281704442901</v>
      </c>
      <c r="L57" s="1087">
        <f t="shared" si="23"/>
        <v>0.10309309779170764</v>
      </c>
      <c r="M57" s="1085">
        <f>TableA2!G57/K57</f>
        <v>0.30162641413391406</v>
      </c>
      <c r="N57" s="1088">
        <f t="shared" si="25"/>
        <v>0.12065056565356562</v>
      </c>
      <c r="O57" s="1085"/>
      <c r="P57" s="171">
        <f t="shared" si="11"/>
        <v>0</v>
      </c>
      <c r="Q57" s="171">
        <f t="shared" si="7"/>
        <v>0</v>
      </c>
      <c r="R57" s="441">
        <f>TableA2!G57/TableA1!M57</f>
        <v>0.7535281704442901</v>
      </c>
      <c r="S57" s="958"/>
      <c r="T57" s="958"/>
      <c r="U57" s="958"/>
      <c r="V57" s="958"/>
      <c r="W57" s="958"/>
    </row>
    <row r="58" spans="1:23" x14ac:dyDescent="0.2">
      <c r="A58" s="1080" t="s">
        <v>77</v>
      </c>
      <c r="B58" s="125">
        <v>11.24</v>
      </c>
      <c r="C58" s="1040">
        <v>1.21146</v>
      </c>
      <c r="D58" s="1096">
        <f t="shared" si="18"/>
        <v>10.02854</v>
      </c>
      <c r="E58" s="1097">
        <v>7.5567900000000003</v>
      </c>
      <c r="F58" s="1040">
        <v>5.9583000000000004</v>
      </c>
      <c r="G58" s="1098">
        <f t="shared" si="19"/>
        <v>1.59849</v>
      </c>
      <c r="H58" s="1040">
        <v>1.43788</v>
      </c>
      <c r="I58" s="1099">
        <f t="shared" si="20"/>
        <v>1.0338699999999992</v>
      </c>
      <c r="J58" s="1090">
        <f t="shared" si="21"/>
        <v>0.14337879691360858</v>
      </c>
      <c r="K58" s="176">
        <f t="shared" si="22"/>
        <v>0.7535284298611763</v>
      </c>
      <c r="L58" s="1087">
        <f t="shared" si="23"/>
        <v>0.10309277322521516</v>
      </c>
      <c r="M58" s="1085">
        <f>TableA2!G58/K58</f>
        <v>1.356113398652073</v>
      </c>
      <c r="N58" s="1088">
        <f t="shared" si="25"/>
        <v>0.12065065824306699</v>
      </c>
      <c r="O58" s="1085"/>
      <c r="P58" s="171">
        <f t="shared" si="11"/>
        <v>0</v>
      </c>
      <c r="Q58" s="171">
        <f t="shared" si="7"/>
        <v>0</v>
      </c>
      <c r="R58" s="441">
        <f>TableA2!G58/TableA1!M58</f>
        <v>0.7535284298611763</v>
      </c>
      <c r="S58" s="958"/>
      <c r="T58" s="958"/>
      <c r="U58" s="958"/>
      <c r="V58" s="958"/>
      <c r="W58" s="958"/>
    </row>
    <row r="59" spans="1:23" x14ac:dyDescent="0.2">
      <c r="A59" s="1080" t="s">
        <v>78</v>
      </c>
      <c r="B59" s="125">
        <v>31.125900000000001</v>
      </c>
      <c r="C59" s="1040">
        <v>3.3547799999999999</v>
      </c>
      <c r="D59" s="1096">
        <f t="shared" si="18"/>
        <v>27.771120000000003</v>
      </c>
      <c r="E59" s="1097">
        <v>22.1172</v>
      </c>
      <c r="F59" s="1040">
        <v>17.797499999999999</v>
      </c>
      <c r="G59" s="1098">
        <f t="shared" si="19"/>
        <v>4.319700000000001</v>
      </c>
      <c r="H59" s="1040">
        <v>3.9817800000000001</v>
      </c>
      <c r="I59" s="1099">
        <f t="shared" si="20"/>
        <v>1.6721400000000028</v>
      </c>
      <c r="J59" s="1090">
        <f t="shared" si="21"/>
        <v>0.14337844494568458</v>
      </c>
      <c r="K59" s="176">
        <f t="shared" si="22"/>
        <v>0.7964100835688297</v>
      </c>
      <c r="L59" s="1087">
        <f t="shared" si="23"/>
        <v>6.0211471485485737E-2</v>
      </c>
      <c r="M59" s="1085">
        <f>TableA2!G59/K59</f>
        <v>1.3114600399327221</v>
      </c>
      <c r="N59" s="1088">
        <f t="shared" si="25"/>
        <v>4.2134043993353514E-2</v>
      </c>
      <c r="O59" s="1085"/>
      <c r="P59" s="171">
        <f t="shared" si="11"/>
        <v>0</v>
      </c>
      <c r="Q59" s="171">
        <f t="shared" si="7"/>
        <v>0</v>
      </c>
      <c r="R59" s="441">
        <f>TableA2!G59/TableA1!M59</f>
        <v>0.7964100835688297</v>
      </c>
      <c r="S59" s="958"/>
      <c r="T59" s="958"/>
      <c r="U59" s="958"/>
      <c r="V59" s="958"/>
      <c r="W59" s="958"/>
    </row>
    <row r="60" spans="1:23" x14ac:dyDescent="0.2">
      <c r="A60" s="1080" t="s">
        <v>79</v>
      </c>
      <c r="B60" s="125">
        <v>4.5841500000000002</v>
      </c>
      <c r="C60" s="1040">
        <v>0.494085</v>
      </c>
      <c r="D60" s="1096">
        <f t="shared" si="18"/>
        <v>4.0900650000000001</v>
      </c>
      <c r="E60" s="1097">
        <v>3.0819800000000002</v>
      </c>
      <c r="F60" s="1040">
        <v>2.43005</v>
      </c>
      <c r="G60" s="1098">
        <f t="shared" si="19"/>
        <v>0.65193000000000012</v>
      </c>
      <c r="H60" s="1040">
        <v>0.58642799999999995</v>
      </c>
      <c r="I60" s="1099">
        <f t="shared" si="20"/>
        <v>0.42165699999999995</v>
      </c>
      <c r="J60" s="1090">
        <f t="shared" si="21"/>
        <v>0.14337865046154522</v>
      </c>
      <c r="K60" s="176">
        <f t="shared" si="22"/>
        <v>0.75352836690859437</v>
      </c>
      <c r="L60" s="1087">
        <f t="shared" si="23"/>
        <v>0.10309298262986039</v>
      </c>
      <c r="M60" s="1085">
        <f>TableA2!G60/K60</f>
        <v>0.55307937736941837</v>
      </c>
      <c r="N60" s="1088">
        <f t="shared" si="25"/>
        <v>0.12065036645166897</v>
      </c>
      <c r="O60" s="1085"/>
      <c r="P60" s="171">
        <f t="shared" si="11"/>
        <v>0</v>
      </c>
      <c r="Q60" s="171">
        <f t="shared" si="7"/>
        <v>0</v>
      </c>
      <c r="R60" s="441">
        <f>TableA2!G60/TableA1!M60</f>
        <v>0.75352836690859437</v>
      </c>
      <c r="S60" s="958"/>
      <c r="T60" s="958"/>
      <c r="U60" s="958"/>
      <c r="V60" s="958"/>
      <c r="W60" s="958"/>
    </row>
    <row r="61" spans="1:23" x14ac:dyDescent="0.2">
      <c r="A61" s="1080" t="s">
        <v>80</v>
      </c>
      <c r="B61" s="125">
        <v>1.74255</v>
      </c>
      <c r="C61" s="1040">
        <v>0.18781400000000001</v>
      </c>
      <c r="D61" s="1096">
        <f t="shared" si="18"/>
        <v>1.5547360000000001</v>
      </c>
      <c r="E61" s="1097">
        <v>1.17154</v>
      </c>
      <c r="F61" s="1040">
        <v>0.92371999999999999</v>
      </c>
      <c r="G61" s="1098">
        <f t="shared" si="19"/>
        <v>0.24782000000000004</v>
      </c>
      <c r="H61" s="1040">
        <v>0.222915</v>
      </c>
      <c r="I61" s="1099">
        <f t="shared" si="20"/>
        <v>0.16028100000000009</v>
      </c>
      <c r="J61" s="1086">
        <f t="shared" si="21"/>
        <v>0.14337803974436816</v>
      </c>
      <c r="K61" s="176">
        <f t="shared" si="22"/>
        <v>0.75352985973181297</v>
      </c>
      <c r="L61" s="1087">
        <f t="shared" si="23"/>
        <v>0.10309210052381888</v>
      </c>
      <c r="M61" s="1085">
        <f>TableA2!G61/K61</f>
        <v>0.21023851670109431</v>
      </c>
      <c r="N61" s="1088">
        <f t="shared" si="25"/>
        <v>0.1206499191995032</v>
      </c>
      <c r="O61" s="1085"/>
      <c r="P61" s="171">
        <f t="shared" si="11"/>
        <v>0</v>
      </c>
      <c r="Q61" s="171">
        <f t="shared" si="7"/>
        <v>0</v>
      </c>
      <c r="R61" s="441">
        <f>TableA2!G61/TableA1!M61</f>
        <v>0.75352985973181297</v>
      </c>
      <c r="S61" s="958"/>
      <c r="T61" s="958"/>
      <c r="U61" s="958"/>
      <c r="V61" s="958"/>
      <c r="W61" s="958"/>
    </row>
    <row r="62" spans="1:23" x14ac:dyDescent="0.2">
      <c r="A62" s="1080" t="s">
        <v>81</v>
      </c>
      <c r="B62" s="125">
        <v>5.9276499999999999</v>
      </c>
      <c r="C62" s="1040">
        <v>0.59425499999999998</v>
      </c>
      <c r="D62" s="1096">
        <f t="shared" si="18"/>
        <v>5.3333949999999994</v>
      </c>
      <c r="E62" s="1097">
        <v>4.8467700000000002</v>
      </c>
      <c r="F62" s="1040">
        <v>2.6453500000000001</v>
      </c>
      <c r="G62" s="1098">
        <f t="shared" si="19"/>
        <v>2.2014200000000002</v>
      </c>
      <c r="H62" s="1040">
        <f>J62*D62</f>
        <v>0.24331249999999954</v>
      </c>
      <c r="I62" s="1099">
        <f>L62*D62</f>
        <v>0.24331249999999954</v>
      </c>
      <c r="J62" s="1086">
        <f>(1-K62)/2</f>
        <v>4.5620566262202511E-2</v>
      </c>
      <c r="K62" s="176">
        <f t="shared" si="22"/>
        <v>0.90875886747559498</v>
      </c>
      <c r="L62" s="1087">
        <f>(1-K62)/2</f>
        <v>4.5620566262202511E-2</v>
      </c>
      <c r="M62" s="1085">
        <f>TableA2!G62/K62</f>
        <v>0.23525932747582406</v>
      </c>
      <c r="N62" s="1088">
        <f t="shared" si="25"/>
        <v>3.9688464648861534E-2</v>
      </c>
      <c r="O62" s="1085"/>
      <c r="P62" s="171">
        <f t="shared" si="11"/>
        <v>0</v>
      </c>
      <c r="Q62" s="171">
        <f t="shared" si="7"/>
        <v>5.5511151231257827E-17</v>
      </c>
      <c r="R62" s="441">
        <f>TableA2!G62/TableA1!M62</f>
        <v>0.90875886747559498</v>
      </c>
      <c r="S62" s="958"/>
      <c r="T62" s="958"/>
      <c r="U62" s="958"/>
      <c r="V62" s="958"/>
      <c r="W62" s="958"/>
    </row>
    <row r="63" spans="1:23" x14ac:dyDescent="0.2">
      <c r="A63" s="1080" t="s">
        <v>82</v>
      </c>
      <c r="B63" s="125">
        <v>0.40300000000000002</v>
      </c>
      <c r="C63" s="1040">
        <v>4.5951496000000001E-2</v>
      </c>
      <c r="D63" s="1096">
        <f t="shared" si="18"/>
        <v>0.35704850400000004</v>
      </c>
      <c r="E63" s="1097">
        <v>0.26904600000000001</v>
      </c>
      <c r="F63" s="1040">
        <v>0.21213499999999999</v>
      </c>
      <c r="G63" s="1098">
        <f t="shared" si="19"/>
        <v>5.6911000000000017E-2</v>
      </c>
      <c r="H63" s="1040">
        <v>5.1193111999999999E-2</v>
      </c>
      <c r="I63" s="1099">
        <f t="shared" si="20"/>
        <v>3.6809392000000038E-2</v>
      </c>
      <c r="J63" s="1090">
        <f t="shared" si="21"/>
        <v>0.1433785926183295</v>
      </c>
      <c r="K63" s="176">
        <f t="shared" si="22"/>
        <v>0.75352787362469942</v>
      </c>
      <c r="L63" s="1087">
        <f t="shared" si="23"/>
        <v>0.10309353375697111</v>
      </c>
      <c r="M63" s="1085">
        <f>TableA2!G63/K63</f>
        <v>4.8281940553827792E-2</v>
      </c>
      <c r="N63" s="1088">
        <f t="shared" si="25"/>
        <v>0.11980630410379103</v>
      </c>
      <c r="O63" s="1085"/>
      <c r="P63" s="171">
        <f t="shared" si="11"/>
        <v>0</v>
      </c>
      <c r="Q63" s="171">
        <f t="shared" si="7"/>
        <v>0</v>
      </c>
      <c r="R63" s="441">
        <f>TableA2!G63/TableA1!M63</f>
        <v>0.75352787362469942</v>
      </c>
      <c r="S63" s="23"/>
      <c r="T63" s="23"/>
      <c r="U63" s="23"/>
      <c r="V63" s="23"/>
      <c r="W63" s="23"/>
    </row>
    <row r="64" spans="1:23" x14ac:dyDescent="0.2">
      <c r="A64" s="1080" t="s">
        <v>83</v>
      </c>
      <c r="B64" s="125">
        <v>0.9</v>
      </c>
      <c r="C64" s="1040">
        <v>9.7003104000000007E-2</v>
      </c>
      <c r="D64" s="1096">
        <f t="shared" si="18"/>
        <v>0.80299689600000002</v>
      </c>
      <c r="E64" s="1097">
        <v>0.60508099999999998</v>
      </c>
      <c r="F64" s="1040">
        <v>0.47708800000000001</v>
      </c>
      <c r="G64" s="1098">
        <f t="shared" si="19"/>
        <v>0.12799299999999997</v>
      </c>
      <c r="H64" s="1040">
        <v>0.115133</v>
      </c>
      <c r="I64" s="1099">
        <f t="shared" si="20"/>
        <v>8.2782896000000036E-2</v>
      </c>
      <c r="J64" s="1090">
        <f t="shared" si="21"/>
        <v>0.14337913455645537</v>
      </c>
      <c r="K64" s="176">
        <f t="shared" si="22"/>
        <v>0.75352844203273228</v>
      </c>
      <c r="L64" s="1087">
        <f t="shared" si="23"/>
        <v>0.10309242341081233</v>
      </c>
      <c r="M64" s="1085">
        <f>TableA2!G64/K64</f>
        <v>0.10858530008406207</v>
      </c>
      <c r="N64" s="1088">
        <f t="shared" si="25"/>
        <v>0.12065033342673563</v>
      </c>
      <c r="O64" s="1085"/>
      <c r="P64" s="171">
        <f t="shared" si="11"/>
        <v>0</v>
      </c>
      <c r="Q64" s="171">
        <f t="shared" si="7"/>
        <v>0</v>
      </c>
      <c r="R64" s="441">
        <f>TableA2!G64/TableA1!M64</f>
        <v>0.75352844203273228</v>
      </c>
      <c r="S64" s="23"/>
      <c r="T64" s="23"/>
      <c r="U64" s="23"/>
      <c r="V64" s="23"/>
      <c r="W64" s="23"/>
    </row>
    <row r="65" spans="1:23" x14ac:dyDescent="0.2">
      <c r="A65" s="1080" t="s">
        <v>84</v>
      </c>
      <c r="B65" s="125">
        <v>3.6764899999999998</v>
      </c>
      <c r="C65" s="1040">
        <v>0.59901599999999999</v>
      </c>
      <c r="D65" s="1096">
        <f t="shared" si="18"/>
        <v>3.0774739999999996</v>
      </c>
      <c r="E65" s="1097">
        <v>2.3189600000000001</v>
      </c>
      <c r="F65" s="1040">
        <v>1.82843</v>
      </c>
      <c r="G65" s="1098">
        <f t="shared" si="19"/>
        <v>0.49053000000000013</v>
      </c>
      <c r="H65" s="1040">
        <v>0.44124400000000003</v>
      </c>
      <c r="I65" s="1099">
        <f t="shared" si="20"/>
        <v>0.31726999999999944</v>
      </c>
      <c r="J65" s="1090">
        <f t="shared" si="21"/>
        <v>0.14337862805664647</v>
      </c>
      <c r="K65" s="176">
        <f t="shared" si="22"/>
        <v>0.7535270809761514</v>
      </c>
      <c r="L65" s="1087">
        <f t="shared" si="23"/>
        <v>0.10309429096720216</v>
      </c>
      <c r="M65" s="1085">
        <f>TableA2!G65/K65</f>
        <v>0.41615226302652908</v>
      </c>
      <c r="N65" s="1088">
        <f t="shared" si="25"/>
        <v>0.11319281788513748</v>
      </c>
      <c r="O65" s="1085"/>
      <c r="P65" s="171">
        <f t="shared" si="11"/>
        <v>0</v>
      </c>
      <c r="Q65" s="171">
        <f t="shared" si="7"/>
        <v>0</v>
      </c>
      <c r="R65" s="441">
        <f>TableA2!G65/TableA1!M65</f>
        <v>0.7535270809761514</v>
      </c>
      <c r="S65" s="23"/>
      <c r="T65" s="23"/>
      <c r="U65" s="23"/>
      <c r="V65" s="23"/>
      <c r="W65" s="23"/>
    </row>
    <row r="66" spans="1:23" x14ac:dyDescent="0.2">
      <c r="A66" s="1080" t="s">
        <v>85</v>
      </c>
      <c r="B66" s="125">
        <v>2.88</v>
      </c>
      <c r="C66" s="1040">
        <v>0.31041000000000002</v>
      </c>
      <c r="D66" s="1096">
        <f t="shared" si="18"/>
        <v>2.5695899999999998</v>
      </c>
      <c r="E66" s="1097">
        <v>2.0247299999999999</v>
      </c>
      <c r="F66" s="1040">
        <v>1.6186499999999999</v>
      </c>
      <c r="G66" s="1098">
        <f t="shared" si="19"/>
        <v>0.40608</v>
      </c>
      <c r="H66" s="1040">
        <v>0.36842399999999997</v>
      </c>
      <c r="I66" s="1099">
        <f t="shared" si="20"/>
        <v>0.17643599999999993</v>
      </c>
      <c r="J66" s="1090">
        <f t="shared" si="21"/>
        <v>0.14337851563868165</v>
      </c>
      <c r="K66" s="176">
        <f t="shared" si="22"/>
        <v>0.78795839024902803</v>
      </c>
      <c r="L66" s="1087">
        <f t="shared" si="23"/>
        <v>6.8663094112290268E-2</v>
      </c>
      <c r="M66" s="1085">
        <f>TableA2!G66/K66</f>
        <v>0.39264256060808106</v>
      </c>
      <c r="N66" s="1088">
        <f t="shared" si="25"/>
        <v>0.13633422243336149</v>
      </c>
      <c r="O66" s="1085"/>
      <c r="P66" s="171">
        <f t="shared" si="11"/>
        <v>0</v>
      </c>
      <c r="Q66" s="171">
        <f t="shared" si="7"/>
        <v>0</v>
      </c>
      <c r="R66" s="441">
        <f>TableA2!G66/TableA1!M66</f>
        <v>0.78795839024902803</v>
      </c>
      <c r="S66" s="23"/>
      <c r="T66" s="23"/>
      <c r="U66" s="23"/>
      <c r="V66" s="23"/>
      <c r="W66" s="23"/>
    </row>
    <row r="67" spans="1:23" x14ac:dyDescent="0.2">
      <c r="A67" s="1080" t="s">
        <v>86</v>
      </c>
      <c r="B67" s="125">
        <v>19.560600000000001</v>
      </c>
      <c r="C67" s="1040">
        <v>2.7704499999999999</v>
      </c>
      <c r="D67" s="1096">
        <f t="shared" si="18"/>
        <v>16.790150000000001</v>
      </c>
      <c r="E67" s="1097">
        <v>9.9627499999999998</v>
      </c>
      <c r="F67" s="1040">
        <v>7.8599600000000001</v>
      </c>
      <c r="G67" s="1098">
        <f t="shared" si="19"/>
        <v>2.1027899999999997</v>
      </c>
      <c r="H67" s="1040">
        <v>2.4073500000000001</v>
      </c>
      <c r="I67" s="1099">
        <f t="shared" si="20"/>
        <v>4.4200500000000007</v>
      </c>
      <c r="J67" s="1090">
        <f t="shared" si="21"/>
        <v>0.14337870715866147</v>
      </c>
      <c r="K67" s="176">
        <f t="shared" si="22"/>
        <v>0.59336873107149124</v>
      </c>
      <c r="L67" s="1087">
        <f t="shared" si="23"/>
        <v>0.26325256176984724</v>
      </c>
      <c r="M67" s="1085">
        <f>TableA2!G67/K67</f>
        <v>2.1793699807282128</v>
      </c>
      <c r="N67" s="1088">
        <f t="shared" si="25"/>
        <v>0.11141631548767485</v>
      </c>
      <c r="O67" s="1085"/>
      <c r="P67" s="171">
        <f t="shared" si="11"/>
        <v>0</v>
      </c>
      <c r="Q67" s="171">
        <f t="shared" si="7"/>
        <v>0</v>
      </c>
      <c r="R67" s="441">
        <f>TableA2!G67/TableA1!M67</f>
        <v>0.59336873107149124</v>
      </c>
      <c r="S67" s="23"/>
      <c r="T67" s="23"/>
      <c r="U67" s="23"/>
      <c r="V67" s="23"/>
      <c r="W67" s="23"/>
    </row>
    <row r="68" spans="1:23" x14ac:dyDescent="0.2">
      <c r="A68" s="1080" t="s">
        <v>87</v>
      </c>
      <c r="B68" s="125">
        <v>6.1666699999999999</v>
      </c>
      <c r="C68" s="1040">
        <v>-5.4545499999999997E-2</v>
      </c>
      <c r="D68" s="1096">
        <f t="shared" si="18"/>
        <v>6.2212154999999996</v>
      </c>
      <c r="E68" s="1097">
        <v>4.6878599999999997</v>
      </c>
      <c r="F68" s="1040">
        <v>3.69624</v>
      </c>
      <c r="G68" s="1098">
        <f t="shared" si="19"/>
        <v>0.99161999999999972</v>
      </c>
      <c r="H68" s="1040">
        <v>0.89198900000000003</v>
      </c>
      <c r="I68" s="1099">
        <f t="shared" si="20"/>
        <v>0.64136649999999984</v>
      </c>
      <c r="J68" s="1090">
        <f t="shared" si="21"/>
        <v>0.14337857288499331</v>
      </c>
      <c r="K68" s="176">
        <f t="shared" si="22"/>
        <v>0.75352798822030842</v>
      </c>
      <c r="L68" s="1087">
        <f t="shared" si="23"/>
        <v>0.1030934388946983</v>
      </c>
      <c r="M68" s="1085">
        <f>TableA2!G68/K68</f>
        <v>0.84126404049992964</v>
      </c>
      <c r="N68" s="1088">
        <f t="shared" si="25"/>
        <v>0.13642112201559831</v>
      </c>
      <c r="O68" s="1085"/>
      <c r="P68" s="171">
        <f t="shared" si="11"/>
        <v>0</v>
      </c>
      <c r="Q68" s="171">
        <f t="shared" si="7"/>
        <v>0</v>
      </c>
      <c r="R68" s="441">
        <f>TableA2!G68/TableA1!M68</f>
        <v>0.75352798822030842</v>
      </c>
      <c r="S68" s="23"/>
      <c r="T68" s="23"/>
      <c r="U68" s="23"/>
      <c r="V68" s="23"/>
      <c r="W68" s="23"/>
    </row>
    <row r="69" spans="1:23" x14ac:dyDescent="0.2">
      <c r="A69" s="1080" t="s">
        <v>88</v>
      </c>
      <c r="B69" s="125">
        <v>0.99700800000000001</v>
      </c>
      <c r="C69" s="1040">
        <v>0.10692500000000001</v>
      </c>
      <c r="D69" s="1096">
        <f t="shared" si="18"/>
        <v>0.89008299999999996</v>
      </c>
      <c r="E69" s="1097">
        <v>0.50683400000000001</v>
      </c>
      <c r="F69" s="1040">
        <v>0.46714</v>
      </c>
      <c r="G69" s="1098">
        <f t="shared" si="19"/>
        <v>3.9694000000000007E-2</v>
      </c>
      <c r="H69" s="1040">
        <v>0.12311999999999999</v>
      </c>
      <c r="I69" s="1099">
        <f t="shared" si="20"/>
        <v>0.26012899999999994</v>
      </c>
      <c r="J69" s="1090">
        <f t="shared" si="21"/>
        <v>0.13832417875636316</v>
      </c>
      <c r="K69" s="176">
        <f t="shared" si="22"/>
        <v>0.56942330097305538</v>
      </c>
      <c r="L69" s="1087">
        <f t="shared" si="23"/>
        <v>0.29225252027058146</v>
      </c>
      <c r="M69" s="1085">
        <f>TableA2!G69/K69</f>
        <v>0.13074565770803062</v>
      </c>
      <c r="N69" s="1088">
        <f t="shared" si="25"/>
        <v>0.13113802267186483</v>
      </c>
      <c r="O69" s="1085"/>
      <c r="P69" s="171">
        <f t="shared" si="11"/>
        <v>0</v>
      </c>
      <c r="Q69" s="171">
        <f t="shared" si="7"/>
        <v>0</v>
      </c>
      <c r="R69" s="441">
        <f>TableA2!G69/TableA1!M69</f>
        <v>0.56942330097305549</v>
      </c>
      <c r="S69" s="23"/>
      <c r="T69" s="23"/>
      <c r="U69" s="23"/>
      <c r="V69" s="23"/>
      <c r="W69" s="23"/>
    </row>
    <row r="70" spans="1:23" x14ac:dyDescent="0.2">
      <c r="A70" s="1080" t="s">
        <v>89</v>
      </c>
      <c r="B70" s="125">
        <v>4.2681800000000001</v>
      </c>
      <c r="C70" s="1040">
        <v>8.4848488E-2</v>
      </c>
      <c r="D70" s="1096">
        <f t="shared" si="18"/>
        <v>4.1833315120000005</v>
      </c>
      <c r="E70" s="1097">
        <v>3.1522600000000001</v>
      </c>
      <c r="F70" s="1040">
        <v>2.4854599999999998</v>
      </c>
      <c r="G70" s="1098">
        <f t="shared" si="19"/>
        <v>0.66680000000000028</v>
      </c>
      <c r="H70" s="1040">
        <v>0.5998</v>
      </c>
      <c r="I70" s="1099">
        <f t="shared" si="20"/>
        <v>0.43127151200000047</v>
      </c>
      <c r="J70" s="1090">
        <f t="shared" si="21"/>
        <v>0.14337854847971224</v>
      </c>
      <c r="K70" s="176">
        <f t="shared" si="22"/>
        <v>0.75352861492273715</v>
      </c>
      <c r="L70" s="1087">
        <f t="shared" si="23"/>
        <v>0.10309283659755063</v>
      </c>
      <c r="M70" s="1085">
        <f>TableA2!G70/K70</f>
        <v>0.56569185503818853</v>
      </c>
      <c r="N70" s="1088">
        <f t="shared" si="25"/>
        <v>0.13253701930054226</v>
      </c>
      <c r="O70" s="1085"/>
      <c r="P70" s="171">
        <f t="shared" si="11"/>
        <v>0</v>
      </c>
      <c r="Q70" s="171">
        <f t="shared" si="7"/>
        <v>0</v>
      </c>
      <c r="R70" s="441">
        <f>TableA2!G70/TableA1!M70</f>
        <v>0.75352861492273715</v>
      </c>
      <c r="S70" s="23"/>
      <c r="T70" s="23"/>
      <c r="U70" s="23"/>
      <c r="V70" s="23"/>
      <c r="W70" s="23"/>
    </row>
    <row r="71" spans="1:23" x14ac:dyDescent="0.2">
      <c r="A71" s="1080" t="s">
        <v>90</v>
      </c>
      <c r="B71" s="125">
        <v>2.5099999999999998</v>
      </c>
      <c r="C71" s="1040">
        <v>0.27053100000000002</v>
      </c>
      <c r="D71" s="1096">
        <f t="shared" si="18"/>
        <v>2.2394689999999997</v>
      </c>
      <c r="E71" s="1097">
        <v>1.6875</v>
      </c>
      <c r="F71" s="1040">
        <v>1.3305499999999999</v>
      </c>
      <c r="G71" s="1098">
        <f t="shared" si="19"/>
        <v>0.3569500000000001</v>
      </c>
      <c r="H71" s="1040">
        <v>0.32109199999999999</v>
      </c>
      <c r="I71" s="1099">
        <f t="shared" si="20"/>
        <v>0.23087699999999972</v>
      </c>
      <c r="J71" s="1090">
        <f t="shared" si="21"/>
        <v>0.14337863127375286</v>
      </c>
      <c r="K71" s="176">
        <f t="shared" si="22"/>
        <v>0.75352684051442564</v>
      </c>
      <c r="L71" s="1087">
        <f t="shared" si="23"/>
        <v>0.10309452821182154</v>
      </c>
      <c r="M71" s="1085">
        <f>TableA2!G71/K71</f>
        <v>0.3028332737878518</v>
      </c>
      <c r="N71" s="1088">
        <f t="shared" si="25"/>
        <v>0.12065070668838718</v>
      </c>
      <c r="O71" s="1085"/>
      <c r="P71" s="171">
        <f t="shared" si="11"/>
        <v>0</v>
      </c>
      <c r="Q71" s="171">
        <f t="shared" si="7"/>
        <v>0</v>
      </c>
      <c r="R71" s="441">
        <f>TableA2!G71/TableA1!M71</f>
        <v>0.75352684051442564</v>
      </c>
      <c r="S71" s="958"/>
      <c r="T71" s="958"/>
      <c r="U71" s="958"/>
      <c r="V71" s="958"/>
      <c r="W71" s="958"/>
    </row>
    <row r="72" spans="1:23" x14ac:dyDescent="0.2">
      <c r="A72" s="1080" t="s">
        <v>91</v>
      </c>
      <c r="B72" s="125">
        <v>309.40199999999999</v>
      </c>
      <c r="C72" s="1040">
        <v>18.6477</v>
      </c>
      <c r="D72" s="1100">
        <f t="shared" si="18"/>
        <v>290.7543</v>
      </c>
      <c r="E72" s="1097">
        <v>219.09200000000001</v>
      </c>
      <c r="F72" s="1040">
        <v>172.74700000000001</v>
      </c>
      <c r="G72" s="1098">
        <f t="shared" si="19"/>
        <v>46.344999999999999</v>
      </c>
      <c r="H72" s="1040">
        <v>41.688000000000002</v>
      </c>
      <c r="I72" s="1099">
        <f t="shared" si="20"/>
        <v>29.974299999999985</v>
      </c>
      <c r="J72" s="1090">
        <f t="shared" si="21"/>
        <v>0.14337879095855161</v>
      </c>
      <c r="K72" s="176">
        <f t="shared" si="22"/>
        <v>0.7535296984429809</v>
      </c>
      <c r="L72" s="1087">
        <f t="shared" si="23"/>
        <v>0.10309151059846745</v>
      </c>
      <c r="M72" s="1085">
        <f>TableA2!G72/K72</f>
        <v>39.31722938222299</v>
      </c>
      <c r="N72" s="1088">
        <f t="shared" si="25"/>
        <v>0.12707490378931938</v>
      </c>
      <c r="O72" s="1085"/>
      <c r="P72" s="171">
        <f t="shared" si="11"/>
        <v>0</v>
      </c>
      <c r="Q72" s="171">
        <f t="shared" si="7"/>
        <v>0</v>
      </c>
      <c r="R72" s="441">
        <f>TableA2!G72/TableA1!M72</f>
        <v>0.7535296984429809</v>
      </c>
      <c r="S72" s="958"/>
      <c r="T72" s="958"/>
      <c r="U72" s="958"/>
      <c r="V72" s="958"/>
      <c r="W72" s="958"/>
    </row>
    <row r="73" spans="1:23" x14ac:dyDescent="0.2">
      <c r="A73" s="1080" t="s">
        <v>92</v>
      </c>
      <c r="B73" s="125">
        <v>6.7924199999999999</v>
      </c>
      <c r="C73" s="1040">
        <v>0.73209500000000005</v>
      </c>
      <c r="D73" s="1096">
        <f t="shared" si="18"/>
        <v>6.0603249999999997</v>
      </c>
      <c r="E73" s="1097">
        <v>4.56663</v>
      </c>
      <c r="F73" s="1040">
        <v>3.6006499999999999</v>
      </c>
      <c r="G73" s="1098">
        <f t="shared" si="19"/>
        <v>0.96598000000000006</v>
      </c>
      <c r="H73" s="1040">
        <v>0.86892000000000003</v>
      </c>
      <c r="I73" s="1099">
        <f t="shared" si="20"/>
        <v>0.62477499999999975</v>
      </c>
      <c r="J73" s="1090">
        <f t="shared" si="21"/>
        <v>0.14337844917558054</v>
      </c>
      <c r="K73" s="176">
        <f t="shared" si="22"/>
        <v>0.75352889490250108</v>
      </c>
      <c r="L73" s="1087">
        <f t="shared" si="23"/>
        <v>0.10309265592191834</v>
      </c>
      <c r="M73" s="1085">
        <f>TableA2!G73/K73</f>
        <v>0.81950672917446787</v>
      </c>
      <c r="N73" s="1088">
        <f t="shared" si="25"/>
        <v>0.12065018493769053</v>
      </c>
      <c r="O73" s="1085"/>
      <c r="P73" s="171">
        <f t="shared" si="11"/>
        <v>0</v>
      </c>
      <c r="Q73" s="171">
        <f t="shared" si="7"/>
        <v>0</v>
      </c>
      <c r="R73" s="441">
        <f>TableA2!G73/TableA1!M73</f>
        <v>0.75352889490250108</v>
      </c>
      <c r="S73" s="958"/>
      <c r="T73" s="958"/>
      <c r="U73" s="958"/>
      <c r="V73" s="958"/>
      <c r="W73" s="958"/>
    </row>
    <row r="74" spans="1:23" x14ac:dyDescent="0.2">
      <c r="A74" s="1080" t="s">
        <v>93</v>
      </c>
      <c r="B74" s="125">
        <v>49.459299999999999</v>
      </c>
      <c r="C74" s="1040">
        <v>5.3307799999999999</v>
      </c>
      <c r="D74" s="1096">
        <f t="shared" si="18"/>
        <v>44.128520000000002</v>
      </c>
      <c r="E74" s="1097">
        <v>33.252099999999999</v>
      </c>
      <c r="F74" s="1040">
        <v>26.218299999999999</v>
      </c>
      <c r="G74" s="1098">
        <f t="shared" si="19"/>
        <v>7.0337999999999994</v>
      </c>
      <c r="H74" s="1040">
        <v>6.3270799999999996</v>
      </c>
      <c r="I74" s="1099">
        <f t="shared" si="20"/>
        <v>4.5493400000000035</v>
      </c>
      <c r="J74" s="1090">
        <f t="shared" si="21"/>
        <v>0.1433784772296918</v>
      </c>
      <c r="K74" s="176">
        <f t="shared" si="22"/>
        <v>0.75352855704202171</v>
      </c>
      <c r="L74" s="1087">
        <f t="shared" si="23"/>
        <v>0.10309296572828645</v>
      </c>
      <c r="M74" s="1085">
        <f>TableA2!G74/K74</f>
        <v>5.9672854571711271</v>
      </c>
      <c r="N74" s="1088">
        <f t="shared" si="25"/>
        <v>0.12065042281575208</v>
      </c>
      <c r="O74" s="1085"/>
      <c r="P74" s="171">
        <f t="shared" ref="P74:P91" si="26">E74-F74-G74</f>
        <v>0</v>
      </c>
      <c r="Q74" s="171">
        <f t="shared" si="7"/>
        <v>0</v>
      </c>
      <c r="R74" s="441">
        <f>TableA2!G74/TableA1!M74</f>
        <v>0.75352855704202171</v>
      </c>
      <c r="S74" s="958"/>
      <c r="T74" s="958"/>
      <c r="U74" s="958"/>
      <c r="V74" s="958"/>
      <c r="W74" s="958"/>
    </row>
    <row r="75" spans="1:23" x14ac:dyDescent="0.2">
      <c r="A75" s="1080" t="s">
        <v>94</v>
      </c>
      <c r="B75" s="125">
        <v>6.2891700000000004</v>
      </c>
      <c r="C75" s="1040">
        <v>0.67785399999999996</v>
      </c>
      <c r="D75" s="1096">
        <f t="shared" si="18"/>
        <v>5.6113160000000004</v>
      </c>
      <c r="E75" s="1097">
        <v>4.7388899999999996</v>
      </c>
      <c r="F75" s="1040">
        <v>3.8815400000000002</v>
      </c>
      <c r="G75" s="1098">
        <f t="shared" si="19"/>
        <v>0.85734999999999939</v>
      </c>
      <c r="H75" s="1040">
        <f>J75*D75</f>
        <v>0.43621300000000041</v>
      </c>
      <c r="I75" s="1099">
        <f>L75*D75</f>
        <v>0.43621300000000041</v>
      </c>
      <c r="J75" s="1086">
        <f>(1-K75)/2</f>
        <v>7.7738092098181666E-2</v>
      </c>
      <c r="K75" s="176">
        <f t="shared" si="22"/>
        <v>0.84452381580363667</v>
      </c>
      <c r="L75" s="1087">
        <f>(1-K75)/2</f>
        <v>7.7738092098181666E-2</v>
      </c>
      <c r="M75" s="1085">
        <f>TableA2!G75/K75</f>
        <v>0.79041820669650498</v>
      </c>
      <c r="N75" s="1088">
        <f t="shared" si="25"/>
        <v>0.12567925603799943</v>
      </c>
      <c r="O75" s="1085"/>
      <c r="P75" s="171">
        <f t="shared" si="26"/>
        <v>0</v>
      </c>
      <c r="Q75" s="171">
        <f t="shared" ref="Q75:Q91" si="27">1-J75-K75-L75</f>
        <v>0</v>
      </c>
      <c r="R75" s="441">
        <f>TableA2!G75/TableA1!M75</f>
        <v>0.84452381580363667</v>
      </c>
      <c r="S75" s="958"/>
      <c r="T75" s="958"/>
      <c r="U75" s="958"/>
      <c r="V75" s="958"/>
      <c r="W75" s="958"/>
    </row>
    <row r="76" spans="1:23" x14ac:dyDescent="0.2">
      <c r="A76" s="1080" t="s">
        <v>95</v>
      </c>
      <c r="B76" s="125">
        <v>45.415500000000002</v>
      </c>
      <c r="C76" s="1040">
        <v>11.9496</v>
      </c>
      <c r="D76" s="1096">
        <f t="shared" si="18"/>
        <v>33.465900000000005</v>
      </c>
      <c r="E76" s="1097">
        <v>25.217500000000001</v>
      </c>
      <c r="F76" s="1040">
        <v>19.883199999999999</v>
      </c>
      <c r="G76" s="1098">
        <f t="shared" si="19"/>
        <v>5.3343000000000025</v>
      </c>
      <c r="H76" s="1040">
        <v>4.7983000000000002</v>
      </c>
      <c r="I76" s="1099">
        <f t="shared" si="20"/>
        <v>3.4501000000000035</v>
      </c>
      <c r="J76" s="1090">
        <f t="shared" si="21"/>
        <v>0.14337878258167266</v>
      </c>
      <c r="K76" s="176">
        <f t="shared" si="22"/>
        <v>0.75352821827591665</v>
      </c>
      <c r="L76" s="1087">
        <f t="shared" si="23"/>
        <v>0.10309299914241073</v>
      </c>
      <c r="M76" s="1085">
        <f>TableA2!G76/K76</f>
        <v>4.5254310552592445</v>
      </c>
      <c r="N76" s="1088">
        <f t="shared" si="25"/>
        <v>9.9645078337995713E-2</v>
      </c>
      <c r="O76" s="1085"/>
      <c r="P76" s="171">
        <f t="shared" si="26"/>
        <v>0</v>
      </c>
      <c r="Q76" s="171">
        <f t="shared" si="27"/>
        <v>0</v>
      </c>
      <c r="R76" s="441">
        <f>TableA2!G76/TableA1!M76</f>
        <v>0.75352821827591665</v>
      </c>
      <c r="S76" s="958"/>
      <c r="T76" s="958"/>
      <c r="U76" s="958"/>
      <c r="V76" s="958"/>
      <c r="W76" s="958"/>
    </row>
    <row r="77" spans="1:23" x14ac:dyDescent="0.2">
      <c r="A77" s="1080" t="s">
        <v>96</v>
      </c>
      <c r="B77" s="125">
        <v>9.74648</v>
      </c>
      <c r="C77" s="1040">
        <v>1.2155400000000001</v>
      </c>
      <c r="D77" s="1096">
        <f t="shared" si="18"/>
        <v>8.5309399999999993</v>
      </c>
      <c r="E77" s="1097">
        <v>5.8736199999999998</v>
      </c>
      <c r="F77" s="1040">
        <v>5.2669600000000001</v>
      </c>
      <c r="G77" s="1098">
        <f t="shared" si="19"/>
        <v>0.60665999999999976</v>
      </c>
      <c r="H77" s="1040">
        <v>1.22315</v>
      </c>
      <c r="I77" s="1099">
        <f t="shared" si="20"/>
        <v>1.4341699999999995</v>
      </c>
      <c r="J77" s="1090">
        <f t="shared" si="21"/>
        <v>0.14337810370252282</v>
      </c>
      <c r="K77" s="176">
        <f t="shared" si="22"/>
        <v>0.68850794871374088</v>
      </c>
      <c r="L77" s="1087">
        <f t="shared" si="23"/>
        <v>0.16811394758373632</v>
      </c>
      <c r="M77" s="1085">
        <f>TableA2!G77/K77</f>
        <v>1.1485197832171641</v>
      </c>
      <c r="N77" s="1088">
        <f t="shared" si="25"/>
        <v>0.11783944390355945</v>
      </c>
      <c r="O77" s="1085"/>
      <c r="P77" s="171">
        <f t="shared" si="26"/>
        <v>0</v>
      </c>
      <c r="Q77" s="171">
        <f t="shared" si="27"/>
        <v>0</v>
      </c>
      <c r="R77" s="441">
        <f>TableA2!G77/TableA1!M77</f>
        <v>0.68850794871374088</v>
      </c>
      <c r="S77" s="958"/>
      <c r="T77" s="958"/>
      <c r="U77" s="958"/>
      <c r="V77" s="958"/>
      <c r="W77" s="958"/>
    </row>
    <row r="78" spans="1:23" x14ac:dyDescent="0.2">
      <c r="A78" s="1080" t="s">
        <v>97</v>
      </c>
      <c r="B78" s="125">
        <v>0.17943300000000001</v>
      </c>
      <c r="C78" s="1040">
        <v>8.3093660000000003E-3</v>
      </c>
      <c r="D78" s="1096">
        <f t="shared" si="18"/>
        <v>0.171123634</v>
      </c>
      <c r="E78" s="1097">
        <v>0.12894600000000001</v>
      </c>
      <c r="F78" s="1040">
        <v>0.10167</v>
      </c>
      <c r="G78" s="1098">
        <f t="shared" si="19"/>
        <v>2.7276000000000009E-2</v>
      </c>
      <c r="H78" s="1040">
        <v>2.4535404E-2</v>
      </c>
      <c r="I78" s="1099">
        <f t="shared" si="20"/>
        <v>1.7642229999999991E-2</v>
      </c>
      <c r="J78" s="1090">
        <f t="shared" si="21"/>
        <v>0.14337823143704392</v>
      </c>
      <c r="K78" s="176">
        <f t="shared" si="22"/>
        <v>0.75352537218792359</v>
      </c>
      <c r="L78" s="1087">
        <f t="shared" si="23"/>
        <v>0.10309639637503253</v>
      </c>
      <c r="M78" s="1085">
        <f>TableA2!G78/K78</f>
        <v>2.3140240055050731E-2</v>
      </c>
      <c r="N78" s="1088">
        <f t="shared" si="25"/>
        <v>0.12896312303227794</v>
      </c>
      <c r="O78" s="1085"/>
      <c r="P78" s="171">
        <f t="shared" si="26"/>
        <v>0</v>
      </c>
      <c r="Q78" s="171">
        <f t="shared" si="27"/>
        <v>0</v>
      </c>
      <c r="R78" s="441">
        <f>TableA2!G78/TableA1!M78</f>
        <v>0.75352537218792359</v>
      </c>
      <c r="S78" s="958"/>
      <c r="T78" s="958"/>
      <c r="U78" s="958"/>
      <c r="V78" s="958"/>
      <c r="W78" s="958"/>
    </row>
    <row r="79" spans="1:23" x14ac:dyDescent="0.2">
      <c r="A79" s="1080" t="s">
        <v>98</v>
      </c>
      <c r="B79" s="125">
        <v>5.74</v>
      </c>
      <c r="C79" s="1040">
        <v>0.61866399999999999</v>
      </c>
      <c r="D79" s="1096">
        <f t="shared" si="18"/>
        <v>5.1213360000000003</v>
      </c>
      <c r="E79" s="1097">
        <v>3.85907</v>
      </c>
      <c r="F79" s="1040">
        <v>3.0427599999999999</v>
      </c>
      <c r="G79" s="1098">
        <f t="shared" si="19"/>
        <v>0.81631000000000009</v>
      </c>
      <c r="H79" s="1040">
        <v>0.73429</v>
      </c>
      <c r="I79" s="1099">
        <f t="shared" si="20"/>
        <v>0.52797600000000033</v>
      </c>
      <c r="J79" s="1090">
        <f t="shared" si="21"/>
        <v>0.14337860277083947</v>
      </c>
      <c r="K79" s="176">
        <f t="shared" si="22"/>
        <v>0.75352798566624013</v>
      </c>
      <c r="L79" s="1087">
        <f t="shared" si="23"/>
        <v>0.10309341156292036</v>
      </c>
      <c r="M79" s="1085">
        <f>TableA2!G79/K79</f>
        <v>0.69253300464827017</v>
      </c>
      <c r="N79" s="1088">
        <f t="shared" si="25"/>
        <v>0.12065034924185891</v>
      </c>
      <c r="O79" s="1085"/>
      <c r="P79" s="171">
        <f t="shared" si="26"/>
        <v>0</v>
      </c>
      <c r="Q79" s="171">
        <f t="shared" si="27"/>
        <v>0</v>
      </c>
      <c r="R79" s="441">
        <f>TableA2!G79/TableA1!M79</f>
        <v>0.75352798566624013</v>
      </c>
      <c r="S79" s="958"/>
      <c r="T79" s="958"/>
      <c r="U79" s="958"/>
      <c r="V79" s="958"/>
      <c r="W79" s="958"/>
    </row>
    <row r="80" spans="1:23" x14ac:dyDescent="0.2">
      <c r="A80" s="1080" t="s">
        <v>99</v>
      </c>
      <c r="B80" s="125">
        <v>0.79469999999999996</v>
      </c>
      <c r="C80" s="1040">
        <v>8.5653744000000004E-2</v>
      </c>
      <c r="D80" s="1096">
        <f t="shared" si="18"/>
        <v>0.70904625599999993</v>
      </c>
      <c r="E80" s="1097">
        <v>0.53428699999999996</v>
      </c>
      <c r="F80" s="1040">
        <v>0.421269</v>
      </c>
      <c r="G80" s="1098">
        <f t="shared" si="19"/>
        <v>0.11301799999999995</v>
      </c>
      <c r="H80" s="1040">
        <v>0.101662</v>
      </c>
      <c r="I80" s="1099">
        <f t="shared" si="20"/>
        <v>7.3097255999999972E-2</v>
      </c>
      <c r="J80" s="1090">
        <f t="shared" si="21"/>
        <v>0.14337851605551671</v>
      </c>
      <c r="K80" s="176">
        <f t="shared" si="22"/>
        <v>0.75352911813414891</v>
      </c>
      <c r="L80" s="1087">
        <f t="shared" si="23"/>
        <v>0.10309236581033435</v>
      </c>
      <c r="M80" s="1085">
        <f>TableA2!G80/K80</f>
        <v>9.5880738064773374E-2</v>
      </c>
      <c r="N80" s="1088">
        <f t="shared" si="25"/>
        <v>0.12065023035708239</v>
      </c>
      <c r="O80" s="1085"/>
      <c r="P80" s="171">
        <f t="shared" si="26"/>
        <v>0</v>
      </c>
      <c r="Q80" s="171">
        <f t="shared" si="27"/>
        <v>0</v>
      </c>
      <c r="R80" s="441">
        <f>TableA2!G80/TableA1!M80</f>
        <v>0.75352911813414891</v>
      </c>
      <c r="S80" s="958"/>
      <c r="T80" s="958"/>
      <c r="U80" s="958"/>
      <c r="V80" s="958"/>
      <c r="W80" s="958"/>
    </row>
    <row r="81" spans="1:18" x14ac:dyDescent="0.2">
      <c r="A81" s="1080" t="s">
        <v>100</v>
      </c>
      <c r="B81" s="125">
        <v>11.692299999999999</v>
      </c>
      <c r="C81" s="1040">
        <v>1.2602100000000001</v>
      </c>
      <c r="D81" s="1096">
        <f t="shared" si="18"/>
        <v>10.432089999999999</v>
      </c>
      <c r="E81" s="1097">
        <v>7.8608700000000002</v>
      </c>
      <c r="F81" s="1040">
        <v>6.1980599999999999</v>
      </c>
      <c r="G81" s="1098">
        <f t="shared" si="19"/>
        <v>1.6628100000000003</v>
      </c>
      <c r="H81" s="1040">
        <v>1.4957400000000001</v>
      </c>
      <c r="I81" s="1099">
        <f t="shared" si="20"/>
        <v>1.0754799999999984</v>
      </c>
      <c r="J81" s="1090">
        <f t="shared" si="21"/>
        <v>0.1433787476910188</v>
      </c>
      <c r="K81" s="176">
        <f t="shared" si="22"/>
        <v>0.75352781657366852</v>
      </c>
      <c r="L81" s="1087">
        <f t="shared" si="23"/>
        <v>0.10309343573531272</v>
      </c>
      <c r="M81" s="1085">
        <f>TableA2!G81/K81</f>
        <v>1.4106844851905704</v>
      </c>
      <c r="N81" s="1088">
        <f t="shared" si="25"/>
        <v>0.12065072613519756</v>
      </c>
      <c r="O81" s="1085"/>
      <c r="P81" s="171">
        <f t="shared" si="26"/>
        <v>0</v>
      </c>
      <c r="Q81" s="171">
        <f t="shared" si="27"/>
        <v>0</v>
      </c>
      <c r="R81" s="441">
        <f>TableA2!G81/TableA1!M81</f>
        <v>0.75352781657366852</v>
      </c>
    </row>
    <row r="82" spans="1:18" x14ac:dyDescent="0.2">
      <c r="A82" s="1080" t="s">
        <v>101</v>
      </c>
      <c r="B82" s="125">
        <v>1.4377200000000001</v>
      </c>
      <c r="C82" s="1040">
        <v>0.15495900000000001</v>
      </c>
      <c r="D82" s="1096">
        <f t="shared" si="18"/>
        <v>1.282761</v>
      </c>
      <c r="E82" s="1097">
        <v>0.96659899999999999</v>
      </c>
      <c r="F82" s="1040">
        <v>0.76213299999999995</v>
      </c>
      <c r="G82" s="1098">
        <f t="shared" si="19"/>
        <v>0.20446600000000004</v>
      </c>
      <c r="H82" s="1040">
        <v>0.183921</v>
      </c>
      <c r="I82" s="1099">
        <f t="shared" si="20"/>
        <v>0.13224100000000005</v>
      </c>
      <c r="J82" s="1090">
        <f t="shared" si="21"/>
        <v>0.14337900824861372</v>
      </c>
      <c r="K82" s="176">
        <f t="shared" si="22"/>
        <v>0.75353008081786077</v>
      </c>
      <c r="L82" s="1087">
        <f t="shared" si="23"/>
        <v>0.10309091093352546</v>
      </c>
      <c r="M82" s="1085">
        <f>TableA2!G82/K82</f>
        <v>0.17346089204313267</v>
      </c>
      <c r="N82" s="1088">
        <f t="shared" si="25"/>
        <v>0.12064998194581188</v>
      </c>
      <c r="O82" s="1085"/>
      <c r="P82" s="171">
        <f t="shared" si="26"/>
        <v>0</v>
      </c>
      <c r="Q82" s="171">
        <f t="shared" si="27"/>
        <v>0</v>
      </c>
      <c r="R82" s="441">
        <f>TableA2!G82/TableA1!M82</f>
        <v>0.75353008081786077</v>
      </c>
    </row>
    <row r="83" spans="1:18" x14ac:dyDescent="0.2">
      <c r="A83" s="1080" t="s">
        <v>102</v>
      </c>
      <c r="B83" s="168">
        <v>305.19402000000002</v>
      </c>
      <c r="C83" s="1101">
        <v>17.706880000000002</v>
      </c>
      <c r="D83" s="1100">
        <f t="shared" si="18"/>
        <v>287.48714000000001</v>
      </c>
      <c r="E83" s="1102">
        <v>193.44101831433295</v>
      </c>
      <c r="F83" s="1040">
        <v>157.35499999999999</v>
      </c>
      <c r="G83" s="1085">
        <f t="shared" si="19"/>
        <v>36.086018314332961</v>
      </c>
      <c r="H83" s="1040">
        <v>37.973399999999998</v>
      </c>
      <c r="I83" s="1082">
        <f t="shared" si="20"/>
        <v>56.072721685667062</v>
      </c>
      <c r="J83" s="1090">
        <f t="shared" si="21"/>
        <v>0.13208729962668939</v>
      </c>
      <c r="K83" s="176">
        <f t="shared" si="22"/>
        <v>0.67286842226867238</v>
      </c>
      <c r="L83" s="1087">
        <f t="shared" si="23"/>
        <v>0.1950442781046382</v>
      </c>
      <c r="M83" s="1085">
        <f>TableA2!G83/K83</f>
        <v>66.12066819194888</v>
      </c>
      <c r="N83" s="1088">
        <f t="shared" si="25"/>
        <v>0.21665125742617394</v>
      </c>
      <c r="O83" s="1085"/>
      <c r="P83" s="171">
        <f t="shared" si="26"/>
        <v>0</v>
      </c>
      <c r="Q83" s="171">
        <f t="shared" si="27"/>
        <v>0</v>
      </c>
      <c r="R83" s="441">
        <f>TableA2!G83/TableA1!M83</f>
        <v>0.67286842226867238</v>
      </c>
    </row>
    <row r="84" spans="1:18" x14ac:dyDescent="0.2">
      <c r="A84" s="1080" t="s">
        <v>103</v>
      </c>
      <c r="B84" s="125">
        <v>0.87828200000000001</v>
      </c>
      <c r="C84" s="1040">
        <v>9.4662256E-2</v>
      </c>
      <c r="D84" s="1096">
        <f t="shared" si="18"/>
        <v>0.78361974400000001</v>
      </c>
      <c r="E84" s="1097">
        <v>0.59048</v>
      </c>
      <c r="F84" s="1040">
        <v>0.46557500000000002</v>
      </c>
      <c r="G84" s="1098">
        <f t="shared" si="19"/>
        <v>0.12490499999999999</v>
      </c>
      <c r="H84" s="1040">
        <v>0.112354</v>
      </c>
      <c r="I84" s="1099">
        <f t="shared" si="20"/>
        <v>8.0785744000000007E-2</v>
      </c>
      <c r="J84" s="1090">
        <f t="shared" si="21"/>
        <v>0.14337821482966615</v>
      </c>
      <c r="K84" s="176">
        <f t="shared" si="22"/>
        <v>0.7535287421241903</v>
      </c>
      <c r="L84" s="1087">
        <f t="shared" si="23"/>
        <v>0.10309304304614357</v>
      </c>
      <c r="M84" s="1085">
        <f>TableA2!G84/K84</f>
        <v>0.10596491352793042</v>
      </c>
      <c r="N84" s="1088">
        <f t="shared" si="25"/>
        <v>0.12065021659094734</v>
      </c>
      <c r="O84" s="1085"/>
      <c r="P84" s="171">
        <f t="shared" si="26"/>
        <v>0</v>
      </c>
      <c r="Q84" s="171">
        <f t="shared" si="27"/>
        <v>0</v>
      </c>
      <c r="R84" s="441">
        <f>TableA2!G84/TableA1!M84</f>
        <v>0.7535287421241903</v>
      </c>
    </row>
    <row r="85" spans="1:18" x14ac:dyDescent="0.2">
      <c r="A85" s="1080" t="s">
        <v>104</v>
      </c>
      <c r="B85" s="125">
        <v>1.6491400000000001</v>
      </c>
      <c r="C85" s="1040">
        <v>0.17774699999999999</v>
      </c>
      <c r="D85" s="1096">
        <f t="shared" si="18"/>
        <v>1.471393</v>
      </c>
      <c r="E85" s="1097">
        <v>1.1087400000000001</v>
      </c>
      <c r="F85" s="1040">
        <v>0.87420699999999996</v>
      </c>
      <c r="G85" s="1098">
        <f t="shared" si="19"/>
        <v>0.2345330000000001</v>
      </c>
      <c r="H85" s="1040">
        <v>0.21096699999999999</v>
      </c>
      <c r="I85" s="1099">
        <f t="shared" si="20"/>
        <v>0.1516859999999999</v>
      </c>
      <c r="J85" s="1090">
        <f t="shared" si="21"/>
        <v>0.14337909722283576</v>
      </c>
      <c r="K85" s="176">
        <f t="shared" si="22"/>
        <v>0.75353083778433094</v>
      </c>
      <c r="L85" s="1087">
        <f t="shared" si="23"/>
        <v>0.10309006499283326</v>
      </c>
      <c r="M85" s="1085">
        <f>TableA2!G85/K85</f>
        <v>0.19896863204809062</v>
      </c>
      <c r="N85" s="1088">
        <f t="shared" si="25"/>
        <v>0.12064993393410542</v>
      </c>
      <c r="O85" s="1085"/>
      <c r="P85" s="171">
        <f t="shared" si="26"/>
        <v>0</v>
      </c>
      <c r="Q85" s="171">
        <f t="shared" si="27"/>
        <v>0</v>
      </c>
      <c r="R85" s="441">
        <f>TableA2!G85/TableA1!M85</f>
        <v>0.75353083778433094</v>
      </c>
    </row>
    <row r="86" spans="1:18" x14ac:dyDescent="0.2">
      <c r="A86" s="1103" t="s">
        <v>105</v>
      </c>
      <c r="B86" s="125">
        <v>0.75520600000000004</v>
      </c>
      <c r="C86" s="1040">
        <v>8.1396999999999997E-2</v>
      </c>
      <c r="D86" s="1096">
        <f t="shared" si="18"/>
        <v>0.6738090000000001</v>
      </c>
      <c r="E86" s="1097">
        <v>0.50773400000000002</v>
      </c>
      <c r="F86" s="1040">
        <v>0.40033299999999999</v>
      </c>
      <c r="G86" s="1098">
        <f t="shared" si="19"/>
        <v>0.10740100000000002</v>
      </c>
      <c r="H86" s="1040">
        <v>9.6609751999999993E-2</v>
      </c>
      <c r="I86" s="1099">
        <f t="shared" si="20"/>
        <v>6.946524800000009E-2</v>
      </c>
      <c r="J86" s="1090">
        <f t="shared" si="21"/>
        <v>0.14337854199038597</v>
      </c>
      <c r="K86" s="176">
        <f t="shared" si="22"/>
        <v>0.75352807694762158</v>
      </c>
      <c r="L86" s="1087">
        <f t="shared" si="23"/>
        <v>0.10309338106199246</v>
      </c>
      <c r="M86" s="1085">
        <f>TableA2!G86/K86</f>
        <v>9.1115872255377817E-2</v>
      </c>
      <c r="N86" s="1088">
        <f t="shared" si="25"/>
        <v>0.12065035534063263</v>
      </c>
      <c r="O86" s="1085"/>
      <c r="P86" s="171">
        <f t="shared" si="26"/>
        <v>0</v>
      </c>
      <c r="Q86" s="171">
        <f t="shared" si="27"/>
        <v>0</v>
      </c>
      <c r="R86" s="441">
        <f>TableA2!G86/TableA1!M86</f>
        <v>0.75352807694762158</v>
      </c>
    </row>
    <row r="87" spans="1:18" x14ac:dyDescent="0.2">
      <c r="A87" s="1080" t="s">
        <v>106</v>
      </c>
      <c r="B87" s="125">
        <v>0.63200000000000001</v>
      </c>
      <c r="C87" s="1040">
        <v>6.8117735999999998E-2</v>
      </c>
      <c r="D87" s="1096">
        <f t="shared" si="18"/>
        <v>0.56388226399999997</v>
      </c>
      <c r="E87" s="1097">
        <v>0.424902</v>
      </c>
      <c r="F87" s="1040">
        <v>0.33502199999999999</v>
      </c>
      <c r="G87" s="1098">
        <f t="shared" si="19"/>
        <v>8.9880000000000015E-2</v>
      </c>
      <c r="H87" s="1040">
        <v>8.0848639999999999E-2</v>
      </c>
      <c r="I87" s="1099">
        <f t="shared" si="20"/>
        <v>5.8131623999999965E-2</v>
      </c>
      <c r="J87" s="1086">
        <f t="shared" si="21"/>
        <v>0.14337858301569137</v>
      </c>
      <c r="K87" s="176">
        <f t="shared" si="22"/>
        <v>0.75352964107415166</v>
      </c>
      <c r="L87" s="1087">
        <f t="shared" si="23"/>
        <v>0.10309177591015696</v>
      </c>
      <c r="M87" s="1085">
        <f>TableA2!G87/K87</f>
        <v>7.6250887646695603E-2</v>
      </c>
      <c r="N87" s="1088">
        <f t="shared" si="25"/>
        <v>0.12065013868148039</v>
      </c>
      <c r="O87" s="1085"/>
      <c r="P87" s="171">
        <f t="shared" si="26"/>
        <v>0</v>
      </c>
      <c r="Q87" s="171">
        <f t="shared" si="27"/>
        <v>0</v>
      </c>
      <c r="R87" s="441">
        <f>TableA2!G87/TableA1!M87</f>
        <v>0.75352964107415166</v>
      </c>
    </row>
    <row r="88" spans="1:18" x14ac:dyDescent="0.2">
      <c r="A88" s="1080" t="s">
        <v>107</v>
      </c>
      <c r="B88" s="125">
        <v>52.132300000000001</v>
      </c>
      <c r="C88" s="1040">
        <v>5.6188799999999999</v>
      </c>
      <c r="D88" s="1096">
        <f t="shared" si="18"/>
        <v>46.513420000000004</v>
      </c>
      <c r="E88" s="1097">
        <v>35.049199999999999</v>
      </c>
      <c r="F88" s="1040">
        <v>27.635200000000001</v>
      </c>
      <c r="G88" s="1098">
        <f t="shared" si="19"/>
        <v>7.4139999999999979</v>
      </c>
      <c r="H88" s="1040">
        <v>6.6690300000000002</v>
      </c>
      <c r="I88" s="1099">
        <f t="shared" si="20"/>
        <v>4.7951900000000043</v>
      </c>
      <c r="J88" s="1086">
        <f t="shared" si="21"/>
        <v>0.14337862062174744</v>
      </c>
      <c r="K88" s="176">
        <f t="shared" si="22"/>
        <v>0.75352876653662526</v>
      </c>
      <c r="L88" s="1087">
        <f t="shared" si="23"/>
        <v>0.1030926128416273</v>
      </c>
      <c r="M88" s="1085">
        <f>TableA2!G88/K88</f>
        <v>6.2897797807824443</v>
      </c>
      <c r="N88" s="1088">
        <f t="shared" si="25"/>
        <v>0.12065034116627205</v>
      </c>
      <c r="O88" s="1085"/>
      <c r="P88" s="171">
        <f t="shared" si="26"/>
        <v>0</v>
      </c>
      <c r="Q88" s="171">
        <f t="shared" si="27"/>
        <v>0</v>
      </c>
      <c r="R88" s="441">
        <f>TableA2!G88/TableA1!M88</f>
        <v>0.75352876653662526</v>
      </c>
    </row>
    <row r="89" spans="1:18" x14ac:dyDescent="0.2">
      <c r="A89" s="1080" t="s">
        <v>108</v>
      </c>
      <c r="B89" s="125">
        <v>107.52048192771085</v>
      </c>
      <c r="C89" s="1040">
        <v>5.644999999999996</v>
      </c>
      <c r="D89" s="1096">
        <f t="shared" si="18"/>
        <v>101.87548192771085</v>
      </c>
      <c r="E89" s="1097">
        <f>TableA2!B89</f>
        <v>81.677350000000004</v>
      </c>
      <c r="F89" s="1040">
        <f>E89*E101</f>
        <v>72.948981984703636</v>
      </c>
      <c r="G89" s="1098">
        <f t="shared" si="19"/>
        <v>8.7283680152963683</v>
      </c>
      <c r="H89" s="1040">
        <v>13.815899999999999</v>
      </c>
      <c r="I89" s="1099">
        <f t="shared" si="20"/>
        <v>6.3822319277108477</v>
      </c>
      <c r="J89" s="1086">
        <f t="shared" si="21"/>
        <v>0.13561555477895587</v>
      </c>
      <c r="K89" s="176">
        <f t="shared" si="22"/>
        <v>0.80173706621537155</v>
      </c>
      <c r="L89" s="1087">
        <f t="shared" si="23"/>
        <v>6.2647379005672563E-2</v>
      </c>
      <c r="M89" s="1085">
        <f>TableA2!G89/K89</f>
        <v>12.246720793824949</v>
      </c>
      <c r="N89" s="1088">
        <f t="shared" si="25"/>
        <v>0.11390128256734169</v>
      </c>
      <c r="O89" s="1085"/>
      <c r="P89" s="171">
        <f t="shared" si="26"/>
        <v>0</v>
      </c>
      <c r="Q89" s="171">
        <f t="shared" si="27"/>
        <v>0</v>
      </c>
      <c r="R89" s="441">
        <f>TableA2!G89/TableA1!M89</f>
        <v>0.80173706621537144</v>
      </c>
    </row>
    <row r="90" spans="1:18" ht="40" customHeight="1" x14ac:dyDescent="0.2">
      <c r="A90" s="1769" t="s">
        <v>109</v>
      </c>
      <c r="B90" s="1589">
        <f>74782-B9-B45-B53</f>
        <v>9565.9455890727513</v>
      </c>
      <c r="C90" s="1592">
        <f>B90*C45/B45</f>
        <v>1132.0584934272067</v>
      </c>
      <c r="D90" s="1770">
        <f t="shared" ref="D90:D91" si="28">+B90-C90</f>
        <v>8433.8870956455448</v>
      </c>
      <c r="E90" s="1592">
        <f>K90*D90</f>
        <v>4259.654706389314</v>
      </c>
      <c r="F90" s="1592">
        <f>+E90*E101</f>
        <v>3804.4509822790787</v>
      </c>
      <c r="G90" s="1592">
        <f>E90-F90</f>
        <v>455.20372411023527</v>
      </c>
      <c r="H90" s="1592">
        <f>J90*D90</f>
        <v>706.76608434528089</v>
      </c>
      <c r="I90" s="1593">
        <f t="shared" ref="I90" si="29">D90-E90-H90</f>
        <v>3467.4663049109499</v>
      </c>
      <c r="J90" s="1595">
        <f>J45</f>
        <v>8.3800752408718815E-2</v>
      </c>
      <c r="K90" s="1595">
        <f>K45-0.1</f>
        <v>0.50506423172164516</v>
      </c>
      <c r="L90" s="1771">
        <f t="shared" ref="L90:L91" si="30">I90/D90</f>
        <v>0.41113501586963608</v>
      </c>
      <c r="M90" s="175">
        <f>B90*M45/B45</f>
        <v>1378.6132777401201</v>
      </c>
      <c r="N90" s="1772">
        <f t="shared" ref="N90:N91" si="31">M90/B90</f>
        <v>0.14411678018688712</v>
      </c>
      <c r="O90" s="175"/>
      <c r="P90" s="171">
        <f t="shared" si="26"/>
        <v>0</v>
      </c>
      <c r="Q90" s="171">
        <f t="shared" si="27"/>
        <v>0</v>
      </c>
      <c r="R90" s="441">
        <f>TableA2!G90/TableA1!M90</f>
        <v>0.48795947745344731</v>
      </c>
    </row>
    <row r="91" spans="1:18" ht="40" customHeight="1" thickBot="1" x14ac:dyDescent="0.25">
      <c r="A91" s="200" t="s">
        <v>110</v>
      </c>
      <c r="B91" s="165">
        <f>B90+B53+B45+B9</f>
        <v>74782</v>
      </c>
      <c r="C91" s="170">
        <f>C90+C53+C45+C9</f>
        <v>7514.9035341355975</v>
      </c>
      <c r="D91" s="183">
        <f t="shared" si="28"/>
        <v>67267.096465864408</v>
      </c>
      <c r="E91" s="184">
        <f>E90+E53+E45+E9</f>
        <v>40756.104983635028</v>
      </c>
      <c r="F91" s="170">
        <f>F90+F53+F45+F9</f>
        <v>36346.893264988052</v>
      </c>
      <c r="G91" s="170">
        <f>E91-F91</f>
        <v>4409.2117186469768</v>
      </c>
      <c r="H91" s="170">
        <f>H90+H53+H45+H9</f>
        <v>8030.3108870760998</v>
      </c>
      <c r="I91" s="166">
        <f>I90+I53+I45+I9</f>
        <v>18480.680595153288</v>
      </c>
      <c r="J91" s="167">
        <f>H91/D91</f>
        <v>0.11937947836281575</v>
      </c>
      <c r="K91" s="303">
        <f>E91/D91</f>
        <v>0.60588470626671487</v>
      </c>
      <c r="L91" s="436">
        <f t="shared" si="30"/>
        <v>0.27473581537046954</v>
      </c>
      <c r="M91" s="439">
        <f>M90+M53+M45+M9</f>
        <v>11940.064507492207</v>
      </c>
      <c r="N91" s="199">
        <f t="shared" si="31"/>
        <v>0.15966495289631472</v>
      </c>
      <c r="O91" s="175"/>
      <c r="P91" s="171">
        <f t="shared" si="26"/>
        <v>0</v>
      </c>
      <c r="Q91" s="171">
        <f t="shared" si="27"/>
        <v>0</v>
      </c>
      <c r="R91" s="441">
        <f>TableA2!G91/TableA1!M91</f>
        <v>0.58030850288727776</v>
      </c>
    </row>
    <row r="92" spans="1:18" ht="17" thickTop="1" x14ac:dyDescent="0.2">
      <c r="A92" s="958"/>
      <c r="B92" s="958"/>
      <c r="C92" s="958"/>
      <c r="D92" s="1007"/>
      <c r="E92" s="958"/>
      <c r="F92" s="958"/>
      <c r="G92" s="958"/>
      <c r="H92" s="958"/>
      <c r="I92" s="958"/>
      <c r="J92" s="958"/>
      <c r="K92" s="958"/>
      <c r="L92" s="958"/>
      <c r="M92" s="958"/>
      <c r="N92" s="958"/>
      <c r="O92" s="958"/>
      <c r="P92" s="958"/>
      <c r="Q92" s="958"/>
      <c r="R92" s="958"/>
    </row>
    <row r="93" spans="1:18" s="2" customFormat="1" ht="17" thickBot="1" x14ac:dyDescent="0.25">
      <c r="B93" s="958"/>
      <c r="C93" s="958"/>
      <c r="D93" s="958"/>
      <c r="E93" s="958"/>
      <c r="F93" s="958"/>
      <c r="G93" s="958"/>
      <c r="H93" s="958"/>
      <c r="I93" s="958"/>
      <c r="J93" s="958"/>
      <c r="K93" s="958"/>
      <c r="L93" s="958"/>
    </row>
    <row r="94" spans="1:18" s="2" customFormat="1" ht="41.25" customHeight="1" thickBot="1" x14ac:dyDescent="0.25">
      <c r="A94" s="1931" t="s">
        <v>111</v>
      </c>
      <c r="B94" s="1932"/>
      <c r="C94" s="1932"/>
      <c r="D94" s="1932"/>
      <c r="E94" s="1932"/>
      <c r="F94" s="1932"/>
      <c r="G94" s="1932"/>
      <c r="H94" s="1932"/>
      <c r="I94" s="1932"/>
      <c r="J94" s="1932"/>
      <c r="K94" s="1932"/>
      <c r="L94" s="1932"/>
      <c r="M94" s="1932"/>
      <c r="N94" s="1933"/>
    </row>
    <row r="95" spans="1:18" s="2" customFormat="1" x14ac:dyDescent="0.2">
      <c r="A95" s="958"/>
      <c r="B95" s="958"/>
      <c r="C95" s="958"/>
      <c r="D95" s="958"/>
      <c r="E95" s="958"/>
      <c r="F95" s="958"/>
      <c r="G95" s="958"/>
      <c r="H95" s="958"/>
      <c r="I95" s="958"/>
      <c r="J95" s="958"/>
      <c r="K95" s="958"/>
      <c r="L95" s="958"/>
    </row>
    <row r="96" spans="1:18" s="2" customFormat="1" x14ac:dyDescent="0.2">
      <c r="A96" s="172" t="s">
        <v>26</v>
      </c>
      <c r="B96" s="182">
        <f>B91-B90-B53-B45-B9</f>
        <v>0</v>
      </c>
      <c r="C96" s="182">
        <f t="shared" ref="C96:I96" si="32">C91-C90-C53-C45-C9</f>
        <v>0</v>
      </c>
      <c r="D96" s="182">
        <f t="shared" si="32"/>
        <v>0</v>
      </c>
      <c r="E96" s="182">
        <f t="shared" si="32"/>
        <v>0</v>
      </c>
      <c r="F96" s="182">
        <f t="shared" si="32"/>
        <v>0</v>
      </c>
      <c r="G96" s="182">
        <f t="shared" si="32"/>
        <v>0</v>
      </c>
      <c r="H96" s="182">
        <f t="shared" si="32"/>
        <v>0</v>
      </c>
      <c r="I96" s="182">
        <f t="shared" si="32"/>
        <v>0</v>
      </c>
      <c r="J96" s="958"/>
      <c r="K96" s="958"/>
      <c r="L96" s="958"/>
    </row>
    <row r="97" spans="1:12" x14ac:dyDescent="0.2">
      <c r="A97" s="958"/>
      <c r="B97" s="958"/>
      <c r="C97" s="128"/>
      <c r="D97" s="128"/>
      <c r="E97" s="128"/>
      <c r="F97" s="128"/>
      <c r="G97" s="128"/>
      <c r="H97" s="128"/>
      <c r="I97" s="958"/>
      <c r="J97" s="958"/>
      <c r="K97" s="958"/>
      <c r="L97" s="958"/>
    </row>
    <row r="98" spans="1:12" s="2" customFormat="1" x14ac:dyDescent="0.2">
      <c r="A98" s="958"/>
      <c r="B98" s="128"/>
      <c r="C98" s="129"/>
      <c r="D98" s="129"/>
      <c r="E98" s="129"/>
      <c r="F98" s="129"/>
      <c r="G98" s="129"/>
      <c r="H98" s="128"/>
      <c r="K98" s="958"/>
      <c r="L98" s="958"/>
    </row>
    <row r="99" spans="1:12" x14ac:dyDescent="0.2">
      <c r="A99" s="128" t="s">
        <v>112</v>
      </c>
      <c r="B99" s="1773"/>
      <c r="C99" s="1773" t="s">
        <v>113</v>
      </c>
      <c r="D99" s="1773" t="s">
        <v>114</v>
      </c>
      <c r="E99" s="1773" t="s">
        <v>22</v>
      </c>
      <c r="F99" s="1773" t="s">
        <v>23</v>
      </c>
      <c r="G99" s="1773" t="s">
        <v>24</v>
      </c>
      <c r="H99" s="128"/>
      <c r="I99" s="958"/>
      <c r="J99" s="958"/>
      <c r="K99" s="958"/>
      <c r="L99" s="958"/>
    </row>
    <row r="100" spans="1:12" x14ac:dyDescent="0.2">
      <c r="A100" s="958"/>
      <c r="B100" s="128" t="s">
        <v>115</v>
      </c>
      <c r="C100" s="130"/>
      <c r="D100" s="130">
        <f>+SUMIF(E112:E146,"&gt;0")/(SUM(D112:D146)-D130-D129-D125-D127-D116-D115-D112)</f>
        <v>0.60843137013771853</v>
      </c>
      <c r="E100" s="130">
        <f>+(SUM(F112:F146)-F127)/(SUM(E112:E146))</f>
        <v>0.89379845602384167</v>
      </c>
      <c r="F100" s="130">
        <f>1-E100</f>
        <v>0.10620154397615833</v>
      </c>
      <c r="G100" s="130">
        <f>+SUM(H112:H146)/(SUM(D112:D146)-D112-D115-D116-D117-D113-D129-D130-D146)</f>
        <v>0.13836626366700144</v>
      </c>
      <c r="H100" s="128"/>
      <c r="I100" s="958"/>
      <c r="J100" s="958"/>
      <c r="K100" s="958"/>
      <c r="L100" s="958"/>
    </row>
    <row r="101" spans="1:12" x14ac:dyDescent="0.2">
      <c r="A101" s="958"/>
      <c r="B101" s="128" t="s">
        <v>64</v>
      </c>
      <c r="C101" s="130">
        <f>SUM(C47:C52)/SUM(B47:B52)</f>
        <v>0.11834256037587806</v>
      </c>
      <c r="D101" s="130">
        <f>SUM(E47:E52)/SUM(D47:D52)</f>
        <v>0.62031326117594032</v>
      </c>
      <c r="E101" s="130">
        <f>+SUM(F49:F52,F47)/+SUM(E49:E52,E47)</f>
        <v>0.89313600385790715</v>
      </c>
      <c r="F101" s="130"/>
      <c r="G101" s="130">
        <f>+SUM(H150:H156)/(SUM(D150:D156)-D150-D152-D155)</f>
        <v>7.1862573989797132E-2</v>
      </c>
      <c r="H101" s="128"/>
      <c r="I101" s="958"/>
      <c r="J101" s="958"/>
      <c r="K101" s="130"/>
      <c r="L101" s="958"/>
    </row>
    <row r="102" spans="1:12" x14ac:dyDescent="0.2">
      <c r="A102" s="958"/>
      <c r="B102" s="128" t="s">
        <v>116</v>
      </c>
      <c r="C102" s="131">
        <f>+(SUM(C54:C70)+SUM(C72:C89))/(SUM(B54:B70)+SUM(B72:B89))</f>
        <v>7.936070120941871E-2</v>
      </c>
      <c r="D102" s="128"/>
      <c r="E102" s="132">
        <f>+(SUM(E54:E70)+SUM(E72:E83))/(SUM(D54:D70)+SUM(D72:D83))</f>
        <v>0.72292916034155064</v>
      </c>
      <c r="F102" s="128"/>
      <c r="G102" s="132">
        <v>0</v>
      </c>
      <c r="H102" s="132"/>
      <c r="I102" s="958"/>
      <c r="J102" s="958"/>
      <c r="K102" s="958"/>
      <c r="L102" s="958"/>
    </row>
    <row r="103" spans="1:12" x14ac:dyDescent="0.2">
      <c r="A103" s="958"/>
      <c r="B103" s="128"/>
      <c r="C103" s="128"/>
      <c r="D103" s="128"/>
      <c r="E103" s="128"/>
      <c r="F103" s="128"/>
      <c r="G103" s="128"/>
      <c r="H103" s="128"/>
      <c r="I103" s="958"/>
      <c r="J103" s="958"/>
      <c r="K103" s="958"/>
      <c r="L103" s="958"/>
    </row>
    <row r="104" spans="1:12" x14ac:dyDescent="0.2">
      <c r="A104" s="958"/>
      <c r="B104" s="128"/>
      <c r="C104" s="128"/>
      <c r="D104" s="128"/>
      <c r="E104" s="128"/>
      <c r="F104" s="128"/>
      <c r="G104" s="128"/>
      <c r="H104" s="128"/>
      <c r="I104" s="958"/>
      <c r="J104" s="958"/>
      <c r="K104" s="958"/>
      <c r="L104" s="958"/>
    </row>
    <row r="105" spans="1:12" x14ac:dyDescent="0.2">
      <c r="A105" s="958"/>
      <c r="B105" s="128"/>
      <c r="C105" s="128"/>
      <c r="D105" s="128"/>
      <c r="E105" s="128"/>
      <c r="F105" s="128"/>
      <c r="G105" s="128"/>
      <c r="H105" s="128"/>
      <c r="I105" s="958"/>
      <c r="J105" s="958"/>
      <c r="K105" s="958"/>
      <c r="L105" s="958"/>
    </row>
    <row r="108" spans="1:12" hidden="1" x14ac:dyDescent="0.2">
      <c r="A108" s="958"/>
      <c r="B108" s="958"/>
      <c r="C108" s="958" t="s">
        <v>115</v>
      </c>
      <c r="D108" s="958"/>
      <c r="E108" s="958"/>
      <c r="F108" s="958"/>
      <c r="G108" s="958"/>
      <c r="H108" s="958"/>
      <c r="I108" s="958"/>
      <c r="J108" s="958"/>
      <c r="K108" s="958"/>
      <c r="L108" s="958"/>
    </row>
    <row r="109" spans="1:12" hidden="1" x14ac:dyDescent="0.2">
      <c r="A109" s="958"/>
      <c r="B109" s="958"/>
      <c r="C109" s="958"/>
      <c r="D109" s="958" t="s">
        <v>20</v>
      </c>
      <c r="E109" s="958" t="s">
        <v>21</v>
      </c>
      <c r="F109" s="958" t="s">
        <v>22</v>
      </c>
      <c r="G109" s="958" t="s">
        <v>23</v>
      </c>
      <c r="H109" s="958" t="s">
        <v>24</v>
      </c>
      <c r="I109" s="958" t="s">
        <v>25</v>
      </c>
      <c r="J109" s="958"/>
      <c r="K109" s="958"/>
      <c r="L109" s="958"/>
    </row>
    <row r="110" spans="1:12" hidden="1" x14ac:dyDescent="0.2">
      <c r="A110" s="958"/>
      <c r="B110" s="958"/>
      <c r="C110" s="958"/>
      <c r="D110" s="958"/>
      <c r="E110" s="958"/>
      <c r="F110" s="958"/>
      <c r="G110" s="958"/>
      <c r="H110" s="958"/>
      <c r="I110" s="958"/>
      <c r="J110" s="958"/>
      <c r="K110" s="958"/>
      <c r="L110" s="958"/>
    </row>
    <row r="111" spans="1:12" hidden="1" x14ac:dyDescent="0.2">
      <c r="A111" s="958"/>
      <c r="B111" s="958"/>
      <c r="C111" s="958"/>
      <c r="D111" s="958"/>
      <c r="E111" s="958"/>
      <c r="F111" s="958"/>
      <c r="G111" s="958"/>
      <c r="H111" s="958"/>
      <c r="I111" s="958"/>
      <c r="J111" s="958"/>
      <c r="K111" s="958"/>
      <c r="L111" s="958"/>
    </row>
    <row r="112" spans="1:12" hidden="1" x14ac:dyDescent="0.2">
      <c r="A112" s="958"/>
      <c r="B112" s="958"/>
      <c r="C112" s="958"/>
      <c r="D112" s="958">
        <v>1134.35890542318</v>
      </c>
      <c r="E112" s="958"/>
      <c r="F112" s="958"/>
      <c r="G112" s="958"/>
      <c r="H112" s="958"/>
      <c r="I112" s="958"/>
      <c r="J112" s="958"/>
      <c r="K112" s="958"/>
      <c r="L112" s="958"/>
    </row>
    <row r="113" spans="4:9" hidden="1" x14ac:dyDescent="0.2">
      <c r="D113" s="958">
        <v>332.67976030849803</v>
      </c>
      <c r="E113" s="958">
        <v>216.83707476995184</v>
      </c>
      <c r="F113" s="958">
        <v>203.4286798002349</v>
      </c>
      <c r="G113" s="958">
        <v>13.408394969716932</v>
      </c>
      <c r="H113" s="958"/>
      <c r="I113" s="958"/>
    </row>
    <row r="114" spans="4:9" hidden="1" x14ac:dyDescent="0.2">
      <c r="D114" s="958">
        <v>411.19137057357608</v>
      </c>
      <c r="E114" s="958">
        <v>283.38418404296965</v>
      </c>
      <c r="F114" s="958">
        <v>261.0124226564588</v>
      </c>
      <c r="G114" s="958">
        <v>22.371761386510865</v>
      </c>
      <c r="H114" s="958">
        <v>66.945153322930281</v>
      </c>
      <c r="I114" s="958">
        <v>60.862033207676149</v>
      </c>
    </row>
    <row r="115" spans="4:9" hidden="1" x14ac:dyDescent="0.2">
      <c r="D115" s="958">
        <v>1386.6959372933113</v>
      </c>
      <c r="E115" s="958"/>
      <c r="F115" s="958"/>
      <c r="G115" s="958"/>
      <c r="H115" s="958"/>
      <c r="I115" s="958"/>
    </row>
    <row r="116" spans="4:9" hidden="1" x14ac:dyDescent="0.2">
      <c r="D116" s="958">
        <v>201.44372958371886</v>
      </c>
      <c r="E116" s="958"/>
      <c r="F116" s="958"/>
      <c r="G116" s="958"/>
      <c r="H116" s="958"/>
      <c r="I116" s="958"/>
    </row>
    <row r="117" spans="4:9" hidden="1" x14ac:dyDescent="0.2">
      <c r="D117" s="958">
        <v>169.18445042939175</v>
      </c>
      <c r="E117" s="958">
        <v>112.15354438741807</v>
      </c>
      <c r="F117" s="958">
        <v>105.46442400528483</v>
      </c>
      <c r="G117" s="958">
        <v>6.6891203821332379</v>
      </c>
      <c r="H117" s="958"/>
      <c r="I117" s="958"/>
    </row>
    <row r="118" spans="4:9" hidden="1" x14ac:dyDescent="0.2">
      <c r="D118" s="958">
        <v>258.92896557577268</v>
      </c>
      <c r="E118" s="958">
        <v>171.31642871995703</v>
      </c>
      <c r="F118" s="958">
        <v>156.43854767909247</v>
      </c>
      <c r="G118" s="958">
        <v>14.877881040864565</v>
      </c>
      <c r="H118" s="958">
        <v>56.930632364567465</v>
      </c>
      <c r="I118" s="958">
        <v>30.681904491248183</v>
      </c>
    </row>
    <row r="119" spans="4:9" hidden="1" x14ac:dyDescent="0.2">
      <c r="D119" s="958">
        <v>19.484306151216813</v>
      </c>
      <c r="E119" s="958">
        <v>14.300084621791608</v>
      </c>
      <c r="F119" s="958">
        <v>13.555235404959081</v>
      </c>
      <c r="G119" s="958">
        <v>0.74484921683252769</v>
      </c>
      <c r="H119" s="958">
        <v>3.2878283253425074</v>
      </c>
      <c r="I119" s="958">
        <v>1.8963932040826976</v>
      </c>
    </row>
    <row r="120" spans="4:9" hidden="1" x14ac:dyDescent="0.2">
      <c r="D120" s="958">
        <v>203.2608780037686</v>
      </c>
      <c r="E120" s="958">
        <v>127.77114186183469</v>
      </c>
      <c r="F120" s="958">
        <v>121.94743245506339</v>
      </c>
      <c r="G120" s="958">
        <v>5.8237094067712958</v>
      </c>
      <c r="H120" s="958">
        <v>40.825855450896626</v>
      </c>
      <c r="I120" s="958">
        <v>34.663880691037278</v>
      </c>
    </row>
    <row r="121" spans="4:9" hidden="1" x14ac:dyDescent="0.2">
      <c r="D121" s="958">
        <v>2117.4668028600613</v>
      </c>
      <c r="E121" s="958">
        <v>1308.4658390810716</v>
      </c>
      <c r="F121" s="958">
        <v>1208.8882825990756</v>
      </c>
      <c r="G121" s="958">
        <v>99.57755648199597</v>
      </c>
      <c r="H121" s="958">
        <v>395.77822658011507</v>
      </c>
      <c r="I121" s="958">
        <v>413.2227371988746</v>
      </c>
    </row>
    <row r="122" spans="4:9" hidden="1" x14ac:dyDescent="0.2">
      <c r="D122" s="958">
        <v>3041.629928831188</v>
      </c>
      <c r="E122" s="958">
        <v>2072.973263728305</v>
      </c>
      <c r="F122" s="958">
        <v>1955.0417619077721</v>
      </c>
      <c r="G122" s="958">
        <v>117.93150182053304</v>
      </c>
      <c r="H122" s="958">
        <v>325.08409498491113</v>
      </c>
      <c r="I122" s="958">
        <v>643.57257011797174</v>
      </c>
    </row>
    <row r="123" spans="4:9" hidden="1" x14ac:dyDescent="0.2">
      <c r="D123" s="958">
        <v>168.119423972921</v>
      </c>
      <c r="E123" s="958">
        <v>65.374766181006336</v>
      </c>
      <c r="F123" s="958">
        <v>57.459378101921011</v>
      </c>
      <c r="G123" s="958">
        <v>7.9153880790853313</v>
      </c>
      <c r="H123" s="958">
        <v>30.928569891721814</v>
      </c>
      <c r="I123" s="958">
        <v>71.816087900192855</v>
      </c>
    </row>
    <row r="124" spans="4:9" hidden="1" x14ac:dyDescent="0.2">
      <c r="D124" s="958">
        <v>101.9514950820259</v>
      </c>
      <c r="E124" s="958">
        <v>66.600399165868637</v>
      </c>
      <c r="F124" s="958">
        <v>63.378081676854649</v>
      </c>
      <c r="G124" s="958">
        <v>3.2223174890139892</v>
      </c>
      <c r="H124" s="958">
        <v>17.133366149660354</v>
      </c>
      <c r="I124" s="958">
        <v>18.217729766496909</v>
      </c>
    </row>
    <row r="125" spans="4:9" hidden="1" x14ac:dyDescent="0.2">
      <c r="D125" s="958">
        <v>14.458228464332317</v>
      </c>
      <c r="E125" s="958"/>
      <c r="F125" s="958"/>
      <c r="G125" s="958"/>
      <c r="H125" s="958">
        <v>2.7194512628269329</v>
      </c>
      <c r="I125" s="958"/>
    </row>
    <row r="126" spans="4:9" hidden="1" x14ac:dyDescent="0.2">
      <c r="D126" s="958">
        <v>268.97424159244235</v>
      </c>
      <c r="E126" s="958">
        <v>216.35996679454206</v>
      </c>
      <c r="F126" s="958">
        <v>198.23817651684283</v>
      </c>
      <c r="G126" s="958">
        <v>18.121790277699219</v>
      </c>
      <c r="H126" s="958">
        <v>25.388975322156163</v>
      </c>
      <c r="I126" s="958">
        <v>27.22529947574413</v>
      </c>
    </row>
    <row r="127" spans="4:9" hidden="1" x14ac:dyDescent="0.2">
      <c r="D127" s="958">
        <v>257.65045884399973</v>
      </c>
      <c r="E127" s="958"/>
      <c r="F127" s="958">
        <v>156.86592670691022</v>
      </c>
      <c r="G127" s="958"/>
      <c r="H127" s="958">
        <v>36.217430231759373</v>
      </c>
      <c r="I127" s="958"/>
    </row>
    <row r="128" spans="4:9" hidden="1" x14ac:dyDescent="0.2">
      <c r="D128" s="958">
        <v>1589.2630140662934</v>
      </c>
      <c r="E128" s="958">
        <v>872.75122856867165</v>
      </c>
      <c r="F128" s="958">
        <v>795.37641170331563</v>
      </c>
      <c r="G128" s="958">
        <v>77.374816865355967</v>
      </c>
      <c r="H128" s="958">
        <v>228.77939442738332</v>
      </c>
      <c r="I128" s="958">
        <v>487.73239107023846</v>
      </c>
    </row>
    <row r="129" spans="4:9" hidden="1" x14ac:dyDescent="0.2">
      <c r="D129" s="958">
        <v>4026.7438220621034</v>
      </c>
      <c r="E129" s="958"/>
      <c r="F129" s="958"/>
      <c r="G129" s="958"/>
      <c r="H129" s="958"/>
      <c r="I129" s="958"/>
    </row>
    <row r="130" spans="4:9" hidden="1" x14ac:dyDescent="0.2">
      <c r="D130" s="958">
        <v>1242.3956876031853</v>
      </c>
      <c r="E130" s="958"/>
      <c r="F130" s="958"/>
      <c r="G130" s="958"/>
      <c r="H130" s="958"/>
      <c r="I130" s="958"/>
    </row>
    <row r="131" spans="4:9" hidden="1" x14ac:dyDescent="0.2">
      <c r="D131" s="958">
        <v>23.862537833038875</v>
      </c>
      <c r="E131" s="958">
        <v>16.865578894016473</v>
      </c>
      <c r="F131" s="958">
        <v>15.789667712516593</v>
      </c>
      <c r="G131" s="958">
        <v>1.0759111814998796</v>
      </c>
      <c r="H131" s="958">
        <v>3.7631366181671786</v>
      </c>
      <c r="I131" s="958">
        <v>3.2338223208552237</v>
      </c>
    </row>
    <row r="132" spans="4:9" hidden="1" x14ac:dyDescent="0.2">
      <c r="D132" s="958">
        <v>51.736632141419314</v>
      </c>
      <c r="E132" s="958">
        <v>39.231128397764564</v>
      </c>
      <c r="F132" s="958">
        <v>25.812973640810995</v>
      </c>
      <c r="G132" s="958">
        <v>13.418154756953573</v>
      </c>
      <c r="H132" s="958">
        <v>6.4658590442728343</v>
      </c>
      <c r="I132" s="958">
        <v>6.0396446993819151</v>
      </c>
    </row>
    <row r="133" spans="4:9" hidden="1" x14ac:dyDescent="0.2">
      <c r="D133" s="958">
        <v>1072.9108741037744</v>
      </c>
      <c r="E133" s="958">
        <v>580.51899302302263</v>
      </c>
      <c r="F133" s="958">
        <v>539.63509070108421</v>
      </c>
      <c r="G133" s="958">
        <v>40.883902321938415</v>
      </c>
      <c r="H133" s="958">
        <v>107.06274698678412</v>
      </c>
      <c r="I133" s="958">
        <v>385.32913409396764</v>
      </c>
    </row>
    <row r="134" spans="4:9" hidden="1" x14ac:dyDescent="0.2">
      <c r="D134" s="958">
        <v>680.05975651548977</v>
      </c>
      <c r="E134" s="958">
        <v>501.13845699981925</v>
      </c>
      <c r="F134" s="958">
        <v>450.70808365468542</v>
      </c>
      <c r="G134" s="958">
        <v>50.430373345133802</v>
      </c>
      <c r="H134" s="958">
        <v>90.792638902290108</v>
      </c>
      <c r="I134" s="958">
        <v>88.128660613380404</v>
      </c>
    </row>
    <row r="135" spans="4:9" hidden="1" x14ac:dyDescent="0.2">
      <c r="D135" s="958">
        <v>152.42315939957109</v>
      </c>
      <c r="E135" s="958">
        <v>117.72450705207552</v>
      </c>
      <c r="F135" s="958">
        <v>110.9119754528496</v>
      </c>
      <c r="G135" s="958">
        <v>6.8125315992259203</v>
      </c>
      <c r="H135" s="958">
        <v>20.029895918687561</v>
      </c>
      <c r="I135" s="958">
        <v>14.668756428808006</v>
      </c>
    </row>
    <row r="136" spans="4:9" hidden="1" x14ac:dyDescent="0.2">
      <c r="D136" s="958">
        <v>347.80703326208402</v>
      </c>
      <c r="E136" s="958">
        <v>244.0517414879925</v>
      </c>
      <c r="F136" s="958">
        <v>227.26315067631907</v>
      </c>
      <c r="G136" s="958">
        <v>16.788590811673419</v>
      </c>
      <c r="H136" s="958">
        <v>69.872188906802151</v>
      </c>
      <c r="I136" s="958">
        <v>33.883102867289367</v>
      </c>
    </row>
    <row r="137" spans="4:9" hidden="1" x14ac:dyDescent="0.2">
      <c r="D137" s="958">
        <v>421.78140336914709</v>
      </c>
      <c r="E137" s="958">
        <v>234.89932351770796</v>
      </c>
      <c r="F137" s="958">
        <v>219.12534818941506</v>
      </c>
      <c r="G137" s="958">
        <v>15.773975328292877</v>
      </c>
      <c r="H137" s="958">
        <v>59.604722111685902</v>
      </c>
      <c r="I137" s="958">
        <v>127.27735773975323</v>
      </c>
    </row>
    <row r="138" spans="4:9" hidden="1" x14ac:dyDescent="0.2">
      <c r="D138" s="958">
        <v>172.96809991360371</v>
      </c>
      <c r="E138" s="958">
        <v>101.75390252856124</v>
      </c>
      <c r="F138" s="958">
        <v>93.25897817245766</v>
      </c>
      <c r="G138" s="958">
        <v>8.4949243561035814</v>
      </c>
      <c r="H138" s="958">
        <v>28.746567161199522</v>
      </c>
      <c r="I138" s="958">
        <v>42.467630223842946</v>
      </c>
    </row>
    <row r="139" spans="4:9" hidden="1" x14ac:dyDescent="0.2">
      <c r="D139" s="958">
        <v>79.039844331393581</v>
      </c>
      <c r="E139" s="958">
        <v>43.35690211044308</v>
      </c>
      <c r="F139" s="958">
        <v>40.681291929654115</v>
      </c>
      <c r="G139" s="958">
        <v>2.6756101807889676</v>
      </c>
      <c r="H139" s="958">
        <v>11.16217106467079</v>
      </c>
      <c r="I139" s="958">
        <v>24.520771156279711</v>
      </c>
    </row>
    <row r="140" spans="4:9" hidden="1" x14ac:dyDescent="0.2">
      <c r="D140" s="958">
        <v>36.953009286215739</v>
      </c>
      <c r="E140" s="958">
        <v>23.475728296395868</v>
      </c>
      <c r="F140" s="958">
        <v>22.013766401710626</v>
      </c>
      <c r="G140" s="958">
        <v>1.4619618946852413</v>
      </c>
      <c r="H140" s="958">
        <v>5.9998325309235545</v>
      </c>
      <c r="I140" s="958">
        <v>7.4774484588963164</v>
      </c>
    </row>
    <row r="141" spans="4:9" hidden="1" x14ac:dyDescent="0.2">
      <c r="D141" s="958">
        <v>1072.3666042262098</v>
      </c>
      <c r="E141" s="958">
        <v>678.97508925214515</v>
      </c>
      <c r="F141" s="958">
        <v>641.19251291230933</v>
      </c>
      <c r="G141" s="958">
        <v>37.782576339835785</v>
      </c>
      <c r="H141" s="958">
        <v>163.01506445341309</v>
      </c>
      <c r="I141" s="958">
        <v>230.37645052065156</v>
      </c>
    </row>
    <row r="142" spans="4:9" hidden="1" x14ac:dyDescent="0.2">
      <c r="D142" s="958">
        <v>397.38603252865107</v>
      </c>
      <c r="E142" s="958">
        <v>287.8253425286855</v>
      </c>
      <c r="F142" s="958">
        <v>269.43791827255546</v>
      </c>
      <c r="G142" s="958">
        <v>18.387424256130021</v>
      </c>
      <c r="H142" s="958">
        <v>77.441768019100763</v>
      </c>
      <c r="I142" s="958">
        <v>32.118921980864812</v>
      </c>
    </row>
    <row r="143" spans="4:9" hidden="1" x14ac:dyDescent="0.2">
      <c r="D143" s="958">
        <v>659.15844691447569</v>
      </c>
      <c r="E143" s="958">
        <v>483.52057116672086</v>
      </c>
      <c r="F143" s="958">
        <v>418.96218472725457</v>
      </c>
      <c r="G143" s="958">
        <v>64.558386439466275</v>
      </c>
      <c r="H143" s="958">
        <v>70.134861453000426</v>
      </c>
      <c r="I143" s="958">
        <v>105.50301429475441</v>
      </c>
    </row>
    <row r="144" spans="4:9" hidden="1" x14ac:dyDescent="0.2">
      <c r="D144" s="958">
        <v>758.4468874919163</v>
      </c>
      <c r="E144" s="958">
        <v>461.75718903871274</v>
      </c>
      <c r="F144" s="958">
        <v>436.54209967687609</v>
      </c>
      <c r="G144" s="958">
        <v>25.215089361836664</v>
      </c>
      <c r="H144" s="958">
        <v>81.860188697905045</v>
      </c>
      <c r="I144" s="958">
        <v>214.82950975529852</v>
      </c>
    </row>
    <row r="145" spans="3:9" hidden="1" x14ac:dyDescent="0.2">
      <c r="C145" s="958"/>
      <c r="D145" s="958">
        <v>2511.5400774583868</v>
      </c>
      <c r="E145" s="958">
        <v>1619.5418191262634</v>
      </c>
      <c r="F145" s="958">
        <v>1440.0278055748649</v>
      </c>
      <c r="G145" s="958">
        <v>179.51401355139831</v>
      </c>
      <c r="H145" s="958">
        <v>311.14896607567084</v>
      </c>
      <c r="I145" s="958">
        <v>580.8492922564526</v>
      </c>
    </row>
    <row r="146" spans="3:9" hidden="1" x14ac:dyDescent="0.2">
      <c r="C146" s="958"/>
      <c r="D146" s="958">
        <v>16922.192500000001</v>
      </c>
      <c r="E146" s="958">
        <v>9749.7634999999991</v>
      </c>
      <c r="F146" s="958">
        <v>8421.3765999999996</v>
      </c>
      <c r="G146" s="958">
        <v>1328.3869000000002</v>
      </c>
      <c r="H146" s="958"/>
      <c r="I146" s="958"/>
    </row>
    <row r="147" spans="3:9" hidden="1" x14ac:dyDescent="0.2">
      <c r="C147" s="958"/>
      <c r="D147" s="958"/>
      <c r="E147" s="958"/>
      <c r="F147" s="958"/>
      <c r="G147" s="958"/>
      <c r="H147" s="958"/>
      <c r="I147" s="958"/>
    </row>
    <row r="148" spans="3:9" hidden="1" x14ac:dyDescent="0.2">
      <c r="C148" s="958"/>
      <c r="D148" s="958"/>
      <c r="E148" s="958"/>
      <c r="F148" s="958"/>
      <c r="G148" s="958"/>
      <c r="H148" s="958"/>
      <c r="I148" s="958"/>
    </row>
    <row r="149" spans="3:9" hidden="1" x14ac:dyDescent="0.2">
      <c r="C149" s="958" t="s">
        <v>117</v>
      </c>
      <c r="D149" s="958"/>
      <c r="E149" s="958"/>
      <c r="F149" s="958"/>
      <c r="G149" s="958"/>
      <c r="H149" s="958"/>
      <c r="I149" s="958"/>
    </row>
    <row r="150" spans="3:9" hidden="1" x14ac:dyDescent="0.2">
      <c r="C150" s="958"/>
      <c r="D150" s="958">
        <v>2165.3892241270273</v>
      </c>
      <c r="E150" s="958">
        <v>1305.6038000000001</v>
      </c>
      <c r="F150" s="958"/>
      <c r="G150" s="958"/>
      <c r="H150" s="958"/>
      <c r="I150" s="958"/>
    </row>
    <row r="151" spans="3:9" hidden="1" x14ac:dyDescent="0.2">
      <c r="C151" s="958"/>
      <c r="D151" s="958">
        <v>9679.5536246447809</v>
      </c>
      <c r="E151" s="958">
        <v>6211.8447853385696</v>
      </c>
      <c r="F151" s="958"/>
      <c r="G151" s="958"/>
      <c r="H151" s="958">
        <v>795.34694435553956</v>
      </c>
      <c r="I151" s="958">
        <v>2672.3618949506717</v>
      </c>
    </row>
    <row r="152" spans="3:9" hidden="1" x14ac:dyDescent="0.2">
      <c r="C152" s="958"/>
      <c r="D152" s="958">
        <v>260.35558291390413</v>
      </c>
      <c r="E152" s="958">
        <v>135.02409969740114</v>
      </c>
      <c r="F152" s="958"/>
      <c r="G152" s="958"/>
      <c r="H152" s="958"/>
      <c r="I152" s="958"/>
    </row>
    <row r="153" spans="3:9" hidden="1" x14ac:dyDescent="0.2">
      <c r="C153" s="958"/>
      <c r="D153" s="958">
        <v>48.629278349229132</v>
      </c>
      <c r="E153" s="958">
        <v>29.987501894855708</v>
      </c>
      <c r="F153" s="958"/>
      <c r="G153" s="958"/>
      <c r="H153" s="958">
        <v>8.0721776098757676</v>
      </c>
      <c r="I153" s="958">
        <v>10.569598844497657</v>
      </c>
    </row>
    <row r="154" spans="3:9" hidden="1" x14ac:dyDescent="0.2">
      <c r="C154" s="958"/>
      <c r="D154" s="958">
        <v>1942.0521379679471</v>
      </c>
      <c r="E154" s="958">
        <v>919.01579786888453</v>
      </c>
      <c r="F154" s="958"/>
      <c r="G154" s="958"/>
      <c r="H154" s="958">
        <v>0.87791571834518378</v>
      </c>
      <c r="I154" s="958">
        <v>1022.1584243807174</v>
      </c>
    </row>
    <row r="155" spans="3:9" hidden="1" x14ac:dyDescent="0.2">
      <c r="C155" s="958"/>
      <c r="D155" s="958">
        <v>1213.6983753065635</v>
      </c>
      <c r="E155" s="958">
        <v>856.3415010588692</v>
      </c>
      <c r="F155" s="958"/>
      <c r="G155" s="958"/>
      <c r="H155" s="958"/>
      <c r="I155" s="958"/>
    </row>
    <row r="156" spans="3:9" hidden="1" x14ac:dyDescent="0.2">
      <c r="C156" s="958"/>
      <c r="D156" s="958">
        <v>307.83846829753014</v>
      </c>
      <c r="E156" s="958">
        <v>192.31937324835505</v>
      </c>
      <c r="F156" s="958"/>
      <c r="G156" s="958"/>
      <c r="H156" s="958">
        <v>56.478156130628307</v>
      </c>
      <c r="I156" s="958">
        <v>59.040938918546786</v>
      </c>
    </row>
    <row r="157" spans="3:9" hidden="1" x14ac:dyDescent="0.2">
      <c r="C157" s="958"/>
      <c r="D157" s="958"/>
      <c r="E157" s="958"/>
      <c r="F157" s="958"/>
      <c r="G157" s="958"/>
      <c r="H157" s="958"/>
      <c r="I157" s="958"/>
    </row>
    <row r="158" spans="3:9" hidden="1" x14ac:dyDescent="0.2">
      <c r="C158" s="958"/>
      <c r="D158" s="958"/>
      <c r="E158" s="958"/>
      <c r="F158" s="958"/>
      <c r="G158" s="958"/>
      <c r="H158" s="958"/>
      <c r="I158" s="958"/>
    </row>
  </sheetData>
  <mergeCells count="15">
    <mergeCell ref="A94:N94"/>
    <mergeCell ref="A3:N3"/>
    <mergeCell ref="M6:M8"/>
    <mergeCell ref="N6:N8"/>
    <mergeCell ref="B7:B8"/>
    <mergeCell ref="C7:C8"/>
    <mergeCell ref="D7:D8"/>
    <mergeCell ref="B6:I6"/>
    <mergeCell ref="E7:E8"/>
    <mergeCell ref="H7:H8"/>
    <mergeCell ref="I7:I8"/>
    <mergeCell ref="J6:L6"/>
    <mergeCell ref="J7:J8"/>
    <mergeCell ref="K7:K8"/>
    <mergeCell ref="L7:L8"/>
  </mergeCells>
  <phoneticPr fontId="36" type="noConversion"/>
  <pageMargins left="0.75" right="0.75" top="1" bottom="1" header="0.5" footer="0.5"/>
  <pageSetup scale="42" fitToHeight="3"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3:N95"/>
  <sheetViews>
    <sheetView workbookViewId="0">
      <pane xSplit="1" ySplit="9" topLeftCell="B85" activePane="bottomRight" state="frozen"/>
      <selection pane="topRight" activeCell="AR8" sqref="AR8"/>
      <selection pane="bottomLeft" activeCell="AR8" sqref="AR8"/>
      <selection pane="bottomRight" activeCell="A4" sqref="A4:M89"/>
    </sheetView>
  </sheetViews>
  <sheetFormatPr baseColWidth="10" defaultColWidth="10.83203125" defaultRowHeight="16" x14ac:dyDescent="0.2"/>
  <cols>
    <col min="1" max="1" width="16.6640625" style="1" customWidth="1"/>
    <col min="2" max="2" width="12.5" style="1" customWidth="1"/>
    <col min="3" max="3" width="11.83203125" style="1" customWidth="1"/>
    <col min="4" max="7" width="11.33203125" style="1" customWidth="1"/>
    <col min="8" max="8" width="11.83203125" style="1" customWidth="1"/>
    <col min="9" max="12" width="11.33203125" style="1" customWidth="1"/>
    <col min="13" max="13" width="11.83203125" style="1" customWidth="1"/>
    <col min="14" max="16384" width="10.83203125" style="1"/>
  </cols>
  <sheetData>
    <row r="3" spans="1:14" ht="17" thickBot="1" x14ac:dyDescent="0.25">
      <c r="A3" s="958"/>
      <c r="B3" s="958"/>
      <c r="C3" s="958"/>
      <c r="D3" s="958"/>
      <c r="E3" s="958"/>
      <c r="F3" s="958"/>
      <c r="G3" s="958"/>
      <c r="H3" s="958"/>
      <c r="I3" s="958"/>
      <c r="J3" s="958"/>
      <c r="K3" s="958"/>
      <c r="L3" s="958"/>
      <c r="M3" s="958"/>
      <c r="N3" s="958"/>
    </row>
    <row r="4" spans="1:14" ht="32.25" customHeight="1" thickTop="1" x14ac:dyDescent="0.2">
      <c r="A4" s="1934" t="s">
        <v>375</v>
      </c>
      <c r="B4" s="1935"/>
      <c r="C4" s="1935"/>
      <c r="D4" s="1935"/>
      <c r="E4" s="1935"/>
      <c r="F4" s="1935"/>
      <c r="G4" s="1935"/>
      <c r="H4" s="1935"/>
      <c r="I4" s="1935"/>
      <c r="J4" s="1935"/>
      <c r="K4" s="1935"/>
      <c r="L4" s="1935"/>
      <c r="M4" s="1936"/>
      <c r="N4" s="958"/>
    </row>
    <row r="5" spans="1:14" ht="12" customHeight="1" x14ac:dyDescent="0.2">
      <c r="A5" s="4"/>
      <c r="B5" s="620"/>
      <c r="C5" s="620"/>
      <c r="D5" s="620"/>
      <c r="E5" s="620"/>
      <c r="F5" s="620"/>
      <c r="G5" s="620"/>
      <c r="H5" s="620"/>
      <c r="I5" s="620"/>
      <c r="J5" s="620"/>
      <c r="K5" s="620"/>
      <c r="L5" s="620"/>
      <c r="M5" s="5"/>
      <c r="N5" s="958"/>
    </row>
    <row r="6" spans="1:14" ht="17" thickBot="1" x14ac:dyDescent="0.25">
      <c r="A6" s="1154"/>
      <c r="B6" s="3" t="s">
        <v>1</v>
      </c>
      <c r="C6" s="3" t="s">
        <v>2</v>
      </c>
      <c r="D6" s="3" t="s">
        <v>3</v>
      </c>
      <c r="E6" s="3" t="s">
        <v>4</v>
      </c>
      <c r="F6" s="3" t="s">
        <v>5</v>
      </c>
      <c r="G6" s="3" t="s">
        <v>6</v>
      </c>
      <c r="H6" s="3" t="s">
        <v>7</v>
      </c>
      <c r="I6" s="3" t="s">
        <v>8</v>
      </c>
      <c r="J6" s="3" t="s">
        <v>9</v>
      </c>
      <c r="K6" s="3" t="s">
        <v>10</v>
      </c>
      <c r="L6" s="3" t="s">
        <v>11</v>
      </c>
      <c r="M6" s="6" t="s">
        <v>12</v>
      </c>
      <c r="N6" s="958"/>
    </row>
    <row r="7" spans="1:14" ht="21" customHeight="1" x14ac:dyDescent="0.2">
      <c r="A7" s="1154"/>
      <c r="B7" s="2004" t="s">
        <v>362</v>
      </c>
      <c r="C7" s="2005"/>
      <c r="D7" s="2005"/>
      <c r="E7" s="2005"/>
      <c r="F7" s="2005"/>
      <c r="G7" s="2005"/>
      <c r="H7" s="2005"/>
      <c r="I7" s="2005"/>
      <c r="J7" s="2005"/>
      <c r="K7" s="2005"/>
      <c r="L7" s="2005"/>
      <c r="M7" s="2174"/>
      <c r="N7" s="958"/>
    </row>
    <row r="8" spans="1:14" ht="85" customHeight="1" x14ac:dyDescent="0.2">
      <c r="A8" s="1154"/>
      <c r="B8" s="2055" t="s">
        <v>376</v>
      </c>
      <c r="C8" s="2019" t="s">
        <v>147</v>
      </c>
      <c r="D8" s="1825" t="s">
        <v>377</v>
      </c>
      <c r="E8" s="1826" t="s">
        <v>378</v>
      </c>
      <c r="F8" s="1828" t="s">
        <v>379</v>
      </c>
      <c r="G8" s="1828" t="s">
        <v>380</v>
      </c>
      <c r="H8" s="2019" t="s">
        <v>381</v>
      </c>
      <c r="I8" s="1825" t="s">
        <v>377</v>
      </c>
      <c r="J8" s="1826" t="s">
        <v>382</v>
      </c>
      <c r="K8" s="1828" t="s">
        <v>379</v>
      </c>
      <c r="L8" s="1827" t="s">
        <v>380</v>
      </c>
      <c r="M8" s="2176" t="s">
        <v>367</v>
      </c>
      <c r="N8" s="1104"/>
    </row>
    <row r="9" spans="1:14" ht="33" customHeight="1" x14ac:dyDescent="0.2">
      <c r="A9" s="1154"/>
      <c r="B9" s="2007"/>
      <c r="C9" s="2020"/>
      <c r="D9" s="1834"/>
      <c r="E9" s="1834"/>
      <c r="F9" s="1834"/>
      <c r="G9" s="1834"/>
      <c r="H9" s="2020"/>
      <c r="I9" s="1834"/>
      <c r="J9" s="1834"/>
      <c r="K9" s="1834"/>
      <c r="L9" s="748"/>
      <c r="M9" s="2071"/>
      <c r="N9" s="1104"/>
    </row>
    <row r="10" spans="1:14" ht="14.25" customHeight="1" x14ac:dyDescent="0.2">
      <c r="A10" s="1322" t="s">
        <v>29</v>
      </c>
      <c r="B10" s="16">
        <v>13.834247501690999</v>
      </c>
      <c r="C10" s="15">
        <v>9.1471936283718005</v>
      </c>
      <c r="D10" s="1036">
        <v>9.1471936283718005</v>
      </c>
      <c r="E10" s="1036">
        <v>0</v>
      </c>
      <c r="F10" s="1036">
        <v>0</v>
      </c>
      <c r="G10" s="1036">
        <v>0</v>
      </c>
      <c r="H10" s="15">
        <v>0.68675332481779006</v>
      </c>
      <c r="I10" s="1036">
        <f>H10</f>
        <v>0.68675332481779006</v>
      </c>
      <c r="J10" s="1036">
        <v>0</v>
      </c>
      <c r="K10" s="1036">
        <v>0</v>
      </c>
      <c r="L10" s="1045">
        <v>0</v>
      </c>
      <c r="M10" s="1350">
        <f>TableB2!J10</f>
        <v>4.0048087760162003</v>
      </c>
      <c r="N10" s="1104"/>
    </row>
    <row r="11" spans="1:14" ht="14.25" customHeight="1" x14ac:dyDescent="0.2">
      <c r="A11" s="1154" t="s">
        <v>30</v>
      </c>
      <c r="B11" s="120">
        <v>2.8896283971159002</v>
      </c>
      <c r="C11" s="1195">
        <v>10.214087631725</v>
      </c>
      <c r="D11" s="1037">
        <v>10.214087631725</v>
      </c>
      <c r="E11" s="1037">
        <v>0</v>
      </c>
      <c r="F11" s="1037">
        <v>0</v>
      </c>
      <c r="G11" s="1037">
        <v>0</v>
      </c>
      <c r="H11" s="1195">
        <v>1.6916250693289001</v>
      </c>
      <c r="I11" s="1037">
        <v>0.75984470327232001</v>
      </c>
      <c r="J11" s="1037">
        <v>0.63338879645036006</v>
      </c>
      <c r="K11" s="1037">
        <v>0.25956738768718995</v>
      </c>
      <c r="L11" s="1046">
        <v>3.8824181919024002E-2</v>
      </c>
      <c r="M11" s="1351">
        <f>TableB2!J11</f>
        <v>-9.0171935662783991</v>
      </c>
      <c r="N11" s="1104"/>
    </row>
    <row r="12" spans="1:14" ht="14.25" customHeight="1" x14ac:dyDescent="0.2">
      <c r="A12" s="1154" t="s">
        <v>31</v>
      </c>
      <c r="B12" s="120">
        <v>22.882972823073001</v>
      </c>
      <c r="C12" s="1195">
        <v>13.505268996118</v>
      </c>
      <c r="D12" s="1037">
        <v>13.470881863561001</v>
      </c>
      <c r="E12" s="1037">
        <v>0</v>
      </c>
      <c r="F12" s="1037">
        <v>2.2185246810871001E-2</v>
      </c>
      <c r="G12" s="1037">
        <v>1.3311148086522E-2</v>
      </c>
      <c r="H12" s="1195">
        <v>10.933998890738</v>
      </c>
      <c r="I12" s="1037">
        <v>1.0870770937326999</v>
      </c>
      <c r="J12" s="1037">
        <v>0.93954520244037998</v>
      </c>
      <c r="K12" s="1037">
        <v>1.7282307265668</v>
      </c>
      <c r="L12" s="1046">
        <v>7.1769273433166996</v>
      </c>
      <c r="M12" s="1351">
        <f>TableB2!J12</f>
        <v>-1.5562950637826001</v>
      </c>
      <c r="N12" s="1104"/>
    </row>
    <row r="13" spans="1:14" ht="14.25" customHeight="1" x14ac:dyDescent="0.2">
      <c r="A13" s="1154" t="s">
        <v>32</v>
      </c>
      <c r="B13" s="120"/>
      <c r="C13" s="1195"/>
      <c r="D13" s="1037"/>
      <c r="E13" s="1037"/>
      <c r="F13" s="1037"/>
      <c r="G13" s="1037"/>
      <c r="H13" s="1195"/>
      <c r="I13" s="1037"/>
      <c r="J13" s="1037"/>
      <c r="K13" s="1037"/>
      <c r="L13" s="1046"/>
      <c r="M13" s="1351"/>
      <c r="N13" s="1104"/>
    </row>
    <row r="14" spans="1:14" ht="14.25" customHeight="1" x14ac:dyDescent="0.2">
      <c r="A14" s="1154" t="s">
        <v>33</v>
      </c>
      <c r="B14" s="120">
        <v>3.9603124554282001</v>
      </c>
      <c r="C14" s="1195">
        <v>0.68634441400000001</v>
      </c>
      <c r="D14" s="1037">
        <v>0.67304297710406003</v>
      </c>
      <c r="E14" s="1037">
        <v>2.5380725316414996E-3</v>
      </c>
      <c r="F14" s="1037">
        <v>0</v>
      </c>
      <c r="G14" s="1037">
        <v>0</v>
      </c>
      <c r="H14" s="1195">
        <v>0.40863686199999999</v>
      </c>
      <c r="I14" s="1037">
        <v>0.33826779402379997</v>
      </c>
      <c r="J14" s="1037">
        <v>5.7017422081417003E-2</v>
      </c>
      <c r="K14" s="1037">
        <v>0</v>
      </c>
      <c r="L14" s="1046">
        <v>0</v>
      </c>
      <c r="M14" s="1351">
        <f>TableB2!J14</f>
        <v>2.8653311794281997</v>
      </c>
      <c r="N14" s="1104"/>
    </row>
    <row r="15" spans="1:14" ht="14.25" customHeight="1" x14ac:dyDescent="0.2">
      <c r="A15" s="1154" t="s">
        <v>34</v>
      </c>
      <c r="B15" s="120">
        <v>1.977798560566</v>
      </c>
      <c r="C15" s="1195">
        <v>0.88073842150204995</v>
      </c>
      <c r="D15" s="1037">
        <v>0.88073842150204995</v>
      </c>
      <c r="E15" s="1037">
        <v>0</v>
      </c>
      <c r="F15" s="1037">
        <v>0</v>
      </c>
      <c r="G15" s="1037">
        <v>0</v>
      </c>
      <c r="H15" s="1195">
        <v>0.12426300166714001</v>
      </c>
      <c r="I15" s="1037">
        <v>1.3011832635303E-2</v>
      </c>
      <c r="J15" s="1037">
        <v>6.4408571544748994E-2</v>
      </c>
      <c r="K15" s="1037">
        <v>8.1323953970642007E-4</v>
      </c>
      <c r="L15" s="1046">
        <v>4.6192005855325E-2</v>
      </c>
      <c r="M15" s="1351">
        <f>TableB2!J15</f>
        <v>0.97279713739681994</v>
      </c>
      <c r="N15" s="1104"/>
    </row>
    <row r="16" spans="1:14" ht="14.25" customHeight="1" x14ac:dyDescent="0.2">
      <c r="A16" s="1154" t="s">
        <v>35</v>
      </c>
      <c r="B16" s="120">
        <v>13.163826686889001</v>
      </c>
      <c r="C16" s="1195">
        <v>10.532310345853</v>
      </c>
      <c r="D16" s="1037">
        <v>10.532310345853</v>
      </c>
      <c r="E16" s="1037">
        <v>0</v>
      </c>
      <c r="F16" s="1037">
        <v>0</v>
      </c>
      <c r="G16" s="1037">
        <v>0</v>
      </c>
      <c r="H16" s="1195">
        <v>1.2372498290064999</v>
      </c>
      <c r="I16" s="1037">
        <v>1.1615665982692001</v>
      </c>
      <c r="J16" s="1037">
        <v>5.5312695155678E-2</v>
      </c>
      <c r="K16" s="1037">
        <v>1.9329705296338999E-3</v>
      </c>
      <c r="L16" s="1046">
        <v>1.8437565051893E-2</v>
      </c>
      <c r="M16" s="1351">
        <f>TableB2!J16</f>
        <v>1.3944152020698</v>
      </c>
      <c r="N16" s="1104"/>
    </row>
    <row r="17" spans="1:14" ht="14.25" customHeight="1" x14ac:dyDescent="0.2">
      <c r="A17" s="1154" t="s">
        <v>36</v>
      </c>
      <c r="B17" s="120">
        <v>0.36708374930671001</v>
      </c>
      <c r="C17" s="1195">
        <v>0.24230837493067001</v>
      </c>
      <c r="D17" s="1037">
        <v>0.24203549639490002</v>
      </c>
      <c r="E17" s="1037">
        <v>0</v>
      </c>
      <c r="F17" s="1037">
        <v>0</v>
      </c>
      <c r="G17" s="1037">
        <v>0</v>
      </c>
      <c r="H17" s="1195">
        <v>8.6218524681087011E-2</v>
      </c>
      <c r="I17" s="1037">
        <v>5.4532445923461001E-2</v>
      </c>
      <c r="J17" s="1037">
        <v>2.0879645036050998E-2</v>
      </c>
      <c r="K17" s="1037">
        <v>1.4464780920688E-3</v>
      </c>
      <c r="L17" s="1046">
        <v>9.3599556295063998E-3</v>
      </c>
      <c r="M17" s="1351">
        <f>TableB2!J17</f>
        <v>3.8556849694953002E-2</v>
      </c>
      <c r="N17" s="1104"/>
    </row>
    <row r="18" spans="1:14" ht="14.25" customHeight="1" x14ac:dyDescent="0.2">
      <c r="A18" s="1154" t="s">
        <v>37</v>
      </c>
      <c r="B18" s="120">
        <v>7.7071547420964999</v>
      </c>
      <c r="C18" s="1195">
        <v>10.647809206877</v>
      </c>
      <c r="D18" s="1037">
        <f>C18</f>
        <v>10.647809206877</v>
      </c>
      <c r="E18" s="1037">
        <v>0</v>
      </c>
      <c r="F18" s="1037">
        <v>0</v>
      </c>
      <c r="G18" s="1037">
        <v>0</v>
      </c>
      <c r="H18" s="1195">
        <v>0.76760953965612999</v>
      </c>
      <c r="I18" s="1037"/>
      <c r="J18" s="1037"/>
      <c r="K18" s="1037"/>
      <c r="L18" s="1046"/>
      <c r="M18" s="1351">
        <f>TableB2!J18</f>
        <v>-3.7082640044369999</v>
      </c>
      <c r="N18" s="1104"/>
    </row>
    <row r="19" spans="1:14" ht="14.25" customHeight="1" x14ac:dyDescent="0.2">
      <c r="A19" s="1154" t="s">
        <v>38</v>
      </c>
      <c r="B19" s="120">
        <v>74.230021407576999</v>
      </c>
      <c r="C19" s="1195">
        <v>64.215373266778002</v>
      </c>
      <c r="D19" s="1037">
        <v>64.215373266778002</v>
      </c>
      <c r="E19" s="1037">
        <v>0</v>
      </c>
      <c r="F19" s="1037">
        <v>0</v>
      </c>
      <c r="G19" s="1037">
        <v>0</v>
      </c>
      <c r="H19" s="1195">
        <v>5.5458084292076997</v>
      </c>
      <c r="I19" s="1037">
        <v>1.6512597606691999</v>
      </c>
      <c r="J19" s="1037">
        <v>0.39132772691776002</v>
      </c>
      <c r="K19" s="1037">
        <v>2.5429337194109998</v>
      </c>
      <c r="L19" s="1046">
        <v>0.9602872222096599</v>
      </c>
      <c r="M19" s="1351">
        <f>TableB2!J19</f>
        <v>4.4688397115917997</v>
      </c>
      <c r="N19" s="1104"/>
    </row>
    <row r="20" spans="1:14" ht="14.25" customHeight="1" x14ac:dyDescent="0.2">
      <c r="A20" s="1154" t="s">
        <v>39</v>
      </c>
      <c r="B20" s="120">
        <v>84.185246810871007</v>
      </c>
      <c r="C20" s="1195">
        <v>65.433166943982002</v>
      </c>
      <c r="D20" s="1037">
        <v>65.433166943982002</v>
      </c>
      <c r="E20" s="1037">
        <v>0</v>
      </c>
      <c r="F20" s="1037">
        <v>0</v>
      </c>
      <c r="G20" s="1037">
        <v>0</v>
      </c>
      <c r="H20" s="1195">
        <v>7.9789240155297003</v>
      </c>
      <c r="I20" s="1037">
        <v>6.5180255130338001</v>
      </c>
      <c r="J20" s="1037">
        <v>0.57237936772046993</v>
      </c>
      <c r="K20" s="1037">
        <v>0.24625623960067</v>
      </c>
      <c r="L20" s="1046">
        <v>0.64226289517471002</v>
      </c>
      <c r="M20" s="1351">
        <f>TableB2!J20</f>
        <v>10.772046589018</v>
      </c>
      <c r="N20" s="1104"/>
    </row>
    <row r="21" spans="1:14" ht="14.25" customHeight="1" x14ac:dyDescent="0.2">
      <c r="A21" s="1154" t="s">
        <v>40</v>
      </c>
      <c r="B21" s="120">
        <v>1.8014650027732</v>
      </c>
      <c r="C21" s="1195">
        <v>0.24941714475873999</v>
      </c>
      <c r="D21" s="1037">
        <v>0.24941714475873999</v>
      </c>
      <c r="E21" s="1037">
        <v>0</v>
      </c>
      <c r="F21" s="1037">
        <v>0</v>
      </c>
      <c r="G21" s="1037">
        <v>0</v>
      </c>
      <c r="H21" s="1195">
        <v>3.5620011092623001E-3</v>
      </c>
      <c r="I21" s="1037">
        <v>3.5620011092623001E-3</v>
      </c>
      <c r="J21" s="1037">
        <v>0</v>
      </c>
      <c r="K21" s="1037">
        <v>0</v>
      </c>
      <c r="L21" s="1046">
        <v>0</v>
      </c>
      <c r="M21" s="1351">
        <f>TableB2!J21</f>
        <v>1.5484858569052</v>
      </c>
      <c r="N21" s="1104"/>
    </row>
    <row r="22" spans="1:14" ht="14.25" customHeight="1" x14ac:dyDescent="0.2">
      <c r="A22" s="1154" t="s">
        <v>41</v>
      </c>
      <c r="B22" s="120">
        <v>5.3804062193314</v>
      </c>
      <c r="C22" s="1195">
        <v>1.1560207561767</v>
      </c>
      <c r="D22" s="1037">
        <v>1.1560207561767</v>
      </c>
      <c r="E22" s="1037">
        <v>0</v>
      </c>
      <c r="F22" s="1037">
        <v>0</v>
      </c>
      <c r="G22" s="1037">
        <v>0</v>
      </c>
      <c r="H22" s="1195">
        <v>1.3978684104959</v>
      </c>
      <c r="I22" s="1037">
        <v>0.14940141263781001</v>
      </c>
      <c r="J22" s="1037">
        <v>0.45150898658281002</v>
      </c>
      <c r="K22" s="1037">
        <v>1.8338502976429999E-5</v>
      </c>
      <c r="L22" s="1046">
        <v>0.79693967277234001</v>
      </c>
      <c r="M22" s="1351">
        <f>TableB2!J22</f>
        <v>2.8265170562405002</v>
      </c>
      <c r="N22" s="1104"/>
    </row>
    <row r="23" spans="1:14" ht="14.25" customHeight="1" x14ac:dyDescent="0.2">
      <c r="A23" s="1154" t="s">
        <v>42</v>
      </c>
      <c r="B23" s="120">
        <v>0.48551094384139998</v>
      </c>
      <c r="C23" s="1195">
        <v>5.5285940979301E-2</v>
      </c>
      <c r="D23" s="1037">
        <v>5.5285940979301E-2</v>
      </c>
      <c r="E23" s="1037">
        <v>0</v>
      </c>
      <c r="F23" s="1037">
        <v>0</v>
      </c>
      <c r="G23" s="1037">
        <v>0</v>
      </c>
      <c r="H23" s="1195">
        <v>0.3221854171579</v>
      </c>
      <c r="I23" s="1037">
        <v>0.13343836550133001</v>
      </c>
      <c r="J23" s="1037">
        <v>8.0138836553923995E-3</v>
      </c>
      <c r="K23" s="1037">
        <v>1.0159511918851E-3</v>
      </c>
      <c r="L23" s="1046">
        <v>0.17971721680928998</v>
      </c>
      <c r="M23" s="1351">
        <f>TableB2!J23</f>
        <v>0.1080395857042</v>
      </c>
      <c r="N23" s="1104"/>
    </row>
    <row r="24" spans="1:14" ht="14.25" customHeight="1" x14ac:dyDescent="0.2">
      <c r="A24" s="1154" t="s">
        <v>43</v>
      </c>
      <c r="B24" s="120">
        <v>17.311148086522</v>
      </c>
      <c r="C24" s="1195">
        <v>1.6117581808098</v>
      </c>
      <c r="D24" s="1037">
        <v>1.6195230171935999</v>
      </c>
      <c r="E24" s="1037">
        <v>-5.5463117027177E-3</v>
      </c>
      <c r="F24" s="1037">
        <v>0</v>
      </c>
      <c r="G24" s="1037">
        <v>0</v>
      </c>
      <c r="H24" s="1195">
        <v>3.9822518025512998</v>
      </c>
      <c r="I24" s="1037">
        <v>-0.34165280088741001</v>
      </c>
      <c r="J24" s="1037">
        <v>4.3250138657793</v>
      </c>
      <c r="K24" s="1037">
        <v>0</v>
      </c>
      <c r="L24" s="1046">
        <v>0</v>
      </c>
      <c r="M24" s="1351">
        <f>TableB2!J24</f>
        <v>11.716028840821</v>
      </c>
      <c r="N24" s="1104"/>
    </row>
    <row r="25" spans="1:14" ht="14.25" customHeight="1" x14ac:dyDescent="0.2">
      <c r="A25" s="1154" t="s">
        <v>44</v>
      </c>
      <c r="B25" s="120"/>
      <c r="C25" s="1195"/>
      <c r="D25" s="1037"/>
      <c r="E25" s="1037"/>
      <c r="F25" s="1037"/>
      <c r="G25" s="1037"/>
      <c r="H25" s="1195"/>
      <c r="I25" s="1037"/>
      <c r="J25" s="1037"/>
      <c r="K25" s="1037"/>
      <c r="L25" s="1046"/>
      <c r="M25" s="1351">
        <f>TableB2!J26</f>
        <v>-3.0844303937881001</v>
      </c>
      <c r="N25" s="1104"/>
    </row>
    <row r="26" spans="1:14" ht="14.25" customHeight="1" x14ac:dyDescent="0.2">
      <c r="A26" s="1154" t="s">
        <v>45</v>
      </c>
      <c r="B26" s="120">
        <v>15.313239046033999</v>
      </c>
      <c r="C26" s="1195">
        <v>15.558739877980999</v>
      </c>
      <c r="D26" s="1037">
        <v>15.523150305047</v>
      </c>
      <c r="E26" s="1037">
        <v>0</v>
      </c>
      <c r="F26" s="1037">
        <v>3.5589572933999003E-2</v>
      </c>
      <c r="G26" s="1037">
        <v>0</v>
      </c>
      <c r="H26" s="1195">
        <v>2.8389295618413999</v>
      </c>
      <c r="I26" s="1037">
        <v>1.4058302828619</v>
      </c>
      <c r="J26" s="1037">
        <v>0.54273322240709998</v>
      </c>
      <c r="K26" s="1037">
        <v>0.13784581253466002</v>
      </c>
      <c r="L26" s="1046">
        <v>0.75252024403771001</v>
      </c>
      <c r="M26" s="1351">
        <f>TableB2!J25</f>
        <v>4.468</v>
      </c>
      <c r="N26" s="1104"/>
    </row>
    <row r="27" spans="1:14" ht="14.25" customHeight="1" x14ac:dyDescent="0.2">
      <c r="A27" s="1154" t="s">
        <v>46</v>
      </c>
      <c r="B27" s="120">
        <v>94.342008375046987</v>
      </c>
      <c r="C27" s="1195">
        <v>49.686658848633002</v>
      </c>
      <c r="D27" s="1037">
        <f>C27</f>
        <v>49.686658848633002</v>
      </c>
      <c r="E27" s="1037">
        <v>0</v>
      </c>
      <c r="F27" s="1037">
        <v>0</v>
      </c>
      <c r="G27" s="1037">
        <v>0</v>
      </c>
      <c r="H27" s="1195">
        <v>1.3660897354844002</v>
      </c>
      <c r="I27" s="1037">
        <f>H27</f>
        <v>1.3660897354844002</v>
      </c>
      <c r="J27" s="1037">
        <v>0</v>
      </c>
      <c r="K27" s="1037">
        <v>0</v>
      </c>
      <c r="L27" s="1046">
        <v>0</v>
      </c>
      <c r="M27" s="1351">
        <v>43.290086221502001</v>
      </c>
      <c r="N27" s="1104"/>
    </row>
    <row r="28" spans="1:14" ht="14.25" customHeight="1" x14ac:dyDescent="0.2">
      <c r="A28" s="1154" t="s">
        <v>47</v>
      </c>
      <c r="B28" s="120">
        <v>10.776299999999999</v>
      </c>
      <c r="C28" s="1195">
        <v>6.1459999999999999</v>
      </c>
      <c r="D28" s="1037">
        <f>C28</f>
        <v>6.1459999999999999</v>
      </c>
      <c r="E28" s="1037">
        <v>0</v>
      </c>
      <c r="F28" s="1037">
        <v>0</v>
      </c>
      <c r="G28" s="1037">
        <v>0</v>
      </c>
      <c r="H28" s="1195">
        <v>0.77739999999999998</v>
      </c>
      <c r="I28" s="1037"/>
      <c r="J28" s="1037"/>
      <c r="K28" s="1037"/>
      <c r="L28" s="1046"/>
      <c r="M28" s="1351">
        <f>TableB2!J28</f>
        <v>-4.3261114620000001</v>
      </c>
      <c r="N28" s="1104"/>
    </row>
    <row r="29" spans="1:14" x14ac:dyDescent="0.2">
      <c r="A29" s="1154" t="s">
        <v>48</v>
      </c>
      <c r="B29" s="120">
        <v>0.17193566278425002</v>
      </c>
      <c r="C29" s="1195">
        <v>8.7631724902939995E-2</v>
      </c>
      <c r="D29" s="1037">
        <v>8.7631724902939995E-2</v>
      </c>
      <c r="E29" s="1037">
        <v>0</v>
      </c>
      <c r="F29" s="1037">
        <v>0</v>
      </c>
      <c r="G29" s="1037">
        <v>0</v>
      </c>
      <c r="H29" s="1195">
        <v>2.4403771491958E-2</v>
      </c>
      <c r="I29" s="1037">
        <v>7.7648363838048002E-3</v>
      </c>
      <c r="J29" s="1037">
        <v>1.1092623405435001E-2</v>
      </c>
      <c r="K29" s="1037">
        <v>2.2185246810870998E-3</v>
      </c>
      <c r="L29" s="1046">
        <v>3.3277870216305997E-3</v>
      </c>
      <c r="M29" s="1351">
        <f>TableB2!J29</f>
        <v>5.8790904048808004E-2</v>
      </c>
      <c r="N29" s="958"/>
    </row>
    <row r="30" spans="1:14" x14ac:dyDescent="0.2">
      <c r="A30" s="1154" t="s">
        <v>49</v>
      </c>
      <c r="B30" s="120">
        <v>134.47809206877</v>
      </c>
      <c r="C30" s="1195">
        <v>82.425956738769003</v>
      </c>
      <c r="D30" s="1037">
        <f>C30</f>
        <v>82.425956738769003</v>
      </c>
      <c r="E30" s="1037">
        <v>0</v>
      </c>
      <c r="F30" s="1037">
        <v>0</v>
      </c>
      <c r="G30" s="1037">
        <v>0</v>
      </c>
      <c r="H30" s="1195">
        <v>56.389351081530997</v>
      </c>
      <c r="I30" s="1037"/>
      <c r="J30" s="1037"/>
      <c r="K30" s="1037"/>
      <c r="L30" s="1046"/>
      <c r="M30" s="1352">
        <f>TableB2!J30</f>
        <v>-4.3372157515251999</v>
      </c>
      <c r="N30" s="958"/>
    </row>
    <row r="31" spans="1:14" x14ac:dyDescent="0.2">
      <c r="A31" s="1154" t="s">
        <v>50</v>
      </c>
      <c r="B31" s="120"/>
      <c r="C31" s="1195"/>
      <c r="D31" s="1037"/>
      <c r="E31" s="1037"/>
      <c r="F31" s="1037"/>
      <c r="G31" s="1037"/>
      <c r="H31" s="1195"/>
      <c r="I31" s="1037"/>
      <c r="J31" s="1037"/>
      <c r="K31" s="1037"/>
      <c r="L31" s="1046"/>
      <c r="M31" s="1351">
        <f>TableB2!J31</f>
        <v>2.2585328900000001</v>
      </c>
      <c r="N31" s="958"/>
    </row>
    <row r="32" spans="1:14" x14ac:dyDescent="0.2">
      <c r="A32" s="1154" t="s">
        <v>51</v>
      </c>
      <c r="B32" s="120">
        <v>223.32567942317999</v>
      </c>
      <c r="C32" s="1195">
        <v>172.89428729894999</v>
      </c>
      <c r="D32" s="1037">
        <f>C32</f>
        <v>172.89428729894999</v>
      </c>
      <c r="E32" s="1037">
        <v>0</v>
      </c>
      <c r="F32" s="1037">
        <v>0</v>
      </c>
      <c r="G32" s="1037">
        <v>0</v>
      </c>
      <c r="H32" s="1195">
        <v>51.158846367165999</v>
      </c>
      <c r="I32" s="1037"/>
      <c r="J32" s="1037"/>
      <c r="K32" s="1037"/>
      <c r="L32" s="1046"/>
      <c r="M32" s="1352">
        <f>TableB2!J32</f>
        <v>-0.72767609539655997</v>
      </c>
      <c r="N32" s="958"/>
    </row>
    <row r="33" spans="1:13" x14ac:dyDescent="0.2">
      <c r="A33" s="1154" t="s">
        <v>52</v>
      </c>
      <c r="B33" s="120">
        <v>0.71747315576628001</v>
      </c>
      <c r="C33" s="1195">
        <v>0.50760005578022993</v>
      </c>
      <c r="D33" s="1037">
        <v>0.50760005578022993</v>
      </c>
      <c r="E33" s="1037">
        <v>0</v>
      </c>
      <c r="F33" s="1037">
        <v>0</v>
      </c>
      <c r="G33" s="1037">
        <v>0</v>
      </c>
      <c r="H33" s="1195">
        <v>0.22172639799191002</v>
      </c>
      <c r="I33" s="1037">
        <v>6.6239018268024003E-2</v>
      </c>
      <c r="J33" s="1037">
        <v>5.0202203318923E-2</v>
      </c>
      <c r="K33" s="1037">
        <v>0</v>
      </c>
      <c r="L33" s="1046">
        <v>0.10667968205271</v>
      </c>
      <c r="M33" s="1351">
        <f>TableB2!J33</f>
        <v>-1.3247803653605001E-2</v>
      </c>
    </row>
    <row r="34" spans="1:13" x14ac:dyDescent="0.2">
      <c r="A34" s="1080" t="s">
        <v>53</v>
      </c>
      <c r="B34" s="120">
        <v>11.055020274542999</v>
      </c>
      <c r="C34" s="1195">
        <v>7.7173468248949</v>
      </c>
      <c r="D34" s="1037">
        <f>C34</f>
        <v>7.7173468248949</v>
      </c>
      <c r="E34" s="1037">
        <v>0</v>
      </c>
      <c r="F34" s="1037">
        <v>0</v>
      </c>
      <c r="G34" s="1037">
        <v>0</v>
      </c>
      <c r="H34" s="1195">
        <v>1.891794700098</v>
      </c>
      <c r="I34" s="1037">
        <v>1.891794700098</v>
      </c>
      <c r="J34" s="1037">
        <v>0</v>
      </c>
      <c r="K34" s="1037">
        <v>0</v>
      </c>
      <c r="L34" s="1046">
        <v>0</v>
      </c>
      <c r="M34" s="1351">
        <f>TableB2!J34</f>
        <v>1.4907679525811</v>
      </c>
    </row>
    <row r="35" spans="1:13" x14ac:dyDescent="0.2">
      <c r="A35" s="1154" t="s">
        <v>54</v>
      </c>
      <c r="B35" s="120">
        <v>1.3383374887274</v>
      </c>
      <c r="C35" s="1195">
        <v>0.76444220465757995</v>
      </c>
      <c r="D35" s="1037">
        <v>0.70473714922285002</v>
      </c>
      <c r="E35" s="1037">
        <v>2.5887220837091E-2</v>
      </c>
      <c r="F35" s="1037">
        <v>1.9362368044136E-3</v>
      </c>
      <c r="G35" s="1037">
        <v>3.1881597793221E-2</v>
      </c>
      <c r="H35" s="1195">
        <v>0.55808710413241003</v>
      </c>
      <c r="I35" s="1037">
        <v>0.22521351652432001</v>
      </c>
      <c r="J35" s="1037">
        <v>9.9649885947694999E-2</v>
      </c>
      <c r="K35" s="1037">
        <v>3.9467402259826999E-2</v>
      </c>
      <c r="L35" s="1046">
        <v>0.19375629940056002</v>
      </c>
      <c r="M35" s="1351">
        <f>TableB2!J35</f>
        <v>1.5808179937404E-2</v>
      </c>
    </row>
    <row r="36" spans="1:13" x14ac:dyDescent="0.2">
      <c r="A36" s="1154" t="s">
        <v>55</v>
      </c>
      <c r="B36" s="120">
        <v>2.3017193566278</v>
      </c>
      <c r="C36" s="1195">
        <v>1.3777038269551001</v>
      </c>
      <c r="D36" s="1037">
        <v>1.3555185801442</v>
      </c>
      <c r="E36" s="1037">
        <v>0</v>
      </c>
      <c r="F36" s="1037">
        <v>3.3277870216305997E-3</v>
      </c>
      <c r="G36" s="1037">
        <v>1.885745978924E-2</v>
      </c>
      <c r="H36" s="1195">
        <v>0.21186910704382</v>
      </c>
      <c r="I36" s="1037">
        <v>0.10648918469218001</v>
      </c>
      <c r="J36" s="1037">
        <v>8.9850249584027E-2</v>
      </c>
      <c r="K36" s="1037">
        <v>0</v>
      </c>
      <c r="L36" s="1046">
        <v>1.5529672767609999E-2</v>
      </c>
      <c r="M36" s="1351">
        <f>TableB2!J36</f>
        <v>0.71214642262895</v>
      </c>
    </row>
    <row r="37" spans="1:13" x14ac:dyDescent="0.2">
      <c r="A37" s="1154" t="s">
        <v>336</v>
      </c>
      <c r="B37" s="120">
        <v>0.43448103161398</v>
      </c>
      <c r="C37" s="1195">
        <v>0.30484747642818</v>
      </c>
      <c r="D37" s="1037">
        <v>0.30484747642818</v>
      </c>
      <c r="E37" s="1037">
        <v>0</v>
      </c>
      <c r="F37" s="1037">
        <v>0</v>
      </c>
      <c r="G37" s="1037">
        <v>0</v>
      </c>
      <c r="H37" s="1195">
        <v>9.9322240709927997E-2</v>
      </c>
      <c r="I37" s="1037">
        <v>1.5595119245702E-2</v>
      </c>
      <c r="J37" s="1037">
        <v>7.2678868552412998E-2</v>
      </c>
      <c r="K37" s="1037">
        <v>0</v>
      </c>
      <c r="L37" s="1046">
        <v>1.1048252911814001E-2</v>
      </c>
      <c r="M37" s="1351">
        <f>TableB2!J37</f>
        <v>3.0311314475873999E-2</v>
      </c>
    </row>
    <row r="38" spans="1:13" x14ac:dyDescent="0.2">
      <c r="A38" s="1080" t="s">
        <v>57</v>
      </c>
      <c r="B38" s="120">
        <v>7.2102052135329997E-2</v>
      </c>
      <c r="C38" s="1195">
        <v>9.5288962839711999E-2</v>
      </c>
      <c r="D38" s="1037">
        <v>9.5288962839711999E-2</v>
      </c>
      <c r="E38" s="1037">
        <v>0</v>
      </c>
      <c r="F38" s="1037">
        <v>0</v>
      </c>
      <c r="G38" s="1037">
        <v>0</v>
      </c>
      <c r="H38" s="1195">
        <v>5.0303937881308998E-2</v>
      </c>
      <c r="I38" s="1037">
        <v>3.8901830282862003E-2</v>
      </c>
      <c r="J38" s="1037">
        <v>6.5080421519689005E-3</v>
      </c>
      <c r="K38" s="1037">
        <v>2.5956738768719001E-4</v>
      </c>
      <c r="L38" s="1046">
        <v>4.6333887964504E-3</v>
      </c>
      <c r="M38" s="1351">
        <f>TableB2!J38</f>
        <v>-7.3490848585690993E-2</v>
      </c>
    </row>
    <row r="39" spans="1:13" x14ac:dyDescent="0.2">
      <c r="A39" s="1154" t="s">
        <v>58</v>
      </c>
      <c r="B39" s="120">
        <v>33.429839156961002</v>
      </c>
      <c r="C39" s="1195"/>
      <c r="D39" s="1037"/>
      <c r="E39" s="1037"/>
      <c r="F39" s="1037"/>
      <c r="G39" s="1037"/>
      <c r="H39" s="1195">
        <v>1.6195230171935999</v>
      </c>
      <c r="I39" s="1037">
        <v>0.68441486411536001</v>
      </c>
      <c r="J39" s="1037">
        <v>0.16084303937881</v>
      </c>
      <c r="K39" s="1037">
        <f>(H39-I39-J39)*0.5</f>
        <v>0.38713255684971493</v>
      </c>
      <c r="L39" s="1046">
        <f>H39-I39-J39-K39</f>
        <v>0.38713255684971493</v>
      </c>
      <c r="M39" s="1351">
        <f>TableB2!J39</f>
        <v>9.4585690515806391</v>
      </c>
    </row>
    <row r="40" spans="1:13" x14ac:dyDescent="0.2">
      <c r="A40" s="1154" t="s">
        <v>59</v>
      </c>
      <c r="B40" s="120">
        <v>29.229117483065</v>
      </c>
      <c r="C40" s="1195">
        <v>20.092415740334001</v>
      </c>
      <c r="D40" s="1037">
        <v>20.092415740334001</v>
      </c>
      <c r="E40" s="1037">
        <v>0</v>
      </c>
      <c r="F40" s="1037">
        <v>0</v>
      </c>
      <c r="G40" s="1037">
        <v>0</v>
      </c>
      <c r="H40" s="1195">
        <v>2.0636351772981998</v>
      </c>
      <c r="I40" s="1037">
        <v>1.5105643410484999</v>
      </c>
      <c r="J40" s="1037">
        <v>8.4823176301710004E-2</v>
      </c>
      <c r="K40" s="1037">
        <v>0.28270437640135998</v>
      </c>
      <c r="L40" s="1046">
        <v>0.18542464973367001</v>
      </c>
      <c r="M40" s="1351">
        <f>TableB2!J40</f>
        <v>7.0730665654325007</v>
      </c>
    </row>
    <row r="41" spans="1:13" x14ac:dyDescent="0.2">
      <c r="A41" s="1154" t="s">
        <v>60</v>
      </c>
      <c r="B41" s="120">
        <v>97.290508619321002</v>
      </c>
      <c r="C41" s="1195">
        <v>55.682380988169001</v>
      </c>
      <c r="D41" s="1037">
        <f>C41</f>
        <v>55.682380988169001</v>
      </c>
      <c r="E41" s="1037">
        <v>0</v>
      </c>
      <c r="F41" s="1037">
        <v>0</v>
      </c>
      <c r="G41" s="1037">
        <v>0</v>
      </c>
      <c r="H41" s="1195">
        <v>11.066594970074</v>
      </c>
      <c r="I41" s="1037"/>
      <c r="J41" s="1037"/>
      <c r="K41" s="1037"/>
      <c r="L41" s="1046"/>
      <c r="M41" s="1351">
        <f>TableB2!J41</f>
        <v>30.541532661079</v>
      </c>
    </row>
    <row r="42" spans="1:13" x14ac:dyDescent="0.2">
      <c r="A42" s="1154" t="s">
        <v>61</v>
      </c>
      <c r="B42" s="120">
        <v>0.22496000000000002</v>
      </c>
      <c r="C42" s="1195">
        <v>0.18555000000000002</v>
      </c>
      <c r="D42" s="1037">
        <v>0.18555000000000002</v>
      </c>
      <c r="E42" s="1037">
        <v>0</v>
      </c>
      <c r="F42" s="1037">
        <v>0</v>
      </c>
      <c r="G42" s="1037">
        <v>0</v>
      </c>
      <c r="H42" s="1195">
        <v>4.2900000000000004E-3</v>
      </c>
      <c r="I42" s="1037">
        <v>4.2699999999999995E-3</v>
      </c>
      <c r="J42" s="1037">
        <v>1.0000000000000001E-5</v>
      </c>
      <c r="K42" s="1037">
        <v>0</v>
      </c>
      <c r="L42" s="1046">
        <v>1.0000000000000001E-5</v>
      </c>
      <c r="M42" s="1351">
        <f>TableB2!J42</f>
        <v>3.5119999999999998E-2</v>
      </c>
    </row>
    <row r="43" spans="1:13" x14ac:dyDescent="0.2">
      <c r="A43" s="1154" t="s">
        <v>62</v>
      </c>
      <c r="B43" s="120">
        <v>94.406417112298996</v>
      </c>
      <c r="C43" s="1195"/>
      <c r="D43" s="1037"/>
      <c r="E43" s="1037"/>
      <c r="F43" s="1037"/>
      <c r="G43" s="1037"/>
      <c r="H43" s="1195"/>
      <c r="I43" s="1037"/>
      <c r="J43" s="1037"/>
      <c r="K43" s="1037"/>
      <c r="L43" s="1046"/>
      <c r="M43" s="1351">
        <f>TableB2!J43</f>
        <v>59.464942032191672</v>
      </c>
    </row>
    <row r="44" spans="1:13" x14ac:dyDescent="0.2">
      <c r="A44" s="1154" t="s">
        <v>63</v>
      </c>
      <c r="B44" s="120">
        <v>436.90899999999999</v>
      </c>
      <c r="C44" s="1195">
        <v>125.50700000000001</v>
      </c>
      <c r="D44" s="1037">
        <f>C44</f>
        <v>125.50700000000001</v>
      </c>
      <c r="E44" s="1037">
        <v>0</v>
      </c>
      <c r="F44" s="1037">
        <v>0</v>
      </c>
      <c r="G44" s="1037">
        <v>0</v>
      </c>
      <c r="H44" s="1195">
        <v>20.486999999999998</v>
      </c>
      <c r="I44" s="1037">
        <v>15.661</v>
      </c>
      <c r="J44" s="1037">
        <v>4.8259999999999996</v>
      </c>
      <c r="K44" s="1037">
        <v>0</v>
      </c>
      <c r="L44" s="1046">
        <v>0</v>
      </c>
      <c r="M44" s="1351">
        <f>TableB2!J44</f>
        <v>290.91500000000002</v>
      </c>
    </row>
    <row r="45" spans="1:13" ht="51" x14ac:dyDescent="0.2">
      <c r="A45" s="112" t="s">
        <v>64</v>
      </c>
      <c r="B45" s="121"/>
      <c r="C45" s="1195"/>
      <c r="D45" s="1037"/>
      <c r="E45" s="1037"/>
      <c r="F45" s="1037"/>
      <c r="G45" s="1037"/>
      <c r="H45" s="1195"/>
      <c r="I45" s="1037"/>
      <c r="J45" s="1037"/>
      <c r="K45" s="1037"/>
      <c r="L45" s="1046"/>
      <c r="M45" s="1351"/>
    </row>
    <row r="46" spans="1:13" x14ac:dyDescent="0.2">
      <c r="A46" s="1155" t="s">
        <v>65</v>
      </c>
      <c r="B46" s="121">
        <f>+TableB2!G46</f>
        <v>7.2890531494999999</v>
      </c>
      <c r="C46" s="1195">
        <f>+TableB2!H46</f>
        <v>2.6669244664200003</v>
      </c>
      <c r="D46" s="1037"/>
      <c r="E46" s="1037">
        <v>0</v>
      </c>
      <c r="F46" s="1037">
        <v>0</v>
      </c>
      <c r="G46" s="111"/>
      <c r="H46" s="1195">
        <f>+TableB2!I46</f>
        <v>0.11629095129</v>
      </c>
      <c r="I46" s="1037">
        <f>H46</f>
        <v>0.11629095129</v>
      </c>
      <c r="J46" s="1037">
        <v>0</v>
      </c>
      <c r="K46" s="1037">
        <v>0</v>
      </c>
      <c r="L46" s="1046">
        <v>0</v>
      </c>
      <c r="M46" s="1351">
        <f>+TableB2!J46</f>
        <v>4.5058377317900007</v>
      </c>
    </row>
    <row r="47" spans="1:13" x14ac:dyDescent="0.2">
      <c r="A47" s="113" t="s">
        <v>66</v>
      </c>
      <c r="B47" s="121">
        <f>+TableB2!G47</f>
        <v>94.634249003443642</v>
      </c>
      <c r="C47" s="1195">
        <f>+TableB2!H47</f>
        <v>28.390274701033093</v>
      </c>
      <c r="D47" s="1037"/>
      <c r="E47" s="1037"/>
      <c r="F47" s="1037"/>
      <c r="G47" s="111"/>
      <c r="H47" s="1195">
        <f>+TableB2!I47</f>
        <v>0</v>
      </c>
      <c r="I47" s="1037"/>
      <c r="J47" s="1037"/>
      <c r="K47" s="1037"/>
      <c r="L47" s="1046"/>
      <c r="M47" s="1351">
        <f>+TableB2!J47</f>
        <v>66.24397430241055</v>
      </c>
    </row>
    <row r="48" spans="1:13" x14ac:dyDescent="0.2">
      <c r="A48" s="113" t="s">
        <v>67</v>
      </c>
      <c r="B48" s="121">
        <f>+TableB2!G48</f>
        <v>3.5615806026999999</v>
      </c>
      <c r="C48" s="1195">
        <f>+TableB2!H48</f>
        <v>1.6547167199999999</v>
      </c>
      <c r="D48" s="1037"/>
      <c r="E48" s="1037"/>
      <c r="F48" s="1037"/>
      <c r="G48" s="111"/>
      <c r="H48" s="1195">
        <f>+TableB2!I48</f>
        <v>2.8459282699999998E-2</v>
      </c>
      <c r="I48" s="1037"/>
      <c r="J48" s="1037"/>
      <c r="K48" s="1037"/>
      <c r="L48" s="1046"/>
      <c r="M48" s="1351">
        <f>+TableB2!J48</f>
        <v>1.8784045999999999</v>
      </c>
    </row>
    <row r="49" spans="1:13" x14ac:dyDescent="0.2">
      <c r="A49" s="113" t="s">
        <v>68</v>
      </c>
      <c r="B49" s="121">
        <f>+TableB2!G49</f>
        <v>7.4886040299999984E-2</v>
      </c>
      <c r="C49" s="1195">
        <f>+TableB2!H49</f>
        <v>3.2629442699999997E-2</v>
      </c>
      <c r="D49" s="1037"/>
      <c r="E49" s="1037"/>
      <c r="F49" s="1037"/>
      <c r="G49" s="111"/>
      <c r="H49" s="1195">
        <f>+TableB2!I49</f>
        <v>1.74866E-3</v>
      </c>
      <c r="I49" s="1037"/>
      <c r="J49" s="1037"/>
      <c r="K49" s="1037"/>
      <c r="L49" s="1046"/>
      <c r="M49" s="1351">
        <f>+TableB2!J49</f>
        <v>4.0507937599999988E-2</v>
      </c>
    </row>
    <row r="50" spans="1:13" x14ac:dyDescent="0.2">
      <c r="A50" s="113" t="s">
        <v>69</v>
      </c>
      <c r="B50" s="121">
        <f>+TableB2!G50</f>
        <v>5.0185436815000006</v>
      </c>
      <c r="C50" s="1195">
        <f>+TableB2!H50</f>
        <v>1.6582014649000001</v>
      </c>
      <c r="D50" s="1037"/>
      <c r="E50" s="1037"/>
      <c r="F50" s="1037"/>
      <c r="G50" s="111"/>
      <c r="H50" s="1195">
        <f>+TableB2!I50</f>
        <v>2.32522166E-2</v>
      </c>
      <c r="I50" s="1037"/>
      <c r="J50" s="1037"/>
      <c r="K50" s="1037"/>
      <c r="L50" s="1046"/>
      <c r="M50" s="1351">
        <f>+TableB2!J50</f>
        <v>3.3370900000000003</v>
      </c>
    </row>
    <row r="51" spans="1:13" x14ac:dyDescent="0.2">
      <c r="A51" s="113" t="s">
        <v>70</v>
      </c>
      <c r="B51" s="121">
        <f>+TableB2!G51</f>
        <v>17.282830000000001</v>
      </c>
      <c r="C51" s="1195">
        <f>+TableB2!H51</f>
        <v>7.3322399999999996</v>
      </c>
      <c r="D51" s="1037"/>
      <c r="E51" s="1037"/>
      <c r="F51" s="1037"/>
      <c r="G51" s="111"/>
      <c r="H51" s="1195">
        <f>+TableB2!I51</f>
        <v>4.0480799999999997</v>
      </c>
      <c r="I51" s="1037"/>
      <c r="J51" s="1037"/>
      <c r="K51" s="1037"/>
      <c r="L51" s="1046"/>
      <c r="M51" s="1351">
        <f>+TableB2!J51</f>
        <v>5.9025100000000021</v>
      </c>
    </row>
    <row r="52" spans="1:13" x14ac:dyDescent="0.2">
      <c r="A52" s="113" t="s">
        <v>71</v>
      </c>
      <c r="B52" s="121">
        <f>+TableB2!G52</f>
        <v>3.3267790902999996</v>
      </c>
      <c r="C52" s="1195">
        <f>+TableB2!H52</f>
        <v>2.8618949391999999</v>
      </c>
      <c r="D52" s="1037"/>
      <c r="E52" s="1037"/>
      <c r="F52" s="1037"/>
      <c r="G52" s="111"/>
      <c r="H52" s="1195">
        <f>+TableB2!I52</f>
        <v>0.46488415110000003</v>
      </c>
      <c r="I52" s="1037"/>
      <c r="J52" s="1037"/>
      <c r="K52" s="1037"/>
      <c r="L52" s="1046"/>
      <c r="M52" s="1351">
        <f>+TableB2!J52</f>
        <v>0</v>
      </c>
    </row>
    <row r="53" spans="1:13" ht="34" x14ac:dyDescent="0.2">
      <c r="A53" s="112" t="s">
        <v>72</v>
      </c>
      <c r="B53" s="121"/>
      <c r="C53" s="1195"/>
      <c r="D53" s="1037"/>
      <c r="E53" s="1037"/>
      <c r="F53" s="1037"/>
      <c r="G53" s="111"/>
      <c r="H53" s="1195"/>
      <c r="I53" s="1037"/>
      <c r="J53" s="1037"/>
      <c r="K53" s="1037"/>
      <c r="L53" s="1046"/>
      <c r="M53" s="1351"/>
    </row>
    <row r="54" spans="1:13" x14ac:dyDescent="0.2">
      <c r="A54" s="113" t="s">
        <v>73</v>
      </c>
      <c r="B54" s="121">
        <f>+TableB2!G54</f>
        <v>6.8900000000000003E-2</v>
      </c>
      <c r="C54" s="1195">
        <f>+TableB2!H54</f>
        <v>4.8230000000000002E-2</v>
      </c>
      <c r="D54" s="1037"/>
      <c r="E54" s="1037"/>
      <c r="F54" s="1037"/>
      <c r="G54" s="111"/>
      <c r="H54" s="1195">
        <f>+TableB2!I54</f>
        <v>0</v>
      </c>
      <c r="I54" s="1037"/>
      <c r="J54" s="1037"/>
      <c r="K54" s="1037"/>
      <c r="L54" s="1046"/>
      <c r="M54" s="1351">
        <f>+TableB2!J54</f>
        <v>2.0670000000000001E-2</v>
      </c>
    </row>
    <row r="55" spans="1:13" x14ac:dyDescent="0.2">
      <c r="A55" s="113" t="s">
        <v>74</v>
      </c>
      <c r="B55" s="121">
        <f>+TableB2!G55</f>
        <v>5.7999999999999996E-3</v>
      </c>
      <c r="C55" s="1195">
        <f>+TableB2!H55</f>
        <v>4.0599999999999994E-3</v>
      </c>
      <c r="D55" s="1037"/>
      <c r="E55" s="1037"/>
      <c r="F55" s="1037"/>
      <c r="G55" s="111"/>
      <c r="H55" s="1195">
        <f>+TableB2!I55</f>
        <v>0</v>
      </c>
      <c r="I55" s="1037"/>
      <c r="J55" s="1037"/>
      <c r="K55" s="1037"/>
      <c r="L55" s="1046"/>
      <c r="M55" s="1351">
        <f>+TableB2!J55</f>
        <v>1.7399999999999998E-3</v>
      </c>
    </row>
    <row r="56" spans="1:13" x14ac:dyDescent="0.2">
      <c r="A56" s="1154" t="str">
        <f>+TableA1!A56</f>
        <v>Antigua and Barbuda</v>
      </c>
      <c r="B56" s="121">
        <f>+TableB2!G56</f>
        <v>0</v>
      </c>
      <c r="C56" s="1195">
        <f>+TableB2!H56</f>
        <v>0</v>
      </c>
      <c r="D56" s="1037"/>
      <c r="E56" s="1037"/>
      <c r="F56" s="1037"/>
      <c r="G56" s="111"/>
      <c r="H56" s="1195">
        <f>+TableB2!I56</f>
        <v>0</v>
      </c>
      <c r="I56" s="1037"/>
      <c r="J56" s="1037"/>
      <c r="K56" s="1037"/>
      <c r="L56" s="1046"/>
      <c r="M56" s="1351">
        <f>+TableB2!J56</f>
        <v>0</v>
      </c>
    </row>
    <row r="57" spans="1:13" x14ac:dyDescent="0.2">
      <c r="A57" s="113" t="s">
        <v>76</v>
      </c>
      <c r="B57" s="121">
        <f>+TableB2!G57</f>
        <v>5.7000000000000002E-2</v>
      </c>
      <c r="C57" s="1195">
        <f>+TableB2!H57</f>
        <v>3.9900000000000005E-2</v>
      </c>
      <c r="D57" s="1037"/>
      <c r="E57" s="1037"/>
      <c r="F57" s="1037"/>
      <c r="G57" s="111"/>
      <c r="H57" s="1195">
        <f>+TableB2!I57</f>
        <v>0</v>
      </c>
      <c r="I57" s="1037"/>
      <c r="J57" s="1037"/>
      <c r="K57" s="1037"/>
      <c r="L57" s="1046"/>
      <c r="M57" s="1351">
        <f>+TableB2!J57</f>
        <v>1.7100000000000001E-2</v>
      </c>
    </row>
    <row r="58" spans="1:13" x14ac:dyDescent="0.2">
      <c r="A58" s="113" t="s">
        <v>152</v>
      </c>
      <c r="B58" s="121">
        <f>+TableB2!G58</f>
        <v>1.7022606313516633</v>
      </c>
      <c r="C58" s="1195">
        <f>+TableB2!H58</f>
        <v>1.1915824419461645</v>
      </c>
      <c r="D58" s="1037"/>
      <c r="E58" s="1037"/>
      <c r="F58" s="1037"/>
      <c r="G58" s="111"/>
      <c r="H58" s="1195">
        <f>+TableB2!I58</f>
        <v>0</v>
      </c>
      <c r="I58" s="1037"/>
      <c r="J58" s="1037"/>
      <c r="K58" s="1037"/>
      <c r="L58" s="1046"/>
      <c r="M58" s="1351">
        <f>+TableB2!J58</f>
        <v>0.51067818940549892</v>
      </c>
    </row>
    <row r="59" spans="1:13" x14ac:dyDescent="0.2">
      <c r="A59" s="113" t="s">
        <v>78</v>
      </c>
      <c r="B59" s="121">
        <f>+TableB2!G59</f>
        <v>7.740000000000001E-2</v>
      </c>
      <c r="C59" s="1195">
        <f>+TableB2!H59</f>
        <v>5.4180000000000006E-2</v>
      </c>
      <c r="D59" s="1037"/>
      <c r="E59" s="1037"/>
      <c r="F59" s="1037"/>
      <c r="G59" s="111"/>
      <c r="H59" s="1195">
        <f>+TableB2!I59</f>
        <v>0</v>
      </c>
      <c r="I59" s="1037"/>
      <c r="J59" s="1037"/>
      <c r="K59" s="1037"/>
      <c r="L59" s="1046"/>
      <c r="M59" s="1351">
        <f>+TableB2!J59</f>
        <v>2.3220000000000001E-2</v>
      </c>
    </row>
    <row r="60" spans="1:13" x14ac:dyDescent="0.2">
      <c r="A60" s="1154" t="str">
        <f>+TableA1!A60</f>
        <v>Barbados</v>
      </c>
      <c r="B60" s="121">
        <f>+TableB2!G60</f>
        <v>0.23493255831256293</v>
      </c>
      <c r="C60" s="1195">
        <f>+TableB2!H60</f>
        <v>0.16445279081879405</v>
      </c>
      <c r="D60" s="1037"/>
      <c r="E60" s="1037"/>
      <c r="F60" s="1037"/>
      <c r="G60" s="111"/>
      <c r="H60" s="1195">
        <f>+TableB2!I60</f>
        <v>0</v>
      </c>
      <c r="I60" s="1037"/>
      <c r="J60" s="1037"/>
      <c r="K60" s="1037"/>
      <c r="L60" s="1046"/>
      <c r="M60" s="1351">
        <f>+TableB2!J60</f>
        <v>7.0479767493768872E-2</v>
      </c>
    </row>
    <row r="61" spans="1:13" x14ac:dyDescent="0.2">
      <c r="A61" s="113" t="s">
        <v>80</v>
      </c>
      <c r="B61" s="121">
        <f>+TableB2!G61</f>
        <v>1.2105223E-3</v>
      </c>
      <c r="C61" s="1195">
        <f>+TableB2!H61</f>
        <v>8.4736561000000005E-4</v>
      </c>
      <c r="D61" s="1037"/>
      <c r="E61" s="1037"/>
      <c r="F61" s="1037"/>
      <c r="G61" s="111"/>
      <c r="H61" s="1195">
        <f>+TableB2!I61</f>
        <v>0</v>
      </c>
      <c r="I61" s="1037"/>
      <c r="J61" s="1037"/>
      <c r="K61" s="1037"/>
      <c r="L61" s="1046"/>
      <c r="M61" s="1351">
        <f>+TableB2!J61</f>
        <v>3.6315669000000001E-4</v>
      </c>
    </row>
    <row r="62" spans="1:13" x14ac:dyDescent="0.2">
      <c r="A62" s="113" t="s">
        <v>81</v>
      </c>
      <c r="B62" s="121">
        <f>+TableB2!G62</f>
        <v>32.275338594347502</v>
      </c>
      <c r="C62" s="1195">
        <f>+TableB2!H62</f>
        <v>22.592737016043252</v>
      </c>
      <c r="D62" s="1037"/>
      <c r="E62" s="1037"/>
      <c r="F62" s="1037"/>
      <c r="G62" s="111"/>
      <c r="H62" s="1195">
        <f>+TableB2!I62</f>
        <v>0</v>
      </c>
      <c r="I62" s="1037"/>
      <c r="J62" s="1037"/>
      <c r="K62" s="1037"/>
      <c r="L62" s="1046"/>
      <c r="M62" s="1351">
        <f>+TableB2!J62</f>
        <v>9.6826015783042507</v>
      </c>
    </row>
    <row r="63" spans="1:13" x14ac:dyDescent="0.2">
      <c r="A63" s="113" t="s">
        <v>82</v>
      </c>
      <c r="B63" s="121">
        <f>+TableB2!G63</f>
        <v>9.4999999999999998E-3</v>
      </c>
      <c r="C63" s="1195">
        <f>+TableB2!H63</f>
        <v>6.6499999999999997E-3</v>
      </c>
      <c r="D63" s="1037"/>
      <c r="E63" s="1037"/>
      <c r="F63" s="1037"/>
      <c r="G63" s="111"/>
      <c r="H63" s="1195">
        <f>+TableB2!I63</f>
        <v>0</v>
      </c>
      <c r="I63" s="1037"/>
      <c r="J63" s="1037"/>
      <c r="K63" s="1037"/>
      <c r="L63" s="1046"/>
      <c r="M63" s="1351">
        <f>+TableB2!J63</f>
        <v>2.8499999999999997E-3</v>
      </c>
    </row>
    <row r="64" spans="1:13" x14ac:dyDescent="0.2">
      <c r="A64" s="113" t="s">
        <v>153</v>
      </c>
      <c r="B64" s="121">
        <f>+TableB2!G64</f>
        <v>4.544698503566293</v>
      </c>
      <c r="C64" s="1195">
        <f>+TableB2!H64</f>
        <v>3.1812889524964052</v>
      </c>
      <c r="D64" s="1037"/>
      <c r="E64" s="1037"/>
      <c r="F64" s="1037"/>
      <c r="G64" s="111"/>
      <c r="H64" s="1195">
        <f>+TableB2!I64</f>
        <v>0</v>
      </c>
      <c r="I64" s="1037"/>
      <c r="J64" s="1037"/>
      <c r="K64" s="1037"/>
      <c r="L64" s="1046"/>
      <c r="M64" s="1351">
        <f>+TableB2!J64</f>
        <v>1.3634095510698878</v>
      </c>
    </row>
    <row r="65" spans="1:13" x14ac:dyDescent="0.2">
      <c r="A65" s="113" t="s">
        <v>84</v>
      </c>
      <c r="B65" s="121">
        <f>+TableB2!G65</f>
        <v>16.2111946503803</v>
      </c>
      <c r="C65" s="1195">
        <f>+TableB2!H65</f>
        <v>11.347836255266209</v>
      </c>
      <c r="D65" s="1037"/>
      <c r="E65" s="1037"/>
      <c r="F65" s="1037"/>
      <c r="G65" s="111"/>
      <c r="H65" s="1195">
        <f>+TableB2!I65</f>
        <v>0</v>
      </c>
      <c r="I65" s="1037"/>
      <c r="J65" s="1037"/>
      <c r="K65" s="1037"/>
      <c r="L65" s="1046"/>
      <c r="M65" s="1351">
        <f>+TableB2!J65</f>
        <v>4.8633583951140897</v>
      </c>
    </row>
    <row r="66" spans="1:13" x14ac:dyDescent="0.2">
      <c r="A66" s="113" t="s">
        <v>85</v>
      </c>
      <c r="B66" s="121">
        <f>+TableB2!G66</f>
        <v>2.6862999999999997</v>
      </c>
      <c r="C66" s="1195">
        <f>+TableB2!H66</f>
        <v>1.8804099999999999</v>
      </c>
      <c r="D66" s="1037"/>
      <c r="E66" s="1037"/>
      <c r="F66" s="1037"/>
      <c r="G66" s="111"/>
      <c r="H66" s="1195">
        <f>+TableB2!I66</f>
        <v>0</v>
      </c>
      <c r="I66" s="1037"/>
      <c r="J66" s="1037"/>
      <c r="K66" s="1037"/>
      <c r="L66" s="1046"/>
      <c r="M66" s="1351">
        <f>+TableB2!J66</f>
        <v>0.80588999999999988</v>
      </c>
    </row>
    <row r="67" spans="1:13" x14ac:dyDescent="0.2">
      <c r="A67" s="1154" t="str">
        <f>+TableA1!A67</f>
        <v>Cyprus</v>
      </c>
      <c r="B67" s="121">
        <f>+TableB2!G67</f>
        <v>2.9754490700636982</v>
      </c>
      <c r="C67" s="1195">
        <f>+TableB2!H67</f>
        <v>2.0828143490445887</v>
      </c>
      <c r="D67" s="1037"/>
      <c r="E67" s="1037"/>
      <c r="F67" s="1037"/>
      <c r="G67" s="111"/>
      <c r="H67" s="1195">
        <f>+TableB2!I67</f>
        <v>0</v>
      </c>
      <c r="I67" s="1037"/>
      <c r="J67" s="1037"/>
      <c r="K67" s="1037"/>
      <c r="L67" s="1046"/>
      <c r="M67" s="1351">
        <f>+TableB2!J67</f>
        <v>0.89263472101910946</v>
      </c>
    </row>
    <row r="68" spans="1:13" x14ac:dyDescent="0.2">
      <c r="A68" s="113" t="s">
        <v>87</v>
      </c>
      <c r="B68" s="121">
        <f>+TableB2!G68</f>
        <v>0.29306236093911125</v>
      </c>
      <c r="C68" s="1195">
        <f>+TableB2!H68</f>
        <v>0.20514365265737788</v>
      </c>
      <c r="D68" s="1037"/>
      <c r="E68" s="1037"/>
      <c r="F68" s="1037"/>
      <c r="G68" s="111"/>
      <c r="H68" s="1195">
        <f>+TableB2!I68</f>
        <v>0</v>
      </c>
      <c r="I68" s="1037"/>
      <c r="J68" s="1037"/>
      <c r="K68" s="1037"/>
      <c r="L68" s="1046"/>
      <c r="M68" s="1351">
        <f>+TableB2!J68</f>
        <v>8.7918708281733371E-2</v>
      </c>
    </row>
    <row r="69" spans="1:13" x14ac:dyDescent="0.2">
      <c r="A69" s="1154" t="str">
        <f>+TableA1!A69</f>
        <v>Grenada</v>
      </c>
      <c r="B69" s="121">
        <f>+TableB2!G69</f>
        <v>0</v>
      </c>
      <c r="C69" s="1195">
        <f>+TableB2!H69</f>
        <v>0</v>
      </c>
      <c r="D69" s="1037"/>
      <c r="E69" s="1037"/>
      <c r="F69" s="1037"/>
      <c r="G69" s="111"/>
      <c r="H69" s="1195">
        <f>+TableB2!I69</f>
        <v>0</v>
      </c>
      <c r="I69" s="1037"/>
      <c r="J69" s="1037"/>
      <c r="K69" s="1037"/>
      <c r="L69" s="1046"/>
      <c r="M69" s="1351">
        <f>+TableB2!J69</f>
        <v>0</v>
      </c>
    </row>
    <row r="70" spans="1:13" x14ac:dyDescent="0.2">
      <c r="A70" s="113" t="s">
        <v>89</v>
      </c>
      <c r="B70" s="121">
        <f>+TableB2!G70</f>
        <v>2.7295756643478049</v>
      </c>
      <c r="C70" s="1195">
        <f>+TableB2!H70</f>
        <v>1.9107029650434635</v>
      </c>
      <c r="D70" s="1037"/>
      <c r="E70" s="1037"/>
      <c r="F70" s="1037"/>
      <c r="G70" s="111"/>
      <c r="H70" s="1195">
        <f>+TableB2!I70</f>
        <v>0</v>
      </c>
      <c r="I70" s="1037"/>
      <c r="J70" s="1037"/>
      <c r="K70" s="1037"/>
      <c r="L70" s="1046"/>
      <c r="M70" s="1351">
        <f>+TableB2!J70</f>
        <v>0.81887269930434148</v>
      </c>
    </row>
    <row r="71" spans="1:13" x14ac:dyDescent="0.2">
      <c r="A71" s="113" t="s">
        <v>154</v>
      </c>
      <c r="B71" s="121">
        <f>+TableB2!G71</f>
        <v>3.0839000000000003</v>
      </c>
      <c r="C71" s="1195">
        <f>+TableB2!H71</f>
        <v>2.1587300000000003</v>
      </c>
      <c r="D71" s="1037"/>
      <c r="E71" s="1037"/>
      <c r="F71" s="1037"/>
      <c r="G71" s="111"/>
      <c r="H71" s="1195">
        <f>+TableB2!I71</f>
        <v>0</v>
      </c>
      <c r="I71" s="1037"/>
      <c r="J71" s="1037"/>
      <c r="K71" s="1037"/>
      <c r="L71" s="1046"/>
      <c r="M71" s="1351">
        <f>+TableB2!J71</f>
        <v>0.92517000000000005</v>
      </c>
    </row>
    <row r="72" spans="1:13" x14ac:dyDescent="0.2">
      <c r="A72" s="113" t="s">
        <v>91</v>
      </c>
      <c r="B72" s="121">
        <f>+TableB2!G72</f>
        <v>121.68453938730001</v>
      </c>
      <c r="C72" s="1195">
        <f>+TableB2!H72</f>
        <v>85.179177571110003</v>
      </c>
      <c r="D72" s="1037"/>
      <c r="E72" s="1037"/>
      <c r="F72" s="1037"/>
      <c r="G72" s="111"/>
      <c r="H72" s="1195">
        <f>+TableB2!I72</f>
        <v>0</v>
      </c>
      <c r="I72" s="1037"/>
      <c r="J72" s="1037"/>
      <c r="K72" s="1037"/>
      <c r="L72" s="1046"/>
      <c r="M72" s="1351">
        <f>+TableB2!J72</f>
        <v>36.505361816190003</v>
      </c>
    </row>
    <row r="73" spans="1:13" x14ac:dyDescent="0.2">
      <c r="A73" s="113" t="s">
        <v>92</v>
      </c>
      <c r="B73" s="121">
        <f>+TableB2!G73</f>
        <v>2.2741982969107278E-2</v>
      </c>
      <c r="C73" s="1195">
        <f>+TableB2!H73</f>
        <v>1.5919388078375094E-2</v>
      </c>
      <c r="D73" s="1037"/>
      <c r="E73" s="1037"/>
      <c r="F73" s="1037"/>
      <c r="G73" s="111"/>
      <c r="H73" s="1195">
        <f>+TableB2!I73</f>
        <v>0</v>
      </c>
      <c r="I73" s="1037"/>
      <c r="J73" s="1037"/>
      <c r="K73" s="1037"/>
      <c r="L73" s="1046"/>
      <c r="M73" s="1351">
        <f>+TableB2!J73</f>
        <v>6.8225948907321829E-3</v>
      </c>
    </row>
    <row r="74" spans="1:13" x14ac:dyDescent="0.2">
      <c r="A74" s="113" t="s">
        <v>93</v>
      </c>
      <c r="B74" s="121">
        <f>+TableB2!G74</f>
        <v>0.48754139129999996</v>
      </c>
      <c r="C74" s="1195">
        <f>+TableB2!H74</f>
        <v>0.34127897390999995</v>
      </c>
      <c r="D74" s="1037"/>
      <c r="E74" s="1037"/>
      <c r="F74" s="1037"/>
      <c r="G74" s="111"/>
      <c r="H74" s="1195">
        <f>+TableB2!I74</f>
        <v>0</v>
      </c>
      <c r="I74" s="1037"/>
      <c r="J74" s="1037"/>
      <c r="K74" s="1037"/>
      <c r="L74" s="1046"/>
      <c r="M74" s="1351">
        <f>+TableB2!J74</f>
        <v>0.14626241738999998</v>
      </c>
    </row>
    <row r="75" spans="1:13" x14ac:dyDescent="0.2">
      <c r="A75" s="113" t="s">
        <v>94</v>
      </c>
      <c r="B75" s="121">
        <f>+TableB2!G75</f>
        <v>1.7951512367491165</v>
      </c>
      <c r="C75" s="1195">
        <f>+TableB2!H75</f>
        <v>1.2566058657243815</v>
      </c>
      <c r="D75" s="1037"/>
      <c r="E75" s="1037"/>
      <c r="F75" s="1037"/>
      <c r="G75" s="111"/>
      <c r="H75" s="1195">
        <f>+TableB2!I75</f>
        <v>0</v>
      </c>
      <c r="I75" s="1037"/>
      <c r="J75" s="1037"/>
      <c r="K75" s="1037"/>
      <c r="L75" s="1046"/>
      <c r="M75" s="1351">
        <f>+TableB2!J75</f>
        <v>0.53854537102473488</v>
      </c>
    </row>
    <row r="76" spans="1:13" x14ac:dyDescent="0.2">
      <c r="A76" s="113" t="s">
        <v>95</v>
      </c>
      <c r="B76" s="121">
        <f>+TableB2!G76</f>
        <v>7.7599999999999988E-2</v>
      </c>
      <c r="C76" s="1195">
        <f>+TableB2!H76</f>
        <v>5.4319999999999993E-2</v>
      </c>
      <c r="D76" s="1037"/>
      <c r="E76" s="1037"/>
      <c r="F76" s="1037"/>
      <c r="G76" s="111"/>
      <c r="H76" s="1195">
        <f>+TableB2!I76</f>
        <v>0</v>
      </c>
      <c r="I76" s="1037"/>
      <c r="J76" s="1037"/>
      <c r="K76" s="1037"/>
      <c r="L76" s="1046"/>
      <c r="M76" s="1351">
        <f>+TableB2!J76</f>
        <v>2.3279999999999995E-2</v>
      </c>
    </row>
    <row r="77" spans="1:13" x14ac:dyDescent="0.2">
      <c r="A77" s="113" t="s">
        <v>96</v>
      </c>
      <c r="B77" s="121">
        <f>+TableB2!G77</f>
        <v>0.85039084927035713</v>
      </c>
      <c r="C77" s="1195">
        <f>+TableB2!H77</f>
        <v>0.59527359448924999</v>
      </c>
      <c r="D77" s="1037"/>
      <c r="E77" s="1037"/>
      <c r="F77" s="1037"/>
      <c r="G77" s="111"/>
      <c r="H77" s="1195">
        <f>+TableB2!I77</f>
        <v>0</v>
      </c>
      <c r="I77" s="1037"/>
      <c r="J77" s="1037"/>
      <c r="K77" s="1037"/>
      <c r="L77" s="1046"/>
      <c r="M77" s="1351">
        <f>+TableB2!J77</f>
        <v>0.25511725478110714</v>
      </c>
    </row>
    <row r="78" spans="1:13" x14ac:dyDescent="0.2">
      <c r="A78" s="113" t="s">
        <v>97</v>
      </c>
      <c r="B78" s="121">
        <f>+TableB2!G78</f>
        <v>0.40533887008171798</v>
      </c>
      <c r="C78" s="1195">
        <f>+TableB2!H78</f>
        <v>0.28373720905720257</v>
      </c>
      <c r="D78" s="1037"/>
      <c r="E78" s="1037"/>
      <c r="F78" s="1037"/>
      <c r="G78" s="111"/>
      <c r="H78" s="1195">
        <f>+TableB2!I78</f>
        <v>0</v>
      </c>
      <c r="I78" s="1037"/>
      <c r="J78" s="1037"/>
      <c r="K78" s="1037"/>
      <c r="L78" s="1046"/>
      <c r="M78" s="1351">
        <f>+TableB2!J78</f>
        <v>0.12160166102451539</v>
      </c>
    </row>
    <row r="79" spans="1:13" x14ac:dyDescent="0.2">
      <c r="A79" s="1154" t="str">
        <f>+TableA1!A79</f>
        <v>Monaco</v>
      </c>
      <c r="B79" s="121">
        <f>+TableB2!G79</f>
        <v>0</v>
      </c>
      <c r="C79" s="1195">
        <f>+TableB2!H79</f>
        <v>0</v>
      </c>
      <c r="D79" s="1037"/>
      <c r="E79" s="1037"/>
      <c r="F79" s="1037"/>
      <c r="G79" s="111"/>
      <c r="H79" s="1195">
        <f>+TableB2!I79</f>
        <v>0</v>
      </c>
      <c r="I79" s="1037"/>
      <c r="J79" s="1037"/>
      <c r="K79" s="1037"/>
      <c r="L79" s="1046"/>
      <c r="M79" s="1351">
        <f>+TableB2!J79</f>
        <v>0</v>
      </c>
    </row>
    <row r="80" spans="1:13" x14ac:dyDescent="0.2">
      <c r="A80" s="113" t="s">
        <v>99</v>
      </c>
      <c r="B80" s="121">
        <f>+TableB2!G80</f>
        <v>7.8212299999999997E-5</v>
      </c>
      <c r="C80" s="1195">
        <f>+TableB2!H80</f>
        <v>5.474861E-5</v>
      </c>
      <c r="D80" s="1037"/>
      <c r="E80" s="1037"/>
      <c r="F80" s="1037"/>
      <c r="G80" s="111"/>
      <c r="H80" s="1195">
        <f>+TableB2!I80</f>
        <v>0</v>
      </c>
      <c r="I80" s="1037"/>
      <c r="J80" s="1037"/>
      <c r="K80" s="1037"/>
      <c r="L80" s="1046"/>
      <c r="M80" s="1351">
        <f>TableB2!J48</f>
        <v>1.8784045999999999</v>
      </c>
    </row>
    <row r="81" spans="1:14" x14ac:dyDescent="0.2">
      <c r="A81" s="113" t="s">
        <v>100</v>
      </c>
      <c r="B81" s="121">
        <f>+TableB2!G81</f>
        <v>3.7014363322000001</v>
      </c>
      <c r="C81" s="1195">
        <f>+TableB2!H81</f>
        <v>2.5910054325400003</v>
      </c>
      <c r="D81" s="1037"/>
      <c r="E81" s="1037"/>
      <c r="F81" s="1037"/>
      <c r="G81" s="1037"/>
      <c r="H81" s="1195">
        <f>+TableB2!I81</f>
        <v>0</v>
      </c>
      <c r="I81" s="1037"/>
      <c r="J81" s="1037"/>
      <c r="K81" s="1037"/>
      <c r="L81" s="1046"/>
      <c r="M81" s="1351">
        <f>TableB2!J80</f>
        <v>2.346369E-5</v>
      </c>
      <c r="N81" s="958"/>
    </row>
    <row r="82" spans="1:14" x14ac:dyDescent="0.2">
      <c r="A82" s="1154" t="str">
        <f>+TableA1!A82</f>
        <v>Seychelles</v>
      </c>
      <c r="B82" s="121">
        <f>+TableB2!G82</f>
        <v>1.8137638999999998E-3</v>
      </c>
      <c r="C82" s="1195">
        <f>+TableB2!H82</f>
        <v>1.2696347299999999E-3</v>
      </c>
      <c r="D82" s="1037"/>
      <c r="E82" s="1037"/>
      <c r="F82" s="1037"/>
      <c r="G82" s="1037"/>
      <c r="H82" s="1195">
        <f>+TableB2!I82</f>
        <v>0</v>
      </c>
      <c r="I82" s="1037"/>
      <c r="J82" s="1037"/>
      <c r="K82" s="1037"/>
      <c r="L82" s="1046"/>
      <c r="M82" s="1351">
        <f>TableB2!J81</f>
        <v>1.1104308996600001</v>
      </c>
      <c r="N82" s="958"/>
    </row>
    <row r="83" spans="1:14" x14ac:dyDescent="0.2">
      <c r="A83" s="113" t="s">
        <v>102</v>
      </c>
      <c r="B83" s="121">
        <f>+TableB2!G83</f>
        <v>3.3119901675257313</v>
      </c>
      <c r="C83" s="1195">
        <f>+TableB2!H83</f>
        <v>2.3183931172680117</v>
      </c>
      <c r="D83" s="1037"/>
      <c r="E83" s="1037"/>
      <c r="F83" s="1037"/>
      <c r="G83" s="1037"/>
      <c r="H83" s="1195">
        <f>+TableB2!I83</f>
        <v>0</v>
      </c>
      <c r="I83" s="1037"/>
      <c r="J83" s="1037"/>
      <c r="K83" s="1037"/>
      <c r="L83" s="1046"/>
      <c r="M83" s="1351">
        <f>TableB2!J82</f>
        <v>5.4412916999999994E-4</v>
      </c>
      <c r="N83" s="958"/>
    </row>
    <row r="84" spans="1:14" x14ac:dyDescent="0.2">
      <c r="A84" s="1154" t="str">
        <f>+TableA1!A84</f>
        <v>St. Kitts and Nevis</v>
      </c>
      <c r="B84" s="121">
        <f>+TableB2!G84</f>
        <v>0</v>
      </c>
      <c r="C84" s="1195">
        <f>+TableB2!H84</f>
        <v>0</v>
      </c>
      <c r="D84" s="1037"/>
      <c r="E84" s="1037"/>
      <c r="F84" s="1037"/>
      <c r="G84" s="1037"/>
      <c r="H84" s="1195">
        <f>+TableB2!I84</f>
        <v>0</v>
      </c>
      <c r="I84" s="1037"/>
      <c r="J84" s="1037"/>
      <c r="K84" s="1037"/>
      <c r="L84" s="1046"/>
      <c r="M84" s="1351">
        <f>TableB2!J83</f>
        <v>0.99359705025771938</v>
      </c>
      <c r="N84" s="958"/>
    </row>
    <row r="85" spans="1:14" x14ac:dyDescent="0.2">
      <c r="A85" s="1154" t="str">
        <f>+TableA1!A85</f>
        <v>St. Lucia</v>
      </c>
      <c r="B85" s="121">
        <f>+TableB2!G85</f>
        <v>2.5000000000000001E-3</v>
      </c>
      <c r="C85" s="1195">
        <f>+TableB2!H85</f>
        <v>1.75E-3</v>
      </c>
      <c r="D85" s="1037"/>
      <c r="E85" s="1037"/>
      <c r="F85" s="1037"/>
      <c r="G85" s="1037"/>
      <c r="H85" s="1195">
        <f>+TableB2!I85</f>
        <v>0</v>
      </c>
      <c r="I85" s="1037"/>
      <c r="J85" s="1037"/>
      <c r="K85" s="1037"/>
      <c r="L85" s="1046"/>
      <c r="M85" s="1351">
        <f>TableB2!J84</f>
        <v>0</v>
      </c>
      <c r="N85" s="958"/>
    </row>
    <row r="86" spans="1:14" x14ac:dyDescent="0.2">
      <c r="A86" s="1154" t="str">
        <f>+TableA1!A86</f>
        <v>St. Vincent and the Grenadines</v>
      </c>
      <c r="B86" s="121">
        <f>+TableB2!G86</f>
        <v>0</v>
      </c>
      <c r="C86" s="1195">
        <f>+TableB2!H86</f>
        <v>0</v>
      </c>
      <c r="D86" s="1037"/>
      <c r="E86" s="1037"/>
      <c r="F86" s="1037"/>
      <c r="G86" s="1037"/>
      <c r="H86" s="1195">
        <f>+TableB2!I86</f>
        <v>0</v>
      </c>
      <c r="I86" s="1037"/>
      <c r="J86" s="1037"/>
      <c r="K86" s="1037"/>
      <c r="L86" s="1046"/>
      <c r="M86" s="1351">
        <f>TableB2!J85</f>
        <v>7.5000000000000002E-4</v>
      </c>
      <c r="N86" s="958"/>
    </row>
    <row r="87" spans="1:14" x14ac:dyDescent="0.2">
      <c r="A87" s="1154" t="str">
        <f>+TableA1!A87</f>
        <v>Turks and Caicos</v>
      </c>
      <c r="B87" s="121">
        <f>+TableB2!G87</f>
        <v>0</v>
      </c>
      <c r="C87" s="1195">
        <f>+TableB2!H87</f>
        <v>0</v>
      </c>
      <c r="D87" s="1037"/>
      <c r="E87" s="1037"/>
      <c r="F87" s="1037"/>
      <c r="G87" s="1037"/>
      <c r="H87" s="1195">
        <f>+TableB2!I87</f>
        <v>0</v>
      </c>
      <c r="I87" s="1037"/>
      <c r="J87" s="1037"/>
      <c r="K87" s="1037"/>
      <c r="L87" s="1046"/>
      <c r="M87" s="1351">
        <f>TableB2!J86</f>
        <v>0</v>
      </c>
      <c r="N87" s="958"/>
    </row>
    <row r="88" spans="1:14" x14ac:dyDescent="0.2">
      <c r="A88" s="1154" t="str">
        <f>+TableA1!A88</f>
        <v>Panama</v>
      </c>
      <c r="B88" s="121">
        <f>+TableB2!G88</f>
        <v>0.8677181060188971</v>
      </c>
      <c r="C88" s="1195">
        <f>+TableB2!H88</f>
        <v>0.60740267421322791</v>
      </c>
      <c r="D88" s="1037"/>
      <c r="E88" s="1037"/>
      <c r="F88" s="1037"/>
      <c r="G88" s="1037"/>
      <c r="H88" s="1195">
        <f>+TableB2!I88</f>
        <v>0</v>
      </c>
      <c r="I88" s="1037"/>
      <c r="J88" s="1037"/>
      <c r="K88" s="1037"/>
      <c r="L88" s="1046"/>
      <c r="M88" s="1351">
        <f>TableB2!J87</f>
        <v>0</v>
      </c>
      <c r="N88" s="958"/>
    </row>
    <row r="89" spans="1:14" ht="17" thickBot="1" x14ac:dyDescent="0.25">
      <c r="A89" s="114" t="s">
        <v>108</v>
      </c>
      <c r="B89" s="17">
        <f>+TableB2!G89</f>
        <v>0.35339999999999999</v>
      </c>
      <c r="C89" s="18">
        <f>+TableB2!H89</f>
        <v>0.24737999999999999</v>
      </c>
      <c r="D89" s="1197"/>
      <c r="E89" s="1197"/>
      <c r="F89" s="1197"/>
      <c r="G89" s="1197"/>
      <c r="H89" s="18">
        <f>+TableB2!I89</f>
        <v>0</v>
      </c>
      <c r="I89" s="1197"/>
      <c r="J89" s="1197"/>
      <c r="K89" s="1197"/>
      <c r="L89" s="1353"/>
      <c r="M89" s="1354">
        <f>TableB2!J88</f>
        <v>0.26031543180566913</v>
      </c>
      <c r="N89" s="958"/>
    </row>
    <row r="90" spans="1:14" ht="17" thickTop="1" x14ac:dyDescent="0.2">
      <c r="A90" s="958"/>
      <c r="B90" s="958"/>
      <c r="C90" s="958"/>
      <c r="D90" s="1007"/>
      <c r="E90" s="1007"/>
      <c r="F90" s="1007"/>
      <c r="G90" s="1007"/>
      <c r="H90" s="958"/>
      <c r="I90" s="1007"/>
      <c r="J90" s="1007"/>
      <c r="K90" s="1007"/>
      <c r="L90" s="1007"/>
      <c r="M90" s="958"/>
      <c r="N90" s="958"/>
    </row>
    <row r="91" spans="1:14" s="2" customFormat="1" x14ac:dyDescent="0.2">
      <c r="A91" s="958"/>
      <c r="B91" s="958"/>
      <c r="C91" s="958"/>
      <c r="D91" s="958"/>
      <c r="E91" s="958"/>
      <c r="F91" s="958"/>
      <c r="G91" s="958"/>
      <c r="H91" s="958"/>
      <c r="I91" s="958"/>
      <c r="J91" s="958"/>
      <c r="K91" s="958"/>
      <c r="L91" s="958"/>
      <c r="M91" s="958"/>
      <c r="N91" s="958"/>
    </row>
    <row r="92" spans="1:14" s="2" customFormat="1" x14ac:dyDescent="0.2">
      <c r="A92" s="958"/>
      <c r="B92" s="958"/>
      <c r="C92" s="958"/>
      <c r="D92" s="958"/>
      <c r="E92" s="958"/>
      <c r="F92" s="958"/>
      <c r="G92" s="958"/>
      <c r="H92" s="958"/>
      <c r="I92" s="958"/>
      <c r="J92" s="958"/>
      <c r="K92" s="958"/>
      <c r="L92" s="958"/>
      <c r="M92" s="958"/>
      <c r="N92" s="958"/>
    </row>
    <row r="93" spans="1:14" s="2" customFormat="1" x14ac:dyDescent="0.2">
      <c r="A93" s="958"/>
      <c r="B93" s="958"/>
      <c r="C93" s="958"/>
      <c r="D93" s="958"/>
      <c r="E93" s="958"/>
      <c r="F93" s="958"/>
      <c r="G93" s="958"/>
      <c r="H93" s="958"/>
      <c r="I93" s="958"/>
      <c r="J93" s="958"/>
      <c r="K93" s="958"/>
      <c r="L93" s="958"/>
      <c r="M93" s="958"/>
      <c r="N93" s="958"/>
    </row>
    <row r="95" spans="1:14" s="2" customFormat="1" x14ac:dyDescent="0.2">
      <c r="A95" s="958"/>
      <c r="B95" s="958"/>
      <c r="C95" s="958"/>
      <c r="D95" s="958"/>
      <c r="E95" s="958"/>
      <c r="F95" s="958"/>
      <c r="G95" s="958"/>
      <c r="H95" s="958"/>
      <c r="I95" s="958"/>
      <c r="J95" s="958"/>
      <c r="K95" s="958"/>
      <c r="L95" s="958"/>
      <c r="M95" s="958"/>
      <c r="N95" s="958"/>
    </row>
  </sheetData>
  <mergeCells count="6">
    <mergeCell ref="A4:M4"/>
    <mergeCell ref="B7:M7"/>
    <mergeCell ref="B8:B9"/>
    <mergeCell ref="C8:C9"/>
    <mergeCell ref="H8:H9"/>
    <mergeCell ref="M8:M9"/>
  </mergeCells>
  <pageMargins left="0.75" right="0.75" top="1" bottom="1" header="0.5" footer="0.5"/>
  <pageSetup scale="46"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N97"/>
  <sheetViews>
    <sheetView workbookViewId="0">
      <pane xSplit="1" ySplit="9" topLeftCell="B79" activePane="bottomRight" state="frozen"/>
      <selection pane="topRight" activeCell="AR8" sqref="AR8"/>
      <selection pane="bottomLeft" activeCell="AR8" sqref="AR8"/>
      <selection pane="bottomRight" activeCell="O85" sqref="O85"/>
    </sheetView>
  </sheetViews>
  <sheetFormatPr baseColWidth="10" defaultColWidth="10.83203125" defaultRowHeight="16" x14ac:dyDescent="0.2"/>
  <cols>
    <col min="1" max="1" width="16.6640625" style="1" customWidth="1"/>
    <col min="2" max="2" width="12.1640625" style="1" customWidth="1"/>
    <col min="3" max="3" width="11.83203125" style="1" customWidth="1"/>
    <col min="4" max="7" width="11.33203125" style="1" customWidth="1"/>
    <col min="8" max="8" width="11.83203125" style="1" customWidth="1"/>
    <col min="9" max="12" width="11.33203125" style="1" customWidth="1"/>
    <col min="13" max="13" width="12.6640625" style="1" customWidth="1"/>
    <col min="14" max="16384" width="10.83203125" style="1"/>
  </cols>
  <sheetData>
    <row r="2" spans="1:14" ht="11.25" customHeight="1" x14ac:dyDescent="0.2">
      <c r="A2" s="958"/>
      <c r="B2" s="958"/>
      <c r="C2" s="958"/>
      <c r="D2" s="958"/>
      <c r="E2" s="958"/>
      <c r="F2" s="958"/>
      <c r="G2" s="958"/>
      <c r="H2" s="958"/>
      <c r="I2" s="958"/>
      <c r="J2" s="958"/>
      <c r="K2" s="958"/>
      <c r="L2" s="958"/>
      <c r="M2" s="958"/>
      <c r="N2" s="958"/>
    </row>
    <row r="3" spans="1:14" ht="17" thickBot="1" x14ac:dyDescent="0.25">
      <c r="A3" s="958"/>
      <c r="B3" s="958"/>
      <c r="C3" s="958"/>
      <c r="D3" s="958"/>
      <c r="E3" s="958"/>
      <c r="F3" s="958"/>
      <c r="G3" s="958"/>
      <c r="H3" s="958"/>
      <c r="I3" s="958"/>
      <c r="J3" s="958"/>
      <c r="K3" s="958"/>
      <c r="L3" s="958"/>
      <c r="M3" s="958"/>
      <c r="N3" s="958"/>
    </row>
    <row r="4" spans="1:14" ht="32.25" customHeight="1" thickTop="1" x14ac:dyDescent="0.2">
      <c r="A4" s="1934" t="s">
        <v>383</v>
      </c>
      <c r="B4" s="1935"/>
      <c r="C4" s="1935"/>
      <c r="D4" s="1935"/>
      <c r="E4" s="1935"/>
      <c r="F4" s="1935"/>
      <c r="G4" s="1935"/>
      <c r="H4" s="1935"/>
      <c r="I4" s="1935"/>
      <c r="J4" s="1935"/>
      <c r="K4" s="1935"/>
      <c r="L4" s="1935"/>
      <c r="M4" s="1936"/>
      <c r="N4" s="958"/>
    </row>
    <row r="5" spans="1:14" ht="12" customHeight="1" x14ac:dyDescent="0.2">
      <c r="A5" s="4"/>
      <c r="B5" s="620"/>
      <c r="C5" s="620"/>
      <c r="D5" s="620"/>
      <c r="E5" s="620"/>
      <c r="F5" s="620"/>
      <c r="G5" s="620"/>
      <c r="H5" s="620"/>
      <c r="I5" s="620"/>
      <c r="J5" s="620"/>
      <c r="K5" s="620"/>
      <c r="L5" s="620"/>
      <c r="M5" s="5"/>
      <c r="N5" s="958"/>
    </row>
    <row r="6" spans="1:14" ht="17" thickBot="1" x14ac:dyDescent="0.25">
      <c r="A6" s="1154"/>
      <c r="B6" s="3" t="s">
        <v>1</v>
      </c>
      <c r="C6" s="3" t="s">
        <v>2</v>
      </c>
      <c r="D6" s="3" t="s">
        <v>3</v>
      </c>
      <c r="E6" s="3" t="s">
        <v>4</v>
      </c>
      <c r="F6" s="3" t="s">
        <v>5</v>
      </c>
      <c r="G6" s="3" t="s">
        <v>6</v>
      </c>
      <c r="H6" s="3" t="s">
        <v>7</v>
      </c>
      <c r="I6" s="3" t="s">
        <v>8</v>
      </c>
      <c r="J6" s="3" t="s">
        <v>9</v>
      </c>
      <c r="K6" s="3" t="s">
        <v>10</v>
      </c>
      <c r="L6" s="3" t="s">
        <v>11</v>
      </c>
      <c r="M6" s="6" t="s">
        <v>12</v>
      </c>
      <c r="N6" s="958"/>
    </row>
    <row r="7" spans="1:14" ht="21" customHeight="1" x14ac:dyDescent="0.2">
      <c r="A7" s="1154"/>
      <c r="B7" s="2004" t="s">
        <v>362</v>
      </c>
      <c r="C7" s="2005"/>
      <c r="D7" s="2005"/>
      <c r="E7" s="2005"/>
      <c r="F7" s="2005"/>
      <c r="G7" s="2005"/>
      <c r="H7" s="2005"/>
      <c r="I7" s="2005"/>
      <c r="J7" s="2005"/>
      <c r="K7" s="2005"/>
      <c r="L7" s="2005"/>
      <c r="M7" s="2174"/>
      <c r="N7" s="958"/>
    </row>
    <row r="8" spans="1:14" ht="85" customHeight="1" x14ac:dyDescent="0.2">
      <c r="A8" s="1154"/>
      <c r="B8" s="2055" t="s">
        <v>384</v>
      </c>
      <c r="C8" s="2019" t="s">
        <v>146</v>
      </c>
      <c r="D8" s="1825" t="s">
        <v>385</v>
      </c>
      <c r="E8" s="1826" t="s">
        <v>386</v>
      </c>
      <c r="F8" s="1828" t="s">
        <v>387</v>
      </c>
      <c r="G8" s="1828" t="s">
        <v>388</v>
      </c>
      <c r="H8" s="2019" t="s">
        <v>182</v>
      </c>
      <c r="I8" s="1825" t="s">
        <v>385</v>
      </c>
      <c r="J8" s="1826" t="s">
        <v>386</v>
      </c>
      <c r="K8" s="1828" t="s">
        <v>387</v>
      </c>
      <c r="L8" s="1827" t="s">
        <v>388</v>
      </c>
      <c r="M8" s="2176" t="s">
        <v>367</v>
      </c>
      <c r="N8" s="1104"/>
    </row>
    <row r="9" spans="1:14" ht="33" customHeight="1" x14ac:dyDescent="0.2">
      <c r="A9" s="1154"/>
      <c r="B9" s="2007"/>
      <c r="C9" s="2020"/>
      <c r="D9" s="1834"/>
      <c r="E9" s="1834"/>
      <c r="F9" s="1834"/>
      <c r="G9" s="1834"/>
      <c r="H9" s="2020"/>
      <c r="I9" s="1834"/>
      <c r="J9" s="1834"/>
      <c r="K9" s="1834"/>
      <c r="L9" s="748"/>
      <c r="M9" s="2071"/>
      <c r="N9" s="1104"/>
    </row>
    <row r="10" spans="1:14" ht="14.25" customHeight="1" x14ac:dyDescent="0.2">
      <c r="A10" s="1322" t="s">
        <v>29</v>
      </c>
      <c r="B10" s="16">
        <v>24.475167180103998</v>
      </c>
      <c r="C10" s="15">
        <v>8.7910436546697994</v>
      </c>
      <c r="D10" s="1036">
        <f>C10</f>
        <v>8.7910436546697994</v>
      </c>
      <c r="E10" s="1036">
        <v>0</v>
      </c>
      <c r="F10" s="1036">
        <v>0</v>
      </c>
      <c r="G10" s="1036">
        <v>0</v>
      </c>
      <c r="H10" s="15">
        <v>4.5856187542265001</v>
      </c>
      <c r="I10" s="1036">
        <v>3.9086332556915999</v>
      </c>
      <c r="J10" s="1036">
        <v>0.12021940040574</v>
      </c>
      <c r="K10" s="1036">
        <f>($H10-$I10-$J10)*0.7</f>
        <v>0.38973626869041211</v>
      </c>
      <c r="L10" s="1045">
        <f>H10-I10-J10-K10</f>
        <v>0.16702982943874811</v>
      </c>
      <c r="M10" s="1350">
        <f>TableB2!F10</f>
        <v>11.103764369975</v>
      </c>
      <c r="N10" s="1104"/>
    </row>
    <row r="11" spans="1:14" ht="14.25" customHeight="1" x14ac:dyDescent="0.2">
      <c r="A11" s="1154" t="s">
        <v>30</v>
      </c>
      <c r="B11" s="120">
        <v>1.7981142540210999</v>
      </c>
      <c r="C11" s="1195">
        <v>8.8086522462561998</v>
      </c>
      <c r="D11" s="1037">
        <v>8.8086522462561998</v>
      </c>
      <c r="E11" s="1037">
        <v>0</v>
      </c>
      <c r="F11" s="1037">
        <v>0</v>
      </c>
      <c r="G11" s="1037">
        <v>0</v>
      </c>
      <c r="H11" s="1195">
        <v>1.7570715474210001</v>
      </c>
      <c r="I11" s="1037">
        <v>0.93288962839711997</v>
      </c>
      <c r="J11" s="1037">
        <v>0.45812534664447996</v>
      </c>
      <c r="K11" s="1037">
        <v>6.1009428729894996E-2</v>
      </c>
      <c r="L11" s="1046">
        <v>0.30504714364947</v>
      </c>
      <c r="M11" s="1351">
        <f>TableB2!F11</f>
        <v>-8.7676095396560996</v>
      </c>
      <c r="N11" s="1104"/>
    </row>
    <row r="12" spans="1:14" ht="14.25" customHeight="1" x14ac:dyDescent="0.2">
      <c r="A12" s="1154" t="s">
        <v>31</v>
      </c>
      <c r="B12" s="120">
        <v>29.690515806988003</v>
      </c>
      <c r="C12" s="1195">
        <v>25.384359400998001</v>
      </c>
      <c r="D12" s="1037">
        <v>25.230171935662998</v>
      </c>
      <c r="E12" s="1037">
        <v>0</v>
      </c>
      <c r="F12" s="1037">
        <v>1.885745978924E-2</v>
      </c>
      <c r="G12" s="1037">
        <v>0.13754853022739999</v>
      </c>
      <c r="H12" s="1195">
        <v>5.1148086522462997</v>
      </c>
      <c r="I12" s="1037">
        <v>2.6777592900721001</v>
      </c>
      <c r="J12" s="1037">
        <v>0.33388796450361002</v>
      </c>
      <c r="K12" s="1037">
        <v>0.47476428175262997</v>
      </c>
      <c r="L12" s="1046">
        <v>1.6283971159179</v>
      </c>
      <c r="M12" s="1351">
        <f>TableB2!F12</f>
        <v>-0.80865224625623999</v>
      </c>
      <c r="N12" s="1104"/>
    </row>
    <row r="13" spans="1:14" ht="14.25" customHeight="1" x14ac:dyDescent="0.2">
      <c r="A13" s="1154" t="s">
        <v>32</v>
      </c>
      <c r="B13" s="120"/>
      <c r="C13" s="1195"/>
      <c r="D13" s="1037"/>
      <c r="E13" s="1037"/>
      <c r="F13" s="1037"/>
      <c r="G13" s="1037"/>
      <c r="H13" s="1195"/>
      <c r="I13" s="1037"/>
      <c r="J13" s="1037"/>
      <c r="K13" s="1037"/>
      <c r="L13" s="1046"/>
      <c r="M13" s="1351">
        <f>TableB2!F13</f>
        <v>13.377923805054001</v>
      </c>
      <c r="N13" s="1104"/>
    </row>
    <row r="14" spans="1:14" ht="14.25" customHeight="1" x14ac:dyDescent="0.2">
      <c r="A14" s="1154" t="s">
        <v>33</v>
      </c>
      <c r="B14" s="120">
        <v>10.311207324123</v>
      </c>
      <c r="C14" s="1195">
        <v>4.5849523142074</v>
      </c>
      <c r="D14" s="1037">
        <v>4.5837248192016</v>
      </c>
      <c r="E14" s="1037">
        <v>1.7452175256999998E-7</v>
      </c>
      <c r="F14" s="1037">
        <v>0</v>
      </c>
      <c r="G14" s="1037">
        <v>0</v>
      </c>
      <c r="H14" s="1195">
        <v>2.0460496507304997</v>
      </c>
      <c r="I14" s="1037">
        <v>1.5643684203411001</v>
      </c>
      <c r="J14" s="1037">
        <v>1.8131840061226999E-2</v>
      </c>
      <c r="K14" s="1037">
        <v>0</v>
      </c>
      <c r="L14" s="1046">
        <f>H14-I14-J14-K14</f>
        <v>0.46354939032817261</v>
      </c>
      <c r="M14" s="1351">
        <f>TableB2!F14</f>
        <v>3.6802053591849999</v>
      </c>
      <c r="N14" s="1104"/>
    </row>
    <row r="15" spans="1:14" ht="14.25" customHeight="1" x14ac:dyDescent="0.2">
      <c r="A15" s="1154" t="s">
        <v>34</v>
      </c>
      <c r="B15" s="120">
        <v>14.590330581873001</v>
      </c>
      <c r="C15" s="1195">
        <v>10.907534664335</v>
      </c>
      <c r="D15" s="1037">
        <v>10.907534664335</v>
      </c>
      <c r="E15" s="1037">
        <v>0</v>
      </c>
      <c r="F15" s="1037">
        <v>0</v>
      </c>
      <c r="G15" s="1037">
        <v>0</v>
      </c>
      <c r="H15" s="1195">
        <v>0.59561663888097993</v>
      </c>
      <c r="I15" s="1037">
        <v>0.43849875980969999</v>
      </c>
      <c r="J15" s="1037">
        <v>4.8794372382385005E-3</v>
      </c>
      <c r="K15" s="1037">
        <v>1.6264790794127998E-3</v>
      </c>
      <c r="L15" s="1046">
        <v>0.15077461066157</v>
      </c>
      <c r="M15" s="1351">
        <f>TableB2!F15</f>
        <v>3.0872606026104998</v>
      </c>
      <c r="N15" s="1104"/>
    </row>
    <row r="16" spans="1:14" ht="14.25" customHeight="1" x14ac:dyDescent="0.2">
      <c r="A16" s="1154" t="s">
        <v>35</v>
      </c>
      <c r="B16" s="120">
        <v>5.5642787046124003</v>
      </c>
      <c r="C16" s="1195">
        <v>5.2588693609302002</v>
      </c>
      <c r="D16" s="1037">
        <v>5.2588693609302002</v>
      </c>
      <c r="E16" s="1037">
        <v>0</v>
      </c>
      <c r="F16" s="1037">
        <v>0</v>
      </c>
      <c r="G16" s="1037">
        <v>0</v>
      </c>
      <c r="H16" s="1195">
        <v>0.52576798406043002</v>
      </c>
      <c r="I16" s="1037">
        <v>0.30972135486364999</v>
      </c>
      <c r="J16" s="1037">
        <v>0.18080708954114</v>
      </c>
      <c r="K16" s="1037">
        <v>0</v>
      </c>
      <c r="L16" s="1046">
        <v>3.5239539655633999E-2</v>
      </c>
      <c r="M16" s="1351">
        <f>TableB2!F16</f>
        <v>-0.22065602045975002</v>
      </c>
      <c r="N16" s="1104"/>
    </row>
    <row r="17" spans="1:14" ht="14.25" customHeight="1" x14ac:dyDescent="0.2">
      <c r="A17" s="1154" t="s">
        <v>36</v>
      </c>
      <c r="B17" s="120">
        <v>1.3545235718247</v>
      </c>
      <c r="C17" s="1195">
        <v>0.72318469217970005</v>
      </c>
      <c r="D17" s="1037">
        <v>0.72318469217970005</v>
      </c>
      <c r="E17" s="1037">
        <v>0</v>
      </c>
      <c r="F17" s="1037">
        <v>0</v>
      </c>
      <c r="G17" s="1037">
        <v>0</v>
      </c>
      <c r="H17" s="1195">
        <v>4.7377703826954998E-2</v>
      </c>
      <c r="I17" s="1037">
        <v>4.1320022185246996E-2</v>
      </c>
      <c r="J17" s="1037">
        <v>2.1663893510815001E-3</v>
      </c>
      <c r="K17" s="1037">
        <v>1.2756516916251001E-4</v>
      </c>
      <c r="L17" s="1046">
        <v>3.7626178591236999E-3</v>
      </c>
      <c r="M17" s="1351">
        <f>TableB2!F17</f>
        <v>0.58396228508042003</v>
      </c>
      <c r="N17" s="1104"/>
    </row>
    <row r="18" spans="1:14" ht="14.25" customHeight="1" x14ac:dyDescent="0.2">
      <c r="A18" s="1154" t="s">
        <v>37</v>
      </c>
      <c r="B18" s="120">
        <v>4.4248474764281998</v>
      </c>
      <c r="C18" s="1195">
        <v>5.4220743205768001</v>
      </c>
      <c r="D18" s="1037">
        <f>C18</f>
        <v>5.4220743205768001</v>
      </c>
      <c r="E18" s="1037">
        <v>0</v>
      </c>
      <c r="F18" s="1037">
        <v>0</v>
      </c>
      <c r="G18" s="1037">
        <v>0</v>
      </c>
      <c r="H18" s="1195">
        <v>1.0316139767054999</v>
      </c>
      <c r="I18" s="1037"/>
      <c r="J18" s="1037"/>
      <c r="K18" s="1037"/>
      <c r="L18" s="1046"/>
      <c r="M18" s="1351">
        <f>TableB2!F18</f>
        <v>-2.0288408208541</v>
      </c>
      <c r="N18" s="1104"/>
    </row>
    <row r="19" spans="1:14" ht="14.25" customHeight="1" x14ac:dyDescent="0.2">
      <c r="A19" s="1154" t="s">
        <v>38</v>
      </c>
      <c r="B19" s="120">
        <v>29.414050289440002</v>
      </c>
      <c r="C19" s="1195">
        <v>15.593480865224999</v>
      </c>
      <c r="D19" s="1037">
        <v>15.593480865224999</v>
      </c>
      <c r="E19" s="1037">
        <v>0</v>
      </c>
      <c r="F19" s="1037">
        <v>0</v>
      </c>
      <c r="G19" s="1037">
        <v>0</v>
      </c>
      <c r="H19" s="1195">
        <v>6.2594013709707994</v>
      </c>
      <c r="I19" s="1037">
        <v>1.8825373510127998</v>
      </c>
      <c r="J19" s="1037">
        <v>0.81285110396101001</v>
      </c>
      <c r="K19" s="1037">
        <v>1.2851262248872</v>
      </c>
      <c r="L19" s="1046">
        <v>2.2788866911098</v>
      </c>
      <c r="M19" s="1351">
        <f>TableB2!F19</f>
        <v>7.5611680532446002</v>
      </c>
      <c r="N19" s="1104"/>
    </row>
    <row r="20" spans="1:14" ht="14.25" customHeight="1" x14ac:dyDescent="0.2">
      <c r="A20" s="1154" t="s">
        <v>39</v>
      </c>
      <c r="B20" s="120">
        <v>43.616195230172004</v>
      </c>
      <c r="C20" s="1195">
        <v>21.960066555739999</v>
      </c>
      <c r="D20" s="1037">
        <v>21.960066555739999</v>
      </c>
      <c r="E20" s="1037">
        <v>0</v>
      </c>
      <c r="F20" s="1037">
        <v>0</v>
      </c>
      <c r="G20" s="1037">
        <v>0</v>
      </c>
      <c r="H20" s="1195">
        <v>16.804215196894003</v>
      </c>
      <c r="I20" s="1037">
        <v>4.6511369938991001</v>
      </c>
      <c r="J20" s="1037">
        <v>7.9556295063783002</v>
      </c>
      <c r="K20" s="1037">
        <v>0.81198003327787005</v>
      </c>
      <c r="L20" s="1046">
        <v>3.3843594009982998</v>
      </c>
      <c r="M20" s="1351">
        <f>TableB2!F20</f>
        <v>4.8530227398779999</v>
      </c>
      <c r="N20" s="1104"/>
    </row>
    <row r="21" spans="1:14" ht="14.25" customHeight="1" x14ac:dyDescent="0.2">
      <c r="A21" s="1154" t="s">
        <v>40</v>
      </c>
      <c r="B21" s="120">
        <v>1.1568235296728</v>
      </c>
      <c r="C21" s="1195">
        <v>0.62594856905157992</v>
      </c>
      <c r="D21" s="1037">
        <v>0.62594856905157992</v>
      </c>
      <c r="E21" s="1037">
        <v>0</v>
      </c>
      <c r="F21" s="1037">
        <v>0</v>
      </c>
      <c r="G21" s="1037">
        <v>0</v>
      </c>
      <c r="H21" s="1195">
        <v>6.4186108707708994E-2</v>
      </c>
      <c r="I21" s="1037">
        <v>6.4186108707708994E-2</v>
      </c>
      <c r="J21" s="1037">
        <v>0</v>
      </c>
      <c r="K21" s="1037">
        <v>0</v>
      </c>
      <c r="L21" s="1046">
        <v>0</v>
      </c>
      <c r="M21" s="1351">
        <f>TableB2!F21</f>
        <v>0.46668885191347997</v>
      </c>
      <c r="N21" s="1104"/>
    </row>
    <row r="22" spans="1:14" ht="14.25" customHeight="1" x14ac:dyDescent="0.2">
      <c r="A22" s="1154" t="s">
        <v>41</v>
      </c>
      <c r="B22" s="120">
        <v>13.056997127444999</v>
      </c>
      <c r="C22" s="1195">
        <v>6.0308644132753999</v>
      </c>
      <c r="D22" s="1037">
        <v>6.0226260521357995</v>
      </c>
      <c r="E22" s="1037">
        <v>0</v>
      </c>
      <c r="F22" s="1037">
        <v>0</v>
      </c>
      <c r="G22" s="1037">
        <v>8.2383611395660007E-3</v>
      </c>
      <c r="H22" s="1195">
        <v>1.3269259618759999</v>
      </c>
      <c r="I22" s="1037">
        <v>0.77238577118419005</v>
      </c>
      <c r="J22" s="1037">
        <v>0.16163285743962999</v>
      </c>
      <c r="K22" s="1037">
        <v>2.6658341511637002E-2</v>
      </c>
      <c r="L22" s="1046">
        <v>0.36624899174051001</v>
      </c>
      <c r="M22" s="1351">
        <f>TableB2!F22</f>
        <v>5.6992067487124007</v>
      </c>
      <c r="N22" s="1104"/>
    </row>
    <row r="23" spans="1:14" ht="14.25" customHeight="1" x14ac:dyDescent="0.2">
      <c r="A23" s="1154" t="s">
        <v>42</v>
      </c>
      <c r="B23" s="120">
        <v>0.23185674178387</v>
      </c>
      <c r="C23" s="1195">
        <v>2.2275108968346998E-2</v>
      </c>
      <c r="D23" s="1037">
        <v>2.2275108968346998E-2</v>
      </c>
      <c r="E23" s="1037">
        <v>0</v>
      </c>
      <c r="F23" s="1037">
        <v>0</v>
      </c>
      <c r="G23" s="1037">
        <v>0</v>
      </c>
      <c r="H23" s="1195">
        <v>0.3024122775427</v>
      </c>
      <c r="I23" s="1037">
        <v>0.23883192907143999</v>
      </c>
      <c r="J23" s="1037">
        <v>5.9364909197466998E-3</v>
      </c>
      <c r="K23" s="1037">
        <v>1.4860181612648001E-3</v>
      </c>
      <c r="L23" s="1046">
        <v>5.6157839390246996E-2</v>
      </c>
      <c r="M23" s="1351">
        <f>TableB2!F23</f>
        <v>-9.2830644727175005E-2</v>
      </c>
      <c r="N23" s="1104"/>
    </row>
    <row r="24" spans="1:14" ht="14.25" customHeight="1" x14ac:dyDescent="0.2">
      <c r="A24" s="1154" t="s">
        <v>43</v>
      </c>
      <c r="B24" s="120">
        <v>70.252911813643991</v>
      </c>
      <c r="C24" s="1195">
        <v>17.183582917359999</v>
      </c>
      <c r="D24" s="1037">
        <v>17.183582917359999</v>
      </c>
      <c r="E24" s="1037">
        <v>0</v>
      </c>
      <c r="F24" s="1037">
        <v>0</v>
      </c>
      <c r="G24" s="1037">
        <v>0</v>
      </c>
      <c r="H24" s="1195">
        <v>6.4814198557958997</v>
      </c>
      <c r="I24" s="1037">
        <v>2.1231281198002998</v>
      </c>
      <c r="J24" s="1037">
        <v>1.1014975041596999</v>
      </c>
      <c r="K24" s="1037">
        <v>0.13</v>
      </c>
      <c r="L24" s="1046">
        <f>H24-I24-J24-K24</f>
        <v>3.1267942318359001</v>
      </c>
      <c r="M24" s="1351">
        <f>TableB2!F24</f>
        <v>46.587909040488</v>
      </c>
      <c r="N24" s="1104"/>
    </row>
    <row r="25" spans="1:14" ht="14.25" customHeight="1" x14ac:dyDescent="0.2">
      <c r="A25" s="1154" t="s">
        <v>44</v>
      </c>
      <c r="B25" s="120"/>
      <c r="C25" s="1195"/>
      <c r="D25" s="1037"/>
      <c r="E25" s="1037"/>
      <c r="F25" s="1037"/>
      <c r="G25" s="1037"/>
      <c r="H25" s="1195"/>
      <c r="I25" s="1037"/>
      <c r="J25" s="1037"/>
      <c r="K25" s="1037"/>
      <c r="L25" s="1046"/>
      <c r="M25" s="1351">
        <f>TableB2!F25</f>
        <v>3.7119999999999997</v>
      </c>
      <c r="N25" s="1104"/>
    </row>
    <row r="26" spans="1:14" ht="14.25" customHeight="1" x14ac:dyDescent="0.2">
      <c r="A26" s="1154" t="s">
        <v>45</v>
      </c>
      <c r="B26" s="120">
        <v>14.82697615086</v>
      </c>
      <c r="C26" s="1195">
        <v>3.4079789240155001</v>
      </c>
      <c r="D26" s="1037">
        <v>3.4079789240155001</v>
      </c>
      <c r="E26" s="1037">
        <v>0</v>
      </c>
      <c r="F26" s="1037">
        <v>0</v>
      </c>
      <c r="G26" s="1037">
        <v>0</v>
      </c>
      <c r="H26" s="1195">
        <v>3.9515052689960997</v>
      </c>
      <c r="I26" s="1037">
        <v>1.3100221852468001</v>
      </c>
      <c r="J26" s="1037">
        <v>1.5885446478091998</v>
      </c>
      <c r="K26" s="1037">
        <v>0.25785135884636995</v>
      </c>
      <c r="L26" s="1046">
        <v>0.79508707709373005</v>
      </c>
      <c r="M26" s="1351">
        <f>TableB2!F26</f>
        <v>7.4674919578479999</v>
      </c>
      <c r="N26" s="1104"/>
    </row>
    <row r="27" spans="1:14" ht="14.25" customHeight="1" x14ac:dyDescent="0.2">
      <c r="A27" s="1154" t="s">
        <v>46</v>
      </c>
      <c r="B27" s="120">
        <v>24.191275703023997</v>
      </c>
      <c r="C27" s="1195">
        <v>12.265056118767999</v>
      </c>
      <c r="D27" s="1037">
        <f>C27</f>
        <v>12.265056118767999</v>
      </c>
      <c r="E27" s="1037">
        <v>0</v>
      </c>
      <c r="F27" s="1037">
        <v>0</v>
      </c>
      <c r="G27" s="1037">
        <v>0</v>
      </c>
      <c r="H27" s="1195">
        <v>0.50577551005228993</v>
      </c>
      <c r="I27" s="1037">
        <f>H27</f>
        <v>0.50577551005228993</v>
      </c>
      <c r="J27" s="1037">
        <v>0</v>
      </c>
      <c r="K27" s="1037">
        <v>0</v>
      </c>
      <c r="L27" s="1046">
        <v>0</v>
      </c>
      <c r="M27" s="1351">
        <v>11.420444074204001</v>
      </c>
      <c r="N27" s="1104"/>
    </row>
    <row r="28" spans="1:14" ht="14.25" customHeight="1" x14ac:dyDescent="0.2">
      <c r="A28" s="1154" t="s">
        <v>47</v>
      </c>
      <c r="B28" s="120">
        <v>10.584100000000001</v>
      </c>
      <c r="C28" s="1195">
        <v>8.3502999999999989</v>
      </c>
      <c r="D28" s="1037">
        <f>C28</f>
        <v>8.3502999999999989</v>
      </c>
      <c r="E28" s="1037">
        <v>0</v>
      </c>
      <c r="F28" s="1037">
        <v>0</v>
      </c>
      <c r="G28" s="1037">
        <v>0</v>
      </c>
      <c r="H28" s="1195">
        <v>0.22080000000000002</v>
      </c>
      <c r="I28" s="1037"/>
      <c r="J28" s="1037"/>
      <c r="K28" s="1037"/>
      <c r="L28" s="1046"/>
      <c r="M28" s="1351">
        <f>TableB2!F28</f>
        <v>1.3939033431979</v>
      </c>
      <c r="N28" s="1104"/>
    </row>
    <row r="29" spans="1:14" x14ac:dyDescent="0.2">
      <c r="A29" s="1154" t="s">
        <v>48</v>
      </c>
      <c r="B29" s="120">
        <v>1.1680532445923</v>
      </c>
      <c r="C29" s="1195">
        <v>0.62229617304493001</v>
      </c>
      <c r="D29" s="1037">
        <v>0.62229617304493001</v>
      </c>
      <c r="E29" s="1037">
        <v>0</v>
      </c>
      <c r="F29" s="1037">
        <v>0</v>
      </c>
      <c r="G29" s="1037">
        <v>0</v>
      </c>
      <c r="H29" s="1195">
        <v>7.0992789794786001E-2</v>
      </c>
      <c r="I29" s="1037">
        <v>4.4370493621742002E-2</v>
      </c>
      <c r="J29" s="1037">
        <v>0</v>
      </c>
      <c r="K29" s="1037">
        <v>3.3277870216305997E-3</v>
      </c>
      <c r="L29" s="1046">
        <v>2.3294509151414001E-2</v>
      </c>
      <c r="M29" s="1351">
        <f>TableB2!F29</f>
        <v>0.47587354409318</v>
      </c>
      <c r="N29" s="958"/>
    </row>
    <row r="30" spans="1:14" x14ac:dyDescent="0.2">
      <c r="A30" s="1154" t="s">
        <v>49</v>
      </c>
      <c r="B30" s="120">
        <v>108.83749306711</v>
      </c>
      <c r="C30" s="1195">
        <v>59.244592346090002</v>
      </c>
      <c r="D30" s="791">
        <f>C30</f>
        <v>59.244592346090002</v>
      </c>
      <c r="E30" s="791">
        <v>0</v>
      </c>
      <c r="F30" s="791">
        <v>0</v>
      </c>
      <c r="G30" s="791">
        <v>0</v>
      </c>
      <c r="H30" s="1195">
        <v>41.278979478647003</v>
      </c>
      <c r="I30" s="27"/>
      <c r="J30" s="27"/>
      <c r="K30" s="27"/>
      <c r="L30" s="1355"/>
      <c r="M30" s="1351">
        <f>TableB2!F30</f>
        <v>8.3139212423738016</v>
      </c>
      <c r="N30" s="958"/>
    </row>
    <row r="31" spans="1:14" x14ac:dyDescent="0.2">
      <c r="A31" s="1154" t="s">
        <v>50</v>
      </c>
      <c r="B31" s="120"/>
      <c r="C31" s="1195"/>
      <c r="D31" s="1037"/>
      <c r="E31" s="1037"/>
      <c r="F31" s="1037"/>
      <c r="G31" s="1037"/>
      <c r="H31" s="1195"/>
      <c r="I31" s="1037"/>
      <c r="J31" s="1037"/>
      <c r="K31" s="1037"/>
      <c r="L31" s="1046"/>
      <c r="M31" s="1351">
        <f>TableB2!F31</f>
        <v>10.738041491899999</v>
      </c>
      <c r="N31" s="958"/>
    </row>
    <row r="32" spans="1:14" x14ac:dyDescent="0.2">
      <c r="A32" s="1154" t="s">
        <v>51</v>
      </c>
      <c r="B32" s="120">
        <v>191.09794786466998</v>
      </c>
      <c r="C32" s="1195">
        <v>119.01397670548999</v>
      </c>
      <c r="D32" s="1037">
        <f>C32</f>
        <v>119.01397670548999</v>
      </c>
      <c r="E32" s="1037">
        <v>0</v>
      </c>
      <c r="F32" s="1037">
        <v>0</v>
      </c>
      <c r="G32" s="1037">
        <v>0</v>
      </c>
      <c r="H32" s="1195">
        <v>29.928563505269</v>
      </c>
      <c r="I32" s="1037"/>
      <c r="J32" s="1037"/>
      <c r="K32" s="1037"/>
      <c r="L32" s="1046"/>
      <c r="M32" s="1351">
        <f>TableB2!F32</f>
        <v>42.155296727676003</v>
      </c>
      <c r="N32" s="958"/>
    </row>
    <row r="33" spans="1:13" x14ac:dyDescent="0.2">
      <c r="A33" s="1154" t="s">
        <v>52</v>
      </c>
      <c r="B33" s="120">
        <v>6.0932924278342995</v>
      </c>
      <c r="C33" s="1195">
        <v>4.2455724445684</v>
      </c>
      <c r="D33" s="1037">
        <v>4.2455724445684</v>
      </c>
      <c r="E33" s="1037">
        <v>0</v>
      </c>
      <c r="F33" s="1037">
        <v>0</v>
      </c>
      <c r="G33" s="1037">
        <v>0</v>
      </c>
      <c r="H33" s="1195">
        <v>0.84855668665457995</v>
      </c>
      <c r="I33" s="1037">
        <v>0.63450006972528006</v>
      </c>
      <c r="J33" s="1037">
        <v>5.0202203318923E-2</v>
      </c>
      <c r="K33" s="1037">
        <v>0</v>
      </c>
      <c r="L33" s="1046">
        <v>0.16524891925811999</v>
      </c>
      <c r="M33" s="1351">
        <f>TableB2!F33</f>
        <v>0.99846604378747994</v>
      </c>
    </row>
    <row r="34" spans="1:13" x14ac:dyDescent="0.2">
      <c r="A34" s="1080" t="s">
        <v>53</v>
      </c>
      <c r="B34" s="120">
        <v>9.0377342112769004</v>
      </c>
      <c r="C34" s="1195">
        <v>4.8090968837965002</v>
      </c>
      <c r="D34" s="1037">
        <f>C34</f>
        <v>4.8090968837965002</v>
      </c>
      <c r="E34" s="1037">
        <v>0</v>
      </c>
      <c r="F34" s="1037">
        <v>0</v>
      </c>
      <c r="G34" s="1037">
        <v>0</v>
      </c>
      <c r="H34" s="1195">
        <v>3.6378854953312998</v>
      </c>
      <c r="I34" s="1037">
        <v>3.6378854953312998</v>
      </c>
      <c r="J34" s="1037">
        <v>0</v>
      </c>
      <c r="K34" s="1037">
        <f>($H34-$I34-$J34)*0.25</f>
        <v>0</v>
      </c>
      <c r="L34" s="1046">
        <f>($H34-$I34-$J34)*0.75</f>
        <v>0</v>
      </c>
      <c r="M34" s="1351">
        <f>TableB2!F34</f>
        <v>-1.3215034162916</v>
      </c>
    </row>
    <row r="35" spans="1:13" x14ac:dyDescent="0.2">
      <c r="A35" s="1154" t="s">
        <v>54</v>
      </c>
      <c r="B35" s="120">
        <v>18.797649992042999</v>
      </c>
      <c r="C35" s="1195">
        <v>8.0529680123069998</v>
      </c>
      <c r="D35" s="1037">
        <v>7.9649355471857994</v>
      </c>
      <c r="E35" s="1037">
        <v>3.9785687761922001E-4</v>
      </c>
      <c r="F35" s="1037">
        <v>6.7900907113680993E-3</v>
      </c>
      <c r="G35" s="1037">
        <v>8.0844517532226004E-2</v>
      </c>
      <c r="H35" s="1195">
        <v>2.6548193729775997</v>
      </c>
      <c r="I35" s="1037">
        <v>1.1392499071666999</v>
      </c>
      <c r="J35" s="1037">
        <v>0.15351970717734001</v>
      </c>
      <c r="K35" s="1037">
        <v>0.10742135695719</v>
      </c>
      <c r="L35" s="1046">
        <v>1.2546284016763001</v>
      </c>
      <c r="M35" s="1351">
        <f>TableB2!F35</f>
        <v>8.0898626067583006</v>
      </c>
    </row>
    <row r="36" spans="1:13" x14ac:dyDescent="0.2">
      <c r="A36" s="1154" t="s">
        <v>55</v>
      </c>
      <c r="B36" s="120">
        <v>5.2479201331115002</v>
      </c>
      <c r="C36" s="1195">
        <v>3.1669439822518002</v>
      </c>
      <c r="D36" s="1037">
        <v>3.1125901275652001</v>
      </c>
      <c r="E36" s="1037">
        <v>2.8840820854132001E-2</v>
      </c>
      <c r="F36" s="1037">
        <v>4.4370493621741997E-3</v>
      </c>
      <c r="G36" s="1037">
        <v>1.9966722129783999E-2</v>
      </c>
      <c r="H36" s="1195">
        <v>1.0970604547975999</v>
      </c>
      <c r="I36" s="1037">
        <v>0.83749306711036997</v>
      </c>
      <c r="J36" s="1037">
        <v>0.21075984470327</v>
      </c>
      <c r="K36" s="1037">
        <v>2.1075984470327002E-2</v>
      </c>
      <c r="L36" s="1046">
        <v>2.6622296173045002E-2</v>
      </c>
      <c r="M36" s="1351">
        <f>TableB2!F36</f>
        <v>0.98502495840266002</v>
      </c>
    </row>
    <row r="37" spans="1:13" x14ac:dyDescent="0.2">
      <c r="A37" s="1154" t="s">
        <v>336</v>
      </c>
      <c r="B37" s="120">
        <v>4.5050524159733998</v>
      </c>
      <c r="C37" s="1195">
        <v>3.3260375463117002</v>
      </c>
      <c r="D37" s="1037">
        <v>3.3260375463117002</v>
      </c>
      <c r="E37" s="1037">
        <v>0</v>
      </c>
      <c r="F37" s="1037">
        <v>0</v>
      </c>
      <c r="G37" s="1037">
        <v>0</v>
      </c>
      <c r="H37" s="1195">
        <v>0.39209983361065004</v>
      </c>
      <c r="I37" s="1037">
        <v>0.30730227398779997</v>
      </c>
      <c r="J37" s="1037">
        <v>3.4054353854686998E-4</v>
      </c>
      <c r="K37" s="1037">
        <v>0</v>
      </c>
      <c r="L37" s="1046">
        <v>8.4457016084304004E-2</v>
      </c>
      <c r="M37" s="1351">
        <f>TableB2!F37</f>
        <v>0.78691503605103008</v>
      </c>
    </row>
    <row r="38" spans="1:13" x14ac:dyDescent="0.2">
      <c r="A38" s="1080" t="s">
        <v>57</v>
      </c>
      <c r="B38" s="120">
        <v>1.0951081530782001</v>
      </c>
      <c r="C38" s="1195">
        <v>0.53209095951191998</v>
      </c>
      <c r="D38" s="1037">
        <v>0.53209095951191998</v>
      </c>
      <c r="E38" s="1037">
        <v>0</v>
      </c>
      <c r="F38" s="1037">
        <v>0</v>
      </c>
      <c r="G38" s="1037">
        <v>0</v>
      </c>
      <c r="H38" s="1195">
        <v>7.3647254575706991E-2</v>
      </c>
      <c r="I38" s="1037">
        <v>5.7788130892956001E-2</v>
      </c>
      <c r="J38" s="1037">
        <v>5.7659456461453002E-3</v>
      </c>
      <c r="K38" s="1037">
        <v>2.5513033832500001E-5</v>
      </c>
      <c r="L38" s="1046">
        <v>1.0067665002772999E-2</v>
      </c>
      <c r="M38" s="1351">
        <f>TableB2!F38</f>
        <v>0.48937104825291</v>
      </c>
    </row>
    <row r="39" spans="1:13" x14ac:dyDescent="0.2">
      <c r="A39" s="1154" t="s">
        <v>58</v>
      </c>
      <c r="B39" s="120">
        <v>24.561286744314998</v>
      </c>
      <c r="C39" s="1195"/>
      <c r="D39" s="1037"/>
      <c r="E39" s="1037"/>
      <c r="F39" s="1037"/>
      <c r="G39" s="1037"/>
      <c r="H39" s="1195">
        <v>6.0499168053245</v>
      </c>
      <c r="I39" s="1037">
        <v>1.4309484193011999</v>
      </c>
      <c r="J39" s="1037">
        <v>1.5507487520798999</v>
      </c>
      <c r="K39" s="1037">
        <f>($H39-$I39-$J39)*0.28</f>
        <v>0.8591014975041521</v>
      </c>
      <c r="L39" s="1046">
        <f>H39-I39-J39-K39</f>
        <v>2.209118136439248</v>
      </c>
      <c r="M39" s="1351">
        <f>TableB2!F39</f>
        <v>5.4685524126455691</v>
      </c>
    </row>
    <row r="40" spans="1:13" x14ac:dyDescent="0.2">
      <c r="A40" s="1154" t="s">
        <v>59</v>
      </c>
      <c r="B40" s="120">
        <v>21.367491962559001</v>
      </c>
      <c r="C40" s="1195">
        <v>13.67563142847</v>
      </c>
      <c r="D40" s="1037">
        <v>13.67563142847</v>
      </c>
      <c r="E40" s="1037">
        <v>0</v>
      </c>
      <c r="F40" s="1037">
        <v>0</v>
      </c>
      <c r="G40" s="1037">
        <v>0</v>
      </c>
      <c r="H40" s="1195">
        <v>2.2160796270153003</v>
      </c>
      <c r="I40" s="1037">
        <v>0.78571174356115003</v>
      </c>
      <c r="J40" s="1037">
        <v>0.27878946057205001</v>
      </c>
      <c r="K40" s="1037">
        <v>4.6860356138706996E-2</v>
      </c>
      <c r="L40" s="1046">
        <v>1.1047180667434</v>
      </c>
      <c r="M40" s="1351">
        <f>TableB2!F40</f>
        <v>5.4757809070740997</v>
      </c>
    </row>
    <row r="41" spans="1:13" x14ac:dyDescent="0.2">
      <c r="A41" s="1154" t="s">
        <v>60</v>
      </c>
      <c r="B41" s="120">
        <v>66.922345011144003</v>
      </c>
      <c r="C41" s="1195">
        <v>42.610408115972</v>
      </c>
      <c r="D41" s="1037">
        <f>C41</f>
        <v>42.610408115972</v>
      </c>
      <c r="E41" s="1037">
        <v>0</v>
      </c>
      <c r="F41" s="1037">
        <v>0</v>
      </c>
      <c r="G41" s="1037">
        <v>0</v>
      </c>
      <c r="H41" s="1195">
        <v>7.5165766644743002</v>
      </c>
      <c r="I41" s="1037"/>
      <c r="J41" s="1037"/>
      <c r="K41" s="1037"/>
      <c r="L41" s="1046"/>
      <c r="M41" s="1351">
        <f>TableB2!F41</f>
        <v>16.795360230697</v>
      </c>
    </row>
    <row r="42" spans="1:13" x14ac:dyDescent="0.2">
      <c r="A42" s="1154" t="s">
        <v>61</v>
      </c>
      <c r="B42" s="120">
        <v>3.54413</v>
      </c>
      <c r="C42" s="1195">
        <v>3.0356700000000001</v>
      </c>
      <c r="D42" s="1037">
        <v>3.0356700000000001</v>
      </c>
      <c r="E42" s="1037">
        <v>0</v>
      </c>
      <c r="F42" s="1037">
        <v>0</v>
      </c>
      <c r="G42" s="1037">
        <v>0</v>
      </c>
      <c r="H42" s="1195">
        <v>0.14435000000000001</v>
      </c>
      <c r="I42" s="1037">
        <v>0.10979999999999999</v>
      </c>
      <c r="J42" s="1037">
        <v>1.8400000000000001E-3</v>
      </c>
      <c r="K42" s="1037">
        <v>0</v>
      </c>
      <c r="L42" s="1046">
        <v>3.2710000000000003E-2</v>
      </c>
      <c r="M42" s="1351">
        <f>TableB2!F42</f>
        <v>0.36410999999999999</v>
      </c>
    </row>
    <row r="43" spans="1:13" x14ac:dyDescent="0.2">
      <c r="A43" s="1154" t="s">
        <v>62</v>
      </c>
      <c r="B43" s="120">
        <v>80.513368983956994</v>
      </c>
      <c r="C43" s="1195"/>
      <c r="D43" s="1037"/>
      <c r="E43" s="1037"/>
      <c r="F43" s="1037"/>
      <c r="G43" s="1037"/>
      <c r="H43" s="1195"/>
      <c r="I43" s="1037"/>
      <c r="J43" s="1037"/>
      <c r="K43" s="1037"/>
      <c r="L43" s="1046"/>
      <c r="M43" s="1351">
        <f>TableB2!F43</f>
        <v>37.084277579431578</v>
      </c>
    </row>
    <row r="44" spans="1:13" x14ac:dyDescent="0.2">
      <c r="A44" s="1154" t="s">
        <v>63</v>
      </c>
      <c r="B44" s="120">
        <v>170.38</v>
      </c>
      <c r="C44" s="1195">
        <v>50.49</v>
      </c>
      <c r="D44" s="1037">
        <f>C44</f>
        <v>50.49</v>
      </c>
      <c r="E44" s="1037">
        <v>0</v>
      </c>
      <c r="F44" s="1037">
        <v>0</v>
      </c>
      <c r="G44" s="1037">
        <v>0</v>
      </c>
      <c r="H44" s="1195">
        <v>39.143000000000001</v>
      </c>
      <c r="I44" s="1037">
        <v>32.843000000000004</v>
      </c>
      <c r="J44" s="1037">
        <v>6.3</v>
      </c>
      <c r="K44" s="1037">
        <f>($H44-$I44-$J44)*0.25</f>
        <v>-6.6613381477509392E-16</v>
      </c>
      <c r="L44" s="1046">
        <f>($H44-$I44-$J44)*0.75</f>
        <v>-1.9984014443252818E-15</v>
      </c>
      <c r="M44" s="1351">
        <f>TableB2!F44</f>
        <v>80.747</v>
      </c>
    </row>
    <row r="45" spans="1:13" ht="51" x14ac:dyDescent="0.2">
      <c r="A45" s="112" t="s">
        <v>64</v>
      </c>
      <c r="B45" s="121"/>
      <c r="C45" s="1195"/>
      <c r="D45" s="1037"/>
      <c r="E45" s="1037"/>
      <c r="F45" s="1037"/>
      <c r="G45" s="1037"/>
      <c r="H45" s="1195"/>
      <c r="I45" s="1037"/>
      <c r="J45" s="1037"/>
      <c r="K45" s="1037"/>
      <c r="L45" s="1046"/>
      <c r="M45" s="1351">
        <f>TableB2!F45</f>
        <v>0</v>
      </c>
    </row>
    <row r="46" spans="1:13" x14ac:dyDescent="0.2">
      <c r="A46" s="1155" t="s">
        <v>65</v>
      </c>
      <c r="B46" s="121">
        <f>+TableB2!C46</f>
        <v>28.6</v>
      </c>
      <c r="C46" s="1195">
        <f>+TableB2!D46</f>
        <v>16.713376362039998</v>
      </c>
      <c r="D46" s="1037">
        <f>C46</f>
        <v>16.713376362039998</v>
      </c>
      <c r="E46" s="1037">
        <v>0</v>
      </c>
      <c r="F46" s="1037">
        <v>0</v>
      </c>
      <c r="G46" s="1037">
        <v>0</v>
      </c>
      <c r="H46" s="1195">
        <f>TableB2!E46</f>
        <v>4.7060989875599999</v>
      </c>
      <c r="I46" s="1037">
        <f>H46</f>
        <v>4.7060989875599999</v>
      </c>
      <c r="J46" s="1037">
        <v>0</v>
      </c>
      <c r="K46" s="1037">
        <v>0</v>
      </c>
      <c r="L46" s="1046">
        <v>0</v>
      </c>
      <c r="M46" s="1351">
        <f>TableB2!F46</f>
        <v>7.1451487725799998</v>
      </c>
    </row>
    <row r="47" spans="1:13" x14ac:dyDescent="0.2">
      <c r="A47" s="113" t="s">
        <v>66</v>
      </c>
      <c r="B47" s="121">
        <f>+TableB2!C47</f>
        <v>129.19020003003806</v>
      </c>
      <c r="C47" s="1195">
        <f>+TableB2!D47</f>
        <v>90.433140021026631</v>
      </c>
      <c r="D47" s="1037">
        <f t="shared" ref="D47:D89" si="0">C47</f>
        <v>90.433140021026631</v>
      </c>
      <c r="E47" s="1037">
        <v>0</v>
      </c>
      <c r="F47" s="1037">
        <v>0</v>
      </c>
      <c r="G47" s="1037">
        <v>0</v>
      </c>
      <c r="H47" s="1195">
        <f>TableB2!E47</f>
        <v>0</v>
      </c>
      <c r="I47" s="1037">
        <f t="shared" ref="I47:I89" si="1">H47</f>
        <v>0</v>
      </c>
      <c r="J47" s="1037">
        <v>0</v>
      </c>
      <c r="K47" s="1037">
        <v>0</v>
      </c>
      <c r="L47" s="1046">
        <v>0</v>
      </c>
      <c r="M47" s="1351">
        <f>TableB2!F47</f>
        <v>38.757060009011425</v>
      </c>
    </row>
    <row r="48" spans="1:13" x14ac:dyDescent="0.2">
      <c r="A48" s="113" t="s">
        <v>67</v>
      </c>
      <c r="B48" s="121">
        <f>+TableB2!C48</f>
        <v>5.31</v>
      </c>
      <c r="C48" s="1195">
        <f>+TableB2!D48</f>
        <v>3.2548936231000001</v>
      </c>
      <c r="D48" s="1037">
        <f t="shared" si="0"/>
        <v>3.2548936231000001</v>
      </c>
      <c r="E48" s="1037">
        <v>0</v>
      </c>
      <c r="F48" s="1037">
        <v>0</v>
      </c>
      <c r="G48" s="1037">
        <v>0</v>
      </c>
      <c r="H48" s="1195">
        <f>TableB2!E48</f>
        <v>0.51574077109999994</v>
      </c>
      <c r="I48" s="1037">
        <f t="shared" si="1"/>
        <v>0.51574077109999994</v>
      </c>
      <c r="J48" s="1037">
        <v>0</v>
      </c>
      <c r="K48" s="1037">
        <v>0</v>
      </c>
      <c r="L48" s="1046">
        <v>0</v>
      </c>
      <c r="M48" s="1351">
        <f>TableB2!F48</f>
        <v>1.5393656057999996</v>
      </c>
    </row>
    <row r="49" spans="1:13" x14ac:dyDescent="0.2">
      <c r="A49" s="113" t="s">
        <v>68</v>
      </c>
      <c r="B49" s="121">
        <f>+TableB2!C49</f>
        <v>2.04</v>
      </c>
      <c r="C49" s="1195">
        <f>+TableB2!D49</f>
        <v>1.9856036526</v>
      </c>
      <c r="D49" s="1037">
        <f t="shared" si="0"/>
        <v>1.9856036526</v>
      </c>
      <c r="E49" s="1037">
        <v>0</v>
      </c>
      <c r="F49" s="1037">
        <v>0</v>
      </c>
      <c r="G49" s="1037">
        <v>0</v>
      </c>
      <c r="H49" s="1195">
        <f>TableB2!E49</f>
        <v>1.0689373862</v>
      </c>
      <c r="I49" s="1037">
        <f t="shared" si="1"/>
        <v>1.0689373862</v>
      </c>
      <c r="J49" s="1037">
        <v>0</v>
      </c>
      <c r="K49" s="1037">
        <v>0</v>
      </c>
      <c r="L49" s="1046">
        <v>0</v>
      </c>
      <c r="M49" s="1351">
        <f>TableB2!F49</f>
        <v>-1.0145410388</v>
      </c>
    </row>
    <row r="50" spans="1:13" x14ac:dyDescent="0.2">
      <c r="A50" s="113" t="s">
        <v>69</v>
      </c>
      <c r="B50" s="121">
        <f>+TableB2!C50</f>
        <v>13.7</v>
      </c>
      <c r="C50" s="1195">
        <f>+TableB2!D50</f>
        <v>10.231280761199999</v>
      </c>
      <c r="D50" s="1037">
        <f t="shared" si="0"/>
        <v>10.231280761199999</v>
      </c>
      <c r="E50" s="1037">
        <v>0</v>
      </c>
      <c r="F50" s="1037">
        <v>0</v>
      </c>
      <c r="G50" s="1037">
        <v>0</v>
      </c>
      <c r="H50" s="1195">
        <f>TableB2!E50</f>
        <v>6.7355001169000008</v>
      </c>
      <c r="I50" s="1037">
        <f t="shared" si="1"/>
        <v>6.7355001169000008</v>
      </c>
      <c r="J50" s="1037">
        <v>0</v>
      </c>
      <c r="K50" s="1037">
        <v>0</v>
      </c>
      <c r="L50" s="1046">
        <v>0</v>
      </c>
      <c r="M50" s="1351">
        <f>TableB2!F50</f>
        <v>-3.2667808781000005</v>
      </c>
    </row>
    <row r="51" spans="1:13" x14ac:dyDescent="0.2">
      <c r="A51" s="113" t="s">
        <v>70</v>
      </c>
      <c r="B51" s="121">
        <f>+TableB2!C51</f>
        <v>41</v>
      </c>
      <c r="C51" s="1195">
        <f>+TableB2!D51</f>
        <v>28.695729999999998</v>
      </c>
      <c r="D51" s="1037">
        <f t="shared" si="0"/>
        <v>28.695729999999998</v>
      </c>
      <c r="E51" s="1037">
        <v>0</v>
      </c>
      <c r="F51" s="1037">
        <v>0</v>
      </c>
      <c r="G51" s="1037">
        <v>0</v>
      </c>
      <c r="H51" s="1195">
        <f>TableB2!E51</f>
        <v>9.3334899999999994</v>
      </c>
      <c r="I51" s="1037">
        <f t="shared" si="1"/>
        <v>9.3334899999999994</v>
      </c>
      <c r="J51" s="1037">
        <v>0</v>
      </c>
      <c r="K51" s="1037">
        <v>0</v>
      </c>
      <c r="L51" s="1046">
        <v>0</v>
      </c>
      <c r="M51" s="1351">
        <f>TableB2!F51</f>
        <v>2.9707800000000031</v>
      </c>
    </row>
    <row r="52" spans="1:13" x14ac:dyDescent="0.2">
      <c r="A52" s="113" t="s">
        <v>71</v>
      </c>
      <c r="B52" s="121">
        <f>+TableB2!C52</f>
        <v>7.06</v>
      </c>
      <c r="C52" s="1195">
        <f>+TableB2!D52</f>
        <v>6.9219943913000002</v>
      </c>
      <c r="D52" s="1037">
        <f t="shared" si="0"/>
        <v>6.9219943913000002</v>
      </c>
      <c r="E52" s="1037">
        <v>0</v>
      </c>
      <c r="F52" s="1037">
        <v>0</v>
      </c>
      <c r="G52" s="1037">
        <v>0</v>
      </c>
      <c r="H52" s="1195">
        <f>TableB2!E52</f>
        <v>0.46488415110000003</v>
      </c>
      <c r="I52" s="1037">
        <f t="shared" si="1"/>
        <v>0.46488415110000003</v>
      </c>
      <c r="J52" s="1037">
        <v>0</v>
      </c>
      <c r="K52" s="1037">
        <v>0</v>
      </c>
      <c r="L52" s="1046">
        <v>0</v>
      </c>
      <c r="M52" s="1351">
        <f>TableB2!F52</f>
        <v>-0.32687854240000058</v>
      </c>
    </row>
    <row r="53" spans="1:13" ht="34" x14ac:dyDescent="0.2">
      <c r="A53" s="112" t="s">
        <v>72</v>
      </c>
      <c r="B53" s="121"/>
      <c r="C53" s="1195"/>
      <c r="D53" s="1037"/>
      <c r="E53" s="1037"/>
      <c r="F53" s="1037"/>
      <c r="G53" s="1037"/>
      <c r="H53" s="1195"/>
      <c r="I53" s="1037"/>
      <c r="J53" s="1037"/>
      <c r="K53" s="1037"/>
      <c r="L53" s="1046"/>
      <c r="M53" s="1351"/>
    </row>
    <row r="54" spans="1:13" x14ac:dyDescent="0.2">
      <c r="A54" s="113" t="s">
        <v>73</v>
      </c>
      <c r="B54" s="121">
        <f>+TableB2!C54</f>
        <v>3.6200000000000003E-2</v>
      </c>
      <c r="C54" s="1195">
        <f>+TableB2!D54</f>
        <v>2.5340000000000001E-2</v>
      </c>
      <c r="D54" s="1037">
        <f t="shared" si="0"/>
        <v>2.5340000000000001E-2</v>
      </c>
      <c r="E54" s="1037">
        <v>0</v>
      </c>
      <c r="F54" s="1037">
        <v>0</v>
      </c>
      <c r="G54" s="1037">
        <v>0</v>
      </c>
      <c r="H54" s="1195">
        <f>TableB2!E54</f>
        <v>0</v>
      </c>
      <c r="I54" s="1037">
        <f t="shared" si="1"/>
        <v>0</v>
      </c>
      <c r="J54" s="1037">
        <v>0</v>
      </c>
      <c r="K54" s="1037">
        <v>0</v>
      </c>
      <c r="L54" s="1046">
        <v>0</v>
      </c>
      <c r="M54" s="1351">
        <f>TableB2!F54</f>
        <v>1.086E-2</v>
      </c>
    </row>
    <row r="55" spans="1:13" x14ac:dyDescent="0.2">
      <c r="A55" s="113" t="s">
        <v>74</v>
      </c>
      <c r="B55" s="121">
        <f>+TableB2!C55</f>
        <v>0.1085</v>
      </c>
      <c r="C55" s="1195">
        <f>+TableB2!D55</f>
        <v>7.5950000000000004E-2</v>
      </c>
      <c r="D55" s="1037">
        <f t="shared" si="0"/>
        <v>7.5950000000000004E-2</v>
      </c>
      <c r="E55" s="1037">
        <v>0</v>
      </c>
      <c r="F55" s="1037">
        <v>0</v>
      </c>
      <c r="G55" s="1037">
        <v>0</v>
      </c>
      <c r="H55" s="1195">
        <f>TableB2!E55</f>
        <v>0</v>
      </c>
      <c r="I55" s="1037">
        <f t="shared" si="1"/>
        <v>0</v>
      </c>
      <c r="J55" s="1037">
        <v>0</v>
      </c>
      <c r="K55" s="1037">
        <v>0</v>
      </c>
      <c r="L55" s="1046">
        <v>0</v>
      </c>
      <c r="M55" s="1351">
        <f>TableB2!F55</f>
        <v>3.2549999999999996E-2</v>
      </c>
    </row>
    <row r="56" spans="1:13" x14ac:dyDescent="0.2">
      <c r="A56" s="1154" t="str">
        <f>+TableA1!A56</f>
        <v>Antigua and Barbuda</v>
      </c>
      <c r="B56" s="121">
        <f>+TableB2!C56</f>
        <v>7.690000000000001E-2</v>
      </c>
      <c r="C56" s="1195">
        <f>+TableB2!D56</f>
        <v>5.3830000000000003E-2</v>
      </c>
      <c r="D56" s="1037">
        <f t="shared" si="0"/>
        <v>5.3830000000000003E-2</v>
      </c>
      <c r="E56" s="1037">
        <v>0</v>
      </c>
      <c r="F56" s="1037">
        <v>0</v>
      </c>
      <c r="G56" s="1037">
        <v>0</v>
      </c>
      <c r="H56" s="1195">
        <f>TableB2!E56</f>
        <v>0</v>
      </c>
      <c r="I56" s="1037">
        <f t="shared" si="1"/>
        <v>0</v>
      </c>
      <c r="J56" s="1037">
        <v>0</v>
      </c>
      <c r="K56" s="1037">
        <v>0</v>
      </c>
      <c r="L56" s="1046">
        <v>0</v>
      </c>
      <c r="M56" s="1351">
        <f>TableB2!F56</f>
        <v>2.3070000000000004E-2</v>
      </c>
    </row>
    <row r="57" spans="1:13" x14ac:dyDescent="0.2">
      <c r="A57" s="113" t="s">
        <v>76</v>
      </c>
      <c r="B57" s="121">
        <f>+TableB2!C57</f>
        <v>9.8715083800000006E-2</v>
      </c>
      <c r="C57" s="1195">
        <f>+TableB2!D57</f>
        <v>6.9100558660000005E-2</v>
      </c>
      <c r="D57" s="1037">
        <f t="shared" si="0"/>
        <v>6.9100558660000005E-2</v>
      </c>
      <c r="E57" s="1037">
        <v>0</v>
      </c>
      <c r="F57" s="1037">
        <v>0</v>
      </c>
      <c r="G57" s="1037">
        <v>0</v>
      </c>
      <c r="H57" s="1195">
        <f>TableB2!E57</f>
        <v>0</v>
      </c>
      <c r="I57" s="1037">
        <f t="shared" si="1"/>
        <v>0</v>
      </c>
      <c r="J57" s="1037">
        <v>0</v>
      </c>
      <c r="K57" s="1037">
        <v>0</v>
      </c>
      <c r="L57" s="1046">
        <v>0</v>
      </c>
      <c r="M57" s="1351">
        <f>TableB2!F57</f>
        <v>2.961452514E-2</v>
      </c>
    </row>
    <row r="58" spans="1:13" x14ac:dyDescent="0.2">
      <c r="A58" s="113" t="s">
        <v>152</v>
      </c>
      <c r="B58" s="121">
        <f>+TableB2!C58</f>
        <v>2.4410858728483822</v>
      </c>
      <c r="C58" s="1195">
        <f>+TableB2!D58</f>
        <v>1.7087601109938677</v>
      </c>
      <c r="D58" s="1037">
        <f t="shared" si="0"/>
        <v>1.7087601109938677</v>
      </c>
      <c r="E58" s="1037">
        <v>0</v>
      </c>
      <c r="F58" s="1037">
        <v>0</v>
      </c>
      <c r="G58" s="1037">
        <v>0</v>
      </c>
      <c r="H58" s="1195">
        <f>TableB2!E58</f>
        <v>0</v>
      </c>
      <c r="I58" s="1037">
        <f t="shared" si="1"/>
        <v>0</v>
      </c>
      <c r="J58" s="1037">
        <v>0</v>
      </c>
      <c r="K58" s="1037">
        <v>0</v>
      </c>
      <c r="L58" s="1046">
        <v>0</v>
      </c>
      <c r="M58" s="1351">
        <f>TableB2!F58</f>
        <v>0.73232576185451459</v>
      </c>
    </row>
    <row r="59" spans="1:13" x14ac:dyDescent="0.2">
      <c r="A59" s="113" t="s">
        <v>78</v>
      </c>
      <c r="B59" s="121">
        <f>+TableB2!C59</f>
        <v>0.72000805649591415</v>
      </c>
      <c r="C59" s="1195">
        <f>+TableB2!D59</f>
        <v>0.50400563954713995</v>
      </c>
      <c r="D59" s="1037">
        <f t="shared" si="0"/>
        <v>0.50400563954713995</v>
      </c>
      <c r="E59" s="1037">
        <v>0</v>
      </c>
      <c r="F59" s="1037">
        <v>0</v>
      </c>
      <c r="G59" s="1037">
        <v>0</v>
      </c>
      <c r="H59" s="1195">
        <f>TableB2!E59</f>
        <v>0</v>
      </c>
      <c r="I59" s="1037">
        <f t="shared" si="1"/>
        <v>0</v>
      </c>
      <c r="J59" s="1037">
        <v>0</v>
      </c>
      <c r="K59" s="1037">
        <v>0</v>
      </c>
      <c r="L59" s="1046">
        <v>0</v>
      </c>
      <c r="M59" s="1351">
        <f>TableB2!F59</f>
        <v>0.21600241694877423</v>
      </c>
    </row>
    <row r="60" spans="1:13" x14ac:dyDescent="0.2">
      <c r="A60" s="1154" t="str">
        <f>+TableA1!A60</f>
        <v>Barbados</v>
      </c>
      <c r="B60" s="121">
        <f>+TableB2!C60</f>
        <v>2.1307224236508158</v>
      </c>
      <c r="C60" s="1195">
        <f>+TableB2!D60</f>
        <v>1.4915056965555711</v>
      </c>
      <c r="D60" s="1037">
        <f t="shared" si="0"/>
        <v>1.4915056965555711</v>
      </c>
      <c r="E60" s="1037">
        <v>0</v>
      </c>
      <c r="F60" s="1037">
        <v>0</v>
      </c>
      <c r="G60" s="1037">
        <v>0</v>
      </c>
      <c r="H60" s="1195">
        <f>TableB2!E60</f>
        <v>0</v>
      </c>
      <c r="I60" s="1037">
        <f t="shared" si="1"/>
        <v>0</v>
      </c>
      <c r="J60" s="1037">
        <v>0</v>
      </c>
      <c r="K60" s="1037">
        <v>0</v>
      </c>
      <c r="L60" s="1046">
        <v>0</v>
      </c>
      <c r="M60" s="1351">
        <f>TableB2!F60</f>
        <v>0.63921672709524469</v>
      </c>
    </row>
    <row r="61" spans="1:13" x14ac:dyDescent="0.2">
      <c r="A61" s="113" t="s">
        <v>80</v>
      </c>
      <c r="B61" s="121">
        <f>+TableB2!C61</f>
        <v>6.6200000000000009E-2</v>
      </c>
      <c r="C61" s="1195">
        <f>+TableB2!D61</f>
        <v>4.6340000000000006E-2</v>
      </c>
      <c r="D61" s="1037">
        <f t="shared" si="0"/>
        <v>4.6340000000000006E-2</v>
      </c>
      <c r="E61" s="1037">
        <v>0</v>
      </c>
      <c r="F61" s="1037">
        <v>0</v>
      </c>
      <c r="G61" s="1037">
        <v>0</v>
      </c>
      <c r="H61" s="1195">
        <f>TableB2!E61</f>
        <v>0</v>
      </c>
      <c r="I61" s="1037">
        <f t="shared" si="1"/>
        <v>0</v>
      </c>
      <c r="J61" s="1037">
        <v>0</v>
      </c>
      <c r="K61" s="1037">
        <v>0</v>
      </c>
      <c r="L61" s="1046">
        <v>0</v>
      </c>
      <c r="M61" s="1351">
        <f>TableB2!F61</f>
        <v>1.9860000000000003E-2</v>
      </c>
    </row>
    <row r="62" spans="1:13" x14ac:dyDescent="0.2">
      <c r="A62" s="113" t="s">
        <v>81</v>
      </c>
      <c r="B62" s="121">
        <f>+TableB2!C62</f>
        <v>47.722737121784164</v>
      </c>
      <c r="C62" s="1195">
        <f>+TableB2!D62</f>
        <v>33.405915985248917</v>
      </c>
      <c r="D62" s="1037">
        <f t="shared" si="0"/>
        <v>33.405915985248917</v>
      </c>
      <c r="E62" s="1037">
        <v>0</v>
      </c>
      <c r="F62" s="1037">
        <v>0</v>
      </c>
      <c r="G62" s="1037">
        <v>0</v>
      </c>
      <c r="H62" s="1195">
        <f>TableB2!E62</f>
        <v>0</v>
      </c>
      <c r="I62" s="1037">
        <f t="shared" si="1"/>
        <v>0</v>
      </c>
      <c r="J62" s="1037">
        <v>0</v>
      </c>
      <c r="K62" s="1037">
        <v>0</v>
      </c>
      <c r="L62" s="1046">
        <v>0</v>
      </c>
      <c r="M62" s="1351">
        <f>TableB2!F62</f>
        <v>14.316821136535248</v>
      </c>
    </row>
    <row r="63" spans="1:13" x14ac:dyDescent="0.2">
      <c r="A63" s="113" t="s">
        <v>82</v>
      </c>
      <c r="B63" s="121">
        <f>+TableB2!C63</f>
        <v>1E-4</v>
      </c>
      <c r="C63" s="1195">
        <f>+TableB2!D63</f>
        <v>7.0000000000000007E-5</v>
      </c>
      <c r="D63" s="1037">
        <f t="shared" si="0"/>
        <v>7.0000000000000007E-5</v>
      </c>
      <c r="E63" s="1037">
        <v>0</v>
      </c>
      <c r="F63" s="1037">
        <v>0</v>
      </c>
      <c r="G63" s="1037">
        <v>0</v>
      </c>
      <c r="H63" s="1195">
        <f>TableB2!E63</f>
        <v>0</v>
      </c>
      <c r="I63" s="1037">
        <f t="shared" si="1"/>
        <v>0</v>
      </c>
      <c r="J63" s="1037">
        <v>0</v>
      </c>
      <c r="K63" s="1037">
        <v>0</v>
      </c>
      <c r="L63" s="1046">
        <v>0</v>
      </c>
      <c r="M63" s="1351">
        <f>TableB2!F63</f>
        <v>3.0000000000000001E-5</v>
      </c>
    </row>
    <row r="64" spans="1:13" x14ac:dyDescent="0.2">
      <c r="A64" s="113" t="s">
        <v>153</v>
      </c>
      <c r="B64" s="121">
        <f>+TableB2!C64</f>
        <v>0.53559617448905006</v>
      </c>
      <c r="C64" s="1195">
        <f>+TableB2!D64</f>
        <v>0.37491732214233509</v>
      </c>
      <c r="D64" s="1037">
        <f t="shared" si="0"/>
        <v>0.37491732214233509</v>
      </c>
      <c r="E64" s="1037">
        <v>0</v>
      </c>
      <c r="F64" s="1037">
        <v>0</v>
      </c>
      <c r="G64" s="1037">
        <v>0</v>
      </c>
      <c r="H64" s="1195">
        <f>TableB2!E64</f>
        <v>0</v>
      </c>
      <c r="I64" s="1037">
        <f t="shared" si="1"/>
        <v>0</v>
      </c>
      <c r="J64" s="1037">
        <v>0</v>
      </c>
      <c r="K64" s="1037">
        <v>0</v>
      </c>
      <c r="L64" s="1046">
        <v>0</v>
      </c>
      <c r="M64" s="1351">
        <f>TableB2!F64</f>
        <v>0.160678852346715</v>
      </c>
    </row>
    <row r="65" spans="1:13" x14ac:dyDescent="0.2">
      <c r="A65" s="113" t="s">
        <v>84</v>
      </c>
      <c r="B65" s="121">
        <f>+TableB2!C65</f>
        <v>32.253212825518716</v>
      </c>
      <c r="C65" s="1195">
        <f>+TableB2!D65</f>
        <v>22.5772489778631</v>
      </c>
      <c r="D65" s="1037">
        <f t="shared" si="0"/>
        <v>22.5772489778631</v>
      </c>
      <c r="E65" s="1037">
        <v>0</v>
      </c>
      <c r="F65" s="1037">
        <v>0</v>
      </c>
      <c r="G65" s="1037">
        <v>0</v>
      </c>
      <c r="H65" s="1195">
        <f>TableB2!E65</f>
        <v>0</v>
      </c>
      <c r="I65" s="1037">
        <f t="shared" si="1"/>
        <v>0</v>
      </c>
      <c r="J65" s="1037">
        <v>0</v>
      </c>
      <c r="K65" s="1037">
        <v>0</v>
      </c>
      <c r="L65" s="1046">
        <v>0</v>
      </c>
      <c r="M65" s="1351">
        <f>TableB2!F65</f>
        <v>9.6759638476556145</v>
      </c>
    </row>
    <row r="66" spans="1:13" x14ac:dyDescent="0.2">
      <c r="A66" s="113" t="s">
        <v>85</v>
      </c>
      <c r="B66" s="121">
        <f>+TableB2!C66</f>
        <v>0.48729023846046576</v>
      </c>
      <c r="C66" s="1195">
        <f>+TableB2!D66</f>
        <v>0.34110316692232601</v>
      </c>
      <c r="D66" s="1037">
        <f t="shared" si="0"/>
        <v>0.34110316692232601</v>
      </c>
      <c r="E66" s="1037">
        <v>0</v>
      </c>
      <c r="F66" s="1037">
        <v>0</v>
      </c>
      <c r="G66" s="1037">
        <v>0</v>
      </c>
      <c r="H66" s="1195">
        <f>TableB2!E66</f>
        <v>0</v>
      </c>
      <c r="I66" s="1037">
        <f t="shared" si="1"/>
        <v>0</v>
      </c>
      <c r="J66" s="1037">
        <v>0</v>
      </c>
      <c r="K66" s="1037">
        <v>0</v>
      </c>
      <c r="L66" s="1046">
        <v>0</v>
      </c>
      <c r="M66" s="1351">
        <f>TableB2!F66</f>
        <v>0.14618707153813973</v>
      </c>
    </row>
    <row r="67" spans="1:13" x14ac:dyDescent="0.2">
      <c r="A67" s="1154" t="str">
        <f>+TableA1!A67</f>
        <v>Cyprus</v>
      </c>
      <c r="B67" s="121">
        <f>+TableB2!C67</f>
        <v>5.2637361260589266</v>
      </c>
      <c r="C67" s="1195">
        <f>+TableB2!D67</f>
        <v>3.6846152882412486</v>
      </c>
      <c r="D67" s="1037">
        <f t="shared" si="0"/>
        <v>3.6846152882412486</v>
      </c>
      <c r="E67" s="1037">
        <v>0</v>
      </c>
      <c r="F67" s="1037">
        <v>0</v>
      </c>
      <c r="G67" s="1037">
        <v>0</v>
      </c>
      <c r="H67" s="1195">
        <f>TableB2!E67</f>
        <v>0</v>
      </c>
      <c r="I67" s="1037">
        <f t="shared" si="1"/>
        <v>0</v>
      </c>
      <c r="J67" s="1037">
        <v>0</v>
      </c>
      <c r="K67" s="1037">
        <v>0</v>
      </c>
      <c r="L67" s="1046">
        <v>0</v>
      </c>
      <c r="M67" s="1351">
        <f>TableB2!F67</f>
        <v>1.579120837817678</v>
      </c>
    </row>
    <row r="68" spans="1:13" x14ac:dyDescent="0.2">
      <c r="A68" s="113" t="s">
        <v>87</v>
      </c>
      <c r="B68" s="121">
        <f>+TableB2!C68</f>
        <v>2.3281000000000001</v>
      </c>
      <c r="C68" s="1195">
        <f>+TableB2!D68</f>
        <v>1.62967</v>
      </c>
      <c r="D68" s="1037">
        <f t="shared" si="0"/>
        <v>1.62967</v>
      </c>
      <c r="E68" s="1037">
        <v>0</v>
      </c>
      <c r="F68" s="1037">
        <v>0</v>
      </c>
      <c r="G68" s="1037">
        <v>0</v>
      </c>
      <c r="H68" s="1195">
        <f>TableB2!E68</f>
        <v>0</v>
      </c>
      <c r="I68" s="1037">
        <f t="shared" si="1"/>
        <v>0</v>
      </c>
      <c r="J68" s="1037">
        <v>0</v>
      </c>
      <c r="K68" s="1037">
        <v>0</v>
      </c>
      <c r="L68" s="1046">
        <v>0</v>
      </c>
      <c r="M68" s="1351">
        <f>TableB2!F68</f>
        <v>0.69843</v>
      </c>
    </row>
    <row r="69" spans="1:13" x14ac:dyDescent="0.2">
      <c r="A69" s="1154" t="str">
        <f>+TableA1!A69</f>
        <v>Grenada</v>
      </c>
      <c r="B69" s="121">
        <f>+TableB2!C69</f>
        <v>1.52E-2</v>
      </c>
      <c r="C69" s="1195">
        <f>+TableB2!D69</f>
        <v>1.064E-2</v>
      </c>
      <c r="D69" s="1037">
        <f t="shared" si="0"/>
        <v>1.064E-2</v>
      </c>
      <c r="E69" s="1037">
        <v>0</v>
      </c>
      <c r="F69" s="1037">
        <v>0</v>
      </c>
      <c r="G69" s="1037">
        <v>0</v>
      </c>
      <c r="H69" s="1195">
        <f>TableB2!E69</f>
        <v>0</v>
      </c>
      <c r="I69" s="1037">
        <f t="shared" si="1"/>
        <v>0</v>
      </c>
      <c r="J69" s="1037">
        <v>0</v>
      </c>
      <c r="K69" s="1037">
        <v>0</v>
      </c>
      <c r="L69" s="1046">
        <v>0</v>
      </c>
      <c r="M69" s="1351">
        <f>TableB2!F69</f>
        <v>4.5599999999999998E-3</v>
      </c>
    </row>
    <row r="70" spans="1:13" x14ac:dyDescent="0.2">
      <c r="A70" s="113" t="s">
        <v>89</v>
      </c>
      <c r="B70" s="121">
        <f>+TableB2!C70</f>
        <v>0.76690416711093745</v>
      </c>
      <c r="C70" s="1195">
        <f>+TableB2!D70</f>
        <v>0.53683291697765623</v>
      </c>
      <c r="D70" s="1037">
        <f t="shared" si="0"/>
        <v>0.53683291697765623</v>
      </c>
      <c r="E70" s="1037">
        <v>0</v>
      </c>
      <c r="F70" s="1037">
        <v>0</v>
      </c>
      <c r="G70" s="1037">
        <v>0</v>
      </c>
      <c r="H70" s="1195">
        <f>TableB2!E70</f>
        <v>0</v>
      </c>
      <c r="I70" s="1037">
        <f t="shared" si="1"/>
        <v>0</v>
      </c>
      <c r="J70" s="1037">
        <v>0</v>
      </c>
      <c r="K70" s="1037">
        <v>0</v>
      </c>
      <c r="L70" s="1046">
        <v>0</v>
      </c>
      <c r="M70" s="1351">
        <f>TableB2!F70</f>
        <v>0.23007125013328122</v>
      </c>
    </row>
    <row r="71" spans="1:13" x14ac:dyDescent="0.2">
      <c r="A71" s="113" t="s">
        <v>154</v>
      </c>
      <c r="B71" s="121">
        <f>+TableB2!C71</f>
        <v>0.30164808972880497</v>
      </c>
      <c r="C71" s="1195">
        <f>+TableB2!D71</f>
        <v>0.21115366281016348</v>
      </c>
      <c r="D71" s="1037">
        <f t="shared" si="0"/>
        <v>0.21115366281016348</v>
      </c>
      <c r="E71" s="1037">
        <v>0</v>
      </c>
      <c r="F71" s="1037">
        <v>0</v>
      </c>
      <c r="G71" s="1037">
        <v>0</v>
      </c>
      <c r="H71" s="1195">
        <f>TableB2!E71</f>
        <v>0</v>
      </c>
      <c r="I71" s="1037">
        <f t="shared" si="1"/>
        <v>0</v>
      </c>
      <c r="J71" s="1037">
        <v>0</v>
      </c>
      <c r="K71" s="1037">
        <v>0</v>
      </c>
      <c r="L71" s="1046">
        <v>0</v>
      </c>
      <c r="M71" s="1351">
        <f>TableB2!F71</f>
        <v>9.0494426918641485E-2</v>
      </c>
    </row>
    <row r="72" spans="1:13" x14ac:dyDescent="0.2">
      <c r="A72" s="113" t="s">
        <v>91</v>
      </c>
      <c r="B72" s="121">
        <f>+TableB2!C72</f>
        <v>137</v>
      </c>
      <c r="C72" s="1195">
        <f>+TableB2!D72</f>
        <v>95.9</v>
      </c>
      <c r="D72" s="1037">
        <f t="shared" si="0"/>
        <v>95.9</v>
      </c>
      <c r="E72" s="1037">
        <v>0</v>
      </c>
      <c r="F72" s="1037">
        <v>0</v>
      </c>
      <c r="G72" s="1037">
        <v>0</v>
      </c>
      <c r="H72" s="1195">
        <f>TableB2!E72</f>
        <v>0</v>
      </c>
      <c r="I72" s="1037">
        <f t="shared" si="1"/>
        <v>0</v>
      </c>
      <c r="J72" s="1037">
        <v>0</v>
      </c>
      <c r="K72" s="1037">
        <v>0</v>
      </c>
      <c r="L72" s="1046">
        <v>0</v>
      </c>
      <c r="M72" s="1351">
        <f>TableB2!F72</f>
        <v>41.1</v>
      </c>
    </row>
    <row r="73" spans="1:13" x14ac:dyDescent="0.2">
      <c r="A73" s="113" t="s">
        <v>92</v>
      </c>
      <c r="B73" s="121">
        <f>+TableB2!C73</f>
        <v>0.6025320598192031</v>
      </c>
      <c r="C73" s="1195">
        <f>+TableB2!D73</f>
        <v>0.42177244187344221</v>
      </c>
      <c r="D73" s="1037">
        <f t="shared" si="0"/>
        <v>0.42177244187344221</v>
      </c>
      <c r="E73" s="1037">
        <v>0</v>
      </c>
      <c r="F73" s="1037">
        <v>0</v>
      </c>
      <c r="G73" s="1037">
        <v>0</v>
      </c>
      <c r="H73" s="1195">
        <f>TableB2!E73</f>
        <v>0</v>
      </c>
      <c r="I73" s="1037">
        <f t="shared" si="1"/>
        <v>0</v>
      </c>
      <c r="J73" s="1037">
        <v>0</v>
      </c>
      <c r="K73" s="1037">
        <v>0</v>
      </c>
      <c r="L73" s="1046">
        <v>0</v>
      </c>
      <c r="M73" s="1351">
        <f>TableB2!F73</f>
        <v>0.18075961794576093</v>
      </c>
    </row>
    <row r="74" spans="1:13" x14ac:dyDescent="0.2">
      <c r="A74" s="113" t="s">
        <v>93</v>
      </c>
      <c r="B74" s="121">
        <f>+TableB2!C74</f>
        <v>0.436</v>
      </c>
      <c r="C74" s="1195">
        <f>+TableB2!D74</f>
        <v>0.30520000000000003</v>
      </c>
      <c r="D74" s="1037">
        <f t="shared" si="0"/>
        <v>0.30520000000000003</v>
      </c>
      <c r="E74" s="1037">
        <v>0</v>
      </c>
      <c r="F74" s="1037">
        <v>0</v>
      </c>
      <c r="G74" s="1037">
        <v>0</v>
      </c>
      <c r="H74" s="1195">
        <f>TableB2!E74</f>
        <v>0</v>
      </c>
      <c r="I74" s="1037">
        <f t="shared" si="1"/>
        <v>0</v>
      </c>
      <c r="J74" s="1037">
        <v>0</v>
      </c>
      <c r="K74" s="1037">
        <v>0</v>
      </c>
      <c r="L74" s="1046">
        <v>0</v>
      </c>
      <c r="M74" s="1351">
        <f>TableB2!F74</f>
        <v>0.1308</v>
      </c>
    </row>
    <row r="75" spans="1:13" x14ac:dyDescent="0.2">
      <c r="A75" s="113" t="s">
        <v>94</v>
      </c>
      <c r="B75" s="121">
        <f>+TableB2!C75</f>
        <v>7.4999999999999997E-3</v>
      </c>
      <c r="C75" s="1195">
        <f>+TableB2!D75</f>
        <v>5.2499999999999995E-3</v>
      </c>
      <c r="D75" s="1037">
        <f t="shared" si="0"/>
        <v>5.2499999999999995E-3</v>
      </c>
      <c r="E75" s="1037">
        <v>0</v>
      </c>
      <c r="F75" s="1037">
        <v>0</v>
      </c>
      <c r="G75" s="1037">
        <v>0</v>
      </c>
      <c r="H75" s="1195">
        <f>TableB2!E75</f>
        <v>0</v>
      </c>
      <c r="I75" s="1037">
        <f t="shared" si="1"/>
        <v>0</v>
      </c>
      <c r="J75" s="1037">
        <v>0</v>
      </c>
      <c r="K75" s="1037">
        <v>0</v>
      </c>
      <c r="L75" s="1046">
        <v>0</v>
      </c>
      <c r="M75" s="1351">
        <f>TableB2!F75</f>
        <v>2.2499999999999998E-3</v>
      </c>
    </row>
    <row r="76" spans="1:13" x14ac:dyDescent="0.2">
      <c r="A76" s="113" t="s">
        <v>95</v>
      </c>
      <c r="B76" s="121">
        <f>+TableB2!C76</f>
        <v>6.43</v>
      </c>
      <c r="C76" s="1195">
        <f>+TableB2!D76</f>
        <v>4.5009999999999994</v>
      </c>
      <c r="D76" s="1037">
        <f t="shared" si="0"/>
        <v>4.5009999999999994</v>
      </c>
      <c r="E76" s="1037">
        <v>0</v>
      </c>
      <c r="F76" s="1037">
        <v>0</v>
      </c>
      <c r="G76" s="1037">
        <v>0</v>
      </c>
      <c r="H76" s="1195">
        <f>TableB2!E76</f>
        <v>0</v>
      </c>
      <c r="I76" s="1037">
        <f t="shared" si="1"/>
        <v>0</v>
      </c>
      <c r="J76" s="1037">
        <v>0</v>
      </c>
      <c r="K76" s="1037">
        <v>0</v>
      </c>
      <c r="L76" s="1046">
        <v>0</v>
      </c>
      <c r="M76" s="1351">
        <f>TableB2!F76</f>
        <v>1.9289999999999998</v>
      </c>
    </row>
    <row r="77" spans="1:13" x14ac:dyDescent="0.2">
      <c r="A77" s="113" t="s">
        <v>96</v>
      </c>
      <c r="B77" s="121">
        <f>+TableB2!C77</f>
        <v>10.1</v>
      </c>
      <c r="C77" s="1195">
        <f>+TableB2!D77</f>
        <v>7.07</v>
      </c>
      <c r="D77" s="1037">
        <f t="shared" si="0"/>
        <v>7.07</v>
      </c>
      <c r="E77" s="1037">
        <v>0</v>
      </c>
      <c r="F77" s="1037">
        <v>0</v>
      </c>
      <c r="G77" s="1037">
        <v>0</v>
      </c>
      <c r="H77" s="1195">
        <f>TableB2!E77</f>
        <v>0</v>
      </c>
      <c r="I77" s="1037">
        <f t="shared" si="1"/>
        <v>0</v>
      </c>
      <c r="J77" s="1037">
        <v>0</v>
      </c>
      <c r="K77" s="1037">
        <v>0</v>
      </c>
      <c r="L77" s="1046">
        <v>0</v>
      </c>
      <c r="M77" s="1351">
        <f>TableB2!F77</f>
        <v>3.03</v>
      </c>
    </row>
    <row r="78" spans="1:13" x14ac:dyDescent="0.2">
      <c r="A78" s="113" t="s">
        <v>97</v>
      </c>
      <c r="B78" s="121">
        <f>+TableB2!C78</f>
        <v>0.12425690030132812</v>
      </c>
      <c r="C78" s="1195">
        <f>+TableB2!D78</f>
        <v>8.6979830210929684E-2</v>
      </c>
      <c r="D78" s="1037">
        <f t="shared" si="0"/>
        <v>8.6979830210929684E-2</v>
      </c>
      <c r="E78" s="1037">
        <v>0</v>
      </c>
      <c r="F78" s="1037">
        <v>0</v>
      </c>
      <c r="G78" s="1037">
        <v>0</v>
      </c>
      <c r="H78" s="1195">
        <f>TableB2!E78</f>
        <v>0</v>
      </c>
      <c r="I78" s="1037">
        <f t="shared" si="1"/>
        <v>0</v>
      </c>
      <c r="J78" s="1037">
        <v>0</v>
      </c>
      <c r="K78" s="1037">
        <v>0</v>
      </c>
      <c r="L78" s="1046">
        <v>0</v>
      </c>
      <c r="M78" s="1351">
        <f>TableB2!F78</f>
        <v>3.7277070090398434E-2</v>
      </c>
    </row>
    <row r="79" spans="1:13" x14ac:dyDescent="0.2">
      <c r="A79" s="1154" t="str">
        <f>+TableA1!A79</f>
        <v>Monaco</v>
      </c>
      <c r="B79" s="121">
        <f>+TableB2!C79</f>
        <v>0</v>
      </c>
      <c r="C79" s="1195">
        <f>+TableB2!D79</f>
        <v>0</v>
      </c>
      <c r="D79" s="1037">
        <f t="shared" si="0"/>
        <v>0</v>
      </c>
      <c r="E79" s="1037">
        <v>0</v>
      </c>
      <c r="F79" s="1037">
        <v>0</v>
      </c>
      <c r="G79" s="1037">
        <v>0</v>
      </c>
      <c r="H79" s="1195">
        <f>TableB2!E79</f>
        <v>0</v>
      </c>
      <c r="I79" s="1037">
        <f t="shared" si="1"/>
        <v>0</v>
      </c>
      <c r="J79" s="1037">
        <v>0</v>
      </c>
      <c r="K79" s="1037">
        <v>0</v>
      </c>
      <c r="L79" s="1046">
        <v>0</v>
      </c>
      <c r="M79" s="1351">
        <f>TableB2!F79</f>
        <v>0</v>
      </c>
    </row>
    <row r="80" spans="1:13" x14ac:dyDescent="0.2">
      <c r="A80" s="113" t="s">
        <v>99</v>
      </c>
      <c r="B80" s="121">
        <f>+TableB2!C80</f>
        <v>3.5999999999999999E-3</v>
      </c>
      <c r="C80" s="1195">
        <f>+TableB2!D80</f>
        <v>2.5199999999999997E-3</v>
      </c>
      <c r="D80" s="1037">
        <f t="shared" si="0"/>
        <v>2.5199999999999997E-3</v>
      </c>
      <c r="E80" s="1037">
        <v>0</v>
      </c>
      <c r="F80" s="1037">
        <v>0</v>
      </c>
      <c r="G80" s="1037">
        <v>0</v>
      </c>
      <c r="H80" s="1195">
        <f>TableB2!E80</f>
        <v>0</v>
      </c>
      <c r="I80" s="1037">
        <f t="shared" si="1"/>
        <v>0</v>
      </c>
      <c r="J80" s="1037">
        <v>0</v>
      </c>
      <c r="K80" s="1037">
        <v>0</v>
      </c>
      <c r="L80" s="1046">
        <v>0</v>
      </c>
      <c r="M80" s="1351">
        <f>TableB2!F80</f>
        <v>1.08E-3</v>
      </c>
    </row>
    <row r="81" spans="1:14" x14ac:dyDescent="0.2">
      <c r="A81" s="113" t="s">
        <v>100</v>
      </c>
      <c r="B81" s="121">
        <f>+TableB2!C81</f>
        <v>4.0199999999999996</v>
      </c>
      <c r="C81" s="1195">
        <f>+TableB2!D81</f>
        <v>2.8140000000000001</v>
      </c>
      <c r="D81" s="1037">
        <f t="shared" si="0"/>
        <v>2.8140000000000001</v>
      </c>
      <c r="E81" s="1037">
        <v>0</v>
      </c>
      <c r="F81" s="1037">
        <v>0</v>
      </c>
      <c r="G81" s="1037">
        <v>0</v>
      </c>
      <c r="H81" s="1195">
        <f>TableB2!E81</f>
        <v>0</v>
      </c>
      <c r="I81" s="1037">
        <f t="shared" si="1"/>
        <v>0</v>
      </c>
      <c r="J81" s="1037">
        <v>0</v>
      </c>
      <c r="K81" s="1037">
        <v>0</v>
      </c>
      <c r="L81" s="1046">
        <v>0</v>
      </c>
      <c r="M81" s="1351">
        <f>TableB2!F81</f>
        <v>1.2059999999999997</v>
      </c>
      <c r="N81" s="958"/>
    </row>
    <row r="82" spans="1:14" x14ac:dyDescent="0.2">
      <c r="A82" s="1154" t="str">
        <f>+TableA1!A82</f>
        <v>Seychelles</v>
      </c>
      <c r="B82" s="121">
        <f>+TableB2!C82</f>
        <v>6.9929293879999993E-2</v>
      </c>
      <c r="C82" s="1195">
        <f>+TableB2!D82</f>
        <v>4.8950505716000001E-2</v>
      </c>
      <c r="D82" s="1037">
        <f t="shared" si="0"/>
        <v>4.8950505716000001E-2</v>
      </c>
      <c r="E82" s="1037">
        <v>0</v>
      </c>
      <c r="F82" s="1037">
        <v>0</v>
      </c>
      <c r="G82" s="1037">
        <v>0</v>
      </c>
      <c r="H82" s="1195">
        <f>TableB2!E82</f>
        <v>0</v>
      </c>
      <c r="I82" s="1037">
        <f t="shared" si="1"/>
        <v>0</v>
      </c>
      <c r="J82" s="1037">
        <v>0</v>
      </c>
      <c r="K82" s="1037">
        <v>0</v>
      </c>
      <c r="L82" s="1046">
        <v>0</v>
      </c>
      <c r="M82" s="1351">
        <f>TableB2!F82</f>
        <v>2.0978788163999996E-2</v>
      </c>
      <c r="N82" s="958"/>
    </row>
    <row r="83" spans="1:14" x14ac:dyDescent="0.2">
      <c r="A83" s="113" t="s">
        <v>102</v>
      </c>
      <c r="B83" s="121">
        <f>+TableB2!C83</f>
        <v>48.948502210899605</v>
      </c>
      <c r="C83" s="1195">
        <f>+TableB2!D83</f>
        <v>34.263951547629723</v>
      </c>
      <c r="D83" s="1037">
        <f t="shared" si="0"/>
        <v>34.263951547629723</v>
      </c>
      <c r="E83" s="1037">
        <v>0</v>
      </c>
      <c r="F83" s="1037">
        <v>0</v>
      </c>
      <c r="G83" s="1037">
        <v>0</v>
      </c>
      <c r="H83" s="1195">
        <f>TableB2!E83</f>
        <v>0</v>
      </c>
      <c r="I83" s="1037">
        <f t="shared" si="1"/>
        <v>0</v>
      </c>
      <c r="J83" s="1037">
        <v>0</v>
      </c>
      <c r="K83" s="1037">
        <v>0</v>
      </c>
      <c r="L83" s="1046">
        <v>0</v>
      </c>
      <c r="M83" s="1351">
        <f>TableB2!F83</f>
        <v>14.684550663269881</v>
      </c>
      <c r="N83" s="958"/>
    </row>
    <row r="84" spans="1:14" x14ac:dyDescent="0.2">
      <c r="A84" s="1154" t="str">
        <f>+TableA1!A84</f>
        <v>St. Kitts and Nevis</v>
      </c>
      <c r="B84" s="121">
        <f>+TableB2!C84</f>
        <v>3.0000000000000003E-4</v>
      </c>
      <c r="C84" s="1195">
        <f>+TableB2!D84</f>
        <v>2.1000000000000001E-4</v>
      </c>
      <c r="D84" s="1037">
        <f t="shared" si="0"/>
        <v>2.1000000000000001E-4</v>
      </c>
      <c r="E84" s="1037">
        <v>0</v>
      </c>
      <c r="F84" s="1037">
        <v>0</v>
      </c>
      <c r="G84" s="1037">
        <v>0</v>
      </c>
      <c r="H84" s="1195">
        <f>TableB2!E84</f>
        <v>0</v>
      </c>
      <c r="I84" s="1037">
        <f t="shared" si="1"/>
        <v>0</v>
      </c>
      <c r="J84" s="1037">
        <v>0</v>
      </c>
      <c r="K84" s="1037">
        <v>0</v>
      </c>
      <c r="L84" s="1046">
        <v>0</v>
      </c>
      <c r="M84" s="1351">
        <f>TableB2!F84</f>
        <v>9.0000000000000006E-5</v>
      </c>
      <c r="N84" s="958"/>
    </row>
    <row r="85" spans="1:14" x14ac:dyDescent="0.2">
      <c r="A85" s="1154" t="str">
        <f>+TableA1!A85</f>
        <v>St. Lucia</v>
      </c>
      <c r="B85" s="121">
        <f>+TableB2!C85</f>
        <v>7.1900000000000006E-2</v>
      </c>
      <c r="C85" s="1195">
        <f>+TableB2!D85</f>
        <v>5.033E-2</v>
      </c>
      <c r="D85" s="1037">
        <f t="shared" si="0"/>
        <v>5.033E-2</v>
      </c>
      <c r="E85" s="1037">
        <v>0</v>
      </c>
      <c r="F85" s="1037">
        <v>0</v>
      </c>
      <c r="G85" s="1037">
        <v>0</v>
      </c>
      <c r="H85" s="1195">
        <f>TableB2!E85</f>
        <v>0</v>
      </c>
      <c r="I85" s="1037">
        <f t="shared" si="1"/>
        <v>0</v>
      </c>
      <c r="J85" s="1037">
        <v>0</v>
      </c>
      <c r="K85" s="1037">
        <v>0</v>
      </c>
      <c r="L85" s="1046">
        <v>0</v>
      </c>
      <c r="M85" s="1351">
        <f>TableB2!F85</f>
        <v>2.1570000000000002E-2</v>
      </c>
      <c r="N85" s="958"/>
    </row>
    <row r="86" spans="1:14" x14ac:dyDescent="0.2">
      <c r="A86" s="1154" t="str">
        <f>+TableA1!A86</f>
        <v>St. Vincent and the Grenadines</v>
      </c>
      <c r="B86" s="121">
        <f>+TableB2!C86</f>
        <v>1.6300000000000002E-2</v>
      </c>
      <c r="C86" s="1195">
        <f>+TableB2!D86</f>
        <v>1.1410000000000002E-2</v>
      </c>
      <c r="D86" s="1037">
        <f t="shared" si="0"/>
        <v>1.1410000000000002E-2</v>
      </c>
      <c r="E86" s="1037">
        <v>0</v>
      </c>
      <c r="F86" s="1037">
        <v>0</v>
      </c>
      <c r="G86" s="1037">
        <v>0</v>
      </c>
      <c r="H86" s="1195">
        <f>TableB2!E86</f>
        <v>0</v>
      </c>
      <c r="I86" s="1037">
        <f t="shared" si="1"/>
        <v>0</v>
      </c>
      <c r="J86" s="1037">
        <v>0</v>
      </c>
      <c r="K86" s="1037">
        <v>0</v>
      </c>
      <c r="L86" s="1046">
        <v>0</v>
      </c>
      <c r="M86" s="1351">
        <f>TableB2!F86</f>
        <v>4.8900000000000002E-3</v>
      </c>
      <c r="N86" s="958"/>
    </row>
    <row r="87" spans="1:14" x14ac:dyDescent="0.2">
      <c r="A87" s="1154" t="str">
        <f>+TableA1!A87</f>
        <v>Turks and Caicos</v>
      </c>
      <c r="B87" s="121">
        <f>+TableB2!C87</f>
        <v>0</v>
      </c>
      <c r="C87" s="1195">
        <f>+TableB2!D87</f>
        <v>0</v>
      </c>
      <c r="D87" s="1037">
        <f t="shared" si="0"/>
        <v>0</v>
      </c>
      <c r="E87" s="1037">
        <v>0</v>
      </c>
      <c r="F87" s="1037">
        <v>0</v>
      </c>
      <c r="G87" s="1037">
        <v>0</v>
      </c>
      <c r="H87" s="1195">
        <f>TableB2!E87</f>
        <v>0</v>
      </c>
      <c r="I87" s="1037">
        <f t="shared" si="1"/>
        <v>0</v>
      </c>
      <c r="J87" s="1037">
        <v>0</v>
      </c>
      <c r="K87" s="1037">
        <v>0</v>
      </c>
      <c r="L87" s="1046">
        <v>0</v>
      </c>
      <c r="M87" s="1351">
        <f>TableB2!F87</f>
        <v>0</v>
      </c>
      <c r="N87" s="958"/>
    </row>
    <row r="88" spans="1:14" x14ac:dyDescent="0.2">
      <c r="A88" s="1154" t="str">
        <f>+TableA1!A88</f>
        <v>Panama</v>
      </c>
      <c r="B88" s="121">
        <f>+TableB2!C88</f>
        <v>4.22</v>
      </c>
      <c r="C88" s="1195">
        <f>+TableB2!D88</f>
        <v>2.9539999999999997</v>
      </c>
      <c r="D88" s="1037">
        <f t="shared" si="0"/>
        <v>2.9539999999999997</v>
      </c>
      <c r="E88" s="1037">
        <v>0</v>
      </c>
      <c r="F88" s="1037">
        <v>0</v>
      </c>
      <c r="G88" s="1037">
        <v>0</v>
      </c>
      <c r="H88" s="1195">
        <f>TableB2!E88</f>
        <v>0</v>
      </c>
      <c r="I88" s="1037">
        <f t="shared" si="1"/>
        <v>0</v>
      </c>
      <c r="J88" s="1037">
        <v>0</v>
      </c>
      <c r="K88" s="1037">
        <v>0</v>
      </c>
      <c r="L88" s="1046">
        <v>0</v>
      </c>
      <c r="M88" s="1351">
        <f>TableB2!F88</f>
        <v>1.2659999999999998</v>
      </c>
      <c r="N88" s="958"/>
    </row>
    <row r="89" spans="1:14" ht="17" thickBot="1" x14ac:dyDescent="0.25">
      <c r="A89" s="114" t="s">
        <v>108</v>
      </c>
      <c r="B89" s="17">
        <f>+TableB2!C89</f>
        <v>35.126800000000003</v>
      </c>
      <c r="C89" s="18">
        <f>+TableB2!D89</f>
        <v>24.588760000000001</v>
      </c>
      <c r="D89" s="1197">
        <f t="shared" si="0"/>
        <v>24.588760000000001</v>
      </c>
      <c r="E89" s="1197">
        <v>0</v>
      </c>
      <c r="F89" s="1197">
        <v>0</v>
      </c>
      <c r="G89" s="1197">
        <v>0</v>
      </c>
      <c r="H89" s="18">
        <f>TableB2!E89</f>
        <v>0</v>
      </c>
      <c r="I89" s="1197">
        <f t="shared" si="1"/>
        <v>0</v>
      </c>
      <c r="J89" s="1197">
        <v>0</v>
      </c>
      <c r="K89" s="1197">
        <v>0</v>
      </c>
      <c r="L89" s="1353">
        <v>0</v>
      </c>
      <c r="M89" s="1354">
        <f>TableB2!F48</f>
        <v>1.5393656057999996</v>
      </c>
      <c r="N89" s="958"/>
    </row>
    <row r="90" spans="1:14" ht="18" thickTop="1" thickBot="1" x14ac:dyDescent="0.25">
      <c r="A90" s="958"/>
      <c r="B90" s="958"/>
      <c r="C90" s="958"/>
      <c r="D90" s="1007"/>
      <c r="E90" s="1007"/>
      <c r="F90" s="1007"/>
      <c r="G90" s="1007"/>
      <c r="H90" s="958"/>
      <c r="I90" s="1007"/>
      <c r="J90" s="1007"/>
      <c r="K90" s="1007"/>
      <c r="L90" s="1007"/>
      <c r="M90" s="958"/>
      <c r="N90" s="958"/>
    </row>
    <row r="91" spans="1:14" s="2" customFormat="1" x14ac:dyDescent="0.2">
      <c r="A91" s="2177" t="s">
        <v>389</v>
      </c>
      <c r="B91" s="2178"/>
      <c r="C91" s="2178"/>
      <c r="D91" s="2178"/>
      <c r="E91" s="2178"/>
      <c r="F91" s="2178"/>
      <c r="G91" s="2178"/>
      <c r="H91" s="2178"/>
      <c r="I91" s="2178"/>
      <c r="J91" s="2178"/>
      <c r="K91" s="2178"/>
      <c r="L91" s="2178"/>
      <c r="M91" s="2179"/>
      <c r="N91" s="958"/>
    </row>
    <row r="92" spans="1:14" s="2" customFormat="1" ht="17" thickBot="1" x14ac:dyDescent="0.25">
      <c r="A92" s="2180"/>
      <c r="B92" s="2181"/>
      <c r="C92" s="2181"/>
      <c r="D92" s="2181"/>
      <c r="E92" s="2181"/>
      <c r="F92" s="2181"/>
      <c r="G92" s="2181"/>
      <c r="H92" s="2181"/>
      <c r="I92" s="2181"/>
      <c r="J92" s="2181"/>
      <c r="K92" s="2181"/>
      <c r="L92" s="2181"/>
      <c r="M92" s="2182"/>
      <c r="N92" s="958"/>
    </row>
    <row r="93" spans="1:14" s="2" customFormat="1" x14ac:dyDescent="0.2">
      <c r="A93" s="958"/>
      <c r="B93" s="958"/>
      <c r="C93" s="958"/>
      <c r="D93" s="958"/>
      <c r="E93" s="958"/>
      <c r="F93" s="958"/>
      <c r="G93" s="958"/>
      <c r="H93" s="958"/>
      <c r="I93" s="958"/>
      <c r="J93" s="958"/>
      <c r="K93" s="958"/>
      <c r="L93" s="958"/>
      <c r="M93" s="958"/>
      <c r="N93" s="958"/>
    </row>
    <row r="94" spans="1:14" s="2" customFormat="1" x14ac:dyDescent="0.2">
      <c r="A94" s="958"/>
      <c r="B94" s="958"/>
      <c r="C94" s="958"/>
      <c r="D94" s="958"/>
      <c r="E94" s="958"/>
      <c r="F94" s="958"/>
      <c r="G94" s="958"/>
      <c r="H94" s="958"/>
      <c r="I94" s="958"/>
      <c r="J94" s="958"/>
      <c r="K94" s="958"/>
      <c r="L94" s="958"/>
      <c r="M94" s="958"/>
      <c r="N94" s="958"/>
    </row>
    <row r="95" spans="1:14" s="2" customFormat="1" x14ac:dyDescent="0.2">
      <c r="A95" s="958"/>
      <c r="B95" s="958"/>
      <c r="C95" s="958"/>
      <c r="D95" s="958"/>
      <c r="E95" s="958"/>
      <c r="F95" s="958"/>
      <c r="G95" s="958"/>
      <c r="H95" s="958"/>
      <c r="I95" s="958"/>
      <c r="J95" s="958"/>
      <c r="K95" s="958"/>
      <c r="L95" s="958"/>
      <c r="M95" s="958"/>
      <c r="N95" s="958"/>
    </row>
    <row r="96" spans="1:14" x14ac:dyDescent="0.2">
      <c r="A96" s="958"/>
      <c r="B96" s="958"/>
      <c r="C96" s="958"/>
      <c r="D96" s="958"/>
      <c r="E96" s="958"/>
      <c r="F96" s="958"/>
      <c r="G96" s="958"/>
      <c r="H96" s="958"/>
      <c r="I96" s="958"/>
      <c r="J96" s="958"/>
      <c r="K96" s="958"/>
      <c r="L96" s="1031"/>
      <c r="M96" s="958"/>
      <c r="N96" s="958"/>
    </row>
    <row r="97" spans="1:14" s="2" customFormat="1" x14ac:dyDescent="0.2">
      <c r="A97" s="958"/>
      <c r="B97" s="958"/>
      <c r="C97" s="958"/>
      <c r="D97" s="958"/>
      <c r="E97" s="958"/>
      <c r="F97" s="958"/>
      <c r="G97" s="958"/>
      <c r="H97" s="958"/>
      <c r="I97" s="958"/>
      <c r="J97" s="958"/>
      <c r="K97" s="958"/>
      <c r="L97" s="958"/>
      <c r="M97" s="958"/>
      <c r="N97" s="958"/>
    </row>
  </sheetData>
  <mergeCells count="7">
    <mergeCell ref="A91:M92"/>
    <mergeCell ref="M8:M9"/>
    <mergeCell ref="B7:M7"/>
    <mergeCell ref="A4:M4"/>
    <mergeCell ref="B8:B9"/>
    <mergeCell ref="C8:C9"/>
    <mergeCell ref="H8:H9"/>
  </mergeCells>
  <pageMargins left="0.75" right="0.75" top="1" bottom="1" header="0.5" footer="0.5"/>
  <pageSetup scale="44"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S97"/>
  <sheetViews>
    <sheetView workbookViewId="0">
      <pane xSplit="1" ySplit="9" topLeftCell="B40" activePane="bottomRight" state="frozen"/>
      <selection pane="topRight" activeCell="AR8" sqref="AR8"/>
      <selection pane="bottomLeft" activeCell="AR8" sqref="AR8"/>
      <selection pane="bottomRight" activeCell="A3" sqref="A3:O44"/>
    </sheetView>
  </sheetViews>
  <sheetFormatPr baseColWidth="10" defaultColWidth="10.83203125" defaultRowHeight="16" x14ac:dyDescent="0.2"/>
  <cols>
    <col min="1" max="1" width="16.6640625" style="1" customWidth="1"/>
    <col min="2" max="2" width="12.5" style="1" customWidth="1"/>
    <col min="3" max="3" width="11.83203125" style="1" customWidth="1"/>
    <col min="4" max="5" width="11.33203125" style="1" customWidth="1"/>
    <col min="6" max="6" width="11.83203125" style="1" customWidth="1"/>
    <col min="7" max="9" width="11.33203125" style="1" customWidth="1"/>
    <col min="10" max="14" width="11.83203125" style="1" customWidth="1"/>
    <col min="15" max="16384" width="10.83203125" style="1"/>
  </cols>
  <sheetData>
    <row r="2" spans="1:19" ht="17" thickBot="1" x14ac:dyDescent="0.25">
      <c r="A2" s="958"/>
      <c r="B2" s="958"/>
      <c r="C2" s="958"/>
      <c r="D2" s="958"/>
      <c r="E2" s="958"/>
      <c r="F2" s="958"/>
      <c r="G2" s="958"/>
      <c r="H2" s="958"/>
      <c r="I2" s="958"/>
      <c r="J2" s="958"/>
      <c r="K2" s="958"/>
      <c r="L2" s="958"/>
      <c r="M2" s="958"/>
      <c r="N2" s="958"/>
      <c r="O2" s="958"/>
      <c r="P2" s="958"/>
      <c r="Q2" s="958"/>
      <c r="R2" s="958"/>
      <c r="S2" s="958"/>
    </row>
    <row r="3" spans="1:19" ht="32.25" customHeight="1" thickTop="1" x14ac:dyDescent="0.2">
      <c r="A3" s="1934" t="s">
        <v>390</v>
      </c>
      <c r="B3" s="1935"/>
      <c r="C3" s="1935"/>
      <c r="D3" s="1935"/>
      <c r="E3" s="1935"/>
      <c r="F3" s="1935"/>
      <c r="G3" s="1935"/>
      <c r="H3" s="1935"/>
      <c r="I3" s="1935"/>
      <c r="J3" s="1935"/>
      <c r="K3" s="1935"/>
      <c r="L3" s="1935"/>
      <c r="M3" s="1935"/>
      <c r="N3" s="1935"/>
      <c r="O3" s="1936"/>
      <c r="P3" s="958"/>
      <c r="Q3" s="958"/>
      <c r="R3" s="958"/>
      <c r="S3" s="958"/>
    </row>
    <row r="4" spans="1:19" ht="12" customHeight="1" x14ac:dyDescent="0.2">
      <c r="A4" s="4"/>
      <c r="B4" s="620"/>
      <c r="C4" s="620"/>
      <c r="D4" s="620"/>
      <c r="E4" s="620"/>
      <c r="F4" s="620"/>
      <c r="G4" s="620"/>
      <c r="H4" s="620"/>
      <c r="I4" s="620"/>
      <c r="J4" s="1031"/>
      <c r="K4" s="1031"/>
      <c r="L4" s="1031"/>
      <c r="M4" s="1031"/>
      <c r="N4" s="1031"/>
      <c r="O4" s="1079"/>
      <c r="P4" s="958"/>
      <c r="Q4" s="958"/>
      <c r="R4" s="958"/>
      <c r="S4" s="958"/>
    </row>
    <row r="5" spans="1:19" ht="17" thickBot="1" x14ac:dyDescent="0.25">
      <c r="A5" s="1154"/>
      <c r="B5" s="3" t="s">
        <v>1</v>
      </c>
      <c r="C5" s="3" t="s">
        <v>2</v>
      </c>
      <c r="D5" s="3" t="s">
        <v>3</v>
      </c>
      <c r="E5" s="3" t="s">
        <v>4</v>
      </c>
      <c r="F5" s="3" t="s">
        <v>5</v>
      </c>
      <c r="G5" s="3" t="s">
        <v>6</v>
      </c>
      <c r="H5" s="3" t="s">
        <v>7</v>
      </c>
      <c r="I5" s="3" t="s">
        <v>8</v>
      </c>
      <c r="J5" s="3" t="s">
        <v>9</v>
      </c>
      <c r="K5" s="10" t="s">
        <v>10</v>
      </c>
      <c r="L5" s="3" t="s">
        <v>11</v>
      </c>
      <c r="M5" s="3" t="s">
        <v>12</v>
      </c>
      <c r="N5" s="3" t="s">
        <v>13</v>
      </c>
      <c r="O5" s="6" t="s">
        <v>177</v>
      </c>
      <c r="P5" s="958"/>
      <c r="Q5" s="958"/>
      <c r="R5" s="958"/>
      <c r="S5" s="958"/>
    </row>
    <row r="6" spans="1:19" ht="21" customHeight="1" x14ac:dyDescent="0.2">
      <c r="A6" s="1154"/>
      <c r="B6" s="2004" t="s">
        <v>362</v>
      </c>
      <c r="C6" s="2005"/>
      <c r="D6" s="2005"/>
      <c r="E6" s="2005"/>
      <c r="F6" s="2005"/>
      <c r="G6" s="2005"/>
      <c r="H6" s="2005"/>
      <c r="I6" s="2005"/>
      <c r="J6" s="2005"/>
      <c r="K6" s="2005"/>
      <c r="L6" s="2005"/>
      <c r="M6" s="2005"/>
      <c r="N6" s="2005"/>
      <c r="O6" s="2174"/>
      <c r="P6" s="958"/>
      <c r="Q6" s="958"/>
      <c r="R6" s="958"/>
      <c r="S6" s="958"/>
    </row>
    <row r="7" spans="1:19" ht="21" customHeight="1" x14ac:dyDescent="0.2">
      <c r="A7" s="1154"/>
      <c r="B7" s="2098" t="s">
        <v>312</v>
      </c>
      <c r="C7" s="2099"/>
      <c r="D7" s="2099"/>
      <c r="E7" s="2099"/>
      <c r="F7" s="2099"/>
      <c r="G7" s="2099"/>
      <c r="H7" s="2099"/>
      <c r="I7" s="2100"/>
      <c r="J7" s="2099" t="s">
        <v>363</v>
      </c>
      <c r="K7" s="2099"/>
      <c r="L7" s="2099"/>
      <c r="M7" s="2099"/>
      <c r="N7" s="2099"/>
      <c r="O7" s="2175"/>
      <c r="P7" s="958"/>
      <c r="Q7" s="958"/>
      <c r="R7" s="958"/>
      <c r="S7" s="958"/>
    </row>
    <row r="8" spans="1:19" ht="85" customHeight="1" x14ac:dyDescent="0.2">
      <c r="A8" s="1154"/>
      <c r="B8" s="2007" t="s">
        <v>364</v>
      </c>
      <c r="C8" s="1356" t="s">
        <v>365</v>
      </c>
      <c r="D8" s="1826" t="s">
        <v>366</v>
      </c>
      <c r="E8" s="1826" t="s">
        <v>367</v>
      </c>
      <c r="F8" s="2019" t="s">
        <v>368</v>
      </c>
      <c r="G8" s="1825" t="s">
        <v>365</v>
      </c>
      <c r="H8" s="1825" t="s">
        <v>366</v>
      </c>
      <c r="I8" s="1825" t="s">
        <v>367</v>
      </c>
      <c r="J8" s="2019" t="s">
        <v>364</v>
      </c>
      <c r="K8" s="1833" t="s">
        <v>369</v>
      </c>
      <c r="L8" s="1833" t="s">
        <v>370</v>
      </c>
      <c r="M8" s="2019" t="s">
        <v>368</v>
      </c>
      <c r="N8" s="1833" t="s">
        <v>369</v>
      </c>
      <c r="O8" s="1317" t="s">
        <v>370</v>
      </c>
      <c r="P8" s="958"/>
      <c r="Q8" s="958"/>
      <c r="R8" s="958"/>
      <c r="S8" s="958"/>
    </row>
    <row r="9" spans="1:19" ht="33" customHeight="1" x14ac:dyDescent="0.2">
      <c r="A9" s="1154"/>
      <c r="B9" s="2007"/>
      <c r="C9" s="19"/>
      <c r="D9" s="1834"/>
      <c r="E9" s="1834"/>
      <c r="F9" s="2050"/>
      <c r="G9" s="1319"/>
      <c r="H9" s="1319"/>
      <c r="I9" s="1319"/>
      <c r="J9" s="2050"/>
      <c r="K9" s="1320"/>
      <c r="L9" s="1320"/>
      <c r="M9" s="2050"/>
      <c r="N9" s="1320"/>
      <c r="O9" s="1321"/>
      <c r="P9" s="958"/>
      <c r="Q9" s="958"/>
      <c r="R9" s="958" t="s">
        <v>26</v>
      </c>
      <c r="S9" s="958"/>
    </row>
    <row r="10" spans="1:19" ht="14.25" customHeight="1" x14ac:dyDescent="0.2">
      <c r="A10" s="1322" t="s">
        <v>29</v>
      </c>
      <c r="B10" s="16">
        <v>0</v>
      </c>
      <c r="C10" s="1357">
        <v>0</v>
      </c>
      <c r="D10" s="1358">
        <v>0</v>
      </c>
      <c r="E10" s="1358">
        <v>0</v>
      </c>
      <c r="F10" s="1195">
        <v>0</v>
      </c>
      <c r="G10" s="1359">
        <v>0</v>
      </c>
      <c r="H10" s="1037">
        <v>0</v>
      </c>
      <c r="I10" s="1360">
        <v>0</v>
      </c>
      <c r="J10" s="1206">
        <v>0</v>
      </c>
      <c r="K10" s="1159">
        <v>0</v>
      </c>
      <c r="L10" s="1159">
        <v>0</v>
      </c>
      <c r="M10" s="1206">
        <v>0</v>
      </c>
      <c r="N10" s="1159">
        <v>0</v>
      </c>
      <c r="O10" s="1192">
        <v>0</v>
      </c>
      <c r="P10" s="958"/>
      <c r="Q10" s="958"/>
      <c r="R10" s="1361">
        <f>B10-C10-D10-E10</f>
        <v>0</v>
      </c>
      <c r="S10" s="1022">
        <f>F10-G10-H10-I10</f>
        <v>0</v>
      </c>
    </row>
    <row r="11" spans="1:19" ht="14.25" customHeight="1" x14ac:dyDescent="0.2">
      <c r="A11" s="1154" t="s">
        <v>30</v>
      </c>
      <c r="B11" s="120">
        <v>-9.2379367720466004</v>
      </c>
      <c r="C11" s="1362">
        <v>8.6522462562395999E-2</v>
      </c>
      <c r="D11" s="1360">
        <v>7.5429839156960998E-2</v>
      </c>
      <c r="E11" s="1360">
        <v>-9.3998890737659</v>
      </c>
      <c r="F11" s="1195">
        <v>-9.1259012756517013</v>
      </c>
      <c r="G11" s="1359">
        <v>0.49694952856350999</v>
      </c>
      <c r="H11" s="1037">
        <v>0.11425402107598001</v>
      </c>
      <c r="I11" s="1360">
        <v>-9.7371048252912011</v>
      </c>
      <c r="J11" s="1206">
        <v>78.506260206859011</v>
      </c>
      <c r="K11" s="1159">
        <v>82.278715296678996</v>
      </c>
      <c r="L11" s="1159">
        <v>-3.7724550898204003</v>
      </c>
      <c r="M11" s="1206">
        <v>80.537833424060992</v>
      </c>
      <c r="N11" s="1159">
        <v>75.482852476864011</v>
      </c>
      <c r="O11" s="1192">
        <v>5.0549809471965004</v>
      </c>
      <c r="P11" s="958"/>
      <c r="Q11" s="958"/>
      <c r="R11" s="1361">
        <f t="shared" ref="R11:R80" si="0">B11-C11-D11-E11</f>
        <v>-5.6843418860808015E-14</v>
      </c>
      <c r="S11" s="1022">
        <f t="shared" ref="S11:S80" si="1">F11-G11-H11-I11</f>
        <v>0</v>
      </c>
    </row>
    <row r="12" spans="1:19" ht="14.25" customHeight="1" x14ac:dyDescent="0.2">
      <c r="A12" s="1154" t="s">
        <v>31</v>
      </c>
      <c r="B12" s="120">
        <f>C12+D12+E12</f>
        <v>1.1883034022286869</v>
      </c>
      <c r="C12" s="1359">
        <f>K12*C$32/K$32</f>
        <v>3.6649715983332323</v>
      </c>
      <c r="D12" s="1360">
        <f>L12*D$32/L$32</f>
        <v>-4.03363169972633</v>
      </c>
      <c r="E12" s="1360">
        <f>K12*E$32/K$32</f>
        <v>1.5569635036217846</v>
      </c>
      <c r="F12" s="120">
        <f>G12+H12+I12</f>
        <v>0.82037998876394691</v>
      </c>
      <c r="G12" s="1359">
        <f>N12*G$32/N$32</f>
        <v>0.62526675492009542</v>
      </c>
      <c r="H12" s="1037">
        <f>O12*H$32/O$32</f>
        <v>0.19798070095542991</v>
      </c>
      <c r="I12" s="1360">
        <f>N12*I$32/N$32</f>
        <v>-2.8674671115784291E-3</v>
      </c>
      <c r="J12" s="1206">
        <v>27.678824169841999</v>
      </c>
      <c r="K12" s="1159">
        <v>121.63309744148</v>
      </c>
      <c r="L12" s="1159">
        <v>-93.954273271638996</v>
      </c>
      <c r="M12" s="1206">
        <v>19.773543821447998</v>
      </c>
      <c r="N12" s="1159">
        <v>15.001633097440999</v>
      </c>
      <c r="O12" s="1192">
        <v>4.7719107240064993</v>
      </c>
      <c r="P12" s="958"/>
      <c r="Q12" s="958"/>
      <c r="R12" s="1361">
        <f t="shared" si="0"/>
        <v>0</v>
      </c>
      <c r="S12" s="1022">
        <f t="shared" si="1"/>
        <v>3.4694469519536142E-18</v>
      </c>
    </row>
    <row r="13" spans="1:19" ht="14.25" customHeight="1" x14ac:dyDescent="0.2">
      <c r="A13" s="1154" t="s">
        <v>32</v>
      </c>
      <c r="B13" s="120">
        <v>0</v>
      </c>
      <c r="C13" s="1359">
        <v>0</v>
      </c>
      <c r="D13" s="1360">
        <v>0</v>
      </c>
      <c r="E13" s="1360">
        <v>0</v>
      </c>
      <c r="F13" s="1195">
        <v>0</v>
      </c>
      <c r="G13" s="1359">
        <v>0</v>
      </c>
      <c r="H13" s="1037">
        <v>0</v>
      </c>
      <c r="I13" s="1360">
        <v>0</v>
      </c>
      <c r="J13" s="1206">
        <v>0</v>
      </c>
      <c r="K13" s="1159">
        <v>0</v>
      </c>
      <c r="L13" s="1159">
        <v>0</v>
      </c>
      <c r="M13" s="1206">
        <v>0</v>
      </c>
      <c r="N13" s="1159">
        <v>0</v>
      </c>
      <c r="O13" s="1192">
        <v>0</v>
      </c>
      <c r="P13" s="958"/>
      <c r="Q13" s="958"/>
      <c r="R13" s="1361">
        <f t="shared" si="0"/>
        <v>0</v>
      </c>
      <c r="S13" s="1022">
        <f t="shared" si="1"/>
        <v>0</v>
      </c>
    </row>
    <row r="14" spans="1:19" ht="14.25" customHeight="1" x14ac:dyDescent="0.2">
      <c r="A14" s="1154" t="s">
        <v>33</v>
      </c>
      <c r="B14" s="120">
        <v>-0.100852</v>
      </c>
      <c r="C14" s="1359">
        <v>0</v>
      </c>
      <c r="D14" s="1360">
        <v>0</v>
      </c>
      <c r="E14" s="1360">
        <v>-0.100852</v>
      </c>
      <c r="F14" s="1195">
        <v>-0.10076899999812</v>
      </c>
      <c r="G14" s="1359">
        <v>0</v>
      </c>
      <c r="H14" s="1037">
        <v>0</v>
      </c>
      <c r="I14" s="1360">
        <v>-0.10076899999812</v>
      </c>
      <c r="J14" s="1206">
        <v>2.5757213763562001</v>
      </c>
      <c r="K14" s="1159">
        <v>2.5700983763561998</v>
      </c>
      <c r="L14" s="1159">
        <v>5.6230000000000004E-3</v>
      </c>
      <c r="M14" s="1206">
        <v>4.6740541135919003</v>
      </c>
      <c r="N14" s="1159">
        <v>1.7117258105919</v>
      </c>
      <c r="O14" s="1192">
        <v>2.9623283029999996</v>
      </c>
      <c r="P14" s="958"/>
      <c r="Q14" s="958"/>
      <c r="R14" s="1361">
        <f t="shared" si="0"/>
        <v>0</v>
      </c>
      <c r="S14" s="1022">
        <f t="shared" si="1"/>
        <v>0</v>
      </c>
    </row>
    <row r="15" spans="1:19" ht="14.25" customHeight="1" x14ac:dyDescent="0.2">
      <c r="A15" s="1154" t="s">
        <v>34</v>
      </c>
      <c r="B15" s="120">
        <v>0</v>
      </c>
      <c r="C15" s="1359">
        <v>0</v>
      </c>
      <c r="D15" s="1360">
        <v>0</v>
      </c>
      <c r="E15" s="1360">
        <v>0</v>
      </c>
      <c r="F15" s="1195">
        <v>0</v>
      </c>
      <c r="G15" s="1359">
        <v>0</v>
      </c>
      <c r="H15" s="1037">
        <v>0</v>
      </c>
      <c r="I15" s="1360">
        <v>0</v>
      </c>
      <c r="J15" s="1206">
        <v>0</v>
      </c>
      <c r="K15" s="1159">
        <v>0</v>
      </c>
      <c r="L15" s="1159">
        <v>0</v>
      </c>
      <c r="M15" s="1206">
        <v>0</v>
      </c>
      <c r="N15" s="1159">
        <v>0</v>
      </c>
      <c r="O15" s="1192">
        <v>0</v>
      </c>
      <c r="P15" s="958"/>
      <c r="Q15" s="958"/>
      <c r="R15" s="1361">
        <f t="shared" si="0"/>
        <v>0</v>
      </c>
      <c r="S15" s="1022">
        <f t="shared" si="1"/>
        <v>0</v>
      </c>
    </row>
    <row r="16" spans="1:19" ht="14.25" customHeight="1" x14ac:dyDescent="0.2">
      <c r="A16" s="1154" t="s">
        <v>35</v>
      </c>
      <c r="B16" s="120">
        <v>0.74240937342016999</v>
      </c>
      <c r="C16" s="1359">
        <v>0.47417253992328001</v>
      </c>
      <c r="D16" s="1360">
        <v>3.1224908555625001E-3</v>
      </c>
      <c r="E16" s="1360">
        <v>0.26541172272281</v>
      </c>
      <c r="F16" s="1195">
        <v>0.77824367323877008</v>
      </c>
      <c r="G16" s="1359">
        <v>0.5187795521455999</v>
      </c>
      <c r="H16" s="1037">
        <v>9.3526035626133999E-2</v>
      </c>
      <c r="I16" s="1360">
        <v>0.16578939542629001</v>
      </c>
      <c r="J16" s="1206">
        <v>21.412005856514998</v>
      </c>
      <c r="K16" s="1159">
        <v>20.98140556369</v>
      </c>
      <c r="L16" s="1159">
        <v>0.43060029282577</v>
      </c>
      <c r="M16" s="1206">
        <v>20.453733528551002</v>
      </c>
      <c r="N16" s="1159">
        <v>19.451976573939</v>
      </c>
      <c r="O16" s="1192">
        <v>1.001756954612</v>
      </c>
      <c r="P16" s="958"/>
      <c r="Q16" s="958"/>
      <c r="R16" s="1361">
        <f t="shared" si="0"/>
        <v>-2.9738008148250117E-4</v>
      </c>
      <c r="S16" s="1022">
        <f t="shared" si="1"/>
        <v>1.4869004074619108E-4</v>
      </c>
    </row>
    <row r="17" spans="1:19" ht="14.25" customHeight="1" x14ac:dyDescent="0.2">
      <c r="A17" s="1154" t="s">
        <v>36</v>
      </c>
      <c r="B17" s="120">
        <v>0</v>
      </c>
      <c r="C17" s="1359">
        <v>0</v>
      </c>
      <c r="D17" s="1360">
        <v>0</v>
      </c>
      <c r="E17" s="1360">
        <v>1.8721020521353E-2</v>
      </c>
      <c r="F17" s="1195">
        <v>0</v>
      </c>
      <c r="G17" s="1359">
        <v>0</v>
      </c>
      <c r="H17" s="1037">
        <v>0</v>
      </c>
      <c r="I17" s="1360">
        <v>2.0098724348307999E-2</v>
      </c>
      <c r="J17" s="1206">
        <v>0.48515514425694001</v>
      </c>
      <c r="K17" s="1159">
        <v>0.47372999455633996</v>
      </c>
      <c r="L17" s="1159">
        <v>1.1425149700599E-2</v>
      </c>
      <c r="M17" s="1206">
        <v>0.43754926510615</v>
      </c>
      <c r="N17" s="1159">
        <v>0.34919107240065</v>
      </c>
      <c r="O17" s="1192">
        <v>8.8358192705497995E-2</v>
      </c>
      <c r="P17" s="958"/>
      <c r="Q17" s="958"/>
      <c r="R17" s="1361">
        <f t="shared" si="0"/>
        <v>-1.8721020521353E-2</v>
      </c>
      <c r="S17" s="1022">
        <f t="shared" si="1"/>
        <v>-2.0098724348307999E-2</v>
      </c>
    </row>
    <row r="18" spans="1:19" ht="14.25" customHeight="1" x14ac:dyDescent="0.2">
      <c r="A18" s="1154" t="s">
        <v>37</v>
      </c>
      <c r="B18" s="120">
        <v>0</v>
      </c>
      <c r="C18" s="1359">
        <v>0</v>
      </c>
      <c r="D18" s="1360">
        <v>0</v>
      </c>
      <c r="E18" s="1360">
        <v>0</v>
      </c>
      <c r="F18" s="1195">
        <v>0</v>
      </c>
      <c r="G18" s="1359">
        <v>0</v>
      </c>
      <c r="H18" s="1037">
        <v>0</v>
      </c>
      <c r="I18" s="1360">
        <v>0</v>
      </c>
      <c r="J18" s="1206">
        <v>0</v>
      </c>
      <c r="K18" s="1159">
        <v>0</v>
      </c>
      <c r="L18" s="1159">
        <v>0</v>
      </c>
      <c r="M18" s="1206">
        <v>0</v>
      </c>
      <c r="N18" s="1159">
        <v>0</v>
      </c>
      <c r="O18" s="1192">
        <v>0</v>
      </c>
      <c r="P18" s="958"/>
      <c r="Q18" s="958"/>
      <c r="R18" s="1361">
        <f t="shared" si="0"/>
        <v>0</v>
      </c>
      <c r="S18" s="1022">
        <f t="shared" si="1"/>
        <v>0</v>
      </c>
    </row>
    <row r="19" spans="1:19" ht="14.25" customHeight="1" x14ac:dyDescent="0.2">
      <c r="A19" s="1154" t="s">
        <v>38</v>
      </c>
      <c r="B19" s="120">
        <v>0</v>
      </c>
      <c r="C19" s="1359">
        <v>0</v>
      </c>
      <c r="D19" s="1360">
        <v>0</v>
      </c>
      <c r="E19" s="1360">
        <v>0</v>
      </c>
      <c r="F19" s="1195">
        <v>0</v>
      </c>
      <c r="G19" s="1359">
        <v>0</v>
      </c>
      <c r="H19" s="1037">
        <v>0</v>
      </c>
      <c r="I19" s="1360">
        <v>0</v>
      </c>
      <c r="J19" s="1206">
        <v>0</v>
      </c>
      <c r="K19" s="1159">
        <v>0</v>
      </c>
      <c r="L19" s="1159">
        <v>0</v>
      </c>
      <c r="M19" s="1206">
        <v>0</v>
      </c>
      <c r="N19" s="1159">
        <v>0</v>
      </c>
      <c r="O19" s="1192">
        <v>0</v>
      </c>
      <c r="P19" s="958"/>
      <c r="Q19" s="958"/>
      <c r="R19" s="1361">
        <f t="shared" si="0"/>
        <v>0</v>
      </c>
      <c r="S19" s="1022">
        <f t="shared" si="1"/>
        <v>0</v>
      </c>
    </row>
    <row r="20" spans="1:19" ht="14.25" customHeight="1" x14ac:dyDescent="0.2">
      <c r="A20" s="1154" t="s">
        <v>39</v>
      </c>
      <c r="B20" s="120">
        <v>0</v>
      </c>
      <c r="C20" s="1359">
        <v>0</v>
      </c>
      <c r="D20" s="1360">
        <v>0</v>
      </c>
      <c r="E20" s="1360">
        <v>0</v>
      </c>
      <c r="F20" s="1195">
        <v>0</v>
      </c>
      <c r="G20" s="1359">
        <v>0</v>
      </c>
      <c r="H20" s="1037">
        <v>0</v>
      </c>
      <c r="I20" s="1360">
        <v>0</v>
      </c>
      <c r="J20" s="1206">
        <v>0</v>
      </c>
      <c r="K20" s="1159">
        <v>0</v>
      </c>
      <c r="L20" s="1159">
        <v>0</v>
      </c>
      <c r="M20" s="1206">
        <v>0</v>
      </c>
      <c r="N20" s="1159">
        <v>0</v>
      </c>
      <c r="O20" s="1192">
        <v>0</v>
      </c>
      <c r="P20" s="958"/>
      <c r="Q20" s="958"/>
      <c r="R20" s="1361">
        <f t="shared" si="0"/>
        <v>0</v>
      </c>
      <c r="S20" s="1022">
        <f t="shared" si="1"/>
        <v>0</v>
      </c>
    </row>
    <row r="21" spans="1:19" ht="14.25" customHeight="1" x14ac:dyDescent="0.2">
      <c r="A21" s="1154" t="s">
        <v>40</v>
      </c>
      <c r="B21" s="120">
        <v>0</v>
      </c>
      <c r="C21" s="1359">
        <v>0</v>
      </c>
      <c r="D21" s="1360">
        <v>0</v>
      </c>
      <c r="E21" s="1360">
        <v>0</v>
      </c>
      <c r="F21" s="1195">
        <v>0</v>
      </c>
      <c r="G21" s="1359">
        <v>0</v>
      </c>
      <c r="H21" s="1037">
        <v>0</v>
      </c>
      <c r="I21" s="1360">
        <v>0</v>
      </c>
      <c r="J21" s="1206">
        <v>0</v>
      </c>
      <c r="K21" s="1159">
        <v>0</v>
      </c>
      <c r="L21" s="1159">
        <v>0</v>
      </c>
      <c r="M21" s="1206">
        <v>0</v>
      </c>
      <c r="N21" s="1159">
        <v>0</v>
      </c>
      <c r="O21" s="1192">
        <v>0</v>
      </c>
      <c r="P21" s="958"/>
      <c r="Q21" s="958"/>
      <c r="R21" s="1361">
        <f t="shared" si="0"/>
        <v>0</v>
      </c>
      <c r="S21" s="1022">
        <f t="shared" si="1"/>
        <v>0</v>
      </c>
    </row>
    <row r="22" spans="1:19" ht="14.25" customHeight="1" x14ac:dyDescent="0.2">
      <c r="A22" s="1154" t="s">
        <v>41</v>
      </c>
      <c r="B22" s="120">
        <v>2.8677768003609998</v>
      </c>
      <c r="C22" s="1359">
        <v>2.2886520197425004</v>
      </c>
      <c r="D22" s="1360">
        <v>-0.67757621940299995</v>
      </c>
      <c r="E22" s="1360">
        <v>1.2567010000215</v>
      </c>
      <c r="F22" s="1195">
        <v>2.958726792123</v>
      </c>
      <c r="G22" s="1359">
        <v>0.46560268128971</v>
      </c>
      <c r="H22" s="1037">
        <v>-2.8101617513269998E-2</v>
      </c>
      <c r="I22" s="1360">
        <v>2.5212257283466002</v>
      </c>
      <c r="J22" s="1206">
        <v>112.48031434252999</v>
      </c>
      <c r="K22" s="1159">
        <v>108.64249715661001</v>
      </c>
      <c r="L22" s="1159">
        <v>3.8378171859191004</v>
      </c>
      <c r="M22" s="1206">
        <v>111.42608571677999</v>
      </c>
      <c r="N22" s="1159">
        <v>112.89650752189</v>
      </c>
      <c r="O22" s="1192">
        <v>-1.4704218051145999</v>
      </c>
      <c r="P22" s="958"/>
      <c r="Q22" s="958"/>
      <c r="R22" s="1361">
        <f t="shared" si="0"/>
        <v>0</v>
      </c>
      <c r="S22" s="1022">
        <f t="shared" si="1"/>
        <v>-4.0412118096355698E-14</v>
      </c>
    </row>
    <row r="23" spans="1:19" ht="14.25" customHeight="1" x14ac:dyDescent="0.2">
      <c r="A23" s="1154" t="s">
        <v>42</v>
      </c>
      <c r="B23" s="120">
        <v>5.5498229288053003E-3</v>
      </c>
      <c r="C23" s="1359">
        <v>1.2009452895120001E-2</v>
      </c>
      <c r="D23" s="1360">
        <v>-5.7621112375574003E-3</v>
      </c>
      <c r="E23" s="1360">
        <v>-6.9751872875695002E-4</v>
      </c>
      <c r="F23" s="1195">
        <v>7.0055141888197992E-3</v>
      </c>
      <c r="G23" s="1359">
        <v>0</v>
      </c>
      <c r="H23" s="1037">
        <v>0</v>
      </c>
      <c r="I23" s="1360">
        <v>7.0055141888197992E-3</v>
      </c>
      <c r="J23" s="1206">
        <v>3.4423438863677003</v>
      </c>
      <c r="K23" s="1159">
        <v>3.5241018011434999</v>
      </c>
      <c r="L23" s="1159">
        <v>-8.1757914775765994E-2</v>
      </c>
      <c r="M23" s="1206">
        <v>3.4422590032093998</v>
      </c>
      <c r="N23" s="1159">
        <v>3.4422590032093998</v>
      </c>
      <c r="O23" s="1192">
        <v>0</v>
      </c>
      <c r="P23" s="958"/>
      <c r="Q23" s="958"/>
      <c r="R23" s="1361">
        <f t="shared" si="0"/>
        <v>-3.5041414214731503E-16</v>
      </c>
      <c r="S23" s="1022">
        <f t="shared" si="1"/>
        <v>0</v>
      </c>
    </row>
    <row r="24" spans="1:19" ht="14.25" customHeight="1" x14ac:dyDescent="0.2">
      <c r="A24" s="1154" t="s">
        <v>43</v>
      </c>
      <c r="B24" s="120">
        <v>0</v>
      </c>
      <c r="C24" s="1359">
        <v>0</v>
      </c>
      <c r="D24" s="1360">
        <v>0</v>
      </c>
      <c r="E24" s="1360">
        <v>0</v>
      </c>
      <c r="F24" s="1195">
        <v>0</v>
      </c>
      <c r="G24" s="1359">
        <v>0</v>
      </c>
      <c r="H24" s="1037">
        <v>0</v>
      </c>
      <c r="I24" s="1360">
        <v>0</v>
      </c>
      <c r="J24" s="1206">
        <v>0</v>
      </c>
      <c r="K24" s="1159">
        <v>0</v>
      </c>
      <c r="L24" s="1159">
        <v>0</v>
      </c>
      <c r="M24" s="1206">
        <v>0</v>
      </c>
      <c r="N24" s="1159">
        <v>0</v>
      </c>
      <c r="O24" s="1192">
        <v>0</v>
      </c>
      <c r="P24" s="958"/>
      <c r="Q24" s="958"/>
      <c r="R24" s="1361">
        <f t="shared" si="0"/>
        <v>0</v>
      </c>
      <c r="S24" s="1022">
        <f t="shared" si="1"/>
        <v>0</v>
      </c>
    </row>
    <row r="25" spans="1:19" ht="14.25" customHeight="1" x14ac:dyDescent="0.2">
      <c r="A25" s="1154" t="s">
        <v>44</v>
      </c>
      <c r="B25" s="120">
        <v>0</v>
      </c>
      <c r="C25" s="1359">
        <v>0</v>
      </c>
      <c r="D25" s="1360">
        <v>0</v>
      </c>
      <c r="E25" s="1360">
        <v>0</v>
      </c>
      <c r="F25" s="1195">
        <v>0</v>
      </c>
      <c r="G25" s="1359">
        <v>0</v>
      </c>
      <c r="H25" s="1037">
        <v>0</v>
      </c>
      <c r="I25" s="1360">
        <v>0</v>
      </c>
      <c r="J25" s="1206">
        <v>0</v>
      </c>
      <c r="K25" s="1159">
        <v>0</v>
      </c>
      <c r="L25" s="1159">
        <v>0</v>
      </c>
      <c r="M25" s="1206">
        <v>0</v>
      </c>
      <c r="N25" s="1159">
        <v>0</v>
      </c>
      <c r="O25" s="1192">
        <v>0</v>
      </c>
      <c r="P25" s="958"/>
      <c r="Q25" s="958"/>
      <c r="R25" s="1361"/>
      <c r="S25" s="1022"/>
    </row>
    <row r="26" spans="1:19" ht="14.25" customHeight="1" x14ac:dyDescent="0.2">
      <c r="A26" s="1154" t="s">
        <v>45</v>
      </c>
      <c r="B26" s="120">
        <v>0</v>
      </c>
      <c r="C26" s="1359">
        <v>0</v>
      </c>
      <c r="D26" s="1360">
        <v>0</v>
      </c>
      <c r="E26" s="1360">
        <v>0</v>
      </c>
      <c r="F26" s="1195">
        <v>0</v>
      </c>
      <c r="G26" s="1359">
        <v>0</v>
      </c>
      <c r="H26" s="1037">
        <v>0</v>
      </c>
      <c r="I26" s="1360">
        <v>0</v>
      </c>
      <c r="J26" s="1206">
        <v>0</v>
      </c>
      <c r="K26" s="1159">
        <v>0</v>
      </c>
      <c r="L26" s="1159">
        <v>0</v>
      </c>
      <c r="M26" s="1206">
        <v>0</v>
      </c>
      <c r="N26" s="1159">
        <v>0</v>
      </c>
      <c r="O26" s="1192">
        <v>0</v>
      </c>
      <c r="P26" s="958"/>
      <c r="Q26" s="958"/>
      <c r="R26" s="1361">
        <f t="shared" si="0"/>
        <v>0</v>
      </c>
      <c r="S26" s="1022">
        <f t="shared" si="1"/>
        <v>0</v>
      </c>
    </row>
    <row r="27" spans="1:19" ht="14.25" customHeight="1" x14ac:dyDescent="0.2">
      <c r="A27" s="1154" t="s">
        <v>46</v>
      </c>
      <c r="B27" s="120">
        <v>0</v>
      </c>
      <c r="C27" s="1359">
        <v>0</v>
      </c>
      <c r="D27" s="1360">
        <v>0</v>
      </c>
      <c r="E27" s="1360">
        <v>0</v>
      </c>
      <c r="F27" s="1195">
        <v>0</v>
      </c>
      <c r="G27" s="1359">
        <v>0</v>
      </c>
      <c r="H27" s="1037">
        <v>0</v>
      </c>
      <c r="I27" s="1360">
        <v>0</v>
      </c>
      <c r="J27" s="1206">
        <v>0</v>
      </c>
      <c r="K27" s="1159">
        <v>0</v>
      </c>
      <c r="L27" s="1159">
        <v>0</v>
      </c>
      <c r="M27" s="1206">
        <v>0</v>
      </c>
      <c r="N27" s="1159">
        <v>0</v>
      </c>
      <c r="O27" s="1192">
        <v>0</v>
      </c>
      <c r="P27" s="958"/>
      <c r="Q27" s="958"/>
      <c r="R27" s="1361">
        <f t="shared" si="0"/>
        <v>0</v>
      </c>
      <c r="S27" s="1022">
        <f t="shared" si="1"/>
        <v>0</v>
      </c>
    </row>
    <row r="28" spans="1:19" ht="14.25" customHeight="1" x14ac:dyDescent="0.2">
      <c r="A28" s="1154" t="s">
        <v>47</v>
      </c>
      <c r="B28" s="120">
        <v>3.5351731448762996E-2</v>
      </c>
      <c r="C28" s="1359">
        <v>2.3321554770318001E-4</v>
      </c>
      <c r="D28" s="1360">
        <v>8.1386925795052991E-3</v>
      </c>
      <c r="E28" s="1360">
        <v>2.6979823321554998E-2</v>
      </c>
      <c r="F28" s="1195">
        <v>2.7307999999999998E-4</v>
      </c>
      <c r="G28" s="1359">
        <v>0</v>
      </c>
      <c r="H28" s="1037">
        <v>0</v>
      </c>
      <c r="I28" s="1360">
        <v>2.7307999999999998E-4</v>
      </c>
      <c r="J28" s="1206">
        <v>0.73584179953390005</v>
      </c>
      <c r="K28" s="1159">
        <v>0.70684179953390003</v>
      </c>
      <c r="L28" s="1159">
        <v>2.9000000000000001E-2</v>
      </c>
      <c r="M28" s="1206">
        <v>5.3105561000000003E-2</v>
      </c>
      <c r="N28" s="1159">
        <v>5.2805560999999994E-2</v>
      </c>
      <c r="O28" s="1192">
        <v>2.9999999999999997E-4</v>
      </c>
      <c r="P28" s="958"/>
      <c r="Q28" s="958"/>
      <c r="R28" s="1361">
        <f t="shared" si="0"/>
        <v>-4.8572257327350599E-16</v>
      </c>
      <c r="S28" s="1022">
        <f t="shared" si="1"/>
        <v>0</v>
      </c>
    </row>
    <row r="29" spans="1:19" x14ac:dyDescent="0.2">
      <c r="A29" s="1154" t="s">
        <v>48</v>
      </c>
      <c r="B29" s="120">
        <v>0</v>
      </c>
      <c r="C29" s="1359">
        <v>0</v>
      </c>
      <c r="D29" s="1360">
        <v>0</v>
      </c>
      <c r="E29" s="1360">
        <v>0</v>
      </c>
      <c r="F29" s="1195">
        <v>0</v>
      </c>
      <c r="G29" s="1359">
        <v>0</v>
      </c>
      <c r="H29" s="1037">
        <v>0</v>
      </c>
      <c r="I29" s="1360">
        <v>0</v>
      </c>
      <c r="J29" s="1206">
        <v>0</v>
      </c>
      <c r="K29" s="1159">
        <v>0</v>
      </c>
      <c r="L29" s="1159">
        <v>0</v>
      </c>
      <c r="M29" s="1206">
        <v>0</v>
      </c>
      <c r="N29" s="1159">
        <v>0</v>
      </c>
      <c r="O29" s="1192">
        <v>0</v>
      </c>
      <c r="P29" s="958"/>
      <c r="Q29" s="958"/>
      <c r="R29" s="1361">
        <f t="shared" si="0"/>
        <v>0</v>
      </c>
      <c r="S29" s="1022">
        <f t="shared" si="1"/>
        <v>0</v>
      </c>
    </row>
    <row r="30" spans="1:19" x14ac:dyDescent="0.2">
      <c r="A30" s="1154" t="s">
        <v>49</v>
      </c>
      <c r="B30" s="120">
        <v>46.729894620077999</v>
      </c>
      <c r="C30" s="1359">
        <v>45.608430393788005</v>
      </c>
      <c r="D30" s="1360">
        <v>1.7382140876317</v>
      </c>
      <c r="E30" s="1360">
        <v>-0.61674986134220999</v>
      </c>
      <c r="F30" s="1195">
        <v>82.60565723793701</v>
      </c>
      <c r="G30" s="1359">
        <v>69.899057127010991</v>
      </c>
      <c r="H30" s="1037">
        <v>15.533000554631</v>
      </c>
      <c r="I30" s="1360">
        <v>-2.8264004437049004</v>
      </c>
      <c r="J30" s="1206">
        <v>3456.1328252586</v>
      </c>
      <c r="K30" s="1159">
        <v>3143.4120849211004</v>
      </c>
      <c r="L30" s="1159">
        <v>312.72074033750999</v>
      </c>
      <c r="M30" s="1206">
        <v>4190.3113772454999</v>
      </c>
      <c r="N30" s="1159">
        <v>3976.5465432771002</v>
      </c>
      <c r="O30" s="1192">
        <v>213.76483396843</v>
      </c>
      <c r="P30" s="958"/>
      <c r="Q30" s="958"/>
      <c r="R30" s="1361">
        <f t="shared" si="0"/>
        <v>5.042632977847461E-13</v>
      </c>
      <c r="S30" s="1022">
        <f t="shared" si="1"/>
        <v>-8.1268325402561459E-14</v>
      </c>
    </row>
    <row r="31" spans="1:19" x14ac:dyDescent="0.2">
      <c r="A31" s="1154" t="s">
        <v>50</v>
      </c>
      <c r="B31" s="120">
        <v>0</v>
      </c>
      <c r="C31" s="1359">
        <v>0</v>
      </c>
      <c r="D31" s="1360">
        <v>0</v>
      </c>
      <c r="E31" s="1360">
        <v>0</v>
      </c>
      <c r="F31" s="1195">
        <v>0</v>
      </c>
      <c r="G31" s="1359">
        <v>0</v>
      </c>
      <c r="H31" s="1037">
        <v>0</v>
      </c>
      <c r="I31" s="1360">
        <v>0</v>
      </c>
      <c r="J31" s="1206">
        <v>0</v>
      </c>
      <c r="K31" s="1159">
        <v>0</v>
      </c>
      <c r="L31" s="1159">
        <v>0</v>
      </c>
      <c r="M31" s="1206">
        <v>0</v>
      </c>
      <c r="N31" s="1159">
        <v>0</v>
      </c>
      <c r="O31" s="1192">
        <v>0</v>
      </c>
      <c r="P31" s="958"/>
      <c r="Q31" s="958"/>
      <c r="R31" s="1361">
        <f t="shared" si="0"/>
        <v>0</v>
      </c>
      <c r="S31" s="1022">
        <f t="shared" si="1"/>
        <v>0</v>
      </c>
    </row>
    <row r="32" spans="1:19" x14ac:dyDescent="0.2">
      <c r="A32" s="1154" t="s">
        <v>51</v>
      </c>
      <c r="B32" s="120">
        <v>140.88186356073001</v>
      </c>
      <c r="C32" s="1363">
        <f>B32-D32-E32</f>
        <v>77.146595824781386</v>
      </c>
      <c r="D32" s="1364">
        <f>B32*L32/J32</f>
        <v>30.96163473358882</v>
      </c>
      <c r="E32" s="1365">
        <f>$B32/TableB2!$C32*TableB2!F32</f>
        <v>32.773633002359801</v>
      </c>
      <c r="F32" s="1366">
        <v>153.80476982805999</v>
      </c>
      <c r="G32" s="1363">
        <f>F32-H32-I32</f>
        <v>114.34149548704708</v>
      </c>
      <c r="H32" s="1364">
        <f>F32*O32/M32</f>
        <v>39.987643300689491</v>
      </c>
      <c r="I32" s="1365">
        <f>F32*TableB2!J32/TableB2!G32</f>
        <v>-0.52436895967657893</v>
      </c>
      <c r="J32" s="1013">
        <v>3281.5224823080998</v>
      </c>
      <c r="K32" s="1200">
        <v>2560.3416439848002</v>
      </c>
      <c r="L32" s="1200">
        <v>721.18083832334992</v>
      </c>
      <c r="M32" s="1206">
        <v>3707.1422972237001</v>
      </c>
      <c r="N32" s="1159">
        <v>2743.3237887861001</v>
      </c>
      <c r="O32" s="1192">
        <v>963.81850843766995</v>
      </c>
      <c r="P32" s="958"/>
      <c r="Q32" s="958"/>
      <c r="R32" s="1361">
        <f t="shared" si="0"/>
        <v>0</v>
      </c>
      <c r="S32" s="1022">
        <f t="shared" si="1"/>
        <v>-7.2164496600635175E-15</v>
      </c>
    </row>
    <row r="33" spans="1:19" x14ac:dyDescent="0.2">
      <c r="A33" s="1154" t="s">
        <v>52</v>
      </c>
      <c r="B33" s="120">
        <v>0</v>
      </c>
      <c r="C33" s="1359">
        <v>0</v>
      </c>
      <c r="D33" s="1360">
        <v>0</v>
      </c>
      <c r="E33" s="1360">
        <v>0</v>
      </c>
      <c r="F33" s="1195">
        <v>0</v>
      </c>
      <c r="G33" s="1359">
        <v>0</v>
      </c>
      <c r="H33" s="1037">
        <v>0</v>
      </c>
      <c r="I33" s="1360">
        <v>0</v>
      </c>
      <c r="J33" s="1206">
        <v>0</v>
      </c>
      <c r="K33" s="1159">
        <v>0</v>
      </c>
      <c r="L33" s="1159">
        <v>0</v>
      </c>
      <c r="M33" s="1206">
        <v>0</v>
      </c>
      <c r="N33" s="1159">
        <v>0</v>
      </c>
      <c r="O33" s="1192">
        <v>0</v>
      </c>
      <c r="P33" s="958"/>
      <c r="Q33" s="958"/>
      <c r="R33" s="1361">
        <f t="shared" si="0"/>
        <v>0</v>
      </c>
      <c r="S33" s="1022">
        <f t="shared" si="1"/>
        <v>0</v>
      </c>
    </row>
    <row r="34" spans="1:19" x14ac:dyDescent="0.2">
      <c r="A34" s="1080" t="s">
        <v>53</v>
      </c>
      <c r="B34" s="120">
        <v>-0.16901652964299002</v>
      </c>
      <c r="C34" s="1359">
        <v>0</v>
      </c>
      <c r="D34" s="1360">
        <v>1.6120432027578E-3</v>
      </c>
      <c r="E34" s="1360">
        <v>-0.17062857284575</v>
      </c>
      <c r="F34" s="1195">
        <v>1.6988455290602E-2</v>
      </c>
      <c r="G34" s="1359">
        <v>4.5509219647086999E-2</v>
      </c>
      <c r="H34" s="1037">
        <v>1.4880398794687999E-3</v>
      </c>
      <c r="I34" s="1360">
        <v>-3.0008804235953999E-2</v>
      </c>
      <c r="J34" s="1206">
        <v>1.9864926220204</v>
      </c>
      <c r="K34" s="1159">
        <v>2.0716231555051001</v>
      </c>
      <c r="L34" s="1159">
        <v>-8.5130533484677001E-2</v>
      </c>
      <c r="M34" s="1206">
        <v>1.9558456299658999</v>
      </c>
      <c r="N34" s="1159">
        <v>1.8904653802497</v>
      </c>
      <c r="O34" s="1192">
        <v>6.5380249716232006E-2</v>
      </c>
      <c r="P34" s="958"/>
      <c r="Q34" s="958"/>
      <c r="R34" s="1361">
        <f t="shared" si="0"/>
        <v>2.1926904736346842E-15</v>
      </c>
      <c r="S34" s="1022">
        <f t="shared" si="1"/>
        <v>2.0122792321330962E-16</v>
      </c>
    </row>
    <row r="35" spans="1:19" x14ac:dyDescent="0.2">
      <c r="A35" s="1154" t="s">
        <v>54</v>
      </c>
      <c r="B35" s="120">
        <f>C35+D35+E35</f>
        <v>5.6147842750038035E-2</v>
      </c>
      <c r="C35" s="1359">
        <f>K35*C$32/K$32</f>
        <v>3.9406895139223144E-2</v>
      </c>
      <c r="D35" s="1360">
        <f>L35*D$32/L$32</f>
        <v>0</v>
      </c>
      <c r="E35" s="1360">
        <f>K35*E$32/K$32</f>
        <v>1.6740947610814887E-2</v>
      </c>
      <c r="F35" s="120">
        <f>G35+H35+I35</f>
        <v>5.4260515911874974E-2</v>
      </c>
      <c r="G35" s="1359">
        <f>N35*G$32/N$32</f>
        <v>5.4510500524457703E-2</v>
      </c>
      <c r="H35" s="1037">
        <f>O35*H$32/O$32</f>
        <v>0</v>
      </c>
      <c r="I35" s="1360">
        <f>N35*I$32/N$32</f>
        <v>-2.499846125827305E-4</v>
      </c>
      <c r="J35" s="1206">
        <v>1.3078362513136998</v>
      </c>
      <c r="K35" s="1159">
        <f>J35</f>
        <v>1.3078362513136998</v>
      </c>
      <c r="L35" s="1159">
        <f>J35-K35</f>
        <v>0</v>
      </c>
      <c r="M35" s="1206">
        <v>1.3078362513136998</v>
      </c>
      <c r="N35" s="1159">
        <f>M35</f>
        <v>1.3078362513136998</v>
      </c>
      <c r="O35" s="1192">
        <f>M35-N35</f>
        <v>0</v>
      </c>
      <c r="P35" s="958"/>
      <c r="Q35" s="958"/>
      <c r="R35" s="1361">
        <f t="shared" si="0"/>
        <v>0</v>
      </c>
      <c r="S35" s="1022">
        <f t="shared" si="1"/>
        <v>1.1926223897340549E-18</v>
      </c>
    </row>
    <row r="36" spans="1:19" x14ac:dyDescent="0.2">
      <c r="A36" s="1154" t="s">
        <v>55</v>
      </c>
      <c r="B36" s="120">
        <f>C36+D36+E36</f>
        <v>0.57893741651283814</v>
      </c>
      <c r="C36" s="1359">
        <f>K36*C$32/K$32</f>
        <v>0.43584687303486425</v>
      </c>
      <c r="D36" s="1360">
        <f>L36*D$32/L$32</f>
        <v>-4.2067146363763491E-2</v>
      </c>
      <c r="E36" s="1360">
        <f>K36*E$32/K$32</f>
        <v>0.18515768984173744</v>
      </c>
      <c r="F36" s="120">
        <f>G36+H36+I36</f>
        <v>0.37215674085598122</v>
      </c>
      <c r="G36" s="1359">
        <f>N36*G$32/N$32</f>
        <v>0.34024603588003816</v>
      </c>
      <c r="H36" s="1037">
        <f>O36*H$32/O$32</f>
        <v>3.3471069908276058E-2</v>
      </c>
      <c r="I36" s="1360">
        <f>N36*I$32/N$32</f>
        <v>-1.5603649323329589E-3</v>
      </c>
      <c r="J36" s="1206">
        <v>13.48502994012</v>
      </c>
      <c r="K36" s="1159">
        <v>14.464888405007999</v>
      </c>
      <c r="L36" s="1159">
        <v>-0.97985846488841</v>
      </c>
      <c r="M36" s="1206">
        <v>8.9700598802395</v>
      </c>
      <c r="N36" s="1159">
        <v>8.1633097441481013</v>
      </c>
      <c r="O36" s="1192">
        <v>0.80675013609145008</v>
      </c>
      <c r="P36" s="958"/>
      <c r="Q36" s="958"/>
      <c r="R36" s="1361">
        <f t="shared" si="0"/>
        <v>0</v>
      </c>
      <c r="S36" s="1022">
        <f t="shared" si="1"/>
        <v>-3.8163916471489756E-17</v>
      </c>
    </row>
    <row r="37" spans="1:19" x14ac:dyDescent="0.2">
      <c r="A37" s="1154" t="s">
        <v>336</v>
      </c>
      <c r="B37" s="120">
        <v>0</v>
      </c>
      <c r="C37" s="1359">
        <v>0</v>
      </c>
      <c r="D37" s="1360">
        <v>0</v>
      </c>
      <c r="E37" s="1360">
        <v>0</v>
      </c>
      <c r="F37" s="1195">
        <v>0</v>
      </c>
      <c r="G37" s="1359">
        <v>0</v>
      </c>
      <c r="H37" s="1037">
        <v>0</v>
      </c>
      <c r="I37" s="1360">
        <v>0</v>
      </c>
      <c r="J37" s="1206">
        <v>0</v>
      </c>
      <c r="K37" s="1159">
        <v>0</v>
      </c>
      <c r="L37" s="1159">
        <v>0</v>
      </c>
      <c r="M37" s="1206">
        <v>0</v>
      </c>
      <c r="N37" s="1159">
        <v>0</v>
      </c>
      <c r="O37" s="1192">
        <v>0</v>
      </c>
      <c r="P37" s="958"/>
      <c r="Q37" s="958"/>
      <c r="R37" s="1361">
        <f t="shared" si="0"/>
        <v>0</v>
      </c>
      <c r="S37" s="1022">
        <f t="shared" si="1"/>
        <v>0</v>
      </c>
    </row>
    <row r="38" spans="1:19" x14ac:dyDescent="0.2">
      <c r="A38" s="1080" t="s">
        <v>57</v>
      </c>
      <c r="B38" s="120">
        <v>0</v>
      </c>
      <c r="C38" s="1359">
        <v>0</v>
      </c>
      <c r="D38" s="1360">
        <v>0</v>
      </c>
      <c r="E38" s="1360">
        <v>0</v>
      </c>
      <c r="F38" s="1195">
        <v>0</v>
      </c>
      <c r="G38" s="1359">
        <v>0</v>
      </c>
      <c r="H38" s="1037">
        <v>0</v>
      </c>
      <c r="I38" s="1360">
        <v>0</v>
      </c>
      <c r="J38" s="1206">
        <v>0</v>
      </c>
      <c r="K38" s="1159">
        <v>0</v>
      </c>
      <c r="L38" s="1159">
        <v>0</v>
      </c>
      <c r="M38" s="1206">
        <v>0</v>
      </c>
      <c r="N38" s="1159">
        <v>0</v>
      </c>
      <c r="O38" s="1192">
        <v>0</v>
      </c>
      <c r="P38" s="958"/>
      <c r="Q38" s="958"/>
      <c r="R38" s="1361">
        <f t="shared" si="0"/>
        <v>0</v>
      </c>
      <c r="S38" s="1022">
        <f t="shared" si="1"/>
        <v>0</v>
      </c>
    </row>
    <row r="39" spans="1:19" x14ac:dyDescent="0.2">
      <c r="A39" s="1154" t="s">
        <v>58</v>
      </c>
      <c r="B39" s="120">
        <f>C39+D39+E39</f>
        <v>1.1829748970227549</v>
      </c>
      <c r="C39" s="1359">
        <f>K39*C$32/K$32</f>
        <v>0.8302610650037382</v>
      </c>
      <c r="D39" s="1360">
        <f>L39*D$32/L$32</f>
        <v>0</v>
      </c>
      <c r="E39" s="1360">
        <f>K39*E$32/K$32</f>
        <v>0.35271383201901663</v>
      </c>
      <c r="F39" s="120">
        <f>G39+H39+I39</f>
        <v>1.0892326312660479</v>
      </c>
      <c r="G39" s="1359">
        <f>N39*G$32/N$32</f>
        <v>1.0942508547894243</v>
      </c>
      <c r="H39" s="1037">
        <f>O39*H$32/O$32</f>
        <v>0</v>
      </c>
      <c r="I39" s="1360">
        <f>N39*I$32/N$32</f>
        <v>-5.018223523376413E-3</v>
      </c>
      <c r="J39" s="1206">
        <v>27.554708764290002</v>
      </c>
      <c r="K39" s="1159">
        <f>J39</f>
        <v>27.554708764290002</v>
      </c>
      <c r="L39" s="1159">
        <f>J39-K39</f>
        <v>0</v>
      </c>
      <c r="M39" s="1206">
        <v>26.253674469243002</v>
      </c>
      <c r="N39" s="1159">
        <f>M39</f>
        <v>26.253674469243002</v>
      </c>
      <c r="O39" s="1192">
        <f>M39-N39</f>
        <v>0</v>
      </c>
      <c r="P39" s="958"/>
      <c r="Q39" s="958"/>
      <c r="R39" s="1361">
        <f t="shared" si="0"/>
        <v>0</v>
      </c>
      <c r="S39" s="1022">
        <f t="shared" si="1"/>
        <v>-2.8622937353617317E-17</v>
      </c>
    </row>
    <row r="40" spans="1:19" x14ac:dyDescent="0.2">
      <c r="A40" s="1154" t="s">
        <v>59</v>
      </c>
      <c r="B40" s="120">
        <f>C40+D40+E40</f>
        <v>0.60302698267599419</v>
      </c>
      <c r="C40" s="1359">
        <f>K40*C$32/K$32</f>
        <v>0.52368637122273709</v>
      </c>
      <c r="D40" s="1360">
        <v>-6.9993949675537001E-2</v>
      </c>
      <c r="E40" s="1046">
        <f>M40*E$32/M$32</f>
        <v>0.14933456112879412</v>
      </c>
      <c r="F40" s="1195">
        <v>0.27238323466955</v>
      </c>
      <c r="G40" s="1359">
        <v>0.27226460085654003</v>
      </c>
      <c r="H40" s="1037">
        <v>1.1863381300938001E-4</v>
      </c>
      <c r="I40" s="1360">
        <v>0</v>
      </c>
      <c r="J40" s="1206">
        <v>21.932873661263997</v>
      </c>
      <c r="K40" s="1159">
        <v>17.380106151075999</v>
      </c>
      <c r="L40" s="1159">
        <v>4.5527675101886</v>
      </c>
      <c r="M40" s="1206">
        <v>16.891763813857001</v>
      </c>
      <c r="N40" s="1159">
        <v>16.891763813857001</v>
      </c>
      <c r="O40" s="1192">
        <v>0</v>
      </c>
      <c r="P40" s="958"/>
      <c r="Q40" s="958"/>
      <c r="R40" s="1361">
        <f t="shared" si="0"/>
        <v>0</v>
      </c>
      <c r="S40" s="1022">
        <f t="shared" si="1"/>
        <v>5.9177109826974439E-16</v>
      </c>
    </row>
    <row r="41" spans="1:19" x14ac:dyDescent="0.2">
      <c r="A41" s="1154" t="s">
        <v>60</v>
      </c>
      <c r="B41" s="120">
        <v>6.7404546679830002</v>
      </c>
      <c r="C41" s="1359">
        <v>5.3009216980151992</v>
      </c>
      <c r="D41" s="1360">
        <v>8.5626090616232012E-2</v>
      </c>
      <c r="E41" s="1360">
        <v>1.3539068793516</v>
      </c>
      <c r="F41" s="1195">
        <v>3.8068766249713999</v>
      </c>
      <c r="G41" s="1359">
        <v>7.9134737898783998</v>
      </c>
      <c r="H41" s="1037">
        <v>0.14328691676191999</v>
      </c>
      <c r="I41" s="1360">
        <v>-4.2498840816688999</v>
      </c>
      <c r="J41" s="1206">
        <v>123.17453508013</v>
      </c>
      <c r="K41" s="1159">
        <v>102.6349993549</v>
      </c>
      <c r="L41" s="1159">
        <v>20.539535725229001</v>
      </c>
      <c r="M41" s="1206">
        <v>97.795929790838002</v>
      </c>
      <c r="N41" s="1159">
        <v>98.272404363965009</v>
      </c>
      <c r="O41" s="1192">
        <v>-0.47647457312771002</v>
      </c>
      <c r="P41" s="958"/>
      <c r="Q41" s="958"/>
      <c r="R41" s="1361">
        <f t="shared" si="0"/>
        <v>-3.1086244689504383E-14</v>
      </c>
      <c r="S41" s="1022">
        <f t="shared" si="1"/>
        <v>-2.042810365310288E-14</v>
      </c>
    </row>
    <row r="42" spans="1:19" x14ac:dyDescent="0.2">
      <c r="A42" s="1154" t="s">
        <v>61</v>
      </c>
      <c r="B42" s="120">
        <v>0</v>
      </c>
      <c r="C42" s="1359">
        <v>0</v>
      </c>
      <c r="D42" s="1360">
        <v>0</v>
      </c>
      <c r="E42" s="1360">
        <v>0</v>
      </c>
      <c r="F42" s="1195">
        <v>0</v>
      </c>
      <c r="G42" s="1359">
        <v>0</v>
      </c>
      <c r="H42" s="1037">
        <v>0</v>
      </c>
      <c r="I42" s="1360">
        <v>0</v>
      </c>
      <c r="J42" s="1206">
        <v>0</v>
      </c>
      <c r="K42" s="1159">
        <v>0</v>
      </c>
      <c r="L42" s="1159">
        <v>0</v>
      </c>
      <c r="M42" s="1206">
        <v>0</v>
      </c>
      <c r="N42" s="1159">
        <v>0</v>
      </c>
      <c r="O42" s="1192">
        <v>0</v>
      </c>
      <c r="P42" s="958"/>
      <c r="Q42" s="958"/>
      <c r="R42" s="1361">
        <f t="shared" si="0"/>
        <v>0</v>
      </c>
      <c r="S42" s="1022">
        <f t="shared" si="1"/>
        <v>0</v>
      </c>
    </row>
    <row r="43" spans="1:19" x14ac:dyDescent="0.2">
      <c r="A43" s="1154" t="s">
        <v>62</v>
      </c>
      <c r="B43" s="120"/>
      <c r="C43" s="1359"/>
      <c r="D43" s="1360"/>
      <c r="E43" s="1360"/>
      <c r="F43" s="1195"/>
      <c r="G43" s="1359"/>
      <c r="H43" s="1037"/>
      <c r="I43" s="1360"/>
      <c r="J43" s="1206"/>
      <c r="K43" s="1159"/>
      <c r="L43" s="1159"/>
      <c r="M43" s="1206"/>
      <c r="N43" s="1159"/>
      <c r="O43" s="1192"/>
      <c r="P43" s="958"/>
      <c r="Q43" s="958"/>
      <c r="R43" s="1361">
        <f t="shared" si="0"/>
        <v>0</v>
      </c>
      <c r="S43" s="1022">
        <f t="shared" si="1"/>
        <v>0</v>
      </c>
    </row>
    <row r="44" spans="1:19" ht="17" thickBot="1" x14ac:dyDescent="0.25">
      <c r="A44" s="1245" t="s">
        <v>63</v>
      </c>
      <c r="B44" s="417">
        <v>0</v>
      </c>
      <c r="C44" s="1198">
        <v>0</v>
      </c>
      <c r="D44" s="1367">
        <v>0</v>
      </c>
      <c r="E44" s="1367">
        <v>0</v>
      </c>
      <c r="F44" s="18">
        <v>0</v>
      </c>
      <c r="G44" s="1198">
        <v>0</v>
      </c>
      <c r="H44" s="1197">
        <v>0</v>
      </c>
      <c r="I44" s="1367">
        <v>0</v>
      </c>
      <c r="J44" s="280">
        <v>0</v>
      </c>
      <c r="K44" s="1247">
        <v>0</v>
      </c>
      <c r="L44" s="1247">
        <v>0</v>
      </c>
      <c r="M44" s="280">
        <v>0</v>
      </c>
      <c r="N44" s="1247">
        <v>0</v>
      </c>
      <c r="O44" s="1248">
        <v>0</v>
      </c>
      <c r="P44" s="958"/>
      <c r="Q44" s="958"/>
      <c r="R44" s="1361">
        <f t="shared" si="0"/>
        <v>0</v>
      </c>
      <c r="S44" s="1022">
        <f t="shared" si="1"/>
        <v>0</v>
      </c>
    </row>
    <row r="45" spans="1:19" ht="51" hidden="1" x14ac:dyDescent="0.2">
      <c r="A45" s="112" t="s">
        <v>64</v>
      </c>
      <c r="B45" s="121"/>
      <c r="C45" s="12"/>
      <c r="D45" s="1037"/>
      <c r="E45" s="1368"/>
      <c r="F45" s="1195"/>
      <c r="G45" s="1359"/>
      <c r="H45" s="1037"/>
      <c r="I45" s="1360"/>
      <c r="J45" s="1206"/>
      <c r="K45" s="1031"/>
      <c r="L45" s="1031"/>
      <c r="M45" s="1369"/>
      <c r="N45" s="1031"/>
      <c r="O45" s="1079"/>
      <c r="P45" s="958"/>
      <c r="Q45" s="958"/>
      <c r="R45" s="1361">
        <f t="shared" si="0"/>
        <v>0</v>
      </c>
      <c r="S45" s="1022">
        <f t="shared" si="1"/>
        <v>0</v>
      </c>
    </row>
    <row r="46" spans="1:19" hidden="1" x14ac:dyDescent="0.2">
      <c r="A46" s="1155" t="s">
        <v>65</v>
      </c>
      <c r="B46" s="121"/>
      <c r="C46" s="12"/>
      <c r="D46" s="1037"/>
      <c r="E46" s="1360"/>
      <c r="F46" s="1195"/>
      <c r="G46" s="1359"/>
      <c r="H46" s="1037"/>
      <c r="I46" s="1360"/>
      <c r="J46" s="1206"/>
      <c r="K46" s="1159"/>
      <c r="L46" s="1159"/>
      <c r="M46" s="1369"/>
      <c r="N46" s="1031"/>
      <c r="O46" s="1079"/>
      <c r="P46" s="958"/>
      <c r="Q46" s="958"/>
      <c r="R46" s="1361">
        <f t="shared" si="0"/>
        <v>0</v>
      </c>
      <c r="S46" s="1022">
        <f t="shared" si="1"/>
        <v>0</v>
      </c>
    </row>
    <row r="47" spans="1:19" hidden="1" x14ac:dyDescent="0.2">
      <c r="A47" s="113" t="s">
        <v>66</v>
      </c>
      <c r="B47" s="121"/>
      <c r="C47" s="12"/>
      <c r="D47" s="1037"/>
      <c r="E47" s="1368"/>
      <c r="F47" s="1195"/>
      <c r="G47" s="1359"/>
      <c r="H47" s="1037"/>
      <c r="I47" s="1360"/>
      <c r="J47" s="1206"/>
      <c r="K47" s="1159"/>
      <c r="L47" s="1159"/>
      <c r="M47" s="1369"/>
      <c r="N47" s="1031"/>
      <c r="O47" s="1079"/>
      <c r="P47" s="958"/>
      <c r="Q47" s="958"/>
      <c r="R47" s="1361">
        <f t="shared" si="0"/>
        <v>0</v>
      </c>
      <c r="S47" s="1022">
        <f t="shared" si="1"/>
        <v>0</v>
      </c>
    </row>
    <row r="48" spans="1:19" hidden="1" x14ac:dyDescent="0.2">
      <c r="A48" s="113" t="s">
        <v>67</v>
      </c>
      <c r="B48" s="121"/>
      <c r="C48" s="12"/>
      <c r="D48" s="1037"/>
      <c r="E48" s="1368"/>
      <c r="F48" s="1195"/>
      <c r="G48" s="1359"/>
      <c r="H48" s="1037"/>
      <c r="I48" s="1360"/>
      <c r="J48" s="1206"/>
      <c r="K48" s="1159"/>
      <c r="L48" s="1159"/>
      <c r="M48" s="1369"/>
      <c r="N48" s="1031"/>
      <c r="O48" s="1079"/>
      <c r="P48" s="958"/>
      <c r="Q48" s="958"/>
      <c r="R48" s="1361"/>
      <c r="S48" s="1022"/>
    </row>
    <row r="49" spans="1:19" hidden="1" x14ac:dyDescent="0.2">
      <c r="A49" s="113" t="s">
        <v>68</v>
      </c>
      <c r="B49" s="121"/>
      <c r="C49" s="12"/>
      <c r="D49" s="1037"/>
      <c r="E49" s="1368"/>
      <c r="F49" s="1195"/>
      <c r="G49" s="1359"/>
      <c r="H49" s="1037"/>
      <c r="I49" s="1360"/>
      <c r="J49" s="1206"/>
      <c r="K49" s="1159"/>
      <c r="L49" s="1159"/>
      <c r="M49" s="1369"/>
      <c r="N49" s="1031"/>
      <c r="O49" s="1079"/>
      <c r="P49" s="958"/>
      <c r="Q49" s="958"/>
      <c r="R49" s="1361"/>
      <c r="S49" s="1022"/>
    </row>
    <row r="50" spans="1:19" hidden="1" x14ac:dyDescent="0.2">
      <c r="A50" s="113" t="s">
        <v>69</v>
      </c>
      <c r="B50" s="121"/>
      <c r="C50" s="12"/>
      <c r="D50" s="1037"/>
      <c r="E50" s="1368"/>
      <c r="F50" s="1195"/>
      <c r="G50" s="1359"/>
      <c r="H50" s="1037"/>
      <c r="I50" s="1360"/>
      <c r="J50" s="1206"/>
      <c r="K50" s="1159"/>
      <c r="L50" s="1159"/>
      <c r="M50" s="1369"/>
      <c r="N50" s="1031"/>
      <c r="O50" s="1079"/>
      <c r="P50" s="958"/>
      <c r="Q50" s="958"/>
      <c r="R50" s="1361"/>
      <c r="S50" s="1022"/>
    </row>
    <row r="51" spans="1:19" hidden="1" x14ac:dyDescent="0.2">
      <c r="A51" s="113" t="s">
        <v>70</v>
      </c>
      <c r="B51" s="121"/>
      <c r="C51" s="12"/>
      <c r="D51" s="1037"/>
      <c r="E51" s="1368"/>
      <c r="F51" s="1195"/>
      <c r="G51" s="1359"/>
      <c r="H51" s="1037"/>
      <c r="I51" s="1360"/>
      <c r="J51" s="1206"/>
      <c r="K51" s="1159"/>
      <c r="L51" s="1159"/>
      <c r="M51" s="1369"/>
      <c r="N51" s="1031"/>
      <c r="O51" s="1079"/>
      <c r="P51" s="958"/>
      <c r="Q51" s="958"/>
      <c r="R51" s="1361"/>
      <c r="S51" s="1022"/>
    </row>
    <row r="52" spans="1:19" hidden="1" x14ac:dyDescent="0.2">
      <c r="A52" s="113" t="s">
        <v>71</v>
      </c>
      <c r="B52" s="121"/>
      <c r="C52" s="12"/>
      <c r="D52" s="1037"/>
      <c r="E52" s="1368"/>
      <c r="F52" s="1195"/>
      <c r="G52" s="1359"/>
      <c r="H52" s="1037"/>
      <c r="I52" s="1360"/>
      <c r="J52" s="1206"/>
      <c r="K52" s="1159"/>
      <c r="L52" s="1159"/>
      <c r="M52" s="1369"/>
      <c r="N52" s="1031"/>
      <c r="O52" s="1079"/>
      <c r="P52" s="958"/>
      <c r="Q52" s="958"/>
      <c r="R52" s="1361"/>
      <c r="S52" s="1022"/>
    </row>
    <row r="53" spans="1:19" ht="34" hidden="1" x14ac:dyDescent="0.2">
      <c r="A53" s="112" t="s">
        <v>72</v>
      </c>
      <c r="B53" s="121"/>
      <c r="C53" s="12"/>
      <c r="D53" s="1037"/>
      <c r="E53" s="1368"/>
      <c r="F53" s="1195"/>
      <c r="G53" s="1359"/>
      <c r="H53" s="1037"/>
      <c r="I53" s="1360"/>
      <c r="J53" s="1206"/>
      <c r="K53" s="1159"/>
      <c r="L53" s="1159"/>
      <c r="M53" s="1369"/>
      <c r="N53" s="1031"/>
      <c r="O53" s="1079"/>
      <c r="P53" s="958"/>
      <c r="Q53" s="958"/>
      <c r="R53" s="1361"/>
      <c r="S53" s="1022"/>
    </row>
    <row r="54" spans="1:19" hidden="1" x14ac:dyDescent="0.2">
      <c r="A54" s="113" t="s">
        <v>73</v>
      </c>
      <c r="B54" s="121"/>
      <c r="C54" s="12"/>
      <c r="D54" s="1037"/>
      <c r="E54" s="1368"/>
      <c r="F54" s="1195"/>
      <c r="G54" s="1359"/>
      <c r="H54" s="1037"/>
      <c r="I54" s="1360"/>
      <c r="J54" s="1206"/>
      <c r="K54" s="1159"/>
      <c r="L54" s="1159"/>
      <c r="M54" s="1369"/>
      <c r="N54" s="1031"/>
      <c r="O54" s="1079"/>
      <c r="P54" s="958"/>
      <c r="Q54" s="958"/>
      <c r="R54" s="1361"/>
      <c r="S54" s="1022"/>
    </row>
    <row r="55" spans="1:19" hidden="1" x14ac:dyDescent="0.2">
      <c r="A55" s="113" t="s">
        <v>74</v>
      </c>
      <c r="B55" s="121"/>
      <c r="C55" s="12"/>
      <c r="D55" s="1037"/>
      <c r="E55" s="1368"/>
      <c r="F55" s="1195"/>
      <c r="G55" s="1359"/>
      <c r="H55" s="1037"/>
      <c r="I55" s="1360"/>
      <c r="J55" s="1206"/>
      <c r="K55" s="1159"/>
      <c r="L55" s="1159"/>
      <c r="M55" s="1369"/>
      <c r="N55" s="1031"/>
      <c r="O55" s="1079"/>
      <c r="P55" s="958"/>
      <c r="Q55" s="958"/>
      <c r="R55" s="1361"/>
      <c r="S55" s="1022"/>
    </row>
    <row r="56" spans="1:19" hidden="1" x14ac:dyDescent="0.2">
      <c r="A56" s="1154" t="str">
        <f>+TableA1!A56</f>
        <v>Antigua and Barbuda</v>
      </c>
      <c r="B56" s="121"/>
      <c r="C56" s="12"/>
      <c r="D56" s="1037"/>
      <c r="E56" s="1368"/>
      <c r="F56" s="1195"/>
      <c r="G56" s="1359"/>
      <c r="H56" s="1037"/>
      <c r="I56" s="1360"/>
      <c r="J56" s="1206"/>
      <c r="K56" s="1159"/>
      <c r="L56" s="1159"/>
      <c r="M56" s="1369"/>
      <c r="N56" s="1031"/>
      <c r="O56" s="1079"/>
      <c r="P56" s="958"/>
      <c r="Q56" s="958"/>
      <c r="R56" s="1361"/>
      <c r="S56" s="1022"/>
    </row>
    <row r="57" spans="1:19" hidden="1" x14ac:dyDescent="0.2">
      <c r="A57" s="113" t="s">
        <v>76</v>
      </c>
      <c r="B57" s="121"/>
      <c r="C57" s="12"/>
      <c r="D57" s="1037"/>
      <c r="E57" s="1368"/>
      <c r="F57" s="1195"/>
      <c r="G57" s="1359"/>
      <c r="H57" s="1037"/>
      <c r="I57" s="1360"/>
      <c r="J57" s="1206"/>
      <c r="K57" s="1159"/>
      <c r="L57" s="1159"/>
      <c r="M57" s="1369"/>
      <c r="N57" s="1031"/>
      <c r="O57" s="1079"/>
      <c r="P57" s="958"/>
      <c r="Q57" s="958"/>
      <c r="R57" s="1361"/>
      <c r="S57" s="1022"/>
    </row>
    <row r="58" spans="1:19" hidden="1" x14ac:dyDescent="0.2">
      <c r="A58" s="113" t="s">
        <v>152</v>
      </c>
      <c r="B58" s="121"/>
      <c r="C58" s="12"/>
      <c r="D58" s="1037"/>
      <c r="E58" s="1368"/>
      <c r="F58" s="1195"/>
      <c r="G58" s="1359"/>
      <c r="H58" s="1037"/>
      <c r="I58" s="1360"/>
      <c r="J58" s="1206"/>
      <c r="K58" s="1159"/>
      <c r="L58" s="1159"/>
      <c r="M58" s="1369"/>
      <c r="N58" s="1031"/>
      <c r="O58" s="1079"/>
      <c r="P58" s="958"/>
      <c r="Q58" s="958"/>
      <c r="R58" s="1361"/>
      <c r="S58" s="1022"/>
    </row>
    <row r="59" spans="1:19" hidden="1" x14ac:dyDescent="0.2">
      <c r="A59" s="113" t="s">
        <v>78</v>
      </c>
      <c r="B59" s="121"/>
      <c r="C59" s="12"/>
      <c r="D59" s="1037"/>
      <c r="E59" s="1368"/>
      <c r="F59" s="1195"/>
      <c r="G59" s="1359"/>
      <c r="H59" s="1037"/>
      <c r="I59" s="1360"/>
      <c r="J59" s="1206"/>
      <c r="K59" s="1159"/>
      <c r="L59" s="1159"/>
      <c r="M59" s="1369"/>
      <c r="N59" s="1031"/>
      <c r="O59" s="1079"/>
      <c r="P59" s="958"/>
      <c r="Q59" s="958"/>
      <c r="R59" s="1361"/>
      <c r="S59" s="1022"/>
    </row>
    <row r="60" spans="1:19" hidden="1" x14ac:dyDescent="0.2">
      <c r="A60" s="1154" t="str">
        <f>+TableA1!A60</f>
        <v>Barbados</v>
      </c>
      <c r="B60" s="121"/>
      <c r="C60" s="12"/>
      <c r="D60" s="1037"/>
      <c r="E60" s="1368"/>
      <c r="F60" s="1195"/>
      <c r="G60" s="1359"/>
      <c r="H60" s="1037"/>
      <c r="I60" s="1360"/>
      <c r="J60" s="1206"/>
      <c r="K60" s="1159"/>
      <c r="L60" s="1159"/>
      <c r="M60" s="1369"/>
      <c r="N60" s="1031"/>
      <c r="O60" s="1079"/>
      <c r="P60" s="958"/>
      <c r="Q60" s="958"/>
      <c r="R60" s="1361"/>
      <c r="S60" s="1022"/>
    </row>
    <row r="61" spans="1:19" hidden="1" x14ac:dyDescent="0.2">
      <c r="A61" s="113" t="s">
        <v>80</v>
      </c>
      <c r="B61" s="121"/>
      <c r="C61" s="12"/>
      <c r="D61" s="1037"/>
      <c r="E61" s="1368"/>
      <c r="F61" s="1195"/>
      <c r="G61" s="1359"/>
      <c r="H61" s="1037"/>
      <c r="I61" s="1360"/>
      <c r="J61" s="1206"/>
      <c r="K61" s="1159"/>
      <c r="L61" s="1159"/>
      <c r="M61" s="1369"/>
      <c r="N61" s="1031"/>
      <c r="O61" s="1079"/>
      <c r="P61" s="958"/>
      <c r="Q61" s="958"/>
      <c r="R61" s="1361"/>
      <c r="S61" s="1022"/>
    </row>
    <row r="62" spans="1:19" hidden="1" x14ac:dyDescent="0.2">
      <c r="A62" s="113" t="s">
        <v>81</v>
      </c>
      <c r="B62" s="121"/>
      <c r="C62" s="12"/>
      <c r="D62" s="1037"/>
      <c r="E62" s="1368"/>
      <c r="F62" s="1195"/>
      <c r="G62" s="1359"/>
      <c r="H62" s="1037"/>
      <c r="I62" s="1360"/>
      <c r="J62" s="1206"/>
      <c r="K62" s="1159"/>
      <c r="L62" s="1159"/>
      <c r="M62" s="1369"/>
      <c r="N62" s="1031"/>
      <c r="O62" s="1079"/>
      <c r="P62" s="958"/>
      <c r="Q62" s="958"/>
      <c r="R62" s="1361"/>
      <c r="S62" s="1022"/>
    </row>
    <row r="63" spans="1:19" hidden="1" x14ac:dyDescent="0.2">
      <c r="A63" s="113" t="s">
        <v>82</v>
      </c>
      <c r="B63" s="121"/>
      <c r="C63" s="12"/>
      <c r="D63" s="1037"/>
      <c r="E63" s="1368"/>
      <c r="F63" s="1195"/>
      <c r="G63" s="1359"/>
      <c r="H63" s="1037"/>
      <c r="I63" s="1360"/>
      <c r="J63" s="1206"/>
      <c r="K63" s="1159"/>
      <c r="L63" s="1159"/>
      <c r="M63" s="1369"/>
      <c r="N63" s="1031"/>
      <c r="O63" s="1079"/>
      <c r="P63" s="958"/>
      <c r="Q63" s="958"/>
      <c r="R63" s="1361"/>
      <c r="S63" s="1022"/>
    </row>
    <row r="64" spans="1:19" hidden="1" x14ac:dyDescent="0.2">
      <c r="A64" s="113" t="s">
        <v>153</v>
      </c>
      <c r="B64" s="121"/>
      <c r="C64" s="12"/>
      <c r="D64" s="1037"/>
      <c r="E64" s="1368"/>
      <c r="F64" s="1195"/>
      <c r="G64" s="1359"/>
      <c r="H64" s="1037"/>
      <c r="I64" s="1360"/>
      <c r="J64" s="1206"/>
      <c r="K64" s="1159"/>
      <c r="L64" s="1159"/>
      <c r="M64" s="1369"/>
      <c r="N64" s="1031"/>
      <c r="O64" s="1079"/>
      <c r="P64" s="958"/>
      <c r="Q64" s="958"/>
      <c r="R64" s="1361"/>
      <c r="S64" s="1022"/>
    </row>
    <row r="65" spans="1:19" hidden="1" x14ac:dyDescent="0.2">
      <c r="A65" s="113" t="s">
        <v>84</v>
      </c>
      <c r="B65" s="121"/>
      <c r="C65" s="12"/>
      <c r="D65" s="1037"/>
      <c r="E65" s="1368"/>
      <c r="F65" s="1195"/>
      <c r="G65" s="1359"/>
      <c r="H65" s="1037"/>
      <c r="I65" s="1360"/>
      <c r="J65" s="1206"/>
      <c r="K65" s="1159"/>
      <c r="L65" s="1159"/>
      <c r="M65" s="1369"/>
      <c r="N65" s="1031"/>
      <c r="O65" s="1079"/>
      <c r="P65" s="958"/>
      <c r="Q65" s="958"/>
      <c r="R65" s="1361"/>
      <c r="S65" s="1022"/>
    </row>
    <row r="66" spans="1:19" hidden="1" x14ac:dyDescent="0.2">
      <c r="A66" s="113" t="s">
        <v>85</v>
      </c>
      <c r="B66" s="121"/>
      <c r="C66" s="12"/>
      <c r="D66" s="1037"/>
      <c r="E66" s="1368"/>
      <c r="F66" s="1195"/>
      <c r="G66" s="1359"/>
      <c r="H66" s="1037"/>
      <c r="I66" s="1360"/>
      <c r="J66" s="1206"/>
      <c r="K66" s="1159"/>
      <c r="L66" s="1159"/>
      <c r="M66" s="1369"/>
      <c r="N66" s="1031"/>
      <c r="O66" s="1079"/>
      <c r="P66" s="958"/>
      <c r="Q66" s="958"/>
      <c r="R66" s="1361"/>
      <c r="S66" s="1022"/>
    </row>
    <row r="67" spans="1:19" hidden="1" x14ac:dyDescent="0.2">
      <c r="A67" s="1154" t="str">
        <f>+TableA1!A67</f>
        <v>Cyprus</v>
      </c>
      <c r="B67" s="121"/>
      <c r="C67" s="12"/>
      <c r="D67" s="1037"/>
      <c r="E67" s="1368"/>
      <c r="F67" s="1195"/>
      <c r="G67" s="1359"/>
      <c r="H67" s="1037"/>
      <c r="I67" s="1360"/>
      <c r="J67" s="1206"/>
      <c r="K67" s="1159"/>
      <c r="L67" s="1159"/>
      <c r="M67" s="1369"/>
      <c r="N67" s="1031"/>
      <c r="O67" s="1079"/>
      <c r="P67" s="958"/>
      <c r="Q67" s="958"/>
      <c r="R67" s="1361"/>
      <c r="S67" s="1022"/>
    </row>
    <row r="68" spans="1:19" hidden="1" x14ac:dyDescent="0.2">
      <c r="A68" s="113" t="s">
        <v>87</v>
      </c>
      <c r="B68" s="121"/>
      <c r="C68" s="12"/>
      <c r="D68" s="1037"/>
      <c r="E68" s="1368"/>
      <c r="F68" s="1195"/>
      <c r="G68" s="1359"/>
      <c r="H68" s="1037"/>
      <c r="I68" s="1360"/>
      <c r="J68" s="1206"/>
      <c r="K68" s="1159"/>
      <c r="L68" s="1159"/>
      <c r="M68" s="1369"/>
      <c r="N68" s="1031"/>
      <c r="O68" s="1079"/>
      <c r="P68" s="958"/>
      <c r="Q68" s="958"/>
      <c r="R68" s="1361"/>
      <c r="S68" s="1022"/>
    </row>
    <row r="69" spans="1:19" hidden="1" x14ac:dyDescent="0.2">
      <c r="A69" s="1154" t="str">
        <f>+TableA1!A69</f>
        <v>Grenada</v>
      </c>
      <c r="B69" s="121"/>
      <c r="C69" s="12"/>
      <c r="D69" s="1037"/>
      <c r="E69" s="1368"/>
      <c r="F69" s="1195"/>
      <c r="G69" s="1359"/>
      <c r="H69" s="1037"/>
      <c r="I69" s="1360"/>
      <c r="J69" s="1206"/>
      <c r="K69" s="1159"/>
      <c r="L69" s="1159"/>
      <c r="M69" s="1369"/>
      <c r="N69" s="1031"/>
      <c r="O69" s="1079"/>
      <c r="P69" s="958"/>
      <c r="Q69" s="958"/>
      <c r="R69" s="1361"/>
      <c r="S69" s="1022"/>
    </row>
    <row r="70" spans="1:19" hidden="1" x14ac:dyDescent="0.2">
      <c r="A70" s="113" t="s">
        <v>89</v>
      </c>
      <c r="B70" s="121"/>
      <c r="C70" s="12"/>
      <c r="D70" s="1037"/>
      <c r="E70" s="1368"/>
      <c r="F70" s="1195"/>
      <c r="G70" s="1359"/>
      <c r="H70" s="1037"/>
      <c r="I70" s="1360"/>
      <c r="J70" s="1206"/>
      <c r="K70" s="1159"/>
      <c r="L70" s="1159"/>
      <c r="M70" s="1369"/>
      <c r="N70" s="1031"/>
      <c r="O70" s="1079"/>
      <c r="P70" s="958"/>
      <c r="Q70" s="958"/>
      <c r="R70" s="1361"/>
      <c r="S70" s="1022"/>
    </row>
    <row r="71" spans="1:19" hidden="1" x14ac:dyDescent="0.2">
      <c r="A71" s="113" t="s">
        <v>154</v>
      </c>
      <c r="B71" s="121"/>
      <c r="C71" s="12"/>
      <c r="D71" s="1037"/>
      <c r="E71" s="1368"/>
      <c r="F71" s="1195"/>
      <c r="G71" s="1359"/>
      <c r="H71" s="1037"/>
      <c r="I71" s="1360"/>
      <c r="J71" s="1206"/>
      <c r="K71" s="1159"/>
      <c r="L71" s="1159"/>
      <c r="M71" s="1369"/>
      <c r="N71" s="1031"/>
      <c r="O71" s="1079"/>
      <c r="P71" s="958"/>
      <c r="Q71" s="958"/>
      <c r="R71" s="1361"/>
      <c r="S71" s="1022"/>
    </row>
    <row r="72" spans="1:19" hidden="1" x14ac:dyDescent="0.2">
      <c r="A72" s="113" t="s">
        <v>91</v>
      </c>
      <c r="B72" s="121"/>
      <c r="C72" s="12"/>
      <c r="D72" s="1037"/>
      <c r="E72" s="1368"/>
      <c r="F72" s="1195"/>
      <c r="G72" s="1359"/>
      <c r="H72" s="1037"/>
      <c r="I72" s="1360"/>
      <c r="J72" s="1206"/>
      <c r="K72" s="1159"/>
      <c r="L72" s="1159"/>
      <c r="M72" s="1369"/>
      <c r="N72" s="1031"/>
      <c r="O72" s="1079"/>
      <c r="P72" s="958"/>
      <c r="Q72" s="958"/>
      <c r="R72" s="1361"/>
      <c r="S72" s="1022"/>
    </row>
    <row r="73" spans="1:19" hidden="1" x14ac:dyDescent="0.2">
      <c r="A73" s="113" t="s">
        <v>92</v>
      </c>
      <c r="B73" s="121"/>
      <c r="C73" s="12"/>
      <c r="D73" s="1037"/>
      <c r="E73" s="1368"/>
      <c r="F73" s="1195"/>
      <c r="G73" s="1359"/>
      <c r="H73" s="1037"/>
      <c r="I73" s="1360"/>
      <c r="J73" s="1206"/>
      <c r="K73" s="1159"/>
      <c r="L73" s="1159"/>
      <c r="M73" s="1369"/>
      <c r="N73" s="1031"/>
      <c r="O73" s="1079"/>
      <c r="P73" s="958"/>
      <c r="Q73" s="958"/>
      <c r="R73" s="1361"/>
      <c r="S73" s="1022"/>
    </row>
    <row r="74" spans="1:19" hidden="1" x14ac:dyDescent="0.2">
      <c r="A74" s="113" t="s">
        <v>93</v>
      </c>
      <c r="B74" s="121"/>
      <c r="C74" s="12"/>
      <c r="D74" s="1037"/>
      <c r="E74" s="1368"/>
      <c r="F74" s="1195"/>
      <c r="G74" s="1359"/>
      <c r="H74" s="1037"/>
      <c r="I74" s="1360"/>
      <c r="J74" s="1206"/>
      <c r="K74" s="1159"/>
      <c r="L74" s="1159"/>
      <c r="M74" s="1369"/>
      <c r="N74" s="1031"/>
      <c r="O74" s="1079"/>
      <c r="P74" s="958"/>
      <c r="Q74" s="958"/>
      <c r="R74" s="1361"/>
      <c r="S74" s="1022"/>
    </row>
    <row r="75" spans="1:19" hidden="1" x14ac:dyDescent="0.2">
      <c r="A75" s="113" t="s">
        <v>94</v>
      </c>
      <c r="B75" s="121"/>
      <c r="C75" s="12"/>
      <c r="D75" s="1037"/>
      <c r="E75" s="1368"/>
      <c r="F75" s="1195"/>
      <c r="G75" s="1359"/>
      <c r="H75" s="1037"/>
      <c r="I75" s="1360"/>
      <c r="J75" s="1206"/>
      <c r="K75" s="1159"/>
      <c r="L75" s="1159"/>
      <c r="M75" s="1369"/>
      <c r="N75" s="1031"/>
      <c r="O75" s="1079"/>
      <c r="P75" s="958"/>
      <c r="Q75" s="958"/>
      <c r="R75" s="1361"/>
      <c r="S75" s="1022"/>
    </row>
    <row r="76" spans="1:19" hidden="1" x14ac:dyDescent="0.2">
      <c r="A76" s="113" t="s">
        <v>95</v>
      </c>
      <c r="B76" s="121"/>
      <c r="C76" s="12"/>
      <c r="D76" s="1037"/>
      <c r="E76" s="1368"/>
      <c r="F76" s="1195"/>
      <c r="G76" s="1359"/>
      <c r="H76" s="1037"/>
      <c r="I76" s="1360"/>
      <c r="J76" s="1206"/>
      <c r="K76" s="1159"/>
      <c r="L76" s="1159"/>
      <c r="M76" s="1369"/>
      <c r="N76" s="1031"/>
      <c r="O76" s="1079"/>
      <c r="P76" s="958"/>
      <c r="Q76" s="958"/>
      <c r="R76" s="1361">
        <f t="shared" si="0"/>
        <v>0</v>
      </c>
      <c r="S76" s="1022">
        <f t="shared" si="1"/>
        <v>0</v>
      </c>
    </row>
    <row r="77" spans="1:19" hidden="1" x14ac:dyDescent="0.2">
      <c r="A77" s="113" t="s">
        <v>96</v>
      </c>
      <c r="B77" s="121"/>
      <c r="C77" s="12"/>
      <c r="D77" s="1037"/>
      <c r="E77" s="1368"/>
      <c r="F77" s="1195"/>
      <c r="G77" s="1359"/>
      <c r="H77" s="1037"/>
      <c r="I77" s="1360"/>
      <c r="J77" s="1206"/>
      <c r="K77" s="1159"/>
      <c r="L77" s="1159"/>
      <c r="M77" s="1369"/>
      <c r="N77" s="1031"/>
      <c r="O77" s="1079"/>
      <c r="P77" s="958"/>
      <c r="Q77" s="958"/>
      <c r="R77" s="1361"/>
      <c r="S77" s="1022"/>
    </row>
    <row r="78" spans="1:19" hidden="1" x14ac:dyDescent="0.2">
      <c r="A78" s="113" t="s">
        <v>97</v>
      </c>
      <c r="B78" s="121"/>
      <c r="C78" s="12"/>
      <c r="D78" s="1037"/>
      <c r="E78" s="1368"/>
      <c r="F78" s="1195"/>
      <c r="G78" s="1359"/>
      <c r="H78" s="1037"/>
      <c r="I78" s="1360"/>
      <c r="J78" s="1206"/>
      <c r="K78" s="1159"/>
      <c r="L78" s="1159"/>
      <c r="M78" s="1369"/>
      <c r="N78" s="1031"/>
      <c r="O78" s="1079"/>
      <c r="P78" s="958"/>
      <c r="Q78" s="958"/>
      <c r="R78" s="1361"/>
      <c r="S78" s="1022"/>
    </row>
    <row r="79" spans="1:19" hidden="1" x14ac:dyDescent="0.2">
      <c r="A79" s="1154" t="str">
        <f>+TableA1!A79</f>
        <v>Monaco</v>
      </c>
      <c r="B79" s="121"/>
      <c r="C79" s="12"/>
      <c r="D79" s="1037"/>
      <c r="E79" s="1368"/>
      <c r="F79" s="1195"/>
      <c r="G79" s="1359"/>
      <c r="H79" s="1037"/>
      <c r="I79" s="1360"/>
      <c r="J79" s="1206"/>
      <c r="K79" s="1159"/>
      <c r="L79" s="1159"/>
      <c r="M79" s="1369"/>
      <c r="N79" s="1031"/>
      <c r="O79" s="1079"/>
      <c r="P79" s="958"/>
      <c r="Q79" s="958"/>
      <c r="R79" s="1361"/>
      <c r="S79" s="1022"/>
    </row>
    <row r="80" spans="1:19" hidden="1" x14ac:dyDescent="0.2">
      <c r="A80" s="113" t="s">
        <v>99</v>
      </c>
      <c r="B80" s="121"/>
      <c r="C80" s="12"/>
      <c r="D80" s="1037"/>
      <c r="E80" s="1368"/>
      <c r="F80" s="1195"/>
      <c r="G80" s="1359"/>
      <c r="H80" s="1037"/>
      <c r="I80" s="1360"/>
      <c r="J80" s="1369"/>
      <c r="K80" s="1031"/>
      <c r="L80" s="1031"/>
      <c r="M80" s="1369"/>
      <c r="N80" s="1031"/>
      <c r="O80" s="1079"/>
      <c r="P80" s="958"/>
      <c r="Q80" s="958"/>
      <c r="R80" s="1361">
        <f t="shared" si="0"/>
        <v>0</v>
      </c>
      <c r="S80" s="1022">
        <f t="shared" si="1"/>
        <v>0</v>
      </c>
    </row>
    <row r="81" spans="1:15" hidden="1" x14ac:dyDescent="0.2">
      <c r="A81" s="113" t="s">
        <v>100</v>
      </c>
      <c r="B81" s="121"/>
      <c r="C81" s="12"/>
      <c r="D81" s="1037"/>
      <c r="E81" s="1368"/>
      <c r="F81" s="1195"/>
      <c r="G81" s="1359"/>
      <c r="H81" s="1037"/>
      <c r="I81" s="1360"/>
      <c r="J81" s="1369"/>
      <c r="K81" s="1031"/>
      <c r="L81" s="1031"/>
      <c r="M81" s="1369"/>
      <c r="N81" s="1031"/>
      <c r="O81" s="1079"/>
    </row>
    <row r="82" spans="1:15" hidden="1" x14ac:dyDescent="0.2">
      <c r="A82" s="1154" t="str">
        <f>+TableA1!A82</f>
        <v>Seychelles</v>
      </c>
      <c r="B82" s="121"/>
      <c r="C82" s="12"/>
      <c r="D82" s="1037"/>
      <c r="E82" s="1368"/>
      <c r="F82" s="1195"/>
      <c r="G82" s="1037"/>
      <c r="H82" s="1037"/>
      <c r="I82" s="1360"/>
      <c r="J82" s="1369"/>
      <c r="K82" s="1031"/>
      <c r="L82" s="1031"/>
      <c r="M82" s="1369"/>
      <c r="N82" s="1031"/>
      <c r="O82" s="1079"/>
    </row>
    <row r="83" spans="1:15" hidden="1" x14ac:dyDescent="0.2">
      <c r="A83" s="113" t="s">
        <v>102</v>
      </c>
      <c r="B83" s="121"/>
      <c r="C83" s="12"/>
      <c r="D83" s="1037"/>
      <c r="E83" s="1037"/>
      <c r="F83" s="1195"/>
      <c r="G83" s="1037"/>
      <c r="H83" s="1037"/>
      <c r="I83" s="1037"/>
      <c r="J83" s="1369"/>
      <c r="K83" s="1031"/>
      <c r="L83" s="1031"/>
      <c r="M83" s="1369"/>
      <c r="N83" s="1031"/>
      <c r="O83" s="1079"/>
    </row>
    <row r="84" spans="1:15" hidden="1" x14ac:dyDescent="0.2">
      <c r="A84" s="1154" t="str">
        <f>+TableA1!A84</f>
        <v>St. Kitts and Nevis</v>
      </c>
      <c r="B84" s="121"/>
      <c r="C84" s="12"/>
      <c r="D84" s="1037"/>
      <c r="E84" s="1037"/>
      <c r="F84" s="1195"/>
      <c r="G84" s="1037"/>
      <c r="H84" s="1037"/>
      <c r="I84" s="1037"/>
      <c r="J84" s="1369"/>
      <c r="K84" s="1031"/>
      <c r="L84" s="1031"/>
      <c r="M84" s="1369"/>
      <c r="N84" s="1031"/>
      <c r="O84" s="1079"/>
    </row>
    <row r="85" spans="1:15" hidden="1" x14ac:dyDescent="0.2">
      <c r="A85" s="1154" t="str">
        <f>+TableA1!A85</f>
        <v>St. Lucia</v>
      </c>
      <c r="B85" s="121"/>
      <c r="C85" s="12"/>
      <c r="D85" s="1037"/>
      <c r="E85" s="1037"/>
      <c r="F85" s="1195"/>
      <c r="G85" s="1037"/>
      <c r="H85" s="1037"/>
      <c r="I85" s="1037"/>
      <c r="J85" s="1369"/>
      <c r="K85" s="1031"/>
      <c r="L85" s="1031"/>
      <c r="M85" s="1369"/>
      <c r="N85" s="1031"/>
      <c r="O85" s="1079"/>
    </row>
    <row r="86" spans="1:15" hidden="1" x14ac:dyDescent="0.2">
      <c r="A86" s="1154" t="str">
        <f>+TableA1!A86</f>
        <v>St. Vincent and the Grenadines</v>
      </c>
      <c r="B86" s="121"/>
      <c r="C86" s="12"/>
      <c r="D86" s="1037"/>
      <c r="E86" s="1037"/>
      <c r="F86" s="1195"/>
      <c r="G86" s="1037"/>
      <c r="H86" s="1037"/>
      <c r="I86" s="1037"/>
      <c r="J86" s="1369"/>
      <c r="K86" s="1031"/>
      <c r="L86" s="1031"/>
      <c r="M86" s="1369"/>
      <c r="N86" s="1031"/>
      <c r="O86" s="1079"/>
    </row>
    <row r="87" spans="1:15" hidden="1" x14ac:dyDescent="0.2">
      <c r="A87" s="1154" t="str">
        <f>+TableA1!A87</f>
        <v>Turks and Caicos</v>
      </c>
      <c r="B87" s="121"/>
      <c r="C87" s="12"/>
      <c r="D87" s="1037"/>
      <c r="E87" s="1037"/>
      <c r="F87" s="1195"/>
      <c r="G87" s="1037"/>
      <c r="H87" s="1037"/>
      <c r="I87" s="1037"/>
      <c r="J87" s="1369"/>
      <c r="K87" s="1031"/>
      <c r="L87" s="1031"/>
      <c r="M87" s="1369"/>
      <c r="N87" s="1031"/>
      <c r="O87" s="1079"/>
    </row>
    <row r="88" spans="1:15" hidden="1" x14ac:dyDescent="0.2">
      <c r="A88" s="1154" t="str">
        <f>+TableA1!A88</f>
        <v>Panama</v>
      </c>
      <c r="B88" s="121"/>
      <c r="C88" s="12"/>
      <c r="D88" s="1037"/>
      <c r="E88" s="1037"/>
      <c r="F88" s="1195"/>
      <c r="G88" s="1037"/>
      <c r="H88" s="1037"/>
      <c r="I88" s="1037"/>
      <c r="J88" s="1369"/>
      <c r="K88" s="1031"/>
      <c r="L88" s="1031"/>
      <c r="M88" s="1369"/>
      <c r="N88" s="1031"/>
      <c r="O88" s="1079"/>
    </row>
    <row r="89" spans="1:15" ht="17" hidden="1" thickBot="1" x14ac:dyDescent="0.25">
      <c r="A89" s="114" t="s">
        <v>108</v>
      </c>
      <c r="B89" s="17"/>
      <c r="C89" s="20"/>
      <c r="D89" s="1197"/>
      <c r="E89" s="1197"/>
      <c r="F89" s="18"/>
      <c r="G89" s="1197"/>
      <c r="H89" s="1197"/>
      <c r="I89" s="1197"/>
      <c r="J89" s="1370"/>
      <c r="K89" s="1261"/>
      <c r="L89" s="1261"/>
      <c r="M89" s="1370"/>
      <c r="N89" s="1261"/>
      <c r="O89" s="1371"/>
    </row>
    <row r="90" spans="1:15" ht="18" thickTop="1" thickBot="1" x14ac:dyDescent="0.25">
      <c r="A90" s="958"/>
      <c r="B90" s="958"/>
      <c r="C90" s="958"/>
      <c r="D90" s="1007"/>
      <c r="E90" s="1007"/>
      <c r="F90" s="958"/>
      <c r="G90" s="1007"/>
      <c r="H90" s="1007"/>
      <c r="I90" s="1007"/>
      <c r="J90" s="958"/>
      <c r="K90" s="958"/>
      <c r="L90" s="958"/>
      <c r="M90" s="958"/>
      <c r="N90" s="958"/>
      <c r="O90" s="958"/>
    </row>
    <row r="91" spans="1:15" s="2" customFormat="1" x14ac:dyDescent="0.2">
      <c r="A91" s="2177" t="s">
        <v>389</v>
      </c>
      <c r="B91" s="2178"/>
      <c r="C91" s="2178"/>
      <c r="D91" s="2178"/>
      <c r="E91" s="2178"/>
      <c r="F91" s="2178"/>
      <c r="G91" s="2178"/>
      <c r="H91" s="2178"/>
      <c r="I91" s="2178"/>
      <c r="J91" s="2178"/>
      <c r="K91" s="2178"/>
      <c r="L91" s="2178"/>
      <c r="M91" s="2178"/>
      <c r="N91" s="2178"/>
      <c r="O91" s="2179"/>
    </row>
    <row r="92" spans="1:15" s="2" customFormat="1" ht="17" thickBot="1" x14ac:dyDescent="0.25">
      <c r="A92" s="2180"/>
      <c r="B92" s="2181"/>
      <c r="C92" s="2181"/>
      <c r="D92" s="2181"/>
      <c r="E92" s="2181"/>
      <c r="F92" s="2181"/>
      <c r="G92" s="2181"/>
      <c r="H92" s="2181"/>
      <c r="I92" s="2181"/>
      <c r="J92" s="2181"/>
      <c r="K92" s="2181"/>
      <c r="L92" s="2181"/>
      <c r="M92" s="2181"/>
      <c r="N92" s="2181"/>
      <c r="O92" s="2182"/>
    </row>
    <row r="93" spans="1:15" s="2" customFormat="1" x14ac:dyDescent="0.2">
      <c r="A93" s="958"/>
      <c r="B93" s="958"/>
      <c r="C93" s="958"/>
      <c r="D93" s="958"/>
      <c r="E93" s="958"/>
      <c r="F93" s="958"/>
      <c r="G93" s="958"/>
      <c r="H93" s="958"/>
      <c r="I93" s="958"/>
      <c r="J93" s="958"/>
    </row>
    <row r="94" spans="1:15" s="2" customFormat="1" x14ac:dyDescent="0.2">
      <c r="A94" s="958"/>
      <c r="B94" s="958"/>
      <c r="C94" s="958"/>
      <c r="D94" s="958"/>
      <c r="E94" s="958"/>
      <c r="F94" s="958"/>
      <c r="G94" s="958"/>
      <c r="H94" s="958"/>
      <c r="I94" s="958"/>
      <c r="J94" s="958"/>
    </row>
    <row r="95" spans="1:15" s="2" customFormat="1" x14ac:dyDescent="0.2">
      <c r="A95" s="958"/>
      <c r="B95" s="958"/>
      <c r="C95" s="958"/>
      <c r="D95" s="958"/>
      <c r="E95" s="958"/>
      <c r="F95" s="958"/>
      <c r="G95" s="958"/>
      <c r="H95" s="958"/>
      <c r="I95" s="958"/>
      <c r="J95" s="958"/>
    </row>
    <row r="97" spans="1:10" s="2" customFormat="1" x14ac:dyDescent="0.2">
      <c r="A97" s="958"/>
      <c r="B97" s="958"/>
      <c r="C97" s="958"/>
      <c r="D97" s="958"/>
      <c r="E97" s="958"/>
      <c r="F97" s="958"/>
      <c r="G97" s="958"/>
      <c r="H97" s="958"/>
      <c r="I97" s="958"/>
      <c r="J97" s="958"/>
    </row>
  </sheetData>
  <mergeCells count="9">
    <mergeCell ref="A91:O92"/>
    <mergeCell ref="A3:O3"/>
    <mergeCell ref="B8:B9"/>
    <mergeCell ref="F8:F9"/>
    <mergeCell ref="J8:J9"/>
    <mergeCell ref="B7:I7"/>
    <mergeCell ref="J7:O7"/>
    <mergeCell ref="M8:M9"/>
    <mergeCell ref="B6:O6"/>
  </mergeCells>
  <phoneticPr fontId="36" type="noConversion"/>
  <pageMargins left="0.75" right="0.75" top="1" bottom="1" header="0.5" footer="0.5"/>
  <pageSetup scale="63" orientation="landscape"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3:J98"/>
  <sheetViews>
    <sheetView workbookViewId="0">
      <pane xSplit="1" ySplit="9" topLeftCell="B82" activePane="bottomRight" state="frozen"/>
      <selection pane="topRight" activeCell="AR8" sqref="AR8"/>
      <selection pane="bottomLeft" activeCell="AR8" sqref="AR8"/>
      <selection pane="bottomRight" activeCell="A4" sqref="A4:J89"/>
    </sheetView>
  </sheetViews>
  <sheetFormatPr baseColWidth="10" defaultColWidth="10.83203125" defaultRowHeight="16" x14ac:dyDescent="0.2"/>
  <cols>
    <col min="1" max="1" width="32" style="1" customWidth="1"/>
    <col min="2" max="7" width="12.5" style="1" customWidth="1"/>
    <col min="8" max="16384" width="10.83203125" style="1"/>
  </cols>
  <sheetData>
    <row r="3" spans="1:10" ht="17" thickBot="1" x14ac:dyDescent="0.25">
      <c r="A3" s="958"/>
      <c r="B3" s="958"/>
      <c r="C3" s="958"/>
      <c r="D3" s="958"/>
      <c r="E3" s="958"/>
      <c r="F3" s="958"/>
      <c r="G3" s="958"/>
      <c r="H3" s="958"/>
      <c r="I3" s="958"/>
      <c r="J3" s="958"/>
    </row>
    <row r="4" spans="1:10" ht="32.25" customHeight="1" x14ac:dyDescent="0.2">
      <c r="A4" s="2073" t="s">
        <v>391</v>
      </c>
      <c r="B4" s="2074"/>
      <c r="C4" s="2074"/>
      <c r="D4" s="2074"/>
      <c r="E4" s="2074"/>
      <c r="F4" s="2074"/>
      <c r="G4" s="2074"/>
      <c r="H4" s="2074"/>
      <c r="I4" s="2074"/>
      <c r="J4" s="2075"/>
    </row>
    <row r="5" spans="1:10" ht="12" customHeight="1" x14ac:dyDescent="0.2">
      <c r="A5" s="118"/>
      <c r="B5" s="620"/>
      <c r="C5" s="620"/>
      <c r="D5" s="620"/>
      <c r="E5" s="620"/>
      <c r="F5" s="620"/>
      <c r="G5" s="620"/>
      <c r="H5" s="1031"/>
      <c r="I5" s="1031"/>
      <c r="J5" s="957"/>
    </row>
    <row r="6" spans="1:10" ht="17" thickBot="1" x14ac:dyDescent="0.25">
      <c r="A6" s="959"/>
      <c r="B6" s="3" t="s">
        <v>1</v>
      </c>
      <c r="C6" s="3" t="s">
        <v>2</v>
      </c>
      <c r="D6" s="3" t="s">
        <v>3</v>
      </c>
      <c r="E6" s="3" t="s">
        <v>4</v>
      </c>
      <c r="F6" s="3" t="s">
        <v>5</v>
      </c>
      <c r="G6" s="3" t="s">
        <v>6</v>
      </c>
      <c r="H6" s="3" t="s">
        <v>7</v>
      </c>
      <c r="I6" s="3" t="s">
        <v>8</v>
      </c>
      <c r="J6" s="802" t="s">
        <v>9</v>
      </c>
    </row>
    <row r="7" spans="1:10" ht="21" customHeight="1" x14ac:dyDescent="0.2">
      <c r="A7" s="959"/>
      <c r="B7" s="2184" t="s">
        <v>362</v>
      </c>
      <c r="C7" s="2185"/>
      <c r="D7" s="2185"/>
      <c r="E7" s="2185"/>
      <c r="F7" s="2185"/>
      <c r="G7" s="2185"/>
      <c r="H7" s="2185"/>
      <c r="I7" s="2185"/>
      <c r="J7" s="2186"/>
    </row>
    <row r="8" spans="1:10" ht="85" customHeight="1" x14ac:dyDescent="0.2">
      <c r="A8" s="959"/>
      <c r="B8" s="2055" t="s">
        <v>364</v>
      </c>
      <c r="C8" s="1824" t="s">
        <v>369</v>
      </c>
      <c r="D8" s="1825" t="s">
        <v>370</v>
      </c>
      <c r="E8" s="2019" t="s">
        <v>368</v>
      </c>
      <c r="F8" s="1825" t="s">
        <v>392</v>
      </c>
      <c r="G8" s="1825" t="s">
        <v>370</v>
      </c>
      <c r="H8" s="2067" t="s">
        <v>393</v>
      </c>
      <c r="I8" s="1825" t="s">
        <v>392</v>
      </c>
      <c r="J8" s="1249" t="s">
        <v>370</v>
      </c>
    </row>
    <row r="9" spans="1:10" ht="33" customHeight="1" x14ac:dyDescent="0.2">
      <c r="A9" s="959"/>
      <c r="B9" s="2011"/>
      <c r="C9" s="1318"/>
      <c r="D9" s="1319"/>
      <c r="E9" s="2050"/>
      <c r="F9" s="1319"/>
      <c r="G9" s="1319"/>
      <c r="H9" s="2183"/>
      <c r="I9" s="1319"/>
      <c r="J9" s="1372"/>
    </row>
    <row r="10" spans="1:10" ht="14.25" customHeight="1" x14ac:dyDescent="0.2">
      <c r="A10" s="1373" t="s">
        <v>29</v>
      </c>
      <c r="B10" s="157">
        <f>TableB2!C10/TableB2!K10</f>
        <v>4.4731775702672942E-2</v>
      </c>
      <c r="C10" s="1374">
        <f>(TableB2!D10+TableB2!F10)/TableB2!L10</f>
        <v>5.1209426096637777E-2</v>
      </c>
      <c r="D10" s="1161">
        <f>TableB2!E10/TableB2!M10</f>
        <v>2.7648692390162839E-2</v>
      </c>
      <c r="E10" s="1375">
        <f>TableB2!G10/TableB2!N10</f>
        <v>3.4297837331832365E-2</v>
      </c>
      <c r="F10" s="1376">
        <f>(TableB2!H10+TableB2!J10)/TableB2!O10</f>
        <v>3.352326311882449E-2</v>
      </c>
      <c r="G10" s="1161">
        <f>TableB2!I10/TableB2!P10</f>
        <v>-8.3423212597586019E-2</v>
      </c>
      <c r="H10" s="1375">
        <f>E10-B10</f>
        <v>-1.0433938370840577E-2</v>
      </c>
      <c r="I10" s="1377">
        <f>F10-C10</f>
        <v>-1.7686162977813287E-2</v>
      </c>
      <c r="J10" s="1378">
        <f>G10-D10</f>
        <v>-0.11107190498774885</v>
      </c>
    </row>
    <row r="11" spans="1:10" ht="14.25" customHeight="1" x14ac:dyDescent="0.2">
      <c r="A11" s="959" t="s">
        <v>30</v>
      </c>
      <c r="B11" s="157">
        <f>TableB2!C11/TableB2!K11</f>
        <v>2.4928434131518597E-3</v>
      </c>
      <c r="C11" s="1374">
        <f>(TableB2!D11+TableB2!F11)/TableB2!L11</f>
        <v>1.7414435919413547E-4</v>
      </c>
      <c r="D11" s="1161">
        <f>TableB2!E11/TableB2!M11</f>
        <v>7.3268091440004263E-2</v>
      </c>
      <c r="E11" s="1375">
        <f>TableB2!G11/TableB2!N11</f>
        <v>5.8308406090890295E-3</v>
      </c>
      <c r="F11" s="1376">
        <f>(TableB2!H11+TableB2!J11)/TableB2!O11</f>
        <v>4.5571818197796118E-3</v>
      </c>
      <c r="G11" s="1161">
        <f>TableB2!I11/TableB2!P11</f>
        <v>1.7597453828314354E-2</v>
      </c>
      <c r="H11" s="1375">
        <f t="shared" ref="H11:H46" si="0">E11-B11</f>
        <v>3.3379971959371698E-3</v>
      </c>
      <c r="I11" s="1377">
        <f t="shared" ref="I11:I46" si="1">F11-C11</f>
        <v>4.3830374605854762E-3</v>
      </c>
      <c r="J11" s="1378">
        <f t="shared" ref="J11:J46" si="2">G11-D11</f>
        <v>-5.5670637611689909E-2</v>
      </c>
    </row>
    <row r="12" spans="1:10" ht="14.25" customHeight="1" x14ac:dyDescent="0.2">
      <c r="A12" s="959" t="s">
        <v>31</v>
      </c>
      <c r="B12" s="157">
        <f>TableB2!C12/TableB2!K12</f>
        <v>3.7579621502276742E-2</v>
      </c>
      <c r="C12" s="1376">
        <f>(TableB2!D12+TableB2!F12)/TableB2!L12</f>
        <v>3.4906349130745154E-2</v>
      </c>
      <c r="D12" s="1161">
        <f>TableB2!E12/TableB2!M12</f>
        <v>2.5164662048362964E-2</v>
      </c>
      <c r="E12" s="1375">
        <f>TableB2!G12/TableB2!N12</f>
        <v>2.2819262974588521E-2</v>
      </c>
      <c r="F12" s="1376">
        <f>(TableB2!H12+TableB2!J12)/TableB2!O12</f>
        <v>2.0940139582971109E-2</v>
      </c>
      <c r="G12" s="1161">
        <f>TableB2!I12/TableB2!P12</f>
        <v>4.8860430113959276E-2</v>
      </c>
      <c r="H12" s="1375">
        <f t="shared" si="0"/>
        <v>-1.4760358527688221E-2</v>
      </c>
      <c r="I12" s="1377">
        <f t="shared" si="1"/>
        <v>-1.3966209547774045E-2</v>
      </c>
      <c r="J12" s="1378">
        <f t="shared" si="2"/>
        <v>2.3695768065596312E-2</v>
      </c>
    </row>
    <row r="13" spans="1:10" ht="14.25" customHeight="1" x14ac:dyDescent="0.2">
      <c r="A13" s="959" t="s">
        <v>32</v>
      </c>
      <c r="B13" s="157">
        <f>TableB2!C13/TableB2!K13</f>
        <v>4.3262739874422904E-2</v>
      </c>
      <c r="C13" s="1376">
        <f>(TableB2!D13+TableB2!F13)/TableB2!L13</f>
        <v>4.4837231754001033E-2</v>
      </c>
      <c r="D13" s="1161">
        <f>TableB2!E13/TableB2!M13</f>
        <v>3.3660716384501112E-2</v>
      </c>
      <c r="E13" s="1375">
        <f>TableB2!G13/TableB2!N13</f>
        <v>3.6474139466469227E-2</v>
      </c>
      <c r="F13" s="1376">
        <f>(TableB2!H13+TableB2!J13)/TableB2!O13</f>
        <v>3.4914420979531222E-2</v>
      </c>
      <c r="G13" s="1161">
        <f>TableB2!I13/TableB2!P13</f>
        <v>6.1501311561945986E-2</v>
      </c>
      <c r="H13" s="1375">
        <f t="shared" si="0"/>
        <v>-6.7886004079536766E-3</v>
      </c>
      <c r="I13" s="1377">
        <f t="shared" si="1"/>
        <v>-9.9228107744698119E-3</v>
      </c>
      <c r="J13" s="1378">
        <f t="shared" si="2"/>
        <v>2.7840595177444874E-2</v>
      </c>
    </row>
    <row r="14" spans="1:10" ht="14.25" customHeight="1" x14ac:dyDescent="0.2">
      <c r="A14" s="959" t="s">
        <v>33</v>
      </c>
      <c r="B14" s="157">
        <f>TableB2!C14/TableB2!K14</f>
        <v>4.4189051058531256E-2</v>
      </c>
      <c r="C14" s="1376">
        <f>(TableB2!D14+TableB2!F14)/TableB2!L14</f>
        <v>4.5056863856611722E-2</v>
      </c>
      <c r="D14" s="1161">
        <f>TableB2!E14/TableB2!M14</f>
        <v>4.0887565384516517E-2</v>
      </c>
      <c r="E14" s="1375">
        <f>TableB2!G14/TableB2!N14</f>
        <v>3.4856163403347677E-2</v>
      </c>
      <c r="F14" s="1376">
        <f>(TableB2!H14+TableB2!J14)/TableB2!O14</f>
        <v>4.3161732450554324E-2</v>
      </c>
      <c r="G14" s="1161">
        <f>TableB2!I14/TableB2!P14</f>
        <v>1.1436037744409296E-2</v>
      </c>
      <c r="H14" s="1375">
        <f t="shared" si="0"/>
        <v>-9.332887655183579E-3</v>
      </c>
      <c r="I14" s="1377">
        <f t="shared" si="1"/>
        <v>-1.8951314060573973E-3</v>
      </c>
      <c r="J14" s="1378">
        <f t="shared" si="2"/>
        <v>-2.9451527640107222E-2</v>
      </c>
    </row>
    <row r="15" spans="1:10" ht="14.25" customHeight="1" x14ac:dyDescent="0.2">
      <c r="A15" s="959" t="s">
        <v>34</v>
      </c>
      <c r="B15" s="157">
        <f>TableB2!C15/TableB2!K15</f>
        <v>0.12409996808986552</v>
      </c>
      <c r="C15" s="1376">
        <f>(TableB2!D15+TableB2!F15)/TableB2!L15</f>
        <v>0.12783212067154578</v>
      </c>
      <c r="D15" s="1161">
        <f>TableB2!E15/TableB2!M15</f>
        <v>6.6948224482641455E-2</v>
      </c>
      <c r="E15" s="1375">
        <f>TableB2!G15/TableB2!N15</f>
        <v>0.10009461689409051</v>
      </c>
      <c r="F15" s="1376">
        <f>(TableB2!H15+TableB2!J15)/TableB2!O15</f>
        <v>0.10456621430429627</v>
      </c>
      <c r="G15" s="1161">
        <f>TableB2!I15/TableB2!P15</f>
        <v>8.4574186567541749E-3</v>
      </c>
      <c r="H15" s="1375">
        <f t="shared" si="0"/>
        <v>-2.4005351195775015E-2</v>
      </c>
      <c r="I15" s="1377">
        <f t="shared" si="1"/>
        <v>-2.3265906367249511E-2</v>
      </c>
      <c r="J15" s="1378">
        <f t="shared" si="2"/>
        <v>-5.8490805825887282E-2</v>
      </c>
    </row>
    <row r="16" spans="1:10" ht="14.25" customHeight="1" x14ac:dyDescent="0.2">
      <c r="A16" s="959" t="s">
        <v>35</v>
      </c>
      <c r="B16" s="157">
        <f>TableB2!C16/TableB2!K16</f>
        <v>4.7034122120152871E-2</v>
      </c>
      <c r="C16" s="1376">
        <f>(TableB2!D16+TableB2!F16)/TableB2!L16</f>
        <v>5.0385600642230549E-2</v>
      </c>
      <c r="D16" s="1161">
        <f>TableB2!E16/TableB2!M16</f>
        <v>2.1022648557522498E-2</v>
      </c>
      <c r="E16" s="1375">
        <f>TableB2!G16/TableB2!N16</f>
        <v>6.8182690281906891E-2</v>
      </c>
      <c r="F16" s="1376">
        <f>(TableB2!H16+TableB2!J16)/TableB2!O16</f>
        <v>7.2167276916540984E-2</v>
      </c>
      <c r="G16" s="1161">
        <f>TableB2!I16/TableB2!P16</f>
        <v>4.0828951221077138E-2</v>
      </c>
      <c r="H16" s="1375">
        <f t="shared" si="0"/>
        <v>2.1148568161754019E-2</v>
      </c>
      <c r="I16" s="1377">
        <f t="shared" si="1"/>
        <v>2.1781676274310435E-2</v>
      </c>
      <c r="J16" s="1378">
        <f t="shared" si="2"/>
        <v>1.980630266355464E-2</v>
      </c>
    </row>
    <row r="17" spans="1:10" ht="14.25" customHeight="1" x14ac:dyDescent="0.2">
      <c r="A17" s="959" t="s">
        <v>36</v>
      </c>
      <c r="B17" s="157">
        <f>TableB2!C17/TableB2!K17</f>
        <v>7.0086293034984232E-2</v>
      </c>
      <c r="C17" s="1376">
        <f>(TableB2!D17+TableB2!F17)/TableB2!L17</f>
        <v>7.2324937248870208E-2</v>
      </c>
      <c r="D17" s="1161">
        <f>TableB2!E17/TableB2!M17</f>
        <v>1.8810926255787685E-2</v>
      </c>
      <c r="E17" s="1375">
        <f>TableB2!G17/TableB2!N17</f>
        <v>5.3756381882788543E-2</v>
      </c>
      <c r="F17" s="1376">
        <f>(TableB2!H17+TableB2!J17)/TableB2!O17</f>
        <v>6.3801519776012727E-2</v>
      </c>
      <c r="G17" s="1161">
        <f>TableB2!I17/TableB2!P17</f>
        <v>2.9489456430476246E-2</v>
      </c>
      <c r="H17" s="1375">
        <f t="shared" si="0"/>
        <v>-1.6329911152195689E-2</v>
      </c>
      <c r="I17" s="1377">
        <f t="shared" si="1"/>
        <v>-8.5234174728574807E-3</v>
      </c>
      <c r="J17" s="1378">
        <f t="shared" si="2"/>
        <v>1.0678530174688561E-2</v>
      </c>
    </row>
    <row r="18" spans="1:10" ht="14.25" customHeight="1" x14ac:dyDescent="0.2">
      <c r="A18" s="959" t="s">
        <v>37</v>
      </c>
      <c r="B18" s="157">
        <f>TableB2!C18/TableB2!K18</f>
        <v>5.0104402249351671E-2</v>
      </c>
      <c r="C18" s="1376">
        <f>(TableB2!D18+TableB2!F18)/TableB2!L18</f>
        <v>5.1365179054588747E-2</v>
      </c>
      <c r="D18" s="1161">
        <f>TableB2!E18/TableB2!M18</f>
        <v>4.4753618573662071E-2</v>
      </c>
      <c r="E18" s="1375">
        <f>TableB2!G18/TableB2!N18</f>
        <v>7.7974742949784626E-2</v>
      </c>
      <c r="F18" s="1376">
        <f>(TableB2!H18+TableB2!J18)/TableB2!O18</f>
        <v>6.4823572821995884E-2</v>
      </c>
      <c r="G18" s="1161">
        <f>TableB2!I18/TableB2!P18</f>
        <v>-3.4588649836158857E-2</v>
      </c>
      <c r="H18" s="1375">
        <f t="shared" si="0"/>
        <v>2.7870340700432955E-2</v>
      </c>
      <c r="I18" s="1377">
        <f t="shared" si="1"/>
        <v>1.3458393767407137E-2</v>
      </c>
      <c r="J18" s="1378">
        <f t="shared" si="2"/>
        <v>-7.9342268409820921E-2</v>
      </c>
    </row>
    <row r="19" spans="1:10" ht="14.25" customHeight="1" x14ac:dyDescent="0.2">
      <c r="A19" s="959" t="s">
        <v>38</v>
      </c>
      <c r="B19" s="157">
        <f>TableB2!C19/TableB2!K19</f>
        <v>3.7719568122186735E-2</v>
      </c>
      <c r="C19" s="1376">
        <f>(TableB2!D19+TableB2!F19)/TableB2!L19</f>
        <v>3.6896394344925303E-2</v>
      </c>
      <c r="D19" s="1161">
        <f>TableB2!E19/TableB2!M19</f>
        <v>4.6216593571896808E-2</v>
      </c>
      <c r="E19" s="1375">
        <f>TableB2!G19/TableB2!N19</f>
        <v>5.6431339733279649E-2</v>
      </c>
      <c r="F19" s="1376">
        <f>(TableB2!H19+TableB2!J19)/TableB2!O19</f>
        <v>5.861646122321594E-2</v>
      </c>
      <c r="G19" s="1161">
        <f>TableB2!I19/TableB2!P19</f>
        <v>2.5402893029513884E-2</v>
      </c>
      <c r="H19" s="1375">
        <f t="shared" si="0"/>
        <v>1.8711771611092914E-2</v>
      </c>
      <c r="I19" s="1377">
        <f t="shared" si="1"/>
        <v>2.1720066878290638E-2</v>
      </c>
      <c r="J19" s="1378">
        <f t="shared" si="2"/>
        <v>-2.0813700542382924E-2</v>
      </c>
    </row>
    <row r="20" spans="1:10" ht="14.25" customHeight="1" x14ac:dyDescent="0.2">
      <c r="A20" s="959" t="s">
        <v>39</v>
      </c>
      <c r="B20" s="157">
        <f>TableB2!C20/TableB2!K20</f>
        <v>4.2616252366886223E-2</v>
      </c>
      <c r="C20" s="1376">
        <f>(TableB2!D20+TableB2!F20)/TableB2!L20</f>
        <v>4.5625413393947614E-2</v>
      </c>
      <c r="D20" s="1161">
        <f>TableB2!E20/TableB2!M20</f>
        <v>3.3842118592741374E-2</v>
      </c>
      <c r="E20" s="1375">
        <f>TableB2!G20/TableB2!N20</f>
        <v>5.5273496445924525E-2</v>
      </c>
      <c r="F20" s="1376">
        <f>(TableB2!H20+TableB2!J20)/TableB2!O20</f>
        <v>5.3053739810083204E-2</v>
      </c>
      <c r="G20" s="1161">
        <f>TableB2!I20/TableB2!P20</f>
        <v>2.132830169785839E-2</v>
      </c>
      <c r="H20" s="1375">
        <f t="shared" si="0"/>
        <v>1.2657244079038302E-2</v>
      </c>
      <c r="I20" s="1377">
        <f t="shared" si="1"/>
        <v>7.4283264161355902E-3</v>
      </c>
      <c r="J20" s="1378">
        <f t="shared" si="2"/>
        <v>-1.2513816894882984E-2</v>
      </c>
    </row>
    <row r="21" spans="1:10" ht="14.25" customHeight="1" x14ac:dyDescent="0.2">
      <c r="A21" s="959" t="s">
        <v>40</v>
      </c>
      <c r="B21" s="157">
        <f>TableB2!C21/TableB2!K21</f>
        <v>4.2923566873036466E-2</v>
      </c>
      <c r="C21" s="1376">
        <f>(TableB2!D21+TableB2!F21)/TableB2!L21</f>
        <v>5.5878821075274358E-2</v>
      </c>
      <c r="D21" s="1161">
        <f>TableB2!E21/TableB2!M21</f>
        <v>8.6772186544707367E-3</v>
      </c>
      <c r="E21" s="1375">
        <f>TableB2!G21/TableB2!N21</f>
        <v>6.6017264930692293E-2</v>
      </c>
      <c r="F21" s="1376">
        <f>(TableB2!H21+TableB2!J21)/TableB2!O21</f>
        <v>7.1125868690636959E-2</v>
      </c>
      <c r="G21" s="1161">
        <f>TableB2!I21/TableB2!P21</f>
        <v>1.7721213660904451E-3</v>
      </c>
      <c r="H21" s="1375">
        <f t="shared" si="0"/>
        <v>2.3093698057655827E-2</v>
      </c>
      <c r="I21" s="1377">
        <f t="shared" si="1"/>
        <v>1.5247047615362601E-2</v>
      </c>
      <c r="J21" s="1378">
        <f t="shared" si="2"/>
        <v>-6.9050972883802917E-3</v>
      </c>
    </row>
    <row r="22" spans="1:10" ht="14.25" customHeight="1" x14ac:dyDescent="0.2">
      <c r="A22" s="959" t="s">
        <v>41</v>
      </c>
      <c r="B22" s="157">
        <f>TableB2!C22/TableB2!K22</f>
        <v>5.9041743462149736E-2</v>
      </c>
      <c r="C22" s="1376">
        <f>(TableB2!D22+TableB2!F22)/TableB2!L22</f>
        <v>5.94050016011647E-2</v>
      </c>
      <c r="D22" s="1161">
        <f>TableB2!E22/TableB2!M22</f>
        <v>0.17023949772474115</v>
      </c>
      <c r="E22" s="1375">
        <f>TableB2!G22/TableB2!N22</f>
        <v>2.6871398965845918E-2</v>
      </c>
      <c r="F22" s="1376">
        <f>(TableB2!H22+TableB2!J22)/TableB2!O22</f>
        <v>2.7201717381918941E-2</v>
      </c>
      <c r="G22" s="1161">
        <f>TableB2!I22/TableB2!P22</f>
        <v>-0.11007017988997438</v>
      </c>
      <c r="H22" s="1375">
        <f t="shared" si="0"/>
        <v>-3.2170344496303821E-2</v>
      </c>
      <c r="I22" s="1377">
        <f t="shared" si="1"/>
        <v>-3.2203284219245759E-2</v>
      </c>
      <c r="J22" s="1378">
        <f t="shared" si="2"/>
        <v>-0.28030967761471554</v>
      </c>
    </row>
    <row r="23" spans="1:10" ht="14.25" customHeight="1" x14ac:dyDescent="0.2">
      <c r="A23" s="959" t="s">
        <v>42</v>
      </c>
      <c r="B23" s="157">
        <f>TableB2!C23/TableB2!K23</f>
        <v>3.2499731715704095E-3</v>
      </c>
      <c r="C23" s="1376">
        <f>(TableB2!D23+TableB2!F23)/TableB2!L23</f>
        <v>-9.2114681103859855E-3</v>
      </c>
      <c r="D23" s="1161">
        <f>TableB2!E23/TableB2!M23</f>
        <v>2.9516678544143717E-2</v>
      </c>
      <c r="E23" s="1375">
        <f>TableB2!G23/TableB2!N23</f>
        <v>2.6208202154784775E-2</v>
      </c>
      <c r="F23" s="1376">
        <f>(TableB2!H23+TableB2!J23)/TableB2!O23</f>
        <v>2.0273759546773809E-2</v>
      </c>
      <c r="G23" s="1161">
        <f>TableB2!I23/TableB2!P23</f>
        <v>4.2023621306564209E-2</v>
      </c>
      <c r="H23" s="1375">
        <f t="shared" si="0"/>
        <v>2.2958228983214365E-2</v>
      </c>
      <c r="I23" s="1377">
        <f t="shared" si="1"/>
        <v>2.9485227657159795E-2</v>
      </c>
      <c r="J23" s="1378">
        <f t="shared" si="2"/>
        <v>1.2506942762420491E-2</v>
      </c>
    </row>
    <row r="24" spans="1:10" ht="14.25" customHeight="1" x14ac:dyDescent="0.2">
      <c r="A24" s="959" t="s">
        <v>43</v>
      </c>
      <c r="B24" s="157">
        <f>TableB2!C24/TableB2!K24</f>
        <v>7.2847163796137052E-2</v>
      </c>
      <c r="C24" s="1376">
        <f>(TableB2!D24+TableB2!F24)/TableB2!L24</f>
        <v>9.9209278259838746E-2</v>
      </c>
      <c r="D24" s="1161">
        <f>TableB2!E24/TableB2!M24</f>
        <v>3.7794064710645484E-3</v>
      </c>
      <c r="E24" s="1375">
        <f>TableB2!G24/TableB2!N24</f>
        <v>1.2933110981682094E-2</v>
      </c>
      <c r="F24" s="1376">
        <f>(TableB2!H24+TableB2!J24)/TableB2!O24</f>
        <v>1.6332825359742054E-2</v>
      </c>
      <c r="G24" s="1161">
        <f>TableB2!I24/TableB2!P24</f>
        <v>-1.6856754177804842E-2</v>
      </c>
      <c r="H24" s="1375">
        <f t="shared" si="0"/>
        <v>-5.9914052814454957E-2</v>
      </c>
      <c r="I24" s="1377">
        <f t="shared" si="1"/>
        <v>-8.2876452900096695E-2</v>
      </c>
      <c r="J24" s="1378">
        <f t="shared" si="2"/>
        <v>-2.0636160648869389E-2</v>
      </c>
    </row>
    <row r="25" spans="1:10" ht="14.25" customHeight="1" x14ac:dyDescent="0.2">
      <c r="A25" s="959" t="s">
        <v>44</v>
      </c>
      <c r="B25" s="157"/>
      <c r="C25" s="1376"/>
      <c r="D25" s="1161"/>
      <c r="E25" s="1375"/>
      <c r="F25" s="1376"/>
      <c r="G25" s="1161"/>
      <c r="H25" s="1375"/>
      <c r="I25" s="1377"/>
      <c r="J25" s="1378"/>
    </row>
    <row r="26" spans="1:10" ht="14.25" customHeight="1" x14ac:dyDescent="0.2">
      <c r="A26" s="959" t="s">
        <v>45</v>
      </c>
      <c r="B26" s="157">
        <f>TableB2!C26/TableB2!K26</f>
        <v>3.4316614726526772E-2</v>
      </c>
      <c r="C26" s="1376">
        <f>(TableB2!D26+TableB2!F26)/TableB2!L26</f>
        <v>3.5539645186220735E-2</v>
      </c>
      <c r="D26" s="1161">
        <f>TableB2!E26/TableB2!M26</f>
        <v>2.3470282925670449E-2</v>
      </c>
      <c r="E26" s="1375">
        <f>TableB2!G26/TableB2!N26</f>
        <v>2.5987330823333384E-2</v>
      </c>
      <c r="F26" s="1376">
        <f>(TableB2!H26+TableB2!J26)/TableB2!O26</f>
        <v>2.6811157472604593E-2</v>
      </c>
      <c r="G26" s="1161">
        <f>TableB2!I26/TableB2!P26</f>
        <v>-9.76302913517723E-2</v>
      </c>
      <c r="H26" s="1375">
        <f t="shared" si="0"/>
        <v>-8.329283903193388E-3</v>
      </c>
      <c r="I26" s="1377">
        <f t="shared" si="1"/>
        <v>-8.7284877136161419E-3</v>
      </c>
      <c r="J26" s="1378">
        <f t="shared" si="2"/>
        <v>-0.12110057427744275</v>
      </c>
    </row>
    <row r="27" spans="1:10" ht="14.25" customHeight="1" x14ac:dyDescent="0.2">
      <c r="A27" s="959" t="s">
        <v>46</v>
      </c>
      <c r="B27" s="157"/>
      <c r="C27" s="1376"/>
      <c r="D27" s="1161"/>
      <c r="E27" s="1375"/>
      <c r="F27" s="1376"/>
      <c r="G27" s="1161"/>
      <c r="H27" s="1375"/>
      <c r="I27" s="1377"/>
      <c r="J27" s="1378"/>
    </row>
    <row r="28" spans="1:10" ht="14.25" customHeight="1" x14ac:dyDescent="0.2">
      <c r="A28" s="959" t="s">
        <v>47</v>
      </c>
      <c r="B28" s="157">
        <f>TableB2!C28/TableB2!K28</f>
        <v>1.3327354517106078E-2</v>
      </c>
      <c r="C28" s="1376">
        <f>(TableB2!D28+TableB2!F28)/TableB2!L28</f>
        <v>1.2887341399851026E-2</v>
      </c>
      <c r="D28" s="1161">
        <f>TableB2!E28/TableB2!M28</f>
        <v>2.2115052828820769E-2</v>
      </c>
      <c r="E28" s="1375">
        <f>TableB2!G28/TableB2!N28</f>
        <v>-4.4842766690314083E-4</v>
      </c>
      <c r="F28" s="1376">
        <f>(TableB2!H28+TableB2!J28)/TableB2!O28</f>
        <v>-2.3060904625988891E-3</v>
      </c>
      <c r="G28" s="1161">
        <f>TableB2!I28/TableB2!P28</f>
        <v>1.088705902709108E-2</v>
      </c>
      <c r="H28" s="1375">
        <f t="shared" si="0"/>
        <v>-1.377578218400922E-2</v>
      </c>
      <c r="I28" s="1377">
        <f t="shared" si="1"/>
        <v>-1.5193431862449914E-2</v>
      </c>
      <c r="J28" s="1378">
        <f t="shared" si="2"/>
        <v>-1.1227993801729688E-2</v>
      </c>
    </row>
    <row r="29" spans="1:10" x14ac:dyDescent="0.2">
      <c r="A29" s="959" t="s">
        <v>48</v>
      </c>
      <c r="B29" s="157">
        <f>TableB2!C29/TableB2!K29</f>
        <v>7.8101620505223332E-2</v>
      </c>
      <c r="C29" s="1376">
        <f>(TableB2!D29+TableB2!F29)/TableB2!L29</f>
        <v>9.2360487610232703E-2</v>
      </c>
      <c r="D29" s="1161">
        <f>TableB2!E29/TableB2!M29</f>
        <v>1.8666090866367894E-2</v>
      </c>
      <c r="E29" s="1375">
        <f>TableB2!G29/TableB2!N29</f>
        <v>0.10749413566584214</v>
      </c>
      <c r="F29" s="1376">
        <f>(TableB2!H29+TableB2!J29)/TableB2!O29</f>
        <v>0.14322596878826505</v>
      </c>
      <c r="G29" s="1161">
        <f>TableB2!I29/TableB2!P29</f>
        <v>1.6566787964052445E-2</v>
      </c>
      <c r="H29" s="1375">
        <f t="shared" si="0"/>
        <v>2.9392515160618804E-2</v>
      </c>
      <c r="I29" s="1377">
        <f t="shared" si="1"/>
        <v>5.0865481178032343E-2</v>
      </c>
      <c r="J29" s="1378">
        <f t="shared" si="2"/>
        <v>-2.0993029023154489E-3</v>
      </c>
    </row>
    <row r="30" spans="1:10" x14ac:dyDescent="0.2">
      <c r="A30" s="959" t="s">
        <v>49</v>
      </c>
      <c r="B30" s="157">
        <f>TableB2!C30/TableB2!K30</f>
        <v>1.7638368813208717E-2</v>
      </c>
      <c r="C30" s="1376">
        <f>(TableB2!D30+TableB2!F30)/TableB2!L30</f>
        <v>1.8863365138142373E-2</v>
      </c>
      <c r="D30" s="1161">
        <f>TableB2!E30/TableB2!M30</f>
        <v>5.000837987175006E-3</v>
      </c>
      <c r="E30" s="1375">
        <f>TableB2!G30/TableB2!N30</f>
        <v>2.0614132393282136E-2</v>
      </c>
      <c r="F30" s="1376">
        <f>(TableB2!H30+TableB2!J30)/TableB2!O30</f>
        <v>1.7845871096707308E-2</v>
      </c>
      <c r="G30" s="1161">
        <f>TableB2!I30/TableB2!P30</f>
        <v>6.495365934241383E-2</v>
      </c>
      <c r="H30" s="1375">
        <f t="shared" si="0"/>
        <v>2.9757635800734192E-3</v>
      </c>
      <c r="I30" s="1377">
        <f t="shared" si="1"/>
        <v>-1.0174940414350644E-3</v>
      </c>
      <c r="J30" s="1378">
        <f t="shared" si="2"/>
        <v>5.9952821355238828E-2</v>
      </c>
    </row>
    <row r="31" spans="1:10" x14ac:dyDescent="0.2">
      <c r="A31" s="959" t="s">
        <v>50</v>
      </c>
      <c r="B31" s="157"/>
      <c r="C31" s="1376">
        <f>(TableB2!D31+TableB2!F31)/TableB2!L31</f>
        <v>4.0573258687939692E-2</v>
      </c>
      <c r="D31" s="1161"/>
      <c r="E31" s="1375"/>
      <c r="F31" s="1376"/>
      <c r="G31" s="1161"/>
      <c r="H31" s="1375"/>
      <c r="I31" s="1377"/>
      <c r="J31" s="1378"/>
    </row>
    <row r="32" spans="1:10" x14ac:dyDescent="0.2">
      <c r="A32" s="959" t="s">
        <v>51</v>
      </c>
      <c r="B32" s="157">
        <f>TableB2!C32/TableB2!K32</f>
        <v>4.5068230850008766E-2</v>
      </c>
      <c r="C32" s="1376">
        <f>(TableB2!D32+TableB2!F32)/TableB2!L32</f>
        <v>5.311593005333639E-2</v>
      </c>
      <c r="D32" s="1161">
        <f>TableB2!E32/TableB2!M32</f>
        <v>2.0350804007925775E-2</v>
      </c>
      <c r="E32" s="1375">
        <f>TableB2!G32/TableB2!N32</f>
        <v>4.323262274682068E-2</v>
      </c>
      <c r="F32" s="1376">
        <f>(TableB2!H32+TableB2!J32)/TableB2!O32</f>
        <v>4.720580412915712E-2</v>
      </c>
      <c r="G32" s="1161">
        <f>TableB2!I32/TableB2!P32</f>
        <v>3.2012231953872122E-2</v>
      </c>
      <c r="H32" s="1375">
        <f t="shared" si="0"/>
        <v>-1.8356081031880855E-3</v>
      </c>
      <c r="I32" s="1377">
        <f t="shared" si="1"/>
        <v>-5.91012592417927E-3</v>
      </c>
      <c r="J32" s="1378">
        <f t="shared" si="2"/>
        <v>1.1661427945946348E-2</v>
      </c>
    </row>
    <row r="33" spans="1:10" x14ac:dyDescent="0.2">
      <c r="A33" s="959" t="s">
        <v>52</v>
      </c>
      <c r="B33" s="157">
        <f>TableB2!C33/TableB2!K33</f>
        <v>8.8396064631452886E-2</v>
      </c>
      <c r="C33" s="1376">
        <f>(TableB2!D33+TableB2!F33)/TableB2!L33</f>
        <v>0.11670557027212669</v>
      </c>
      <c r="D33" s="1161">
        <f>TableB2!E33/TableB2!M33</f>
        <v>2.9665007628270481E-2</v>
      </c>
      <c r="E33" s="1375">
        <f>TableB2!G33/TableB2!N33</f>
        <v>3.001807315888614E-2</v>
      </c>
      <c r="F33" s="1376">
        <f>(TableB2!H33+TableB2!J33)/TableB2!O33</f>
        <v>3.6544628621063661E-2</v>
      </c>
      <c r="G33" s="1161">
        <f>TableB2!I33/TableB2!P33</f>
        <v>4.3844906188038177E-3</v>
      </c>
      <c r="H33" s="1375">
        <f t="shared" si="0"/>
        <v>-5.8377991472566747E-2</v>
      </c>
      <c r="I33" s="1377">
        <f t="shared" si="1"/>
        <v>-8.0160941651063022E-2</v>
      </c>
      <c r="J33" s="1378">
        <f t="shared" si="2"/>
        <v>-2.5280517009466662E-2</v>
      </c>
    </row>
    <row r="34" spans="1:10" x14ac:dyDescent="0.2">
      <c r="A34" s="1237" t="s">
        <v>53</v>
      </c>
      <c r="B34" s="157">
        <f>TableB2!C34/TableB2!K34</f>
        <v>4.039585632031354E-2</v>
      </c>
      <c r="C34" s="1376">
        <f>(TableB2!D34+TableB2!F34)/TableB2!L34</f>
        <v>3.8554027137206584E-2</v>
      </c>
      <c r="D34" s="1161">
        <f>TableB2!E34/TableB2!M34</f>
        <v>4.4098875325236896E-2</v>
      </c>
      <c r="E34" s="1375">
        <f>TableB2!G34/TableB2!N34</f>
        <v>5.2058814781354004E-2</v>
      </c>
      <c r="F34" s="1376">
        <f>(TableB2!H34+TableB2!J34)/TableB2!O34</f>
        <v>4.8247942064149223E-2</v>
      </c>
      <c r="G34" s="1161">
        <f>TableB2!I34/TableB2!P34</f>
        <v>-0.10203335474447203</v>
      </c>
      <c r="H34" s="1375">
        <f t="shared" si="0"/>
        <v>1.1662958461040464E-2</v>
      </c>
      <c r="I34" s="1377">
        <f t="shared" si="1"/>
        <v>9.6939149269426386E-3</v>
      </c>
      <c r="J34" s="1378">
        <f t="shared" si="2"/>
        <v>-0.14613223006970893</v>
      </c>
    </row>
    <row r="35" spans="1:10" x14ac:dyDescent="0.2">
      <c r="A35" s="959" t="s">
        <v>54</v>
      </c>
      <c r="B35" s="157">
        <f>TableB2!C35/TableB2!K35</f>
        <v>9.8167447318969633E-2</v>
      </c>
      <c r="C35" s="1376">
        <f>(TableB2!D35+TableB2!F35)/TableB2!L35</f>
        <v>0.11555923695627993</v>
      </c>
      <c r="D35" s="1161">
        <f>TableB2!E35/TableB2!M35</f>
        <v>4.5616909681224768E-2</v>
      </c>
      <c r="E35" s="1375">
        <f>TableB2!G35/TableB2!N35</f>
        <v>3.0482207238506465E-2</v>
      </c>
      <c r="F35" s="1376">
        <f>(TableB2!H35+TableB2!J35)/TableB2!O35</f>
        <v>2.8378957409121261E-2</v>
      </c>
      <c r="G35" s="1161">
        <f>TableB2!I35/TableB2!P35</f>
        <v>-2.3136343699766472E-3</v>
      </c>
      <c r="H35" s="1375">
        <f t="shared" si="0"/>
        <v>-6.7685240080463172E-2</v>
      </c>
      <c r="I35" s="1377">
        <f t="shared" si="1"/>
        <v>-8.7180279547158665E-2</v>
      </c>
      <c r="J35" s="1378">
        <f t="shared" si="2"/>
        <v>-4.7930544051201417E-2</v>
      </c>
    </row>
    <row r="36" spans="1:10" x14ac:dyDescent="0.2">
      <c r="A36" s="959" t="s">
        <v>55</v>
      </c>
      <c r="B36" s="157">
        <f>TableB2!C36/TableB2!K36</f>
        <v>4.1452911050980194E-2</v>
      </c>
      <c r="C36" s="1376">
        <f>(TableB2!D36+TableB2!F36)/TableB2!L36</f>
        <v>3.9224796710890387E-2</v>
      </c>
      <c r="D36" s="1161">
        <f>TableB2!E36/TableB2!M36</f>
        <v>5.9804213721429203E-2</v>
      </c>
      <c r="E36" s="1375">
        <f>TableB2!G36/TableB2!N36</f>
        <v>3.3722622932337708E-2</v>
      </c>
      <c r="F36" s="1376">
        <f>(TableB2!H36+TableB2!J36)/TableB2!O36</f>
        <v>3.3268297581414752E-2</v>
      </c>
      <c r="G36" s="1161">
        <f>TableB2!I36/TableB2!P36</f>
        <v>2.7596091312603994E-2</v>
      </c>
      <c r="H36" s="1375">
        <f t="shared" si="0"/>
        <v>-7.7302881186424866E-3</v>
      </c>
      <c r="I36" s="1377">
        <f t="shared" si="1"/>
        <v>-5.9564991294756356E-3</v>
      </c>
      <c r="J36" s="1378">
        <f t="shared" si="2"/>
        <v>-3.2208122408825209E-2</v>
      </c>
    </row>
    <row r="37" spans="1:10" x14ac:dyDescent="0.2">
      <c r="A37" s="959" t="s">
        <v>336</v>
      </c>
      <c r="B37" s="157">
        <f>TableB2!C37/TableB2!K37</f>
        <v>9.6075501422922968E-2</v>
      </c>
      <c r="C37" s="1376">
        <f>(TableB2!D37+TableB2!F37)/TableB2!L37</f>
        <v>0.10517750329412269</v>
      </c>
      <c r="D37" s="1161">
        <f>TableB2!E37/TableB2!M37</f>
        <v>4.4572161805035558E-2</v>
      </c>
      <c r="E37" s="1375">
        <f>TableB2!G37/TableB2!N37</f>
        <v>0.14231458349873014</v>
      </c>
      <c r="F37" s="1376">
        <f>(TableB2!H37+TableB2!J37)/TableB2!O37</f>
        <v>0.1775669311983902</v>
      </c>
      <c r="G37" s="1161">
        <f>TableB2!I37/TableB2!P37</f>
        <v>2.6541783315726077E-2</v>
      </c>
      <c r="H37" s="1375">
        <f t="shared" si="0"/>
        <v>4.6239082075807167E-2</v>
      </c>
      <c r="I37" s="1377">
        <f t="shared" si="1"/>
        <v>7.2389427904267514E-2</v>
      </c>
      <c r="J37" s="1378">
        <f t="shared" si="2"/>
        <v>-1.8030378489309482E-2</v>
      </c>
    </row>
    <row r="38" spans="1:10" x14ac:dyDescent="0.2">
      <c r="A38" s="1237" t="s">
        <v>57</v>
      </c>
      <c r="B38" s="157">
        <f>TableB2!C38/TableB2!K38</f>
        <v>8.5282720595138958E-2</v>
      </c>
      <c r="C38" s="1376">
        <f>(TableB2!D38+TableB2!F38)/TableB2!L38</f>
        <v>9.5699844653802851E-2</v>
      </c>
      <c r="D38" s="1161">
        <f>TableB2!E38/TableB2!M38</f>
        <v>2.8806912160011799E-2</v>
      </c>
      <c r="E38" s="1375">
        <f>TableB2!G38/TableB2!N38</f>
        <v>9.1989737366230239E-3</v>
      </c>
      <c r="F38" s="1376">
        <f>(TableB2!H38+TableB2!J38)/TableB2!O38</f>
        <v>5.0574700187299426E-3</v>
      </c>
      <c r="G38" s="1161">
        <f>TableB2!I38/TableB2!P38</f>
        <v>1.9779305661177093E-2</v>
      </c>
      <c r="H38" s="1375">
        <f t="shared" si="0"/>
        <v>-7.6083746858515933E-2</v>
      </c>
      <c r="I38" s="1377">
        <f t="shared" si="1"/>
        <v>-9.0642374635072909E-2</v>
      </c>
      <c r="J38" s="1378">
        <f t="shared" si="2"/>
        <v>-9.0276064988347067E-3</v>
      </c>
    </row>
    <row r="39" spans="1:10" x14ac:dyDescent="0.2">
      <c r="A39" s="959" t="s">
        <v>58</v>
      </c>
      <c r="B39" s="157">
        <f>TableB2!C39/TableB2!K39</f>
        <v>3.9233183979785653E-2</v>
      </c>
      <c r="C39" s="1376">
        <f>(TableB2!D39+TableB2!F39)/TableB2!L39</f>
        <v>4.0488400008503393E-2</v>
      </c>
      <c r="D39" s="1161">
        <f>TableB2!E39/TableB2!M39</f>
        <v>3.3200961291942152E-2</v>
      </c>
      <c r="E39" s="1375">
        <f>TableB2!G39/TableB2!N39</f>
        <v>6.1335410970657804E-2</v>
      </c>
      <c r="F39" s="1376">
        <f>(TableB2!H39+TableB2!J39)/TableB2!O39</f>
        <v>5.9199159366181697E-2</v>
      </c>
      <c r="G39" s="1161">
        <f>TableB2!I39/TableB2!P39</f>
        <v>3.29431685998582E-2</v>
      </c>
      <c r="H39" s="1375">
        <f t="shared" si="0"/>
        <v>2.2102226990872151E-2</v>
      </c>
      <c r="I39" s="1377">
        <f t="shared" si="1"/>
        <v>1.8710759357678304E-2</v>
      </c>
      <c r="J39" s="1378">
        <f t="shared" si="2"/>
        <v>-2.5779269208395239E-4</v>
      </c>
    </row>
    <row r="40" spans="1:10" x14ac:dyDescent="0.2">
      <c r="A40" s="959" t="s">
        <v>59</v>
      </c>
      <c r="B40" s="157">
        <f>TableB2!C40/TableB2!K40</f>
        <v>6.86234260248091E-2</v>
      </c>
      <c r="C40" s="1376">
        <f>(TableB2!D40+TableB2!F40)/TableB2!L40</f>
        <v>7.8393596946110394E-2</v>
      </c>
      <c r="D40" s="1161">
        <f>TableB2!E40/TableB2!M40</f>
        <v>2.7746935485664394E-2</v>
      </c>
      <c r="E40" s="1375">
        <f>TableB2!G40/TableB2!N40</f>
        <v>7.6477242481107918E-2</v>
      </c>
      <c r="F40" s="1376">
        <f>(TableB2!H40+TableB2!J40)/TableB2!O40</f>
        <v>7.8922218237978681E-2</v>
      </c>
      <c r="G40" s="1161">
        <f>TableB2!I40/TableB2!P40</f>
        <v>4.860297481298357E-2</v>
      </c>
      <c r="H40" s="1375">
        <f t="shared" si="0"/>
        <v>7.8538164562988177E-3</v>
      </c>
      <c r="I40" s="1377">
        <f t="shared" si="1"/>
        <v>5.2862129186828644E-4</v>
      </c>
      <c r="J40" s="1378">
        <f t="shared" si="2"/>
        <v>2.0856039327319175E-2</v>
      </c>
    </row>
    <row r="41" spans="1:10" x14ac:dyDescent="0.2">
      <c r="A41" s="959" t="s">
        <v>60</v>
      </c>
      <c r="B41" s="157">
        <f>TableB2!C41/TableB2!K41</f>
        <v>6.8383489047376012E-2</v>
      </c>
      <c r="C41" s="1376">
        <f>(TableB2!D41+TableB2!F41)/TableB2!L41</f>
        <v>6.870054497996711E-2</v>
      </c>
      <c r="D41" s="1161">
        <f>TableB2!E41/TableB2!M41</f>
        <v>5.5932906791692917E-2</v>
      </c>
      <c r="E41" s="1375">
        <f>TableB2!G41/TableB2!N41</f>
        <v>8.0064771537768128E-2</v>
      </c>
      <c r="F41" s="1376">
        <f>(TableB2!H41+TableB2!J41)/TableB2!O41</f>
        <v>8.5057102388278016E-2</v>
      </c>
      <c r="G41" s="1161">
        <f>TableB2!I41/TableB2!P41</f>
        <v>3.88969333527934E-2</v>
      </c>
      <c r="H41" s="1375">
        <f t="shared" si="0"/>
        <v>1.1681282490392117E-2</v>
      </c>
      <c r="I41" s="1377">
        <f t="shared" si="1"/>
        <v>1.6356557408310907E-2</v>
      </c>
      <c r="J41" s="1378">
        <f t="shared" si="2"/>
        <v>-1.7035973438899517E-2</v>
      </c>
    </row>
    <row r="42" spans="1:10" x14ac:dyDescent="0.2">
      <c r="A42" s="959" t="s">
        <v>61</v>
      </c>
      <c r="B42" s="157">
        <f>TableB2!C42/TableB2!K42</f>
        <v>2.2724420872951557E-2</v>
      </c>
      <c r="C42" s="1376">
        <f>(TableB2!D42+TableB2!F42)/TableB2!L42</f>
        <v>2.3035745320646141E-2</v>
      </c>
      <c r="D42" s="1161">
        <f>TableB2!E42/TableB2!M42</f>
        <v>1.7183431838490932E-2</v>
      </c>
      <c r="E42" s="1375">
        <f>TableB2!G42/TableB2!N42</f>
        <v>6.2664701992967854E-3</v>
      </c>
      <c r="F42" s="1376">
        <f>(TableB2!H42+TableB2!J42)/TableB2!O42</f>
        <v>7.9747692712447901E-3</v>
      </c>
      <c r="G42" s="1161">
        <f>TableB2!I42/TableB2!P42</f>
        <v>3.0638684175687012E-4</v>
      </c>
      <c r="H42" s="1375">
        <f t="shared" si="0"/>
        <v>-1.645795067365477E-2</v>
      </c>
      <c r="I42" s="1377">
        <f t="shared" si="1"/>
        <v>-1.5060976049401351E-2</v>
      </c>
      <c r="J42" s="1378">
        <f t="shared" si="2"/>
        <v>-1.6877044996734061E-2</v>
      </c>
    </row>
    <row r="43" spans="1:10" x14ac:dyDescent="0.2">
      <c r="A43" s="959" t="s">
        <v>62</v>
      </c>
      <c r="B43" s="157">
        <f>TableB2!C43/TableB2!K43</f>
        <v>5.1945520818747593E-2</v>
      </c>
      <c r="C43" s="1376">
        <f>(TableB2!D43+TableB2!F43)/TableB2!L25</f>
        <v>3.4052300322936992</v>
      </c>
      <c r="D43" s="1161">
        <f>TableB2!E43/TableB2!M25</f>
        <v>1.0904432036861469</v>
      </c>
      <c r="E43" s="1375">
        <f>TableB2!G43/TableB2!N43</f>
        <v>5.5881700116768122E-2</v>
      </c>
      <c r="F43" s="1376"/>
      <c r="G43" s="1161"/>
      <c r="H43" s="1375">
        <f t="shared" si="0"/>
        <v>3.9361792980205298E-3</v>
      </c>
      <c r="I43" s="1377"/>
      <c r="J43" s="1378"/>
    </row>
    <row r="44" spans="1:10" x14ac:dyDescent="0.2">
      <c r="A44" s="959" t="s">
        <v>63</v>
      </c>
      <c r="B44" s="157">
        <f>TableB2!C44/TableB2!K44</f>
        <v>2.7892038367271731E-2</v>
      </c>
      <c r="C44" s="1376">
        <f>(TableB2!D44+TableB2!F44)/TableB2!L44</f>
        <v>2.585227384652964E-2</v>
      </c>
      <c r="D44" s="1161">
        <f>TableB2!E44/TableB2!M44</f>
        <v>4.424402831163006E-2</v>
      </c>
      <c r="E44" s="1375">
        <f>TableB2!G44/TableB2!N44</f>
        <v>7.0872018633194034E-2</v>
      </c>
      <c r="F44" s="1376">
        <f>(TableB2!H44+TableB2!J44)/TableB2!O44</f>
        <v>7.1946843697692706E-2</v>
      </c>
      <c r="G44" s="1161">
        <f>TableB2!I44/TableB2!P44</f>
        <v>4.2576900860088876E-2</v>
      </c>
      <c r="H44" s="1375">
        <f t="shared" si="0"/>
        <v>4.2979980265922299E-2</v>
      </c>
      <c r="I44" s="1377">
        <f t="shared" si="1"/>
        <v>4.6094569851163066E-2</v>
      </c>
      <c r="J44" s="1378">
        <f t="shared" si="2"/>
        <v>-1.6671274515411838E-3</v>
      </c>
    </row>
    <row r="45" spans="1:10" ht="17" x14ac:dyDescent="0.2">
      <c r="A45" s="803" t="s">
        <v>64</v>
      </c>
      <c r="B45" s="119"/>
      <c r="C45" s="22"/>
      <c r="D45" s="1161"/>
      <c r="E45" s="1375"/>
      <c r="F45" s="1376"/>
      <c r="G45" s="1161"/>
      <c r="H45" s="1375"/>
      <c r="I45" s="1377"/>
      <c r="J45" s="1378"/>
    </row>
    <row r="46" spans="1:10" x14ac:dyDescent="0.2">
      <c r="A46" s="937" t="s">
        <v>65</v>
      </c>
      <c r="B46" s="119">
        <f>TableB2!C46/TableB2!K46</f>
        <v>6.2173913043478267E-2</v>
      </c>
      <c r="C46" s="22">
        <f>(TableB2!D46+TableB2!F46)/TableB2!L46</f>
        <v>6.0708715355267173E-2</v>
      </c>
      <c r="D46" s="1161">
        <f>TableB2!E46/TableB2!M46</f>
        <v>6.9899133892197776E-2</v>
      </c>
      <c r="E46" s="1375">
        <f>TableB2!G46/TableB2!N46</f>
        <v>5.0269332065517244E-2</v>
      </c>
      <c r="F46" s="1376">
        <f>(TableB2!H46+TableB2!J46)/TableB2!O46</f>
        <v>2.7694062541351355E-2</v>
      </c>
      <c r="G46" s="1161">
        <f>TableB2!I46/TableB2!P46</f>
        <v>-1.0200960639473685E-3</v>
      </c>
      <c r="H46" s="1375">
        <f t="shared" si="0"/>
        <v>-1.1904580977961023E-2</v>
      </c>
      <c r="I46" s="1377">
        <f t="shared" si="1"/>
        <v>-3.3014652813915815E-2</v>
      </c>
      <c r="J46" s="1378">
        <f t="shared" si="2"/>
        <v>-7.0919229956145149E-2</v>
      </c>
    </row>
    <row r="47" spans="1:10" x14ac:dyDescent="0.2">
      <c r="A47" s="123" t="s">
        <v>66</v>
      </c>
      <c r="B47" s="119">
        <f>TableB2!C47/TableB2!K47</f>
        <v>5.0073720941875219E-2</v>
      </c>
      <c r="C47" s="22">
        <f>(TableB2!D47+TableB2!F47)/TableB2!L47</f>
        <v>5.4054477000015921E-2</v>
      </c>
      <c r="D47" s="1161">
        <f>TableB2!E47/TableB2!M47</f>
        <v>0</v>
      </c>
      <c r="E47" s="1375">
        <f>TableB2!G47/TableB2!N47</f>
        <v>0.18304496905888518</v>
      </c>
      <c r="F47" s="1376">
        <f>(TableB2!H47+TableB2!J47)/TableB2!O47</f>
        <v>0.20528036660183002</v>
      </c>
      <c r="G47" s="1161">
        <f>TableB2!I47/TableB2!P47</f>
        <v>0</v>
      </c>
      <c r="H47" s="1375">
        <f t="shared" ref="H47:H88" si="3">E47-B47</f>
        <v>0.13297124811700994</v>
      </c>
      <c r="I47" s="1377">
        <f t="shared" ref="I47:I88" si="4">F47-C47</f>
        <v>0.1512258896018141</v>
      </c>
      <c r="J47" s="1378">
        <f t="shared" ref="J47:J88" si="5">G47-D47</f>
        <v>0</v>
      </c>
    </row>
    <row r="48" spans="1:10" x14ac:dyDescent="0.2">
      <c r="A48" s="123" t="s">
        <v>67</v>
      </c>
      <c r="B48" s="119">
        <f>TableB2!C48/TableB2!K48</f>
        <v>0.14122340425531912</v>
      </c>
      <c r="C48" s="22">
        <f>(TableB2!D48+TableB2!F48)/TableB2!L48</f>
        <v>0.13134956791506849</v>
      </c>
      <c r="D48" s="1161">
        <f>TableB2!E48/TableB2!M48</f>
        <v>0.46885524645454479</v>
      </c>
      <c r="E48" s="1375">
        <f>TableB2!G48/TableB2!N48</f>
        <v>0.19462189085792347</v>
      </c>
      <c r="F48" s="1376">
        <f>(TableB2!H48+TableB2!J48)/TableB2!O48</f>
        <v>0.19628451777777778</v>
      </c>
      <c r="G48" s="1161">
        <f>TableB2!I48/TableB2!P48</f>
        <v>9.4864275666666428E-2</v>
      </c>
      <c r="H48" s="1375">
        <f t="shared" si="3"/>
        <v>5.339848660260435E-2</v>
      </c>
      <c r="I48" s="1377">
        <f t="shared" si="4"/>
        <v>6.4934949862709285E-2</v>
      </c>
      <c r="J48" s="1378">
        <f t="shared" si="5"/>
        <v>-0.37399097078787835</v>
      </c>
    </row>
    <row r="49" spans="1:10" x14ac:dyDescent="0.2">
      <c r="A49" s="123" t="s">
        <v>68</v>
      </c>
      <c r="B49" s="119">
        <f>TableB2!C49/TableB2!K49</f>
        <v>6.6666666666666666E-2</v>
      </c>
      <c r="C49" s="22">
        <f>(TableB2!D49+TableB2!F49)/TableB2!L49</f>
        <v>3.5311367774545459E-2</v>
      </c>
      <c r="D49" s="1161">
        <f>TableB2!E49/TableB2!M49</f>
        <v>0.34481851167741923</v>
      </c>
      <c r="E49" s="1375">
        <f>TableB2!G49/TableB2!N49</f>
        <v>2.6649836405693943E-2</v>
      </c>
      <c r="F49" s="1376">
        <f>(TableB2!H49+TableB2!J49)/TableB2!O49</f>
        <v>3.072999172268907E-2</v>
      </c>
      <c r="G49" s="1161">
        <f>TableB2!I49/TableB2!P49</f>
        <v>4.066651162790696E-3</v>
      </c>
      <c r="H49" s="1375">
        <f t="shared" si="3"/>
        <v>-4.0016830260972719E-2</v>
      </c>
      <c r="I49" s="1377">
        <f t="shared" si="4"/>
        <v>-4.5813760518563888E-3</v>
      </c>
      <c r="J49" s="1378">
        <f t="shared" si="5"/>
        <v>-0.34075186051462852</v>
      </c>
    </row>
    <row r="50" spans="1:10" x14ac:dyDescent="0.2">
      <c r="A50" s="123" t="s">
        <v>69</v>
      </c>
      <c r="B50" s="119">
        <f>TableB2!C50/TableB2!K50</f>
        <v>4.3910256410256407E-2</v>
      </c>
      <c r="C50" s="22">
        <f>(TableB2!D50+TableB2!F50)/TableB2!L50</f>
        <v>2.3608474179999995E-2</v>
      </c>
      <c r="D50" s="1161">
        <f>TableB2!E50/TableB2!M50</f>
        <v>0.3962058892294118</v>
      </c>
      <c r="E50" s="1375">
        <f>TableB2!G50/TableB2!N50</f>
        <v>5.91809396403302E-2</v>
      </c>
      <c r="F50" s="1376">
        <f>(TableB2!H50+TableB2!J50)/TableB2!O50</f>
        <v>7.3460168601470588E-2</v>
      </c>
      <c r="G50" s="1161">
        <f>TableB2!I50/TableB2!P50</f>
        <v>1.3840605119047622E-3</v>
      </c>
      <c r="H50" s="1375">
        <f t="shared" si="3"/>
        <v>1.5270683230073794E-2</v>
      </c>
      <c r="I50" s="1377">
        <f t="shared" si="4"/>
        <v>4.9851694421470596E-2</v>
      </c>
      <c r="J50" s="1378">
        <f t="shared" si="5"/>
        <v>-0.39482182871750704</v>
      </c>
    </row>
    <row r="51" spans="1:10" x14ac:dyDescent="0.2">
      <c r="A51" s="123" t="s">
        <v>70</v>
      </c>
      <c r="B51" s="119">
        <f>TableB2!C51/TableB2!K51</f>
        <v>0.15953307392996108</v>
      </c>
      <c r="C51" s="22">
        <f>(TableB2!D51+TableB2!F51)/TableB2!L51</f>
        <v>0.15754482587064678</v>
      </c>
      <c r="D51" s="1161">
        <f>TableB2!E51/TableB2!M51</f>
        <v>0.16666946428571427</v>
      </c>
      <c r="E51" s="1375">
        <f>TableB2!G51/TableB2!N51</f>
        <v>6.0218919860627176E-2</v>
      </c>
      <c r="F51" s="1376">
        <f>(TableB2!H51+TableB2!J51)/TableB2!O51</f>
        <v>4.6931737588652489E-2</v>
      </c>
      <c r="G51" s="1161">
        <f>TableB2!I51/TableB2!P51</f>
        <v>0.80961599999999989</v>
      </c>
      <c r="H51" s="1375">
        <f t="shared" si="3"/>
        <v>-9.9314154069333901E-2</v>
      </c>
      <c r="I51" s="1377">
        <f t="shared" si="4"/>
        <v>-0.11061308828199429</v>
      </c>
      <c r="J51" s="1378">
        <f t="shared" si="5"/>
        <v>0.64294653571428562</v>
      </c>
    </row>
    <row r="52" spans="1:10" x14ac:dyDescent="0.2">
      <c r="A52" s="123" t="s">
        <v>71</v>
      </c>
      <c r="B52" s="119">
        <f>TableB2!C52/TableB2!K52</f>
        <v>5.5590551181102357E-2</v>
      </c>
      <c r="C52" s="22">
        <f>(TableB2!D52+TableB2!F52)/TableB2!L52</f>
        <v>6.4030250960194171E-2</v>
      </c>
      <c r="D52" s="1161">
        <f>TableB2!E52/TableB2!M52</f>
        <v>1.9370172962500001E-2</v>
      </c>
      <c r="E52" s="1375">
        <f>TableB2!G52/TableB2!N52</f>
        <v>2.1463090905161287E-2</v>
      </c>
      <c r="F52" s="1376">
        <f>(TableB2!H52+TableB2!J52)/TableB2!O52</f>
        <v>1.9337127967567567E-2</v>
      </c>
      <c r="G52" s="1161">
        <f>TableB2!I52/TableB2!P52</f>
        <v>6.6412021585714284E-2</v>
      </c>
      <c r="H52" s="1375">
        <f t="shared" si="3"/>
        <v>-3.4127460275941074E-2</v>
      </c>
      <c r="I52" s="1377">
        <f t="shared" si="4"/>
        <v>-4.4693122992626608E-2</v>
      </c>
      <c r="J52" s="1378">
        <f t="shared" si="5"/>
        <v>4.7041848623214283E-2</v>
      </c>
    </row>
    <row r="53" spans="1:10" ht="17" x14ac:dyDescent="0.2">
      <c r="A53" s="803" t="s">
        <v>72</v>
      </c>
      <c r="B53" s="119"/>
      <c r="C53" s="22"/>
      <c r="D53" s="1161"/>
      <c r="E53" s="1375"/>
      <c r="F53" s="1376"/>
      <c r="G53" s="1161"/>
      <c r="H53" s="1375"/>
      <c r="I53" s="1377"/>
      <c r="J53" s="1378"/>
    </row>
    <row r="54" spans="1:10" x14ac:dyDescent="0.2">
      <c r="A54" s="123" t="s">
        <v>73</v>
      </c>
      <c r="B54" s="119">
        <f>TableB2!C54/TableB2!K54</f>
        <v>7.3427991886409749E-2</v>
      </c>
      <c r="C54" s="22">
        <f>(TableB2!D54+TableB2!F54)/TableB2!L54</f>
        <v>0.62243466861239516</v>
      </c>
      <c r="D54" s="1161">
        <f>TableB2!E54/TableB2!M54</f>
        <v>0</v>
      </c>
      <c r="E54" s="1375">
        <f>TableB2!G54/TableB2!N54</f>
        <v>4.1257485029940123E-2</v>
      </c>
      <c r="F54" s="1376">
        <f>(TableB2!H54+TableB2!J54)/TableB2!O54</f>
        <v>1.0694299838445078</v>
      </c>
      <c r="G54" s="1161">
        <f>TableB2!I54/TableB2!P54</f>
        <v>0</v>
      </c>
      <c r="H54" s="1375">
        <f t="shared" si="3"/>
        <v>-3.2170506856469626E-2</v>
      </c>
      <c r="I54" s="1377">
        <f t="shared" si="4"/>
        <v>0.44699531523211267</v>
      </c>
      <c r="J54" s="1378">
        <f t="shared" si="5"/>
        <v>0</v>
      </c>
    </row>
    <row r="55" spans="1:10" x14ac:dyDescent="0.2">
      <c r="A55" s="123" t="s">
        <v>74</v>
      </c>
      <c r="B55" s="119">
        <f>TableB2!C55/TableB2!K55</f>
        <v>1.4542133493059195</v>
      </c>
      <c r="C55" s="22">
        <f>(TableB2!D55+TableB2!F55)/TableB2!L55</f>
        <v>15.619442461113552</v>
      </c>
      <c r="D55" s="1161">
        <f>TableB2!E55/TableB2!M55</f>
        <v>0</v>
      </c>
      <c r="E55" s="1375">
        <f>TableB2!G55/TableB2!N55</f>
        <v>6.3596491228070165E-3</v>
      </c>
      <c r="F55" s="1376">
        <f>(TableB2!H55+TableB2!J55)/TableB2!O55</f>
        <v>1.726190476190476E-2</v>
      </c>
      <c r="G55" s="1161">
        <f>TableB2!I55/TableB2!P55</f>
        <v>0</v>
      </c>
      <c r="H55" s="1375">
        <f t="shared" si="3"/>
        <v>-1.4478537001831124</v>
      </c>
      <c r="I55" s="1377">
        <f t="shared" si="4"/>
        <v>-15.602180556351648</v>
      </c>
      <c r="J55" s="1378">
        <f t="shared" si="5"/>
        <v>0</v>
      </c>
    </row>
    <row r="56" spans="1:10" x14ac:dyDescent="0.2">
      <c r="A56" s="959" t="str">
        <f>+TableA1!A56</f>
        <v>Antigua and Barbuda</v>
      </c>
      <c r="B56" s="119">
        <f>TableB2!C56/TableB2!K56</f>
        <v>1.1571729810233067</v>
      </c>
      <c r="C56" s="22">
        <f>(TableB2!D56+TableB2!F56)/TableB2!L56</f>
        <v>1.1569209220343215</v>
      </c>
      <c r="D56" s="1161">
        <f>TableB2!E56/TableB2!M56</f>
        <v>0</v>
      </c>
      <c r="E56" s="1375">
        <f>TableB2!G56/TableB2!N56</f>
        <v>0</v>
      </c>
      <c r="F56" s="1376">
        <f>(TableB2!H56+TableB2!J56)/TableB2!O56</f>
        <v>0</v>
      </c>
      <c r="G56" s="1161">
        <f>TableB2!I56/TableB2!P56</f>
        <v>0</v>
      </c>
      <c r="H56" s="1375">
        <f t="shared" si="3"/>
        <v>-1.1571729810233067</v>
      </c>
      <c r="I56" s="1377">
        <f t="shared" si="4"/>
        <v>-1.1569209220343215</v>
      </c>
      <c r="J56" s="1378">
        <f t="shared" si="5"/>
        <v>0</v>
      </c>
    </row>
    <row r="57" spans="1:10" x14ac:dyDescent="0.2">
      <c r="A57" s="123" t="s">
        <v>76</v>
      </c>
      <c r="B57" s="119">
        <f>TableB2!C57/TableB2!K57</f>
        <v>2.4374094765432102E-2</v>
      </c>
      <c r="C57" s="22">
        <f>(TableB2!D57+TableB2!F57)/TableB2!L57</f>
        <v>3.0004584741641339E-2</v>
      </c>
      <c r="D57" s="1161">
        <f>TableB2!E57/TableB2!M57</f>
        <v>0</v>
      </c>
      <c r="E57" s="1375">
        <f>TableB2!G57/TableB2!N57</f>
        <v>0.54285714285714293</v>
      </c>
      <c r="F57" s="1376">
        <f>(TableB2!H57+TableB2!J57)/TableB2!O57</f>
        <v>0.79877857797896035</v>
      </c>
      <c r="G57" s="1161">
        <f>TableB2!I57/TableB2!P57</f>
        <v>0</v>
      </c>
      <c r="H57" s="1375">
        <f t="shared" si="3"/>
        <v>0.51848304809171086</v>
      </c>
      <c r="I57" s="1377">
        <f t="shared" si="4"/>
        <v>0.76877399323731899</v>
      </c>
      <c r="J57" s="1378">
        <f t="shared" si="5"/>
        <v>0</v>
      </c>
    </row>
    <row r="58" spans="1:10" x14ac:dyDescent="0.2">
      <c r="A58" s="123" t="s">
        <v>152</v>
      </c>
      <c r="B58" s="119">
        <f>TableB2!C58/TableB2!K58</f>
        <v>2.9481713440197854E-2</v>
      </c>
      <c r="C58" s="22">
        <f>(TableB2!D58+TableB2!F58)/TableB2!L58</f>
        <v>9.1426437185332665E-2</v>
      </c>
      <c r="D58" s="1161">
        <f>TableB2!E58/TableB2!M58</f>
        <v>0</v>
      </c>
      <c r="E58" s="1375">
        <f>TableB2!G58/TableB2!N58</f>
        <v>1.7316995232468598E-2</v>
      </c>
      <c r="F58" s="1376">
        <f>(TableB2!H58+TableB2!J58)/TableB2!O58</f>
        <v>2.655632810221004E-2</v>
      </c>
      <c r="G58" s="1161">
        <f>TableB2!I58/TableB2!P58</f>
        <v>0</v>
      </c>
      <c r="H58" s="1375">
        <f t="shared" si="3"/>
        <v>-1.2164718207729255E-2</v>
      </c>
      <c r="I58" s="1377">
        <f t="shared" si="4"/>
        <v>-6.4870109083122629E-2</v>
      </c>
      <c r="J58" s="1378">
        <f t="shared" si="5"/>
        <v>0</v>
      </c>
    </row>
    <row r="59" spans="1:10" x14ac:dyDescent="0.2">
      <c r="A59" s="123" t="s">
        <v>78</v>
      </c>
      <c r="B59" s="119">
        <f>TableB2!C59/TableB2!K59</f>
        <v>2.5441980794908628E-2</v>
      </c>
      <c r="C59" s="22">
        <f>(TableB2!D59+TableB2!F59)/TableB2!L59</f>
        <v>3.1579300723505004E-2</v>
      </c>
      <c r="D59" s="1161">
        <f>TableB2!E59/TableB2!M59</f>
        <v>0</v>
      </c>
      <c r="E59" s="1375">
        <f>TableB2!G59/TableB2!N59</f>
        <v>3.8316831683168323E-2</v>
      </c>
      <c r="F59" s="1376">
        <f>(TableB2!H59+TableB2!J59)/TableB2!O59</f>
        <v>4.2527472527472535E-2</v>
      </c>
      <c r="G59" s="1161">
        <f>TableB2!I59/TableB2!P59</f>
        <v>0</v>
      </c>
      <c r="H59" s="1375">
        <f t="shared" si="3"/>
        <v>1.2874850888259695E-2</v>
      </c>
      <c r="I59" s="1377">
        <f t="shared" si="4"/>
        <v>1.0948171803967531E-2</v>
      </c>
      <c r="J59" s="1378">
        <f t="shared" si="5"/>
        <v>0</v>
      </c>
    </row>
    <row r="60" spans="1:10" x14ac:dyDescent="0.2">
      <c r="A60" s="959" t="str">
        <f>+TableA1!A60</f>
        <v>Barbados</v>
      </c>
      <c r="B60" s="119">
        <f>TableB2!C60/TableB2!K60</f>
        <v>2.8871577556244116E-2</v>
      </c>
      <c r="C60" s="22">
        <f>(TableB2!D60+TableB2!F60)/TableB2!L60</f>
        <v>0.11903477227099531</v>
      </c>
      <c r="D60" s="1161">
        <f>TableB2!E60/TableB2!M60</f>
        <v>0</v>
      </c>
      <c r="E60" s="1375">
        <f>TableB2!G60/TableB2!N60</f>
        <v>1.4592084367239933E-2</v>
      </c>
      <c r="F60" s="1376">
        <f>(TableB2!H60+TableB2!J60)/TableB2!O60</f>
        <v>2.4677789738714595E-2</v>
      </c>
      <c r="G60" s="1161">
        <f>TableB2!I60/TableB2!P60</f>
        <v>0</v>
      </c>
      <c r="H60" s="1375">
        <f t="shared" si="3"/>
        <v>-1.4279493189004183E-2</v>
      </c>
      <c r="I60" s="1377">
        <f t="shared" si="4"/>
        <v>-9.4356982532280712E-2</v>
      </c>
      <c r="J60" s="1378">
        <f t="shared" si="5"/>
        <v>0</v>
      </c>
    </row>
    <row r="61" spans="1:10" x14ac:dyDescent="0.2">
      <c r="A61" s="123" t="s">
        <v>80</v>
      </c>
      <c r="B61" s="119">
        <f>TableB2!C61/TableB2!K61</f>
        <v>0.18440111420612817</v>
      </c>
      <c r="C61" s="22">
        <f>(TableB2!D61+TableB2!F61)/TableB2!L61</f>
        <v>0.19820359281437128</v>
      </c>
      <c r="D61" s="1161">
        <f>TableB2!E61/TableB2!M61</f>
        <v>0</v>
      </c>
      <c r="E61" s="1375">
        <f>TableB2!G61/TableB2!N61</f>
        <v>6.0224990049751251E-4</v>
      </c>
      <c r="F61" s="1376">
        <f>(TableB2!H61+TableB2!J61)/TableB2!O61</f>
        <v>8.6465878571428576E-4</v>
      </c>
      <c r="G61" s="1161">
        <f>TableB2!I61/TableB2!P61</f>
        <v>0</v>
      </c>
      <c r="H61" s="1375">
        <f t="shared" si="3"/>
        <v>-0.18379886430563067</v>
      </c>
      <c r="I61" s="1377">
        <f t="shared" si="4"/>
        <v>-0.19733893402865699</v>
      </c>
      <c r="J61" s="1378">
        <f t="shared" si="5"/>
        <v>0</v>
      </c>
    </row>
    <row r="62" spans="1:10" x14ac:dyDescent="0.2">
      <c r="A62" s="123" t="s">
        <v>81</v>
      </c>
      <c r="B62" s="119">
        <f>TableB2!C62/TableB2!K62</f>
        <v>7.5510660002823041E-2</v>
      </c>
      <c r="C62" s="22">
        <f>(TableB2!D62+TableB2!F62)/TableB2!L62</f>
        <v>7.8620654236876711E-2</v>
      </c>
      <c r="D62" s="1161">
        <f>TableB2!E62/TableB2!M62</f>
        <v>0</v>
      </c>
      <c r="E62" s="1375">
        <f>TableB2!G62/TableB2!N62</f>
        <v>4.5394287755763013E-2</v>
      </c>
      <c r="F62" s="1376">
        <f>(TableB2!H62+TableB2!J62)/TableB2!O62</f>
        <v>6.316113227856654E-2</v>
      </c>
      <c r="G62" s="1161">
        <f>TableB2!I62/TableB2!P62</f>
        <v>0</v>
      </c>
      <c r="H62" s="1375">
        <f t="shared" si="3"/>
        <v>-3.0116372247060028E-2</v>
      </c>
      <c r="I62" s="1377">
        <f t="shared" si="4"/>
        <v>-1.5459521958310171E-2</v>
      </c>
      <c r="J62" s="1378">
        <f t="shared" si="5"/>
        <v>0</v>
      </c>
    </row>
    <row r="63" spans="1:10" x14ac:dyDescent="0.2">
      <c r="A63" s="123" t="s">
        <v>82</v>
      </c>
      <c r="B63" s="119"/>
      <c r="C63" s="22"/>
      <c r="D63" s="1161"/>
      <c r="E63" s="1375"/>
      <c r="F63" s="1376"/>
      <c r="G63" s="1161"/>
      <c r="H63" s="1375"/>
      <c r="I63" s="1377"/>
      <c r="J63" s="1378"/>
    </row>
    <row r="64" spans="1:10" x14ac:dyDescent="0.2">
      <c r="A64" s="123" t="s">
        <v>153</v>
      </c>
      <c r="B64" s="119">
        <f>TableB2!C64/TableB2!K64</f>
        <v>8.3296450153818051E-4</v>
      </c>
      <c r="C64" s="22">
        <f>(TableB2!D64+TableB2!F64)/TableB2!L64</f>
        <v>1.0886101107501019E-3</v>
      </c>
      <c r="D64" s="1161">
        <f>TableB2!E64/TableB2!M64</f>
        <v>0</v>
      </c>
      <c r="E64" s="1375">
        <f>TableB2!G64/TableB2!N64</f>
        <v>4.0218570828020293E-3</v>
      </c>
      <c r="F64" s="1376">
        <f>(TableB2!H64+TableB2!J64)/TableB2!O64</f>
        <v>4.7291347591740824E-3</v>
      </c>
      <c r="G64" s="1161">
        <f>TableB2!I64/TableB2!P64</f>
        <v>0</v>
      </c>
      <c r="H64" s="1375">
        <f t="shared" si="3"/>
        <v>3.1888925812638487E-3</v>
      </c>
      <c r="I64" s="1377">
        <f t="shared" si="4"/>
        <v>3.6405246484239803E-3</v>
      </c>
      <c r="J64" s="1378">
        <f t="shared" si="5"/>
        <v>0</v>
      </c>
    </row>
    <row r="65" spans="1:10" x14ac:dyDescent="0.2">
      <c r="A65" s="123" t="s">
        <v>84</v>
      </c>
      <c r="B65" s="119">
        <f>TableB2!C65/TableB2!K65</f>
        <v>5.8218795713932701E-2</v>
      </c>
      <c r="C65" s="22">
        <f>(TableB2!D65+TableB2!F65)/TableB2!L65</f>
        <v>6.5289904505098612E-2</v>
      </c>
      <c r="D65" s="1161">
        <f>TableB2!E65/TableB2!M65</f>
        <v>0</v>
      </c>
      <c r="E65" s="1375">
        <f>TableB2!G65/TableB2!N65</f>
        <v>2.8490676011213179E-2</v>
      </c>
      <c r="F65" s="1376">
        <f>(TableB2!H65+TableB2!J65)/TableB2!O65</f>
        <v>4.4414231918850133E-2</v>
      </c>
      <c r="G65" s="1161">
        <f>TableB2!I65/TableB2!P65</f>
        <v>0</v>
      </c>
      <c r="H65" s="1375">
        <f t="shared" si="3"/>
        <v>-2.9728119702719522E-2</v>
      </c>
      <c r="I65" s="1377">
        <f t="shared" si="4"/>
        <v>-2.0875672586248478E-2</v>
      </c>
      <c r="J65" s="1378">
        <f t="shared" si="5"/>
        <v>0</v>
      </c>
    </row>
    <row r="66" spans="1:10" x14ac:dyDescent="0.2">
      <c r="A66" s="123" t="s">
        <v>85</v>
      </c>
      <c r="B66" s="119">
        <f>TableB2!C66/TableB2!K66</f>
        <v>0.58288306035940884</v>
      </c>
      <c r="C66" s="22">
        <f>(TableB2!D66+TableB2!F66)/TableB2!L66</f>
        <v>0.93529796249609543</v>
      </c>
      <c r="D66" s="1161">
        <f>TableB2!E66/TableB2!M66</f>
        <v>0</v>
      </c>
      <c r="E66" s="1375">
        <f>TableB2!G66/TableB2!N66</f>
        <v>4.9654343807763395</v>
      </c>
      <c r="F66" s="1376">
        <f>(TableB2!H66+TableB2!J66)/TableB2!O66</f>
        <v>5.6553684210526312</v>
      </c>
      <c r="G66" s="1161">
        <f>TableB2!I66/TableB2!P66</f>
        <v>0</v>
      </c>
      <c r="H66" s="1375">
        <f t="shared" si="3"/>
        <v>4.3825513204169306</v>
      </c>
      <c r="I66" s="1377">
        <f t="shared" si="4"/>
        <v>4.7200704585565356</v>
      </c>
      <c r="J66" s="1378">
        <f t="shared" si="5"/>
        <v>0</v>
      </c>
    </row>
    <row r="67" spans="1:10" x14ac:dyDescent="0.2">
      <c r="A67" s="959" t="str">
        <f>+TableA1!A67</f>
        <v>Cyprus</v>
      </c>
      <c r="B67" s="119">
        <f>TableB2!C67/TableB2!K67</f>
        <v>3.025135704631567E-2</v>
      </c>
      <c r="C67" s="22">
        <f>(TableB2!D67+TableB2!F67)/TableB2!L67</f>
        <v>3.2898350787868291E-2</v>
      </c>
      <c r="D67" s="1161">
        <f>TableB2!E67/TableB2!M67</f>
        <v>0</v>
      </c>
      <c r="E67" s="1375">
        <f>TableB2!G67/TableB2!N67</f>
        <v>1.7100282011860334E-2</v>
      </c>
      <c r="F67" s="1376">
        <f>(TableB2!H67+TableB2!J67)/TableB2!O67</f>
        <v>1.8713516163922628E-2</v>
      </c>
      <c r="G67" s="1161">
        <f>TableB2!I67/TableB2!P67</f>
        <v>0</v>
      </c>
      <c r="H67" s="1375">
        <f t="shared" si="3"/>
        <v>-1.3151075034455336E-2</v>
      </c>
      <c r="I67" s="1377">
        <f t="shared" si="4"/>
        <v>-1.4184834623945663E-2</v>
      </c>
      <c r="J67" s="1378">
        <f t="shared" si="5"/>
        <v>0</v>
      </c>
    </row>
    <row r="68" spans="1:10" x14ac:dyDescent="0.2">
      <c r="A68" s="123" t="s">
        <v>87</v>
      </c>
      <c r="B68" s="119">
        <f>TableB2!C68/TableB2!K68</f>
        <v>3.5167673716012086E-2</v>
      </c>
      <c r="C68" s="22">
        <f>(TableB2!D68+TableB2!F68)/TableB2!L68</f>
        <v>2.1164545454545457E-2</v>
      </c>
      <c r="D68" s="1161">
        <f>TableB2!E68/TableB2!M68</f>
        <v>0</v>
      </c>
      <c r="E68" s="1375">
        <f>TableB2!G68/TableB2!N68</f>
        <v>1.1769572728478363E-3</v>
      </c>
      <c r="F68" s="1376">
        <f>(TableB2!H68+TableB2!J68)/TableB2!O68</f>
        <v>1.4089536583611118E-3</v>
      </c>
      <c r="G68" s="1161">
        <f>TableB2!I68/TableB2!P68</f>
        <v>0</v>
      </c>
      <c r="H68" s="1375">
        <f t="shared" si="3"/>
        <v>-3.3990716443164253E-2</v>
      </c>
      <c r="I68" s="1377">
        <f t="shared" si="4"/>
        <v>-1.9755591796184344E-2</v>
      </c>
      <c r="J68" s="1378">
        <f t="shared" si="5"/>
        <v>0</v>
      </c>
    </row>
    <row r="69" spans="1:10" x14ac:dyDescent="0.2">
      <c r="A69" s="959" t="str">
        <f>+TableA1!A69</f>
        <v>Grenada</v>
      </c>
      <c r="B69" s="119">
        <f>TableB2!C69/TableB2!K69</f>
        <v>1.7460911638766365</v>
      </c>
      <c r="C69" s="22">
        <f>(TableB2!D69+TableB2!F69)/TableB2!L69</f>
        <v>8.0116050713772129</v>
      </c>
      <c r="D69" s="1161">
        <f>TableB2!E69/TableB2!M69</f>
        <v>0</v>
      </c>
      <c r="E69" s="1375">
        <f>TableB2!G69/TableB2!N69</f>
        <v>0</v>
      </c>
      <c r="F69" s="1376">
        <f>(TableB2!H69+TableB2!J69)/TableB2!O69</f>
        <v>0</v>
      </c>
      <c r="G69" s="1161">
        <f>TableB2!I69/TableB2!P69</f>
        <v>0</v>
      </c>
      <c r="H69" s="1375">
        <f t="shared" si="3"/>
        <v>-1.7460911638766365</v>
      </c>
      <c r="I69" s="1377">
        <f t="shared" si="4"/>
        <v>-8.0116050713772129</v>
      </c>
      <c r="J69" s="1378">
        <f t="shared" si="5"/>
        <v>0</v>
      </c>
    </row>
    <row r="70" spans="1:10" x14ac:dyDescent="0.2">
      <c r="A70" s="123" t="s">
        <v>89</v>
      </c>
      <c r="B70" s="119">
        <f>TableB2!C70/TableB2!K70</f>
        <v>4.2843808218488127E-2</v>
      </c>
      <c r="C70" s="22">
        <f>(TableB2!D70+TableB2!F70)/TableB2!L70</f>
        <v>3.5341205857646892E-2</v>
      </c>
      <c r="D70" s="1161">
        <f>TableB2!E70/TableB2!M70</f>
        <v>0</v>
      </c>
      <c r="E70" s="1375">
        <f>TableB2!G70/TableB2!N70</f>
        <v>8.6106487834315612E-2</v>
      </c>
      <c r="F70" s="1376">
        <f>(TableB2!H70+TableB2!J70)/TableB2!O70</f>
        <v>0.12936377556150733</v>
      </c>
      <c r="G70" s="1161">
        <f>TableB2!I70/TableB2!P70</f>
        <v>0</v>
      </c>
      <c r="H70" s="1375">
        <f t="shared" si="3"/>
        <v>4.3262679615827485E-2</v>
      </c>
      <c r="I70" s="1377">
        <f t="shared" si="4"/>
        <v>9.4022569703860442E-2</v>
      </c>
      <c r="J70" s="1378">
        <f t="shared" si="5"/>
        <v>0</v>
      </c>
    </row>
    <row r="71" spans="1:10" x14ac:dyDescent="0.2">
      <c r="A71" s="123" t="s">
        <v>154</v>
      </c>
      <c r="B71" s="119">
        <f>TableB2!C71/TableB2!K71</f>
        <v>2.4725253256459422E-3</v>
      </c>
      <c r="C71" s="22">
        <f>(TableB2!D71+TableB2!F71)/TableB2!L71</f>
        <v>3.9431122840366661E-3</v>
      </c>
      <c r="D71" s="1161">
        <f>TableB2!E71/TableB2!M71</f>
        <v>0</v>
      </c>
      <c r="E71" s="1375">
        <f>TableB2!G71/TableB2!N71</f>
        <v>1.6316931216931219E-2</v>
      </c>
      <c r="F71" s="1376">
        <f>(TableB2!H71+TableB2!J71)/TableB2!O71</f>
        <v>1.8034502923976611E-2</v>
      </c>
      <c r="G71" s="1161">
        <f>TableB2!I71/TableB2!P71</f>
        <v>0</v>
      </c>
      <c r="H71" s="1375">
        <f t="shared" si="3"/>
        <v>1.3844405891285277E-2</v>
      </c>
      <c r="I71" s="1377">
        <f t="shared" si="4"/>
        <v>1.4091390639939945E-2</v>
      </c>
      <c r="J71" s="1378">
        <f t="shared" si="5"/>
        <v>0</v>
      </c>
    </row>
    <row r="72" spans="1:10" x14ac:dyDescent="0.2">
      <c r="A72" s="123" t="s">
        <v>91</v>
      </c>
      <c r="B72" s="119">
        <f>TableB2!C72/TableB2!K72</f>
        <v>9.8561151079136697E-2</v>
      </c>
      <c r="C72" s="22">
        <f>(TableB2!D72+TableB2!F72)/TableB2!L72</f>
        <v>0.1</v>
      </c>
      <c r="D72" s="1161">
        <f>TableB2!E72/TableB2!M72</f>
        <v>0</v>
      </c>
      <c r="E72" s="1375">
        <f>TableB2!G72/TableB2!N72</f>
        <v>8.8177202454565229E-2</v>
      </c>
      <c r="F72" s="1376">
        <f>(TableB2!H72+TableB2!J72)/TableB2!O72</f>
        <v>0.10056573503082646</v>
      </c>
      <c r="G72" s="1161">
        <f>TableB2!I72/TableB2!P72</f>
        <v>0</v>
      </c>
      <c r="H72" s="1375">
        <f t="shared" si="3"/>
        <v>-1.0383948624571468E-2</v>
      </c>
      <c r="I72" s="1377">
        <f t="shared" si="4"/>
        <v>5.6573503082645027E-4</v>
      </c>
      <c r="J72" s="1378">
        <f t="shared" si="5"/>
        <v>0</v>
      </c>
    </row>
    <row r="73" spans="1:10" x14ac:dyDescent="0.2">
      <c r="A73" s="123" t="s">
        <v>92</v>
      </c>
      <c r="B73" s="119">
        <f>TableB2!C73/TableB2!K73</f>
        <v>0.11860867319275652</v>
      </c>
      <c r="C73" s="22">
        <f>(TableB2!D73+TableB2!F73)/TableB2!L73</f>
        <v>4.0168803987946873E-2</v>
      </c>
      <c r="D73" s="1161">
        <f>TableB2!E73/TableB2!M73</f>
        <v>0</v>
      </c>
      <c r="E73" s="1375">
        <f>TableB2!G73/TableB2!N73</f>
        <v>2.4296990351610342E-3</v>
      </c>
      <c r="F73" s="1376">
        <f>(TableB2!H73+TableB2!J73)/TableB2!O73</f>
        <v>3.3248513112729941E-3</v>
      </c>
      <c r="G73" s="1161">
        <f>TableB2!I73/TableB2!P73</f>
        <v>0</v>
      </c>
      <c r="H73" s="1375">
        <f t="shared" si="3"/>
        <v>-0.11617897415759548</v>
      </c>
      <c r="I73" s="1377">
        <f t="shared" si="4"/>
        <v>-3.6843952676673876E-2</v>
      </c>
      <c r="J73" s="1378">
        <f t="shared" si="5"/>
        <v>0</v>
      </c>
    </row>
    <row r="74" spans="1:10" x14ac:dyDescent="0.2">
      <c r="A74" s="123" t="s">
        <v>93</v>
      </c>
      <c r="B74" s="119">
        <f>TableB2!C74/TableB2!K74</f>
        <v>0.30489510489510491</v>
      </c>
      <c r="C74" s="22">
        <f>(TableB2!D74+TableB2!F74)/TableB2!L74</f>
        <v>0.4274509803921569</v>
      </c>
      <c r="D74" s="1161">
        <f>TableB2!E74/TableB2!M74</f>
        <v>0</v>
      </c>
      <c r="E74" s="1375">
        <f>TableB2!G74/TableB2!N74</f>
        <v>6.7062089587345247E-2</v>
      </c>
      <c r="F74" s="1376">
        <f>(TableB2!H74+TableB2!J74)/TableB2!O74</f>
        <v>7.0760724426705363E-2</v>
      </c>
      <c r="G74" s="1161">
        <f>TableB2!I74/TableB2!P74</f>
        <v>0</v>
      </c>
      <c r="H74" s="1375">
        <f t="shared" si="3"/>
        <v>-0.23783301530775966</v>
      </c>
      <c r="I74" s="1377">
        <f t="shared" si="4"/>
        <v>-0.35669025596545156</v>
      </c>
      <c r="J74" s="1378">
        <f t="shared" si="5"/>
        <v>0</v>
      </c>
    </row>
    <row r="75" spans="1:10" x14ac:dyDescent="0.2">
      <c r="A75" s="123" t="s">
        <v>94</v>
      </c>
      <c r="B75" s="119">
        <f>TableB2!C75/TableB2!K75</f>
        <v>2.7777777777777775E-3</v>
      </c>
      <c r="C75" s="22">
        <f>(TableB2!D75+TableB2!F75)/TableB2!L75</f>
        <v>3.2188841201716738E-3</v>
      </c>
      <c r="D75" s="1161">
        <f>TableB2!E75/TableB2!M75</f>
        <v>0</v>
      </c>
      <c r="E75" s="1375">
        <f>TableB2!G75/TableB2!N75</f>
        <v>7.2973627510126676E-2</v>
      </c>
      <c r="F75" s="1376">
        <f>(TableB2!H75+TableB2!J75)/TableB2!O75</f>
        <v>8.4279400786343495E-2</v>
      </c>
      <c r="G75" s="1161">
        <f>TableB2!I75/TableB2!P75</f>
        <v>0</v>
      </c>
      <c r="H75" s="1375">
        <f t="shared" si="3"/>
        <v>7.0195849732348894E-2</v>
      </c>
      <c r="I75" s="1377">
        <f t="shared" si="4"/>
        <v>8.1060516666171825E-2</v>
      </c>
      <c r="J75" s="1378">
        <f t="shared" si="5"/>
        <v>0</v>
      </c>
    </row>
    <row r="76" spans="1:10" x14ac:dyDescent="0.2">
      <c r="A76" s="123" t="s">
        <v>95</v>
      </c>
      <c r="B76" s="119">
        <f>TableB2!C76/TableB2!K76</f>
        <v>0.22172413793103446</v>
      </c>
      <c r="C76" s="22">
        <f>(TableB2!D76+TableB2!F76)/TableB2!L76</f>
        <v>0.25617529880478085</v>
      </c>
      <c r="D76" s="1161">
        <f>TableB2!E76/TableB2!M76</f>
        <v>0</v>
      </c>
      <c r="E76" s="1375">
        <f>TableB2!G76/TableB2!N76</f>
        <v>2.5113268608414237E-2</v>
      </c>
      <c r="F76" s="1376">
        <f>(TableB2!H76+TableB2!J76)/TableB2!O76</f>
        <v>6.928571428571427E-2</v>
      </c>
      <c r="G76" s="1161">
        <f>TableB2!I76/TableB2!P76</f>
        <v>0</v>
      </c>
      <c r="H76" s="1375">
        <f t="shared" si="3"/>
        <v>-0.19661086932262023</v>
      </c>
      <c r="I76" s="1377">
        <f t="shared" si="4"/>
        <v>-0.18688958451906656</v>
      </c>
      <c r="J76" s="1378">
        <f t="shared" si="5"/>
        <v>0</v>
      </c>
    </row>
    <row r="77" spans="1:10" x14ac:dyDescent="0.2">
      <c r="A77" s="123" t="s">
        <v>96</v>
      </c>
      <c r="B77" s="119">
        <f>TableB2!C77/TableB2!K77</f>
        <v>6.0843373493975901E-2</v>
      </c>
      <c r="C77" s="22">
        <f>(TableB2!D77+TableB2!F77)/TableB2!L77</f>
        <v>7.3722627737226279E-2</v>
      </c>
      <c r="D77" s="1161">
        <f>TableB2!E77/TableB2!M77</f>
        <v>0</v>
      </c>
      <c r="E77" s="1375">
        <f>TableB2!G77/TableB2!N77</f>
        <v>1.2692400735378464E-2</v>
      </c>
      <c r="F77" s="1376">
        <f>(TableB2!H77+TableB2!J77)/TableB2!O77</f>
        <v>2.592655028263284E-2</v>
      </c>
      <c r="G77" s="1161">
        <f>TableB2!I77/TableB2!P77</f>
        <v>0</v>
      </c>
      <c r="H77" s="1375">
        <f t="shared" si="3"/>
        <v>-4.8150972758597435E-2</v>
      </c>
      <c r="I77" s="1377">
        <f t="shared" si="4"/>
        <v>-4.7796077454593439E-2</v>
      </c>
      <c r="J77" s="1378">
        <f t="shared" si="5"/>
        <v>0</v>
      </c>
    </row>
    <row r="78" spans="1:10" x14ac:dyDescent="0.2">
      <c r="A78" s="123" t="s">
        <v>97</v>
      </c>
      <c r="B78" s="119">
        <f>TableB2!C78/TableB2!K78</f>
        <v>3.1220326708876412E-2</v>
      </c>
      <c r="C78" s="22">
        <f>(TableB2!D78+TableB2!F78)/TableB2!L78</f>
        <v>0.19912964791879506</v>
      </c>
      <c r="D78" s="1161">
        <f>TableB2!E78/TableB2!M78</f>
        <v>0</v>
      </c>
      <c r="E78" s="1375">
        <f>TableB2!G78/TableB2!N78</f>
        <v>7.4648042372323753E-2</v>
      </c>
      <c r="F78" s="1376">
        <f>(TableB2!H78+TableB2!J78)/TableB2!O78</f>
        <v>0.2441800422179024</v>
      </c>
      <c r="G78" s="1161">
        <f>TableB2!I78/TableB2!P78</f>
        <v>0</v>
      </c>
      <c r="H78" s="1375">
        <f t="shared" si="3"/>
        <v>4.3427715663447344E-2</v>
      </c>
      <c r="I78" s="1377">
        <f t="shared" si="4"/>
        <v>4.5050394299107344E-2</v>
      </c>
      <c r="J78" s="1378">
        <f t="shared" si="5"/>
        <v>0</v>
      </c>
    </row>
    <row r="79" spans="1:10" x14ac:dyDescent="0.2">
      <c r="A79" s="959" t="str">
        <f>+TableA1!A79</f>
        <v>Monaco</v>
      </c>
      <c r="B79" s="119">
        <f>TableB2!C79/TableB2!K79</f>
        <v>0</v>
      </c>
      <c r="C79" s="22">
        <f>(TableB2!D79+TableB2!F79)/TableB2!L79</f>
        <v>0</v>
      </c>
      <c r="D79" s="1161">
        <f>TableB2!E79/TableB2!M79</f>
        <v>0</v>
      </c>
      <c r="E79" s="1375">
        <f>TableB2!G79/TableB2!N79</f>
        <v>0</v>
      </c>
      <c r="F79" s="1376">
        <f>(TableB2!H79+TableB2!J79)/TableB2!O79</f>
        <v>0</v>
      </c>
      <c r="G79" s="1161">
        <f>TableB2!I79/TableB2!P79</f>
        <v>0</v>
      </c>
      <c r="H79" s="1375">
        <f t="shared" si="3"/>
        <v>0</v>
      </c>
      <c r="I79" s="1377">
        <f t="shared" si="4"/>
        <v>0</v>
      </c>
      <c r="J79" s="1378">
        <f t="shared" si="5"/>
        <v>0</v>
      </c>
    </row>
    <row r="80" spans="1:10" x14ac:dyDescent="0.2">
      <c r="A80" s="123" t="s">
        <v>99</v>
      </c>
      <c r="B80" s="119">
        <f>TableB2!C80/TableB2!K80</f>
        <v>8.3916083916083916E-3</v>
      </c>
      <c r="C80" s="22">
        <f>(TableB2!D80+TableB2!F80)/TableB2!L80</f>
        <v>1.299638989169675E-2</v>
      </c>
      <c r="D80" s="1161">
        <f>TableB2!E80/TableB2!M80</f>
        <v>0</v>
      </c>
      <c r="E80" s="1375">
        <f>TableB2!G80/TableB2!N80</f>
        <v>9.8571194515161432E-4</v>
      </c>
      <c r="F80" s="1376">
        <f>(TableB2!H80+TableB2!J80)/TableB2!O80</f>
        <v>2.5164832689832687E-3</v>
      </c>
      <c r="G80" s="1161">
        <f>TableB2!I80/TableB2!P80</f>
        <v>0</v>
      </c>
      <c r="H80" s="1375">
        <f t="shared" si="3"/>
        <v>-7.4058964464567773E-3</v>
      </c>
      <c r="I80" s="1377">
        <f t="shared" si="4"/>
        <v>-1.0479906622713482E-2</v>
      </c>
      <c r="J80" s="1378">
        <f t="shared" si="5"/>
        <v>0</v>
      </c>
    </row>
    <row r="81" spans="1:10" x14ac:dyDescent="0.2">
      <c r="A81" s="123" t="s">
        <v>100</v>
      </c>
      <c r="B81" s="119">
        <f>TableB2!C81/TableB2!K81</f>
        <v>1.4944237918215612E-2</v>
      </c>
      <c r="C81" s="22">
        <f>(TableB2!D81+TableB2!F81)/TableB2!L81</f>
        <v>2.3786982248520709E-2</v>
      </c>
      <c r="D81" s="1161">
        <f>TableB2!E81/TableB2!M81</f>
        <v>0</v>
      </c>
      <c r="E81" s="1375">
        <f>TableB2!G81/TableB2!N81</f>
        <v>1.6748580688687783E-2</v>
      </c>
      <c r="F81" s="1376">
        <f>(TableB2!H81+TableB2!J81)/TableB2!O81</f>
        <v>2.1272622598850575E-2</v>
      </c>
      <c r="G81" s="1161">
        <f>TableB2!I81/TableB2!P81</f>
        <v>0</v>
      </c>
      <c r="H81" s="1375">
        <f t="shared" si="3"/>
        <v>1.8043427704721709E-3</v>
      </c>
      <c r="I81" s="1377">
        <f t="shared" si="4"/>
        <v>-2.5143596496701344E-3</v>
      </c>
      <c r="J81" s="1378">
        <f t="shared" si="5"/>
        <v>0</v>
      </c>
    </row>
    <row r="82" spans="1:10" x14ac:dyDescent="0.2">
      <c r="A82" s="959" t="str">
        <f>+TableA1!A82</f>
        <v>Seychelles</v>
      </c>
      <c r="B82" s="119">
        <f>TableB2!C82/TableB2!K82</f>
        <v>7.1869777882836577E-2</v>
      </c>
      <c r="C82" s="22">
        <f>(TableB2!D82+TableB2!F82)/TableB2!L82</f>
        <v>7.5599236627027014E-2</v>
      </c>
      <c r="D82" s="1161">
        <f>TableB2!E82/TableB2!M82</f>
        <v>0</v>
      </c>
      <c r="E82" s="1375">
        <f>TableB2!G82/TableB2!N82</f>
        <v>2.5156226074895974E-4</v>
      </c>
      <c r="F82" s="1376">
        <f>(TableB2!H82+TableB2!J82)/TableB2!O82</f>
        <v>2.9979568595041322E-4</v>
      </c>
      <c r="G82" s="1161">
        <f>TableB2!I82/TableB2!P82</f>
        <v>0</v>
      </c>
      <c r="H82" s="1375">
        <f t="shared" si="3"/>
        <v>-7.1618215622087616E-2</v>
      </c>
      <c r="I82" s="1377">
        <f t="shared" si="4"/>
        <v>-7.5299440941076601E-2</v>
      </c>
      <c r="J82" s="1378">
        <f t="shared" si="5"/>
        <v>0</v>
      </c>
    </row>
    <row r="83" spans="1:10" x14ac:dyDescent="0.2">
      <c r="A83" s="123" t="s">
        <v>102</v>
      </c>
      <c r="B83" s="119">
        <f>TableB2!C83/TableB2!K83</f>
        <v>5.6262646219424832E-2</v>
      </c>
      <c r="C83" s="22">
        <f>(TableB2!D83+TableB2!F83)/TableB2!L83</f>
        <v>9.3235242306475438E-2</v>
      </c>
      <c r="D83" s="1161">
        <f>TableB2!E83/TableB2!M83</f>
        <v>0</v>
      </c>
      <c r="E83" s="1375">
        <f>TableB2!G83/TableB2!N83</f>
        <v>7.4093739765676318E-3</v>
      </c>
      <c r="F83" s="1376">
        <f>(TableB2!H83+TableB2!J83)/TableB2!O83</f>
        <v>9.5722259177044248E-3</v>
      </c>
      <c r="G83" s="1161">
        <f>TableB2!I83/TableB2!P83</f>
        <v>0</v>
      </c>
      <c r="H83" s="1375">
        <f t="shared" si="3"/>
        <v>-4.8853272242857203E-2</v>
      </c>
      <c r="I83" s="1377">
        <f t="shared" si="4"/>
        <v>-8.3663016388771008E-2</v>
      </c>
      <c r="J83" s="1378">
        <f t="shared" si="5"/>
        <v>0</v>
      </c>
    </row>
    <row r="84" spans="1:10" x14ac:dyDescent="0.2">
      <c r="A84" s="959" t="str">
        <f>+TableA1!A84</f>
        <v>St. Kitts and Nevis</v>
      </c>
      <c r="B84" s="119">
        <f>TableB2!C84/TableB2!K84</f>
        <v>2.5423728813559325E-3</v>
      </c>
      <c r="C84" s="22">
        <f>(TableB2!D84+TableB2!F84)/TableB2!L84</f>
        <v>6.2083436001573724E-3</v>
      </c>
      <c r="D84" s="1161">
        <f>TableB2!E84/TableB2!M84</f>
        <v>0</v>
      </c>
      <c r="E84" s="1375">
        <f>TableB2!G84/TableB2!N84</f>
        <v>0</v>
      </c>
      <c r="F84" s="1376">
        <f>(TableB2!H84+TableB2!J84)/TableB2!O84</f>
        <v>0</v>
      </c>
      <c r="G84" s="1161">
        <f>TableB2!I84/TableB2!P84</f>
        <v>0</v>
      </c>
      <c r="H84" s="1375">
        <f t="shared" si="3"/>
        <v>-2.5423728813559325E-3</v>
      </c>
      <c r="I84" s="1377">
        <f t="shared" si="4"/>
        <v>-6.2083436001573724E-3</v>
      </c>
      <c r="J84" s="1378">
        <f t="shared" si="5"/>
        <v>0</v>
      </c>
    </row>
    <row r="85" spans="1:10" x14ac:dyDescent="0.2">
      <c r="A85" s="959" t="str">
        <f>+TableA1!A85</f>
        <v>St. Lucia</v>
      </c>
      <c r="B85" s="119">
        <f>TableB2!C85/TableB2!K85</f>
        <v>0.10481049562682215</v>
      </c>
      <c r="C85" s="22">
        <f>(TableB2!D85+TableB2!F85)/TableB2!L85</f>
        <v>1.5719399094264097</v>
      </c>
      <c r="D85" s="1161">
        <f>TableB2!E85/TableB2!M85</f>
        <v>0</v>
      </c>
      <c r="E85" s="1375">
        <f>TableB2!G85/TableB2!N85</f>
        <v>2.100840336134454E-2</v>
      </c>
      <c r="F85" s="1376">
        <f>(TableB2!H85+TableB2!J85)/TableB2!O85</f>
        <v>0.37701667740119105</v>
      </c>
      <c r="G85" s="1161">
        <f>TableB2!I85/TableB2!P85</f>
        <v>0</v>
      </c>
      <c r="H85" s="1375">
        <f t="shared" si="3"/>
        <v>-8.3802092265477607E-2</v>
      </c>
      <c r="I85" s="1377">
        <f t="shared" si="4"/>
        <v>-1.1949232320252188</v>
      </c>
      <c r="J85" s="1378">
        <f t="shared" si="5"/>
        <v>0</v>
      </c>
    </row>
    <row r="86" spans="1:10" x14ac:dyDescent="0.2">
      <c r="A86" s="959" t="str">
        <f>+TableA1!A86</f>
        <v>St. Vincent and the Grenadines</v>
      </c>
      <c r="B86" s="119">
        <f>TableB2!C86/TableB2!K86</f>
        <v>0.3218828657903744</v>
      </c>
      <c r="C86" s="22">
        <f>(TableB2!D86+TableB2!F86)/TableB2!L86</f>
        <v>0.39793509156848872</v>
      </c>
      <c r="D86" s="1161">
        <f>TableB2!E86/TableB2!M86</f>
        <v>0</v>
      </c>
      <c r="E86" s="1375">
        <f>TableB2!G86/TableB2!N86</f>
        <v>0</v>
      </c>
      <c r="F86" s="1376">
        <f>(TableB2!H86+TableB2!J86)/TableB2!O86</f>
        <v>0</v>
      </c>
      <c r="G86" s="1161">
        <f>TableB2!I86/TableB2!P86</f>
        <v>0</v>
      </c>
      <c r="H86" s="1375">
        <f t="shared" si="3"/>
        <v>-0.3218828657903744</v>
      </c>
      <c r="I86" s="1377">
        <f t="shared" si="4"/>
        <v>-0.39793509156848872</v>
      </c>
      <c r="J86" s="1378">
        <f t="shared" si="5"/>
        <v>0</v>
      </c>
    </row>
    <row r="87" spans="1:10" x14ac:dyDescent="0.2">
      <c r="A87" s="959" t="str">
        <f>+TableA1!A87</f>
        <v>Turks and Caicos</v>
      </c>
      <c r="B87" s="119">
        <f>TableB2!C87/TableB2!K87</f>
        <v>0</v>
      </c>
      <c r="C87" s="22">
        <f>(TableB2!D87+TableB2!F87)/TableB2!L87</f>
        <v>0</v>
      </c>
      <c r="D87" s="1161">
        <f>TableB2!E87/TableB2!M87</f>
        <v>0</v>
      </c>
      <c r="E87" s="1375">
        <f>TableB2!G87/TableB2!N87</f>
        <v>0</v>
      </c>
      <c r="F87" s="1376">
        <f>(TableB2!H87+TableB2!J87)/TableB2!O87</f>
        <v>0</v>
      </c>
      <c r="G87" s="1161">
        <f>TableB2!I87/TableB2!P87</f>
        <v>0</v>
      </c>
      <c r="H87" s="1375">
        <f t="shared" si="3"/>
        <v>0</v>
      </c>
      <c r="I87" s="1377">
        <f t="shared" si="4"/>
        <v>0</v>
      </c>
      <c r="J87" s="1378">
        <f t="shared" si="5"/>
        <v>0</v>
      </c>
    </row>
    <row r="88" spans="1:10" x14ac:dyDescent="0.2">
      <c r="A88" s="959" t="str">
        <f>+TableA1!A88</f>
        <v>Panama</v>
      </c>
      <c r="B88" s="119">
        <f>TableB2!C88/TableB2!K88</f>
        <v>0.10629722921914356</v>
      </c>
      <c r="C88" s="22">
        <f>(TableB2!D88+TableB2!F88)/TableB2!L88</f>
        <v>0.1306501547987616</v>
      </c>
      <c r="D88" s="1161">
        <f>TableB2!E88/TableB2!M88</f>
        <v>0</v>
      </c>
      <c r="E88" s="1375">
        <f>TableB2!G88/TableB2!N88</f>
        <v>3.5708564033699465E-2</v>
      </c>
      <c r="F88" s="1376">
        <f>(TableB2!H88+TableB2!J88)/TableB2!O88</f>
        <v>4.9023621808977236E-2</v>
      </c>
      <c r="G88" s="1161">
        <f>TableB2!I88/TableB2!P88</f>
        <v>0</v>
      </c>
      <c r="H88" s="1375">
        <f t="shared" si="3"/>
        <v>-7.0588665185444099E-2</v>
      </c>
      <c r="I88" s="1377">
        <f t="shared" si="4"/>
        <v>-8.1626532989784367E-2</v>
      </c>
      <c r="J88" s="1378">
        <f t="shared" si="5"/>
        <v>0</v>
      </c>
    </row>
    <row r="89" spans="1:10" ht="17" thickBot="1" x14ac:dyDescent="0.25">
      <c r="A89" s="804" t="s">
        <v>108</v>
      </c>
      <c r="B89" s="805"/>
      <c r="C89" s="806"/>
      <c r="D89" s="1379"/>
      <c r="E89" s="807"/>
      <c r="F89" s="1380"/>
      <c r="G89" s="1379"/>
      <c r="H89" s="807"/>
      <c r="I89" s="1381"/>
      <c r="J89" s="1382"/>
    </row>
    <row r="90" spans="1:10" ht="17" thickBot="1" x14ac:dyDescent="0.25">
      <c r="A90" s="958"/>
      <c r="B90" s="958"/>
      <c r="C90" s="958"/>
      <c r="D90" s="1007"/>
      <c r="E90" s="958"/>
      <c r="F90" s="1007"/>
      <c r="G90" s="1007"/>
      <c r="H90" s="958"/>
      <c r="I90" s="958"/>
      <c r="J90" s="958"/>
    </row>
    <row r="91" spans="1:10" s="2" customFormat="1" x14ac:dyDescent="0.2">
      <c r="A91" s="2177" t="s">
        <v>389</v>
      </c>
      <c r="B91" s="2178"/>
      <c r="C91" s="2178"/>
      <c r="D91" s="2178"/>
      <c r="E91" s="2178"/>
      <c r="F91" s="2178"/>
      <c r="G91" s="2178"/>
      <c r="H91" s="2178"/>
      <c r="I91" s="2178"/>
      <c r="J91" s="2179"/>
    </row>
    <row r="92" spans="1:10" s="2" customFormat="1" ht="17" thickBot="1" x14ac:dyDescent="0.25">
      <c r="A92" s="2180"/>
      <c r="B92" s="2181"/>
      <c r="C92" s="2181"/>
      <c r="D92" s="2181"/>
      <c r="E92" s="2181"/>
      <c r="F92" s="2181"/>
      <c r="G92" s="2181"/>
      <c r="H92" s="2181"/>
      <c r="I92" s="2181"/>
      <c r="J92" s="2182"/>
    </row>
    <row r="93" spans="1:10" s="2" customFormat="1" x14ac:dyDescent="0.2">
      <c r="A93" s="958"/>
      <c r="B93" s="958"/>
      <c r="C93" s="958"/>
      <c r="D93" s="958"/>
      <c r="E93" s="958"/>
      <c r="F93" s="958"/>
      <c r="G93" s="958"/>
    </row>
    <row r="94" spans="1:10" s="2" customFormat="1" x14ac:dyDescent="0.2">
      <c r="A94" s="958"/>
      <c r="B94" s="958"/>
      <c r="C94" s="958"/>
      <c r="D94" s="958"/>
      <c r="E94" s="958"/>
      <c r="F94" s="958"/>
      <c r="G94" s="958"/>
    </row>
    <row r="95" spans="1:10" s="2" customFormat="1" x14ac:dyDescent="0.2">
      <c r="A95" s="958"/>
      <c r="B95" s="958"/>
      <c r="C95" s="958"/>
      <c r="D95" s="958"/>
      <c r="E95" s="958"/>
      <c r="F95" s="958"/>
      <c r="G95" s="958"/>
    </row>
    <row r="96" spans="1:10" s="2" customFormat="1" x14ac:dyDescent="0.2">
      <c r="A96" s="958"/>
      <c r="B96" s="958"/>
      <c r="C96" s="958"/>
      <c r="D96" s="958"/>
      <c r="E96" s="958"/>
      <c r="F96" s="958"/>
      <c r="G96" s="958"/>
    </row>
    <row r="98" spans="1:7" s="2" customFormat="1" x14ac:dyDescent="0.2">
      <c r="A98" s="958"/>
      <c r="B98" s="958"/>
      <c r="C98" s="958"/>
      <c r="D98" s="958"/>
      <c r="E98" s="958"/>
      <c r="F98" s="958"/>
      <c r="G98" s="958"/>
    </row>
  </sheetData>
  <mergeCells count="6">
    <mergeCell ref="A91:J92"/>
    <mergeCell ref="H8:H9"/>
    <mergeCell ref="B7:J7"/>
    <mergeCell ref="A4:J4"/>
    <mergeCell ref="B8:B9"/>
    <mergeCell ref="E8:E9"/>
  </mergeCells>
  <pageMargins left="0.7" right="0.7" top="0.75" bottom="0.75" header="0.3" footer="0.3"/>
  <pageSetup scale="47"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C252"/>
  <sheetViews>
    <sheetView workbookViewId="0">
      <pane xSplit="1" ySplit="8" topLeftCell="K53" activePane="bottomRight" state="frozen"/>
      <selection pane="topRight"/>
      <selection pane="bottomLeft"/>
      <selection pane="bottomRight" activeCell="L2" sqref="L2:W54"/>
    </sheetView>
  </sheetViews>
  <sheetFormatPr baseColWidth="10" defaultColWidth="10.83203125" defaultRowHeight="13" x14ac:dyDescent="0.15"/>
  <cols>
    <col min="1" max="1" width="8.6640625" style="29" hidden="1" customWidth="1"/>
    <col min="2" max="4" width="12.5" style="29" hidden="1" customWidth="1"/>
    <col min="5" max="5" width="12.83203125" style="29" hidden="1" customWidth="1"/>
    <col min="6" max="6" width="10.5" style="29" hidden="1" customWidth="1"/>
    <col min="7" max="8" width="10.1640625" style="29" hidden="1" customWidth="1"/>
    <col min="9" max="9" width="12.5" style="29" hidden="1" customWidth="1"/>
    <col min="10" max="10" width="9.5" style="29" hidden="1" customWidth="1"/>
    <col min="11" max="11" width="3" style="29" customWidth="1"/>
    <col min="12" max="23" width="12.83203125" style="29" customWidth="1"/>
    <col min="24" max="24" width="3.6640625" style="29" customWidth="1"/>
    <col min="25" max="16384" width="10.83203125" style="29"/>
  </cols>
  <sheetData>
    <row r="1" spans="1:29" ht="14" thickBot="1" x14ac:dyDescent="0.2">
      <c r="A1" s="54"/>
      <c r="B1" s="53"/>
      <c r="C1" s="52"/>
      <c r="D1" s="52"/>
      <c r="E1" s="52"/>
      <c r="F1" s="52"/>
      <c r="G1" s="52"/>
      <c r="H1" s="52"/>
      <c r="I1" s="52"/>
      <c r="J1" s="52"/>
      <c r="K1" s="49"/>
      <c r="L1" s="49"/>
      <c r="M1" s="49"/>
    </row>
    <row r="2" spans="1:29" s="50" customFormat="1" ht="33" customHeight="1" thickTop="1" x14ac:dyDescent="0.15">
      <c r="A2" s="29"/>
      <c r="B2" s="29"/>
      <c r="C2" s="29"/>
      <c r="D2" s="29"/>
      <c r="E2" s="29"/>
      <c r="F2" s="29"/>
      <c r="G2" s="29"/>
      <c r="H2" s="29"/>
      <c r="I2" s="29"/>
      <c r="J2" s="29"/>
      <c r="K2" s="51"/>
      <c r="L2" s="2197" t="s">
        <v>394</v>
      </c>
      <c r="M2" s="2198"/>
      <c r="N2" s="2198"/>
      <c r="O2" s="2198"/>
      <c r="P2" s="2198"/>
      <c r="Q2" s="2198"/>
      <c r="R2" s="2198"/>
      <c r="S2" s="2198"/>
      <c r="T2" s="2198"/>
      <c r="U2" s="2198"/>
      <c r="V2" s="2198"/>
      <c r="W2" s="2199"/>
    </row>
    <row r="3" spans="1:29" s="50" customFormat="1" ht="14.25" customHeight="1" x14ac:dyDescent="0.15">
      <c r="A3" s="29"/>
      <c r="B3" s="29"/>
      <c r="C3" s="29"/>
      <c r="D3" s="29"/>
      <c r="E3" s="29"/>
      <c r="F3" s="29"/>
      <c r="G3" s="29"/>
      <c r="H3" s="29"/>
      <c r="I3" s="29"/>
      <c r="J3" s="29"/>
      <c r="K3" s="51"/>
      <c r="L3" s="348"/>
      <c r="M3" s="349"/>
      <c r="N3" s="349"/>
      <c r="O3" s="349"/>
      <c r="P3" s="349"/>
      <c r="Q3" s="349"/>
      <c r="R3" s="349"/>
      <c r="S3" s="349"/>
      <c r="T3" s="349"/>
      <c r="U3" s="349"/>
      <c r="V3" s="349"/>
      <c r="W3" s="350"/>
    </row>
    <row r="4" spans="1:29" x14ac:dyDescent="0.15">
      <c r="K4" s="34"/>
      <c r="L4" s="102"/>
      <c r="M4" s="1383" t="s">
        <v>1</v>
      </c>
      <c r="N4" s="1383" t="s">
        <v>2</v>
      </c>
      <c r="O4" s="1383" t="s">
        <v>3</v>
      </c>
      <c r="P4" s="1383" t="s">
        <v>4</v>
      </c>
      <c r="Q4" s="1383" t="s">
        <v>5</v>
      </c>
      <c r="R4" s="1383" t="s">
        <v>6</v>
      </c>
      <c r="S4" s="67" t="s">
        <v>7</v>
      </c>
      <c r="T4" s="1383" t="s">
        <v>8</v>
      </c>
      <c r="U4" s="1383" t="s">
        <v>9</v>
      </c>
      <c r="V4" s="1383" t="s">
        <v>10</v>
      </c>
      <c r="W4" s="104" t="s">
        <v>11</v>
      </c>
      <c r="X4" s="49"/>
    </row>
    <row r="5" spans="1:29" ht="16" customHeight="1" thickBot="1" x14ac:dyDescent="0.2">
      <c r="K5" s="48"/>
      <c r="L5" s="102"/>
      <c r="M5" s="421"/>
      <c r="N5" s="2200" t="s">
        <v>395</v>
      </c>
      <c r="O5" s="2201"/>
      <c r="P5" s="2201"/>
      <c r="Q5" s="2201"/>
      <c r="R5" s="2201"/>
      <c r="S5" s="2201"/>
      <c r="T5" s="2201"/>
      <c r="U5" s="2201"/>
      <c r="V5" s="2201"/>
      <c r="W5" s="2202"/>
    </row>
    <row r="6" spans="1:29" ht="32.25" customHeight="1" x14ac:dyDescent="0.2">
      <c r="K6" s="34"/>
      <c r="L6" s="102"/>
      <c r="M6" s="2194" t="s">
        <v>396</v>
      </c>
      <c r="N6" s="2203" t="s">
        <v>328</v>
      </c>
      <c r="O6" s="2193" t="s">
        <v>397</v>
      </c>
      <c r="P6" s="2193" t="s">
        <v>398</v>
      </c>
      <c r="Q6" s="2193" t="s">
        <v>330</v>
      </c>
      <c r="R6" s="1384"/>
      <c r="S6" s="1384"/>
      <c r="T6" s="1384"/>
      <c r="U6" s="1384"/>
      <c r="V6" s="1384"/>
      <c r="W6" s="2204" t="s">
        <v>331</v>
      </c>
    </row>
    <row r="7" spans="1:29" ht="25" customHeight="1" thickBot="1" x14ac:dyDescent="0.25">
      <c r="K7" s="34"/>
      <c r="L7" s="102"/>
      <c r="M7" s="2194"/>
      <c r="N7" s="2135"/>
      <c r="O7" s="2137"/>
      <c r="P7" s="2137"/>
      <c r="Q7" s="2137"/>
      <c r="R7" s="2196" t="s">
        <v>125</v>
      </c>
      <c r="S7" s="2137" t="s">
        <v>332</v>
      </c>
      <c r="T7" s="1299"/>
      <c r="U7" s="1299"/>
      <c r="V7" s="2144" t="s">
        <v>399</v>
      </c>
      <c r="W7" s="2139"/>
    </row>
    <row r="8" spans="1:29" ht="61" customHeight="1" thickBot="1" x14ac:dyDescent="0.2">
      <c r="K8" s="34"/>
      <c r="L8" s="103"/>
      <c r="M8" s="2195"/>
      <c r="N8" s="2136"/>
      <c r="O8" s="2138"/>
      <c r="P8" s="2138"/>
      <c r="Q8" s="2138"/>
      <c r="R8" s="2142"/>
      <c r="S8" s="2138" t="s">
        <v>332</v>
      </c>
      <c r="T8" s="397" t="s">
        <v>334</v>
      </c>
      <c r="U8" s="398" t="s">
        <v>335</v>
      </c>
      <c r="V8" s="2145"/>
      <c r="W8" s="2140"/>
    </row>
    <row r="9" spans="1:29" ht="12.75" hidden="1" customHeight="1" x14ac:dyDescent="0.15">
      <c r="K9" s="34"/>
      <c r="L9" s="38">
        <v>1970</v>
      </c>
      <c r="M9" s="352">
        <v>14</v>
      </c>
      <c r="N9" s="419">
        <v>184.61704</v>
      </c>
      <c r="O9" s="36">
        <v>159.38301000000001</v>
      </c>
      <c r="P9" s="36"/>
      <c r="Q9" s="36">
        <v>21.633673999999999</v>
      </c>
      <c r="R9" s="37">
        <v>0.86045711000000002</v>
      </c>
      <c r="S9" s="61">
        <v>13.198475999999999</v>
      </c>
      <c r="T9" s="64"/>
      <c r="U9" s="65"/>
      <c r="V9" s="35"/>
      <c r="W9" s="56">
        <v>3.6003559999999997</v>
      </c>
    </row>
    <row r="10" spans="1:29" ht="12.75" hidden="1" customHeight="1" x14ac:dyDescent="0.15">
      <c r="K10" s="34"/>
      <c r="L10" s="38">
        <f t="shared" ref="L10:L47" si="0">L9+1</f>
        <v>1971</v>
      </c>
      <c r="M10" s="352">
        <v>20</v>
      </c>
      <c r="N10" s="419">
        <v>257.50610255999999</v>
      </c>
      <c r="O10" s="36">
        <v>225.68699443000003</v>
      </c>
      <c r="P10" s="36"/>
      <c r="Q10" s="36">
        <v>25.922380647000001</v>
      </c>
      <c r="R10" s="37">
        <v>1.1980906200000001</v>
      </c>
      <c r="S10" s="61">
        <v>14.475921216000001</v>
      </c>
      <c r="T10" s="64"/>
      <c r="U10" s="65"/>
      <c r="V10" s="35"/>
      <c r="W10" s="56">
        <v>5.8967274829999479</v>
      </c>
    </row>
    <row r="11" spans="1:29" ht="12.75" hidden="1" customHeight="1" x14ac:dyDescent="0.15">
      <c r="K11" s="34"/>
      <c r="L11" s="38">
        <f t="shared" si="0"/>
        <v>1972</v>
      </c>
      <c r="M11" s="352">
        <v>23</v>
      </c>
      <c r="N11" s="419">
        <v>309.59936167999996</v>
      </c>
      <c r="O11" s="36">
        <v>268.20753964999994</v>
      </c>
      <c r="P11" s="36"/>
      <c r="Q11" s="44">
        <v>33.790628561999995</v>
      </c>
      <c r="R11" s="45">
        <v>1.41022987</v>
      </c>
      <c r="S11" s="100">
        <v>16.445797138000003</v>
      </c>
      <c r="T11" s="100"/>
      <c r="U11" s="66"/>
      <c r="V11" s="99"/>
      <c r="W11" s="60">
        <v>7.6011934680000417</v>
      </c>
    </row>
    <row r="12" spans="1:29" ht="12.75" hidden="1" customHeight="1" x14ac:dyDescent="0.15">
      <c r="K12" s="34"/>
      <c r="L12" s="38">
        <f t="shared" si="0"/>
        <v>1973</v>
      </c>
      <c r="M12" s="352">
        <v>23</v>
      </c>
      <c r="N12" s="419">
        <v>424.89523181000004</v>
      </c>
      <c r="O12" s="36">
        <v>364.33756830999999</v>
      </c>
      <c r="P12" s="36"/>
      <c r="Q12" s="44">
        <v>49.740275382</v>
      </c>
      <c r="R12" s="45">
        <v>1.5681824499999999</v>
      </c>
      <c r="S12" s="100">
        <v>25.941071351999998</v>
      </c>
      <c r="T12" s="100"/>
      <c r="U12" s="66"/>
      <c r="V12" s="99"/>
      <c r="W12" s="60">
        <v>10.817388118000025</v>
      </c>
    </row>
    <row r="13" spans="1:29" ht="12.75" hidden="1" customHeight="1" x14ac:dyDescent="0.15">
      <c r="K13" s="34"/>
      <c r="L13" s="38">
        <f t="shared" si="0"/>
        <v>1974</v>
      </c>
      <c r="M13" s="352">
        <v>37</v>
      </c>
      <c r="N13" s="419">
        <v>597.04969229999995</v>
      </c>
      <c r="O13" s="36">
        <v>519.32204029000002</v>
      </c>
      <c r="P13" s="36"/>
      <c r="Q13" s="44">
        <v>64.21533229740001</v>
      </c>
      <c r="R13" s="45">
        <v>1.4988017534</v>
      </c>
      <c r="S13" s="100">
        <v>29.040370952999996</v>
      </c>
      <c r="T13" s="100"/>
      <c r="U13" s="66"/>
      <c r="V13" s="99"/>
      <c r="W13" s="60">
        <v>13.512319712600009</v>
      </c>
    </row>
    <row r="14" spans="1:29" ht="14" x14ac:dyDescent="0.15">
      <c r="K14" s="34"/>
      <c r="L14" s="38">
        <f t="shared" si="0"/>
        <v>1975</v>
      </c>
      <c r="M14" s="353">
        <v>54</v>
      </c>
      <c r="N14" s="419">
        <v>898.55987483890749</v>
      </c>
      <c r="O14" s="36">
        <v>784.55356105706142</v>
      </c>
      <c r="P14" s="36"/>
      <c r="Q14" s="44">
        <v>78.415370669857197</v>
      </c>
      <c r="R14" s="45">
        <v>2.4506000000000001</v>
      </c>
      <c r="S14" s="66">
        <v>24.7424</v>
      </c>
      <c r="T14" s="100">
        <v>24.370899999999999</v>
      </c>
      <c r="U14" s="66">
        <f>+S14-T14</f>
        <v>0.37150000000000105</v>
      </c>
      <c r="V14" s="99">
        <f>+Q14-R14-S14</f>
        <v>51.222370669857199</v>
      </c>
      <c r="W14" s="98">
        <f t="shared" ref="W14:W32" si="1">N14-O14-Q14</f>
        <v>35.590943111988878</v>
      </c>
      <c r="Y14" s="30"/>
      <c r="Z14" s="32"/>
      <c r="AA14" s="32"/>
      <c r="AB14" s="32"/>
      <c r="AC14" s="32"/>
    </row>
    <row r="15" spans="1:29" ht="14" x14ac:dyDescent="0.15">
      <c r="K15" s="34"/>
      <c r="L15" s="38">
        <f t="shared" si="0"/>
        <v>1976</v>
      </c>
      <c r="M15" s="353">
        <v>78</v>
      </c>
      <c r="N15" s="419">
        <v>1090.8694892388357</v>
      </c>
      <c r="O15" s="36">
        <v>958.00769849788253</v>
      </c>
      <c r="P15" s="36"/>
      <c r="Q15" s="44">
        <v>86.248113980951317</v>
      </c>
      <c r="R15" s="45">
        <v>2.5333399999999999</v>
      </c>
      <c r="S15" s="66">
        <v>28.601299999999998</v>
      </c>
      <c r="T15" s="100">
        <v>28.241800000000001</v>
      </c>
      <c r="U15" s="66">
        <f t="shared" ref="U15:U54" si="2">+S15-T15</f>
        <v>0.35949999999999704</v>
      </c>
      <c r="V15" s="99">
        <f t="shared" ref="V15:V54" si="3">+Q15-R15-S15</f>
        <v>55.113473980951326</v>
      </c>
      <c r="W15" s="98">
        <f t="shared" si="1"/>
        <v>46.613676760001894</v>
      </c>
      <c r="Y15" s="30"/>
      <c r="Z15" s="32"/>
      <c r="AA15" s="32"/>
      <c r="AB15" s="32"/>
      <c r="AC15" s="32"/>
    </row>
    <row r="16" spans="1:29" ht="14" x14ac:dyDescent="0.15">
      <c r="K16" s="34"/>
      <c r="L16" s="38">
        <f t="shared" si="0"/>
        <v>1977</v>
      </c>
      <c r="M16" s="353">
        <v>104</v>
      </c>
      <c r="N16" s="419">
        <v>1435.1299973931707</v>
      </c>
      <c r="O16" s="36">
        <v>1263.9508755958611</v>
      </c>
      <c r="P16" s="36"/>
      <c r="Q16" s="44">
        <v>108.22494004480031</v>
      </c>
      <c r="R16" s="45">
        <v>5.0104300000000004</v>
      </c>
      <c r="S16" s="66">
        <v>29.2882</v>
      </c>
      <c r="T16" s="100">
        <v>28.880600000000001</v>
      </c>
      <c r="U16" s="66">
        <f t="shared" si="2"/>
        <v>0.40759999999999863</v>
      </c>
      <c r="V16" s="99">
        <f t="shared" si="3"/>
        <v>73.926310044800303</v>
      </c>
      <c r="W16" s="98">
        <f t="shared" si="1"/>
        <v>62.954181752509257</v>
      </c>
      <c r="Y16" s="30"/>
      <c r="Z16" s="32"/>
      <c r="AA16" s="32"/>
      <c r="AB16" s="32"/>
      <c r="AC16" s="32"/>
    </row>
    <row r="17" spans="11:29" ht="14" x14ac:dyDescent="0.15">
      <c r="K17" s="34"/>
      <c r="L17" s="38">
        <f t="shared" si="0"/>
        <v>1978</v>
      </c>
      <c r="M17" s="353">
        <v>110</v>
      </c>
      <c r="N17" s="419">
        <v>1694.0812714539431</v>
      </c>
      <c r="O17" s="36">
        <v>1470.4501026949793</v>
      </c>
      <c r="P17" s="36"/>
      <c r="Q17" s="44">
        <v>146.33718259874112</v>
      </c>
      <c r="R17" s="45">
        <v>7.0099099999999996</v>
      </c>
      <c r="S17" s="66">
        <v>36.620100000000001</v>
      </c>
      <c r="T17" s="100">
        <v>36.258800000000001</v>
      </c>
      <c r="U17" s="66">
        <f t="shared" si="2"/>
        <v>0.36129999999999995</v>
      </c>
      <c r="V17" s="99">
        <f t="shared" si="3"/>
        <v>102.70717259874112</v>
      </c>
      <c r="W17" s="98">
        <f t="shared" si="1"/>
        <v>77.293986160222772</v>
      </c>
      <c r="Y17" s="30"/>
      <c r="Z17" s="32"/>
      <c r="AA17" s="32"/>
      <c r="AB17" s="32"/>
      <c r="AC17" s="32"/>
    </row>
    <row r="18" spans="11:29" ht="14" x14ac:dyDescent="0.15">
      <c r="K18" s="34"/>
      <c r="L18" s="38">
        <f t="shared" si="0"/>
        <v>1979</v>
      </c>
      <c r="M18" s="353">
        <v>114</v>
      </c>
      <c r="N18" s="419">
        <v>2192.7641473900057</v>
      </c>
      <c r="O18" s="36">
        <v>1869.1493886613016</v>
      </c>
      <c r="P18" s="36"/>
      <c r="Q18" s="44">
        <v>224.66831954216943</v>
      </c>
      <c r="R18" s="97">
        <v>8.77407</v>
      </c>
      <c r="S18" s="95">
        <v>60.368899999999996</v>
      </c>
      <c r="T18" s="96">
        <v>59.843499999999999</v>
      </c>
      <c r="U18" s="95">
        <f t="shared" si="2"/>
        <v>0.52539999999999765</v>
      </c>
      <c r="V18" s="94">
        <f t="shared" si="3"/>
        <v>155.52534954216944</v>
      </c>
      <c r="W18" s="93">
        <f t="shared" si="1"/>
        <v>98.946439186534718</v>
      </c>
      <c r="X18" s="41"/>
      <c r="Y18" s="40"/>
      <c r="Z18" s="39"/>
      <c r="AA18" s="39"/>
      <c r="AB18" s="32"/>
      <c r="AC18" s="32"/>
    </row>
    <row r="19" spans="11:29" ht="14" x14ac:dyDescent="0.15">
      <c r="K19" s="34"/>
      <c r="L19" s="42">
        <f t="shared" si="0"/>
        <v>1980</v>
      </c>
      <c r="M19" s="354">
        <v>119</v>
      </c>
      <c r="N19" s="59">
        <v>2683.1741492133087</v>
      </c>
      <c r="O19" s="1385">
        <v>2266.7699827959468</v>
      </c>
      <c r="P19" s="1385"/>
      <c r="Q19" s="1386">
        <v>299.452004654441</v>
      </c>
      <c r="R19" s="45">
        <v>10.4053</v>
      </c>
      <c r="S19" s="66">
        <v>58.498100000000001</v>
      </c>
      <c r="T19" s="100">
        <v>57.651800000000001</v>
      </c>
      <c r="U19" s="66">
        <f t="shared" si="2"/>
        <v>0.84629999999999939</v>
      </c>
      <c r="V19" s="99">
        <f t="shared" si="3"/>
        <v>230.54860465444099</v>
      </c>
      <c r="W19" s="98">
        <f t="shared" si="1"/>
        <v>116.95216176292092</v>
      </c>
      <c r="X19" s="41"/>
      <c r="Y19" s="40"/>
      <c r="Z19" s="39"/>
      <c r="AA19" s="39"/>
      <c r="AB19" s="32"/>
      <c r="AC19" s="32"/>
    </row>
    <row r="20" spans="11:29" ht="14" x14ac:dyDescent="0.15">
      <c r="K20" s="34"/>
      <c r="L20" s="38">
        <f t="shared" si="0"/>
        <v>1981</v>
      </c>
      <c r="M20" s="353">
        <v>122</v>
      </c>
      <c r="N20" s="419">
        <v>2790.0645727121696</v>
      </c>
      <c r="O20" s="36">
        <v>2303.6569226608158</v>
      </c>
      <c r="P20" s="36"/>
      <c r="Q20" s="44">
        <v>369.53561165732259</v>
      </c>
      <c r="R20" s="45">
        <v>9.8137299999999996</v>
      </c>
      <c r="S20" s="66">
        <v>50.964399999999998</v>
      </c>
      <c r="T20" s="100">
        <v>50.276000000000003</v>
      </c>
      <c r="U20" s="66">
        <f t="shared" si="2"/>
        <v>0.68839999999999435</v>
      </c>
      <c r="V20" s="99">
        <f t="shared" si="3"/>
        <v>308.75748165732256</v>
      </c>
      <c r="W20" s="98">
        <f t="shared" si="1"/>
        <v>116.87203839403122</v>
      </c>
      <c r="X20" s="41"/>
      <c r="Y20" s="40"/>
      <c r="Z20" s="39"/>
      <c r="AA20" s="39"/>
      <c r="AB20" s="32"/>
      <c r="AC20" s="32"/>
    </row>
    <row r="21" spans="11:29" ht="14" x14ac:dyDescent="0.15">
      <c r="K21" s="34"/>
      <c r="L21" s="38">
        <f t="shared" si="0"/>
        <v>1982</v>
      </c>
      <c r="M21" s="353">
        <v>126</v>
      </c>
      <c r="N21" s="419">
        <v>2679.1367074669793</v>
      </c>
      <c r="O21" s="36">
        <v>2189.3576047404727</v>
      </c>
      <c r="P21" s="36"/>
      <c r="Q21" s="44">
        <v>373.91625759692414</v>
      </c>
      <c r="R21" s="45">
        <v>10.499499999999999</v>
      </c>
      <c r="S21" s="66">
        <v>41.553400000000003</v>
      </c>
      <c r="T21" s="100">
        <v>41.250999999999998</v>
      </c>
      <c r="U21" s="66">
        <f t="shared" si="2"/>
        <v>0.30240000000000578</v>
      </c>
      <c r="V21" s="99">
        <f t="shared" si="3"/>
        <v>321.86335759692412</v>
      </c>
      <c r="W21" s="98">
        <f t="shared" si="1"/>
        <v>115.86284512958247</v>
      </c>
      <c r="X21" s="41"/>
      <c r="Y21" s="40"/>
      <c r="Z21" s="39"/>
      <c r="AA21" s="39"/>
      <c r="AB21" s="32"/>
      <c r="AC21" s="32"/>
    </row>
    <row r="22" spans="11:29" ht="14" x14ac:dyDescent="0.15">
      <c r="K22" s="34"/>
      <c r="L22" s="38">
        <f t="shared" si="0"/>
        <v>1983</v>
      </c>
      <c r="M22" s="353">
        <v>126</v>
      </c>
      <c r="N22" s="419">
        <v>2580.0629988500332</v>
      </c>
      <c r="O22" s="36">
        <v>2131.9608696352748</v>
      </c>
      <c r="P22" s="36"/>
      <c r="Q22" s="44">
        <v>331.51981478040778</v>
      </c>
      <c r="R22" s="45">
        <v>10.5519</v>
      </c>
      <c r="S22" s="66">
        <v>45.649700000000003</v>
      </c>
      <c r="T22" s="100">
        <v>45.175800000000002</v>
      </c>
      <c r="U22" s="66">
        <f t="shared" si="2"/>
        <v>0.47390000000000043</v>
      </c>
      <c r="V22" s="99">
        <f t="shared" si="3"/>
        <v>275.3182147804078</v>
      </c>
      <c r="W22" s="98">
        <f t="shared" si="1"/>
        <v>116.58231443435062</v>
      </c>
      <c r="X22" s="41"/>
      <c r="Y22" s="40"/>
      <c r="Z22" s="39"/>
      <c r="AA22" s="39"/>
      <c r="AB22" s="32"/>
      <c r="AC22" s="32"/>
    </row>
    <row r="23" spans="11:29" ht="14" x14ac:dyDescent="0.15">
      <c r="K23" s="34"/>
      <c r="L23" s="38">
        <f t="shared" si="0"/>
        <v>1984</v>
      </c>
      <c r="M23" s="353">
        <v>127</v>
      </c>
      <c r="N23" s="419">
        <v>2732.154933889381</v>
      </c>
      <c r="O23" s="36">
        <v>2245.2681179667866</v>
      </c>
      <c r="P23" s="36"/>
      <c r="Q23" s="44">
        <v>367.69291249042095</v>
      </c>
      <c r="R23" s="45">
        <v>9.8876000000000008</v>
      </c>
      <c r="S23" s="66">
        <v>54.2378</v>
      </c>
      <c r="T23" s="100">
        <v>53.752200000000002</v>
      </c>
      <c r="U23" s="66">
        <f t="shared" si="2"/>
        <v>0.48559999999999803</v>
      </c>
      <c r="V23" s="99">
        <f t="shared" si="3"/>
        <v>303.56751249042094</v>
      </c>
      <c r="W23" s="98">
        <f t="shared" si="1"/>
        <v>119.1939034321735</v>
      </c>
      <c r="X23" s="41"/>
      <c r="Y23" s="40"/>
      <c r="Z23" s="39"/>
      <c r="AA23" s="39"/>
      <c r="AB23" s="32"/>
      <c r="AC23" s="32"/>
    </row>
    <row r="24" spans="11:29" ht="14" x14ac:dyDescent="0.15">
      <c r="K24" s="34"/>
      <c r="L24" s="38">
        <f t="shared" si="0"/>
        <v>1985</v>
      </c>
      <c r="M24" s="353">
        <v>129</v>
      </c>
      <c r="N24" s="419">
        <v>2751.8428162255955</v>
      </c>
      <c r="O24" s="36">
        <v>2272.5873414379289</v>
      </c>
      <c r="P24" s="36"/>
      <c r="Q24" s="44">
        <v>356.65332769244191</v>
      </c>
      <c r="R24" s="45">
        <v>10.130699999999999</v>
      </c>
      <c r="S24" s="66">
        <v>51.9285</v>
      </c>
      <c r="T24" s="100">
        <v>51.476399999999998</v>
      </c>
      <c r="U24" s="66">
        <f t="shared" si="2"/>
        <v>0.4521000000000015</v>
      </c>
      <c r="V24" s="99">
        <f t="shared" si="3"/>
        <v>294.59412769244193</v>
      </c>
      <c r="W24" s="98">
        <f t="shared" si="1"/>
        <v>122.60214709522467</v>
      </c>
      <c r="X24" s="41"/>
      <c r="Y24" s="40"/>
      <c r="Z24" s="39"/>
      <c r="AA24" s="39"/>
      <c r="AB24" s="32"/>
      <c r="AC24" s="32"/>
    </row>
    <row r="25" spans="11:29" ht="14" x14ac:dyDescent="0.15">
      <c r="K25" s="34"/>
      <c r="L25" s="38">
        <f t="shared" si="0"/>
        <v>1986</v>
      </c>
      <c r="M25" s="353">
        <v>131</v>
      </c>
      <c r="N25" s="419">
        <v>3055.8241631232631</v>
      </c>
      <c r="O25" s="36">
        <v>2518.7051829962193</v>
      </c>
      <c r="P25" s="36"/>
      <c r="Q25" s="44">
        <v>392.35797518149184</v>
      </c>
      <c r="R25" s="45">
        <v>13.632400000000001</v>
      </c>
      <c r="S25" s="66">
        <v>62.438899999999997</v>
      </c>
      <c r="T25" s="100">
        <v>64.924400000000006</v>
      </c>
      <c r="U25" s="66">
        <f t="shared" si="2"/>
        <v>-2.4855000000000089</v>
      </c>
      <c r="V25" s="99">
        <f t="shared" si="3"/>
        <v>316.28667518149183</v>
      </c>
      <c r="W25" s="98">
        <f t="shared" si="1"/>
        <v>144.76100494555203</v>
      </c>
      <c r="X25" s="41"/>
      <c r="Y25" s="40"/>
      <c r="Z25" s="39"/>
      <c r="AA25" s="39"/>
      <c r="AB25" s="32"/>
      <c r="AC25" s="32"/>
    </row>
    <row r="26" spans="11:29" ht="14" x14ac:dyDescent="0.15">
      <c r="K26" s="34"/>
      <c r="L26" s="38">
        <f t="shared" si="0"/>
        <v>1987</v>
      </c>
      <c r="M26" s="353">
        <v>130</v>
      </c>
      <c r="N26" s="419">
        <v>3601.4419575787356</v>
      </c>
      <c r="O26" s="36">
        <v>2967.8427079335474</v>
      </c>
      <c r="P26" s="36"/>
      <c r="Q26" s="44">
        <v>460.66665085719728</v>
      </c>
      <c r="R26" s="45">
        <v>16.103000000000002</v>
      </c>
      <c r="S26" s="66">
        <v>81.906700000000001</v>
      </c>
      <c r="T26" s="100">
        <v>83.226699999999994</v>
      </c>
      <c r="U26" s="66">
        <f t="shared" si="2"/>
        <v>-1.3199999999999932</v>
      </c>
      <c r="V26" s="99">
        <f t="shared" si="3"/>
        <v>362.65695085719727</v>
      </c>
      <c r="W26" s="98">
        <f t="shared" si="1"/>
        <v>172.93259878799086</v>
      </c>
      <c r="X26" s="41"/>
      <c r="Y26" s="40"/>
      <c r="Z26" s="39"/>
      <c r="AA26" s="39"/>
      <c r="AB26" s="32"/>
      <c r="AC26" s="32"/>
    </row>
    <row r="27" spans="11:29" ht="14" x14ac:dyDescent="0.15">
      <c r="K27" s="34"/>
      <c r="L27" s="38">
        <f t="shared" si="0"/>
        <v>1988</v>
      </c>
      <c r="M27" s="353">
        <v>129</v>
      </c>
      <c r="N27" s="419">
        <v>4170.7670140537975</v>
      </c>
      <c r="O27" s="36">
        <v>3384.339133363032</v>
      </c>
      <c r="P27" s="36"/>
      <c r="Q27" s="44">
        <v>584.54230942107779</v>
      </c>
      <c r="R27" s="45">
        <v>18.043500000000002</v>
      </c>
      <c r="S27" s="66">
        <v>110.08499999999999</v>
      </c>
      <c r="T27" s="100">
        <v>109.048</v>
      </c>
      <c r="U27" s="66">
        <f t="shared" si="2"/>
        <v>1.0369999999999919</v>
      </c>
      <c r="V27" s="99">
        <f t="shared" si="3"/>
        <v>456.41380942107781</v>
      </c>
      <c r="W27" s="98">
        <f t="shared" si="1"/>
        <v>201.88557126968772</v>
      </c>
      <c r="X27" s="41"/>
      <c r="Y27" s="40"/>
      <c r="Z27" s="39"/>
      <c r="AA27" s="39"/>
      <c r="AB27" s="32"/>
      <c r="AC27" s="32"/>
    </row>
    <row r="28" spans="11:29" ht="14" x14ac:dyDescent="0.15">
      <c r="K28" s="34"/>
      <c r="L28" s="38">
        <f t="shared" si="0"/>
        <v>1989</v>
      </c>
      <c r="M28" s="353">
        <v>128</v>
      </c>
      <c r="N28" s="419">
        <v>4580.2171075149427</v>
      </c>
      <c r="O28" s="36">
        <v>3647.6599081205445</v>
      </c>
      <c r="P28" s="36"/>
      <c r="Q28" s="44">
        <v>717.24142169473726</v>
      </c>
      <c r="R28" s="97">
        <v>18.6402</v>
      </c>
      <c r="S28" s="95">
        <v>118.77500000000001</v>
      </c>
      <c r="T28" s="96">
        <v>115.321</v>
      </c>
      <c r="U28" s="95">
        <f t="shared" si="2"/>
        <v>3.4540000000000077</v>
      </c>
      <c r="V28" s="94">
        <f t="shared" si="3"/>
        <v>579.82622169473723</v>
      </c>
      <c r="W28" s="93">
        <f t="shared" si="1"/>
        <v>215.31577769966088</v>
      </c>
      <c r="X28" s="41"/>
      <c r="Y28" s="40"/>
      <c r="Z28" s="39"/>
      <c r="AA28" s="39"/>
      <c r="AB28" s="32"/>
      <c r="AC28" s="32"/>
    </row>
    <row r="29" spans="11:29" ht="14" x14ac:dyDescent="0.15">
      <c r="K29" s="34"/>
      <c r="L29" s="42">
        <f t="shared" si="0"/>
        <v>1990</v>
      </c>
      <c r="M29" s="354">
        <v>129</v>
      </c>
      <c r="N29" s="59">
        <v>5366.444767591398</v>
      </c>
      <c r="O29" s="1385">
        <v>4227.0113542471072</v>
      </c>
      <c r="P29" s="1385"/>
      <c r="Q29" s="1386">
        <v>870.40168248156021</v>
      </c>
      <c r="R29" s="45">
        <v>21.6434</v>
      </c>
      <c r="S29" s="66">
        <v>123.19799999999999</v>
      </c>
      <c r="T29" s="100">
        <v>118.258</v>
      </c>
      <c r="U29" s="66">
        <f t="shared" si="2"/>
        <v>4.9399999999999977</v>
      </c>
      <c r="V29" s="99">
        <f t="shared" si="3"/>
        <v>725.56028248156019</v>
      </c>
      <c r="W29" s="98">
        <f t="shared" si="1"/>
        <v>269.03173086273057</v>
      </c>
      <c r="X29" s="41"/>
      <c r="Y29" s="40"/>
      <c r="Z29" s="39"/>
      <c r="AA29" s="39"/>
      <c r="AB29" s="32"/>
      <c r="AC29" s="32"/>
    </row>
    <row r="30" spans="11:29" ht="14" x14ac:dyDescent="0.15">
      <c r="K30" s="34"/>
      <c r="L30" s="38">
        <f t="shared" si="0"/>
        <v>1991</v>
      </c>
      <c r="M30" s="353">
        <v>127</v>
      </c>
      <c r="N30" s="419">
        <v>5561.7188620048655</v>
      </c>
      <c r="O30" s="36">
        <v>4342.264480006439</v>
      </c>
      <c r="P30" s="36"/>
      <c r="Q30" s="44">
        <v>889.72694861708271</v>
      </c>
      <c r="R30" s="45">
        <v>21.7057</v>
      </c>
      <c r="S30" s="66">
        <v>108.61499999999999</v>
      </c>
      <c r="T30" s="100">
        <v>104.553</v>
      </c>
      <c r="U30" s="66">
        <f t="shared" si="2"/>
        <v>4.0619999999999976</v>
      </c>
      <c r="V30" s="99">
        <f t="shared" si="3"/>
        <v>759.40624861708272</v>
      </c>
      <c r="W30" s="98">
        <f t="shared" si="1"/>
        <v>329.72743338134376</v>
      </c>
      <c r="X30" s="41"/>
      <c r="Y30" s="40"/>
      <c r="Z30" s="39"/>
      <c r="AA30" s="39"/>
      <c r="AB30" s="32"/>
      <c r="AC30" s="32"/>
    </row>
    <row r="31" spans="11:29" ht="14" x14ac:dyDescent="0.15">
      <c r="K31" s="34"/>
      <c r="L31" s="38">
        <f t="shared" si="0"/>
        <v>1992</v>
      </c>
      <c r="M31" s="353">
        <v>129</v>
      </c>
      <c r="N31" s="419">
        <v>5865.6752096917635</v>
      </c>
      <c r="O31" s="36">
        <v>4662.8478493827106</v>
      </c>
      <c r="P31" s="36"/>
      <c r="Q31" s="44">
        <v>905.28560594367775</v>
      </c>
      <c r="R31" s="45">
        <v>23.246099999999998</v>
      </c>
      <c r="S31" s="66">
        <v>108.41200000000001</v>
      </c>
      <c r="T31" s="100">
        <v>105.35599999999999</v>
      </c>
      <c r="U31" s="66">
        <f t="shared" si="2"/>
        <v>3.0560000000000116</v>
      </c>
      <c r="V31" s="99">
        <f t="shared" si="3"/>
        <v>773.62750594367776</v>
      </c>
      <c r="W31" s="98">
        <f t="shared" si="1"/>
        <v>297.54175436537514</v>
      </c>
      <c r="X31" s="41"/>
      <c r="Y31" s="40"/>
      <c r="Z31" s="39"/>
      <c r="AA31" s="39"/>
      <c r="AB31" s="32"/>
      <c r="AC31" s="32"/>
    </row>
    <row r="32" spans="11:29" ht="14" x14ac:dyDescent="0.15">
      <c r="K32" s="34"/>
      <c r="L32" s="38">
        <f t="shared" si="0"/>
        <v>1993</v>
      </c>
      <c r="M32" s="353">
        <v>130</v>
      </c>
      <c r="N32" s="419">
        <v>5832.2967343208029</v>
      </c>
      <c r="O32" s="36">
        <v>4640.129924619805</v>
      </c>
      <c r="P32" s="36"/>
      <c r="Q32" s="44">
        <v>908.99288142733587</v>
      </c>
      <c r="R32" s="45">
        <v>23.2714</v>
      </c>
      <c r="S32" s="66">
        <v>126.83799999999999</v>
      </c>
      <c r="T32" s="100">
        <v>123.22499999999999</v>
      </c>
      <c r="U32" s="66">
        <f t="shared" si="2"/>
        <v>3.6129999999999995</v>
      </c>
      <c r="V32" s="99">
        <f t="shared" si="3"/>
        <v>758.88348142733594</v>
      </c>
      <c r="W32" s="98">
        <f t="shared" si="1"/>
        <v>283.173928273662</v>
      </c>
      <c r="X32" s="41"/>
      <c r="Y32" s="40"/>
      <c r="Z32" s="39"/>
      <c r="AA32" s="39"/>
      <c r="AB32" s="32"/>
      <c r="AC32" s="32"/>
    </row>
    <row r="33" spans="3:29" s="41" customFormat="1" ht="14" x14ac:dyDescent="0.15">
      <c r="K33" s="47"/>
      <c r="L33" s="46">
        <f t="shared" si="0"/>
        <v>1994</v>
      </c>
      <c r="M33" s="355">
        <v>131</v>
      </c>
      <c r="N33" s="420">
        <v>6519.02</v>
      </c>
      <c r="O33" s="44">
        <v>5311.91</v>
      </c>
      <c r="P33" s="44"/>
      <c r="Q33" s="44">
        <v>914.12300000000005</v>
      </c>
      <c r="R33" s="45">
        <v>23.819299999999998</v>
      </c>
      <c r="S33" s="66">
        <v>160.422</v>
      </c>
      <c r="T33" s="100">
        <v>156.001</v>
      </c>
      <c r="U33" s="66">
        <f t="shared" si="2"/>
        <v>4.4209999999999923</v>
      </c>
      <c r="V33" s="99">
        <f t="shared" si="3"/>
        <v>729.88170000000002</v>
      </c>
      <c r="W33" s="60">
        <v>292.99099999999999</v>
      </c>
      <c r="Y33" s="40"/>
      <c r="Z33" s="39"/>
      <c r="AA33" s="39"/>
      <c r="AB33" s="39"/>
      <c r="AC33" s="39"/>
    </row>
    <row r="34" spans="3:29" ht="14" x14ac:dyDescent="0.15">
      <c r="K34" s="34"/>
      <c r="L34" s="38">
        <f t="shared" si="0"/>
        <v>1995</v>
      </c>
      <c r="M34" s="353">
        <v>130</v>
      </c>
      <c r="N34" s="419">
        <v>7745</v>
      </c>
      <c r="O34" s="36">
        <v>6328.7</v>
      </c>
      <c r="P34" s="36"/>
      <c r="Q34" s="44">
        <v>1093.54</v>
      </c>
      <c r="R34" s="45">
        <v>28.610399999999998</v>
      </c>
      <c r="S34" s="66">
        <v>193.29499999999999</v>
      </c>
      <c r="T34" s="100">
        <v>187.46299999999999</v>
      </c>
      <c r="U34" s="66">
        <f t="shared" si="2"/>
        <v>5.8319999999999936</v>
      </c>
      <c r="V34" s="99">
        <f t="shared" si="3"/>
        <v>871.63459999999998</v>
      </c>
      <c r="W34" s="60">
        <v>322.77</v>
      </c>
      <c r="X34" s="41"/>
      <c r="Y34" s="40"/>
      <c r="Z34" s="39"/>
      <c r="AA34" s="39"/>
      <c r="AB34" s="32"/>
      <c r="AC34" s="32"/>
    </row>
    <row r="35" spans="3:29" ht="14" x14ac:dyDescent="0.15">
      <c r="K35" s="34"/>
      <c r="L35" s="38">
        <f t="shared" si="0"/>
        <v>1996</v>
      </c>
      <c r="M35" s="353">
        <v>131</v>
      </c>
      <c r="N35" s="419">
        <v>8090.18</v>
      </c>
      <c r="O35" s="36">
        <v>6673.82</v>
      </c>
      <c r="P35" s="36"/>
      <c r="Q35" s="44">
        <v>1049.6200000000001</v>
      </c>
      <c r="R35" s="45">
        <v>28.603999999999999</v>
      </c>
      <c r="S35" s="66">
        <v>239.166</v>
      </c>
      <c r="T35" s="100">
        <v>229.49</v>
      </c>
      <c r="U35" s="66">
        <f t="shared" si="2"/>
        <v>9.6759999999999877</v>
      </c>
      <c r="V35" s="99">
        <f t="shared" si="3"/>
        <v>781.85000000000014</v>
      </c>
      <c r="W35" s="60">
        <v>366.74299999999999</v>
      </c>
      <c r="X35" s="41"/>
      <c r="Y35" s="40"/>
      <c r="Z35" s="39"/>
      <c r="AA35" s="39"/>
      <c r="AB35" s="32"/>
      <c r="AC35" s="32"/>
    </row>
    <row r="36" spans="3:29" ht="14" x14ac:dyDescent="0.15">
      <c r="K36" s="34"/>
      <c r="L36" s="38">
        <f t="shared" si="0"/>
        <v>1997</v>
      </c>
      <c r="M36" s="353">
        <v>137</v>
      </c>
      <c r="N36" s="419">
        <v>8388.44</v>
      </c>
      <c r="O36" s="36">
        <v>6926.87</v>
      </c>
      <c r="P36" s="36"/>
      <c r="Q36" s="44">
        <v>1107.3800000000001</v>
      </c>
      <c r="R36" s="45">
        <v>37.125900000000001</v>
      </c>
      <c r="S36" s="66">
        <v>264.93900000000002</v>
      </c>
      <c r="T36" s="100">
        <v>247.261</v>
      </c>
      <c r="U36" s="66">
        <f t="shared" si="2"/>
        <v>17.678000000000026</v>
      </c>
      <c r="V36" s="99">
        <f t="shared" si="3"/>
        <v>805.31510000000003</v>
      </c>
      <c r="W36" s="60">
        <v>354.19299999999998</v>
      </c>
      <c r="X36" s="41"/>
      <c r="Y36" s="40"/>
      <c r="Z36" s="39"/>
      <c r="AA36" s="39"/>
      <c r="AB36" s="32"/>
      <c r="AC36" s="32"/>
    </row>
    <row r="37" spans="3:29" ht="14" x14ac:dyDescent="0.15">
      <c r="K37" s="34"/>
      <c r="L37" s="38">
        <f t="shared" si="0"/>
        <v>1998</v>
      </c>
      <c r="M37" s="353">
        <v>140</v>
      </c>
      <c r="N37" s="419">
        <v>8419.2999999999993</v>
      </c>
      <c r="O37" s="36">
        <v>6842.27</v>
      </c>
      <c r="P37" s="36"/>
      <c r="Q37" s="44">
        <v>1207.0899999999999</v>
      </c>
      <c r="R37" s="45">
        <v>37.721699999999998</v>
      </c>
      <c r="S37" s="66">
        <v>267.77499999999998</v>
      </c>
      <c r="T37" s="100">
        <v>243.78</v>
      </c>
      <c r="U37" s="66">
        <f t="shared" si="2"/>
        <v>23.994999999999976</v>
      </c>
      <c r="V37" s="99">
        <f t="shared" si="3"/>
        <v>901.59329999999989</v>
      </c>
      <c r="W37" s="60">
        <v>369.94600000000003</v>
      </c>
      <c r="X37" s="41"/>
      <c r="Y37" s="40"/>
      <c r="Z37" s="39"/>
      <c r="AA37" s="39"/>
      <c r="AB37" s="32"/>
      <c r="AC37" s="32"/>
    </row>
    <row r="38" spans="3:29" ht="14" x14ac:dyDescent="0.15">
      <c r="K38" s="34"/>
      <c r="L38" s="38">
        <f t="shared" si="0"/>
        <v>1999</v>
      </c>
      <c r="M38" s="353">
        <v>142</v>
      </c>
      <c r="N38" s="419">
        <v>8715.65</v>
      </c>
      <c r="O38" s="36">
        <v>7076.27</v>
      </c>
      <c r="P38" s="36"/>
      <c r="Q38" s="44">
        <v>1259.25</v>
      </c>
      <c r="R38" s="97">
        <v>38.305399999999999</v>
      </c>
      <c r="S38" s="95">
        <v>348.495</v>
      </c>
      <c r="T38" s="96">
        <v>315.10199999999998</v>
      </c>
      <c r="U38" s="95">
        <f t="shared" si="2"/>
        <v>33.393000000000029</v>
      </c>
      <c r="V38" s="94">
        <f t="shared" si="3"/>
        <v>872.44960000000003</v>
      </c>
      <c r="W38" s="92">
        <v>380.12799999999999</v>
      </c>
      <c r="X38" s="41"/>
      <c r="Y38" s="40"/>
      <c r="Z38" s="39"/>
      <c r="AA38" s="39"/>
      <c r="AB38" s="32"/>
      <c r="AC38" s="32"/>
    </row>
    <row r="39" spans="3:29" ht="14" x14ac:dyDescent="0.15">
      <c r="K39" s="34"/>
      <c r="L39" s="42">
        <f t="shared" si="0"/>
        <v>2000</v>
      </c>
      <c r="M39" s="354">
        <v>142</v>
      </c>
      <c r="N39" s="59">
        <v>9666.59</v>
      </c>
      <c r="O39" s="1385">
        <v>7869.88</v>
      </c>
      <c r="P39" s="1385"/>
      <c r="Q39" s="1386">
        <v>1431.46</v>
      </c>
      <c r="R39" s="45">
        <v>38.636299999999999</v>
      </c>
      <c r="S39" s="66">
        <v>408.93799999999999</v>
      </c>
      <c r="T39" s="100">
        <v>366.238</v>
      </c>
      <c r="U39" s="66">
        <f t="shared" si="2"/>
        <v>42.699999999999989</v>
      </c>
      <c r="V39" s="99">
        <f t="shared" si="3"/>
        <v>983.88570000000016</v>
      </c>
      <c r="W39" s="60">
        <v>365.24900000000002</v>
      </c>
      <c r="X39" s="41"/>
      <c r="Y39" s="40"/>
      <c r="Z39" s="39"/>
      <c r="AA39" s="39"/>
      <c r="AB39" s="32"/>
      <c r="AC39" s="32"/>
    </row>
    <row r="40" spans="3:29" ht="14" x14ac:dyDescent="0.15">
      <c r="K40" s="34"/>
      <c r="L40" s="38">
        <f t="shared" si="0"/>
        <v>2001</v>
      </c>
      <c r="M40" s="353">
        <v>143</v>
      </c>
      <c r="N40" s="419">
        <v>9335.08</v>
      </c>
      <c r="O40" s="36">
        <v>7614.77</v>
      </c>
      <c r="P40" s="36"/>
      <c r="Q40" s="44">
        <v>1331.17</v>
      </c>
      <c r="R40" s="45">
        <v>40.971299999999999</v>
      </c>
      <c r="S40" s="66">
        <v>348.05700000000002</v>
      </c>
      <c r="T40" s="100">
        <v>307.50099999999998</v>
      </c>
      <c r="U40" s="66">
        <f t="shared" si="2"/>
        <v>40.55600000000004</v>
      </c>
      <c r="V40" s="99">
        <f t="shared" si="3"/>
        <v>942.14170000000013</v>
      </c>
      <c r="W40" s="60">
        <v>389.137</v>
      </c>
      <c r="X40" s="41"/>
      <c r="Y40" s="40"/>
      <c r="Z40" s="39"/>
      <c r="AA40" s="39"/>
      <c r="AB40" s="32"/>
      <c r="AC40" s="32"/>
    </row>
    <row r="41" spans="3:29" ht="14" x14ac:dyDescent="0.15">
      <c r="K41" s="34"/>
      <c r="L41" s="38">
        <f t="shared" si="0"/>
        <v>2002</v>
      </c>
      <c r="M41" s="353">
        <v>153</v>
      </c>
      <c r="N41" s="419">
        <v>9747.9600000000009</v>
      </c>
      <c r="O41" s="36">
        <v>8033.43</v>
      </c>
      <c r="P41" s="36"/>
      <c r="Q41" s="44">
        <v>1278.73</v>
      </c>
      <c r="R41" s="45">
        <v>50.529400000000003</v>
      </c>
      <c r="S41" s="66">
        <v>389.75599999999997</v>
      </c>
      <c r="T41" s="100">
        <v>344.30700000000002</v>
      </c>
      <c r="U41" s="66">
        <f t="shared" si="2"/>
        <v>45.448999999999955</v>
      </c>
      <c r="V41" s="99">
        <f t="shared" si="3"/>
        <v>838.44460000000015</v>
      </c>
      <c r="W41" s="60">
        <v>435.80099999999999</v>
      </c>
      <c r="X41" s="41"/>
      <c r="Y41" s="40"/>
      <c r="Z41" s="39"/>
      <c r="AA41" s="39"/>
      <c r="AB41" s="32"/>
      <c r="AC41" s="32"/>
    </row>
    <row r="42" spans="3:29" ht="14" x14ac:dyDescent="0.15">
      <c r="K42" s="34"/>
      <c r="L42" s="38">
        <f t="shared" si="0"/>
        <v>2003</v>
      </c>
      <c r="M42" s="353">
        <v>156</v>
      </c>
      <c r="N42" s="419">
        <v>11366.800000000001</v>
      </c>
      <c r="O42" s="36">
        <v>9356.2900000000009</v>
      </c>
      <c r="P42" s="36"/>
      <c r="Q42" s="44">
        <v>1498.93</v>
      </c>
      <c r="R42" s="45">
        <v>63.22</v>
      </c>
      <c r="S42" s="66">
        <v>539.43600000000004</v>
      </c>
      <c r="T42" s="100">
        <v>484.46</v>
      </c>
      <c r="U42" s="66">
        <f t="shared" si="2"/>
        <v>54.976000000000056</v>
      </c>
      <c r="V42" s="99">
        <f t="shared" si="3"/>
        <v>896.274</v>
      </c>
      <c r="W42" s="60">
        <v>511.59199999999998</v>
      </c>
      <c r="X42" s="41"/>
      <c r="Y42" s="40"/>
      <c r="Z42" s="39"/>
      <c r="AA42" s="39"/>
      <c r="AB42" s="32"/>
      <c r="AC42" s="32"/>
    </row>
    <row r="43" spans="3:29" ht="14" x14ac:dyDescent="0.15">
      <c r="K43" s="34"/>
      <c r="L43" s="38">
        <f t="shared" si="0"/>
        <v>2004</v>
      </c>
      <c r="M43" s="353">
        <v>158</v>
      </c>
      <c r="N43" s="419">
        <v>13850.800000000001</v>
      </c>
      <c r="O43" s="36">
        <v>11354.73</v>
      </c>
      <c r="P43" s="36"/>
      <c r="Q43" s="44">
        <v>1890.57</v>
      </c>
      <c r="R43" s="45">
        <v>75.842100000000002</v>
      </c>
      <c r="S43" s="66">
        <v>821.596</v>
      </c>
      <c r="T43" s="100">
        <v>730.89800000000002</v>
      </c>
      <c r="U43" s="66">
        <f t="shared" si="2"/>
        <v>90.697999999999979</v>
      </c>
      <c r="V43" s="99">
        <f t="shared" si="3"/>
        <v>993.13189999999986</v>
      </c>
      <c r="W43" s="60">
        <v>605.52</v>
      </c>
      <c r="Y43" s="30"/>
      <c r="Z43" s="32"/>
      <c r="AA43" s="32"/>
      <c r="AB43" s="32"/>
      <c r="AC43" s="32"/>
    </row>
    <row r="44" spans="3:29" ht="14" x14ac:dyDescent="0.15">
      <c r="K44" s="34"/>
      <c r="L44" s="38">
        <f t="shared" si="0"/>
        <v>2005</v>
      </c>
      <c r="M44" s="353">
        <v>169</v>
      </c>
      <c r="N44" s="419">
        <v>16049.300000000001</v>
      </c>
      <c r="O44" s="36">
        <v>12924.79</v>
      </c>
      <c r="P44" s="36"/>
      <c r="Q44" s="44">
        <v>2431.75</v>
      </c>
      <c r="R44" s="45">
        <v>85.974999999999994</v>
      </c>
      <c r="S44" s="66">
        <v>1066.23</v>
      </c>
      <c r="T44" s="100">
        <v>959.62</v>
      </c>
      <c r="U44" s="66">
        <f t="shared" si="2"/>
        <v>106.61000000000001</v>
      </c>
      <c r="V44" s="99">
        <f t="shared" si="3"/>
        <v>1279.5450000000001</v>
      </c>
      <c r="W44" s="60">
        <v>692.7</v>
      </c>
      <c r="Y44" s="30"/>
      <c r="Z44" s="32"/>
      <c r="AA44" s="32"/>
      <c r="AB44" s="32"/>
      <c r="AC44" s="32"/>
    </row>
    <row r="45" spans="3:29" ht="14" x14ac:dyDescent="0.15">
      <c r="K45" s="34"/>
      <c r="L45" s="38">
        <f t="shared" si="0"/>
        <v>2006</v>
      </c>
      <c r="M45" s="353">
        <v>171</v>
      </c>
      <c r="N45" s="419">
        <v>18770.900000000001</v>
      </c>
      <c r="O45" s="36">
        <v>14882.01</v>
      </c>
      <c r="P45" s="36"/>
      <c r="Q45" s="44">
        <v>3128.26</v>
      </c>
      <c r="R45" s="45">
        <v>94.942700000000002</v>
      </c>
      <c r="S45" s="66">
        <v>1263.1099999999999</v>
      </c>
      <c r="T45" s="100">
        <v>1113.83</v>
      </c>
      <c r="U45" s="66">
        <f t="shared" si="2"/>
        <v>149.27999999999997</v>
      </c>
      <c r="V45" s="99">
        <f t="shared" si="3"/>
        <v>1770.2073000000003</v>
      </c>
      <c r="W45" s="60">
        <v>760.61900000000003</v>
      </c>
      <c r="Y45" s="30"/>
      <c r="Z45" s="32"/>
      <c r="AA45" s="32"/>
      <c r="AB45" s="32"/>
      <c r="AC45" s="32"/>
    </row>
    <row r="46" spans="3:29" ht="14" x14ac:dyDescent="0.15">
      <c r="K46" s="34"/>
      <c r="L46" s="38">
        <f t="shared" si="0"/>
        <v>2007</v>
      </c>
      <c r="M46" s="353">
        <v>172</v>
      </c>
      <c r="N46" s="419">
        <v>22217.600000000002</v>
      </c>
      <c r="O46" s="36">
        <v>17321.27</v>
      </c>
      <c r="P46" s="36"/>
      <c r="Q46" s="44">
        <v>4024.14</v>
      </c>
      <c r="R46" s="45">
        <v>113.59699999999999</v>
      </c>
      <c r="S46" s="66">
        <v>1547.83</v>
      </c>
      <c r="T46" s="100">
        <v>1351.55</v>
      </c>
      <c r="U46" s="66">
        <f t="shared" si="2"/>
        <v>196.27999999999997</v>
      </c>
      <c r="V46" s="99">
        <f t="shared" si="3"/>
        <v>2362.7129999999997</v>
      </c>
      <c r="W46" s="60">
        <v>872.20699999999999</v>
      </c>
      <c r="Y46" s="30"/>
      <c r="Z46" s="32"/>
      <c r="AA46" s="32"/>
      <c r="AB46" s="32"/>
      <c r="AC46" s="32"/>
    </row>
    <row r="47" spans="3:29" ht="14" x14ac:dyDescent="0.15">
      <c r="K47" s="34"/>
      <c r="L47" s="38">
        <f t="shared" si="0"/>
        <v>2008</v>
      </c>
      <c r="M47" s="353">
        <v>172</v>
      </c>
      <c r="N47" s="419">
        <v>24896</v>
      </c>
      <c r="O47" s="36">
        <v>19873.28</v>
      </c>
      <c r="P47" s="36"/>
      <c r="Q47" s="44">
        <v>4047.7200000000003</v>
      </c>
      <c r="R47" s="45">
        <v>131.601</v>
      </c>
      <c r="S47" s="66">
        <v>1423.08</v>
      </c>
      <c r="T47" s="100">
        <v>1206.2</v>
      </c>
      <c r="U47" s="66">
        <f t="shared" si="2"/>
        <v>216.87999999999988</v>
      </c>
      <c r="V47" s="99">
        <f t="shared" si="3"/>
        <v>2493.0390000000002</v>
      </c>
      <c r="W47" s="60">
        <v>974.99599999999998</v>
      </c>
      <c r="Y47" s="30"/>
      <c r="Z47" s="32"/>
      <c r="AA47" s="32"/>
      <c r="AB47" s="32"/>
      <c r="AC47" s="32"/>
    </row>
    <row r="48" spans="3:29" ht="14" x14ac:dyDescent="0.15">
      <c r="C48" s="30"/>
      <c r="D48" s="30"/>
      <c r="E48" s="30"/>
      <c r="F48" s="30"/>
      <c r="G48" s="30"/>
      <c r="H48" s="30"/>
      <c r="I48" s="30"/>
      <c r="J48" s="30"/>
      <c r="L48" s="43">
        <f t="shared" ref="L48:L54" si="4">L47+1</f>
        <v>2009</v>
      </c>
      <c r="M48" s="356">
        <v>174</v>
      </c>
      <c r="N48" s="101">
        <v>19697.63</v>
      </c>
      <c r="O48" s="1387">
        <v>12219.204</v>
      </c>
      <c r="P48" s="1387">
        <v>3535.75</v>
      </c>
      <c r="Q48" s="1388">
        <v>3180.7579999999998</v>
      </c>
      <c r="R48" s="97">
        <v>126.83499999999999</v>
      </c>
      <c r="S48" s="95">
        <v>1290.5899999999999</v>
      </c>
      <c r="T48" s="96">
        <v>1122.98</v>
      </c>
      <c r="U48" s="95">
        <f t="shared" si="2"/>
        <v>167.6099999999999</v>
      </c>
      <c r="V48" s="94">
        <f>+Q48-R48-S48</f>
        <v>1763.3329999999999</v>
      </c>
      <c r="W48" s="92">
        <v>761.91800000000001</v>
      </c>
    </row>
    <row r="49" spans="3:23" ht="14" x14ac:dyDescent="0.15">
      <c r="C49" s="30"/>
      <c r="D49" s="30"/>
      <c r="E49" s="30"/>
      <c r="F49" s="30"/>
      <c r="G49" s="30"/>
      <c r="H49" s="30"/>
      <c r="I49" s="30"/>
      <c r="J49" s="30"/>
      <c r="L49" s="38">
        <f t="shared" si="4"/>
        <v>2010</v>
      </c>
      <c r="M49" s="353">
        <v>174</v>
      </c>
      <c r="N49" s="419">
        <v>22997.917000000001</v>
      </c>
      <c r="O49" s="36">
        <v>14896.36</v>
      </c>
      <c r="P49" s="36">
        <v>3815.2730000000001</v>
      </c>
      <c r="Q49" s="44">
        <v>3490.4050000000002</v>
      </c>
      <c r="R49" s="45">
        <v>136.54300000000001</v>
      </c>
      <c r="S49" s="66">
        <v>1656.07</v>
      </c>
      <c r="T49" s="100">
        <v>1483.29</v>
      </c>
      <c r="U49" s="66">
        <f t="shared" si="2"/>
        <v>172.77999999999997</v>
      </c>
      <c r="V49" s="99">
        <f t="shared" si="3"/>
        <v>1697.7920000000001</v>
      </c>
      <c r="W49" s="60">
        <v>795.87900000000002</v>
      </c>
    </row>
    <row r="50" spans="3:23" ht="14" x14ac:dyDescent="0.15">
      <c r="C50" s="30"/>
      <c r="D50" s="30"/>
      <c r="E50" s="30"/>
      <c r="F50" s="30"/>
      <c r="G50" s="30"/>
      <c r="H50" s="30"/>
      <c r="I50" s="30"/>
      <c r="J50" s="30"/>
      <c r="L50" s="38">
        <f t="shared" si="4"/>
        <v>2011</v>
      </c>
      <c r="M50" s="353">
        <v>176</v>
      </c>
      <c r="N50" s="419">
        <v>27122.772000000001</v>
      </c>
      <c r="O50" s="36">
        <v>17942.983</v>
      </c>
      <c r="P50" s="36">
        <v>4355.9449999999997</v>
      </c>
      <c r="Q50" s="44">
        <v>3921.3620000000001</v>
      </c>
      <c r="R50" s="45">
        <v>155.35499999999999</v>
      </c>
      <c r="S50" s="66">
        <v>1841.02</v>
      </c>
      <c r="T50" s="100">
        <v>1607.73</v>
      </c>
      <c r="U50" s="66">
        <f t="shared" si="2"/>
        <v>233.28999999999996</v>
      </c>
      <c r="V50" s="99">
        <f t="shared" si="3"/>
        <v>1924.9870000000001</v>
      </c>
      <c r="W50" s="60">
        <v>902.48199999999997</v>
      </c>
    </row>
    <row r="51" spans="3:23" ht="14" x14ac:dyDescent="0.15">
      <c r="C51" s="31"/>
      <c r="D51" s="30"/>
      <c r="E51" s="30"/>
      <c r="F51" s="30"/>
      <c r="G51" s="30"/>
      <c r="H51" s="30"/>
      <c r="I51" s="30"/>
      <c r="J51" s="30"/>
      <c r="L51" s="38">
        <f t="shared" si="4"/>
        <v>2012</v>
      </c>
      <c r="M51" s="353">
        <v>178</v>
      </c>
      <c r="N51" s="419">
        <v>27394.687000000002</v>
      </c>
      <c r="O51" s="36">
        <v>18182.382000000001</v>
      </c>
      <c r="P51" s="36">
        <v>4469.0569999999998</v>
      </c>
      <c r="Q51" s="44">
        <v>3807.2579999999998</v>
      </c>
      <c r="R51" s="45">
        <v>157.97300000000001</v>
      </c>
      <c r="S51" s="66">
        <v>1760.48</v>
      </c>
      <c r="T51" s="100">
        <v>1513.04</v>
      </c>
      <c r="U51" s="66">
        <f t="shared" si="2"/>
        <v>247.44000000000005</v>
      </c>
      <c r="V51" s="99">
        <f t="shared" si="3"/>
        <v>1888.8049999999998</v>
      </c>
      <c r="W51" s="60">
        <v>935.99</v>
      </c>
    </row>
    <row r="52" spans="3:23" ht="14" x14ac:dyDescent="0.15">
      <c r="C52" s="30"/>
      <c r="D52" s="30"/>
      <c r="E52" s="30"/>
      <c r="F52" s="30"/>
      <c r="G52" s="30"/>
      <c r="H52" s="30"/>
      <c r="I52" s="30"/>
      <c r="J52" s="30"/>
      <c r="L52" s="38">
        <f t="shared" si="4"/>
        <v>2013</v>
      </c>
      <c r="M52" s="353">
        <v>176</v>
      </c>
      <c r="N52" s="419">
        <v>28232.206999999999</v>
      </c>
      <c r="O52" s="36">
        <v>18587.05</v>
      </c>
      <c r="P52" s="36">
        <v>4755.6270000000004</v>
      </c>
      <c r="Q52" s="44">
        <v>3886.6959999999999</v>
      </c>
      <c r="R52" s="45">
        <v>170.69900000000001</v>
      </c>
      <c r="S52" s="66">
        <v>1840.53</v>
      </c>
      <c r="T52" s="100">
        <v>1572.21</v>
      </c>
      <c r="U52" s="66">
        <f t="shared" si="2"/>
        <v>268.31999999999994</v>
      </c>
      <c r="V52" s="99">
        <f t="shared" si="3"/>
        <v>1875.4669999999999</v>
      </c>
      <c r="W52" s="60">
        <v>1002.8339999999999</v>
      </c>
    </row>
    <row r="53" spans="3:23" ht="14" x14ac:dyDescent="0.15">
      <c r="C53" s="30"/>
      <c r="D53" s="30"/>
      <c r="E53" s="30"/>
      <c r="F53" s="30"/>
      <c r="G53" s="30"/>
      <c r="H53" s="30"/>
      <c r="I53" s="30"/>
      <c r="J53" s="30"/>
      <c r="L53" s="38">
        <f t="shared" si="4"/>
        <v>2014</v>
      </c>
      <c r="M53" s="353">
        <v>165</v>
      </c>
      <c r="N53" s="419">
        <v>28819.9</v>
      </c>
      <c r="O53" s="36">
        <v>18624.773000000001</v>
      </c>
      <c r="P53" s="36">
        <v>5093.8029999999999</v>
      </c>
      <c r="Q53" s="44">
        <v>4047.4250000000002</v>
      </c>
      <c r="R53" s="45">
        <v>185.79599999999999</v>
      </c>
      <c r="S53" s="66">
        <v>1907.48</v>
      </c>
      <c r="T53" s="100">
        <v>1633.82</v>
      </c>
      <c r="U53" s="66">
        <f t="shared" si="2"/>
        <v>273.66000000000008</v>
      </c>
      <c r="V53" s="99">
        <f t="shared" si="3"/>
        <v>1954.1490000000003</v>
      </c>
      <c r="W53" s="60">
        <v>1053.8989999999999</v>
      </c>
    </row>
    <row r="54" spans="3:23" ht="15" thickBot="1" x14ac:dyDescent="0.2">
      <c r="C54" s="30"/>
      <c r="D54" s="30"/>
      <c r="E54" s="30"/>
      <c r="F54" s="30"/>
      <c r="G54" s="30"/>
      <c r="H54" s="30"/>
      <c r="I54" s="30"/>
      <c r="J54" s="30"/>
      <c r="L54" s="33">
        <f t="shared" si="4"/>
        <v>2015</v>
      </c>
      <c r="M54" s="1389">
        <v>155</v>
      </c>
      <c r="N54" s="91">
        <v>25675.608</v>
      </c>
      <c r="O54" s="1390">
        <v>16201.614</v>
      </c>
      <c r="P54" s="1390">
        <v>4833.1210000000001</v>
      </c>
      <c r="Q54" s="1391">
        <v>3673.096</v>
      </c>
      <c r="R54" s="90">
        <v>175.785</v>
      </c>
      <c r="S54" s="88">
        <v>1659.53</v>
      </c>
      <c r="T54" s="89">
        <v>1415.69</v>
      </c>
      <c r="U54" s="88">
        <f t="shared" si="2"/>
        <v>243.83999999999992</v>
      </c>
      <c r="V54" s="87">
        <f t="shared" si="3"/>
        <v>1837.7810000000002</v>
      </c>
      <c r="W54" s="86">
        <v>967.77700000000004</v>
      </c>
    </row>
    <row r="55" spans="3:23" ht="15" thickTop="1" thickBot="1" x14ac:dyDescent="0.2">
      <c r="C55" s="30"/>
      <c r="D55" s="30"/>
      <c r="E55" s="30"/>
      <c r="F55" s="30"/>
      <c r="G55" s="30"/>
      <c r="H55" s="30"/>
      <c r="I55" s="30"/>
      <c r="J55" s="30"/>
    </row>
    <row r="56" spans="3:23" ht="15.75" customHeight="1" x14ac:dyDescent="0.15">
      <c r="C56" s="30"/>
      <c r="D56" s="30"/>
      <c r="E56" s="30"/>
      <c r="F56" s="30"/>
      <c r="G56" s="30"/>
      <c r="H56" s="30"/>
      <c r="I56" s="30"/>
      <c r="J56" s="30"/>
      <c r="L56" s="2187" t="s">
        <v>389</v>
      </c>
      <c r="M56" s="2188"/>
      <c r="N56" s="2188"/>
      <c r="O56" s="2188"/>
      <c r="P56" s="2188"/>
      <c r="Q56" s="2188"/>
      <c r="R56" s="2188"/>
      <c r="S56" s="2188"/>
      <c r="T56" s="2188"/>
      <c r="U56" s="2188"/>
      <c r="V56" s="2188"/>
      <c r="W56" s="2189"/>
    </row>
    <row r="57" spans="3:23" ht="15.75" customHeight="1" thickBot="1" x14ac:dyDescent="0.2">
      <c r="C57" s="30"/>
      <c r="D57" s="30"/>
      <c r="E57" s="30"/>
      <c r="F57" s="30"/>
      <c r="G57" s="30"/>
      <c r="H57" s="30"/>
      <c r="I57" s="30"/>
      <c r="J57" s="30"/>
      <c r="L57" s="2190"/>
      <c r="M57" s="2191"/>
      <c r="N57" s="2191"/>
      <c r="O57" s="2191"/>
      <c r="P57" s="2191"/>
      <c r="Q57" s="2191"/>
      <c r="R57" s="2191"/>
      <c r="S57" s="2191"/>
      <c r="T57" s="2191"/>
      <c r="U57" s="2191"/>
      <c r="V57" s="2191"/>
      <c r="W57" s="2192"/>
    </row>
    <row r="58" spans="3:23" x14ac:dyDescent="0.15">
      <c r="C58" s="30"/>
      <c r="D58" s="30"/>
      <c r="E58" s="30"/>
      <c r="F58" s="30"/>
      <c r="G58" s="30"/>
      <c r="H58" s="30"/>
      <c r="I58" s="30"/>
      <c r="J58" s="30"/>
    </row>
    <row r="59" spans="3:23" x14ac:dyDescent="0.15">
      <c r="C59" s="30"/>
      <c r="D59" s="30"/>
      <c r="E59" s="30"/>
      <c r="F59" s="30"/>
      <c r="G59" s="30"/>
      <c r="H59" s="30"/>
      <c r="I59" s="30"/>
      <c r="J59" s="30"/>
    </row>
    <row r="60" spans="3:23" x14ac:dyDescent="0.15">
      <c r="C60" s="30"/>
      <c r="D60" s="30"/>
      <c r="E60" s="30"/>
      <c r="F60" s="30"/>
      <c r="G60" s="30"/>
      <c r="H60" s="30"/>
      <c r="I60" s="30"/>
      <c r="J60" s="30"/>
    </row>
    <row r="61" spans="3:23" x14ac:dyDescent="0.15">
      <c r="C61" s="30"/>
      <c r="D61" s="30"/>
      <c r="E61" s="30"/>
      <c r="F61" s="30"/>
      <c r="G61" s="30"/>
      <c r="H61" s="30"/>
      <c r="I61" s="30"/>
      <c r="J61" s="30"/>
    </row>
    <row r="62" spans="3:23" x14ac:dyDescent="0.15">
      <c r="C62" s="30"/>
      <c r="D62" s="30"/>
      <c r="E62" s="30"/>
      <c r="F62" s="30"/>
      <c r="G62" s="30"/>
      <c r="H62" s="30"/>
      <c r="I62" s="30"/>
      <c r="J62" s="30"/>
    </row>
    <row r="63" spans="3:23" x14ac:dyDescent="0.15">
      <c r="C63" s="30"/>
      <c r="D63" s="30"/>
      <c r="E63" s="30"/>
      <c r="F63" s="30"/>
      <c r="G63" s="30"/>
      <c r="H63" s="30"/>
      <c r="I63" s="30"/>
      <c r="J63" s="30"/>
    </row>
    <row r="64" spans="3:23" x14ac:dyDescent="0.15">
      <c r="C64" s="30"/>
      <c r="D64" s="30"/>
      <c r="E64" s="30"/>
      <c r="F64" s="30"/>
      <c r="G64" s="30"/>
      <c r="H64" s="30"/>
      <c r="I64" s="30"/>
      <c r="J64" s="30"/>
    </row>
    <row r="65" spans="3:10" x14ac:dyDescent="0.15">
      <c r="C65" s="30"/>
      <c r="D65" s="30"/>
      <c r="E65" s="30"/>
      <c r="F65" s="30"/>
      <c r="G65" s="30"/>
      <c r="H65" s="30"/>
      <c r="I65" s="30"/>
      <c r="J65" s="30"/>
    </row>
    <row r="66" spans="3:10" x14ac:dyDescent="0.15">
      <c r="C66" s="30"/>
      <c r="D66" s="30"/>
      <c r="E66" s="30"/>
      <c r="F66" s="30"/>
      <c r="G66" s="30"/>
      <c r="H66" s="30"/>
      <c r="I66" s="30"/>
      <c r="J66" s="30"/>
    </row>
    <row r="67" spans="3:10" x14ac:dyDescent="0.15">
      <c r="C67" s="30"/>
      <c r="D67" s="30"/>
      <c r="E67" s="30"/>
      <c r="F67" s="30"/>
      <c r="G67" s="30"/>
      <c r="H67" s="30"/>
      <c r="I67" s="30"/>
      <c r="J67" s="30"/>
    </row>
    <row r="68" spans="3:10" x14ac:dyDescent="0.15">
      <c r="C68" s="30"/>
      <c r="D68" s="30"/>
      <c r="E68" s="30"/>
      <c r="F68" s="30"/>
      <c r="G68" s="30"/>
      <c r="H68" s="30"/>
      <c r="I68" s="30"/>
      <c r="J68" s="30"/>
    </row>
    <row r="69" spans="3:10" x14ac:dyDescent="0.15">
      <c r="C69" s="30"/>
      <c r="D69" s="30"/>
      <c r="E69" s="30"/>
      <c r="F69" s="30"/>
      <c r="G69" s="30"/>
      <c r="H69" s="30"/>
      <c r="I69" s="30"/>
      <c r="J69" s="30"/>
    </row>
    <row r="70" spans="3:10" x14ac:dyDescent="0.15">
      <c r="C70" s="30"/>
      <c r="D70" s="30"/>
      <c r="E70" s="30"/>
      <c r="F70" s="30"/>
      <c r="G70" s="30"/>
      <c r="H70" s="30"/>
      <c r="I70" s="30"/>
      <c r="J70" s="30"/>
    </row>
    <row r="71" spans="3:10" x14ac:dyDescent="0.15">
      <c r="C71" s="30"/>
      <c r="D71" s="30"/>
      <c r="E71" s="30"/>
      <c r="F71" s="30"/>
      <c r="G71" s="30"/>
      <c r="H71" s="30"/>
      <c r="I71" s="30"/>
      <c r="J71" s="30"/>
    </row>
    <row r="72" spans="3:10" x14ac:dyDescent="0.15">
      <c r="C72" s="30"/>
      <c r="D72" s="30"/>
      <c r="E72" s="30"/>
      <c r="F72" s="30"/>
      <c r="G72" s="30"/>
      <c r="H72" s="30"/>
      <c r="I72" s="30"/>
      <c r="J72" s="30"/>
    </row>
    <row r="73" spans="3:10" x14ac:dyDescent="0.15">
      <c r="C73" s="30"/>
      <c r="D73" s="30"/>
      <c r="E73" s="30"/>
      <c r="F73" s="30"/>
      <c r="G73" s="30"/>
      <c r="H73" s="30"/>
      <c r="I73" s="30"/>
      <c r="J73" s="30"/>
    </row>
    <row r="74" spans="3:10" x14ac:dyDescent="0.15">
      <c r="C74" s="30"/>
      <c r="D74" s="30"/>
      <c r="E74" s="30"/>
      <c r="F74" s="30"/>
      <c r="G74" s="30"/>
      <c r="H74" s="30"/>
      <c r="I74" s="30"/>
      <c r="J74" s="30"/>
    </row>
    <row r="75" spans="3:10" x14ac:dyDescent="0.15">
      <c r="C75" s="30"/>
      <c r="D75" s="30"/>
      <c r="E75" s="30"/>
      <c r="F75" s="30"/>
      <c r="G75" s="30"/>
      <c r="H75" s="30"/>
      <c r="I75" s="30"/>
      <c r="J75" s="30"/>
    </row>
    <row r="76" spans="3:10" x14ac:dyDescent="0.15">
      <c r="C76" s="30"/>
      <c r="D76" s="30"/>
      <c r="E76" s="30"/>
      <c r="F76" s="30"/>
      <c r="G76" s="30"/>
      <c r="H76" s="30"/>
      <c r="I76" s="30"/>
      <c r="J76" s="30"/>
    </row>
    <row r="77" spans="3:10" x14ac:dyDescent="0.15">
      <c r="C77" s="30"/>
      <c r="D77" s="30"/>
      <c r="E77" s="30"/>
      <c r="F77" s="30"/>
      <c r="G77" s="30"/>
      <c r="H77" s="30"/>
      <c r="I77" s="30"/>
      <c r="J77" s="30"/>
    </row>
    <row r="78" spans="3:10" x14ac:dyDescent="0.15">
      <c r="C78" s="30"/>
      <c r="D78" s="30"/>
      <c r="E78" s="30"/>
      <c r="F78" s="30"/>
      <c r="G78" s="30"/>
      <c r="H78" s="30"/>
      <c r="I78" s="30"/>
      <c r="J78" s="30"/>
    </row>
    <row r="79" spans="3:10" x14ac:dyDescent="0.15">
      <c r="C79" s="30"/>
      <c r="D79" s="30"/>
      <c r="E79" s="30"/>
      <c r="F79" s="30"/>
      <c r="G79" s="30"/>
      <c r="H79" s="30"/>
      <c r="I79" s="30"/>
      <c r="J79" s="30"/>
    </row>
    <row r="80" spans="3:10" x14ac:dyDescent="0.15">
      <c r="C80" s="30"/>
      <c r="D80" s="30"/>
      <c r="E80" s="30"/>
      <c r="F80" s="30"/>
      <c r="G80" s="30"/>
      <c r="H80" s="30"/>
      <c r="I80" s="30"/>
      <c r="J80" s="30"/>
    </row>
    <row r="81" spans="3:10" x14ac:dyDescent="0.15">
      <c r="C81" s="30"/>
      <c r="D81" s="30"/>
      <c r="E81" s="30"/>
      <c r="F81" s="30"/>
      <c r="G81" s="30"/>
      <c r="H81" s="30"/>
      <c r="I81" s="30"/>
      <c r="J81" s="30"/>
    </row>
    <row r="82" spans="3:10" x14ac:dyDescent="0.15">
      <c r="C82" s="30"/>
      <c r="D82" s="30"/>
      <c r="E82" s="30"/>
      <c r="F82" s="30"/>
      <c r="G82" s="30"/>
      <c r="H82" s="30"/>
      <c r="I82" s="30"/>
      <c r="J82" s="30"/>
    </row>
    <row r="83" spans="3:10" x14ac:dyDescent="0.15">
      <c r="C83" s="30"/>
      <c r="D83" s="30"/>
      <c r="E83" s="30"/>
      <c r="F83" s="30"/>
      <c r="G83" s="30"/>
      <c r="H83" s="30"/>
      <c r="I83" s="30"/>
      <c r="J83" s="30"/>
    </row>
    <row r="84" spans="3:10" x14ac:dyDescent="0.15">
      <c r="C84" s="30"/>
      <c r="D84" s="30"/>
      <c r="E84" s="30"/>
      <c r="F84" s="30"/>
      <c r="G84" s="30"/>
      <c r="H84" s="30"/>
      <c r="I84" s="30"/>
      <c r="J84" s="30"/>
    </row>
    <row r="85" spans="3:10" x14ac:dyDescent="0.15">
      <c r="C85" s="30"/>
      <c r="D85" s="30"/>
      <c r="E85" s="30"/>
      <c r="F85" s="30"/>
      <c r="G85" s="30"/>
      <c r="H85" s="30"/>
      <c r="I85" s="30"/>
      <c r="J85" s="30"/>
    </row>
    <row r="86" spans="3:10" x14ac:dyDescent="0.15">
      <c r="C86" s="30"/>
      <c r="D86" s="30"/>
      <c r="E86" s="30"/>
      <c r="F86" s="30"/>
      <c r="G86" s="30"/>
      <c r="H86" s="30"/>
      <c r="I86" s="30"/>
      <c r="J86" s="30"/>
    </row>
    <row r="87" spans="3:10" x14ac:dyDescent="0.15">
      <c r="C87" s="30"/>
      <c r="D87" s="30"/>
      <c r="E87" s="30"/>
      <c r="F87" s="30"/>
      <c r="G87" s="30"/>
      <c r="H87" s="30"/>
      <c r="I87" s="30"/>
      <c r="J87" s="30"/>
    </row>
    <row r="88" spans="3:10" x14ac:dyDescent="0.15">
      <c r="C88" s="30"/>
      <c r="D88" s="30"/>
      <c r="E88" s="30"/>
      <c r="F88" s="30"/>
      <c r="G88" s="30"/>
      <c r="H88" s="30"/>
      <c r="I88" s="30"/>
      <c r="J88" s="30"/>
    </row>
    <row r="89" spans="3:10" x14ac:dyDescent="0.15">
      <c r="C89" s="30"/>
      <c r="D89" s="30"/>
      <c r="E89" s="30"/>
      <c r="F89" s="30"/>
      <c r="G89" s="30"/>
      <c r="H89" s="30"/>
      <c r="I89" s="30"/>
      <c r="J89" s="30"/>
    </row>
    <row r="90" spans="3:10" x14ac:dyDescent="0.15">
      <c r="C90" s="30"/>
      <c r="D90" s="30"/>
      <c r="E90" s="30"/>
      <c r="F90" s="30"/>
      <c r="G90" s="30"/>
      <c r="H90" s="30"/>
      <c r="I90" s="30"/>
      <c r="J90" s="30"/>
    </row>
    <row r="91" spans="3:10" x14ac:dyDescent="0.15">
      <c r="C91" s="30"/>
      <c r="D91" s="30"/>
      <c r="E91" s="30"/>
      <c r="F91" s="30"/>
      <c r="G91" s="30"/>
      <c r="H91" s="30"/>
      <c r="I91" s="30"/>
      <c r="J91" s="30"/>
    </row>
    <row r="92" spans="3:10" x14ac:dyDescent="0.15">
      <c r="C92" s="30"/>
      <c r="D92" s="30"/>
      <c r="E92" s="30"/>
      <c r="F92" s="30"/>
      <c r="G92" s="30"/>
      <c r="H92" s="30"/>
      <c r="I92" s="30"/>
      <c r="J92" s="30"/>
    </row>
    <row r="93" spans="3:10" x14ac:dyDescent="0.15">
      <c r="C93" s="30"/>
      <c r="D93" s="30"/>
      <c r="E93" s="30"/>
      <c r="F93" s="30"/>
      <c r="G93" s="30"/>
      <c r="H93" s="30"/>
      <c r="I93" s="30"/>
      <c r="J93" s="30"/>
    </row>
    <row r="94" spans="3:10" x14ac:dyDescent="0.15">
      <c r="C94" s="30"/>
      <c r="D94" s="30"/>
      <c r="E94" s="30"/>
      <c r="F94" s="30"/>
      <c r="G94" s="30"/>
      <c r="H94" s="30"/>
      <c r="I94" s="30"/>
      <c r="J94" s="30"/>
    </row>
    <row r="95" spans="3:10" x14ac:dyDescent="0.15">
      <c r="C95" s="30"/>
      <c r="D95" s="30"/>
      <c r="E95" s="30"/>
      <c r="F95" s="30"/>
      <c r="G95" s="30"/>
      <c r="H95" s="30"/>
      <c r="I95" s="30"/>
      <c r="J95" s="30"/>
    </row>
    <row r="96" spans="3:10" x14ac:dyDescent="0.15">
      <c r="C96" s="30"/>
      <c r="D96" s="30"/>
      <c r="E96" s="30"/>
      <c r="F96" s="30"/>
      <c r="G96" s="30"/>
      <c r="H96" s="30"/>
      <c r="I96" s="30"/>
      <c r="J96" s="30"/>
    </row>
    <row r="97" spans="3:10" x14ac:dyDescent="0.15">
      <c r="C97" s="30"/>
      <c r="D97" s="30"/>
      <c r="E97" s="30"/>
      <c r="F97" s="30"/>
      <c r="G97" s="30"/>
      <c r="H97" s="30"/>
      <c r="I97" s="30"/>
      <c r="J97" s="30"/>
    </row>
    <row r="98" spans="3:10" x14ac:dyDescent="0.15">
      <c r="C98" s="30"/>
      <c r="D98" s="30"/>
      <c r="E98" s="30"/>
      <c r="F98" s="30"/>
      <c r="G98" s="30"/>
      <c r="H98" s="30"/>
      <c r="I98" s="30"/>
      <c r="J98" s="30"/>
    </row>
    <row r="99" spans="3:10" x14ac:dyDescent="0.15">
      <c r="C99" s="30"/>
      <c r="D99" s="30"/>
      <c r="E99" s="30"/>
      <c r="F99" s="30"/>
      <c r="G99" s="30"/>
      <c r="H99" s="30"/>
      <c r="I99" s="30"/>
      <c r="J99" s="30"/>
    </row>
    <row r="100" spans="3:10" x14ac:dyDescent="0.15">
      <c r="C100" s="30"/>
      <c r="D100" s="30"/>
      <c r="E100" s="30"/>
      <c r="F100" s="30"/>
      <c r="G100" s="30"/>
      <c r="H100" s="30"/>
      <c r="I100" s="30"/>
      <c r="J100" s="30"/>
    </row>
    <row r="101" spans="3:10" x14ac:dyDescent="0.15">
      <c r="C101" s="30"/>
      <c r="D101" s="30"/>
      <c r="E101" s="30"/>
      <c r="F101" s="30"/>
      <c r="G101" s="30"/>
      <c r="H101" s="30"/>
      <c r="I101" s="30"/>
      <c r="J101" s="30"/>
    </row>
    <row r="102" spans="3:10" x14ac:dyDescent="0.15">
      <c r="C102" s="30"/>
      <c r="D102" s="30"/>
      <c r="E102" s="30"/>
      <c r="F102" s="30"/>
      <c r="G102" s="30"/>
      <c r="H102" s="30"/>
      <c r="I102" s="30"/>
      <c r="J102" s="30"/>
    </row>
    <row r="103" spans="3:10" x14ac:dyDescent="0.15">
      <c r="C103" s="30"/>
      <c r="D103" s="30"/>
      <c r="E103" s="30"/>
      <c r="F103" s="30"/>
      <c r="G103" s="30"/>
      <c r="H103" s="30"/>
      <c r="I103" s="30"/>
      <c r="J103" s="30"/>
    </row>
    <row r="104" spans="3:10" x14ac:dyDescent="0.15">
      <c r="C104" s="30"/>
      <c r="D104" s="30"/>
      <c r="E104" s="30"/>
      <c r="F104" s="30"/>
      <c r="G104" s="30"/>
      <c r="H104" s="30"/>
      <c r="I104" s="30"/>
      <c r="J104" s="30"/>
    </row>
    <row r="105" spans="3:10" x14ac:dyDescent="0.15">
      <c r="C105" s="30"/>
      <c r="D105" s="30"/>
      <c r="E105" s="30"/>
      <c r="F105" s="30"/>
      <c r="G105" s="30"/>
      <c r="H105" s="30"/>
      <c r="I105" s="30"/>
      <c r="J105" s="30"/>
    </row>
    <row r="106" spans="3:10" x14ac:dyDescent="0.15">
      <c r="C106" s="30"/>
      <c r="D106" s="30"/>
      <c r="E106" s="30"/>
      <c r="F106" s="30"/>
      <c r="G106" s="30"/>
      <c r="H106" s="30"/>
      <c r="I106" s="30"/>
      <c r="J106" s="30"/>
    </row>
    <row r="107" spans="3:10" x14ac:dyDescent="0.15">
      <c r="C107" s="30"/>
      <c r="D107" s="30"/>
      <c r="E107" s="30"/>
      <c r="F107" s="30"/>
      <c r="G107" s="30"/>
      <c r="H107" s="30"/>
      <c r="I107" s="30"/>
      <c r="J107" s="30"/>
    </row>
    <row r="108" spans="3:10" x14ac:dyDescent="0.15">
      <c r="C108" s="30"/>
      <c r="D108" s="30"/>
      <c r="E108" s="30"/>
      <c r="F108" s="30"/>
      <c r="G108" s="30"/>
      <c r="H108" s="30"/>
      <c r="I108" s="30"/>
      <c r="J108" s="30"/>
    </row>
    <row r="109" spans="3:10" x14ac:dyDescent="0.15">
      <c r="C109" s="30"/>
      <c r="D109" s="30"/>
      <c r="E109" s="30"/>
      <c r="F109" s="30"/>
      <c r="G109" s="30"/>
      <c r="H109" s="30"/>
      <c r="I109" s="30"/>
      <c r="J109" s="30"/>
    </row>
    <row r="110" spans="3:10" x14ac:dyDescent="0.15">
      <c r="C110" s="30"/>
      <c r="D110" s="30"/>
      <c r="E110" s="30"/>
      <c r="F110" s="30"/>
      <c r="G110" s="30"/>
      <c r="H110" s="30"/>
      <c r="I110" s="30"/>
      <c r="J110" s="30"/>
    </row>
    <row r="111" spans="3:10" x14ac:dyDescent="0.15">
      <c r="C111" s="30"/>
      <c r="D111" s="30"/>
      <c r="E111" s="30"/>
      <c r="F111" s="30"/>
      <c r="G111" s="30"/>
      <c r="H111" s="30"/>
      <c r="I111" s="30"/>
      <c r="J111" s="30"/>
    </row>
    <row r="112" spans="3:10" x14ac:dyDescent="0.15">
      <c r="C112" s="30"/>
      <c r="D112" s="30"/>
      <c r="E112" s="30"/>
      <c r="F112" s="30"/>
      <c r="G112" s="30"/>
      <c r="H112" s="30"/>
      <c r="I112" s="30"/>
      <c r="J112" s="30"/>
    </row>
    <row r="113" spans="3:10" x14ac:dyDescent="0.15">
      <c r="C113" s="30"/>
      <c r="D113" s="30"/>
      <c r="E113" s="30"/>
      <c r="F113" s="30"/>
      <c r="G113" s="30"/>
      <c r="H113" s="30"/>
      <c r="I113" s="30"/>
      <c r="J113" s="30"/>
    </row>
    <row r="114" spans="3:10" x14ac:dyDescent="0.15">
      <c r="C114" s="30"/>
      <c r="D114" s="30"/>
      <c r="E114" s="30"/>
      <c r="F114" s="30"/>
      <c r="G114" s="30"/>
      <c r="H114" s="30"/>
      <c r="I114" s="30"/>
      <c r="J114" s="30"/>
    </row>
    <row r="115" spans="3:10" x14ac:dyDescent="0.15">
      <c r="C115" s="30"/>
      <c r="D115" s="30"/>
      <c r="E115" s="30"/>
      <c r="F115" s="30"/>
      <c r="G115" s="30"/>
      <c r="H115" s="30"/>
      <c r="I115" s="30"/>
      <c r="J115" s="30"/>
    </row>
    <row r="116" spans="3:10" x14ac:dyDescent="0.15">
      <c r="C116" s="30"/>
      <c r="D116" s="30"/>
      <c r="E116" s="30"/>
      <c r="F116" s="30"/>
      <c r="G116" s="30"/>
      <c r="H116" s="30"/>
      <c r="I116" s="30"/>
      <c r="J116" s="30"/>
    </row>
    <row r="117" spans="3:10" x14ac:dyDescent="0.15">
      <c r="C117" s="30"/>
      <c r="D117" s="30"/>
      <c r="E117" s="30"/>
      <c r="F117" s="30"/>
      <c r="G117" s="30"/>
      <c r="H117" s="30"/>
      <c r="I117" s="30"/>
      <c r="J117" s="30"/>
    </row>
    <row r="118" spans="3:10" x14ac:dyDescent="0.15">
      <c r="C118" s="30"/>
      <c r="D118" s="30"/>
      <c r="E118" s="30"/>
      <c r="F118" s="30"/>
      <c r="G118" s="30"/>
      <c r="H118" s="30"/>
      <c r="I118" s="30"/>
      <c r="J118" s="30"/>
    </row>
    <row r="119" spans="3:10" x14ac:dyDescent="0.15">
      <c r="C119" s="30"/>
      <c r="D119" s="30"/>
      <c r="E119" s="30"/>
      <c r="F119" s="30"/>
      <c r="G119" s="30"/>
      <c r="H119" s="30"/>
      <c r="I119" s="30"/>
      <c r="J119" s="30"/>
    </row>
    <row r="120" spans="3:10" x14ac:dyDescent="0.15">
      <c r="C120" s="30"/>
      <c r="D120" s="30"/>
      <c r="E120" s="30"/>
      <c r="F120" s="30"/>
      <c r="G120" s="30"/>
      <c r="H120" s="30"/>
      <c r="I120" s="30"/>
      <c r="J120" s="30"/>
    </row>
    <row r="121" spans="3:10" x14ac:dyDescent="0.15">
      <c r="C121" s="30"/>
      <c r="D121" s="30"/>
      <c r="E121" s="30"/>
      <c r="F121" s="30"/>
      <c r="G121" s="30"/>
      <c r="H121" s="30"/>
      <c r="I121" s="30"/>
      <c r="J121" s="30"/>
    </row>
    <row r="122" spans="3:10" x14ac:dyDescent="0.15">
      <c r="C122" s="30"/>
      <c r="D122" s="30"/>
      <c r="E122" s="30"/>
      <c r="F122" s="30"/>
      <c r="G122" s="30"/>
      <c r="H122" s="30"/>
      <c r="I122" s="30"/>
      <c r="J122" s="30"/>
    </row>
    <row r="123" spans="3:10" x14ac:dyDescent="0.15">
      <c r="C123" s="30"/>
      <c r="D123" s="30"/>
      <c r="E123" s="30"/>
      <c r="F123" s="30"/>
      <c r="G123" s="30"/>
      <c r="H123" s="30"/>
      <c r="I123" s="30"/>
      <c r="J123" s="30"/>
    </row>
    <row r="124" spans="3:10" x14ac:dyDescent="0.15">
      <c r="C124" s="30"/>
      <c r="D124" s="30"/>
      <c r="E124" s="30"/>
      <c r="F124" s="30"/>
      <c r="G124" s="30"/>
      <c r="H124" s="30"/>
      <c r="I124" s="30"/>
      <c r="J124" s="30"/>
    </row>
    <row r="125" spans="3:10" x14ac:dyDescent="0.15">
      <c r="C125" s="30"/>
      <c r="D125" s="30"/>
      <c r="E125" s="30"/>
      <c r="F125" s="30"/>
      <c r="G125" s="30"/>
      <c r="H125" s="30"/>
      <c r="I125" s="30"/>
      <c r="J125" s="30"/>
    </row>
    <row r="126" spans="3:10" x14ac:dyDescent="0.15">
      <c r="C126" s="30"/>
      <c r="D126" s="30"/>
      <c r="E126" s="30"/>
      <c r="F126" s="30"/>
      <c r="G126" s="30"/>
      <c r="H126" s="30"/>
      <c r="I126" s="30"/>
      <c r="J126" s="30"/>
    </row>
    <row r="127" spans="3:10" x14ac:dyDescent="0.15">
      <c r="C127" s="30"/>
      <c r="D127" s="30"/>
      <c r="E127" s="30"/>
      <c r="F127" s="30"/>
      <c r="G127" s="30"/>
      <c r="H127" s="30"/>
      <c r="I127" s="30"/>
      <c r="J127" s="30"/>
    </row>
    <row r="128" spans="3:10" x14ac:dyDescent="0.15">
      <c r="C128" s="30"/>
      <c r="D128" s="30"/>
      <c r="E128" s="30"/>
      <c r="F128" s="30"/>
      <c r="G128" s="30"/>
      <c r="H128" s="30"/>
      <c r="I128" s="30"/>
      <c r="J128" s="30"/>
    </row>
    <row r="129" spans="3:10" x14ac:dyDescent="0.15">
      <c r="C129" s="30"/>
      <c r="D129" s="30"/>
      <c r="E129" s="30"/>
      <c r="F129" s="30"/>
      <c r="G129" s="30"/>
      <c r="H129" s="30"/>
      <c r="I129" s="30"/>
      <c r="J129" s="30"/>
    </row>
    <row r="130" spans="3:10" x14ac:dyDescent="0.15">
      <c r="C130" s="30"/>
      <c r="D130" s="30"/>
      <c r="E130" s="30"/>
      <c r="F130" s="30"/>
      <c r="G130" s="30"/>
      <c r="H130" s="30"/>
      <c r="I130" s="30"/>
      <c r="J130" s="30"/>
    </row>
    <row r="131" spans="3:10" x14ac:dyDescent="0.15">
      <c r="C131" s="30"/>
      <c r="D131" s="30"/>
      <c r="E131" s="30"/>
      <c r="F131" s="30"/>
      <c r="G131" s="30"/>
      <c r="H131" s="30"/>
      <c r="I131" s="30"/>
      <c r="J131" s="30"/>
    </row>
    <row r="132" spans="3:10" x14ac:dyDescent="0.15">
      <c r="C132" s="30"/>
      <c r="D132" s="30"/>
      <c r="E132" s="30"/>
      <c r="F132" s="30"/>
      <c r="G132" s="30"/>
      <c r="H132" s="30"/>
      <c r="I132" s="30"/>
      <c r="J132" s="30"/>
    </row>
    <row r="133" spans="3:10" x14ac:dyDescent="0.15">
      <c r="C133" s="30"/>
      <c r="D133" s="30"/>
      <c r="E133" s="30"/>
      <c r="F133" s="30"/>
      <c r="G133" s="30"/>
      <c r="H133" s="30"/>
      <c r="I133" s="30"/>
      <c r="J133" s="30"/>
    </row>
    <row r="134" spans="3:10" x14ac:dyDescent="0.15">
      <c r="C134" s="30"/>
      <c r="D134" s="30"/>
      <c r="E134" s="30"/>
      <c r="F134" s="30"/>
      <c r="G134" s="30"/>
      <c r="H134" s="30"/>
      <c r="I134" s="30"/>
      <c r="J134" s="30"/>
    </row>
    <row r="135" spans="3:10" x14ac:dyDescent="0.15">
      <c r="C135" s="30"/>
      <c r="D135" s="30"/>
      <c r="E135" s="30"/>
      <c r="F135" s="30"/>
      <c r="G135" s="30"/>
      <c r="H135" s="30"/>
      <c r="I135" s="30"/>
      <c r="J135" s="30"/>
    </row>
    <row r="136" spans="3:10" x14ac:dyDescent="0.15">
      <c r="C136" s="30"/>
      <c r="D136" s="30"/>
      <c r="E136" s="30"/>
      <c r="F136" s="30"/>
      <c r="G136" s="30"/>
      <c r="H136" s="30"/>
      <c r="I136" s="30"/>
      <c r="J136" s="30"/>
    </row>
    <row r="137" spans="3:10" x14ac:dyDescent="0.15">
      <c r="C137" s="30"/>
      <c r="D137" s="30"/>
      <c r="E137" s="30"/>
      <c r="F137" s="30"/>
      <c r="G137" s="30"/>
      <c r="H137" s="30"/>
      <c r="I137" s="30"/>
      <c r="J137" s="30"/>
    </row>
    <row r="138" spans="3:10" x14ac:dyDescent="0.15">
      <c r="C138" s="30"/>
      <c r="D138" s="30"/>
      <c r="E138" s="30"/>
      <c r="F138" s="30"/>
      <c r="G138" s="30"/>
      <c r="H138" s="30"/>
      <c r="I138" s="30"/>
      <c r="J138" s="30"/>
    </row>
    <row r="139" spans="3:10" x14ac:dyDescent="0.15">
      <c r="C139" s="30"/>
      <c r="D139" s="30"/>
      <c r="E139" s="30"/>
      <c r="F139" s="30"/>
      <c r="G139" s="30"/>
      <c r="H139" s="30"/>
      <c r="I139" s="30"/>
      <c r="J139" s="30"/>
    </row>
    <row r="140" spans="3:10" x14ac:dyDescent="0.15">
      <c r="C140" s="30"/>
      <c r="D140" s="30"/>
      <c r="E140" s="30"/>
      <c r="F140" s="30"/>
      <c r="G140" s="30"/>
      <c r="H140" s="30"/>
      <c r="I140" s="30"/>
      <c r="J140" s="30"/>
    </row>
    <row r="141" spans="3:10" x14ac:dyDescent="0.15">
      <c r="C141" s="30"/>
      <c r="D141" s="30"/>
      <c r="E141" s="30"/>
      <c r="F141" s="30"/>
      <c r="G141" s="30"/>
      <c r="H141" s="30"/>
      <c r="I141" s="30"/>
      <c r="J141" s="30"/>
    </row>
    <row r="142" spans="3:10" x14ac:dyDescent="0.15">
      <c r="C142" s="30"/>
      <c r="D142" s="30"/>
      <c r="E142" s="30"/>
      <c r="F142" s="30"/>
      <c r="G142" s="30"/>
      <c r="H142" s="30"/>
      <c r="I142" s="30"/>
      <c r="J142" s="30"/>
    </row>
    <row r="143" spans="3:10" x14ac:dyDescent="0.15">
      <c r="C143" s="30"/>
      <c r="D143" s="30"/>
      <c r="E143" s="30"/>
      <c r="F143" s="30"/>
      <c r="G143" s="30"/>
      <c r="H143" s="30"/>
      <c r="I143" s="30"/>
      <c r="J143" s="30"/>
    </row>
    <row r="144" spans="3:10" x14ac:dyDescent="0.15">
      <c r="C144" s="30"/>
      <c r="D144" s="30"/>
      <c r="E144" s="30"/>
      <c r="F144" s="30"/>
      <c r="G144" s="30"/>
      <c r="H144" s="30"/>
      <c r="I144" s="30"/>
      <c r="J144" s="30"/>
    </row>
    <row r="145" spans="3:10" x14ac:dyDescent="0.15">
      <c r="C145" s="30"/>
      <c r="D145" s="30"/>
      <c r="E145" s="30"/>
      <c r="F145" s="30"/>
      <c r="G145" s="30"/>
      <c r="H145" s="30"/>
      <c r="I145" s="30"/>
      <c r="J145" s="30"/>
    </row>
    <row r="146" spans="3:10" x14ac:dyDescent="0.15">
      <c r="C146" s="30"/>
      <c r="D146" s="30"/>
      <c r="E146" s="30"/>
      <c r="F146" s="30"/>
      <c r="G146" s="30"/>
      <c r="H146" s="30"/>
      <c r="I146" s="30"/>
      <c r="J146" s="30"/>
    </row>
    <row r="147" spans="3:10" x14ac:dyDescent="0.15">
      <c r="C147" s="30"/>
      <c r="D147" s="30"/>
      <c r="E147" s="30"/>
      <c r="F147" s="30"/>
      <c r="G147" s="30"/>
      <c r="H147" s="30"/>
      <c r="I147" s="30"/>
      <c r="J147" s="30"/>
    </row>
    <row r="148" spans="3:10" x14ac:dyDescent="0.15">
      <c r="C148" s="30"/>
      <c r="D148" s="30"/>
      <c r="E148" s="30"/>
      <c r="F148" s="30"/>
      <c r="G148" s="30"/>
      <c r="H148" s="30"/>
      <c r="I148" s="30"/>
      <c r="J148" s="30"/>
    </row>
    <row r="149" spans="3:10" x14ac:dyDescent="0.15">
      <c r="C149" s="30"/>
      <c r="D149" s="30"/>
      <c r="E149" s="30"/>
      <c r="F149" s="30"/>
      <c r="G149" s="30"/>
      <c r="H149" s="30"/>
      <c r="I149" s="30"/>
      <c r="J149" s="30"/>
    </row>
    <row r="150" spans="3:10" x14ac:dyDescent="0.15">
      <c r="C150" s="30"/>
      <c r="D150" s="30"/>
      <c r="E150" s="30"/>
      <c r="F150" s="30"/>
      <c r="G150" s="30"/>
      <c r="H150" s="30"/>
      <c r="I150" s="30"/>
      <c r="J150" s="30"/>
    </row>
    <row r="151" spans="3:10" x14ac:dyDescent="0.15">
      <c r="C151" s="30"/>
      <c r="D151" s="30"/>
      <c r="E151" s="30"/>
      <c r="F151" s="30"/>
      <c r="G151" s="30"/>
      <c r="H151" s="30"/>
      <c r="I151" s="30"/>
      <c r="J151" s="30"/>
    </row>
    <row r="152" spans="3:10" x14ac:dyDescent="0.15">
      <c r="C152" s="30"/>
      <c r="D152" s="30"/>
      <c r="E152" s="30"/>
      <c r="F152" s="30"/>
      <c r="G152" s="30"/>
      <c r="H152" s="30"/>
      <c r="I152" s="30"/>
      <c r="J152" s="30"/>
    </row>
    <row r="153" spans="3:10" x14ac:dyDescent="0.15">
      <c r="C153" s="30"/>
      <c r="D153" s="30"/>
      <c r="E153" s="30"/>
      <c r="F153" s="30"/>
      <c r="G153" s="30"/>
      <c r="H153" s="30"/>
      <c r="I153" s="30"/>
      <c r="J153" s="30"/>
    </row>
    <row r="154" spans="3:10" x14ac:dyDescent="0.15">
      <c r="C154" s="30"/>
      <c r="D154" s="30"/>
      <c r="E154" s="30"/>
      <c r="F154" s="30"/>
      <c r="G154" s="30"/>
      <c r="H154" s="30"/>
      <c r="I154" s="30"/>
      <c r="J154" s="30"/>
    </row>
    <row r="155" spans="3:10" x14ac:dyDescent="0.15">
      <c r="C155" s="30"/>
      <c r="D155" s="30"/>
      <c r="E155" s="30"/>
      <c r="F155" s="30"/>
      <c r="G155" s="30"/>
      <c r="H155" s="30"/>
      <c r="I155" s="30"/>
      <c r="J155" s="30"/>
    </row>
    <row r="156" spans="3:10" x14ac:dyDescent="0.15">
      <c r="C156" s="30"/>
      <c r="D156" s="30"/>
      <c r="E156" s="30"/>
      <c r="F156" s="30"/>
      <c r="G156" s="30"/>
      <c r="H156" s="30"/>
      <c r="I156" s="30"/>
      <c r="J156" s="30"/>
    </row>
    <row r="157" spans="3:10" x14ac:dyDescent="0.15">
      <c r="C157" s="30"/>
      <c r="D157" s="30"/>
      <c r="E157" s="30"/>
      <c r="F157" s="30"/>
      <c r="G157" s="30"/>
      <c r="H157" s="30"/>
      <c r="I157" s="30"/>
      <c r="J157" s="30"/>
    </row>
    <row r="158" spans="3:10" x14ac:dyDescent="0.15">
      <c r="C158" s="30"/>
      <c r="D158" s="30"/>
      <c r="E158" s="30"/>
      <c r="F158" s="30"/>
      <c r="G158" s="30"/>
      <c r="H158" s="30"/>
      <c r="I158" s="30"/>
      <c r="J158" s="30"/>
    </row>
    <row r="159" spans="3:10" x14ac:dyDescent="0.15">
      <c r="C159" s="30"/>
      <c r="D159" s="30"/>
      <c r="E159" s="30"/>
      <c r="F159" s="30"/>
      <c r="G159" s="30"/>
      <c r="H159" s="30"/>
      <c r="I159" s="30"/>
      <c r="J159" s="30"/>
    </row>
    <row r="160" spans="3:10" x14ac:dyDescent="0.15">
      <c r="C160" s="30"/>
      <c r="D160" s="30"/>
      <c r="E160" s="30"/>
      <c r="F160" s="30"/>
      <c r="G160" s="30"/>
      <c r="H160" s="30"/>
      <c r="I160" s="30"/>
      <c r="J160" s="30"/>
    </row>
    <row r="161" spans="3:10" x14ac:dyDescent="0.15">
      <c r="C161" s="30"/>
      <c r="D161" s="30"/>
      <c r="E161" s="30"/>
      <c r="F161" s="30"/>
      <c r="G161" s="30"/>
      <c r="H161" s="30"/>
      <c r="I161" s="30"/>
      <c r="J161" s="30"/>
    </row>
    <row r="162" spans="3:10" x14ac:dyDescent="0.15">
      <c r="C162" s="30"/>
      <c r="D162" s="30"/>
      <c r="E162" s="30"/>
      <c r="F162" s="30"/>
      <c r="G162" s="30"/>
      <c r="H162" s="30"/>
      <c r="I162" s="30"/>
      <c r="J162" s="30"/>
    </row>
    <row r="163" spans="3:10" x14ac:dyDescent="0.15">
      <c r="C163" s="30"/>
      <c r="D163" s="30"/>
      <c r="E163" s="30"/>
      <c r="F163" s="30"/>
      <c r="G163" s="30"/>
      <c r="H163" s="30"/>
      <c r="I163" s="30"/>
      <c r="J163" s="30"/>
    </row>
    <row r="164" spans="3:10" x14ac:dyDescent="0.15">
      <c r="C164" s="30"/>
      <c r="D164" s="30"/>
      <c r="E164" s="30"/>
      <c r="F164" s="30"/>
      <c r="G164" s="30"/>
      <c r="H164" s="30"/>
      <c r="I164" s="30"/>
      <c r="J164" s="30"/>
    </row>
    <row r="165" spans="3:10" x14ac:dyDescent="0.15">
      <c r="C165" s="30"/>
      <c r="D165" s="30"/>
      <c r="E165" s="30"/>
      <c r="F165" s="30"/>
      <c r="G165" s="30"/>
      <c r="H165" s="30"/>
      <c r="I165" s="30"/>
      <c r="J165" s="30"/>
    </row>
    <row r="166" spans="3:10" x14ac:dyDescent="0.15">
      <c r="C166" s="30"/>
      <c r="D166" s="30"/>
      <c r="E166" s="30"/>
      <c r="F166" s="30"/>
      <c r="G166" s="30"/>
      <c r="H166" s="30"/>
      <c r="I166" s="30"/>
      <c r="J166" s="30"/>
    </row>
    <row r="167" spans="3:10" x14ac:dyDescent="0.15">
      <c r="C167" s="30"/>
      <c r="D167" s="30"/>
      <c r="E167" s="30"/>
      <c r="F167" s="30"/>
      <c r="G167" s="30"/>
      <c r="H167" s="30"/>
      <c r="I167" s="30"/>
      <c r="J167" s="30"/>
    </row>
    <row r="168" spans="3:10" x14ac:dyDescent="0.15">
      <c r="C168" s="30"/>
      <c r="D168" s="30"/>
      <c r="E168" s="30"/>
      <c r="F168" s="30"/>
      <c r="G168" s="30"/>
      <c r="H168" s="30"/>
      <c r="I168" s="30"/>
      <c r="J168" s="30"/>
    </row>
    <row r="169" spans="3:10" x14ac:dyDescent="0.15">
      <c r="C169" s="30"/>
      <c r="D169" s="30"/>
      <c r="E169" s="30"/>
      <c r="F169" s="30"/>
      <c r="G169" s="30"/>
      <c r="H169" s="30"/>
      <c r="I169" s="30"/>
      <c r="J169" s="30"/>
    </row>
    <row r="170" spans="3:10" x14ac:dyDescent="0.15">
      <c r="C170" s="30"/>
      <c r="D170" s="30"/>
      <c r="E170" s="30"/>
      <c r="F170" s="30"/>
      <c r="G170" s="30"/>
      <c r="H170" s="30"/>
      <c r="I170" s="30"/>
      <c r="J170" s="30"/>
    </row>
    <row r="171" spans="3:10" x14ac:dyDescent="0.15">
      <c r="C171" s="30"/>
      <c r="D171" s="30"/>
      <c r="E171" s="30"/>
      <c r="F171" s="30"/>
      <c r="G171" s="30"/>
      <c r="H171" s="30"/>
      <c r="I171" s="30"/>
      <c r="J171" s="30"/>
    </row>
    <row r="172" spans="3:10" x14ac:dyDescent="0.15">
      <c r="C172" s="30"/>
      <c r="D172" s="30"/>
      <c r="E172" s="30"/>
      <c r="F172" s="30"/>
      <c r="G172" s="30"/>
      <c r="H172" s="30"/>
      <c r="I172" s="30"/>
      <c r="J172" s="30"/>
    </row>
    <row r="173" spans="3:10" x14ac:dyDescent="0.15">
      <c r="C173" s="30"/>
      <c r="D173" s="30"/>
      <c r="E173" s="30"/>
      <c r="F173" s="30"/>
      <c r="G173" s="30"/>
      <c r="H173" s="30"/>
      <c r="I173" s="30"/>
      <c r="J173" s="30"/>
    </row>
    <row r="174" spans="3:10" x14ac:dyDescent="0.15">
      <c r="C174" s="30"/>
      <c r="D174" s="30"/>
      <c r="E174" s="30"/>
      <c r="F174" s="30"/>
      <c r="G174" s="30"/>
      <c r="H174" s="30"/>
      <c r="I174" s="30"/>
      <c r="J174" s="30"/>
    </row>
    <row r="175" spans="3:10" x14ac:dyDescent="0.15">
      <c r="C175" s="30"/>
      <c r="D175" s="30"/>
      <c r="E175" s="30"/>
      <c r="F175" s="30"/>
      <c r="G175" s="30"/>
      <c r="H175" s="30"/>
      <c r="I175" s="30"/>
      <c r="J175" s="30"/>
    </row>
    <row r="176" spans="3:10" x14ac:dyDescent="0.15">
      <c r="C176" s="30"/>
      <c r="D176" s="30"/>
      <c r="E176" s="30"/>
      <c r="F176" s="30"/>
      <c r="G176" s="30"/>
      <c r="H176" s="30"/>
      <c r="I176" s="30"/>
      <c r="J176" s="30"/>
    </row>
    <row r="177" spans="3:10" x14ac:dyDescent="0.15">
      <c r="C177" s="30"/>
      <c r="D177" s="30"/>
      <c r="E177" s="30"/>
      <c r="F177" s="30"/>
      <c r="G177" s="30"/>
      <c r="H177" s="30"/>
      <c r="I177" s="30"/>
      <c r="J177" s="30"/>
    </row>
    <row r="178" spans="3:10" x14ac:dyDescent="0.15">
      <c r="C178" s="30"/>
      <c r="D178" s="30"/>
      <c r="E178" s="30"/>
      <c r="F178" s="30"/>
      <c r="G178" s="30"/>
      <c r="H178" s="30"/>
      <c r="I178" s="30"/>
      <c r="J178" s="30"/>
    </row>
    <row r="179" spans="3:10" x14ac:dyDescent="0.15">
      <c r="C179" s="30"/>
      <c r="D179" s="30"/>
      <c r="E179" s="30"/>
      <c r="F179" s="30"/>
      <c r="G179" s="30"/>
      <c r="H179" s="30"/>
      <c r="I179" s="30"/>
      <c r="J179" s="30"/>
    </row>
    <row r="180" spans="3:10" x14ac:dyDescent="0.15">
      <c r="C180" s="30"/>
      <c r="D180" s="30"/>
      <c r="E180" s="30"/>
      <c r="F180" s="30"/>
      <c r="G180" s="30"/>
      <c r="H180" s="30"/>
      <c r="I180" s="30"/>
      <c r="J180" s="30"/>
    </row>
    <row r="181" spans="3:10" x14ac:dyDescent="0.15">
      <c r="C181" s="30"/>
      <c r="D181" s="30"/>
      <c r="E181" s="30"/>
      <c r="F181" s="30"/>
      <c r="G181" s="30"/>
      <c r="H181" s="30"/>
      <c r="I181" s="30"/>
      <c r="J181" s="30"/>
    </row>
    <row r="182" spans="3:10" x14ac:dyDescent="0.15">
      <c r="C182" s="30"/>
      <c r="D182" s="30"/>
      <c r="E182" s="30"/>
      <c r="F182" s="30"/>
      <c r="G182" s="30"/>
      <c r="H182" s="30"/>
      <c r="I182" s="30"/>
      <c r="J182" s="30"/>
    </row>
    <row r="183" spans="3:10" x14ac:dyDescent="0.15">
      <c r="C183" s="30"/>
      <c r="D183" s="30"/>
      <c r="E183" s="30"/>
      <c r="F183" s="30"/>
      <c r="G183" s="30"/>
      <c r="H183" s="30"/>
      <c r="I183" s="30"/>
      <c r="J183" s="30"/>
    </row>
    <row r="184" spans="3:10" x14ac:dyDescent="0.15">
      <c r="C184" s="30"/>
      <c r="D184" s="30"/>
      <c r="E184" s="30"/>
      <c r="F184" s="30"/>
      <c r="G184" s="30"/>
      <c r="H184" s="30"/>
      <c r="I184" s="30"/>
      <c r="J184" s="30"/>
    </row>
    <row r="185" spans="3:10" x14ac:dyDescent="0.15">
      <c r="C185" s="30"/>
      <c r="D185" s="30"/>
      <c r="E185" s="30"/>
      <c r="F185" s="30"/>
      <c r="G185" s="30"/>
      <c r="H185" s="30"/>
      <c r="I185" s="30"/>
      <c r="J185" s="30"/>
    </row>
    <row r="186" spans="3:10" x14ac:dyDescent="0.15">
      <c r="C186" s="30"/>
      <c r="D186" s="30"/>
      <c r="E186" s="30"/>
      <c r="F186" s="30"/>
      <c r="G186" s="30"/>
      <c r="H186" s="30"/>
      <c r="I186" s="30"/>
      <c r="J186" s="30"/>
    </row>
    <row r="187" spans="3:10" x14ac:dyDescent="0.15">
      <c r="C187" s="30"/>
      <c r="D187" s="30"/>
      <c r="E187" s="30"/>
      <c r="F187" s="30"/>
      <c r="G187" s="30"/>
      <c r="H187" s="30"/>
      <c r="I187" s="30"/>
      <c r="J187" s="30"/>
    </row>
    <row r="188" spans="3:10" x14ac:dyDescent="0.15">
      <c r="C188" s="30"/>
      <c r="D188" s="30"/>
      <c r="E188" s="30"/>
      <c r="F188" s="30"/>
      <c r="G188" s="30"/>
      <c r="H188" s="30"/>
      <c r="I188" s="30"/>
      <c r="J188" s="30"/>
    </row>
    <row r="189" spans="3:10" x14ac:dyDescent="0.15">
      <c r="C189" s="30"/>
      <c r="D189" s="30"/>
      <c r="E189" s="30"/>
      <c r="F189" s="30"/>
      <c r="G189" s="30"/>
      <c r="H189" s="30"/>
      <c r="I189" s="30"/>
      <c r="J189" s="30"/>
    </row>
    <row r="190" spans="3:10" x14ac:dyDescent="0.15">
      <c r="C190" s="30"/>
      <c r="D190" s="30"/>
      <c r="E190" s="30"/>
      <c r="F190" s="30"/>
      <c r="G190" s="30"/>
      <c r="H190" s="30"/>
      <c r="I190" s="30"/>
      <c r="J190" s="30"/>
    </row>
    <row r="191" spans="3:10" x14ac:dyDescent="0.15">
      <c r="C191" s="30"/>
      <c r="D191" s="30"/>
      <c r="E191" s="30"/>
      <c r="F191" s="30"/>
      <c r="G191" s="30"/>
      <c r="H191" s="30"/>
      <c r="I191" s="30"/>
      <c r="J191" s="30"/>
    </row>
    <row r="192" spans="3:10" x14ac:dyDescent="0.15">
      <c r="C192" s="30"/>
      <c r="D192" s="30"/>
      <c r="E192" s="30"/>
      <c r="F192" s="30"/>
      <c r="G192" s="30"/>
      <c r="H192" s="30"/>
      <c r="I192" s="30"/>
      <c r="J192" s="30"/>
    </row>
    <row r="193" spans="3:10" x14ac:dyDescent="0.15">
      <c r="C193" s="30"/>
      <c r="D193" s="30"/>
      <c r="E193" s="30"/>
      <c r="F193" s="30"/>
      <c r="G193" s="30"/>
      <c r="H193" s="30"/>
      <c r="I193" s="30"/>
      <c r="J193" s="30"/>
    </row>
    <row r="194" spans="3:10" x14ac:dyDescent="0.15">
      <c r="C194" s="30"/>
      <c r="D194" s="30"/>
      <c r="E194" s="30"/>
      <c r="F194" s="30"/>
      <c r="G194" s="30"/>
      <c r="H194" s="30"/>
      <c r="I194" s="30"/>
      <c r="J194" s="30"/>
    </row>
    <row r="195" spans="3:10" x14ac:dyDescent="0.15">
      <c r="C195" s="30"/>
      <c r="D195" s="30"/>
      <c r="E195" s="30"/>
      <c r="F195" s="30"/>
      <c r="G195" s="30"/>
      <c r="H195" s="30"/>
      <c r="I195" s="30"/>
      <c r="J195" s="30"/>
    </row>
    <row r="196" spans="3:10" x14ac:dyDescent="0.15">
      <c r="C196" s="30"/>
      <c r="D196" s="30"/>
      <c r="E196" s="30"/>
      <c r="F196" s="30"/>
      <c r="G196" s="30"/>
      <c r="H196" s="30"/>
      <c r="I196" s="30"/>
      <c r="J196" s="30"/>
    </row>
    <row r="197" spans="3:10" x14ac:dyDescent="0.15">
      <c r="C197" s="30"/>
      <c r="D197" s="30"/>
      <c r="E197" s="30"/>
      <c r="F197" s="30"/>
      <c r="G197" s="30"/>
      <c r="H197" s="30"/>
      <c r="I197" s="30"/>
      <c r="J197" s="30"/>
    </row>
    <row r="198" spans="3:10" x14ac:dyDescent="0.15">
      <c r="C198" s="30"/>
      <c r="D198" s="30"/>
      <c r="E198" s="30"/>
      <c r="F198" s="30"/>
      <c r="G198" s="30"/>
      <c r="H198" s="30"/>
      <c r="I198" s="30"/>
      <c r="J198" s="30"/>
    </row>
    <row r="199" spans="3:10" x14ac:dyDescent="0.15">
      <c r="C199" s="30"/>
      <c r="D199" s="30"/>
      <c r="E199" s="30"/>
      <c r="F199" s="30"/>
      <c r="G199" s="30"/>
      <c r="H199" s="30"/>
      <c r="I199" s="30"/>
      <c r="J199" s="30"/>
    </row>
    <row r="200" spans="3:10" x14ac:dyDescent="0.15">
      <c r="C200" s="30"/>
      <c r="D200" s="30"/>
      <c r="E200" s="30"/>
      <c r="F200" s="30"/>
      <c r="G200" s="30"/>
      <c r="H200" s="30"/>
      <c r="I200" s="30"/>
      <c r="J200" s="30"/>
    </row>
    <row r="201" spans="3:10" x14ac:dyDescent="0.15">
      <c r="C201" s="30"/>
      <c r="D201" s="30"/>
      <c r="E201" s="30"/>
      <c r="F201" s="30"/>
      <c r="G201" s="30"/>
      <c r="H201" s="30"/>
      <c r="I201" s="30"/>
      <c r="J201" s="30"/>
    </row>
    <row r="202" spans="3:10" x14ac:dyDescent="0.15">
      <c r="C202" s="30"/>
      <c r="D202" s="30"/>
      <c r="E202" s="30"/>
      <c r="F202" s="30"/>
      <c r="G202" s="30"/>
      <c r="H202" s="30"/>
      <c r="I202" s="30"/>
      <c r="J202" s="30"/>
    </row>
    <row r="203" spans="3:10" x14ac:dyDescent="0.15">
      <c r="C203" s="30"/>
      <c r="D203" s="30"/>
      <c r="E203" s="30"/>
      <c r="F203" s="30"/>
      <c r="G203" s="30"/>
      <c r="H203" s="30"/>
      <c r="I203" s="30"/>
      <c r="J203" s="30"/>
    </row>
    <row r="204" spans="3:10" x14ac:dyDescent="0.15">
      <c r="C204" s="30"/>
      <c r="D204" s="30"/>
      <c r="E204" s="30"/>
      <c r="F204" s="30"/>
      <c r="G204" s="30"/>
      <c r="H204" s="30"/>
      <c r="I204" s="30"/>
      <c r="J204" s="30"/>
    </row>
    <row r="205" spans="3:10" x14ac:dyDescent="0.15">
      <c r="C205" s="30"/>
      <c r="D205" s="30"/>
      <c r="E205" s="30"/>
      <c r="F205" s="30"/>
      <c r="G205" s="30"/>
      <c r="H205" s="30"/>
      <c r="I205" s="30"/>
      <c r="J205" s="30"/>
    </row>
    <row r="206" spans="3:10" x14ac:dyDescent="0.15">
      <c r="C206" s="30"/>
      <c r="D206" s="30"/>
      <c r="E206" s="30"/>
      <c r="F206" s="30"/>
      <c r="G206" s="30"/>
      <c r="H206" s="30"/>
      <c r="I206" s="30"/>
      <c r="J206" s="30"/>
    </row>
    <row r="207" spans="3:10" x14ac:dyDescent="0.15">
      <c r="C207" s="30"/>
      <c r="D207" s="30"/>
      <c r="E207" s="30"/>
      <c r="F207" s="30"/>
      <c r="G207" s="30"/>
      <c r="H207" s="30"/>
      <c r="I207" s="30"/>
      <c r="J207" s="30"/>
    </row>
    <row r="208" spans="3:10" x14ac:dyDescent="0.15">
      <c r="C208" s="30"/>
      <c r="D208" s="30"/>
      <c r="E208" s="30"/>
      <c r="F208" s="30"/>
      <c r="G208" s="30"/>
      <c r="H208" s="30"/>
      <c r="I208" s="30"/>
      <c r="J208" s="30"/>
    </row>
    <row r="209" spans="3:10" x14ac:dyDescent="0.15">
      <c r="C209" s="30"/>
      <c r="D209" s="30"/>
      <c r="E209" s="30"/>
      <c r="F209" s="30"/>
      <c r="G209" s="30"/>
      <c r="H209" s="30"/>
      <c r="I209" s="30"/>
      <c r="J209" s="30"/>
    </row>
    <row r="210" spans="3:10" x14ac:dyDescent="0.15">
      <c r="C210" s="30"/>
      <c r="D210" s="30"/>
      <c r="E210" s="30"/>
      <c r="F210" s="30"/>
      <c r="G210" s="30"/>
      <c r="H210" s="30"/>
      <c r="I210" s="30"/>
      <c r="J210" s="30"/>
    </row>
    <row r="211" spans="3:10" x14ac:dyDescent="0.15">
      <c r="C211" s="30"/>
      <c r="D211" s="30"/>
      <c r="E211" s="30"/>
      <c r="F211" s="30"/>
      <c r="G211" s="30"/>
      <c r="H211" s="30"/>
      <c r="I211" s="30"/>
      <c r="J211" s="30"/>
    </row>
    <row r="212" spans="3:10" x14ac:dyDescent="0.15">
      <c r="C212" s="30"/>
      <c r="D212" s="30"/>
      <c r="E212" s="30"/>
      <c r="F212" s="30"/>
      <c r="G212" s="30"/>
      <c r="H212" s="30"/>
      <c r="I212" s="30"/>
      <c r="J212" s="30"/>
    </row>
    <row r="213" spans="3:10" x14ac:dyDescent="0.15">
      <c r="C213" s="30"/>
      <c r="D213" s="30"/>
      <c r="E213" s="30"/>
      <c r="F213" s="30"/>
      <c r="G213" s="30"/>
      <c r="H213" s="30"/>
      <c r="I213" s="30"/>
      <c r="J213" s="30"/>
    </row>
    <row r="214" spans="3:10" x14ac:dyDescent="0.15">
      <c r="C214" s="30"/>
      <c r="D214" s="30"/>
      <c r="E214" s="30"/>
      <c r="F214" s="30"/>
      <c r="G214" s="30"/>
      <c r="H214" s="30"/>
      <c r="I214" s="30"/>
      <c r="J214" s="30"/>
    </row>
    <row r="215" spans="3:10" x14ac:dyDescent="0.15">
      <c r="C215" s="30"/>
      <c r="D215" s="30"/>
      <c r="E215" s="30"/>
      <c r="F215" s="30"/>
      <c r="G215" s="30"/>
      <c r="H215" s="30"/>
      <c r="I215" s="30"/>
      <c r="J215" s="30"/>
    </row>
    <row r="216" spans="3:10" x14ac:dyDescent="0.15">
      <c r="C216" s="30"/>
      <c r="D216" s="30"/>
      <c r="E216" s="30"/>
      <c r="F216" s="30"/>
      <c r="G216" s="30"/>
      <c r="H216" s="30"/>
      <c r="I216" s="30"/>
      <c r="J216" s="30"/>
    </row>
    <row r="217" spans="3:10" x14ac:dyDescent="0.15">
      <c r="C217" s="30"/>
      <c r="D217" s="30"/>
      <c r="E217" s="30"/>
      <c r="F217" s="30"/>
      <c r="G217" s="30"/>
      <c r="H217" s="30"/>
      <c r="I217" s="30"/>
      <c r="J217" s="30"/>
    </row>
    <row r="218" spans="3:10" x14ac:dyDescent="0.15">
      <c r="C218" s="30"/>
      <c r="D218" s="30"/>
      <c r="E218" s="30"/>
      <c r="F218" s="30"/>
      <c r="G218" s="30"/>
      <c r="H218" s="30"/>
      <c r="I218" s="30"/>
      <c r="J218" s="30"/>
    </row>
    <row r="219" spans="3:10" x14ac:dyDescent="0.15">
      <c r="C219" s="30"/>
      <c r="D219" s="30"/>
      <c r="E219" s="30"/>
      <c r="F219" s="30"/>
      <c r="G219" s="30"/>
      <c r="H219" s="30"/>
      <c r="I219" s="30"/>
      <c r="J219" s="30"/>
    </row>
    <row r="220" spans="3:10" x14ac:dyDescent="0.15">
      <c r="C220" s="30"/>
      <c r="D220" s="30"/>
      <c r="E220" s="30"/>
      <c r="F220" s="30"/>
      <c r="G220" s="30"/>
      <c r="H220" s="30"/>
      <c r="I220" s="30"/>
      <c r="J220" s="30"/>
    </row>
    <row r="221" spans="3:10" x14ac:dyDescent="0.15">
      <c r="C221" s="30"/>
      <c r="D221" s="30"/>
      <c r="E221" s="30"/>
      <c r="F221" s="30"/>
      <c r="G221" s="30"/>
      <c r="H221" s="30"/>
      <c r="I221" s="30"/>
      <c r="J221" s="30"/>
    </row>
    <row r="222" spans="3:10" x14ac:dyDescent="0.15">
      <c r="C222" s="30"/>
      <c r="D222" s="30"/>
      <c r="E222" s="30"/>
      <c r="F222" s="30"/>
      <c r="G222" s="30"/>
      <c r="H222" s="30"/>
      <c r="I222" s="30"/>
      <c r="J222" s="30"/>
    </row>
    <row r="223" spans="3:10" x14ac:dyDescent="0.15">
      <c r="C223" s="30"/>
      <c r="D223" s="30"/>
      <c r="E223" s="30"/>
      <c r="F223" s="30"/>
      <c r="G223" s="30"/>
      <c r="H223" s="30"/>
      <c r="I223" s="30"/>
      <c r="J223" s="30"/>
    </row>
    <row r="224" spans="3:10" x14ac:dyDescent="0.15">
      <c r="C224" s="30"/>
      <c r="D224" s="30"/>
      <c r="E224" s="30"/>
      <c r="F224" s="30"/>
      <c r="G224" s="30"/>
      <c r="H224" s="30"/>
      <c r="I224" s="30"/>
      <c r="J224" s="30"/>
    </row>
    <row r="225" spans="3:10" x14ac:dyDescent="0.15">
      <c r="C225" s="30"/>
      <c r="D225" s="30"/>
      <c r="E225" s="30"/>
      <c r="F225" s="30"/>
      <c r="G225" s="30"/>
      <c r="H225" s="30"/>
      <c r="I225" s="30"/>
      <c r="J225" s="30"/>
    </row>
    <row r="226" spans="3:10" x14ac:dyDescent="0.15">
      <c r="C226" s="30"/>
      <c r="D226" s="30"/>
      <c r="E226" s="30"/>
      <c r="F226" s="30"/>
      <c r="G226" s="30"/>
      <c r="H226" s="30"/>
      <c r="I226" s="30"/>
      <c r="J226" s="30"/>
    </row>
    <row r="227" spans="3:10" x14ac:dyDescent="0.15">
      <c r="C227" s="30"/>
      <c r="D227" s="30"/>
      <c r="E227" s="30"/>
      <c r="F227" s="30"/>
      <c r="G227" s="30"/>
      <c r="H227" s="30"/>
      <c r="I227" s="30"/>
      <c r="J227" s="30"/>
    </row>
    <row r="228" spans="3:10" x14ac:dyDescent="0.15">
      <c r="C228" s="30"/>
      <c r="D228" s="30"/>
      <c r="E228" s="30"/>
      <c r="F228" s="30"/>
      <c r="G228" s="30"/>
      <c r="H228" s="30"/>
      <c r="I228" s="30"/>
      <c r="J228" s="30"/>
    </row>
    <row r="229" spans="3:10" x14ac:dyDescent="0.15">
      <c r="C229" s="30"/>
      <c r="D229" s="30"/>
      <c r="E229" s="30"/>
      <c r="F229" s="30"/>
      <c r="G229" s="30"/>
      <c r="H229" s="30"/>
      <c r="I229" s="30"/>
      <c r="J229" s="30"/>
    </row>
    <row r="230" spans="3:10" x14ac:dyDescent="0.15">
      <c r="C230" s="30"/>
      <c r="D230" s="30"/>
      <c r="E230" s="30"/>
      <c r="F230" s="30"/>
      <c r="G230" s="30"/>
      <c r="H230" s="30"/>
      <c r="I230" s="30"/>
      <c r="J230" s="30"/>
    </row>
    <row r="231" spans="3:10" x14ac:dyDescent="0.15">
      <c r="C231" s="30"/>
      <c r="D231" s="30"/>
      <c r="E231" s="30"/>
      <c r="F231" s="30"/>
      <c r="G231" s="30"/>
      <c r="H231" s="30"/>
      <c r="I231" s="30"/>
      <c r="J231" s="30"/>
    </row>
    <row r="232" spans="3:10" x14ac:dyDescent="0.15">
      <c r="C232" s="30"/>
      <c r="D232" s="30"/>
      <c r="E232" s="30"/>
      <c r="F232" s="30"/>
      <c r="G232" s="30"/>
      <c r="H232" s="30"/>
      <c r="I232" s="30"/>
      <c r="J232" s="30"/>
    </row>
    <row r="233" spans="3:10" x14ac:dyDescent="0.15">
      <c r="C233" s="30"/>
      <c r="D233" s="30"/>
      <c r="E233" s="30"/>
      <c r="F233" s="30"/>
      <c r="G233" s="30"/>
      <c r="H233" s="30"/>
      <c r="I233" s="30"/>
      <c r="J233" s="30"/>
    </row>
    <row r="234" spans="3:10" x14ac:dyDescent="0.15">
      <c r="C234" s="30"/>
      <c r="D234" s="30"/>
      <c r="E234" s="30"/>
      <c r="F234" s="30"/>
      <c r="G234" s="30"/>
      <c r="H234" s="30"/>
      <c r="I234" s="30"/>
      <c r="J234" s="30"/>
    </row>
    <row r="235" spans="3:10" x14ac:dyDescent="0.15">
      <c r="C235" s="30"/>
      <c r="D235" s="30"/>
      <c r="E235" s="30"/>
      <c r="F235" s="30"/>
      <c r="G235" s="30"/>
      <c r="H235" s="30"/>
      <c r="I235" s="30"/>
      <c r="J235" s="30"/>
    </row>
    <row r="236" spans="3:10" x14ac:dyDescent="0.15">
      <c r="C236" s="30"/>
      <c r="D236" s="30"/>
      <c r="E236" s="30"/>
      <c r="F236" s="30"/>
      <c r="G236" s="30"/>
      <c r="H236" s="30"/>
      <c r="I236" s="30"/>
      <c r="J236" s="30"/>
    </row>
    <row r="237" spans="3:10" x14ac:dyDescent="0.15">
      <c r="C237" s="30"/>
      <c r="D237" s="30"/>
      <c r="E237" s="30"/>
      <c r="F237" s="30"/>
      <c r="G237" s="30"/>
      <c r="H237" s="30"/>
      <c r="I237" s="30"/>
      <c r="J237" s="30"/>
    </row>
    <row r="238" spans="3:10" x14ac:dyDescent="0.15">
      <c r="C238" s="30"/>
      <c r="D238" s="30"/>
      <c r="E238" s="30"/>
      <c r="F238" s="30"/>
      <c r="G238" s="30"/>
      <c r="H238" s="30"/>
      <c r="I238" s="30"/>
      <c r="J238" s="30"/>
    </row>
    <row r="239" spans="3:10" x14ac:dyDescent="0.15">
      <c r="C239" s="30"/>
      <c r="D239" s="30"/>
      <c r="E239" s="30"/>
      <c r="F239" s="30"/>
      <c r="G239" s="30"/>
      <c r="H239" s="30"/>
      <c r="I239" s="30"/>
      <c r="J239" s="30"/>
    </row>
    <row r="240" spans="3:10" x14ac:dyDescent="0.15">
      <c r="C240" s="30"/>
      <c r="D240" s="30"/>
      <c r="E240" s="30"/>
      <c r="F240" s="30"/>
      <c r="G240" s="30"/>
      <c r="H240" s="30"/>
      <c r="I240" s="30"/>
      <c r="J240" s="30"/>
    </row>
    <row r="241" spans="3:10" x14ac:dyDescent="0.15">
      <c r="C241" s="30"/>
      <c r="D241" s="30"/>
      <c r="E241" s="30"/>
      <c r="F241" s="30"/>
      <c r="G241" s="30"/>
      <c r="H241" s="30"/>
      <c r="I241" s="30"/>
      <c r="J241" s="30"/>
    </row>
    <row r="242" spans="3:10" x14ac:dyDescent="0.15">
      <c r="C242" s="30"/>
      <c r="D242" s="30"/>
      <c r="E242" s="30"/>
      <c r="F242" s="30"/>
      <c r="G242" s="30"/>
      <c r="H242" s="30"/>
      <c r="I242" s="30"/>
      <c r="J242" s="30"/>
    </row>
    <row r="243" spans="3:10" x14ac:dyDescent="0.15">
      <c r="C243" s="30"/>
      <c r="D243" s="30"/>
      <c r="E243" s="30"/>
      <c r="F243" s="30"/>
      <c r="G243" s="30"/>
      <c r="H243" s="30"/>
      <c r="I243" s="30"/>
      <c r="J243" s="30"/>
    </row>
    <row r="244" spans="3:10" x14ac:dyDescent="0.15">
      <c r="C244" s="30"/>
      <c r="D244" s="30"/>
      <c r="E244" s="30"/>
      <c r="F244" s="30"/>
      <c r="G244" s="30"/>
      <c r="H244" s="30"/>
      <c r="I244" s="30"/>
      <c r="J244" s="30"/>
    </row>
    <row r="245" spans="3:10" x14ac:dyDescent="0.15">
      <c r="C245" s="30"/>
      <c r="D245" s="30"/>
      <c r="E245" s="30"/>
      <c r="F245" s="30"/>
      <c r="G245" s="30"/>
      <c r="H245" s="30"/>
      <c r="I245" s="30"/>
      <c r="J245" s="30"/>
    </row>
    <row r="246" spans="3:10" x14ac:dyDescent="0.15">
      <c r="C246" s="30"/>
      <c r="D246" s="30"/>
      <c r="E246" s="30"/>
      <c r="F246" s="30"/>
      <c r="G246" s="30"/>
      <c r="H246" s="30"/>
      <c r="I246" s="30"/>
      <c r="J246" s="30"/>
    </row>
    <row r="247" spans="3:10" x14ac:dyDescent="0.15">
      <c r="C247" s="30"/>
      <c r="D247" s="30"/>
      <c r="E247" s="30"/>
      <c r="F247" s="30"/>
      <c r="G247" s="30"/>
      <c r="H247" s="30"/>
      <c r="I247" s="30"/>
      <c r="J247" s="30"/>
    </row>
    <row r="248" spans="3:10" x14ac:dyDescent="0.15">
      <c r="C248" s="30"/>
      <c r="D248" s="30"/>
      <c r="E248" s="30"/>
      <c r="F248" s="30"/>
      <c r="G248" s="30"/>
      <c r="H248" s="30"/>
      <c r="I248" s="30"/>
      <c r="J248" s="30"/>
    </row>
    <row r="249" spans="3:10" x14ac:dyDescent="0.15">
      <c r="C249" s="30"/>
      <c r="D249" s="30"/>
      <c r="E249" s="30"/>
      <c r="F249" s="30"/>
      <c r="G249" s="30"/>
      <c r="H249" s="30"/>
      <c r="I249" s="30"/>
      <c r="J249" s="30"/>
    </row>
    <row r="250" spans="3:10" x14ac:dyDescent="0.15">
      <c r="C250" s="30"/>
      <c r="D250" s="30"/>
      <c r="E250" s="30"/>
      <c r="F250" s="30"/>
      <c r="G250" s="30"/>
      <c r="H250" s="30"/>
      <c r="I250" s="30"/>
      <c r="J250" s="30"/>
    </row>
    <row r="251" spans="3:10" x14ac:dyDescent="0.15">
      <c r="C251" s="30"/>
      <c r="D251" s="30"/>
      <c r="E251" s="30"/>
      <c r="F251" s="30"/>
      <c r="G251" s="30"/>
      <c r="H251" s="30"/>
      <c r="I251" s="30"/>
      <c r="J251" s="30"/>
    </row>
    <row r="252" spans="3:10" x14ac:dyDescent="0.15">
      <c r="C252" s="30"/>
      <c r="D252" s="30"/>
      <c r="E252" s="30"/>
      <c r="F252" s="30"/>
      <c r="G252" s="30"/>
      <c r="H252" s="30"/>
      <c r="I252" s="30"/>
      <c r="J252" s="30"/>
    </row>
  </sheetData>
  <mergeCells count="12">
    <mergeCell ref="L2:W2"/>
    <mergeCell ref="N5:W5"/>
    <mergeCell ref="N6:N8"/>
    <mergeCell ref="O6:O8"/>
    <mergeCell ref="Q6:Q8"/>
    <mergeCell ref="W6:W8"/>
    <mergeCell ref="V7:V8"/>
    <mergeCell ref="L56:W57"/>
    <mergeCell ref="P6:P8"/>
    <mergeCell ref="M6:M8"/>
    <mergeCell ref="R7:R8"/>
    <mergeCell ref="S7:S8"/>
  </mergeCells>
  <phoneticPr fontId="36" type="noConversion"/>
  <pageMargins left="0.7" right="0.7" top="0.75" bottom="0.75" header="0.3" footer="0.3"/>
  <pageSetup paperSize="9" scale="55"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C252"/>
  <sheetViews>
    <sheetView workbookViewId="0">
      <pane xSplit="1" ySplit="8" topLeftCell="K50" activePane="bottomRight" state="frozen"/>
      <selection pane="topRight"/>
      <selection pane="bottomLeft"/>
      <selection pane="bottomRight" activeCell="V64" sqref="V64"/>
    </sheetView>
  </sheetViews>
  <sheetFormatPr baseColWidth="10" defaultColWidth="10.83203125" defaultRowHeight="13" x14ac:dyDescent="0.15"/>
  <cols>
    <col min="1" max="1" width="8.6640625" style="29" hidden="1" customWidth="1"/>
    <col min="2" max="4" width="12.5" style="29" hidden="1" customWidth="1"/>
    <col min="5" max="5" width="12.83203125" style="29" hidden="1" customWidth="1"/>
    <col min="6" max="6" width="10.5" style="29" hidden="1" customWidth="1"/>
    <col min="7" max="8" width="10.1640625" style="29" hidden="1" customWidth="1"/>
    <col min="9" max="9" width="12.5" style="29" hidden="1" customWidth="1"/>
    <col min="10" max="10" width="9.5" style="29" hidden="1" customWidth="1"/>
    <col min="11" max="11" width="2.33203125" style="29" customWidth="1"/>
    <col min="12" max="23" width="12.83203125" style="29" customWidth="1"/>
    <col min="24" max="24" width="3.1640625" style="29" customWidth="1"/>
    <col min="25" max="16384" width="10.83203125" style="29"/>
  </cols>
  <sheetData>
    <row r="1" spans="1:29" ht="14" thickBot="1" x14ac:dyDescent="0.2">
      <c r="A1" s="54"/>
      <c r="B1" s="53"/>
      <c r="C1" s="52"/>
      <c r="D1" s="52"/>
      <c r="E1" s="52"/>
      <c r="F1" s="52"/>
      <c r="G1" s="52"/>
      <c r="H1" s="52"/>
      <c r="I1" s="52"/>
      <c r="J1" s="52"/>
      <c r="K1" s="49"/>
      <c r="L1" s="49"/>
      <c r="M1" s="49"/>
    </row>
    <row r="2" spans="1:29" s="57" customFormat="1" ht="33" customHeight="1" thickTop="1" x14ac:dyDescent="0.15">
      <c r="A2" s="29"/>
      <c r="B2" s="29"/>
      <c r="C2" s="29"/>
      <c r="D2" s="29"/>
      <c r="E2" s="29"/>
      <c r="F2" s="29"/>
      <c r="G2" s="29"/>
      <c r="H2" s="29"/>
      <c r="I2" s="29"/>
      <c r="J2" s="29"/>
      <c r="K2" s="58"/>
      <c r="L2" s="2197" t="s">
        <v>400</v>
      </c>
      <c r="M2" s="2198"/>
      <c r="N2" s="2198"/>
      <c r="O2" s="2198"/>
      <c r="P2" s="2198"/>
      <c r="Q2" s="2198"/>
      <c r="R2" s="2198"/>
      <c r="S2" s="2198"/>
      <c r="T2" s="2198"/>
      <c r="U2" s="2198"/>
      <c r="V2" s="2198"/>
      <c r="W2" s="2199"/>
    </row>
    <row r="3" spans="1:29" s="57" customFormat="1" ht="14.25" customHeight="1" x14ac:dyDescent="0.15">
      <c r="A3" s="29"/>
      <c r="B3" s="29"/>
      <c r="C3" s="29"/>
      <c r="D3" s="29"/>
      <c r="E3" s="29"/>
      <c r="F3" s="29"/>
      <c r="G3" s="29"/>
      <c r="H3" s="29"/>
      <c r="I3" s="29"/>
      <c r="J3" s="29"/>
      <c r="K3" s="58"/>
      <c r="L3" s="348"/>
      <c r="M3" s="349"/>
      <c r="N3" s="349"/>
      <c r="O3" s="349"/>
      <c r="P3" s="349"/>
      <c r="Q3" s="349"/>
      <c r="R3" s="349"/>
      <c r="S3" s="349"/>
      <c r="T3" s="349"/>
      <c r="U3" s="349"/>
      <c r="V3" s="349"/>
      <c r="W3" s="350"/>
    </row>
    <row r="4" spans="1:29" x14ac:dyDescent="0.15">
      <c r="K4" s="34"/>
      <c r="L4" s="102"/>
      <c r="M4" s="1383" t="s">
        <v>1</v>
      </c>
      <c r="N4" s="1383" t="s">
        <v>2</v>
      </c>
      <c r="O4" s="1383" t="s">
        <v>3</v>
      </c>
      <c r="P4" s="1383" t="s">
        <v>4</v>
      </c>
      <c r="Q4" s="1383" t="s">
        <v>5</v>
      </c>
      <c r="R4" s="1383" t="s">
        <v>6</v>
      </c>
      <c r="S4" s="67" t="s">
        <v>7</v>
      </c>
      <c r="T4" s="1383" t="s">
        <v>8</v>
      </c>
      <c r="U4" s="1383" t="s">
        <v>9</v>
      </c>
      <c r="V4" s="1383" t="s">
        <v>10</v>
      </c>
      <c r="W4" s="104" t="s">
        <v>11</v>
      </c>
      <c r="X4" s="49"/>
    </row>
    <row r="5" spans="1:29" ht="16" customHeight="1" thickBot="1" x14ac:dyDescent="0.2">
      <c r="K5" s="48"/>
      <c r="L5" s="102"/>
      <c r="M5" s="351"/>
      <c r="N5" s="2200" t="s">
        <v>395</v>
      </c>
      <c r="O5" s="2201"/>
      <c r="P5" s="2201"/>
      <c r="Q5" s="2201"/>
      <c r="R5" s="2201"/>
      <c r="S5" s="2201"/>
      <c r="T5" s="2201"/>
      <c r="U5" s="2201"/>
      <c r="V5" s="2201"/>
      <c r="W5" s="2202"/>
    </row>
    <row r="6" spans="1:29" ht="32.25" customHeight="1" x14ac:dyDescent="0.2">
      <c r="K6" s="34"/>
      <c r="L6" s="102"/>
      <c r="M6" s="2205" t="s">
        <v>396</v>
      </c>
      <c r="N6" s="2203" t="s">
        <v>328</v>
      </c>
      <c r="O6" s="2193" t="s">
        <v>397</v>
      </c>
      <c r="P6" s="2193" t="s">
        <v>398</v>
      </c>
      <c r="Q6" s="2193" t="s">
        <v>330</v>
      </c>
      <c r="R6" s="1384"/>
      <c r="S6" s="1384"/>
      <c r="T6" s="1384"/>
      <c r="U6" s="1384"/>
      <c r="V6" s="1384"/>
      <c r="W6" s="2204" t="s">
        <v>331</v>
      </c>
    </row>
    <row r="7" spans="1:29" ht="25" customHeight="1" thickBot="1" x14ac:dyDescent="0.25">
      <c r="K7" s="34"/>
      <c r="L7" s="102"/>
      <c r="M7" s="2194"/>
      <c r="N7" s="2135"/>
      <c r="O7" s="2137"/>
      <c r="P7" s="2137"/>
      <c r="Q7" s="2137"/>
      <c r="R7" s="2196" t="s">
        <v>125</v>
      </c>
      <c r="S7" s="2137" t="s">
        <v>332</v>
      </c>
      <c r="T7" s="1299"/>
      <c r="U7" s="1299"/>
      <c r="V7" s="2144" t="s">
        <v>399</v>
      </c>
      <c r="W7" s="2139"/>
    </row>
    <row r="8" spans="1:29" ht="61" customHeight="1" thickBot="1" x14ac:dyDescent="0.2">
      <c r="K8" s="34"/>
      <c r="L8" s="103"/>
      <c r="M8" s="2195"/>
      <c r="N8" s="2136"/>
      <c r="O8" s="2138"/>
      <c r="P8" s="2138"/>
      <c r="Q8" s="2138"/>
      <c r="R8" s="2142"/>
      <c r="S8" s="2138" t="s">
        <v>332</v>
      </c>
      <c r="T8" s="397" t="s">
        <v>334</v>
      </c>
      <c r="U8" s="398" t="s">
        <v>335</v>
      </c>
      <c r="V8" s="2145"/>
      <c r="W8" s="2140"/>
    </row>
    <row r="9" spans="1:29" ht="12.75" hidden="1" customHeight="1" x14ac:dyDescent="0.15">
      <c r="K9" s="34"/>
      <c r="L9" s="38">
        <v>1970</v>
      </c>
      <c r="M9" s="352">
        <v>14</v>
      </c>
      <c r="N9" s="419">
        <v>184.61704</v>
      </c>
      <c r="O9" s="36">
        <v>159.38301000000001</v>
      </c>
      <c r="P9" s="36"/>
      <c r="Q9" s="36">
        <v>21.633673999999999</v>
      </c>
      <c r="R9" s="37">
        <v>0.86045711000000002</v>
      </c>
      <c r="S9" s="61">
        <v>13.198475999999999</v>
      </c>
      <c r="T9" s="64"/>
      <c r="U9" s="65"/>
      <c r="V9" s="35"/>
      <c r="W9" s="56">
        <v>3.6003559999999997</v>
      </c>
    </row>
    <row r="10" spans="1:29" ht="12.75" hidden="1" customHeight="1" x14ac:dyDescent="0.15">
      <c r="K10" s="34"/>
      <c r="L10" s="38">
        <f t="shared" ref="L10:L47" si="0">L9+1</f>
        <v>1971</v>
      </c>
      <c r="M10" s="352">
        <v>20</v>
      </c>
      <c r="N10" s="419">
        <v>257.50610255999999</v>
      </c>
      <c r="O10" s="36">
        <v>225.68699443000003</v>
      </c>
      <c r="P10" s="36"/>
      <c r="Q10" s="36">
        <v>25.922380647000001</v>
      </c>
      <c r="R10" s="37">
        <v>1.1980906200000001</v>
      </c>
      <c r="S10" s="61">
        <v>14.475921216000001</v>
      </c>
      <c r="T10" s="64"/>
      <c r="U10" s="65"/>
      <c r="V10" s="35"/>
      <c r="W10" s="56">
        <v>5.8967274829999479</v>
      </c>
    </row>
    <row r="11" spans="1:29" ht="12.75" hidden="1" customHeight="1" x14ac:dyDescent="0.15">
      <c r="K11" s="34"/>
      <c r="L11" s="38">
        <f t="shared" si="0"/>
        <v>1972</v>
      </c>
      <c r="M11" s="352">
        <v>23</v>
      </c>
      <c r="N11" s="419">
        <v>309.59936167999996</v>
      </c>
      <c r="O11" s="36">
        <v>268.20753964999994</v>
      </c>
      <c r="P11" s="36"/>
      <c r="Q11" s="44">
        <v>33.790628561999995</v>
      </c>
      <c r="R11" s="45">
        <v>1.41022987</v>
      </c>
      <c r="S11" s="100">
        <v>16.445797138000003</v>
      </c>
      <c r="T11" s="100"/>
      <c r="U11" s="66"/>
      <c r="V11" s="99"/>
      <c r="W11" s="60">
        <v>7.6011934680000417</v>
      </c>
    </row>
    <row r="12" spans="1:29" ht="12.75" hidden="1" customHeight="1" x14ac:dyDescent="0.15">
      <c r="K12" s="34"/>
      <c r="L12" s="38">
        <f t="shared" si="0"/>
        <v>1973</v>
      </c>
      <c r="M12" s="352">
        <v>23</v>
      </c>
      <c r="N12" s="419">
        <v>424.89523181000004</v>
      </c>
      <c r="O12" s="36">
        <v>364.33756830999999</v>
      </c>
      <c r="P12" s="36"/>
      <c r="Q12" s="44">
        <v>49.740275382</v>
      </c>
      <c r="R12" s="45">
        <v>1.5681824499999999</v>
      </c>
      <c r="S12" s="100">
        <v>25.941071351999998</v>
      </c>
      <c r="T12" s="100"/>
      <c r="U12" s="66"/>
      <c r="V12" s="99"/>
      <c r="W12" s="60">
        <v>10.817388118000025</v>
      </c>
    </row>
    <row r="13" spans="1:29" ht="12.75" hidden="1" customHeight="1" x14ac:dyDescent="0.15">
      <c r="K13" s="34"/>
      <c r="L13" s="38">
        <f t="shared" si="0"/>
        <v>1974</v>
      </c>
      <c r="M13" s="352">
        <v>37</v>
      </c>
      <c r="N13" s="419">
        <v>597.04969229999995</v>
      </c>
      <c r="O13" s="36">
        <v>519.32204029000002</v>
      </c>
      <c r="P13" s="36"/>
      <c r="Q13" s="44">
        <v>64.21533229740001</v>
      </c>
      <c r="R13" s="45">
        <v>1.4988017534</v>
      </c>
      <c r="S13" s="100">
        <v>29.040370952999996</v>
      </c>
      <c r="T13" s="100"/>
      <c r="U13" s="66"/>
      <c r="V13" s="99"/>
      <c r="W13" s="60">
        <v>13.512319712600009</v>
      </c>
    </row>
    <row r="14" spans="1:29" ht="14" x14ac:dyDescent="0.15">
      <c r="K14" s="34"/>
      <c r="L14" s="38">
        <f t="shared" si="0"/>
        <v>1975</v>
      </c>
      <c r="M14" s="353">
        <v>54</v>
      </c>
      <c r="N14" s="419">
        <f>+TableB7!N14-TableB9!N14</f>
        <v>893.25550337960397</v>
      </c>
      <c r="O14" s="36">
        <f>+TableB7!O14-TableB9!O14</f>
        <v>769.24633114753306</v>
      </c>
      <c r="P14" s="36">
        <f>+TableB7!P14-TableB9!P14</f>
        <v>0</v>
      </c>
      <c r="Q14" s="44">
        <f>+TableB7!Q14-TableB9!Q14</f>
        <v>76.458056727189586</v>
      </c>
      <c r="R14" s="45">
        <f>+TableB7!R14-TableB9!R14</f>
        <v>3.1976</v>
      </c>
      <c r="S14" s="100">
        <f>+TableB7!S14-TableB9!S14</f>
        <v>16.242710000000002</v>
      </c>
      <c r="T14" s="100">
        <f>+TableB7!T14-TableB9!T14</f>
        <v>15.308449999999999</v>
      </c>
      <c r="U14" s="66">
        <f>+TableB7!U14-TableB9!U14</f>
        <v>0.93426000000000187</v>
      </c>
      <c r="V14" s="99">
        <f>+TableB7!V14-TableB9!V14</f>
        <v>57.017746727189589</v>
      </c>
      <c r="W14" s="98">
        <f>+TableB7!W14-TableB9!W14</f>
        <v>47.551115504881309</v>
      </c>
      <c r="Y14" s="30"/>
      <c r="Z14" s="32"/>
      <c r="AA14" s="32"/>
      <c r="AB14" s="32"/>
      <c r="AC14" s="32"/>
    </row>
    <row r="15" spans="1:29" ht="14" x14ac:dyDescent="0.15">
      <c r="K15" s="34"/>
      <c r="L15" s="38">
        <f t="shared" si="0"/>
        <v>1976</v>
      </c>
      <c r="M15" s="353">
        <v>78</v>
      </c>
      <c r="N15" s="419">
        <f>+TableB7!N15-TableB9!N15</f>
        <v>1099.8668506580477</v>
      </c>
      <c r="O15" s="36">
        <f>+TableB7!O15-TableB9!O15</f>
        <v>960.37558397034297</v>
      </c>
      <c r="P15" s="36">
        <f>+TableB7!P15-TableB9!P15</f>
        <v>0</v>
      </c>
      <c r="Q15" s="44">
        <f>+TableB7!Q15-TableB9!Q15</f>
        <v>85.11986208777769</v>
      </c>
      <c r="R15" s="45">
        <f>+TableB7!R15-TableB9!R15</f>
        <v>3.3533399999999998</v>
      </c>
      <c r="S15" s="100">
        <f>+TableB7!S15-TableB9!S15</f>
        <v>19.616499999999998</v>
      </c>
      <c r="T15" s="100">
        <f>+TableB7!T15-TableB9!T15</f>
        <v>18.662110000000002</v>
      </c>
      <c r="U15" s="66">
        <f>+TableB7!U15-TableB9!U15</f>
        <v>0.95438999999999652</v>
      </c>
      <c r="V15" s="99">
        <f>+TableB7!V15-TableB9!V15</f>
        <v>62.1500220877777</v>
      </c>
      <c r="W15" s="98">
        <f>+TableB7!W15-TableB9!W15</f>
        <v>54.371404599927104</v>
      </c>
      <c r="Y15" s="30"/>
      <c r="Z15" s="32"/>
      <c r="AA15" s="32"/>
      <c r="AB15" s="32"/>
      <c r="AC15" s="32"/>
    </row>
    <row r="16" spans="1:29" ht="14" x14ac:dyDescent="0.15">
      <c r="K16" s="34"/>
      <c r="L16" s="38">
        <f t="shared" si="0"/>
        <v>1977</v>
      </c>
      <c r="M16" s="353">
        <v>104</v>
      </c>
      <c r="N16" s="419">
        <f>+TableB7!N16-TableB9!N16</f>
        <v>1458.3805554764863</v>
      </c>
      <c r="O16" s="36">
        <f>+TableB7!O16-TableB9!O16</f>
        <v>1275.8832261225941</v>
      </c>
      <c r="P16" s="36">
        <f>+TableB7!P16-TableB9!P16</f>
        <v>0</v>
      </c>
      <c r="Q16" s="44">
        <f>+TableB7!Q16-TableB9!Q16</f>
        <v>112.81179034177336</v>
      </c>
      <c r="R16" s="45">
        <f>+TableB7!R16-TableB9!R16</f>
        <v>5.1474299999999999</v>
      </c>
      <c r="S16" s="100">
        <f>+TableB7!S16-TableB9!S16</f>
        <v>28.606155999999999</v>
      </c>
      <c r="T16" s="100">
        <f>+TableB7!T16-TableB9!T16</f>
        <v>27.490160000000003</v>
      </c>
      <c r="U16" s="66">
        <f>+TableB7!U16-TableB9!U16</f>
        <v>1.1159959999999987</v>
      </c>
      <c r="V16" s="99">
        <f>+TableB7!V16-TableB9!V16</f>
        <v>79.058204341773362</v>
      </c>
      <c r="W16" s="98">
        <f>+TableB7!W16-TableB9!W16</f>
        <v>69.685539012118966</v>
      </c>
      <c r="Y16" s="30"/>
      <c r="Z16" s="32"/>
      <c r="AA16" s="32"/>
      <c r="AB16" s="32"/>
      <c r="AC16" s="32"/>
    </row>
    <row r="17" spans="11:29" ht="14" x14ac:dyDescent="0.15">
      <c r="K17" s="34"/>
      <c r="L17" s="38">
        <f t="shared" si="0"/>
        <v>1978</v>
      </c>
      <c r="M17" s="353">
        <v>110</v>
      </c>
      <c r="N17" s="419">
        <f>+TableB7!N17-TableB9!N17</f>
        <v>1719.4036668288679</v>
      </c>
      <c r="O17" s="36">
        <f>+TableB7!O17-TableB9!O17</f>
        <v>1482.891954595591</v>
      </c>
      <c r="P17" s="36">
        <f>+TableB7!P17-TableB9!P17</f>
        <v>0</v>
      </c>
      <c r="Q17" s="44">
        <f>+TableB7!Q17-TableB9!Q17</f>
        <v>149.22755216883129</v>
      </c>
      <c r="R17" s="45">
        <f>+TableB7!R17-TableB9!R17</f>
        <v>6.56691</v>
      </c>
      <c r="S17" s="100">
        <f>+TableB7!S17-TableB9!S17</f>
        <v>33.015460000000004</v>
      </c>
      <c r="T17" s="100">
        <f>+TableB7!T17-TableB9!T17</f>
        <v>31.37021</v>
      </c>
      <c r="U17" s="66">
        <f>+TableB7!U17-TableB9!U17</f>
        <v>1.6452499999999999</v>
      </c>
      <c r="V17" s="99">
        <f>+TableB7!V17-TableB9!V17</f>
        <v>109.6451821688313</v>
      </c>
      <c r="W17" s="98">
        <f>+TableB7!W17-TableB9!W17</f>
        <v>87.284160064445771</v>
      </c>
      <c r="Y17" s="30"/>
      <c r="Z17" s="32"/>
      <c r="AA17" s="32"/>
      <c r="AB17" s="32"/>
      <c r="AC17" s="32"/>
    </row>
    <row r="18" spans="11:29" ht="14" x14ac:dyDescent="0.15">
      <c r="K18" s="34"/>
      <c r="L18" s="38">
        <f t="shared" si="0"/>
        <v>1979</v>
      </c>
      <c r="M18" s="353">
        <v>114</v>
      </c>
      <c r="N18" s="419">
        <f>+TableB7!N18-TableB9!N18</f>
        <v>2223.4037714088195</v>
      </c>
      <c r="O18" s="36">
        <f>+TableB7!O18-TableB9!O18</f>
        <v>1895.7203148211356</v>
      </c>
      <c r="P18" s="36">
        <f>+TableB7!P18-TableB9!P18</f>
        <v>0</v>
      </c>
      <c r="Q18" s="44">
        <f>+TableB7!Q18-TableB9!Q18</f>
        <v>220.62228492652085</v>
      </c>
      <c r="R18" s="97">
        <f>+TableB7!R18-TableB9!R18</f>
        <v>7.4740700000000002</v>
      </c>
      <c r="S18" s="96">
        <f>+TableB7!S18-TableB9!S18</f>
        <v>42.882499999999993</v>
      </c>
      <c r="T18" s="96">
        <f>+TableB7!T18-TableB9!T18</f>
        <v>40.697499999999998</v>
      </c>
      <c r="U18" s="95">
        <f>+TableB7!U18-TableB9!U18</f>
        <v>2.1849999999999987</v>
      </c>
      <c r="V18" s="94">
        <f>+TableB7!V18-TableB9!V18</f>
        <v>170.26571492652084</v>
      </c>
      <c r="W18" s="93">
        <f>+TableB7!W18-TableB9!W18</f>
        <v>107.06117166116317</v>
      </c>
      <c r="X18" s="41"/>
      <c r="Y18" s="40"/>
      <c r="Z18" s="39"/>
      <c r="AA18" s="39"/>
      <c r="AB18" s="32"/>
      <c r="AC18" s="32"/>
    </row>
    <row r="19" spans="11:29" ht="14" x14ac:dyDescent="0.15">
      <c r="K19" s="34"/>
      <c r="L19" s="42">
        <f t="shared" si="0"/>
        <v>1980</v>
      </c>
      <c r="M19" s="354">
        <v>119</v>
      </c>
      <c r="N19" s="59">
        <f>+TableB7!N19-TableB9!N19</f>
        <v>2741.6036401283263</v>
      </c>
      <c r="O19" s="1385">
        <f>+TableB7!O19-TableB9!O19</f>
        <v>2304.1125764204885</v>
      </c>
      <c r="P19" s="1385">
        <f>+TableB7!P19-TableB9!P19</f>
        <v>0</v>
      </c>
      <c r="Q19" s="1386">
        <f>+TableB7!Q19-TableB9!Q19</f>
        <v>312.62192286279111</v>
      </c>
      <c r="R19" s="45">
        <f>+TableB7!R19-TableB9!R19</f>
        <v>8.2852999999999994</v>
      </c>
      <c r="S19" s="100">
        <f>+TableB7!S19-TableB9!S19</f>
        <v>54.642850000000003</v>
      </c>
      <c r="T19" s="100">
        <f>+TableB7!T19-TableB9!T19</f>
        <v>51.869730000000004</v>
      </c>
      <c r="U19" s="66">
        <f>+TableB7!U19-TableB9!U19</f>
        <v>2.7731199999999996</v>
      </c>
      <c r="V19" s="99">
        <f>+TableB7!V19-TableB9!V19</f>
        <v>249.69377286279109</v>
      </c>
      <c r="W19" s="98">
        <f>+TableB7!W19-TableB9!W19</f>
        <v>124.86914084504691</v>
      </c>
      <c r="X19" s="41"/>
      <c r="Y19" s="40"/>
      <c r="Z19" s="39"/>
      <c r="AA19" s="39"/>
      <c r="AB19" s="32"/>
      <c r="AC19" s="32"/>
    </row>
    <row r="20" spans="11:29" ht="14" x14ac:dyDescent="0.15">
      <c r="K20" s="34"/>
      <c r="L20" s="38">
        <f t="shared" si="0"/>
        <v>1981</v>
      </c>
      <c r="M20" s="353">
        <v>122</v>
      </c>
      <c r="N20" s="419">
        <f>+TableB7!N20-TableB9!N20</f>
        <v>2866.5698593993434</v>
      </c>
      <c r="O20" s="36">
        <f>+TableB7!O20-TableB9!O20</f>
        <v>2339.2238345806431</v>
      </c>
      <c r="P20" s="36">
        <f>+TableB7!P20-TableB9!P20</f>
        <v>0</v>
      </c>
      <c r="Q20" s="44">
        <f>+TableB7!Q20-TableB9!Q20</f>
        <v>401.6676784140094</v>
      </c>
      <c r="R20" s="45">
        <f>+TableB7!R20-TableB9!R20</f>
        <v>8.5037299999999991</v>
      </c>
      <c r="S20" s="100">
        <f>+TableB7!S20-TableB9!S20</f>
        <v>56.146829999999994</v>
      </c>
      <c r="T20" s="100">
        <f>+TableB7!T20-TableB9!T20</f>
        <v>53.128390000000003</v>
      </c>
      <c r="U20" s="66">
        <f>+TableB7!U20-TableB9!U20</f>
        <v>3.0184399999999942</v>
      </c>
      <c r="V20" s="99">
        <f>+TableB7!V20-TableB9!V20</f>
        <v>337.01711841400936</v>
      </c>
      <c r="W20" s="98">
        <f>+TableB7!W20-TableB9!W20</f>
        <v>125.67834640469081</v>
      </c>
      <c r="X20" s="41"/>
      <c r="Y20" s="40"/>
      <c r="Z20" s="39"/>
      <c r="AA20" s="39"/>
      <c r="AB20" s="32"/>
      <c r="AC20" s="32"/>
    </row>
    <row r="21" spans="11:29" ht="14" x14ac:dyDescent="0.15">
      <c r="K21" s="34"/>
      <c r="L21" s="38">
        <f t="shared" si="0"/>
        <v>1982</v>
      </c>
      <c r="M21" s="353">
        <v>126</v>
      </c>
      <c r="N21" s="419">
        <f>+TableB7!N21-TableB9!N21</f>
        <v>2767.5604432628265</v>
      </c>
      <c r="O21" s="36">
        <f>+TableB7!O21-TableB9!O21</f>
        <v>2226.8869617134096</v>
      </c>
      <c r="P21" s="36">
        <f>+TableB7!P21-TableB9!P21</f>
        <v>0</v>
      </c>
      <c r="Q21" s="44">
        <f>+TableB7!Q21-TableB9!Q21</f>
        <v>412.59901404277474</v>
      </c>
      <c r="R21" s="45">
        <f>+TableB7!R21-TableB9!R21</f>
        <v>9.0794999999999995</v>
      </c>
      <c r="S21" s="100">
        <f>+TableB7!S21-TableB9!S21</f>
        <v>42.880400000000002</v>
      </c>
      <c r="T21" s="100">
        <f>+TableB7!T21-TableB9!T21</f>
        <v>40.235099999999996</v>
      </c>
      <c r="U21" s="66">
        <f>+TableB7!U21-TableB9!U21</f>
        <v>2.645300000000006</v>
      </c>
      <c r="V21" s="99">
        <f>+TableB7!V21-TableB9!V21</f>
        <v>360.63911404277474</v>
      </c>
      <c r="W21" s="98">
        <f>+TableB7!W21-TableB9!W21</f>
        <v>128.07446750664201</v>
      </c>
      <c r="X21" s="41"/>
      <c r="Y21" s="40"/>
      <c r="Z21" s="39"/>
      <c r="AA21" s="39"/>
      <c r="AB21" s="32"/>
      <c r="AC21" s="32"/>
    </row>
    <row r="22" spans="11:29" ht="14" x14ac:dyDescent="0.15">
      <c r="K22" s="34"/>
      <c r="L22" s="38">
        <f t="shared" si="0"/>
        <v>1983</v>
      </c>
      <c r="M22" s="353">
        <v>126</v>
      </c>
      <c r="N22" s="419">
        <f>+TableB7!N22-TableB9!N22</f>
        <v>2656.1395335098487</v>
      </c>
      <c r="O22" s="36">
        <f>+TableB7!O22-TableB9!O22</f>
        <v>2169.5702593776032</v>
      </c>
      <c r="P22" s="36">
        <f>+TableB7!P22-TableB9!P22</f>
        <v>0</v>
      </c>
      <c r="Q22" s="44">
        <f>+TableB7!Q22-TableB9!Q22</f>
        <v>360.65671936583459</v>
      </c>
      <c r="R22" s="45">
        <f>+TableB7!R22-TableB9!R22</f>
        <v>9.0518999999999998</v>
      </c>
      <c r="S22" s="100">
        <f>+TableB7!S22-TableB9!S22</f>
        <v>41.268750000000004</v>
      </c>
      <c r="T22" s="100">
        <f>+TableB7!T22-TableB9!T22</f>
        <v>38.66037</v>
      </c>
      <c r="U22" s="66">
        <f>+TableB7!U22-TableB9!U22</f>
        <v>2.6083800000000004</v>
      </c>
      <c r="V22" s="99">
        <f>+TableB7!V22-TableB9!V22</f>
        <v>310.33606936583465</v>
      </c>
      <c r="W22" s="98">
        <f>+TableB7!W22-TableB9!W22</f>
        <v>125.91255476641082</v>
      </c>
      <c r="X22" s="41"/>
      <c r="Y22" s="40"/>
      <c r="Z22" s="39"/>
      <c r="AA22" s="39"/>
      <c r="AB22" s="32"/>
      <c r="AC22" s="32"/>
    </row>
    <row r="23" spans="11:29" ht="14" x14ac:dyDescent="0.15">
      <c r="K23" s="34"/>
      <c r="L23" s="38">
        <f t="shared" si="0"/>
        <v>1984</v>
      </c>
      <c r="M23" s="353">
        <v>127</v>
      </c>
      <c r="N23" s="419">
        <f>+TableB7!N23-TableB9!N23</f>
        <v>2815.3323324233661</v>
      </c>
      <c r="O23" s="36">
        <f>+TableB7!O23-TableB9!O23</f>
        <v>2284.0414756672826</v>
      </c>
      <c r="P23" s="36">
        <f>+TableB7!P23-TableB9!P23</f>
        <v>0</v>
      </c>
      <c r="Q23" s="44">
        <f>+TableB7!Q23-TableB9!Q23</f>
        <v>403.06417933536812</v>
      </c>
      <c r="R23" s="45">
        <f>+TableB7!R23-TableB9!R23</f>
        <v>8.797600000000001</v>
      </c>
      <c r="S23" s="100">
        <f>+TableB7!S23-TableB9!S23</f>
        <v>45.850499999999997</v>
      </c>
      <c r="T23" s="100">
        <f>+TableB7!T23-TableB9!T23</f>
        <v>43.227200000000003</v>
      </c>
      <c r="U23" s="66">
        <f>+TableB7!U23-TableB9!U23</f>
        <v>2.6232999999999986</v>
      </c>
      <c r="V23" s="99">
        <f>+TableB7!V23-TableB9!V23</f>
        <v>348.41607933536812</v>
      </c>
      <c r="W23" s="98">
        <f>+TableB7!W23-TableB9!W23</f>
        <v>128.2266774207153</v>
      </c>
      <c r="X23" s="41"/>
      <c r="Y23" s="40"/>
      <c r="Z23" s="39"/>
      <c r="AA23" s="39"/>
      <c r="AB23" s="32"/>
      <c r="AC23" s="32"/>
    </row>
    <row r="24" spans="11:29" ht="14" x14ac:dyDescent="0.15">
      <c r="K24" s="34"/>
      <c r="L24" s="38">
        <f t="shared" si="0"/>
        <v>1985</v>
      </c>
      <c r="M24" s="353">
        <v>129</v>
      </c>
      <c r="N24" s="419">
        <f>+TableB7!N24-TableB9!N24</f>
        <v>2838.9711083258808</v>
      </c>
      <c r="O24" s="36">
        <f>+TableB7!O24-TableB9!O24</f>
        <v>2304.2268986379399</v>
      </c>
      <c r="P24" s="36">
        <f>+TableB7!P24-TableB9!P24</f>
        <v>0</v>
      </c>
      <c r="Q24" s="44">
        <f>+TableB7!Q24-TableB9!Q24</f>
        <v>403.66919155844727</v>
      </c>
      <c r="R24" s="45">
        <f>+TableB7!R24-TableB9!R24</f>
        <v>9.3786999999999985</v>
      </c>
      <c r="S24" s="100">
        <f>+TableB7!S24-TableB9!S24</f>
        <v>44.628680000000003</v>
      </c>
      <c r="T24" s="100">
        <f>+TableB7!T24-TableB9!T24</f>
        <v>43.517510000000001</v>
      </c>
      <c r="U24" s="66">
        <f>+TableB7!U24-TableB9!U24</f>
        <v>1.1111700000000013</v>
      </c>
      <c r="V24" s="99">
        <f>+TableB7!V24-TableB9!V24</f>
        <v>349.66181155844731</v>
      </c>
      <c r="W24" s="98">
        <f>+TableB7!W24-TableB9!W24</f>
        <v>131.07501812949337</v>
      </c>
      <c r="X24" s="41"/>
      <c r="Y24" s="40"/>
      <c r="Z24" s="39"/>
      <c r="AA24" s="39"/>
      <c r="AB24" s="32"/>
      <c r="AC24" s="32"/>
    </row>
    <row r="25" spans="11:29" ht="14" x14ac:dyDescent="0.15">
      <c r="K25" s="34"/>
      <c r="L25" s="38">
        <f t="shared" si="0"/>
        <v>1986</v>
      </c>
      <c r="M25" s="353">
        <v>131</v>
      </c>
      <c r="N25" s="419">
        <f>+TableB7!N25-TableB9!N25</f>
        <v>3133.7802651232787</v>
      </c>
      <c r="O25" s="36">
        <f>+TableB7!O25-TableB9!O25</f>
        <v>2539.6518842641426</v>
      </c>
      <c r="P25" s="36">
        <f>+TableB7!P25-TableB9!P25</f>
        <v>0</v>
      </c>
      <c r="Q25" s="44">
        <f>+TableB7!Q25-TableB9!Q25</f>
        <v>436.78869984145769</v>
      </c>
      <c r="R25" s="45">
        <f>+TableB7!R25-TableB9!R25</f>
        <v>13.573137976170001</v>
      </c>
      <c r="S25" s="100">
        <f>+TableB7!S25-TableB9!S25</f>
        <v>44.789199999999994</v>
      </c>
      <c r="T25" s="100">
        <f>+TableB7!T25-TableB9!T25</f>
        <v>40.174600000000005</v>
      </c>
      <c r="U25" s="66">
        <f>+TableB7!U25-TableB9!U25</f>
        <v>4.6145999999999923</v>
      </c>
      <c r="V25" s="99">
        <f>+TableB7!V25-TableB9!V25</f>
        <v>378.42636186528773</v>
      </c>
      <c r="W25" s="98">
        <f>+TableB7!W25-TableB9!W25</f>
        <v>157.33968101767832</v>
      </c>
      <c r="X25" s="41"/>
      <c r="Y25" s="40"/>
      <c r="Z25" s="39"/>
      <c r="AA25" s="39"/>
      <c r="AB25" s="32"/>
      <c r="AC25" s="32"/>
    </row>
    <row r="26" spans="11:29" ht="14" x14ac:dyDescent="0.15">
      <c r="K26" s="34"/>
      <c r="L26" s="38">
        <f t="shared" si="0"/>
        <v>1987</v>
      </c>
      <c r="M26" s="353">
        <v>130</v>
      </c>
      <c r="N26" s="419">
        <f>+TableB7!N26-TableB9!N26</f>
        <v>3679.636513181566</v>
      </c>
      <c r="O26" s="36">
        <f>+TableB7!O26-TableB9!O26</f>
        <v>2979.0562133782596</v>
      </c>
      <c r="P26" s="36">
        <f>+TableB7!P26-TableB9!P26</f>
        <v>0</v>
      </c>
      <c r="Q26" s="44">
        <f>+TableB7!Q26-TableB9!Q26</f>
        <v>514.13599599603265</v>
      </c>
      <c r="R26" s="45">
        <f>+TableB7!R26-TableB9!R26</f>
        <v>16.696000000000002</v>
      </c>
      <c r="S26" s="100">
        <f>+TableB7!S26-TableB9!S26</f>
        <v>56.502400000000002</v>
      </c>
      <c r="T26" s="100">
        <f>+TableB7!T26-TableB9!T26</f>
        <v>51.051099999999991</v>
      </c>
      <c r="U26" s="66">
        <f>+TableB7!U26-TableB9!U26</f>
        <v>5.4513000000000105</v>
      </c>
      <c r="V26" s="99">
        <f>+TableB7!V26-TableB9!V26</f>
        <v>440.93759599603266</v>
      </c>
      <c r="W26" s="98">
        <f>+TableB7!W26-TableB9!W26</f>
        <v>186.44430380727371</v>
      </c>
      <c r="X26" s="41"/>
      <c r="Y26" s="40"/>
      <c r="Z26" s="39"/>
      <c r="AA26" s="39"/>
      <c r="AB26" s="32"/>
      <c r="AC26" s="32"/>
    </row>
    <row r="27" spans="11:29" ht="14" x14ac:dyDescent="0.15">
      <c r="K27" s="34"/>
      <c r="L27" s="38">
        <f t="shared" si="0"/>
        <v>1988</v>
      </c>
      <c r="M27" s="353">
        <v>129</v>
      </c>
      <c r="N27" s="419">
        <f>+TableB7!N27-TableB9!N27</f>
        <v>4237.2931575935772</v>
      </c>
      <c r="O27" s="36">
        <f>+TableB7!O27-TableB9!O27</f>
        <v>3387.1285371985728</v>
      </c>
      <c r="P27" s="36">
        <f>+TableB7!P27-TableB9!P27</f>
        <v>0</v>
      </c>
      <c r="Q27" s="44">
        <f>+TableB7!Q27-TableB9!Q27</f>
        <v>631.78561524020563</v>
      </c>
      <c r="R27" s="45">
        <f>+TableB7!R27-TableB9!R27</f>
        <v>18.258500000000002</v>
      </c>
      <c r="S27" s="100">
        <f>+TableB7!S27-TableB9!S27</f>
        <v>70.997299999999996</v>
      </c>
      <c r="T27" s="100">
        <f>+TableB7!T27-TableB9!T27</f>
        <v>62.862000000000002</v>
      </c>
      <c r="U27" s="66">
        <f>+TableB7!U27-TableB9!U27</f>
        <v>8.1352999999999938</v>
      </c>
      <c r="V27" s="99">
        <f>+TableB7!V27-TableB9!V27</f>
        <v>542.52981524020561</v>
      </c>
      <c r="W27" s="98">
        <f>+TableB7!W27-TableB9!W27</f>
        <v>218.3790051547991</v>
      </c>
      <c r="X27" s="41"/>
      <c r="Y27" s="40"/>
      <c r="Z27" s="39"/>
      <c r="AA27" s="39"/>
      <c r="AB27" s="32"/>
      <c r="AC27" s="32"/>
    </row>
    <row r="28" spans="11:29" ht="14" x14ac:dyDescent="0.15">
      <c r="K28" s="34"/>
      <c r="L28" s="38">
        <f t="shared" si="0"/>
        <v>1989</v>
      </c>
      <c r="M28" s="353">
        <v>128</v>
      </c>
      <c r="N28" s="419">
        <f>+TableB7!N28-TableB9!N28</f>
        <v>4672.871898647305</v>
      </c>
      <c r="O28" s="36">
        <f>+TableB7!O28-TableB9!O28</f>
        <v>3672.7811251280223</v>
      </c>
      <c r="P28" s="36">
        <f>+TableB7!P28-TableB9!P28</f>
        <v>0</v>
      </c>
      <c r="Q28" s="44">
        <f>+TableB7!Q28-TableB9!Q28</f>
        <v>767.06408874528518</v>
      </c>
      <c r="R28" s="97">
        <f>+TableB7!R28-TableB9!R28</f>
        <v>20.100200000000001</v>
      </c>
      <c r="S28" s="96">
        <f>+TableB7!S28-TableB9!S28</f>
        <v>73.725200000000001</v>
      </c>
      <c r="T28" s="96">
        <f>+TableB7!T28-TableB9!T28</f>
        <v>60.912399999999998</v>
      </c>
      <c r="U28" s="95">
        <f>+TableB7!U28-TableB9!U28</f>
        <v>12.81280000000001</v>
      </c>
      <c r="V28" s="94">
        <f>+TableB7!V28-TableB9!V28</f>
        <v>673.23868874528512</v>
      </c>
      <c r="W28" s="93">
        <f>+TableB7!W28-TableB9!W28</f>
        <v>233.02668477399703</v>
      </c>
      <c r="X28" s="41"/>
      <c r="Y28" s="40"/>
      <c r="Z28" s="39"/>
      <c r="AA28" s="39"/>
      <c r="AB28" s="32"/>
      <c r="AC28" s="32"/>
    </row>
    <row r="29" spans="11:29" ht="14" x14ac:dyDescent="0.15">
      <c r="K29" s="34"/>
      <c r="L29" s="42">
        <f t="shared" si="0"/>
        <v>1990</v>
      </c>
      <c r="M29" s="354">
        <v>129</v>
      </c>
      <c r="N29" s="59">
        <f>+TableB7!N29-TableB9!N29</f>
        <v>5465.8097970270537</v>
      </c>
      <c r="O29" s="1385">
        <f>+TableB7!O29-TableB9!O29</f>
        <v>4247.9364683778749</v>
      </c>
      <c r="P29" s="1385">
        <f>+TableB7!P29-TableB9!P29</f>
        <v>0</v>
      </c>
      <c r="Q29" s="1386">
        <f>+TableB7!Q29-TableB9!Q29</f>
        <v>928.91762004290172</v>
      </c>
      <c r="R29" s="45">
        <f>+TableB7!R29-TableB9!R29</f>
        <v>25.663399999999999</v>
      </c>
      <c r="S29" s="100">
        <f>+TableB7!S29-TableB9!S29</f>
        <v>69.615899999999996</v>
      </c>
      <c r="T29" s="100">
        <f>+TableB7!T29-TableB9!T29</f>
        <v>52.531700000000001</v>
      </c>
      <c r="U29" s="66">
        <f>+TableB7!U29-TableB9!U29</f>
        <v>17.084199999999996</v>
      </c>
      <c r="V29" s="99">
        <f>+TableB7!V29-TableB9!V29</f>
        <v>833.63832004290168</v>
      </c>
      <c r="W29" s="98">
        <f>+TableB7!W29-TableB9!W29</f>
        <v>288.95570860627686</v>
      </c>
      <c r="X29" s="41"/>
      <c r="Y29" s="40"/>
      <c r="Z29" s="39"/>
      <c r="AA29" s="39"/>
      <c r="AB29" s="32"/>
      <c r="AC29" s="32"/>
    </row>
    <row r="30" spans="11:29" ht="14" x14ac:dyDescent="0.15">
      <c r="K30" s="34"/>
      <c r="L30" s="38">
        <f t="shared" si="0"/>
        <v>1991</v>
      </c>
      <c r="M30" s="353">
        <v>127</v>
      </c>
      <c r="N30" s="419">
        <f>+TableB7!N30-TableB9!N30</f>
        <v>5685.9933999815557</v>
      </c>
      <c r="O30" s="36">
        <f>+TableB7!O30-TableB9!O30</f>
        <v>4369.3269548892122</v>
      </c>
      <c r="P30" s="36">
        <f>+TableB7!P30-TableB9!P30</f>
        <v>0</v>
      </c>
      <c r="Q30" s="44">
        <f>+TableB7!Q30-TableB9!Q30</f>
        <v>958.78467646918591</v>
      </c>
      <c r="R30" s="45">
        <f>+TableB7!R30-TableB9!R30</f>
        <v>25.745699999999999</v>
      </c>
      <c r="S30" s="100">
        <f>+TableB7!S30-TableB9!S30</f>
        <v>55.015699999999995</v>
      </c>
      <c r="T30" s="100">
        <f>+TableB7!T30-TableB9!T30</f>
        <v>36.445099999999996</v>
      </c>
      <c r="U30" s="66">
        <f>+TableB7!U30-TableB9!U30</f>
        <v>18.570599999999999</v>
      </c>
      <c r="V30" s="99">
        <f>+TableB7!V30-TableB9!V30</f>
        <v>878.02327646918593</v>
      </c>
      <c r="W30" s="98">
        <f>+TableB7!W30-TableB9!W30</f>
        <v>357.8817686231572</v>
      </c>
      <c r="X30" s="41"/>
      <c r="Y30" s="40"/>
      <c r="Z30" s="39"/>
      <c r="AA30" s="39"/>
      <c r="AB30" s="32"/>
      <c r="AC30" s="32"/>
    </row>
    <row r="31" spans="11:29" ht="14" x14ac:dyDescent="0.15">
      <c r="K31" s="34"/>
      <c r="L31" s="38">
        <f t="shared" si="0"/>
        <v>1992</v>
      </c>
      <c r="M31" s="353">
        <v>129</v>
      </c>
      <c r="N31" s="419">
        <f>+TableB7!N31-TableB9!N31</f>
        <v>5974.0331424386259</v>
      </c>
      <c r="O31" s="36">
        <f>+TableB7!O31-TableB9!O31</f>
        <v>4661.7307387548472</v>
      </c>
      <c r="P31" s="36">
        <f>+TableB7!P31-TableB9!P31</f>
        <v>0</v>
      </c>
      <c r="Q31" s="44">
        <f>+TableB7!Q31-TableB9!Q31</f>
        <v>971.56572167054981</v>
      </c>
      <c r="R31" s="45">
        <f>+TableB7!R31-TableB9!R31</f>
        <v>29.316099999999999</v>
      </c>
      <c r="S31" s="100">
        <f>+TableB7!S31-TableB9!S31</f>
        <v>56.536400000000008</v>
      </c>
      <c r="T31" s="100">
        <f>+TableB7!T31-TableB9!T31</f>
        <v>40.320699999999988</v>
      </c>
      <c r="U31" s="66">
        <f>+TableB7!U31-TableB9!U31</f>
        <v>16.21570000000002</v>
      </c>
      <c r="V31" s="99">
        <f>+TableB7!V31-TableB9!V31</f>
        <v>885.71322167054984</v>
      </c>
      <c r="W31" s="98">
        <f>+TableB7!W31-TableB9!W31</f>
        <v>340.7366820132296</v>
      </c>
      <c r="X31" s="41"/>
      <c r="Y31" s="40"/>
      <c r="Z31" s="39"/>
      <c r="AA31" s="39"/>
      <c r="AB31" s="32"/>
      <c r="AC31" s="32"/>
    </row>
    <row r="32" spans="11:29" ht="14" x14ac:dyDescent="0.15">
      <c r="K32" s="34"/>
      <c r="L32" s="38">
        <f t="shared" si="0"/>
        <v>1993</v>
      </c>
      <c r="M32" s="353">
        <v>130</v>
      </c>
      <c r="N32" s="419">
        <f>+TableB7!N32-TableB9!N32</f>
        <v>5907.4475023790301</v>
      </c>
      <c r="O32" s="36">
        <f>+TableB7!O32-TableB9!O32</f>
        <v>4606.9556279935068</v>
      </c>
      <c r="P32" s="36">
        <f>+TableB7!P32-TableB9!P32</f>
        <v>0</v>
      </c>
      <c r="Q32" s="44">
        <f>+TableB7!Q32-TableB9!Q32</f>
        <v>972.45441155187154</v>
      </c>
      <c r="R32" s="45">
        <f>+TableB7!R32-TableB9!R32</f>
        <v>28.581399999999999</v>
      </c>
      <c r="S32" s="100">
        <f>+TableB7!S32-TableB9!S32</f>
        <v>76.445099999999996</v>
      </c>
      <c r="T32" s="100">
        <f>+TableB7!T32-TableB9!T32</f>
        <v>61.316199999999995</v>
      </c>
      <c r="U32" s="66">
        <f>+TableB7!U32-TableB9!U32</f>
        <v>15.128900000000002</v>
      </c>
      <c r="V32" s="99">
        <f>+TableB7!V32-TableB9!V32</f>
        <v>867.4279115518716</v>
      </c>
      <c r="W32" s="98">
        <f>+TableB7!W32-TableB9!W32</f>
        <v>328.03746283365149</v>
      </c>
      <c r="X32" s="41"/>
      <c r="Y32" s="40"/>
      <c r="Z32" s="39"/>
      <c r="AA32" s="39"/>
      <c r="AB32" s="32"/>
      <c r="AC32" s="32"/>
    </row>
    <row r="33" spans="3:29" s="41" customFormat="1" ht="14" x14ac:dyDescent="0.15">
      <c r="K33" s="47"/>
      <c r="L33" s="46">
        <f t="shared" si="0"/>
        <v>1994</v>
      </c>
      <c r="M33" s="355">
        <v>131</v>
      </c>
      <c r="N33" s="420">
        <f>+TableB7!N33-TableB9!N33</f>
        <v>6577.5118000000002</v>
      </c>
      <c r="O33" s="44">
        <f>+TableB7!O33-TableB9!O33</f>
        <v>5237.2651999999998</v>
      </c>
      <c r="P33" s="44">
        <f>+TableB7!P33-TableB9!P33</f>
        <v>0</v>
      </c>
      <c r="Q33" s="44">
        <f>+TableB7!Q33-TableB9!Q33</f>
        <v>993.34789999999998</v>
      </c>
      <c r="R33" s="45">
        <f>+TableB7!R33-TableB9!R33</f>
        <v>27.209299999999999</v>
      </c>
      <c r="S33" s="100">
        <f>+TableB7!S33-TableB9!S33</f>
        <v>109.9438</v>
      </c>
      <c r="T33" s="100">
        <f>+TableB7!T33-TableB9!T33</f>
        <v>94.387500000000003</v>
      </c>
      <c r="U33" s="66">
        <f>+TableB7!U33-TableB9!U33</f>
        <v>15.556299999999993</v>
      </c>
      <c r="V33" s="99">
        <f>+TableB7!V33-TableB9!V33</f>
        <v>856.19479999999999</v>
      </c>
      <c r="W33" s="60">
        <f>+TableB7!W33-TableB9!W33</f>
        <v>346.90280000000001</v>
      </c>
      <c r="Y33" s="40"/>
      <c r="Z33" s="39"/>
      <c r="AA33" s="39"/>
      <c r="AB33" s="39"/>
      <c r="AC33" s="39"/>
    </row>
    <row r="34" spans="3:29" ht="14" x14ac:dyDescent="0.15">
      <c r="K34" s="34"/>
      <c r="L34" s="38">
        <f t="shared" si="0"/>
        <v>1995</v>
      </c>
      <c r="M34" s="353">
        <v>130</v>
      </c>
      <c r="N34" s="419">
        <f>+TableB7!N34-TableB9!N34</f>
        <v>7800.4845999999998</v>
      </c>
      <c r="O34" s="36">
        <f>+TableB7!O34-TableB9!O34</f>
        <v>6244.9587000000001</v>
      </c>
      <c r="P34" s="36">
        <f>+TableB7!P34-TableB9!P34</f>
        <v>0</v>
      </c>
      <c r="Q34" s="44">
        <f>+TableB7!Q34-TableB9!Q34</f>
        <v>1180.2927</v>
      </c>
      <c r="R34" s="45">
        <f>+TableB7!R34-TableB9!R34</f>
        <v>32.430399999999999</v>
      </c>
      <c r="S34" s="100">
        <f>+TableB7!S34-TableB9!S34</f>
        <v>144.01639999999998</v>
      </c>
      <c r="T34" s="100">
        <f>+TableB7!T34-TableB9!T34</f>
        <v>124.215</v>
      </c>
      <c r="U34" s="66">
        <f>+TableB7!U34-TableB9!U34</f>
        <v>19.801399999999994</v>
      </c>
      <c r="V34" s="99">
        <f>+TableB7!V34-TableB9!V34</f>
        <v>1003.8459</v>
      </c>
      <c r="W34" s="60">
        <f>+TableB7!W34-TableB9!W34</f>
        <v>375.24349999999998</v>
      </c>
      <c r="X34" s="41"/>
      <c r="Y34" s="40"/>
      <c r="Z34" s="39"/>
      <c r="AA34" s="39"/>
      <c r="AB34" s="32"/>
      <c r="AC34" s="32"/>
    </row>
    <row r="35" spans="3:29" ht="14" x14ac:dyDescent="0.15">
      <c r="K35" s="34"/>
      <c r="L35" s="38">
        <f t="shared" si="0"/>
        <v>1996</v>
      </c>
      <c r="M35" s="353">
        <v>131</v>
      </c>
      <c r="N35" s="419">
        <f>+TableB7!N35-TableB9!N35</f>
        <v>8127.7673000000004</v>
      </c>
      <c r="O35" s="36">
        <f>+TableB7!O35-TableB9!O35</f>
        <v>6588.5652999999993</v>
      </c>
      <c r="P35" s="36">
        <f>+TableB7!P35-TableB9!P35</f>
        <v>0</v>
      </c>
      <c r="Q35" s="44">
        <f>+TableB7!Q35-TableB9!Q35</f>
        <v>1139.1562000000001</v>
      </c>
      <c r="R35" s="45">
        <f>+TableB7!R35-TableB9!R35</f>
        <v>33.113999999999997</v>
      </c>
      <c r="S35" s="100">
        <f>+TableB7!S35-TableB9!S35</f>
        <v>166.61849999999998</v>
      </c>
      <c r="T35" s="100">
        <f>+TableB7!T35-TableB9!T35</f>
        <v>146.08250000000001</v>
      </c>
      <c r="U35" s="66">
        <f>+TableB7!U35-TableB9!U35</f>
        <v>20.535999999999987</v>
      </c>
      <c r="V35" s="99">
        <f>+TableB7!V35-TableB9!V35</f>
        <v>939.42370000000005</v>
      </c>
      <c r="W35" s="60">
        <f>+TableB7!W35-TableB9!W35</f>
        <v>400.04919999999998</v>
      </c>
      <c r="X35" s="41"/>
      <c r="Y35" s="40"/>
      <c r="Z35" s="39"/>
      <c r="AA35" s="39"/>
      <c r="AB35" s="32"/>
      <c r="AC35" s="32"/>
    </row>
    <row r="36" spans="3:29" ht="14" x14ac:dyDescent="0.15">
      <c r="K36" s="34"/>
      <c r="L36" s="38">
        <f t="shared" si="0"/>
        <v>1997</v>
      </c>
      <c r="M36" s="353">
        <v>137</v>
      </c>
      <c r="N36" s="419">
        <f>+TableB7!N36-TableB9!N36</f>
        <v>8379.1577300000008</v>
      </c>
      <c r="O36" s="36">
        <f>+TableB7!O36-TableB9!O36</f>
        <v>6816.5438899999999</v>
      </c>
      <c r="P36" s="36">
        <f>+TableB7!P36-TableB9!P36</f>
        <v>0</v>
      </c>
      <c r="Q36" s="44">
        <f>+TableB7!Q36-TableB9!Q36</f>
        <v>1178.8432</v>
      </c>
      <c r="R36" s="45">
        <f>+TableB7!R36-TableB9!R36</f>
        <v>32.645899999999997</v>
      </c>
      <c r="S36" s="100">
        <f>+TableB7!S36-TableB9!S36</f>
        <v>192.01740000000001</v>
      </c>
      <c r="T36" s="100">
        <f>+TableB7!T36-TableB9!T36</f>
        <v>168.9436</v>
      </c>
      <c r="U36" s="66">
        <f>+TableB7!U36-TableB9!U36</f>
        <v>23.073800000000034</v>
      </c>
      <c r="V36" s="99">
        <f>+TableB7!V36-TableB9!V36</f>
        <v>954.17990000000009</v>
      </c>
      <c r="W36" s="60">
        <f>+TableB7!W36-TableB9!W36</f>
        <v>383.77319999999997</v>
      </c>
      <c r="X36" s="41"/>
      <c r="Y36" s="40"/>
      <c r="Z36" s="39"/>
      <c r="AA36" s="39"/>
      <c r="AB36" s="32"/>
      <c r="AC36" s="32"/>
    </row>
    <row r="37" spans="3:29" ht="14" x14ac:dyDescent="0.15">
      <c r="K37" s="34"/>
      <c r="L37" s="38">
        <f t="shared" si="0"/>
        <v>1998</v>
      </c>
      <c r="M37" s="353">
        <v>140</v>
      </c>
      <c r="N37" s="419">
        <f>+TableB7!N37-TableB9!N37</f>
        <v>8487.5807999999997</v>
      </c>
      <c r="O37" s="36">
        <f>+TableB7!O37-TableB9!O37</f>
        <v>6778.7067400000005</v>
      </c>
      <c r="P37" s="36">
        <f>+TableB7!P37-TableB9!P37</f>
        <v>0</v>
      </c>
      <c r="Q37" s="44">
        <f>+TableB7!Q37-TableB9!Q37</f>
        <v>1305.4815999999998</v>
      </c>
      <c r="R37" s="45">
        <f>+TableB7!R37-TableB9!R37</f>
        <v>34.0017</v>
      </c>
      <c r="S37" s="100">
        <f>+TableB7!S37-TableB9!S37</f>
        <v>210.51699999999997</v>
      </c>
      <c r="T37" s="100">
        <f>+TableB7!T37-TableB9!T37</f>
        <v>180.3314</v>
      </c>
      <c r="U37" s="66">
        <f>+TableB7!U37-TableB9!U37</f>
        <v>30.185599999999972</v>
      </c>
      <c r="V37" s="99">
        <f>+TableB7!V37-TableB9!V37</f>
        <v>1060.9629</v>
      </c>
      <c r="W37" s="60">
        <f>+TableB7!W37-TableB9!W37</f>
        <v>403.39850000000001</v>
      </c>
      <c r="X37" s="41"/>
      <c r="Y37" s="40"/>
      <c r="Z37" s="39"/>
      <c r="AA37" s="39"/>
      <c r="AB37" s="32"/>
      <c r="AC37" s="32"/>
    </row>
    <row r="38" spans="3:29" ht="14" x14ac:dyDescent="0.15">
      <c r="K38" s="34"/>
      <c r="L38" s="38">
        <f t="shared" si="0"/>
        <v>1999</v>
      </c>
      <c r="M38" s="353">
        <v>142</v>
      </c>
      <c r="N38" s="419">
        <f>+TableB7!N38-TableB9!N38</f>
        <v>8817.3940000000002</v>
      </c>
      <c r="O38" s="36">
        <f>+TableB7!O38-TableB9!O38</f>
        <v>7059.7047600000005</v>
      </c>
      <c r="P38" s="36">
        <f>+TableB7!P38-TableB9!P38</f>
        <v>0</v>
      </c>
      <c r="Q38" s="44">
        <f>+TableB7!Q38-TableB9!Q38</f>
        <v>1350.8055999999999</v>
      </c>
      <c r="R38" s="97">
        <f>+TableB7!R38-TableB9!R38</f>
        <v>35.855399999999996</v>
      </c>
      <c r="S38" s="96">
        <f>+TableB7!S38-TableB9!S38</f>
        <v>274.33929999999998</v>
      </c>
      <c r="T38" s="96">
        <f>+TableB7!T38-TableB9!T38</f>
        <v>210.78799999999998</v>
      </c>
      <c r="U38" s="95">
        <f>+TableB7!U38-TableB9!U38</f>
        <v>63.551300000000026</v>
      </c>
      <c r="V38" s="94">
        <f>+TableB7!V38-TableB9!V38</f>
        <v>1040.6109000000001</v>
      </c>
      <c r="W38" s="92">
        <f>+TableB7!W38-TableB9!W38</f>
        <v>406.8811</v>
      </c>
      <c r="X38" s="41"/>
      <c r="Y38" s="40"/>
      <c r="Z38" s="39"/>
      <c r="AA38" s="39"/>
      <c r="AB38" s="32"/>
      <c r="AC38" s="32"/>
    </row>
    <row r="39" spans="3:29" ht="14" x14ac:dyDescent="0.15">
      <c r="K39" s="34"/>
      <c r="L39" s="42">
        <f t="shared" si="0"/>
        <v>2000</v>
      </c>
      <c r="M39" s="354">
        <v>142</v>
      </c>
      <c r="N39" s="59">
        <f>+TableB7!N39-TableB9!N39</f>
        <v>9816.3559999999998</v>
      </c>
      <c r="O39" s="1385">
        <f>+TableB7!O39-TableB9!O39</f>
        <v>7892.3643499999998</v>
      </c>
      <c r="P39" s="1385">
        <f>+TableB7!P39-TableB9!P39</f>
        <v>0</v>
      </c>
      <c r="Q39" s="1386">
        <f>+TableB7!Q39-TableB9!Q39</f>
        <v>1522.3815</v>
      </c>
      <c r="R39" s="45">
        <f>+TableB7!R39-TableB9!R39</f>
        <v>36.976300000000002</v>
      </c>
      <c r="S39" s="100">
        <f>+TableB7!S39-TableB9!S39</f>
        <v>336.48159999999996</v>
      </c>
      <c r="T39" s="100">
        <f>+TableB7!T39-TableB9!T39</f>
        <v>255.87799999999999</v>
      </c>
      <c r="U39" s="66">
        <f>+TableB7!U39-TableB9!U39</f>
        <v>80.603599999999986</v>
      </c>
      <c r="V39" s="99">
        <f>+TableB7!V39-TableB9!V39</f>
        <v>1148.9236000000001</v>
      </c>
      <c r="W39" s="60">
        <f>+TableB7!W39-TableB9!W39</f>
        <v>401.60910000000001</v>
      </c>
      <c r="X39" s="41"/>
      <c r="Y39" s="40"/>
      <c r="Z39" s="39"/>
      <c r="AA39" s="39"/>
      <c r="AB39" s="32"/>
      <c r="AC39" s="32"/>
    </row>
    <row r="40" spans="3:29" ht="14" x14ac:dyDescent="0.15">
      <c r="K40" s="34"/>
      <c r="L40" s="38">
        <f t="shared" si="0"/>
        <v>2001</v>
      </c>
      <c r="M40" s="353">
        <v>143</v>
      </c>
      <c r="N40" s="419">
        <f>+TableB7!N40-TableB9!N40</f>
        <v>9483.7260000000006</v>
      </c>
      <c r="O40" s="36">
        <f>+TableB7!O40-TableB9!O40</f>
        <v>7658.4949000000006</v>
      </c>
      <c r="P40" s="36">
        <f>+TableB7!P40-TableB9!P40</f>
        <v>0</v>
      </c>
      <c r="Q40" s="44">
        <f>+TableB7!Q40-TableB9!Q40</f>
        <v>1404.7582</v>
      </c>
      <c r="R40" s="45">
        <f>+TableB7!R40-TableB9!R40</f>
        <v>39.871299999999998</v>
      </c>
      <c r="S40" s="100">
        <f>+TableB7!S40-TableB9!S40</f>
        <v>262.13900000000001</v>
      </c>
      <c r="T40" s="100">
        <f>+TableB7!T40-TableB9!T40</f>
        <v>179.11999999999998</v>
      </c>
      <c r="U40" s="66">
        <f>+TableB7!U40-TableB9!U40</f>
        <v>83.019000000000034</v>
      </c>
      <c r="V40" s="99">
        <f>+TableB7!V40-TableB9!V40</f>
        <v>1102.7479000000001</v>
      </c>
      <c r="W40" s="60">
        <f>+TableB7!W40-TableB9!W40</f>
        <v>420.46980000000002</v>
      </c>
      <c r="X40" s="41"/>
      <c r="Y40" s="40"/>
      <c r="Z40" s="39"/>
      <c r="AA40" s="39"/>
      <c r="AB40" s="32"/>
      <c r="AC40" s="32"/>
    </row>
    <row r="41" spans="3:29" ht="14" x14ac:dyDescent="0.15">
      <c r="K41" s="34"/>
      <c r="L41" s="38">
        <f t="shared" si="0"/>
        <v>2002</v>
      </c>
      <c r="M41" s="353">
        <v>153</v>
      </c>
      <c r="N41" s="419">
        <f>+TableB7!N41-TableB9!N41</f>
        <v>9845.7534000000014</v>
      </c>
      <c r="O41" s="36">
        <f>+TableB7!O41-TableB9!O41</f>
        <v>8018.8220500000007</v>
      </c>
      <c r="P41" s="36">
        <f>+TableB7!P41-TableB9!P41</f>
        <v>0</v>
      </c>
      <c r="Q41" s="44">
        <f>+TableB7!Q41-TableB9!Q41</f>
        <v>1373.4082000000001</v>
      </c>
      <c r="R41" s="45">
        <f>+TableB7!R41-TableB9!R41</f>
        <v>44.799400000000006</v>
      </c>
      <c r="S41" s="100">
        <f>+TableB7!S41-TableB9!S41</f>
        <v>335.05309999999997</v>
      </c>
      <c r="T41" s="100">
        <f>+TableB7!T41-TableB9!T41</f>
        <v>248.46790000000001</v>
      </c>
      <c r="U41" s="66">
        <f>+TableB7!U41-TableB9!U41</f>
        <v>86.585199999999958</v>
      </c>
      <c r="V41" s="99">
        <f>+TableB7!V41-TableB9!V41</f>
        <v>993.55570000000012</v>
      </c>
      <c r="W41" s="60">
        <f>+TableB7!W41-TableB9!W41</f>
        <v>453.52409999999998</v>
      </c>
      <c r="X41" s="41"/>
      <c r="Y41" s="40"/>
      <c r="Z41" s="39"/>
      <c r="AA41" s="39"/>
      <c r="AB41" s="32"/>
      <c r="AC41" s="32"/>
    </row>
    <row r="42" spans="3:29" ht="14" x14ac:dyDescent="0.15">
      <c r="K42" s="34"/>
      <c r="L42" s="38">
        <f t="shared" si="0"/>
        <v>2003</v>
      </c>
      <c r="M42" s="353">
        <v>156</v>
      </c>
      <c r="N42" s="419">
        <f>+TableB7!N42-TableB9!N42</f>
        <v>11386.844500000001</v>
      </c>
      <c r="O42" s="36">
        <f>+TableB7!O42-TableB9!O42</f>
        <v>9290.2949000000008</v>
      </c>
      <c r="P42" s="36">
        <f>+TableB7!P42-TableB9!P42</f>
        <v>0</v>
      </c>
      <c r="Q42" s="44">
        <f>+TableB7!Q42-TableB9!Q42</f>
        <v>1575.5708</v>
      </c>
      <c r="R42" s="45">
        <f>+TableB7!R42-TableB9!R42</f>
        <v>52.62</v>
      </c>
      <c r="S42" s="100">
        <f>+TableB7!S42-TableB9!S42</f>
        <v>461.44480000000004</v>
      </c>
      <c r="T42" s="100">
        <f>+TableB7!T42-TableB9!T42</f>
        <v>367.61199999999997</v>
      </c>
      <c r="U42" s="66">
        <f>+TableB7!U42-TableB9!U42</f>
        <v>93.832800000000049</v>
      </c>
      <c r="V42" s="99">
        <f>+TableB7!V42-TableB9!V42</f>
        <v>1061.5060000000001</v>
      </c>
      <c r="W42" s="60">
        <f>+TableB7!W42-TableB9!W42</f>
        <v>520.99074999999993</v>
      </c>
      <c r="X42" s="41"/>
      <c r="Y42" s="40"/>
      <c r="Z42" s="39"/>
      <c r="AA42" s="39"/>
      <c r="AB42" s="32"/>
      <c r="AC42" s="32"/>
    </row>
    <row r="43" spans="3:29" ht="14" x14ac:dyDescent="0.15">
      <c r="K43" s="34"/>
      <c r="L43" s="38">
        <f t="shared" si="0"/>
        <v>2004</v>
      </c>
      <c r="M43" s="353">
        <v>158</v>
      </c>
      <c r="N43" s="419">
        <f>+TableB7!N43-TableB9!N43</f>
        <v>13795.840800000002</v>
      </c>
      <c r="O43" s="36">
        <f>+TableB7!O43-TableB9!O43</f>
        <v>11265.294399999999</v>
      </c>
      <c r="P43" s="36">
        <f>+TableB7!P43-TableB9!P43</f>
        <v>0</v>
      </c>
      <c r="Q43" s="44">
        <f>+TableB7!Q43-TableB9!Q43</f>
        <v>1906.7845</v>
      </c>
      <c r="R43" s="45">
        <f>+TableB7!R43-TableB9!R43</f>
        <v>62.342100000000002</v>
      </c>
      <c r="S43" s="100">
        <f>+TableB7!S43-TableB9!S43</f>
        <v>658.92100000000005</v>
      </c>
      <c r="T43" s="100">
        <f>+TableB7!T43-TableB9!T43</f>
        <v>549.16399999999999</v>
      </c>
      <c r="U43" s="66">
        <f>+TableB7!U43-TableB9!U43</f>
        <v>109.75699999999998</v>
      </c>
      <c r="V43" s="99">
        <f>+TableB7!V43-TableB9!V43</f>
        <v>1185.5213999999999</v>
      </c>
      <c r="W43" s="60">
        <f>+TableB7!W43-TableB9!W43</f>
        <v>623.78199999999993</v>
      </c>
      <c r="Y43" s="30"/>
      <c r="Z43" s="32"/>
      <c r="AA43" s="32"/>
      <c r="AB43" s="32"/>
      <c r="AC43" s="32"/>
    </row>
    <row r="44" spans="3:29" ht="14" x14ac:dyDescent="0.15">
      <c r="K44" s="34"/>
      <c r="L44" s="38">
        <f t="shared" si="0"/>
        <v>2005</v>
      </c>
      <c r="M44" s="353">
        <v>169</v>
      </c>
      <c r="N44" s="419">
        <f>+TableB7!N44-TableB9!N44</f>
        <v>15945.893000000002</v>
      </c>
      <c r="O44" s="36">
        <f>+TableB7!O44-TableB9!O44</f>
        <v>12787.4758</v>
      </c>
      <c r="P44" s="36">
        <f>+TableB7!P44-TableB9!P44</f>
        <v>0</v>
      </c>
      <c r="Q44" s="44">
        <f>+TableB7!Q44-TableB9!Q44</f>
        <v>2444.1585</v>
      </c>
      <c r="R44" s="45">
        <f>+TableB7!R44-TableB9!R44</f>
        <v>75.274999999999991</v>
      </c>
      <c r="S44" s="100">
        <f>+TableB7!S44-TableB9!S44</f>
        <v>909.69399999999996</v>
      </c>
      <c r="T44" s="100">
        <f>+TableB7!T44-TableB9!T44</f>
        <v>769.48</v>
      </c>
      <c r="U44" s="66">
        <f>+TableB7!U44-TableB9!U44</f>
        <v>140.214</v>
      </c>
      <c r="V44" s="99">
        <f>+TableB7!V44-TableB9!V44</f>
        <v>1459.1895</v>
      </c>
      <c r="W44" s="60">
        <f>+TableB7!W44-TableB9!W44</f>
        <v>714.19860000000006</v>
      </c>
      <c r="Y44" s="30"/>
      <c r="Z44" s="32"/>
      <c r="AA44" s="32"/>
      <c r="AB44" s="32"/>
      <c r="AC44" s="32"/>
    </row>
    <row r="45" spans="3:29" ht="14" x14ac:dyDescent="0.15">
      <c r="K45" s="34"/>
      <c r="L45" s="38">
        <f t="shared" si="0"/>
        <v>2006</v>
      </c>
      <c r="M45" s="353">
        <v>171</v>
      </c>
      <c r="N45" s="419">
        <f>+TableB7!N45-TableB9!N45</f>
        <v>18517.315000000002</v>
      </c>
      <c r="O45" s="36">
        <f>+TableB7!O45-TableB9!O45</f>
        <v>14620.787</v>
      </c>
      <c r="P45" s="36">
        <f>+TableB7!P45-TableB9!P45</f>
        <v>0</v>
      </c>
      <c r="Q45" s="44">
        <f>+TableB7!Q45-TableB9!Q45</f>
        <v>3152.0238000000004</v>
      </c>
      <c r="R45" s="45">
        <f>+TableB7!R45-TableB9!R45</f>
        <v>85.752700000000004</v>
      </c>
      <c r="S45" s="100">
        <f>+TableB7!S45-TableB9!S45</f>
        <v>1118.2919999999999</v>
      </c>
      <c r="T45" s="100">
        <f>+TableB7!T45-TableB9!T45</f>
        <v>940.63599999999997</v>
      </c>
      <c r="U45" s="66">
        <f>+TableB7!U45-TableB9!U45</f>
        <v>177.65599999999995</v>
      </c>
      <c r="V45" s="99">
        <f>+TableB7!V45-TableB9!V45</f>
        <v>1947.9791000000002</v>
      </c>
      <c r="W45" s="60">
        <f>+TableB7!W45-TableB9!W45</f>
        <v>744.49200000000008</v>
      </c>
      <c r="Y45" s="30"/>
      <c r="Z45" s="32"/>
      <c r="AA45" s="32"/>
      <c r="AB45" s="32"/>
      <c r="AC45" s="32"/>
    </row>
    <row r="46" spans="3:29" ht="14" x14ac:dyDescent="0.15">
      <c r="K46" s="34"/>
      <c r="L46" s="38">
        <f t="shared" si="0"/>
        <v>2007</v>
      </c>
      <c r="M46" s="353">
        <v>172</v>
      </c>
      <c r="N46" s="419">
        <f>+TableB7!N46-TableB9!N46</f>
        <v>21814.322000000004</v>
      </c>
      <c r="O46" s="36">
        <f>+TableB7!O46-TableB9!O46</f>
        <v>16916.916000000001</v>
      </c>
      <c r="P46" s="36">
        <f>+TableB7!P46-TableB9!P46</f>
        <v>0</v>
      </c>
      <c r="Q46" s="44">
        <f>+TableB7!Q46-TableB9!Q46</f>
        <v>4043.5947999999999</v>
      </c>
      <c r="R46" s="45">
        <f>+TableB7!R46-TableB9!R46</f>
        <v>105.11699999999999</v>
      </c>
      <c r="S46" s="100">
        <f>+TableB7!S46-TableB9!S46</f>
        <v>1441.7529999999999</v>
      </c>
      <c r="T46" s="100">
        <f>+TableB7!T46-TableB9!T46</f>
        <v>1210.6949999999999</v>
      </c>
      <c r="U46" s="66">
        <f>+TableB7!U46-TableB9!U46</f>
        <v>231.05799999999996</v>
      </c>
      <c r="V46" s="99">
        <f>+TableB7!V46-TableB9!V46</f>
        <v>2496.7248</v>
      </c>
      <c r="W46" s="60">
        <f>+TableB7!W46-TableB9!W46</f>
        <v>853.82799999999997</v>
      </c>
      <c r="Y46" s="30"/>
      <c r="Z46" s="32"/>
      <c r="AA46" s="32"/>
      <c r="AB46" s="32"/>
      <c r="AC46" s="32"/>
    </row>
    <row r="47" spans="3:29" ht="14" x14ac:dyDescent="0.15">
      <c r="K47" s="34"/>
      <c r="L47" s="38">
        <f t="shared" si="0"/>
        <v>2008</v>
      </c>
      <c r="M47" s="353">
        <v>172</v>
      </c>
      <c r="N47" s="419">
        <f>+TableB7!N47-TableB9!N47</f>
        <v>24597.877</v>
      </c>
      <c r="O47" s="36">
        <f>+TableB7!O47-TableB9!O47</f>
        <v>19506.939999999999</v>
      </c>
      <c r="P47" s="36">
        <f>+TableB7!P47-TableB9!P47</f>
        <v>0</v>
      </c>
      <c r="Q47" s="44">
        <f>+TableB7!Q47-TableB9!Q47</f>
        <v>4147.0393000000004</v>
      </c>
      <c r="R47" s="45">
        <f>+TableB7!R47-TableB9!R47</f>
        <v>125.39100000000001</v>
      </c>
      <c r="S47" s="100">
        <f>+TableB7!S47-TableB9!S47</f>
        <v>1389.9277</v>
      </c>
      <c r="T47" s="100">
        <f>+TableB7!T47-TableB9!T47</f>
        <v>1140.8481000000002</v>
      </c>
      <c r="U47" s="66">
        <f>+TableB7!U47-TableB9!U47</f>
        <v>249.07959999999989</v>
      </c>
      <c r="V47" s="99">
        <f>+TableB7!V47-TableB9!V47</f>
        <v>2631.7206000000001</v>
      </c>
      <c r="W47" s="60">
        <f>+TableB7!W47-TableB9!W47</f>
        <v>943.89409999999998</v>
      </c>
      <c r="Y47" s="55"/>
      <c r="Z47" s="32"/>
      <c r="AA47" s="32"/>
      <c r="AB47" s="32"/>
      <c r="AC47" s="32"/>
    </row>
    <row r="48" spans="3:29" ht="14" x14ac:dyDescent="0.15">
      <c r="C48" s="30"/>
      <c r="D48" s="30"/>
      <c r="E48" s="30"/>
      <c r="F48" s="30"/>
      <c r="G48" s="30"/>
      <c r="H48" s="30"/>
      <c r="I48" s="30"/>
      <c r="J48" s="30"/>
      <c r="L48" s="43">
        <f t="shared" ref="L48:L54" si="1">L47+1</f>
        <v>2009</v>
      </c>
      <c r="M48" s="356">
        <v>174</v>
      </c>
      <c r="N48" s="101">
        <f>+TableB7!N48-TableB9!N48</f>
        <v>19490.189000000002</v>
      </c>
      <c r="O48" s="1387">
        <f>+TableB7!O48-TableB9!O48</f>
        <v>11929.611999999999</v>
      </c>
      <c r="P48" s="1387">
        <f>+TableB7!P48-TableB9!P48</f>
        <v>3451.9720000000002</v>
      </c>
      <c r="Q48" s="1388">
        <f>+TableB7!Q48-TableB9!Q48</f>
        <v>3227.4949999999999</v>
      </c>
      <c r="R48" s="97">
        <f>+TableB7!R48-TableB9!R48</f>
        <v>112.735</v>
      </c>
      <c r="S48" s="96">
        <f>+TableB7!S48-TableB9!S48</f>
        <v>1163.529</v>
      </c>
      <c r="T48" s="96">
        <f>+TableB7!T48-TableB9!T48</f>
        <v>956.96699999999998</v>
      </c>
      <c r="U48" s="95">
        <f>+TableB7!U48-TableB9!U48</f>
        <v>206.5619999999999</v>
      </c>
      <c r="V48" s="94">
        <f>+TableB7!V48-TableB9!V48</f>
        <v>1951.231</v>
      </c>
      <c r="W48" s="92">
        <f>+TableB7!W48-TableB9!W48</f>
        <v>881.11400000000003</v>
      </c>
    </row>
    <row r="49" spans="3:23" ht="14" x14ac:dyDescent="0.15">
      <c r="C49" s="30"/>
      <c r="D49" s="30"/>
      <c r="E49" s="30"/>
      <c r="F49" s="30"/>
      <c r="G49" s="30"/>
      <c r="H49" s="30"/>
      <c r="I49" s="30"/>
      <c r="J49" s="30"/>
      <c r="L49" s="38">
        <f t="shared" si="1"/>
        <v>2010</v>
      </c>
      <c r="M49" s="353">
        <v>174</v>
      </c>
      <c r="N49" s="419">
        <f>+TableB7!N49-TableB9!N49</f>
        <v>22699.328000000001</v>
      </c>
      <c r="O49" s="36">
        <f>+TableB7!O49-TableB9!O49</f>
        <v>14526.14</v>
      </c>
      <c r="P49" s="36">
        <f>+TableB7!P49-TableB9!P49</f>
        <v>3736.7620000000002</v>
      </c>
      <c r="Q49" s="44">
        <f>+TableB7!Q49-TableB9!Q49</f>
        <v>3519.6210000000001</v>
      </c>
      <c r="R49" s="45">
        <f>+TableB7!R49-TableB9!R49</f>
        <v>108.54300000000001</v>
      </c>
      <c r="S49" s="100">
        <f>+TableB7!S49-TableB9!S49</f>
        <v>1495.0149999999999</v>
      </c>
      <c r="T49" s="100">
        <f>+TableB7!T49-TableB9!T49</f>
        <v>1270.6849999999999</v>
      </c>
      <c r="U49" s="66">
        <f>+TableB7!U49-TableB9!U49</f>
        <v>224.32999999999996</v>
      </c>
      <c r="V49" s="99">
        <f>+TableB7!V49-TableB9!V49</f>
        <v>1916.0630000000001</v>
      </c>
      <c r="W49" s="60">
        <f>+TableB7!W49-TableB9!W49</f>
        <v>916.81299999999999</v>
      </c>
    </row>
    <row r="50" spans="3:23" ht="14" x14ac:dyDescent="0.15">
      <c r="C50" s="30"/>
      <c r="D50" s="30"/>
      <c r="E50" s="30"/>
      <c r="F50" s="30"/>
      <c r="G50" s="30"/>
      <c r="H50" s="30"/>
      <c r="I50" s="30"/>
      <c r="J50" s="30"/>
      <c r="L50" s="38">
        <f t="shared" si="1"/>
        <v>2011</v>
      </c>
      <c r="M50" s="353">
        <v>176</v>
      </c>
      <c r="N50" s="419">
        <f>+TableB7!N50-TableB9!N50</f>
        <v>26767.742000000002</v>
      </c>
      <c r="O50" s="36">
        <f>+TableB7!O50-TableB9!O50</f>
        <v>17513.795999999998</v>
      </c>
      <c r="P50" s="36">
        <f>+TableB7!P50-TableB9!P50</f>
        <v>4214.848</v>
      </c>
      <c r="Q50" s="44">
        <f>+TableB7!Q50-TableB9!Q50</f>
        <v>4007.15</v>
      </c>
      <c r="R50" s="45">
        <f>+TableB7!R50-TableB9!R50</f>
        <v>119.95499999999998</v>
      </c>
      <c r="S50" s="100">
        <f>+TableB7!S50-TableB9!S50</f>
        <v>1674.6569999999999</v>
      </c>
      <c r="T50" s="100">
        <f>+TableB7!T50-TableB9!T50</f>
        <v>1403.1780000000001</v>
      </c>
      <c r="U50" s="66">
        <f>+TableB7!U50-TableB9!U50</f>
        <v>271.47899999999993</v>
      </c>
      <c r="V50" s="99">
        <f>+TableB7!V50-TableB9!V50</f>
        <v>2212.538</v>
      </c>
      <c r="W50" s="60">
        <f>+TableB7!W50-TableB9!W50</f>
        <v>1031.9449999999999</v>
      </c>
    </row>
    <row r="51" spans="3:23" ht="14" x14ac:dyDescent="0.15">
      <c r="C51" s="31"/>
      <c r="D51" s="30"/>
      <c r="E51" s="30"/>
      <c r="F51" s="30"/>
      <c r="G51" s="30"/>
      <c r="H51" s="30"/>
      <c r="I51" s="30"/>
      <c r="J51" s="30"/>
      <c r="L51" s="38">
        <f t="shared" si="1"/>
        <v>2012</v>
      </c>
      <c r="M51" s="353">
        <v>178</v>
      </c>
      <c r="N51" s="419">
        <f>+TableB7!N51-TableB9!N51</f>
        <v>26978.567000000003</v>
      </c>
      <c r="O51" s="36">
        <f>+TableB7!O51-TableB9!O51</f>
        <v>17693.447</v>
      </c>
      <c r="P51" s="36">
        <f>+TableB7!P51-TableB9!P51</f>
        <v>4355.5780000000004</v>
      </c>
      <c r="Q51" s="44">
        <f>+TableB7!Q51-TableB9!Q51</f>
        <v>3854.3429999999998</v>
      </c>
      <c r="R51" s="45">
        <f>+TableB7!R51-TableB9!R51</f>
        <v>121.87300000000002</v>
      </c>
      <c r="S51" s="100">
        <f>+TableB7!S51-TableB9!S51</f>
        <v>1629</v>
      </c>
      <c r="T51" s="100">
        <f>+TableB7!T51-TableB9!T51</f>
        <v>1334.9959999999999</v>
      </c>
      <c r="U51" s="66">
        <f>+TableB7!U51-TableB9!U51</f>
        <v>294.00400000000008</v>
      </c>
      <c r="V51" s="99">
        <f>+TableB7!V51-TableB9!V51</f>
        <v>2103.4699999999998</v>
      </c>
      <c r="W51" s="60">
        <f>+TableB7!W51-TableB9!W51</f>
        <v>1075.0070000000001</v>
      </c>
    </row>
    <row r="52" spans="3:23" ht="14" x14ac:dyDescent="0.15">
      <c r="C52" s="30"/>
      <c r="D52" s="30"/>
      <c r="E52" s="30"/>
      <c r="F52" s="30"/>
      <c r="G52" s="30"/>
      <c r="H52" s="30"/>
      <c r="I52" s="30"/>
      <c r="J52" s="30"/>
      <c r="L52" s="38">
        <f t="shared" si="1"/>
        <v>2013</v>
      </c>
      <c r="M52" s="353">
        <v>176</v>
      </c>
      <c r="N52" s="419">
        <f>+TableB7!N52-TableB9!N52</f>
        <v>27813.066999999999</v>
      </c>
      <c r="O52" s="36">
        <f>+TableB7!O52-TableB9!O52</f>
        <v>18005.174999999999</v>
      </c>
      <c r="P52" s="36">
        <f>+TableB7!P52-TableB9!P52</f>
        <v>4624.7820000000002</v>
      </c>
      <c r="Q52" s="44">
        <f>+TableB7!Q52-TableB9!Q52</f>
        <v>4006.6019999999999</v>
      </c>
      <c r="R52" s="45">
        <f>+TableB7!R52-TableB9!R52</f>
        <v>135.69900000000001</v>
      </c>
      <c r="S52" s="100">
        <f>+TableB7!S52-TableB9!S52</f>
        <v>1686.125</v>
      </c>
      <c r="T52" s="100">
        <f>+TableB7!T52-TableB9!T52</f>
        <v>1386.402</v>
      </c>
      <c r="U52" s="66">
        <f>+TableB7!U52-TableB9!U52</f>
        <v>299.72299999999996</v>
      </c>
      <c r="V52" s="99">
        <f>+TableB7!V52-TableB9!V52</f>
        <v>2184.7779999999998</v>
      </c>
      <c r="W52" s="60">
        <f>+TableB7!W52-TableB9!W52</f>
        <v>1176.8409999999999</v>
      </c>
    </row>
    <row r="53" spans="3:23" ht="14" x14ac:dyDescent="0.15">
      <c r="C53" s="30"/>
      <c r="D53" s="30"/>
      <c r="E53" s="30"/>
      <c r="F53" s="30"/>
      <c r="G53" s="30"/>
      <c r="H53" s="30"/>
      <c r="I53" s="30"/>
      <c r="J53" s="30"/>
      <c r="L53" s="38">
        <f t="shared" si="1"/>
        <v>2014</v>
      </c>
      <c r="M53" s="353">
        <v>165</v>
      </c>
      <c r="N53" s="419">
        <f>+TableB7!N53-TableB9!N53</f>
        <v>28382.557000000001</v>
      </c>
      <c r="O53" s="36">
        <f>+TableB7!O53-TableB9!O53</f>
        <v>18099.690999999999</v>
      </c>
      <c r="P53" s="36">
        <f>+TableB7!P53-TableB9!P53</f>
        <v>4985.9160000000002</v>
      </c>
      <c r="Q53" s="44">
        <f>+TableB7!Q53-TableB9!Q53</f>
        <v>4084.81</v>
      </c>
      <c r="R53" s="45">
        <f>+TableB7!R53-TableB9!R53</f>
        <v>140.89599999999999</v>
      </c>
      <c r="S53" s="100">
        <f>+TableB7!S53-TableB9!S53</f>
        <v>1764.9739999999999</v>
      </c>
      <c r="T53" s="100">
        <f>+TableB7!T53-TableB9!T53</f>
        <v>1455.807</v>
      </c>
      <c r="U53" s="66">
        <f>+TableB7!U53-TableB9!U53</f>
        <v>309.16700000000009</v>
      </c>
      <c r="V53" s="99">
        <f>+TableB7!V53-TableB9!V53</f>
        <v>2178.94</v>
      </c>
      <c r="W53" s="60">
        <f>+TableB7!W53-TableB9!W53</f>
        <v>1211.694</v>
      </c>
    </row>
    <row r="54" spans="3:23" ht="15" thickBot="1" x14ac:dyDescent="0.2">
      <c r="C54" s="30"/>
      <c r="D54" s="30"/>
      <c r="E54" s="30"/>
      <c r="F54" s="30"/>
      <c r="G54" s="30"/>
      <c r="H54" s="30"/>
      <c r="I54" s="30"/>
      <c r="J54" s="30"/>
      <c r="L54" s="33">
        <f t="shared" si="1"/>
        <v>2015</v>
      </c>
      <c r="M54" s="1389">
        <v>155</v>
      </c>
      <c r="N54" s="91">
        <f>+TableB7!N54-TableB9!N54</f>
        <v>25395.516</v>
      </c>
      <c r="O54" s="1390">
        <f>+TableB7!O54-TableB9!O54</f>
        <v>15837.369000000001</v>
      </c>
      <c r="P54" s="1390">
        <f>+TableB7!P54-TableB9!P54</f>
        <v>4685.6099999999997</v>
      </c>
      <c r="Q54" s="1391">
        <f>+TableB7!Q54-TableB9!Q54</f>
        <v>3738.027</v>
      </c>
      <c r="R54" s="90">
        <f>+TableB7!R54-TableB9!R54</f>
        <v>128.08499999999998</v>
      </c>
      <c r="S54" s="89">
        <f>+TableB7!S54-TableB9!S54</f>
        <v>1472.5059999999999</v>
      </c>
      <c r="T54" s="89">
        <f>+TableB7!T54-TableB9!T54</f>
        <v>1212.4110000000001</v>
      </c>
      <c r="U54" s="88">
        <f>+TableB7!U54-TableB9!U54</f>
        <v>260.09499999999991</v>
      </c>
      <c r="V54" s="87">
        <f>+TableB7!V54-TableB9!V54</f>
        <v>2137.4360000000001</v>
      </c>
      <c r="W54" s="86">
        <f>+TableB7!W54-TableB9!W54</f>
        <v>1134.1389999999999</v>
      </c>
    </row>
    <row r="55" spans="3:23" ht="15" thickTop="1" thickBot="1" x14ac:dyDescent="0.2">
      <c r="C55" s="30"/>
      <c r="D55" s="30"/>
      <c r="E55" s="30"/>
      <c r="F55" s="30"/>
      <c r="G55" s="30"/>
      <c r="H55" s="30"/>
      <c r="I55" s="30"/>
      <c r="J55" s="30"/>
    </row>
    <row r="56" spans="3:23" x14ac:dyDescent="0.15">
      <c r="C56" s="30"/>
      <c r="D56" s="30"/>
      <c r="E56" s="30"/>
      <c r="F56" s="30"/>
      <c r="G56" s="30"/>
      <c r="H56" s="30"/>
      <c r="I56" s="30"/>
      <c r="J56" s="30"/>
      <c r="L56" s="2187" t="s">
        <v>389</v>
      </c>
      <c r="M56" s="2188"/>
      <c r="N56" s="2188"/>
      <c r="O56" s="2188"/>
      <c r="P56" s="2188"/>
      <c r="Q56" s="2188"/>
      <c r="R56" s="2188"/>
      <c r="S56" s="2188"/>
      <c r="T56" s="2188"/>
      <c r="U56" s="2188"/>
      <c r="V56" s="2188"/>
      <c r="W56" s="2189"/>
    </row>
    <row r="57" spans="3:23" ht="14" thickBot="1" x14ac:dyDescent="0.2">
      <c r="C57" s="30"/>
      <c r="D57" s="30"/>
      <c r="E57" s="30"/>
      <c r="F57" s="30"/>
      <c r="G57" s="30"/>
      <c r="H57" s="30"/>
      <c r="I57" s="30"/>
      <c r="J57" s="30"/>
      <c r="L57" s="2190"/>
      <c r="M57" s="2191"/>
      <c r="N57" s="2191"/>
      <c r="O57" s="2191"/>
      <c r="P57" s="2191"/>
      <c r="Q57" s="2191"/>
      <c r="R57" s="2191"/>
      <c r="S57" s="2191"/>
      <c r="T57" s="2191"/>
      <c r="U57" s="2191"/>
      <c r="V57" s="2191"/>
      <c r="W57" s="2192"/>
    </row>
    <row r="58" spans="3:23" x14ac:dyDescent="0.15">
      <c r="C58" s="30"/>
      <c r="D58" s="30"/>
      <c r="E58" s="30"/>
      <c r="F58" s="30"/>
      <c r="G58" s="30"/>
      <c r="H58" s="30"/>
      <c r="I58" s="30"/>
      <c r="J58" s="30"/>
    </row>
    <row r="59" spans="3:23" x14ac:dyDescent="0.15">
      <c r="C59" s="30"/>
      <c r="D59" s="30"/>
      <c r="E59" s="30"/>
      <c r="F59" s="30"/>
      <c r="G59" s="30"/>
      <c r="H59" s="30"/>
      <c r="I59" s="30"/>
      <c r="J59" s="30"/>
    </row>
    <row r="60" spans="3:23" x14ac:dyDescent="0.15">
      <c r="C60" s="30"/>
      <c r="D60" s="30"/>
      <c r="E60" s="30"/>
      <c r="F60" s="30"/>
      <c r="G60" s="30"/>
      <c r="H60" s="30"/>
      <c r="I60" s="30"/>
      <c r="J60" s="30"/>
    </row>
    <row r="61" spans="3:23" x14ac:dyDescent="0.15">
      <c r="C61" s="30"/>
      <c r="D61" s="30"/>
      <c r="E61" s="30"/>
      <c r="F61" s="30"/>
      <c r="G61" s="30"/>
      <c r="H61" s="30"/>
      <c r="I61" s="30"/>
      <c r="J61" s="30"/>
    </row>
    <row r="62" spans="3:23" x14ac:dyDescent="0.15">
      <c r="C62" s="30"/>
      <c r="D62" s="30"/>
      <c r="E62" s="30"/>
      <c r="F62" s="30"/>
      <c r="G62" s="30"/>
      <c r="H62" s="30"/>
      <c r="I62" s="30"/>
      <c r="J62" s="30"/>
    </row>
    <row r="63" spans="3:23" x14ac:dyDescent="0.15">
      <c r="C63" s="30"/>
      <c r="D63" s="30"/>
      <c r="E63" s="30"/>
      <c r="F63" s="30"/>
      <c r="G63" s="30"/>
      <c r="H63" s="30"/>
      <c r="I63" s="30"/>
      <c r="J63" s="30"/>
    </row>
    <row r="64" spans="3:23" x14ac:dyDescent="0.15">
      <c r="C64" s="30"/>
      <c r="D64" s="30"/>
      <c r="E64" s="30"/>
      <c r="F64" s="30"/>
      <c r="G64" s="30"/>
      <c r="H64" s="30"/>
      <c r="I64" s="30"/>
      <c r="J64" s="30"/>
    </row>
    <row r="65" spans="3:10" x14ac:dyDescent="0.15">
      <c r="C65" s="30"/>
      <c r="D65" s="30"/>
      <c r="E65" s="30"/>
      <c r="F65" s="30"/>
      <c r="G65" s="30"/>
      <c r="H65" s="30"/>
      <c r="I65" s="30"/>
      <c r="J65" s="30"/>
    </row>
    <row r="66" spans="3:10" x14ac:dyDescent="0.15">
      <c r="C66" s="30"/>
      <c r="D66" s="30"/>
      <c r="E66" s="30"/>
      <c r="F66" s="30"/>
      <c r="G66" s="30"/>
      <c r="H66" s="30"/>
      <c r="I66" s="30"/>
      <c r="J66" s="30"/>
    </row>
    <row r="67" spans="3:10" x14ac:dyDescent="0.15">
      <c r="C67" s="30"/>
      <c r="D67" s="30"/>
      <c r="E67" s="30"/>
      <c r="F67" s="30"/>
      <c r="G67" s="30"/>
      <c r="H67" s="30"/>
      <c r="I67" s="30"/>
      <c r="J67" s="30"/>
    </row>
    <row r="68" spans="3:10" x14ac:dyDescent="0.15">
      <c r="C68" s="30"/>
      <c r="D68" s="30"/>
      <c r="E68" s="30"/>
      <c r="F68" s="30"/>
      <c r="G68" s="30"/>
      <c r="H68" s="30"/>
      <c r="I68" s="30"/>
      <c r="J68" s="30"/>
    </row>
    <row r="69" spans="3:10" x14ac:dyDescent="0.15">
      <c r="C69" s="30"/>
      <c r="D69" s="30"/>
      <c r="E69" s="30"/>
      <c r="F69" s="30"/>
      <c r="G69" s="30"/>
      <c r="H69" s="30"/>
      <c r="I69" s="30"/>
      <c r="J69" s="30"/>
    </row>
    <row r="70" spans="3:10" x14ac:dyDescent="0.15">
      <c r="C70" s="30"/>
      <c r="D70" s="30"/>
      <c r="E70" s="30"/>
      <c r="F70" s="30"/>
      <c r="G70" s="30"/>
      <c r="H70" s="30"/>
      <c r="I70" s="30"/>
      <c r="J70" s="30"/>
    </row>
    <row r="71" spans="3:10" x14ac:dyDescent="0.15">
      <c r="C71" s="30"/>
      <c r="D71" s="30"/>
      <c r="E71" s="30"/>
      <c r="F71" s="30"/>
      <c r="G71" s="30"/>
      <c r="H71" s="30"/>
      <c r="I71" s="30"/>
      <c r="J71" s="30"/>
    </row>
    <row r="72" spans="3:10" x14ac:dyDescent="0.15">
      <c r="C72" s="30"/>
      <c r="D72" s="30"/>
      <c r="E72" s="30"/>
      <c r="F72" s="30"/>
      <c r="G72" s="30"/>
      <c r="H72" s="30"/>
      <c r="I72" s="30"/>
      <c r="J72" s="30"/>
    </row>
    <row r="73" spans="3:10" x14ac:dyDescent="0.15">
      <c r="C73" s="30"/>
      <c r="D73" s="30"/>
      <c r="E73" s="30"/>
      <c r="F73" s="30"/>
      <c r="G73" s="30"/>
      <c r="H73" s="30"/>
      <c r="I73" s="30"/>
      <c r="J73" s="30"/>
    </row>
    <row r="74" spans="3:10" x14ac:dyDescent="0.15">
      <c r="C74" s="30"/>
      <c r="D74" s="30"/>
      <c r="E74" s="30"/>
      <c r="F74" s="30"/>
      <c r="G74" s="30"/>
      <c r="H74" s="30"/>
      <c r="I74" s="30"/>
      <c r="J74" s="30"/>
    </row>
    <row r="75" spans="3:10" x14ac:dyDescent="0.15">
      <c r="C75" s="30"/>
      <c r="D75" s="30"/>
      <c r="E75" s="30"/>
      <c r="F75" s="30"/>
      <c r="G75" s="30"/>
      <c r="H75" s="30"/>
      <c r="I75" s="30"/>
      <c r="J75" s="30"/>
    </row>
    <row r="76" spans="3:10" x14ac:dyDescent="0.15">
      <c r="C76" s="30"/>
      <c r="D76" s="30"/>
      <c r="E76" s="30"/>
      <c r="F76" s="30"/>
      <c r="G76" s="30"/>
      <c r="H76" s="30"/>
      <c r="I76" s="30"/>
      <c r="J76" s="30"/>
    </row>
    <row r="77" spans="3:10" x14ac:dyDescent="0.15">
      <c r="C77" s="30"/>
      <c r="D77" s="30"/>
      <c r="E77" s="30"/>
      <c r="F77" s="30"/>
      <c r="G77" s="30"/>
      <c r="H77" s="30"/>
      <c r="I77" s="30"/>
      <c r="J77" s="30"/>
    </row>
    <row r="78" spans="3:10" x14ac:dyDescent="0.15">
      <c r="C78" s="30"/>
      <c r="D78" s="30"/>
      <c r="E78" s="30"/>
      <c r="F78" s="30"/>
      <c r="G78" s="30"/>
      <c r="H78" s="30"/>
      <c r="I78" s="30"/>
      <c r="J78" s="30"/>
    </row>
    <row r="79" spans="3:10" x14ac:dyDescent="0.15">
      <c r="C79" s="30"/>
      <c r="D79" s="30"/>
      <c r="E79" s="30"/>
      <c r="F79" s="30"/>
      <c r="G79" s="30"/>
      <c r="H79" s="30"/>
      <c r="I79" s="30"/>
      <c r="J79" s="30"/>
    </row>
    <row r="80" spans="3:10" x14ac:dyDescent="0.15">
      <c r="C80" s="30"/>
      <c r="D80" s="30"/>
      <c r="E80" s="30"/>
      <c r="F80" s="30"/>
      <c r="G80" s="30"/>
      <c r="H80" s="30"/>
      <c r="I80" s="30"/>
      <c r="J80" s="30"/>
    </row>
    <row r="81" spans="3:10" x14ac:dyDescent="0.15">
      <c r="C81" s="30"/>
      <c r="D81" s="30"/>
      <c r="E81" s="30"/>
      <c r="F81" s="30"/>
      <c r="G81" s="30"/>
      <c r="H81" s="30"/>
      <c r="I81" s="30"/>
      <c r="J81" s="30"/>
    </row>
    <row r="82" spans="3:10" x14ac:dyDescent="0.15">
      <c r="C82" s="30"/>
      <c r="D82" s="30"/>
      <c r="E82" s="30"/>
      <c r="F82" s="30"/>
      <c r="G82" s="30"/>
      <c r="H82" s="30"/>
      <c r="I82" s="30"/>
      <c r="J82" s="30"/>
    </row>
    <row r="83" spans="3:10" x14ac:dyDescent="0.15">
      <c r="C83" s="30"/>
      <c r="D83" s="30"/>
      <c r="E83" s="30"/>
      <c r="F83" s="30"/>
      <c r="G83" s="30"/>
      <c r="H83" s="30"/>
      <c r="I83" s="30"/>
      <c r="J83" s="30"/>
    </row>
    <row r="84" spans="3:10" x14ac:dyDescent="0.15">
      <c r="C84" s="30"/>
      <c r="D84" s="30"/>
      <c r="E84" s="30"/>
      <c r="F84" s="30"/>
      <c r="G84" s="30"/>
      <c r="H84" s="30"/>
      <c r="I84" s="30"/>
      <c r="J84" s="30"/>
    </row>
    <row r="85" spans="3:10" x14ac:dyDescent="0.15">
      <c r="C85" s="30"/>
      <c r="D85" s="30"/>
      <c r="E85" s="30"/>
      <c r="F85" s="30"/>
      <c r="G85" s="30"/>
      <c r="H85" s="30"/>
      <c r="I85" s="30"/>
      <c r="J85" s="30"/>
    </row>
    <row r="86" spans="3:10" x14ac:dyDescent="0.15">
      <c r="C86" s="30"/>
      <c r="D86" s="30"/>
      <c r="E86" s="30"/>
      <c r="F86" s="30"/>
      <c r="G86" s="30"/>
      <c r="H86" s="30"/>
      <c r="I86" s="30"/>
      <c r="J86" s="30"/>
    </row>
    <row r="87" spans="3:10" x14ac:dyDescent="0.15">
      <c r="C87" s="30"/>
      <c r="D87" s="30"/>
      <c r="E87" s="30"/>
      <c r="F87" s="30"/>
      <c r="G87" s="30"/>
      <c r="H87" s="30"/>
      <c r="I87" s="30"/>
      <c r="J87" s="30"/>
    </row>
    <row r="88" spans="3:10" x14ac:dyDescent="0.15">
      <c r="C88" s="30"/>
      <c r="D88" s="30"/>
      <c r="E88" s="30"/>
      <c r="F88" s="30"/>
      <c r="G88" s="30"/>
      <c r="H88" s="30"/>
      <c r="I88" s="30"/>
      <c r="J88" s="30"/>
    </row>
    <row r="89" spans="3:10" x14ac:dyDescent="0.15">
      <c r="C89" s="30"/>
      <c r="D89" s="30"/>
      <c r="E89" s="30"/>
      <c r="F89" s="30"/>
      <c r="G89" s="30"/>
      <c r="H89" s="30"/>
      <c r="I89" s="30"/>
      <c r="J89" s="30"/>
    </row>
    <row r="90" spans="3:10" x14ac:dyDescent="0.15">
      <c r="C90" s="30"/>
      <c r="D90" s="30"/>
      <c r="E90" s="30"/>
      <c r="F90" s="30"/>
      <c r="G90" s="30"/>
      <c r="H90" s="30"/>
      <c r="I90" s="30"/>
      <c r="J90" s="30"/>
    </row>
    <row r="91" spans="3:10" x14ac:dyDescent="0.15">
      <c r="C91" s="30"/>
      <c r="D91" s="30"/>
      <c r="E91" s="30"/>
      <c r="F91" s="30"/>
      <c r="G91" s="30"/>
      <c r="H91" s="30"/>
      <c r="I91" s="30"/>
      <c r="J91" s="30"/>
    </row>
    <row r="92" spans="3:10" x14ac:dyDescent="0.15">
      <c r="C92" s="30"/>
      <c r="D92" s="30"/>
      <c r="E92" s="30"/>
      <c r="F92" s="30"/>
      <c r="G92" s="30"/>
      <c r="H92" s="30"/>
      <c r="I92" s="30"/>
      <c r="J92" s="30"/>
    </row>
    <row r="93" spans="3:10" x14ac:dyDescent="0.15">
      <c r="C93" s="30"/>
      <c r="D93" s="30"/>
      <c r="E93" s="30"/>
      <c r="F93" s="30"/>
      <c r="G93" s="30"/>
      <c r="H93" s="30"/>
      <c r="I93" s="30"/>
      <c r="J93" s="30"/>
    </row>
    <row r="94" spans="3:10" x14ac:dyDescent="0.15">
      <c r="C94" s="30"/>
      <c r="D94" s="30"/>
      <c r="E94" s="30"/>
      <c r="F94" s="30"/>
      <c r="G94" s="30"/>
      <c r="H94" s="30"/>
      <c r="I94" s="30"/>
      <c r="J94" s="30"/>
    </row>
    <row r="95" spans="3:10" x14ac:dyDescent="0.15">
      <c r="C95" s="30"/>
      <c r="D95" s="30"/>
      <c r="E95" s="30"/>
      <c r="F95" s="30"/>
      <c r="G95" s="30"/>
      <c r="H95" s="30"/>
      <c r="I95" s="30"/>
      <c r="J95" s="30"/>
    </row>
    <row r="96" spans="3:10" x14ac:dyDescent="0.15">
      <c r="C96" s="30"/>
      <c r="D96" s="30"/>
      <c r="E96" s="30"/>
      <c r="F96" s="30"/>
      <c r="G96" s="30"/>
      <c r="H96" s="30"/>
      <c r="I96" s="30"/>
      <c r="J96" s="30"/>
    </row>
    <row r="97" spans="3:10" x14ac:dyDescent="0.15">
      <c r="C97" s="30"/>
      <c r="D97" s="30"/>
      <c r="E97" s="30"/>
      <c r="F97" s="30"/>
      <c r="G97" s="30"/>
      <c r="H97" s="30"/>
      <c r="I97" s="30"/>
      <c r="J97" s="30"/>
    </row>
    <row r="98" spans="3:10" x14ac:dyDescent="0.15">
      <c r="C98" s="30"/>
      <c r="D98" s="30"/>
      <c r="E98" s="30"/>
      <c r="F98" s="30"/>
      <c r="G98" s="30"/>
      <c r="H98" s="30"/>
      <c r="I98" s="30"/>
      <c r="J98" s="30"/>
    </row>
    <row r="99" spans="3:10" x14ac:dyDescent="0.15">
      <c r="C99" s="30"/>
      <c r="D99" s="30"/>
      <c r="E99" s="30"/>
      <c r="F99" s="30"/>
      <c r="G99" s="30"/>
      <c r="H99" s="30"/>
      <c r="I99" s="30"/>
      <c r="J99" s="30"/>
    </row>
    <row r="100" spans="3:10" x14ac:dyDescent="0.15">
      <c r="C100" s="30"/>
      <c r="D100" s="30"/>
      <c r="E100" s="30"/>
      <c r="F100" s="30"/>
      <c r="G100" s="30"/>
      <c r="H100" s="30"/>
      <c r="I100" s="30"/>
      <c r="J100" s="30"/>
    </row>
    <row r="101" spans="3:10" x14ac:dyDescent="0.15">
      <c r="C101" s="30"/>
      <c r="D101" s="30"/>
      <c r="E101" s="30"/>
      <c r="F101" s="30"/>
      <c r="G101" s="30"/>
      <c r="H101" s="30"/>
      <c r="I101" s="30"/>
      <c r="J101" s="30"/>
    </row>
    <row r="102" spans="3:10" x14ac:dyDescent="0.15">
      <c r="C102" s="30"/>
      <c r="D102" s="30"/>
      <c r="E102" s="30"/>
      <c r="F102" s="30"/>
      <c r="G102" s="30"/>
      <c r="H102" s="30"/>
      <c r="I102" s="30"/>
      <c r="J102" s="30"/>
    </row>
    <row r="103" spans="3:10" x14ac:dyDescent="0.15">
      <c r="C103" s="30"/>
      <c r="D103" s="30"/>
      <c r="E103" s="30"/>
      <c r="F103" s="30"/>
      <c r="G103" s="30"/>
      <c r="H103" s="30"/>
      <c r="I103" s="30"/>
      <c r="J103" s="30"/>
    </row>
    <row r="104" spans="3:10" x14ac:dyDescent="0.15">
      <c r="C104" s="30"/>
      <c r="D104" s="30"/>
      <c r="E104" s="30"/>
      <c r="F104" s="30"/>
      <c r="G104" s="30"/>
      <c r="H104" s="30"/>
      <c r="I104" s="30"/>
      <c r="J104" s="30"/>
    </row>
    <row r="105" spans="3:10" x14ac:dyDescent="0.15">
      <c r="C105" s="30"/>
      <c r="D105" s="30"/>
      <c r="E105" s="30"/>
      <c r="F105" s="30"/>
      <c r="G105" s="30"/>
      <c r="H105" s="30"/>
      <c r="I105" s="30"/>
      <c r="J105" s="30"/>
    </row>
    <row r="106" spans="3:10" x14ac:dyDescent="0.15">
      <c r="C106" s="30"/>
      <c r="D106" s="30"/>
      <c r="E106" s="30"/>
      <c r="F106" s="30"/>
      <c r="G106" s="30"/>
      <c r="H106" s="30"/>
      <c r="I106" s="30"/>
      <c r="J106" s="30"/>
    </row>
    <row r="107" spans="3:10" x14ac:dyDescent="0.15">
      <c r="C107" s="30"/>
      <c r="D107" s="30"/>
      <c r="E107" s="30"/>
      <c r="F107" s="30"/>
      <c r="G107" s="30"/>
      <c r="H107" s="30"/>
      <c r="I107" s="30"/>
      <c r="J107" s="30"/>
    </row>
    <row r="108" spans="3:10" x14ac:dyDescent="0.15">
      <c r="C108" s="30"/>
      <c r="D108" s="30"/>
      <c r="E108" s="30"/>
      <c r="F108" s="30"/>
      <c r="G108" s="30"/>
      <c r="H108" s="30"/>
      <c r="I108" s="30"/>
      <c r="J108" s="30"/>
    </row>
    <row r="109" spans="3:10" x14ac:dyDescent="0.15">
      <c r="C109" s="30"/>
      <c r="D109" s="30"/>
      <c r="E109" s="30"/>
      <c r="F109" s="30"/>
      <c r="G109" s="30"/>
      <c r="H109" s="30"/>
      <c r="I109" s="30"/>
      <c r="J109" s="30"/>
    </row>
    <row r="110" spans="3:10" x14ac:dyDescent="0.15">
      <c r="C110" s="30"/>
      <c r="D110" s="30"/>
      <c r="E110" s="30"/>
      <c r="F110" s="30"/>
      <c r="G110" s="30"/>
      <c r="H110" s="30"/>
      <c r="I110" s="30"/>
      <c r="J110" s="30"/>
    </row>
    <row r="111" spans="3:10" x14ac:dyDescent="0.15">
      <c r="C111" s="30"/>
      <c r="D111" s="30"/>
      <c r="E111" s="30"/>
      <c r="F111" s="30"/>
      <c r="G111" s="30"/>
      <c r="H111" s="30"/>
      <c r="I111" s="30"/>
      <c r="J111" s="30"/>
    </row>
    <row r="112" spans="3:10" x14ac:dyDescent="0.15">
      <c r="C112" s="30"/>
      <c r="D112" s="30"/>
      <c r="E112" s="30"/>
      <c r="F112" s="30"/>
      <c r="G112" s="30"/>
      <c r="H112" s="30"/>
      <c r="I112" s="30"/>
      <c r="J112" s="30"/>
    </row>
    <row r="113" spans="3:10" x14ac:dyDescent="0.15">
      <c r="C113" s="30"/>
      <c r="D113" s="30"/>
      <c r="E113" s="30"/>
      <c r="F113" s="30"/>
      <c r="G113" s="30"/>
      <c r="H113" s="30"/>
      <c r="I113" s="30"/>
      <c r="J113" s="30"/>
    </row>
    <row r="114" spans="3:10" x14ac:dyDescent="0.15">
      <c r="C114" s="30"/>
      <c r="D114" s="30"/>
      <c r="E114" s="30"/>
      <c r="F114" s="30"/>
      <c r="G114" s="30"/>
      <c r="H114" s="30"/>
      <c r="I114" s="30"/>
      <c r="J114" s="30"/>
    </row>
    <row r="115" spans="3:10" x14ac:dyDescent="0.15">
      <c r="C115" s="30"/>
      <c r="D115" s="30"/>
      <c r="E115" s="30"/>
      <c r="F115" s="30"/>
      <c r="G115" s="30"/>
      <c r="H115" s="30"/>
      <c r="I115" s="30"/>
      <c r="J115" s="30"/>
    </row>
    <row r="116" spans="3:10" x14ac:dyDescent="0.15">
      <c r="C116" s="30"/>
      <c r="D116" s="30"/>
      <c r="E116" s="30"/>
      <c r="F116" s="30"/>
      <c r="G116" s="30"/>
      <c r="H116" s="30"/>
      <c r="I116" s="30"/>
      <c r="J116" s="30"/>
    </row>
    <row r="117" spans="3:10" x14ac:dyDescent="0.15">
      <c r="C117" s="30"/>
      <c r="D117" s="30"/>
      <c r="E117" s="30"/>
      <c r="F117" s="30"/>
      <c r="G117" s="30"/>
      <c r="H117" s="30"/>
      <c r="I117" s="30"/>
      <c r="J117" s="30"/>
    </row>
    <row r="118" spans="3:10" x14ac:dyDescent="0.15">
      <c r="C118" s="30"/>
      <c r="D118" s="30"/>
      <c r="E118" s="30"/>
      <c r="F118" s="30"/>
      <c r="G118" s="30"/>
      <c r="H118" s="30"/>
      <c r="I118" s="30"/>
      <c r="J118" s="30"/>
    </row>
    <row r="119" spans="3:10" x14ac:dyDescent="0.15">
      <c r="C119" s="30"/>
      <c r="D119" s="30"/>
      <c r="E119" s="30"/>
      <c r="F119" s="30"/>
      <c r="G119" s="30"/>
      <c r="H119" s="30"/>
      <c r="I119" s="30"/>
      <c r="J119" s="30"/>
    </row>
    <row r="120" spans="3:10" x14ac:dyDescent="0.15">
      <c r="C120" s="30"/>
      <c r="D120" s="30"/>
      <c r="E120" s="30"/>
      <c r="F120" s="30"/>
      <c r="G120" s="30"/>
      <c r="H120" s="30"/>
      <c r="I120" s="30"/>
      <c r="J120" s="30"/>
    </row>
    <row r="121" spans="3:10" x14ac:dyDescent="0.15">
      <c r="C121" s="30"/>
      <c r="D121" s="30"/>
      <c r="E121" s="30"/>
      <c r="F121" s="30"/>
      <c r="G121" s="30"/>
      <c r="H121" s="30"/>
      <c r="I121" s="30"/>
      <c r="J121" s="30"/>
    </row>
    <row r="122" spans="3:10" x14ac:dyDescent="0.15">
      <c r="C122" s="30"/>
      <c r="D122" s="30"/>
      <c r="E122" s="30"/>
      <c r="F122" s="30"/>
      <c r="G122" s="30"/>
      <c r="H122" s="30"/>
      <c r="I122" s="30"/>
      <c r="J122" s="30"/>
    </row>
    <row r="123" spans="3:10" x14ac:dyDescent="0.15">
      <c r="C123" s="30"/>
      <c r="D123" s="30"/>
      <c r="E123" s="30"/>
      <c r="F123" s="30"/>
      <c r="G123" s="30"/>
      <c r="H123" s="30"/>
      <c r="I123" s="30"/>
      <c r="J123" s="30"/>
    </row>
    <row r="124" spans="3:10" x14ac:dyDescent="0.15">
      <c r="C124" s="30"/>
      <c r="D124" s="30"/>
      <c r="E124" s="30"/>
      <c r="F124" s="30"/>
      <c r="G124" s="30"/>
      <c r="H124" s="30"/>
      <c r="I124" s="30"/>
      <c r="J124" s="30"/>
    </row>
    <row r="125" spans="3:10" x14ac:dyDescent="0.15">
      <c r="C125" s="30"/>
      <c r="D125" s="30"/>
      <c r="E125" s="30"/>
      <c r="F125" s="30"/>
      <c r="G125" s="30"/>
      <c r="H125" s="30"/>
      <c r="I125" s="30"/>
      <c r="J125" s="30"/>
    </row>
    <row r="126" spans="3:10" x14ac:dyDescent="0.15">
      <c r="C126" s="30"/>
      <c r="D126" s="30"/>
      <c r="E126" s="30"/>
      <c r="F126" s="30"/>
      <c r="G126" s="30"/>
      <c r="H126" s="30"/>
      <c r="I126" s="30"/>
      <c r="J126" s="30"/>
    </row>
    <row r="127" spans="3:10" x14ac:dyDescent="0.15">
      <c r="C127" s="30"/>
      <c r="D127" s="30"/>
      <c r="E127" s="30"/>
      <c r="F127" s="30"/>
      <c r="G127" s="30"/>
      <c r="H127" s="30"/>
      <c r="I127" s="30"/>
      <c r="J127" s="30"/>
    </row>
    <row r="128" spans="3:10" x14ac:dyDescent="0.15">
      <c r="C128" s="30"/>
      <c r="D128" s="30"/>
      <c r="E128" s="30"/>
      <c r="F128" s="30"/>
      <c r="G128" s="30"/>
      <c r="H128" s="30"/>
      <c r="I128" s="30"/>
      <c r="J128" s="30"/>
    </row>
    <row r="129" spans="3:10" x14ac:dyDescent="0.15">
      <c r="C129" s="30"/>
      <c r="D129" s="30"/>
      <c r="E129" s="30"/>
      <c r="F129" s="30"/>
      <c r="G129" s="30"/>
      <c r="H129" s="30"/>
      <c r="I129" s="30"/>
      <c r="J129" s="30"/>
    </row>
    <row r="130" spans="3:10" x14ac:dyDescent="0.15">
      <c r="C130" s="30"/>
      <c r="D130" s="30"/>
      <c r="E130" s="30"/>
      <c r="F130" s="30"/>
      <c r="G130" s="30"/>
      <c r="H130" s="30"/>
      <c r="I130" s="30"/>
      <c r="J130" s="30"/>
    </row>
    <row r="131" spans="3:10" x14ac:dyDescent="0.15">
      <c r="C131" s="30"/>
      <c r="D131" s="30"/>
      <c r="E131" s="30"/>
      <c r="F131" s="30"/>
      <c r="G131" s="30"/>
      <c r="H131" s="30"/>
      <c r="I131" s="30"/>
      <c r="J131" s="30"/>
    </row>
    <row r="132" spans="3:10" x14ac:dyDescent="0.15">
      <c r="C132" s="30"/>
      <c r="D132" s="30"/>
      <c r="E132" s="30"/>
      <c r="F132" s="30"/>
      <c r="G132" s="30"/>
      <c r="H132" s="30"/>
      <c r="I132" s="30"/>
      <c r="J132" s="30"/>
    </row>
    <row r="133" spans="3:10" x14ac:dyDescent="0.15">
      <c r="C133" s="30"/>
      <c r="D133" s="30"/>
      <c r="E133" s="30"/>
      <c r="F133" s="30"/>
      <c r="G133" s="30"/>
      <c r="H133" s="30"/>
      <c r="I133" s="30"/>
      <c r="J133" s="30"/>
    </row>
    <row r="134" spans="3:10" x14ac:dyDescent="0.15">
      <c r="C134" s="30"/>
      <c r="D134" s="30"/>
      <c r="E134" s="30"/>
      <c r="F134" s="30"/>
      <c r="G134" s="30"/>
      <c r="H134" s="30"/>
      <c r="I134" s="30"/>
      <c r="J134" s="30"/>
    </row>
    <row r="135" spans="3:10" x14ac:dyDescent="0.15">
      <c r="C135" s="30"/>
      <c r="D135" s="30"/>
      <c r="E135" s="30"/>
      <c r="F135" s="30"/>
      <c r="G135" s="30"/>
      <c r="H135" s="30"/>
      <c r="I135" s="30"/>
      <c r="J135" s="30"/>
    </row>
    <row r="136" spans="3:10" x14ac:dyDescent="0.15">
      <c r="C136" s="30"/>
      <c r="D136" s="30"/>
      <c r="E136" s="30"/>
      <c r="F136" s="30"/>
      <c r="G136" s="30"/>
      <c r="H136" s="30"/>
      <c r="I136" s="30"/>
      <c r="J136" s="30"/>
    </row>
    <row r="137" spans="3:10" x14ac:dyDescent="0.15">
      <c r="C137" s="30"/>
      <c r="D137" s="30"/>
      <c r="E137" s="30"/>
      <c r="F137" s="30"/>
      <c r="G137" s="30"/>
      <c r="H137" s="30"/>
      <c r="I137" s="30"/>
      <c r="J137" s="30"/>
    </row>
    <row r="138" spans="3:10" x14ac:dyDescent="0.15">
      <c r="C138" s="30"/>
      <c r="D138" s="30"/>
      <c r="E138" s="30"/>
      <c r="F138" s="30"/>
      <c r="G138" s="30"/>
      <c r="H138" s="30"/>
      <c r="I138" s="30"/>
      <c r="J138" s="30"/>
    </row>
    <row r="139" spans="3:10" x14ac:dyDescent="0.15">
      <c r="C139" s="30"/>
      <c r="D139" s="30"/>
      <c r="E139" s="30"/>
      <c r="F139" s="30"/>
      <c r="G139" s="30"/>
      <c r="H139" s="30"/>
      <c r="I139" s="30"/>
      <c r="J139" s="30"/>
    </row>
    <row r="140" spans="3:10" x14ac:dyDescent="0.15">
      <c r="C140" s="30"/>
      <c r="D140" s="30"/>
      <c r="E140" s="30"/>
      <c r="F140" s="30"/>
      <c r="G140" s="30"/>
      <c r="H140" s="30"/>
      <c r="I140" s="30"/>
      <c r="J140" s="30"/>
    </row>
    <row r="141" spans="3:10" x14ac:dyDescent="0.15">
      <c r="C141" s="30"/>
      <c r="D141" s="30"/>
      <c r="E141" s="30"/>
      <c r="F141" s="30"/>
      <c r="G141" s="30"/>
      <c r="H141" s="30"/>
      <c r="I141" s="30"/>
      <c r="J141" s="30"/>
    </row>
    <row r="142" spans="3:10" x14ac:dyDescent="0.15">
      <c r="C142" s="30"/>
      <c r="D142" s="30"/>
      <c r="E142" s="30"/>
      <c r="F142" s="30"/>
      <c r="G142" s="30"/>
      <c r="H142" s="30"/>
      <c r="I142" s="30"/>
      <c r="J142" s="30"/>
    </row>
    <row r="143" spans="3:10" x14ac:dyDescent="0.15">
      <c r="C143" s="30"/>
      <c r="D143" s="30"/>
      <c r="E143" s="30"/>
      <c r="F143" s="30"/>
      <c r="G143" s="30"/>
      <c r="H143" s="30"/>
      <c r="I143" s="30"/>
      <c r="J143" s="30"/>
    </row>
    <row r="144" spans="3:10" x14ac:dyDescent="0.15">
      <c r="C144" s="30"/>
      <c r="D144" s="30"/>
      <c r="E144" s="30"/>
      <c r="F144" s="30"/>
      <c r="G144" s="30"/>
      <c r="H144" s="30"/>
      <c r="I144" s="30"/>
      <c r="J144" s="30"/>
    </row>
    <row r="145" spans="3:10" x14ac:dyDescent="0.15">
      <c r="C145" s="30"/>
      <c r="D145" s="30"/>
      <c r="E145" s="30"/>
      <c r="F145" s="30"/>
      <c r="G145" s="30"/>
      <c r="H145" s="30"/>
      <c r="I145" s="30"/>
      <c r="J145" s="30"/>
    </row>
    <row r="146" spans="3:10" x14ac:dyDescent="0.15">
      <c r="C146" s="30"/>
      <c r="D146" s="30"/>
      <c r="E146" s="30"/>
      <c r="F146" s="30"/>
      <c r="G146" s="30"/>
      <c r="H146" s="30"/>
      <c r="I146" s="30"/>
      <c r="J146" s="30"/>
    </row>
    <row r="147" spans="3:10" x14ac:dyDescent="0.15">
      <c r="C147" s="30"/>
      <c r="D147" s="30"/>
      <c r="E147" s="30"/>
      <c r="F147" s="30"/>
      <c r="G147" s="30"/>
      <c r="H147" s="30"/>
      <c r="I147" s="30"/>
      <c r="J147" s="30"/>
    </row>
    <row r="148" spans="3:10" x14ac:dyDescent="0.15">
      <c r="C148" s="30"/>
      <c r="D148" s="30"/>
      <c r="E148" s="30"/>
      <c r="F148" s="30"/>
      <c r="G148" s="30"/>
      <c r="H148" s="30"/>
      <c r="I148" s="30"/>
      <c r="J148" s="30"/>
    </row>
    <row r="149" spans="3:10" x14ac:dyDescent="0.15">
      <c r="C149" s="30"/>
      <c r="D149" s="30"/>
      <c r="E149" s="30"/>
      <c r="F149" s="30"/>
      <c r="G149" s="30"/>
      <c r="H149" s="30"/>
      <c r="I149" s="30"/>
      <c r="J149" s="30"/>
    </row>
    <row r="150" spans="3:10" x14ac:dyDescent="0.15">
      <c r="C150" s="30"/>
      <c r="D150" s="30"/>
      <c r="E150" s="30"/>
      <c r="F150" s="30"/>
      <c r="G150" s="30"/>
      <c r="H150" s="30"/>
      <c r="I150" s="30"/>
      <c r="J150" s="30"/>
    </row>
    <row r="151" spans="3:10" x14ac:dyDescent="0.15">
      <c r="C151" s="30"/>
      <c r="D151" s="30"/>
      <c r="E151" s="30"/>
      <c r="F151" s="30"/>
      <c r="G151" s="30"/>
      <c r="H151" s="30"/>
      <c r="I151" s="30"/>
      <c r="J151" s="30"/>
    </row>
    <row r="152" spans="3:10" x14ac:dyDescent="0.15">
      <c r="C152" s="30"/>
      <c r="D152" s="30"/>
      <c r="E152" s="30"/>
      <c r="F152" s="30"/>
      <c r="G152" s="30"/>
      <c r="H152" s="30"/>
      <c r="I152" s="30"/>
      <c r="J152" s="30"/>
    </row>
    <row r="153" spans="3:10" x14ac:dyDescent="0.15">
      <c r="C153" s="30"/>
      <c r="D153" s="30"/>
      <c r="E153" s="30"/>
      <c r="F153" s="30"/>
      <c r="G153" s="30"/>
      <c r="H153" s="30"/>
      <c r="I153" s="30"/>
      <c r="J153" s="30"/>
    </row>
    <row r="154" spans="3:10" x14ac:dyDescent="0.15">
      <c r="C154" s="30"/>
      <c r="D154" s="30"/>
      <c r="E154" s="30"/>
      <c r="F154" s="30"/>
      <c r="G154" s="30"/>
      <c r="H154" s="30"/>
      <c r="I154" s="30"/>
      <c r="J154" s="30"/>
    </row>
    <row r="155" spans="3:10" x14ac:dyDescent="0.15">
      <c r="C155" s="30"/>
      <c r="D155" s="30"/>
      <c r="E155" s="30"/>
      <c r="F155" s="30"/>
      <c r="G155" s="30"/>
      <c r="H155" s="30"/>
      <c r="I155" s="30"/>
      <c r="J155" s="30"/>
    </row>
    <row r="156" spans="3:10" x14ac:dyDescent="0.15">
      <c r="C156" s="30"/>
      <c r="D156" s="30"/>
      <c r="E156" s="30"/>
      <c r="F156" s="30"/>
      <c r="G156" s="30"/>
      <c r="H156" s="30"/>
      <c r="I156" s="30"/>
      <c r="J156" s="30"/>
    </row>
    <row r="157" spans="3:10" x14ac:dyDescent="0.15">
      <c r="C157" s="30"/>
      <c r="D157" s="30"/>
      <c r="E157" s="30"/>
      <c r="F157" s="30"/>
      <c r="G157" s="30"/>
      <c r="H157" s="30"/>
      <c r="I157" s="30"/>
      <c r="J157" s="30"/>
    </row>
    <row r="158" spans="3:10" x14ac:dyDescent="0.15">
      <c r="C158" s="30"/>
      <c r="D158" s="30"/>
      <c r="E158" s="30"/>
      <c r="F158" s="30"/>
      <c r="G158" s="30"/>
      <c r="H158" s="30"/>
      <c r="I158" s="30"/>
      <c r="J158" s="30"/>
    </row>
    <row r="159" spans="3:10" x14ac:dyDescent="0.15">
      <c r="C159" s="30"/>
      <c r="D159" s="30"/>
      <c r="E159" s="30"/>
      <c r="F159" s="30"/>
      <c r="G159" s="30"/>
      <c r="H159" s="30"/>
      <c r="I159" s="30"/>
      <c r="J159" s="30"/>
    </row>
    <row r="160" spans="3:10" x14ac:dyDescent="0.15">
      <c r="C160" s="30"/>
      <c r="D160" s="30"/>
      <c r="E160" s="30"/>
      <c r="F160" s="30"/>
      <c r="G160" s="30"/>
      <c r="H160" s="30"/>
      <c r="I160" s="30"/>
      <c r="J160" s="30"/>
    </row>
    <row r="161" spans="3:10" x14ac:dyDescent="0.15">
      <c r="C161" s="30"/>
      <c r="D161" s="30"/>
      <c r="E161" s="30"/>
      <c r="F161" s="30"/>
      <c r="G161" s="30"/>
      <c r="H161" s="30"/>
      <c r="I161" s="30"/>
      <c r="J161" s="30"/>
    </row>
    <row r="162" spans="3:10" x14ac:dyDescent="0.15">
      <c r="C162" s="30"/>
      <c r="D162" s="30"/>
      <c r="E162" s="30"/>
      <c r="F162" s="30"/>
      <c r="G162" s="30"/>
      <c r="H162" s="30"/>
      <c r="I162" s="30"/>
      <c r="J162" s="30"/>
    </row>
    <row r="163" spans="3:10" x14ac:dyDescent="0.15">
      <c r="C163" s="30"/>
      <c r="D163" s="30"/>
      <c r="E163" s="30"/>
      <c r="F163" s="30"/>
      <c r="G163" s="30"/>
      <c r="H163" s="30"/>
      <c r="I163" s="30"/>
      <c r="J163" s="30"/>
    </row>
    <row r="164" spans="3:10" x14ac:dyDescent="0.15">
      <c r="C164" s="30"/>
      <c r="D164" s="30"/>
      <c r="E164" s="30"/>
      <c r="F164" s="30"/>
      <c r="G164" s="30"/>
      <c r="H164" s="30"/>
      <c r="I164" s="30"/>
      <c r="J164" s="30"/>
    </row>
    <row r="165" spans="3:10" x14ac:dyDescent="0.15">
      <c r="C165" s="30"/>
      <c r="D165" s="30"/>
      <c r="E165" s="30"/>
      <c r="F165" s="30"/>
      <c r="G165" s="30"/>
      <c r="H165" s="30"/>
      <c r="I165" s="30"/>
      <c r="J165" s="30"/>
    </row>
    <row r="166" spans="3:10" x14ac:dyDescent="0.15">
      <c r="C166" s="30"/>
      <c r="D166" s="30"/>
      <c r="E166" s="30"/>
      <c r="F166" s="30"/>
      <c r="G166" s="30"/>
      <c r="H166" s="30"/>
      <c r="I166" s="30"/>
      <c r="J166" s="30"/>
    </row>
    <row r="167" spans="3:10" x14ac:dyDescent="0.15">
      <c r="C167" s="30"/>
      <c r="D167" s="30"/>
      <c r="E167" s="30"/>
      <c r="F167" s="30"/>
      <c r="G167" s="30"/>
      <c r="H167" s="30"/>
      <c r="I167" s="30"/>
      <c r="J167" s="30"/>
    </row>
    <row r="168" spans="3:10" x14ac:dyDescent="0.15">
      <c r="C168" s="30"/>
      <c r="D168" s="30"/>
      <c r="E168" s="30"/>
      <c r="F168" s="30"/>
      <c r="G168" s="30"/>
      <c r="H168" s="30"/>
      <c r="I168" s="30"/>
      <c r="J168" s="30"/>
    </row>
    <row r="169" spans="3:10" x14ac:dyDescent="0.15">
      <c r="C169" s="30"/>
      <c r="D169" s="30"/>
      <c r="E169" s="30"/>
      <c r="F169" s="30"/>
      <c r="G169" s="30"/>
      <c r="H169" s="30"/>
      <c r="I169" s="30"/>
      <c r="J169" s="30"/>
    </row>
    <row r="170" spans="3:10" x14ac:dyDescent="0.15">
      <c r="C170" s="30"/>
      <c r="D170" s="30"/>
      <c r="E170" s="30"/>
      <c r="F170" s="30"/>
      <c r="G170" s="30"/>
      <c r="H170" s="30"/>
      <c r="I170" s="30"/>
      <c r="J170" s="30"/>
    </row>
    <row r="171" spans="3:10" x14ac:dyDescent="0.15">
      <c r="C171" s="30"/>
      <c r="D171" s="30"/>
      <c r="E171" s="30"/>
      <c r="F171" s="30"/>
      <c r="G171" s="30"/>
      <c r="H171" s="30"/>
      <c r="I171" s="30"/>
      <c r="J171" s="30"/>
    </row>
    <row r="172" spans="3:10" x14ac:dyDescent="0.15">
      <c r="C172" s="30"/>
      <c r="D172" s="30"/>
      <c r="E172" s="30"/>
      <c r="F172" s="30"/>
      <c r="G172" s="30"/>
      <c r="H172" s="30"/>
      <c r="I172" s="30"/>
      <c r="J172" s="30"/>
    </row>
    <row r="173" spans="3:10" x14ac:dyDescent="0.15">
      <c r="C173" s="30"/>
      <c r="D173" s="30"/>
      <c r="E173" s="30"/>
      <c r="F173" s="30"/>
      <c r="G173" s="30"/>
      <c r="H173" s="30"/>
      <c r="I173" s="30"/>
      <c r="J173" s="30"/>
    </row>
    <row r="174" spans="3:10" x14ac:dyDescent="0.15">
      <c r="C174" s="30"/>
      <c r="D174" s="30"/>
      <c r="E174" s="30"/>
      <c r="F174" s="30"/>
      <c r="G174" s="30"/>
      <c r="H174" s="30"/>
      <c r="I174" s="30"/>
      <c r="J174" s="30"/>
    </row>
    <row r="175" spans="3:10" x14ac:dyDescent="0.15">
      <c r="C175" s="30"/>
      <c r="D175" s="30"/>
      <c r="E175" s="30"/>
      <c r="F175" s="30"/>
      <c r="G175" s="30"/>
      <c r="H175" s="30"/>
      <c r="I175" s="30"/>
      <c r="J175" s="30"/>
    </row>
    <row r="176" spans="3:10" x14ac:dyDescent="0.15">
      <c r="C176" s="30"/>
      <c r="D176" s="30"/>
      <c r="E176" s="30"/>
      <c r="F176" s="30"/>
      <c r="G176" s="30"/>
      <c r="H176" s="30"/>
      <c r="I176" s="30"/>
      <c r="J176" s="30"/>
    </row>
    <row r="177" spans="3:10" x14ac:dyDescent="0.15">
      <c r="C177" s="30"/>
      <c r="D177" s="30"/>
      <c r="E177" s="30"/>
      <c r="F177" s="30"/>
      <c r="G177" s="30"/>
      <c r="H177" s="30"/>
      <c r="I177" s="30"/>
      <c r="J177" s="30"/>
    </row>
    <row r="178" spans="3:10" x14ac:dyDescent="0.15">
      <c r="C178" s="30"/>
      <c r="D178" s="30"/>
      <c r="E178" s="30"/>
      <c r="F178" s="30"/>
      <c r="G178" s="30"/>
      <c r="H178" s="30"/>
      <c r="I178" s="30"/>
      <c r="J178" s="30"/>
    </row>
    <row r="179" spans="3:10" x14ac:dyDescent="0.15">
      <c r="C179" s="30"/>
      <c r="D179" s="30"/>
      <c r="E179" s="30"/>
      <c r="F179" s="30"/>
      <c r="G179" s="30"/>
      <c r="H179" s="30"/>
      <c r="I179" s="30"/>
      <c r="J179" s="30"/>
    </row>
    <row r="180" spans="3:10" x14ac:dyDescent="0.15">
      <c r="C180" s="30"/>
      <c r="D180" s="30"/>
      <c r="E180" s="30"/>
      <c r="F180" s="30"/>
      <c r="G180" s="30"/>
      <c r="H180" s="30"/>
      <c r="I180" s="30"/>
      <c r="J180" s="30"/>
    </row>
    <row r="181" spans="3:10" x14ac:dyDescent="0.15">
      <c r="C181" s="30"/>
      <c r="D181" s="30"/>
      <c r="E181" s="30"/>
      <c r="F181" s="30"/>
      <c r="G181" s="30"/>
      <c r="H181" s="30"/>
      <c r="I181" s="30"/>
      <c r="J181" s="30"/>
    </row>
    <row r="182" spans="3:10" x14ac:dyDescent="0.15">
      <c r="C182" s="30"/>
      <c r="D182" s="30"/>
      <c r="E182" s="30"/>
      <c r="F182" s="30"/>
      <c r="G182" s="30"/>
      <c r="H182" s="30"/>
      <c r="I182" s="30"/>
      <c r="J182" s="30"/>
    </row>
    <row r="183" spans="3:10" x14ac:dyDescent="0.15">
      <c r="C183" s="30"/>
      <c r="D183" s="30"/>
      <c r="E183" s="30"/>
      <c r="F183" s="30"/>
      <c r="G183" s="30"/>
      <c r="H183" s="30"/>
      <c r="I183" s="30"/>
      <c r="J183" s="30"/>
    </row>
    <row r="184" spans="3:10" x14ac:dyDescent="0.15">
      <c r="C184" s="30"/>
      <c r="D184" s="30"/>
      <c r="E184" s="30"/>
      <c r="F184" s="30"/>
      <c r="G184" s="30"/>
      <c r="H184" s="30"/>
      <c r="I184" s="30"/>
      <c r="J184" s="30"/>
    </row>
    <row r="185" spans="3:10" x14ac:dyDescent="0.15">
      <c r="C185" s="30"/>
      <c r="D185" s="30"/>
      <c r="E185" s="30"/>
      <c r="F185" s="30"/>
      <c r="G185" s="30"/>
      <c r="H185" s="30"/>
      <c r="I185" s="30"/>
      <c r="J185" s="30"/>
    </row>
    <row r="186" spans="3:10" x14ac:dyDescent="0.15">
      <c r="C186" s="30"/>
      <c r="D186" s="30"/>
      <c r="E186" s="30"/>
      <c r="F186" s="30"/>
      <c r="G186" s="30"/>
      <c r="H186" s="30"/>
      <c r="I186" s="30"/>
      <c r="J186" s="30"/>
    </row>
    <row r="187" spans="3:10" x14ac:dyDescent="0.15">
      <c r="C187" s="30"/>
      <c r="D187" s="30"/>
      <c r="E187" s="30"/>
      <c r="F187" s="30"/>
      <c r="G187" s="30"/>
      <c r="H187" s="30"/>
      <c r="I187" s="30"/>
      <c r="J187" s="30"/>
    </row>
    <row r="188" spans="3:10" x14ac:dyDescent="0.15">
      <c r="C188" s="30"/>
      <c r="D188" s="30"/>
      <c r="E188" s="30"/>
      <c r="F188" s="30"/>
      <c r="G188" s="30"/>
      <c r="H188" s="30"/>
      <c r="I188" s="30"/>
      <c r="J188" s="30"/>
    </row>
    <row r="189" spans="3:10" x14ac:dyDescent="0.15">
      <c r="C189" s="30"/>
      <c r="D189" s="30"/>
      <c r="E189" s="30"/>
      <c r="F189" s="30"/>
      <c r="G189" s="30"/>
      <c r="H189" s="30"/>
      <c r="I189" s="30"/>
      <c r="J189" s="30"/>
    </row>
    <row r="190" spans="3:10" x14ac:dyDescent="0.15">
      <c r="C190" s="30"/>
      <c r="D190" s="30"/>
      <c r="E190" s="30"/>
      <c r="F190" s="30"/>
      <c r="G190" s="30"/>
      <c r="H190" s="30"/>
      <c r="I190" s="30"/>
      <c r="J190" s="30"/>
    </row>
    <row r="191" spans="3:10" x14ac:dyDescent="0.15">
      <c r="C191" s="30"/>
      <c r="D191" s="30"/>
      <c r="E191" s="30"/>
      <c r="F191" s="30"/>
      <c r="G191" s="30"/>
      <c r="H191" s="30"/>
      <c r="I191" s="30"/>
      <c r="J191" s="30"/>
    </row>
    <row r="192" spans="3:10" x14ac:dyDescent="0.15">
      <c r="C192" s="30"/>
      <c r="D192" s="30"/>
      <c r="E192" s="30"/>
      <c r="F192" s="30"/>
      <c r="G192" s="30"/>
      <c r="H192" s="30"/>
      <c r="I192" s="30"/>
      <c r="J192" s="30"/>
    </row>
    <row r="193" spans="3:10" x14ac:dyDescent="0.15">
      <c r="C193" s="30"/>
      <c r="D193" s="30"/>
      <c r="E193" s="30"/>
      <c r="F193" s="30"/>
      <c r="G193" s="30"/>
      <c r="H193" s="30"/>
      <c r="I193" s="30"/>
      <c r="J193" s="30"/>
    </row>
    <row r="194" spans="3:10" x14ac:dyDescent="0.15">
      <c r="C194" s="30"/>
      <c r="D194" s="30"/>
      <c r="E194" s="30"/>
      <c r="F194" s="30"/>
      <c r="G194" s="30"/>
      <c r="H194" s="30"/>
      <c r="I194" s="30"/>
      <c r="J194" s="30"/>
    </row>
    <row r="195" spans="3:10" x14ac:dyDescent="0.15">
      <c r="C195" s="30"/>
      <c r="D195" s="30"/>
      <c r="E195" s="30"/>
      <c r="F195" s="30"/>
      <c r="G195" s="30"/>
      <c r="H195" s="30"/>
      <c r="I195" s="30"/>
      <c r="J195" s="30"/>
    </row>
    <row r="196" spans="3:10" x14ac:dyDescent="0.15">
      <c r="C196" s="30"/>
      <c r="D196" s="30"/>
      <c r="E196" s="30"/>
      <c r="F196" s="30"/>
      <c r="G196" s="30"/>
      <c r="H196" s="30"/>
      <c r="I196" s="30"/>
      <c r="J196" s="30"/>
    </row>
    <row r="197" spans="3:10" x14ac:dyDescent="0.15">
      <c r="C197" s="30"/>
      <c r="D197" s="30"/>
      <c r="E197" s="30"/>
      <c r="F197" s="30"/>
      <c r="G197" s="30"/>
      <c r="H197" s="30"/>
      <c r="I197" s="30"/>
      <c r="J197" s="30"/>
    </row>
    <row r="198" spans="3:10" x14ac:dyDescent="0.15">
      <c r="C198" s="30"/>
      <c r="D198" s="30"/>
      <c r="E198" s="30"/>
      <c r="F198" s="30"/>
      <c r="G198" s="30"/>
      <c r="H198" s="30"/>
      <c r="I198" s="30"/>
      <c r="J198" s="30"/>
    </row>
    <row r="199" spans="3:10" x14ac:dyDescent="0.15">
      <c r="C199" s="30"/>
      <c r="D199" s="30"/>
      <c r="E199" s="30"/>
      <c r="F199" s="30"/>
      <c r="G199" s="30"/>
      <c r="H199" s="30"/>
      <c r="I199" s="30"/>
      <c r="J199" s="30"/>
    </row>
    <row r="200" spans="3:10" x14ac:dyDescent="0.15">
      <c r="C200" s="30"/>
      <c r="D200" s="30"/>
      <c r="E200" s="30"/>
      <c r="F200" s="30"/>
      <c r="G200" s="30"/>
      <c r="H200" s="30"/>
      <c r="I200" s="30"/>
      <c r="J200" s="30"/>
    </row>
    <row r="201" spans="3:10" x14ac:dyDescent="0.15">
      <c r="C201" s="30"/>
      <c r="D201" s="30"/>
      <c r="E201" s="30"/>
      <c r="F201" s="30"/>
      <c r="G201" s="30"/>
      <c r="H201" s="30"/>
      <c r="I201" s="30"/>
      <c r="J201" s="30"/>
    </row>
    <row r="202" spans="3:10" x14ac:dyDescent="0.15">
      <c r="C202" s="30"/>
      <c r="D202" s="30"/>
      <c r="E202" s="30"/>
      <c r="F202" s="30"/>
      <c r="G202" s="30"/>
      <c r="H202" s="30"/>
      <c r="I202" s="30"/>
      <c r="J202" s="30"/>
    </row>
    <row r="203" spans="3:10" x14ac:dyDescent="0.15">
      <c r="C203" s="30"/>
      <c r="D203" s="30"/>
      <c r="E203" s="30"/>
      <c r="F203" s="30"/>
      <c r="G203" s="30"/>
      <c r="H203" s="30"/>
      <c r="I203" s="30"/>
      <c r="J203" s="30"/>
    </row>
    <row r="204" spans="3:10" x14ac:dyDescent="0.15">
      <c r="C204" s="30"/>
      <c r="D204" s="30"/>
      <c r="E204" s="30"/>
      <c r="F204" s="30"/>
      <c r="G204" s="30"/>
      <c r="H204" s="30"/>
      <c r="I204" s="30"/>
      <c r="J204" s="30"/>
    </row>
    <row r="205" spans="3:10" x14ac:dyDescent="0.15">
      <c r="C205" s="30"/>
      <c r="D205" s="30"/>
      <c r="E205" s="30"/>
      <c r="F205" s="30"/>
      <c r="G205" s="30"/>
      <c r="H205" s="30"/>
      <c r="I205" s="30"/>
      <c r="J205" s="30"/>
    </row>
    <row r="206" spans="3:10" x14ac:dyDescent="0.15">
      <c r="C206" s="30"/>
      <c r="D206" s="30"/>
      <c r="E206" s="30"/>
      <c r="F206" s="30"/>
      <c r="G206" s="30"/>
      <c r="H206" s="30"/>
      <c r="I206" s="30"/>
      <c r="J206" s="30"/>
    </row>
    <row r="207" spans="3:10" x14ac:dyDescent="0.15">
      <c r="C207" s="30"/>
      <c r="D207" s="30"/>
      <c r="E207" s="30"/>
      <c r="F207" s="30"/>
      <c r="G207" s="30"/>
      <c r="H207" s="30"/>
      <c r="I207" s="30"/>
      <c r="J207" s="30"/>
    </row>
    <row r="208" spans="3:10" x14ac:dyDescent="0.15">
      <c r="C208" s="30"/>
      <c r="D208" s="30"/>
      <c r="E208" s="30"/>
      <c r="F208" s="30"/>
      <c r="G208" s="30"/>
      <c r="H208" s="30"/>
      <c r="I208" s="30"/>
      <c r="J208" s="30"/>
    </row>
    <row r="209" spans="3:10" x14ac:dyDescent="0.15">
      <c r="C209" s="30"/>
      <c r="D209" s="30"/>
      <c r="E209" s="30"/>
      <c r="F209" s="30"/>
      <c r="G209" s="30"/>
      <c r="H209" s="30"/>
      <c r="I209" s="30"/>
      <c r="J209" s="30"/>
    </row>
    <row r="210" spans="3:10" x14ac:dyDescent="0.15">
      <c r="C210" s="30"/>
      <c r="D210" s="30"/>
      <c r="E210" s="30"/>
      <c r="F210" s="30"/>
      <c r="G210" s="30"/>
      <c r="H210" s="30"/>
      <c r="I210" s="30"/>
      <c r="J210" s="30"/>
    </row>
    <row r="211" spans="3:10" x14ac:dyDescent="0.15">
      <c r="C211" s="30"/>
      <c r="D211" s="30"/>
      <c r="E211" s="30"/>
      <c r="F211" s="30"/>
      <c r="G211" s="30"/>
      <c r="H211" s="30"/>
      <c r="I211" s="30"/>
      <c r="J211" s="30"/>
    </row>
    <row r="212" spans="3:10" x14ac:dyDescent="0.15">
      <c r="C212" s="30"/>
      <c r="D212" s="30"/>
      <c r="E212" s="30"/>
      <c r="F212" s="30"/>
      <c r="G212" s="30"/>
      <c r="H212" s="30"/>
      <c r="I212" s="30"/>
      <c r="J212" s="30"/>
    </row>
    <row r="213" spans="3:10" x14ac:dyDescent="0.15">
      <c r="C213" s="30"/>
      <c r="D213" s="30"/>
      <c r="E213" s="30"/>
      <c r="F213" s="30"/>
      <c r="G213" s="30"/>
      <c r="H213" s="30"/>
      <c r="I213" s="30"/>
      <c r="J213" s="30"/>
    </row>
    <row r="214" spans="3:10" x14ac:dyDescent="0.15">
      <c r="C214" s="30"/>
      <c r="D214" s="30"/>
      <c r="E214" s="30"/>
      <c r="F214" s="30"/>
      <c r="G214" s="30"/>
      <c r="H214" s="30"/>
      <c r="I214" s="30"/>
      <c r="J214" s="30"/>
    </row>
    <row r="215" spans="3:10" x14ac:dyDescent="0.15">
      <c r="C215" s="30"/>
      <c r="D215" s="30"/>
      <c r="E215" s="30"/>
      <c r="F215" s="30"/>
      <c r="G215" s="30"/>
      <c r="H215" s="30"/>
      <c r="I215" s="30"/>
      <c r="J215" s="30"/>
    </row>
    <row r="216" spans="3:10" x14ac:dyDescent="0.15">
      <c r="C216" s="30"/>
      <c r="D216" s="30"/>
      <c r="E216" s="30"/>
      <c r="F216" s="30"/>
      <c r="G216" s="30"/>
      <c r="H216" s="30"/>
      <c r="I216" s="30"/>
      <c r="J216" s="30"/>
    </row>
    <row r="217" spans="3:10" x14ac:dyDescent="0.15">
      <c r="C217" s="30"/>
      <c r="D217" s="30"/>
      <c r="E217" s="30"/>
      <c r="F217" s="30"/>
      <c r="G217" s="30"/>
      <c r="H217" s="30"/>
      <c r="I217" s="30"/>
      <c r="J217" s="30"/>
    </row>
    <row r="218" spans="3:10" x14ac:dyDescent="0.15">
      <c r="C218" s="30"/>
      <c r="D218" s="30"/>
      <c r="E218" s="30"/>
      <c r="F218" s="30"/>
      <c r="G218" s="30"/>
      <c r="H218" s="30"/>
      <c r="I218" s="30"/>
      <c r="J218" s="30"/>
    </row>
    <row r="219" spans="3:10" x14ac:dyDescent="0.15">
      <c r="C219" s="30"/>
      <c r="D219" s="30"/>
      <c r="E219" s="30"/>
      <c r="F219" s="30"/>
      <c r="G219" s="30"/>
      <c r="H219" s="30"/>
      <c r="I219" s="30"/>
      <c r="J219" s="30"/>
    </row>
    <row r="220" spans="3:10" x14ac:dyDescent="0.15">
      <c r="C220" s="30"/>
      <c r="D220" s="30"/>
      <c r="E220" s="30"/>
      <c r="F220" s="30"/>
      <c r="G220" s="30"/>
      <c r="H220" s="30"/>
      <c r="I220" s="30"/>
      <c r="J220" s="30"/>
    </row>
    <row r="221" spans="3:10" x14ac:dyDescent="0.15">
      <c r="C221" s="30"/>
      <c r="D221" s="30"/>
      <c r="E221" s="30"/>
      <c r="F221" s="30"/>
      <c r="G221" s="30"/>
      <c r="H221" s="30"/>
      <c r="I221" s="30"/>
      <c r="J221" s="30"/>
    </row>
    <row r="222" spans="3:10" x14ac:dyDescent="0.15">
      <c r="C222" s="30"/>
      <c r="D222" s="30"/>
      <c r="E222" s="30"/>
      <c r="F222" s="30"/>
      <c r="G222" s="30"/>
      <c r="H222" s="30"/>
      <c r="I222" s="30"/>
      <c r="J222" s="30"/>
    </row>
    <row r="223" spans="3:10" x14ac:dyDescent="0.15">
      <c r="C223" s="30"/>
      <c r="D223" s="30"/>
      <c r="E223" s="30"/>
      <c r="F223" s="30"/>
      <c r="G223" s="30"/>
      <c r="H223" s="30"/>
      <c r="I223" s="30"/>
      <c r="J223" s="30"/>
    </row>
    <row r="224" spans="3:10" x14ac:dyDescent="0.15">
      <c r="C224" s="30"/>
      <c r="D224" s="30"/>
      <c r="E224" s="30"/>
      <c r="F224" s="30"/>
      <c r="G224" s="30"/>
      <c r="H224" s="30"/>
      <c r="I224" s="30"/>
      <c r="J224" s="30"/>
    </row>
    <row r="225" spans="3:10" x14ac:dyDescent="0.15">
      <c r="C225" s="30"/>
      <c r="D225" s="30"/>
      <c r="E225" s="30"/>
      <c r="F225" s="30"/>
      <c r="G225" s="30"/>
      <c r="H225" s="30"/>
      <c r="I225" s="30"/>
      <c r="J225" s="30"/>
    </row>
    <row r="226" spans="3:10" x14ac:dyDescent="0.15">
      <c r="C226" s="30"/>
      <c r="D226" s="30"/>
      <c r="E226" s="30"/>
      <c r="F226" s="30"/>
      <c r="G226" s="30"/>
      <c r="H226" s="30"/>
      <c r="I226" s="30"/>
      <c r="J226" s="30"/>
    </row>
    <row r="227" spans="3:10" x14ac:dyDescent="0.15">
      <c r="C227" s="30"/>
      <c r="D227" s="30"/>
      <c r="E227" s="30"/>
      <c r="F227" s="30"/>
      <c r="G227" s="30"/>
      <c r="H227" s="30"/>
      <c r="I227" s="30"/>
      <c r="J227" s="30"/>
    </row>
    <row r="228" spans="3:10" x14ac:dyDescent="0.15">
      <c r="C228" s="30"/>
      <c r="D228" s="30"/>
      <c r="E228" s="30"/>
      <c r="F228" s="30"/>
      <c r="G228" s="30"/>
      <c r="H228" s="30"/>
      <c r="I228" s="30"/>
      <c r="J228" s="30"/>
    </row>
    <row r="229" spans="3:10" x14ac:dyDescent="0.15">
      <c r="C229" s="30"/>
      <c r="D229" s="30"/>
      <c r="E229" s="30"/>
      <c r="F229" s="30"/>
      <c r="G229" s="30"/>
      <c r="H229" s="30"/>
      <c r="I229" s="30"/>
      <c r="J229" s="30"/>
    </row>
    <row r="230" spans="3:10" x14ac:dyDescent="0.15">
      <c r="C230" s="30"/>
      <c r="D230" s="30"/>
      <c r="E230" s="30"/>
      <c r="F230" s="30"/>
      <c r="G230" s="30"/>
      <c r="H230" s="30"/>
      <c r="I230" s="30"/>
      <c r="J230" s="30"/>
    </row>
    <row r="231" spans="3:10" x14ac:dyDescent="0.15">
      <c r="C231" s="30"/>
      <c r="D231" s="30"/>
      <c r="E231" s="30"/>
      <c r="F231" s="30"/>
      <c r="G231" s="30"/>
      <c r="H231" s="30"/>
      <c r="I231" s="30"/>
      <c r="J231" s="30"/>
    </row>
    <row r="232" spans="3:10" x14ac:dyDescent="0.15">
      <c r="C232" s="30"/>
      <c r="D232" s="30"/>
      <c r="E232" s="30"/>
      <c r="F232" s="30"/>
      <c r="G232" s="30"/>
      <c r="H232" s="30"/>
      <c r="I232" s="30"/>
      <c r="J232" s="30"/>
    </row>
    <row r="233" spans="3:10" x14ac:dyDescent="0.15">
      <c r="C233" s="30"/>
      <c r="D233" s="30"/>
      <c r="E233" s="30"/>
      <c r="F233" s="30"/>
      <c r="G233" s="30"/>
      <c r="H233" s="30"/>
      <c r="I233" s="30"/>
      <c r="J233" s="30"/>
    </row>
    <row r="234" spans="3:10" x14ac:dyDescent="0.15">
      <c r="C234" s="30"/>
      <c r="D234" s="30"/>
      <c r="E234" s="30"/>
      <c r="F234" s="30"/>
      <c r="G234" s="30"/>
      <c r="H234" s="30"/>
      <c r="I234" s="30"/>
      <c r="J234" s="30"/>
    </row>
    <row r="235" spans="3:10" x14ac:dyDescent="0.15">
      <c r="C235" s="30"/>
      <c r="D235" s="30"/>
      <c r="E235" s="30"/>
      <c r="F235" s="30"/>
      <c r="G235" s="30"/>
      <c r="H235" s="30"/>
      <c r="I235" s="30"/>
      <c r="J235" s="30"/>
    </row>
    <row r="236" spans="3:10" x14ac:dyDescent="0.15">
      <c r="C236" s="30"/>
      <c r="D236" s="30"/>
      <c r="E236" s="30"/>
      <c r="F236" s="30"/>
      <c r="G236" s="30"/>
      <c r="H236" s="30"/>
      <c r="I236" s="30"/>
      <c r="J236" s="30"/>
    </row>
    <row r="237" spans="3:10" x14ac:dyDescent="0.15">
      <c r="C237" s="30"/>
      <c r="D237" s="30"/>
      <c r="E237" s="30"/>
      <c r="F237" s="30"/>
      <c r="G237" s="30"/>
      <c r="H237" s="30"/>
      <c r="I237" s="30"/>
      <c r="J237" s="30"/>
    </row>
    <row r="238" spans="3:10" x14ac:dyDescent="0.15">
      <c r="C238" s="30"/>
      <c r="D238" s="30"/>
      <c r="E238" s="30"/>
      <c r="F238" s="30"/>
      <c r="G238" s="30"/>
      <c r="H238" s="30"/>
      <c r="I238" s="30"/>
      <c r="J238" s="30"/>
    </row>
    <row r="239" spans="3:10" x14ac:dyDescent="0.15">
      <c r="C239" s="30"/>
      <c r="D239" s="30"/>
      <c r="E239" s="30"/>
      <c r="F239" s="30"/>
      <c r="G239" s="30"/>
      <c r="H239" s="30"/>
      <c r="I239" s="30"/>
      <c r="J239" s="30"/>
    </row>
    <row r="240" spans="3:10" x14ac:dyDescent="0.15">
      <c r="C240" s="30"/>
      <c r="D240" s="30"/>
      <c r="E240" s="30"/>
      <c r="F240" s="30"/>
      <c r="G240" s="30"/>
      <c r="H240" s="30"/>
      <c r="I240" s="30"/>
      <c r="J240" s="30"/>
    </row>
    <row r="241" spans="3:10" x14ac:dyDescent="0.15">
      <c r="C241" s="30"/>
      <c r="D241" s="30"/>
      <c r="E241" s="30"/>
      <c r="F241" s="30"/>
      <c r="G241" s="30"/>
      <c r="H241" s="30"/>
      <c r="I241" s="30"/>
      <c r="J241" s="30"/>
    </row>
    <row r="242" spans="3:10" x14ac:dyDescent="0.15">
      <c r="C242" s="30"/>
      <c r="D242" s="30"/>
      <c r="E242" s="30"/>
      <c r="F242" s="30"/>
      <c r="G242" s="30"/>
      <c r="H242" s="30"/>
      <c r="I242" s="30"/>
      <c r="J242" s="30"/>
    </row>
    <row r="243" spans="3:10" x14ac:dyDescent="0.15">
      <c r="C243" s="30"/>
      <c r="D243" s="30"/>
      <c r="E243" s="30"/>
      <c r="F243" s="30"/>
      <c r="G243" s="30"/>
      <c r="H243" s="30"/>
      <c r="I243" s="30"/>
      <c r="J243" s="30"/>
    </row>
    <row r="244" spans="3:10" x14ac:dyDescent="0.15">
      <c r="C244" s="30"/>
      <c r="D244" s="30"/>
      <c r="E244" s="30"/>
      <c r="F244" s="30"/>
      <c r="G244" s="30"/>
      <c r="H244" s="30"/>
      <c r="I244" s="30"/>
      <c r="J244" s="30"/>
    </row>
    <row r="245" spans="3:10" x14ac:dyDescent="0.15">
      <c r="C245" s="30"/>
      <c r="D245" s="30"/>
      <c r="E245" s="30"/>
      <c r="F245" s="30"/>
      <c r="G245" s="30"/>
      <c r="H245" s="30"/>
      <c r="I245" s="30"/>
      <c r="J245" s="30"/>
    </row>
    <row r="246" spans="3:10" x14ac:dyDescent="0.15">
      <c r="C246" s="30"/>
      <c r="D246" s="30"/>
      <c r="E246" s="30"/>
      <c r="F246" s="30"/>
      <c r="G246" s="30"/>
      <c r="H246" s="30"/>
      <c r="I246" s="30"/>
      <c r="J246" s="30"/>
    </row>
    <row r="247" spans="3:10" x14ac:dyDescent="0.15">
      <c r="C247" s="30"/>
      <c r="D247" s="30"/>
      <c r="E247" s="30"/>
      <c r="F247" s="30"/>
      <c r="G247" s="30"/>
      <c r="H247" s="30"/>
      <c r="I247" s="30"/>
      <c r="J247" s="30"/>
    </row>
    <row r="248" spans="3:10" x14ac:dyDescent="0.15">
      <c r="C248" s="30"/>
      <c r="D248" s="30"/>
      <c r="E248" s="30"/>
      <c r="F248" s="30"/>
      <c r="G248" s="30"/>
      <c r="H248" s="30"/>
      <c r="I248" s="30"/>
      <c r="J248" s="30"/>
    </row>
    <row r="249" spans="3:10" x14ac:dyDescent="0.15">
      <c r="C249" s="30"/>
      <c r="D249" s="30"/>
      <c r="E249" s="30"/>
      <c r="F249" s="30"/>
      <c r="G249" s="30"/>
      <c r="H249" s="30"/>
      <c r="I249" s="30"/>
      <c r="J249" s="30"/>
    </row>
    <row r="250" spans="3:10" x14ac:dyDescent="0.15">
      <c r="C250" s="30"/>
      <c r="D250" s="30"/>
      <c r="E250" s="30"/>
      <c r="F250" s="30"/>
      <c r="G250" s="30"/>
      <c r="H250" s="30"/>
      <c r="I250" s="30"/>
      <c r="J250" s="30"/>
    </row>
    <row r="251" spans="3:10" x14ac:dyDescent="0.15">
      <c r="C251" s="30"/>
      <c r="D251" s="30"/>
      <c r="E251" s="30"/>
      <c r="F251" s="30"/>
      <c r="G251" s="30"/>
      <c r="H251" s="30"/>
      <c r="I251" s="30"/>
      <c r="J251" s="30"/>
    </row>
    <row r="252" spans="3:10" x14ac:dyDescent="0.15">
      <c r="C252" s="30"/>
      <c r="D252" s="30"/>
      <c r="E252" s="30"/>
      <c r="F252" s="30"/>
      <c r="G252" s="30"/>
      <c r="H252" s="30"/>
      <c r="I252" s="30"/>
      <c r="J252" s="30"/>
    </row>
  </sheetData>
  <mergeCells count="12">
    <mergeCell ref="L56:W57"/>
    <mergeCell ref="S7:S8"/>
    <mergeCell ref="M6:M8"/>
    <mergeCell ref="L2:W2"/>
    <mergeCell ref="N5:W5"/>
    <mergeCell ref="N6:N8"/>
    <mergeCell ref="O6:O8"/>
    <mergeCell ref="Q6:Q8"/>
    <mergeCell ref="W6:W8"/>
    <mergeCell ref="R7:R8"/>
    <mergeCell ref="P6:P8"/>
    <mergeCell ref="V7:V8"/>
  </mergeCells>
  <pageMargins left="0.7" right="0.7" top="0.75" bottom="0.75" header="0.3" footer="0.3"/>
  <pageSetup paperSize="9" scale="55"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W249"/>
  <sheetViews>
    <sheetView workbookViewId="0">
      <pane xSplit="1" ySplit="8" topLeftCell="B44" activePane="bottomRight" state="frozen"/>
      <selection pane="topRight" activeCell="X16" sqref="X16"/>
      <selection pane="bottomLeft" activeCell="X16" sqref="X16"/>
      <selection pane="bottomRight" activeCell="L2" sqref="L2:W54"/>
    </sheetView>
  </sheetViews>
  <sheetFormatPr baseColWidth="10" defaultColWidth="10.83203125" defaultRowHeight="13" x14ac:dyDescent="0.15"/>
  <cols>
    <col min="1" max="1" width="8.6640625" style="29" hidden="1" customWidth="1"/>
    <col min="2" max="4" width="12.5" style="29" hidden="1" customWidth="1"/>
    <col min="5" max="5" width="12.83203125" style="29" hidden="1" customWidth="1"/>
    <col min="6" max="6" width="10.5" style="29" hidden="1" customWidth="1"/>
    <col min="7" max="8" width="10.1640625" style="29" hidden="1" customWidth="1"/>
    <col min="9" max="9" width="12.5" style="29" hidden="1" customWidth="1"/>
    <col min="10" max="10" width="9.5" style="29" hidden="1" customWidth="1"/>
    <col min="11" max="11" width="2.5" style="29" customWidth="1"/>
    <col min="12" max="23" width="12.33203125" style="29" customWidth="1"/>
    <col min="24" max="16384" width="10.83203125" style="29"/>
  </cols>
  <sheetData>
    <row r="1" spans="1:23" ht="14" thickBot="1" x14ac:dyDescent="0.2">
      <c r="A1" s="54"/>
      <c r="B1" s="53"/>
      <c r="C1" s="52"/>
      <c r="D1" s="52"/>
      <c r="E1" s="52"/>
      <c r="F1" s="52"/>
      <c r="G1" s="52"/>
      <c r="H1" s="52"/>
      <c r="I1" s="52"/>
      <c r="J1" s="52"/>
      <c r="K1" s="49"/>
      <c r="L1" s="49"/>
      <c r="M1" s="49"/>
      <c r="N1" s="49"/>
      <c r="O1" s="49"/>
      <c r="P1" s="49"/>
      <c r="Q1" s="49"/>
      <c r="R1" s="49"/>
      <c r="S1" s="49"/>
      <c r="T1" s="49"/>
      <c r="U1" s="49"/>
      <c r="V1" s="49"/>
      <c r="W1" s="49"/>
    </row>
    <row r="2" spans="1:23" s="57" customFormat="1" ht="33" customHeight="1" thickTop="1" x14ac:dyDescent="0.15">
      <c r="A2" s="29"/>
      <c r="B2" s="29"/>
      <c r="C2" s="29"/>
      <c r="D2" s="29"/>
      <c r="E2" s="29"/>
      <c r="F2" s="29"/>
      <c r="G2" s="29"/>
      <c r="H2" s="29"/>
      <c r="I2" s="29"/>
      <c r="J2" s="29"/>
      <c r="K2" s="58"/>
      <c r="L2" s="2197" t="s">
        <v>401</v>
      </c>
      <c r="M2" s="2198"/>
      <c r="N2" s="2198"/>
      <c r="O2" s="2198"/>
      <c r="P2" s="2198"/>
      <c r="Q2" s="2198"/>
      <c r="R2" s="2198"/>
      <c r="S2" s="2198"/>
      <c r="T2" s="2198"/>
      <c r="U2" s="2198"/>
      <c r="V2" s="2198"/>
      <c r="W2" s="2199"/>
    </row>
    <row r="3" spans="1:23" s="57" customFormat="1" ht="15" customHeight="1" x14ac:dyDescent="0.15">
      <c r="A3" s="29"/>
      <c r="B3" s="29"/>
      <c r="C3" s="29"/>
      <c r="D3" s="29"/>
      <c r="E3" s="29"/>
      <c r="F3" s="29"/>
      <c r="G3" s="29"/>
      <c r="H3" s="29"/>
      <c r="I3" s="29"/>
      <c r="J3" s="29"/>
      <c r="K3" s="58"/>
      <c r="L3" s="348"/>
      <c r="M3" s="349"/>
      <c r="N3" s="349"/>
      <c r="O3" s="349"/>
      <c r="P3" s="349"/>
      <c r="Q3" s="349"/>
      <c r="R3" s="349"/>
      <c r="S3" s="349"/>
      <c r="T3" s="349"/>
      <c r="U3" s="349"/>
      <c r="V3" s="349"/>
      <c r="W3" s="350"/>
    </row>
    <row r="4" spans="1:23" x14ac:dyDescent="0.15">
      <c r="K4" s="34"/>
      <c r="L4" s="102"/>
      <c r="M4" s="1383" t="s">
        <v>1</v>
      </c>
      <c r="N4" s="1383" t="s">
        <v>2</v>
      </c>
      <c r="O4" s="1383" t="s">
        <v>3</v>
      </c>
      <c r="P4" s="1383" t="s">
        <v>4</v>
      </c>
      <c r="Q4" s="1383" t="s">
        <v>5</v>
      </c>
      <c r="R4" s="1383" t="s">
        <v>6</v>
      </c>
      <c r="S4" s="67" t="s">
        <v>7</v>
      </c>
      <c r="T4" s="1383" t="s">
        <v>8</v>
      </c>
      <c r="U4" s="1383" t="s">
        <v>9</v>
      </c>
      <c r="V4" s="1383" t="s">
        <v>10</v>
      </c>
      <c r="W4" s="104" t="s">
        <v>11</v>
      </c>
    </row>
    <row r="5" spans="1:23" ht="16" customHeight="1" thickBot="1" x14ac:dyDescent="0.2">
      <c r="K5" s="48"/>
      <c r="L5" s="102"/>
      <c r="M5" s="351"/>
      <c r="N5" s="2200" t="s">
        <v>395</v>
      </c>
      <c r="O5" s="2201"/>
      <c r="P5" s="2201"/>
      <c r="Q5" s="2201"/>
      <c r="R5" s="2201"/>
      <c r="S5" s="2201"/>
      <c r="T5" s="2201"/>
      <c r="U5" s="2201"/>
      <c r="V5" s="2201"/>
      <c r="W5" s="2202"/>
    </row>
    <row r="6" spans="1:23" ht="32.25" customHeight="1" x14ac:dyDescent="0.2">
      <c r="K6" s="34"/>
      <c r="L6" s="102"/>
      <c r="M6" s="2206" t="s">
        <v>396</v>
      </c>
      <c r="N6" s="2203" t="s">
        <v>328</v>
      </c>
      <c r="O6" s="2193" t="s">
        <v>397</v>
      </c>
      <c r="P6" s="2193" t="s">
        <v>398</v>
      </c>
      <c r="Q6" s="2193" t="s">
        <v>330</v>
      </c>
      <c r="R6" s="1384"/>
      <c r="S6" s="1384"/>
      <c r="T6" s="1384"/>
      <c r="U6" s="1384"/>
      <c r="V6" s="1384"/>
      <c r="W6" s="2204" t="s">
        <v>331</v>
      </c>
    </row>
    <row r="7" spans="1:23" ht="25" customHeight="1" thickBot="1" x14ac:dyDescent="0.25">
      <c r="K7" s="34"/>
      <c r="L7" s="102"/>
      <c r="M7" s="2194"/>
      <c r="N7" s="2135"/>
      <c r="O7" s="2137"/>
      <c r="P7" s="2137"/>
      <c r="Q7" s="2137"/>
      <c r="R7" s="2196" t="s">
        <v>125</v>
      </c>
      <c r="S7" s="2137" t="s">
        <v>332</v>
      </c>
      <c r="T7" s="1299"/>
      <c r="U7" s="1299"/>
      <c r="V7" s="2144" t="s">
        <v>399</v>
      </c>
      <c r="W7" s="2139"/>
    </row>
    <row r="8" spans="1:23" ht="61" customHeight="1" thickBot="1" x14ac:dyDescent="0.2">
      <c r="K8" s="34"/>
      <c r="L8" s="103"/>
      <c r="M8" s="2195"/>
      <c r="N8" s="2136"/>
      <c r="O8" s="2138"/>
      <c r="P8" s="2138"/>
      <c r="Q8" s="2138"/>
      <c r="R8" s="2142"/>
      <c r="S8" s="2138" t="s">
        <v>332</v>
      </c>
      <c r="T8" s="397" t="s">
        <v>334</v>
      </c>
      <c r="U8" s="398" t="s">
        <v>335</v>
      </c>
      <c r="V8" s="2145"/>
      <c r="W8" s="2140"/>
    </row>
    <row r="9" spans="1:23" ht="15" hidden="1" customHeight="1" x14ac:dyDescent="0.15">
      <c r="K9" s="34"/>
      <c r="L9" s="38">
        <v>1970</v>
      </c>
      <c r="M9" s="352">
        <v>14</v>
      </c>
      <c r="N9" s="419">
        <v>2.4126398</v>
      </c>
      <c r="O9" s="36">
        <v>0.3445089000000004</v>
      </c>
      <c r="P9" s="36"/>
      <c r="Q9" s="36">
        <v>5.61498834</v>
      </c>
      <c r="R9" s="37">
        <v>0.3620701300000001</v>
      </c>
      <c r="S9" s="61">
        <v>8.1139127999999996</v>
      </c>
      <c r="T9" s="64"/>
      <c r="U9" s="65"/>
      <c r="V9" s="35" t="e">
        <f>#REF!-S9</f>
        <v>#REF!</v>
      </c>
      <c r="W9" s="56">
        <f t="shared" ref="W9:W32" si="0">N9-O9-Q9</f>
        <v>-3.5468574400000006</v>
      </c>
    </row>
    <row r="10" spans="1:23" ht="15" hidden="1" customHeight="1" x14ac:dyDescent="0.15">
      <c r="K10" s="34"/>
      <c r="L10" s="38">
        <f t="shared" ref="L10:L47" si="1">L9+1</f>
        <v>1971</v>
      </c>
      <c r="M10" s="352">
        <v>20</v>
      </c>
      <c r="N10" s="419">
        <v>0.62123574700000017</v>
      </c>
      <c r="O10" s="36">
        <v>2.5751309299999994</v>
      </c>
      <c r="P10" s="36"/>
      <c r="Q10" s="36">
        <v>4.9126059029999993</v>
      </c>
      <c r="R10" s="37">
        <v>0.14082795448999996</v>
      </c>
      <c r="S10" s="61">
        <v>6.3092800800000006</v>
      </c>
      <c r="T10" s="64"/>
      <c r="U10" s="65"/>
      <c r="V10" s="35" t="e">
        <f>#REF!-S10</f>
        <v>#REF!</v>
      </c>
      <c r="W10" s="56">
        <f t="shared" si="0"/>
        <v>-6.8665010859999986</v>
      </c>
    </row>
    <row r="11" spans="1:23" ht="15" hidden="1" customHeight="1" x14ac:dyDescent="0.15">
      <c r="K11" s="34"/>
      <c r="L11" s="38">
        <f t="shared" si="1"/>
        <v>1972</v>
      </c>
      <c r="M11" s="352">
        <v>23</v>
      </c>
      <c r="N11" s="419">
        <v>-0.83427635999999894</v>
      </c>
      <c r="O11" s="36">
        <v>1.0661059000000004</v>
      </c>
      <c r="P11" s="36"/>
      <c r="Q11" s="44">
        <v>5.9119252440000007</v>
      </c>
      <c r="R11" s="45">
        <v>0.17956505000000009</v>
      </c>
      <c r="S11" s="100">
        <v>7.7857474599999987</v>
      </c>
      <c r="T11" s="100"/>
      <c r="U11" s="66"/>
      <c r="V11" s="99" t="e">
        <f>#REF!-S11</f>
        <v>#REF!</v>
      </c>
      <c r="W11" s="60">
        <f t="shared" si="0"/>
        <v>-7.8123075039999996</v>
      </c>
    </row>
    <row r="12" spans="1:23" ht="15" hidden="1" customHeight="1" x14ac:dyDescent="0.15">
      <c r="K12" s="34"/>
      <c r="L12" s="38">
        <f t="shared" si="1"/>
        <v>1973</v>
      </c>
      <c r="M12" s="352">
        <v>23</v>
      </c>
      <c r="N12" s="419">
        <v>11.18155471</v>
      </c>
      <c r="O12" s="36">
        <v>12.094017570000004</v>
      </c>
      <c r="P12" s="36"/>
      <c r="Q12" s="44">
        <v>8.4966201810000026</v>
      </c>
      <c r="R12" s="45">
        <v>-0.1815000170000001</v>
      </c>
      <c r="S12" s="100">
        <v>11.903125670000001</v>
      </c>
      <c r="T12" s="100"/>
      <c r="U12" s="66"/>
      <c r="V12" s="99" t="e">
        <f>#REF!-S12</f>
        <v>#REF!</v>
      </c>
      <c r="W12" s="60">
        <f t="shared" si="0"/>
        <v>-9.4090830410000059</v>
      </c>
    </row>
    <row r="13" spans="1:23" ht="15" hidden="1" customHeight="1" x14ac:dyDescent="0.15">
      <c r="K13" s="34"/>
      <c r="L13" s="38">
        <f t="shared" si="1"/>
        <v>1974</v>
      </c>
      <c r="M13" s="352">
        <v>37</v>
      </c>
      <c r="N13" s="419">
        <v>10.017000887000002</v>
      </c>
      <c r="O13" s="36">
        <v>13.730893719999996</v>
      </c>
      <c r="P13" s="36"/>
      <c r="Q13" s="44">
        <v>8.9314641462999997</v>
      </c>
      <c r="R13" s="45">
        <v>-0.44591925859999998</v>
      </c>
      <c r="S13" s="100">
        <v>12.14380077</v>
      </c>
      <c r="T13" s="100"/>
      <c r="U13" s="66"/>
      <c r="V13" s="99" t="e">
        <f>#REF!-S13</f>
        <v>#REF!</v>
      </c>
      <c r="W13" s="60">
        <f t="shared" si="0"/>
        <v>-12.645356979299994</v>
      </c>
    </row>
    <row r="14" spans="1:23" ht="12" customHeight="1" x14ac:dyDescent="0.15">
      <c r="K14" s="34"/>
      <c r="L14" s="357">
        <f t="shared" si="1"/>
        <v>1975</v>
      </c>
      <c r="M14" s="358">
        <v>54</v>
      </c>
      <c r="N14" s="359">
        <v>5.3043714593035274</v>
      </c>
      <c r="O14" s="1392">
        <v>15.307229909528353</v>
      </c>
      <c r="P14" s="1392"/>
      <c r="Q14" s="1393">
        <v>1.9573139426676112</v>
      </c>
      <c r="R14" s="360">
        <v>-0.747</v>
      </c>
      <c r="S14" s="361">
        <v>8.4996899999999993</v>
      </c>
      <c r="T14" s="361">
        <v>9.0624500000000001</v>
      </c>
      <c r="U14" s="362">
        <f>+S14-T14</f>
        <v>-0.56276000000000082</v>
      </c>
      <c r="V14" s="363">
        <f>+Q14-R14-S14</f>
        <v>-5.7953760573323887</v>
      </c>
      <c r="W14" s="364">
        <f t="shared" si="0"/>
        <v>-11.960172392892435</v>
      </c>
    </row>
    <row r="15" spans="1:23" ht="12" customHeight="1" x14ac:dyDescent="0.15">
      <c r="K15" s="34"/>
      <c r="L15" s="38">
        <f t="shared" si="1"/>
        <v>1976</v>
      </c>
      <c r="M15" s="353">
        <v>78</v>
      </c>
      <c r="N15" s="419">
        <v>-8.997361419212055</v>
      </c>
      <c r="O15" s="36">
        <v>-2.3678854724604714</v>
      </c>
      <c r="P15" s="36"/>
      <c r="Q15" s="44">
        <v>1.1282518931736254</v>
      </c>
      <c r="R15" s="45">
        <v>-0.82</v>
      </c>
      <c r="S15" s="100">
        <v>8.9847999999999999</v>
      </c>
      <c r="T15" s="100">
        <v>9.5796899999999994</v>
      </c>
      <c r="U15" s="66">
        <f t="shared" ref="U15:U54" si="2">+S15-T15</f>
        <v>-0.59488999999999947</v>
      </c>
      <c r="V15" s="99">
        <f t="shared" ref="V15:V54" si="3">+Q15-R15-S15</f>
        <v>-7.0365481068263751</v>
      </c>
      <c r="W15" s="98">
        <f t="shared" si="0"/>
        <v>-7.7577278399252085</v>
      </c>
    </row>
    <row r="16" spans="1:23" ht="12" customHeight="1" x14ac:dyDescent="0.15">
      <c r="K16" s="34"/>
      <c r="L16" s="38">
        <f t="shared" si="1"/>
        <v>1977</v>
      </c>
      <c r="M16" s="353">
        <v>104</v>
      </c>
      <c r="N16" s="419">
        <v>-23.250558083315642</v>
      </c>
      <c r="O16" s="36">
        <v>-11.932350526732883</v>
      </c>
      <c r="P16" s="36"/>
      <c r="Q16" s="44">
        <v>-4.5868502969730525</v>
      </c>
      <c r="R16" s="45">
        <v>-0.13700000000000001</v>
      </c>
      <c r="S16" s="100">
        <v>0.68204399999999998</v>
      </c>
      <c r="T16" s="100">
        <v>1.3904399999999999</v>
      </c>
      <c r="U16" s="66">
        <f t="shared" si="2"/>
        <v>-0.70839599999999991</v>
      </c>
      <c r="V16" s="99">
        <f t="shared" si="3"/>
        <v>-5.1318942969730523</v>
      </c>
      <c r="W16" s="98">
        <f t="shared" si="0"/>
        <v>-6.7313572596097071</v>
      </c>
    </row>
    <row r="17" spans="11:23" ht="12" customHeight="1" x14ac:dyDescent="0.15">
      <c r="K17" s="34"/>
      <c r="L17" s="38">
        <f t="shared" si="1"/>
        <v>1978</v>
      </c>
      <c r="M17" s="353">
        <v>110</v>
      </c>
      <c r="N17" s="419">
        <v>-25.322395374924788</v>
      </c>
      <c r="O17" s="36">
        <v>-12.441851900611617</v>
      </c>
      <c r="P17" s="36"/>
      <c r="Q17" s="44">
        <v>-2.8903695700901744</v>
      </c>
      <c r="R17" s="45">
        <v>0.443</v>
      </c>
      <c r="S17" s="100">
        <v>3.6046399999999998</v>
      </c>
      <c r="T17" s="100">
        <v>4.8885899999999998</v>
      </c>
      <c r="U17" s="66">
        <f t="shared" si="2"/>
        <v>-1.2839499999999999</v>
      </c>
      <c r="V17" s="99">
        <f t="shared" si="3"/>
        <v>-6.9380095700901743</v>
      </c>
      <c r="W17" s="98">
        <f t="shared" si="0"/>
        <v>-9.9901739042229973</v>
      </c>
    </row>
    <row r="18" spans="11:23" ht="12" customHeight="1" x14ac:dyDescent="0.15">
      <c r="K18" s="34"/>
      <c r="L18" s="38">
        <f t="shared" si="1"/>
        <v>1979</v>
      </c>
      <c r="M18" s="353">
        <v>114</v>
      </c>
      <c r="N18" s="419">
        <v>-30.639624018813794</v>
      </c>
      <c r="O18" s="36">
        <v>-26.570926159833913</v>
      </c>
      <c r="P18" s="36"/>
      <c r="Q18" s="44">
        <v>4.0460346156485807</v>
      </c>
      <c r="R18" s="97">
        <v>1.3</v>
      </c>
      <c r="S18" s="96">
        <v>17.4864</v>
      </c>
      <c r="T18" s="96">
        <v>19.146000000000001</v>
      </c>
      <c r="U18" s="95">
        <f t="shared" si="2"/>
        <v>-1.6596000000000011</v>
      </c>
      <c r="V18" s="94">
        <f t="shared" si="3"/>
        <v>-14.740365384351419</v>
      </c>
      <c r="W18" s="93">
        <f t="shared" si="0"/>
        <v>-8.114732474628461</v>
      </c>
    </row>
    <row r="19" spans="11:23" ht="12" customHeight="1" x14ac:dyDescent="0.15">
      <c r="K19" s="34"/>
      <c r="L19" s="42">
        <f t="shared" si="1"/>
        <v>1980</v>
      </c>
      <c r="M19" s="354">
        <v>119</v>
      </c>
      <c r="N19" s="59">
        <v>-58.429490915017688</v>
      </c>
      <c r="O19" s="1385">
        <v>-37.342593624541593</v>
      </c>
      <c r="P19" s="1385"/>
      <c r="Q19" s="1386">
        <v>-13.169918208350103</v>
      </c>
      <c r="R19" s="45">
        <v>2.12</v>
      </c>
      <c r="S19" s="100">
        <v>3.8552499999999998</v>
      </c>
      <c r="T19" s="100">
        <v>5.78207</v>
      </c>
      <c r="U19" s="66">
        <f t="shared" si="2"/>
        <v>-1.9268200000000002</v>
      </c>
      <c r="V19" s="99">
        <f t="shared" si="3"/>
        <v>-19.1451682083501</v>
      </c>
      <c r="W19" s="98">
        <f t="shared" si="0"/>
        <v>-7.9169790821259927</v>
      </c>
    </row>
    <row r="20" spans="11:23" ht="12" customHeight="1" x14ac:dyDescent="0.15">
      <c r="K20" s="34"/>
      <c r="L20" s="38">
        <f t="shared" si="1"/>
        <v>1981</v>
      </c>
      <c r="M20" s="353">
        <v>122</v>
      </c>
      <c r="N20" s="419">
        <v>-76.505286687173765</v>
      </c>
      <c r="O20" s="36">
        <v>-35.566911919827355</v>
      </c>
      <c r="P20" s="36"/>
      <c r="Q20" s="44">
        <v>-32.132066756686825</v>
      </c>
      <c r="R20" s="45">
        <v>1.31</v>
      </c>
      <c r="S20" s="100">
        <v>-5.1824300000000001</v>
      </c>
      <c r="T20" s="100">
        <v>-2.8523900000000002</v>
      </c>
      <c r="U20" s="66">
        <f t="shared" si="2"/>
        <v>-2.3300399999999999</v>
      </c>
      <c r="V20" s="99">
        <f t="shared" si="3"/>
        <v>-28.259636756686827</v>
      </c>
      <c r="W20" s="98">
        <f t="shared" si="0"/>
        <v>-8.8063080106595848</v>
      </c>
    </row>
    <row r="21" spans="11:23" ht="12" customHeight="1" x14ac:dyDescent="0.15">
      <c r="K21" s="34"/>
      <c r="L21" s="38">
        <f t="shared" si="1"/>
        <v>1982</v>
      </c>
      <c r="M21" s="353">
        <v>126</v>
      </c>
      <c r="N21" s="419">
        <v>-88.423735795847321</v>
      </c>
      <c r="O21" s="36">
        <v>-37.529356972937173</v>
      </c>
      <c r="P21" s="36"/>
      <c r="Q21" s="44">
        <v>-38.682756445850615</v>
      </c>
      <c r="R21" s="45">
        <v>1.42</v>
      </c>
      <c r="S21" s="100">
        <v>-1.327</v>
      </c>
      <c r="T21" s="100">
        <v>1.0159</v>
      </c>
      <c r="U21" s="66">
        <f t="shared" si="2"/>
        <v>-2.3429000000000002</v>
      </c>
      <c r="V21" s="99">
        <f t="shared" si="3"/>
        <v>-38.775756445850618</v>
      </c>
      <c r="W21" s="98">
        <f t="shared" si="0"/>
        <v>-12.211622377059534</v>
      </c>
    </row>
    <row r="22" spans="11:23" ht="12" customHeight="1" x14ac:dyDescent="0.15">
      <c r="K22" s="34"/>
      <c r="L22" s="38">
        <f t="shared" si="1"/>
        <v>1983</v>
      </c>
      <c r="M22" s="353">
        <v>126</v>
      </c>
      <c r="N22" s="419">
        <v>-76.07653465981538</v>
      </c>
      <c r="O22" s="36">
        <v>-37.609389742328354</v>
      </c>
      <c r="P22" s="36"/>
      <c r="Q22" s="44">
        <v>-29.13690458542683</v>
      </c>
      <c r="R22" s="45">
        <v>1.5</v>
      </c>
      <c r="S22" s="100">
        <v>4.3809500000000003</v>
      </c>
      <c r="T22" s="100">
        <v>6.5154300000000003</v>
      </c>
      <c r="U22" s="66">
        <f t="shared" si="2"/>
        <v>-2.1344799999999999</v>
      </c>
      <c r="V22" s="99">
        <f t="shared" si="3"/>
        <v>-35.017854585426832</v>
      </c>
      <c r="W22" s="98">
        <f t="shared" si="0"/>
        <v>-9.3302403320601961</v>
      </c>
    </row>
    <row r="23" spans="11:23" ht="12" customHeight="1" x14ac:dyDescent="0.15">
      <c r="K23" s="34"/>
      <c r="L23" s="38">
        <f t="shared" si="1"/>
        <v>1984</v>
      </c>
      <c r="M23" s="353">
        <v>127</v>
      </c>
      <c r="N23" s="419">
        <v>-83.177398533984856</v>
      </c>
      <c r="O23" s="36">
        <v>-38.773357700495865</v>
      </c>
      <c r="P23" s="36"/>
      <c r="Q23" s="44">
        <v>-35.371266844947186</v>
      </c>
      <c r="R23" s="45">
        <v>1.0900000000000001</v>
      </c>
      <c r="S23" s="100">
        <v>8.3872999999999998</v>
      </c>
      <c r="T23" s="100">
        <v>10.525</v>
      </c>
      <c r="U23" s="66">
        <f t="shared" si="2"/>
        <v>-2.1377000000000006</v>
      </c>
      <c r="V23" s="99">
        <f t="shared" si="3"/>
        <v>-44.848566844947186</v>
      </c>
      <c r="W23" s="98">
        <f t="shared" si="0"/>
        <v>-9.0327739885418055</v>
      </c>
    </row>
    <row r="24" spans="11:23" ht="12" customHeight="1" x14ac:dyDescent="0.15">
      <c r="K24" s="34"/>
      <c r="L24" s="38">
        <f t="shared" si="1"/>
        <v>1985</v>
      </c>
      <c r="M24" s="353">
        <v>129</v>
      </c>
      <c r="N24" s="419">
        <v>-87.128292100285293</v>
      </c>
      <c r="O24" s="36">
        <v>-31.639557200011215</v>
      </c>
      <c r="P24" s="36"/>
      <c r="Q24" s="44">
        <v>-47.015863866005368</v>
      </c>
      <c r="R24" s="45">
        <v>0.752</v>
      </c>
      <c r="S24" s="100">
        <v>7.2998200000000004</v>
      </c>
      <c r="T24" s="100">
        <v>7.9588900000000002</v>
      </c>
      <c r="U24" s="66">
        <f t="shared" si="2"/>
        <v>-0.65906999999999982</v>
      </c>
      <c r="V24" s="99">
        <f t="shared" si="3"/>
        <v>-55.067683866005368</v>
      </c>
      <c r="W24" s="98">
        <f t="shared" si="0"/>
        <v>-8.4728710342687137</v>
      </c>
    </row>
    <row r="25" spans="11:23" ht="12" customHeight="1" x14ac:dyDescent="0.15">
      <c r="K25" s="34"/>
      <c r="L25" s="38">
        <f t="shared" si="1"/>
        <v>1986</v>
      </c>
      <c r="M25" s="353">
        <v>131</v>
      </c>
      <c r="N25" s="419">
        <v>-77.95610200001552</v>
      </c>
      <c r="O25" s="36">
        <v>-20.946701267923356</v>
      </c>
      <c r="P25" s="36"/>
      <c r="Q25" s="44">
        <v>-44.430724659965868</v>
      </c>
      <c r="R25" s="45">
        <v>5.9262023829999996E-2</v>
      </c>
      <c r="S25" s="100">
        <v>17.649699999999999</v>
      </c>
      <c r="T25" s="100">
        <v>24.7498</v>
      </c>
      <c r="U25" s="66">
        <f t="shared" si="2"/>
        <v>-7.1001000000000012</v>
      </c>
      <c r="V25" s="99">
        <f t="shared" si="3"/>
        <v>-62.139686683795873</v>
      </c>
      <c r="W25" s="98">
        <f t="shared" si="0"/>
        <v>-12.578676072126292</v>
      </c>
    </row>
    <row r="26" spans="11:23" ht="12" customHeight="1" x14ac:dyDescent="0.15">
      <c r="K26" s="34"/>
      <c r="L26" s="38">
        <f t="shared" si="1"/>
        <v>1987</v>
      </c>
      <c r="M26" s="353">
        <v>130</v>
      </c>
      <c r="N26" s="419">
        <v>-78.194555602830476</v>
      </c>
      <c r="O26" s="36">
        <v>-11.213505444712265</v>
      </c>
      <c r="P26" s="36"/>
      <c r="Q26" s="44">
        <v>-53.469345138835351</v>
      </c>
      <c r="R26" s="45">
        <v>-0.59299999999999997</v>
      </c>
      <c r="S26" s="100">
        <v>25.404299999999999</v>
      </c>
      <c r="T26" s="100">
        <v>32.175600000000003</v>
      </c>
      <c r="U26" s="66">
        <f t="shared" si="2"/>
        <v>-6.7713000000000036</v>
      </c>
      <c r="V26" s="99">
        <f t="shared" si="3"/>
        <v>-78.280645138835354</v>
      </c>
      <c r="W26" s="98">
        <f t="shared" si="0"/>
        <v>-13.511705019282857</v>
      </c>
    </row>
    <row r="27" spans="11:23" ht="12" customHeight="1" x14ac:dyDescent="0.15">
      <c r="K27" s="34"/>
      <c r="L27" s="38">
        <f t="shared" si="1"/>
        <v>1988</v>
      </c>
      <c r="M27" s="353">
        <v>129</v>
      </c>
      <c r="N27" s="419">
        <v>-66.52614353977981</v>
      </c>
      <c r="O27" s="36">
        <v>-2.7894038355406257</v>
      </c>
      <c r="P27" s="36"/>
      <c r="Q27" s="44">
        <v>-47.243305819127798</v>
      </c>
      <c r="R27" s="45">
        <v>-0.215</v>
      </c>
      <c r="S27" s="100">
        <v>39.087699999999998</v>
      </c>
      <c r="T27" s="100">
        <v>46.186</v>
      </c>
      <c r="U27" s="66">
        <f t="shared" si="2"/>
        <v>-7.0983000000000018</v>
      </c>
      <c r="V27" s="99">
        <f t="shared" si="3"/>
        <v>-86.116005819127793</v>
      </c>
      <c r="W27" s="98">
        <f t="shared" si="0"/>
        <v>-16.493433885111386</v>
      </c>
    </row>
    <row r="28" spans="11:23" ht="12" customHeight="1" x14ac:dyDescent="0.15">
      <c r="K28" s="34"/>
      <c r="L28" s="38">
        <f t="shared" si="1"/>
        <v>1989</v>
      </c>
      <c r="M28" s="353">
        <v>128</v>
      </c>
      <c r="N28" s="419">
        <v>-92.654791132361908</v>
      </c>
      <c r="O28" s="36">
        <v>-25.121217007477842</v>
      </c>
      <c r="P28" s="36"/>
      <c r="Q28" s="44">
        <v>-49.822667050547935</v>
      </c>
      <c r="R28" s="97">
        <v>-1.46</v>
      </c>
      <c r="S28" s="96">
        <v>45.049799999999998</v>
      </c>
      <c r="T28" s="96">
        <v>54.4086</v>
      </c>
      <c r="U28" s="95">
        <f t="shared" si="2"/>
        <v>-9.3588000000000022</v>
      </c>
      <c r="V28" s="94">
        <f t="shared" si="3"/>
        <v>-93.412467050547932</v>
      </c>
      <c r="W28" s="93">
        <f t="shared" si="0"/>
        <v>-17.710907074336134</v>
      </c>
    </row>
    <row r="29" spans="11:23" ht="12" customHeight="1" x14ac:dyDescent="0.15">
      <c r="K29" s="34"/>
      <c r="L29" s="42">
        <f t="shared" si="1"/>
        <v>1990</v>
      </c>
      <c r="M29" s="354">
        <v>129</v>
      </c>
      <c r="N29" s="59">
        <v>-99.36502943565533</v>
      </c>
      <c r="O29" s="1385">
        <v>-20.925114130767508</v>
      </c>
      <c r="P29" s="1385"/>
      <c r="Q29" s="1386">
        <v>-58.515937561341509</v>
      </c>
      <c r="R29" s="45">
        <v>-4.0199999999999996</v>
      </c>
      <c r="S29" s="100">
        <v>53.582099999999997</v>
      </c>
      <c r="T29" s="100">
        <v>65.726299999999995</v>
      </c>
      <c r="U29" s="66">
        <f t="shared" si="2"/>
        <v>-12.144199999999998</v>
      </c>
      <c r="V29" s="99">
        <f t="shared" si="3"/>
        <v>-108.0780375613415</v>
      </c>
      <c r="W29" s="98">
        <f t="shared" si="0"/>
        <v>-19.92397774354631</v>
      </c>
    </row>
    <row r="30" spans="11:23" ht="12" customHeight="1" x14ac:dyDescent="0.15">
      <c r="K30" s="34"/>
      <c r="L30" s="38">
        <f t="shared" si="1"/>
        <v>1991</v>
      </c>
      <c r="M30" s="353">
        <v>127</v>
      </c>
      <c r="N30" s="419">
        <v>-124.27453797669014</v>
      </c>
      <c r="O30" s="36">
        <v>-27.06247488277354</v>
      </c>
      <c r="P30" s="36"/>
      <c r="Q30" s="44">
        <v>-69.05772785210317</v>
      </c>
      <c r="R30" s="45">
        <v>-4.04</v>
      </c>
      <c r="S30" s="100">
        <v>53.599299999999999</v>
      </c>
      <c r="T30" s="100">
        <v>68.107900000000001</v>
      </c>
      <c r="U30" s="66">
        <f t="shared" si="2"/>
        <v>-14.508600000000001</v>
      </c>
      <c r="V30" s="99">
        <f t="shared" si="3"/>
        <v>-118.61702785210316</v>
      </c>
      <c r="W30" s="98">
        <f t="shared" si="0"/>
        <v>-28.154335241813428</v>
      </c>
    </row>
    <row r="31" spans="11:23" ht="12" customHeight="1" x14ac:dyDescent="0.15">
      <c r="K31" s="34"/>
      <c r="L31" s="38">
        <f t="shared" si="1"/>
        <v>1992</v>
      </c>
      <c r="M31" s="353">
        <v>129</v>
      </c>
      <c r="N31" s="419">
        <v>-108.35793274686266</v>
      </c>
      <c r="O31" s="36">
        <v>1.1171106278638592</v>
      </c>
      <c r="P31" s="36"/>
      <c r="Q31" s="44">
        <v>-66.280115726872054</v>
      </c>
      <c r="R31" s="45">
        <v>-6.07</v>
      </c>
      <c r="S31" s="100">
        <v>51.875599999999999</v>
      </c>
      <c r="T31" s="100">
        <v>65.035300000000007</v>
      </c>
      <c r="U31" s="66">
        <f t="shared" si="2"/>
        <v>-13.159700000000008</v>
      </c>
      <c r="V31" s="99">
        <f t="shared" si="3"/>
        <v>-112.08571572687205</v>
      </c>
      <c r="W31" s="98">
        <f t="shared" si="0"/>
        <v>-43.19492764785447</v>
      </c>
    </row>
    <row r="32" spans="11:23" ht="12" customHeight="1" x14ac:dyDescent="0.15">
      <c r="K32" s="34"/>
      <c r="L32" s="38">
        <f t="shared" si="1"/>
        <v>1993</v>
      </c>
      <c r="M32" s="353">
        <v>130</v>
      </c>
      <c r="N32" s="419">
        <v>-75.150768058227285</v>
      </c>
      <c r="O32" s="36">
        <v>33.174296626297938</v>
      </c>
      <c r="P32" s="36"/>
      <c r="Q32" s="44">
        <v>-63.46153012453572</v>
      </c>
      <c r="R32" s="45">
        <v>-5.31</v>
      </c>
      <c r="S32" s="100">
        <v>50.392899999999997</v>
      </c>
      <c r="T32" s="100">
        <v>61.908799999999999</v>
      </c>
      <c r="U32" s="66">
        <f t="shared" si="2"/>
        <v>-11.515900000000002</v>
      </c>
      <c r="V32" s="99">
        <f t="shared" si="3"/>
        <v>-108.54443012453572</v>
      </c>
      <c r="W32" s="98">
        <f t="shared" si="0"/>
        <v>-44.863534559989496</v>
      </c>
    </row>
    <row r="33" spans="3:23" s="41" customFormat="1" ht="12" customHeight="1" x14ac:dyDescent="0.15">
      <c r="K33" s="47"/>
      <c r="L33" s="46">
        <f t="shared" si="1"/>
        <v>1994</v>
      </c>
      <c r="M33" s="355">
        <v>131</v>
      </c>
      <c r="N33" s="420">
        <v>-58.491800000000005</v>
      </c>
      <c r="O33" s="44">
        <v>74.644800000000004</v>
      </c>
      <c r="P33" s="44"/>
      <c r="Q33" s="44">
        <v>-79.224899999999991</v>
      </c>
      <c r="R33" s="45">
        <v>-3.39</v>
      </c>
      <c r="S33" s="100">
        <v>50.478200000000001</v>
      </c>
      <c r="T33" s="100">
        <v>61.613500000000002</v>
      </c>
      <c r="U33" s="66">
        <f t="shared" si="2"/>
        <v>-11.135300000000001</v>
      </c>
      <c r="V33" s="99">
        <f t="shared" si="3"/>
        <v>-126.31309999999999</v>
      </c>
      <c r="W33" s="60">
        <v>-53.911800000000007</v>
      </c>
    </row>
    <row r="34" spans="3:23" ht="12" customHeight="1" x14ac:dyDescent="0.15">
      <c r="K34" s="34"/>
      <c r="L34" s="38">
        <f t="shared" si="1"/>
        <v>1995</v>
      </c>
      <c r="M34" s="353">
        <v>130</v>
      </c>
      <c r="N34" s="419">
        <v>-55.4846</v>
      </c>
      <c r="O34" s="36">
        <v>83.74130000000001</v>
      </c>
      <c r="P34" s="36"/>
      <c r="Q34" s="44">
        <v>-86.752700000000004</v>
      </c>
      <c r="R34" s="45">
        <v>-3.82</v>
      </c>
      <c r="S34" s="100">
        <v>49.278599999999997</v>
      </c>
      <c r="T34" s="100">
        <v>63.247999999999998</v>
      </c>
      <c r="U34" s="66">
        <f t="shared" si="2"/>
        <v>-13.9694</v>
      </c>
      <c r="V34" s="99">
        <f t="shared" si="3"/>
        <v>-132.21129999999999</v>
      </c>
      <c r="W34" s="60">
        <v>-52.473500000000001</v>
      </c>
    </row>
    <row r="35" spans="3:23" ht="12" customHeight="1" x14ac:dyDescent="0.15">
      <c r="K35" s="34"/>
      <c r="L35" s="38">
        <f t="shared" si="1"/>
        <v>1996</v>
      </c>
      <c r="M35" s="353">
        <v>131</v>
      </c>
      <c r="N35" s="419">
        <v>-37.587300000000006</v>
      </c>
      <c r="O35" s="36">
        <v>85.2547</v>
      </c>
      <c r="P35" s="36"/>
      <c r="Q35" s="44">
        <v>-89.536199999999994</v>
      </c>
      <c r="R35" s="45">
        <v>-4.51</v>
      </c>
      <c r="S35" s="100">
        <v>72.547499999999999</v>
      </c>
      <c r="T35" s="100">
        <v>83.407499999999999</v>
      </c>
      <c r="U35" s="66">
        <f t="shared" si="2"/>
        <v>-10.86</v>
      </c>
      <c r="V35" s="99">
        <f t="shared" si="3"/>
        <v>-157.57369999999997</v>
      </c>
      <c r="W35" s="60">
        <v>-33.306199999999997</v>
      </c>
    </row>
    <row r="36" spans="3:23" ht="12" customHeight="1" x14ac:dyDescent="0.15">
      <c r="K36" s="34"/>
      <c r="L36" s="38">
        <f t="shared" si="1"/>
        <v>1997</v>
      </c>
      <c r="M36" s="353">
        <v>137</v>
      </c>
      <c r="N36" s="419">
        <v>9.2822700000000005</v>
      </c>
      <c r="O36" s="36">
        <v>110.32611</v>
      </c>
      <c r="P36" s="36"/>
      <c r="Q36" s="44">
        <v>-71.463200000000001</v>
      </c>
      <c r="R36" s="45">
        <v>4.4800000000000004</v>
      </c>
      <c r="S36" s="100">
        <v>72.921599999999998</v>
      </c>
      <c r="T36" s="100">
        <v>78.317400000000006</v>
      </c>
      <c r="U36" s="66">
        <f t="shared" si="2"/>
        <v>-5.3958000000000084</v>
      </c>
      <c r="V36" s="99">
        <f t="shared" si="3"/>
        <v>-148.8648</v>
      </c>
      <c r="W36" s="60">
        <v>-29.580200000000001</v>
      </c>
    </row>
    <row r="37" spans="3:23" ht="12" customHeight="1" x14ac:dyDescent="0.15">
      <c r="K37" s="34"/>
      <c r="L37" s="38">
        <f t="shared" si="1"/>
        <v>1998</v>
      </c>
      <c r="M37" s="353">
        <v>140</v>
      </c>
      <c r="N37" s="419">
        <v>-68.280799999999999</v>
      </c>
      <c r="O37" s="36">
        <v>63.563259999999993</v>
      </c>
      <c r="P37" s="36"/>
      <c r="Q37" s="44">
        <v>-98.391600000000011</v>
      </c>
      <c r="R37" s="45">
        <v>3.72</v>
      </c>
      <c r="S37" s="100">
        <v>57.258000000000003</v>
      </c>
      <c r="T37" s="100">
        <v>63.448599999999999</v>
      </c>
      <c r="U37" s="66">
        <f t="shared" si="2"/>
        <v>-6.1905999999999963</v>
      </c>
      <c r="V37" s="99">
        <f t="shared" si="3"/>
        <v>-159.36960000000002</v>
      </c>
      <c r="W37" s="60">
        <v>-33.452500000000001</v>
      </c>
    </row>
    <row r="38" spans="3:23" ht="12" customHeight="1" x14ac:dyDescent="0.15">
      <c r="K38" s="34"/>
      <c r="L38" s="38">
        <f t="shared" si="1"/>
        <v>1999</v>
      </c>
      <c r="M38" s="353">
        <v>143</v>
      </c>
      <c r="N38" s="419">
        <v>-101.744</v>
      </c>
      <c r="O38" s="36">
        <v>16.565239999999999</v>
      </c>
      <c r="P38" s="36"/>
      <c r="Q38" s="44">
        <v>-91.555600000000013</v>
      </c>
      <c r="R38" s="97">
        <v>2.4500000000000002</v>
      </c>
      <c r="S38" s="96">
        <v>74.155699999999996</v>
      </c>
      <c r="T38" s="96">
        <v>104.31399999999999</v>
      </c>
      <c r="U38" s="95">
        <f t="shared" si="2"/>
        <v>-30.158299999999997</v>
      </c>
      <c r="V38" s="94">
        <f t="shared" si="3"/>
        <v>-168.16130000000001</v>
      </c>
      <c r="W38" s="92">
        <v>-26.7531</v>
      </c>
    </row>
    <row r="39" spans="3:23" ht="12" customHeight="1" x14ac:dyDescent="0.15">
      <c r="K39" s="34"/>
      <c r="L39" s="42">
        <f t="shared" si="1"/>
        <v>2000</v>
      </c>
      <c r="M39" s="354">
        <v>143</v>
      </c>
      <c r="N39" s="59">
        <v>-149.76599999999999</v>
      </c>
      <c r="O39" s="1385">
        <v>-22.484349999999999</v>
      </c>
      <c r="P39" s="1385"/>
      <c r="Q39" s="1386">
        <v>-90.921500000000009</v>
      </c>
      <c r="R39" s="45">
        <v>1.66</v>
      </c>
      <c r="S39" s="100">
        <v>72.456400000000002</v>
      </c>
      <c r="T39" s="100">
        <v>110.36</v>
      </c>
      <c r="U39" s="66">
        <f t="shared" si="2"/>
        <v>-37.903599999999997</v>
      </c>
      <c r="V39" s="99">
        <f t="shared" si="3"/>
        <v>-165.03790000000001</v>
      </c>
      <c r="W39" s="60">
        <v>-36.360100000000003</v>
      </c>
    </row>
    <row r="40" spans="3:23" ht="12" customHeight="1" x14ac:dyDescent="0.15">
      <c r="K40" s="34"/>
      <c r="L40" s="38">
        <f t="shared" si="1"/>
        <v>2001</v>
      </c>
      <c r="M40" s="353">
        <v>144</v>
      </c>
      <c r="N40" s="419">
        <v>-148.64600000000002</v>
      </c>
      <c r="O40" s="36">
        <v>-43.724900000000005</v>
      </c>
      <c r="P40" s="36"/>
      <c r="Q40" s="44">
        <v>-73.588200000000001</v>
      </c>
      <c r="R40" s="45">
        <v>1.1000000000000001</v>
      </c>
      <c r="S40" s="100">
        <v>85.918000000000006</v>
      </c>
      <c r="T40" s="100">
        <v>128.381</v>
      </c>
      <c r="U40" s="66">
        <f t="shared" si="2"/>
        <v>-42.462999999999994</v>
      </c>
      <c r="V40" s="99">
        <f t="shared" si="3"/>
        <v>-160.6062</v>
      </c>
      <c r="W40" s="60">
        <v>-31.332799999999999</v>
      </c>
    </row>
    <row r="41" spans="3:23" ht="12" customHeight="1" x14ac:dyDescent="0.15">
      <c r="K41" s="34"/>
      <c r="L41" s="38">
        <f t="shared" si="1"/>
        <v>2002</v>
      </c>
      <c r="M41" s="353">
        <v>154</v>
      </c>
      <c r="N41" s="419">
        <v>-97.793399999999991</v>
      </c>
      <c r="O41" s="36">
        <v>14.607950000000001</v>
      </c>
      <c r="P41" s="36"/>
      <c r="Q41" s="44">
        <v>-94.678200000000004</v>
      </c>
      <c r="R41" s="45">
        <v>5.73</v>
      </c>
      <c r="S41" s="100">
        <v>54.7029</v>
      </c>
      <c r="T41" s="100">
        <v>95.839100000000002</v>
      </c>
      <c r="U41" s="66">
        <f t="shared" si="2"/>
        <v>-41.136200000000002</v>
      </c>
      <c r="V41" s="99">
        <f t="shared" si="3"/>
        <v>-155.11110000000002</v>
      </c>
      <c r="W41" s="60">
        <v>-17.723099999999999</v>
      </c>
    </row>
    <row r="42" spans="3:23" ht="12" customHeight="1" x14ac:dyDescent="0.15">
      <c r="K42" s="34"/>
      <c r="L42" s="38">
        <f t="shared" si="1"/>
        <v>2003</v>
      </c>
      <c r="M42" s="353">
        <v>157</v>
      </c>
      <c r="N42" s="419">
        <v>-20.044499999999999</v>
      </c>
      <c r="O42" s="36">
        <v>65.995100000000008</v>
      </c>
      <c r="P42" s="36"/>
      <c r="Q42" s="44">
        <v>-76.640799999999999</v>
      </c>
      <c r="R42" s="45">
        <v>10.6</v>
      </c>
      <c r="S42" s="100">
        <v>77.991200000000006</v>
      </c>
      <c r="T42" s="100">
        <v>116.848</v>
      </c>
      <c r="U42" s="66">
        <f t="shared" si="2"/>
        <v>-38.856799999999993</v>
      </c>
      <c r="V42" s="99">
        <f t="shared" si="3"/>
        <v>-165.232</v>
      </c>
      <c r="W42" s="60">
        <v>-9.3987499999999997</v>
      </c>
    </row>
    <row r="43" spans="3:23" ht="12" customHeight="1" x14ac:dyDescent="0.15">
      <c r="K43" s="34"/>
      <c r="L43" s="38">
        <f t="shared" si="1"/>
        <v>2004</v>
      </c>
      <c r="M43" s="353">
        <v>159</v>
      </c>
      <c r="N43" s="419">
        <v>54.959199999999996</v>
      </c>
      <c r="O43" s="36">
        <v>89.435600000000008</v>
      </c>
      <c r="P43" s="36"/>
      <c r="Q43" s="44">
        <v>-16.214500000000001</v>
      </c>
      <c r="R43" s="45">
        <v>13.5</v>
      </c>
      <c r="S43" s="100">
        <v>162.67500000000001</v>
      </c>
      <c r="T43" s="100">
        <v>181.73400000000001</v>
      </c>
      <c r="U43" s="66">
        <f t="shared" si="2"/>
        <v>-19.058999999999997</v>
      </c>
      <c r="V43" s="99">
        <f t="shared" si="3"/>
        <v>-192.3895</v>
      </c>
      <c r="W43" s="60">
        <v>-18.262</v>
      </c>
    </row>
    <row r="44" spans="3:23" ht="12" customHeight="1" x14ac:dyDescent="0.15">
      <c r="K44" s="34"/>
      <c r="L44" s="38">
        <f t="shared" si="1"/>
        <v>2005</v>
      </c>
      <c r="M44" s="353">
        <v>170</v>
      </c>
      <c r="N44" s="419">
        <v>103.407</v>
      </c>
      <c r="O44" s="36">
        <v>137.31420000000003</v>
      </c>
      <c r="P44" s="36"/>
      <c r="Q44" s="44">
        <v>-12.4085</v>
      </c>
      <c r="R44" s="45">
        <v>10.7</v>
      </c>
      <c r="S44" s="100">
        <v>156.536</v>
      </c>
      <c r="T44" s="100">
        <v>190.14</v>
      </c>
      <c r="U44" s="66">
        <f t="shared" si="2"/>
        <v>-33.603999999999985</v>
      </c>
      <c r="V44" s="99">
        <f t="shared" si="3"/>
        <v>-179.64449999999999</v>
      </c>
      <c r="W44" s="60">
        <v>-21.4986</v>
      </c>
    </row>
    <row r="45" spans="3:23" ht="12" customHeight="1" x14ac:dyDescent="0.15">
      <c r="K45" s="34"/>
      <c r="L45" s="38">
        <f t="shared" si="1"/>
        <v>2006</v>
      </c>
      <c r="M45" s="353">
        <v>172</v>
      </c>
      <c r="N45" s="419">
        <v>253.58500000000001</v>
      </c>
      <c r="O45" s="36">
        <v>261.22300000000001</v>
      </c>
      <c r="P45" s="36"/>
      <c r="Q45" s="44">
        <v>-23.7638</v>
      </c>
      <c r="R45" s="45">
        <v>9.19</v>
      </c>
      <c r="S45" s="100">
        <v>144.81800000000001</v>
      </c>
      <c r="T45" s="100">
        <v>173.19399999999999</v>
      </c>
      <c r="U45" s="66">
        <f t="shared" si="2"/>
        <v>-28.375999999999976</v>
      </c>
      <c r="V45" s="99">
        <f t="shared" si="3"/>
        <v>-177.77180000000001</v>
      </c>
      <c r="W45" s="60">
        <v>16.126999999999999</v>
      </c>
    </row>
    <row r="46" spans="3:23" ht="12" customHeight="1" x14ac:dyDescent="0.15">
      <c r="K46" s="34"/>
      <c r="L46" s="38">
        <f t="shared" si="1"/>
        <v>2007</v>
      </c>
      <c r="M46" s="353">
        <v>173</v>
      </c>
      <c r="N46" s="419">
        <v>403.27800000000002</v>
      </c>
      <c r="O46" s="36">
        <v>404.35399999999998</v>
      </c>
      <c r="P46" s="36"/>
      <c r="Q46" s="44">
        <v>-19.454799999999999</v>
      </c>
      <c r="R46" s="45">
        <v>8.48</v>
      </c>
      <c r="S46" s="100">
        <v>106.077</v>
      </c>
      <c r="T46" s="100">
        <v>140.85499999999999</v>
      </c>
      <c r="U46" s="66">
        <f t="shared" si="2"/>
        <v>-34.777999999999992</v>
      </c>
      <c r="V46" s="99">
        <f t="shared" si="3"/>
        <v>-134.01179999999999</v>
      </c>
      <c r="W46" s="60">
        <v>18.379000000000001</v>
      </c>
    </row>
    <row r="47" spans="3:23" ht="12" customHeight="1" x14ac:dyDescent="0.15">
      <c r="K47" s="34"/>
      <c r="L47" s="38">
        <f t="shared" si="1"/>
        <v>2008</v>
      </c>
      <c r="M47" s="353">
        <v>173</v>
      </c>
      <c r="N47" s="419">
        <v>298.12299999999999</v>
      </c>
      <c r="O47" s="36">
        <v>366.34000000000003</v>
      </c>
      <c r="P47" s="36"/>
      <c r="Q47" s="44">
        <v>-99.319299999999998</v>
      </c>
      <c r="R47" s="45">
        <v>6.21</v>
      </c>
      <c r="S47" s="100">
        <v>33.152299999999997</v>
      </c>
      <c r="T47" s="100">
        <v>65.351900000000001</v>
      </c>
      <c r="U47" s="66">
        <f t="shared" si="2"/>
        <v>-32.199600000000004</v>
      </c>
      <c r="V47" s="99">
        <f t="shared" si="3"/>
        <v>-138.6816</v>
      </c>
      <c r="W47" s="60">
        <v>31.101900000000001</v>
      </c>
    </row>
    <row r="48" spans="3:23" ht="12" customHeight="1" x14ac:dyDescent="0.15">
      <c r="C48" s="30"/>
      <c r="D48" s="30"/>
      <c r="E48" s="30"/>
      <c r="F48" s="30"/>
      <c r="G48" s="30"/>
      <c r="H48" s="30"/>
      <c r="I48" s="30"/>
      <c r="J48" s="30"/>
      <c r="L48" s="43">
        <f t="shared" ref="L48:L54" si="4">L47+1</f>
        <v>2009</v>
      </c>
      <c r="M48" s="356">
        <v>175</v>
      </c>
      <c r="N48" s="101">
        <v>207.441</v>
      </c>
      <c r="O48" s="1387">
        <v>289.59200000000055</v>
      </c>
      <c r="P48" s="1387">
        <v>83.777999999999793</v>
      </c>
      <c r="Q48" s="1388">
        <v>-46.73700000000008</v>
      </c>
      <c r="R48" s="97">
        <v>14.1</v>
      </c>
      <c r="S48" s="96">
        <v>127.06100000000001</v>
      </c>
      <c r="T48" s="96">
        <v>166.01300000000001</v>
      </c>
      <c r="U48" s="95">
        <f t="shared" si="2"/>
        <v>-38.951999999999998</v>
      </c>
      <c r="V48" s="94">
        <f t="shared" si="3"/>
        <v>-187.89800000000008</v>
      </c>
      <c r="W48" s="92">
        <v>-119.19600000000003</v>
      </c>
    </row>
    <row r="49" spans="3:23" ht="12" customHeight="1" x14ac:dyDescent="0.15">
      <c r="C49" s="30"/>
      <c r="D49" s="30"/>
      <c r="E49" s="30"/>
      <c r="F49" s="30"/>
      <c r="G49" s="30"/>
      <c r="H49" s="30"/>
      <c r="I49" s="30"/>
      <c r="J49" s="30"/>
      <c r="L49" s="38">
        <f t="shared" si="4"/>
        <v>2010</v>
      </c>
      <c r="M49" s="353">
        <v>175</v>
      </c>
      <c r="N49" s="419">
        <v>298.589</v>
      </c>
      <c r="O49" s="36">
        <v>370.22000000000116</v>
      </c>
      <c r="P49" s="36">
        <v>78.510999999999967</v>
      </c>
      <c r="Q49" s="44">
        <v>-29.215999999999894</v>
      </c>
      <c r="R49" s="45">
        <v>28</v>
      </c>
      <c r="S49" s="100">
        <v>161.05500000000001</v>
      </c>
      <c r="T49" s="100">
        <v>212.60499999999999</v>
      </c>
      <c r="U49" s="66">
        <f t="shared" si="2"/>
        <v>-51.549999999999983</v>
      </c>
      <c r="V49" s="99">
        <f t="shared" si="3"/>
        <v>-218.2709999999999</v>
      </c>
      <c r="W49" s="60">
        <v>-120.93399999999997</v>
      </c>
    </row>
    <row r="50" spans="3:23" ht="12" customHeight="1" x14ac:dyDescent="0.15">
      <c r="C50" s="30"/>
      <c r="D50" s="30"/>
      <c r="E50" s="30"/>
      <c r="F50" s="30"/>
      <c r="G50" s="30"/>
      <c r="H50" s="30"/>
      <c r="I50" s="30"/>
      <c r="J50" s="30"/>
      <c r="L50" s="38">
        <f t="shared" si="4"/>
        <v>2011</v>
      </c>
      <c r="M50" s="353">
        <v>177</v>
      </c>
      <c r="N50" s="419">
        <v>355.03</v>
      </c>
      <c r="O50" s="36">
        <v>429.18700000000172</v>
      </c>
      <c r="P50" s="36">
        <v>141.09699999999975</v>
      </c>
      <c r="Q50" s="44">
        <v>-85.788000000000011</v>
      </c>
      <c r="R50" s="45">
        <v>35.4</v>
      </c>
      <c r="S50" s="100">
        <v>166.363</v>
      </c>
      <c r="T50" s="100">
        <v>204.55199999999999</v>
      </c>
      <c r="U50" s="66">
        <f t="shared" si="2"/>
        <v>-38.188999999999993</v>
      </c>
      <c r="V50" s="99">
        <f t="shared" si="3"/>
        <v>-287.55100000000004</v>
      </c>
      <c r="W50" s="60">
        <v>-129.46299999999997</v>
      </c>
    </row>
    <row r="51" spans="3:23" ht="12" customHeight="1" x14ac:dyDescent="0.15">
      <c r="C51" s="31"/>
      <c r="D51" s="30"/>
      <c r="E51" s="30"/>
      <c r="F51" s="30"/>
      <c r="G51" s="30"/>
      <c r="H51" s="30"/>
      <c r="I51" s="30"/>
      <c r="J51" s="30"/>
      <c r="L51" s="38">
        <f t="shared" si="4"/>
        <v>2012</v>
      </c>
      <c r="M51" s="353">
        <v>179</v>
      </c>
      <c r="N51" s="419">
        <v>416.12</v>
      </c>
      <c r="O51" s="36">
        <v>488.93500000000131</v>
      </c>
      <c r="P51" s="36">
        <v>113.47899999999936</v>
      </c>
      <c r="Q51" s="44">
        <v>-47.085000000000036</v>
      </c>
      <c r="R51" s="45">
        <v>36.1</v>
      </c>
      <c r="S51" s="100">
        <v>131.47999999999999</v>
      </c>
      <c r="T51" s="100">
        <v>178.04400000000001</v>
      </c>
      <c r="U51" s="66">
        <f t="shared" si="2"/>
        <v>-46.564000000000021</v>
      </c>
      <c r="V51" s="99">
        <f t="shared" si="3"/>
        <v>-214.66500000000002</v>
      </c>
      <c r="W51" s="60">
        <v>-139.01700000000005</v>
      </c>
    </row>
    <row r="52" spans="3:23" ht="12" customHeight="1" x14ac:dyDescent="0.15">
      <c r="C52" s="30"/>
      <c r="D52" s="30"/>
      <c r="E52" s="30"/>
      <c r="F52" s="30"/>
      <c r="G52" s="30"/>
      <c r="H52" s="30"/>
      <c r="I52" s="30"/>
      <c r="J52" s="30"/>
      <c r="L52" s="38">
        <f t="shared" si="4"/>
        <v>2013</v>
      </c>
      <c r="M52" s="353">
        <v>177</v>
      </c>
      <c r="N52" s="419">
        <v>419.14</v>
      </c>
      <c r="O52" s="36">
        <v>581.875</v>
      </c>
      <c r="P52" s="36">
        <v>130.84500000000025</v>
      </c>
      <c r="Q52" s="44">
        <v>-119.90599999999995</v>
      </c>
      <c r="R52" s="45">
        <v>35</v>
      </c>
      <c r="S52" s="100">
        <v>154.405</v>
      </c>
      <c r="T52" s="100">
        <v>185.80799999999999</v>
      </c>
      <c r="U52" s="66">
        <f t="shared" si="2"/>
        <v>-31.402999999999992</v>
      </c>
      <c r="V52" s="99">
        <f t="shared" si="3"/>
        <v>-309.31099999999992</v>
      </c>
      <c r="W52" s="60">
        <v>-174.00699999999995</v>
      </c>
    </row>
    <row r="53" spans="3:23" ht="12" customHeight="1" x14ac:dyDescent="0.15">
      <c r="C53" s="30"/>
      <c r="D53" s="30"/>
      <c r="E53" s="30"/>
      <c r="F53" s="30"/>
      <c r="G53" s="30"/>
      <c r="H53" s="30"/>
      <c r="I53" s="30"/>
      <c r="J53" s="30"/>
      <c r="L53" s="38">
        <f t="shared" si="4"/>
        <v>2014</v>
      </c>
      <c r="M53" s="353">
        <v>166</v>
      </c>
      <c r="N53" s="419">
        <v>437.34300000000002</v>
      </c>
      <c r="O53" s="36">
        <v>525.08200000000215</v>
      </c>
      <c r="P53" s="36">
        <v>107.88699999999972</v>
      </c>
      <c r="Q53" s="44">
        <v>-37.384999999999764</v>
      </c>
      <c r="R53" s="45">
        <v>44.9</v>
      </c>
      <c r="S53" s="100">
        <v>142.506</v>
      </c>
      <c r="T53" s="100">
        <v>178.01300000000001</v>
      </c>
      <c r="U53" s="66">
        <f t="shared" si="2"/>
        <v>-35.507000000000005</v>
      </c>
      <c r="V53" s="99">
        <f t="shared" si="3"/>
        <v>-224.79099999999977</v>
      </c>
      <c r="W53" s="60">
        <v>-157.79500000000007</v>
      </c>
    </row>
    <row r="54" spans="3:23" ht="12" customHeight="1" thickBot="1" x14ac:dyDescent="0.2">
      <c r="C54" s="30"/>
      <c r="D54" s="30"/>
      <c r="E54" s="30"/>
      <c r="F54" s="30"/>
      <c r="G54" s="30"/>
      <c r="H54" s="30"/>
      <c r="I54" s="30"/>
      <c r="J54" s="30"/>
      <c r="L54" s="33">
        <f t="shared" si="4"/>
        <v>2015</v>
      </c>
      <c r="M54" s="1389">
        <v>156</v>
      </c>
      <c r="N54" s="91">
        <v>280.09199999999998</v>
      </c>
      <c r="O54" s="1390">
        <v>364.24499999999898</v>
      </c>
      <c r="P54" s="1390">
        <v>147.51100000000042</v>
      </c>
      <c r="Q54" s="1391">
        <v>-64.93100000000004</v>
      </c>
      <c r="R54" s="90">
        <v>47.7</v>
      </c>
      <c r="S54" s="89">
        <v>187.024</v>
      </c>
      <c r="T54" s="89">
        <v>203.279</v>
      </c>
      <c r="U54" s="88">
        <f t="shared" si="2"/>
        <v>-16.254999999999995</v>
      </c>
      <c r="V54" s="87">
        <f t="shared" si="3"/>
        <v>-299.65500000000003</v>
      </c>
      <c r="W54" s="86">
        <v>-166.36199999999985</v>
      </c>
    </row>
    <row r="55" spans="3:23" ht="14" thickTop="1" x14ac:dyDescent="0.15">
      <c r="C55" s="30"/>
      <c r="D55" s="30"/>
      <c r="E55" s="30"/>
      <c r="F55" s="30"/>
      <c r="G55" s="30"/>
      <c r="H55" s="30"/>
      <c r="I55" s="30"/>
      <c r="J55" s="30"/>
    </row>
    <row r="56" spans="3:23" x14ac:dyDescent="0.15">
      <c r="C56" s="30"/>
      <c r="D56" s="30"/>
      <c r="E56" s="30"/>
      <c r="F56" s="30"/>
      <c r="G56" s="30"/>
      <c r="H56" s="30"/>
      <c r="I56" s="30"/>
      <c r="J56" s="30"/>
    </row>
    <row r="57" spans="3:23" x14ac:dyDescent="0.15">
      <c r="C57" s="30"/>
      <c r="D57" s="30"/>
      <c r="E57" s="30"/>
      <c r="F57" s="30"/>
      <c r="G57" s="30"/>
      <c r="H57" s="30"/>
      <c r="I57" s="30"/>
      <c r="J57" s="30"/>
    </row>
    <row r="58" spans="3:23" x14ac:dyDescent="0.15">
      <c r="C58" s="30"/>
      <c r="D58" s="30"/>
      <c r="E58" s="30"/>
      <c r="F58" s="30"/>
      <c r="G58" s="30"/>
      <c r="H58" s="30"/>
      <c r="I58" s="30"/>
      <c r="J58" s="30"/>
    </row>
    <row r="59" spans="3:23" x14ac:dyDescent="0.15">
      <c r="C59" s="30"/>
      <c r="D59" s="30"/>
      <c r="E59" s="30"/>
      <c r="F59" s="30"/>
      <c r="G59" s="30"/>
      <c r="H59" s="30"/>
      <c r="I59" s="30"/>
      <c r="J59" s="30"/>
    </row>
    <row r="60" spans="3:23" x14ac:dyDescent="0.15">
      <c r="C60" s="30"/>
      <c r="D60" s="30"/>
      <c r="E60" s="30"/>
      <c r="F60" s="30"/>
      <c r="G60" s="30"/>
      <c r="H60" s="30"/>
      <c r="I60" s="30"/>
      <c r="J60" s="30"/>
    </row>
    <row r="61" spans="3:23" x14ac:dyDescent="0.15">
      <c r="C61" s="30"/>
      <c r="D61" s="30"/>
      <c r="E61" s="30"/>
      <c r="F61" s="30"/>
      <c r="G61" s="30"/>
      <c r="H61" s="30"/>
      <c r="I61" s="30"/>
      <c r="J61" s="30"/>
    </row>
    <row r="62" spans="3:23" x14ac:dyDescent="0.15">
      <c r="C62" s="30"/>
      <c r="D62" s="30"/>
      <c r="E62" s="30"/>
      <c r="F62" s="30"/>
      <c r="G62" s="30"/>
      <c r="H62" s="30"/>
      <c r="I62" s="30"/>
      <c r="J62" s="30"/>
    </row>
    <row r="63" spans="3:23" x14ac:dyDescent="0.15">
      <c r="C63" s="30"/>
      <c r="D63" s="30"/>
      <c r="E63" s="30"/>
      <c r="F63" s="30"/>
      <c r="G63" s="30"/>
      <c r="H63" s="30"/>
      <c r="I63" s="30"/>
      <c r="J63" s="30"/>
    </row>
    <row r="64" spans="3:23" x14ac:dyDescent="0.15">
      <c r="C64" s="30"/>
      <c r="D64" s="30"/>
      <c r="E64" s="30"/>
      <c r="F64" s="30"/>
      <c r="G64" s="30"/>
      <c r="H64" s="30"/>
      <c r="I64" s="30"/>
      <c r="J64" s="30"/>
    </row>
    <row r="65" spans="3:10" x14ac:dyDescent="0.15">
      <c r="C65" s="30"/>
      <c r="D65" s="30"/>
      <c r="E65" s="30"/>
      <c r="F65" s="30"/>
      <c r="G65" s="30"/>
      <c r="H65" s="30"/>
      <c r="I65" s="30"/>
      <c r="J65" s="30"/>
    </row>
    <row r="66" spans="3:10" x14ac:dyDescent="0.15">
      <c r="C66" s="30"/>
      <c r="D66" s="30"/>
      <c r="E66" s="30"/>
      <c r="F66" s="30"/>
      <c r="G66" s="30"/>
      <c r="H66" s="30"/>
      <c r="I66" s="30"/>
      <c r="J66" s="30"/>
    </row>
    <row r="67" spans="3:10" x14ac:dyDescent="0.15">
      <c r="C67" s="30"/>
      <c r="D67" s="30"/>
      <c r="E67" s="30"/>
      <c r="F67" s="30"/>
      <c r="G67" s="30"/>
      <c r="H67" s="30"/>
      <c r="I67" s="30"/>
      <c r="J67" s="30"/>
    </row>
    <row r="68" spans="3:10" x14ac:dyDescent="0.15">
      <c r="C68" s="30"/>
      <c r="D68" s="30"/>
      <c r="E68" s="30"/>
      <c r="F68" s="30"/>
      <c r="G68" s="30"/>
      <c r="H68" s="30"/>
      <c r="I68" s="30"/>
      <c r="J68" s="30"/>
    </row>
    <row r="69" spans="3:10" x14ac:dyDescent="0.15">
      <c r="C69" s="30"/>
      <c r="D69" s="30"/>
      <c r="E69" s="30"/>
      <c r="F69" s="30"/>
      <c r="G69" s="30"/>
      <c r="H69" s="30"/>
      <c r="I69" s="30"/>
      <c r="J69" s="30"/>
    </row>
    <row r="70" spans="3:10" x14ac:dyDescent="0.15">
      <c r="C70" s="30"/>
      <c r="D70" s="30"/>
      <c r="E70" s="30"/>
      <c r="F70" s="30"/>
      <c r="G70" s="30"/>
      <c r="H70" s="30"/>
      <c r="I70" s="30"/>
      <c r="J70" s="30"/>
    </row>
    <row r="71" spans="3:10" x14ac:dyDescent="0.15">
      <c r="C71" s="30"/>
      <c r="D71" s="30"/>
      <c r="E71" s="30"/>
      <c r="F71" s="30"/>
      <c r="G71" s="30"/>
      <c r="H71" s="30"/>
      <c r="I71" s="30"/>
      <c r="J71" s="30"/>
    </row>
    <row r="72" spans="3:10" x14ac:dyDescent="0.15">
      <c r="C72" s="30"/>
      <c r="D72" s="30"/>
      <c r="E72" s="30"/>
      <c r="F72" s="30"/>
      <c r="G72" s="30"/>
      <c r="H72" s="30"/>
      <c r="I72" s="30"/>
      <c r="J72" s="30"/>
    </row>
    <row r="73" spans="3:10" x14ac:dyDescent="0.15">
      <c r="C73" s="30"/>
      <c r="D73" s="30"/>
      <c r="E73" s="30"/>
      <c r="F73" s="30"/>
      <c r="G73" s="30"/>
      <c r="H73" s="30"/>
      <c r="I73" s="30"/>
      <c r="J73" s="30"/>
    </row>
    <row r="74" spans="3:10" x14ac:dyDescent="0.15">
      <c r="C74" s="30"/>
      <c r="D74" s="30"/>
      <c r="E74" s="30"/>
      <c r="F74" s="30"/>
      <c r="G74" s="30"/>
      <c r="H74" s="30"/>
      <c r="I74" s="30"/>
      <c r="J74" s="30"/>
    </row>
    <row r="75" spans="3:10" x14ac:dyDescent="0.15">
      <c r="C75" s="30"/>
      <c r="D75" s="30"/>
      <c r="E75" s="30"/>
      <c r="F75" s="30"/>
      <c r="G75" s="30"/>
      <c r="H75" s="30"/>
      <c r="I75" s="30"/>
      <c r="J75" s="30"/>
    </row>
    <row r="76" spans="3:10" x14ac:dyDescent="0.15">
      <c r="C76" s="30"/>
      <c r="D76" s="30"/>
      <c r="E76" s="30"/>
      <c r="F76" s="30"/>
      <c r="G76" s="30"/>
      <c r="H76" s="30"/>
      <c r="I76" s="30"/>
      <c r="J76" s="30"/>
    </row>
    <row r="77" spans="3:10" x14ac:dyDescent="0.15">
      <c r="C77" s="30"/>
      <c r="D77" s="30"/>
      <c r="E77" s="30"/>
      <c r="F77" s="30"/>
      <c r="G77" s="30"/>
      <c r="H77" s="30"/>
      <c r="I77" s="30"/>
      <c r="J77" s="30"/>
    </row>
    <row r="78" spans="3:10" x14ac:dyDescent="0.15">
      <c r="C78" s="30"/>
      <c r="D78" s="30"/>
      <c r="E78" s="30"/>
      <c r="F78" s="30"/>
      <c r="G78" s="30"/>
      <c r="H78" s="30"/>
      <c r="I78" s="30"/>
      <c r="J78" s="30"/>
    </row>
    <row r="79" spans="3:10" x14ac:dyDescent="0.15">
      <c r="C79" s="30"/>
      <c r="D79" s="30"/>
      <c r="E79" s="30"/>
      <c r="F79" s="30"/>
      <c r="G79" s="30"/>
      <c r="H79" s="30"/>
      <c r="I79" s="30"/>
      <c r="J79" s="30"/>
    </row>
    <row r="80" spans="3:10" x14ac:dyDescent="0.15">
      <c r="C80" s="30"/>
      <c r="D80" s="30"/>
      <c r="E80" s="30"/>
      <c r="F80" s="30"/>
      <c r="G80" s="30"/>
      <c r="H80" s="30"/>
      <c r="I80" s="30"/>
      <c r="J80" s="30"/>
    </row>
    <row r="81" spans="3:10" x14ac:dyDescent="0.15">
      <c r="C81" s="30"/>
      <c r="D81" s="30"/>
      <c r="E81" s="30"/>
      <c r="F81" s="30"/>
      <c r="G81" s="30"/>
      <c r="H81" s="30"/>
      <c r="I81" s="30"/>
      <c r="J81" s="30"/>
    </row>
    <row r="82" spans="3:10" x14ac:dyDescent="0.15">
      <c r="C82" s="30"/>
      <c r="D82" s="30"/>
      <c r="E82" s="30"/>
      <c r="F82" s="30"/>
      <c r="G82" s="30"/>
      <c r="H82" s="30"/>
      <c r="I82" s="30"/>
      <c r="J82" s="30"/>
    </row>
    <row r="83" spans="3:10" x14ac:dyDescent="0.15">
      <c r="C83" s="30"/>
      <c r="D83" s="30"/>
      <c r="E83" s="30"/>
      <c r="F83" s="30"/>
      <c r="G83" s="30"/>
      <c r="H83" s="30"/>
      <c r="I83" s="30"/>
      <c r="J83" s="30"/>
    </row>
    <row r="84" spans="3:10" x14ac:dyDescent="0.15">
      <c r="C84" s="30"/>
      <c r="D84" s="30"/>
      <c r="E84" s="30"/>
      <c r="F84" s="30"/>
      <c r="G84" s="30"/>
      <c r="H84" s="30"/>
      <c r="I84" s="30"/>
      <c r="J84" s="30"/>
    </row>
    <row r="85" spans="3:10" x14ac:dyDescent="0.15">
      <c r="C85" s="30"/>
      <c r="D85" s="30"/>
      <c r="E85" s="30"/>
      <c r="F85" s="30"/>
      <c r="G85" s="30"/>
      <c r="H85" s="30"/>
      <c r="I85" s="30"/>
      <c r="J85" s="30"/>
    </row>
    <row r="86" spans="3:10" x14ac:dyDescent="0.15">
      <c r="C86" s="30"/>
      <c r="D86" s="30"/>
      <c r="E86" s="30"/>
      <c r="F86" s="30"/>
      <c r="G86" s="30"/>
      <c r="H86" s="30"/>
      <c r="I86" s="30"/>
      <c r="J86" s="30"/>
    </row>
    <row r="87" spans="3:10" x14ac:dyDescent="0.15">
      <c r="C87" s="30"/>
      <c r="D87" s="30"/>
      <c r="E87" s="30"/>
      <c r="F87" s="30"/>
      <c r="G87" s="30"/>
      <c r="H87" s="30"/>
      <c r="I87" s="30"/>
      <c r="J87" s="30"/>
    </row>
    <row r="88" spans="3:10" x14ac:dyDescent="0.15">
      <c r="C88" s="30"/>
      <c r="D88" s="30"/>
      <c r="E88" s="30"/>
      <c r="F88" s="30"/>
      <c r="G88" s="30"/>
      <c r="H88" s="30"/>
      <c r="I88" s="30"/>
      <c r="J88" s="30"/>
    </row>
    <row r="89" spans="3:10" x14ac:dyDescent="0.15">
      <c r="C89" s="30"/>
      <c r="D89" s="30"/>
      <c r="E89" s="30"/>
      <c r="F89" s="30"/>
      <c r="G89" s="30"/>
      <c r="H89" s="30"/>
      <c r="I89" s="30"/>
      <c r="J89" s="30"/>
    </row>
    <row r="90" spans="3:10" x14ac:dyDescent="0.15">
      <c r="C90" s="30"/>
      <c r="D90" s="30"/>
      <c r="E90" s="30"/>
      <c r="F90" s="30"/>
      <c r="G90" s="30"/>
      <c r="H90" s="30"/>
      <c r="I90" s="30"/>
      <c r="J90" s="30"/>
    </row>
    <row r="91" spans="3:10" x14ac:dyDescent="0.15">
      <c r="C91" s="30"/>
      <c r="D91" s="30"/>
      <c r="E91" s="30"/>
      <c r="F91" s="30"/>
      <c r="G91" s="30"/>
      <c r="H91" s="30"/>
      <c r="I91" s="30"/>
      <c r="J91" s="30"/>
    </row>
    <row r="92" spans="3:10" x14ac:dyDescent="0.15">
      <c r="C92" s="30"/>
      <c r="D92" s="30"/>
      <c r="E92" s="30"/>
      <c r="F92" s="30"/>
      <c r="G92" s="30"/>
      <c r="H92" s="30"/>
      <c r="I92" s="30"/>
      <c r="J92" s="30"/>
    </row>
    <row r="93" spans="3:10" x14ac:dyDescent="0.15">
      <c r="C93" s="30"/>
      <c r="D93" s="30"/>
      <c r="E93" s="30"/>
      <c r="F93" s="30"/>
      <c r="G93" s="30"/>
      <c r="H93" s="30"/>
      <c r="I93" s="30"/>
      <c r="J93" s="30"/>
    </row>
    <row r="94" spans="3:10" x14ac:dyDescent="0.15">
      <c r="C94" s="30"/>
      <c r="D94" s="30"/>
      <c r="E94" s="30"/>
      <c r="F94" s="30"/>
      <c r="G94" s="30"/>
      <c r="H94" s="30"/>
      <c r="I94" s="30"/>
      <c r="J94" s="30"/>
    </row>
    <row r="95" spans="3:10" x14ac:dyDescent="0.15">
      <c r="C95" s="30"/>
      <c r="D95" s="30"/>
      <c r="E95" s="30"/>
      <c r="F95" s="30"/>
      <c r="G95" s="30"/>
      <c r="H95" s="30"/>
      <c r="I95" s="30"/>
      <c r="J95" s="30"/>
    </row>
    <row r="96" spans="3:10" x14ac:dyDescent="0.15">
      <c r="C96" s="30"/>
      <c r="D96" s="30"/>
      <c r="E96" s="30"/>
      <c r="F96" s="30"/>
      <c r="G96" s="30"/>
      <c r="H96" s="30"/>
      <c r="I96" s="30"/>
      <c r="J96" s="30"/>
    </row>
    <row r="97" spans="3:10" x14ac:dyDescent="0.15">
      <c r="C97" s="30"/>
      <c r="D97" s="30"/>
      <c r="E97" s="30"/>
      <c r="F97" s="30"/>
      <c r="G97" s="30"/>
      <c r="H97" s="30"/>
      <c r="I97" s="30"/>
      <c r="J97" s="30"/>
    </row>
    <row r="98" spans="3:10" x14ac:dyDescent="0.15">
      <c r="C98" s="30"/>
      <c r="D98" s="30"/>
      <c r="E98" s="30"/>
      <c r="F98" s="30"/>
      <c r="G98" s="30"/>
      <c r="H98" s="30"/>
      <c r="I98" s="30"/>
      <c r="J98" s="30"/>
    </row>
    <row r="99" spans="3:10" x14ac:dyDescent="0.15">
      <c r="C99" s="30"/>
      <c r="D99" s="30"/>
      <c r="E99" s="30"/>
      <c r="F99" s="30"/>
      <c r="G99" s="30"/>
      <c r="H99" s="30"/>
      <c r="I99" s="30"/>
      <c r="J99" s="30"/>
    </row>
    <row r="100" spans="3:10" x14ac:dyDescent="0.15">
      <c r="C100" s="30"/>
      <c r="D100" s="30"/>
      <c r="E100" s="30"/>
      <c r="F100" s="30"/>
      <c r="G100" s="30"/>
      <c r="H100" s="30"/>
      <c r="I100" s="30"/>
      <c r="J100" s="30"/>
    </row>
    <row r="101" spans="3:10" x14ac:dyDescent="0.15">
      <c r="C101" s="30"/>
      <c r="D101" s="30"/>
      <c r="E101" s="30"/>
      <c r="F101" s="30"/>
      <c r="G101" s="30"/>
      <c r="H101" s="30"/>
      <c r="I101" s="30"/>
      <c r="J101" s="30"/>
    </row>
    <row r="102" spans="3:10" x14ac:dyDescent="0.15">
      <c r="C102" s="30"/>
      <c r="D102" s="30"/>
      <c r="E102" s="30"/>
      <c r="F102" s="30"/>
      <c r="G102" s="30"/>
      <c r="H102" s="30"/>
      <c r="I102" s="30"/>
      <c r="J102" s="30"/>
    </row>
    <row r="103" spans="3:10" x14ac:dyDescent="0.15">
      <c r="C103" s="30"/>
      <c r="D103" s="30"/>
      <c r="E103" s="30"/>
      <c r="F103" s="30"/>
      <c r="G103" s="30"/>
      <c r="H103" s="30"/>
      <c r="I103" s="30"/>
      <c r="J103" s="30"/>
    </row>
    <row r="104" spans="3:10" x14ac:dyDescent="0.15">
      <c r="C104" s="30"/>
      <c r="D104" s="30"/>
      <c r="E104" s="30"/>
      <c r="F104" s="30"/>
      <c r="G104" s="30"/>
      <c r="H104" s="30"/>
      <c r="I104" s="30"/>
      <c r="J104" s="30"/>
    </row>
    <row r="105" spans="3:10" x14ac:dyDescent="0.15">
      <c r="C105" s="30"/>
      <c r="D105" s="30"/>
      <c r="E105" s="30"/>
      <c r="F105" s="30"/>
      <c r="G105" s="30"/>
      <c r="H105" s="30"/>
      <c r="I105" s="30"/>
      <c r="J105" s="30"/>
    </row>
    <row r="106" spans="3:10" x14ac:dyDescent="0.15">
      <c r="C106" s="30"/>
      <c r="D106" s="30"/>
      <c r="E106" s="30"/>
      <c r="F106" s="30"/>
      <c r="G106" s="30"/>
      <c r="H106" s="30"/>
      <c r="I106" s="30"/>
      <c r="J106" s="30"/>
    </row>
    <row r="107" spans="3:10" x14ac:dyDescent="0.15">
      <c r="C107" s="30"/>
      <c r="D107" s="30"/>
      <c r="E107" s="30"/>
      <c r="F107" s="30"/>
      <c r="G107" s="30"/>
      <c r="H107" s="30"/>
      <c r="I107" s="30"/>
      <c r="J107" s="30"/>
    </row>
    <row r="108" spans="3:10" x14ac:dyDescent="0.15">
      <c r="C108" s="30"/>
      <c r="D108" s="30"/>
      <c r="E108" s="30"/>
      <c r="F108" s="30"/>
      <c r="G108" s="30"/>
      <c r="H108" s="30"/>
      <c r="I108" s="30"/>
      <c r="J108" s="30"/>
    </row>
    <row r="109" spans="3:10" x14ac:dyDescent="0.15">
      <c r="C109" s="30"/>
      <c r="D109" s="30"/>
      <c r="E109" s="30"/>
      <c r="F109" s="30"/>
      <c r="G109" s="30"/>
      <c r="H109" s="30"/>
      <c r="I109" s="30"/>
      <c r="J109" s="30"/>
    </row>
    <row r="110" spans="3:10" x14ac:dyDescent="0.15">
      <c r="C110" s="30"/>
      <c r="D110" s="30"/>
      <c r="E110" s="30"/>
      <c r="F110" s="30"/>
      <c r="G110" s="30"/>
      <c r="H110" s="30"/>
      <c r="I110" s="30"/>
      <c r="J110" s="30"/>
    </row>
    <row r="111" spans="3:10" x14ac:dyDescent="0.15">
      <c r="C111" s="30"/>
      <c r="D111" s="30"/>
      <c r="E111" s="30"/>
      <c r="F111" s="30"/>
      <c r="G111" s="30"/>
      <c r="H111" s="30"/>
      <c r="I111" s="30"/>
      <c r="J111" s="30"/>
    </row>
    <row r="112" spans="3:10" x14ac:dyDescent="0.15">
      <c r="C112" s="30"/>
      <c r="D112" s="30"/>
      <c r="E112" s="30"/>
      <c r="F112" s="30"/>
      <c r="G112" s="30"/>
      <c r="H112" s="30"/>
      <c r="I112" s="30"/>
      <c r="J112" s="30"/>
    </row>
    <row r="113" spans="3:10" x14ac:dyDescent="0.15">
      <c r="C113" s="30"/>
      <c r="D113" s="30"/>
      <c r="E113" s="30"/>
      <c r="F113" s="30"/>
      <c r="G113" s="30"/>
      <c r="H113" s="30"/>
      <c r="I113" s="30"/>
      <c r="J113" s="30"/>
    </row>
    <row r="114" spans="3:10" x14ac:dyDescent="0.15">
      <c r="C114" s="30"/>
      <c r="D114" s="30"/>
      <c r="E114" s="30"/>
      <c r="F114" s="30"/>
      <c r="G114" s="30"/>
      <c r="H114" s="30"/>
      <c r="I114" s="30"/>
      <c r="J114" s="30"/>
    </row>
    <row r="115" spans="3:10" x14ac:dyDescent="0.15">
      <c r="C115" s="30"/>
      <c r="D115" s="30"/>
      <c r="E115" s="30"/>
      <c r="F115" s="30"/>
      <c r="G115" s="30"/>
      <c r="H115" s="30"/>
      <c r="I115" s="30"/>
      <c r="J115" s="30"/>
    </row>
    <row r="116" spans="3:10" x14ac:dyDescent="0.15">
      <c r="C116" s="30"/>
      <c r="D116" s="30"/>
      <c r="E116" s="30"/>
      <c r="F116" s="30"/>
      <c r="G116" s="30"/>
      <c r="H116" s="30"/>
      <c r="I116" s="30"/>
      <c r="J116" s="30"/>
    </row>
    <row r="117" spans="3:10" x14ac:dyDescent="0.15">
      <c r="C117" s="30"/>
      <c r="D117" s="30"/>
      <c r="E117" s="30"/>
      <c r="F117" s="30"/>
      <c r="G117" s="30"/>
      <c r="H117" s="30"/>
      <c r="I117" s="30"/>
      <c r="J117" s="30"/>
    </row>
    <row r="118" spans="3:10" x14ac:dyDescent="0.15">
      <c r="C118" s="30"/>
      <c r="D118" s="30"/>
      <c r="E118" s="30"/>
      <c r="F118" s="30"/>
      <c r="G118" s="30"/>
      <c r="H118" s="30"/>
      <c r="I118" s="30"/>
      <c r="J118" s="30"/>
    </row>
    <row r="119" spans="3:10" x14ac:dyDescent="0.15">
      <c r="C119" s="30"/>
      <c r="D119" s="30"/>
      <c r="E119" s="30"/>
      <c r="F119" s="30"/>
      <c r="G119" s="30"/>
      <c r="H119" s="30"/>
      <c r="I119" s="30"/>
      <c r="J119" s="30"/>
    </row>
    <row r="120" spans="3:10" x14ac:dyDescent="0.15">
      <c r="C120" s="30"/>
      <c r="D120" s="30"/>
      <c r="E120" s="30"/>
      <c r="F120" s="30"/>
      <c r="G120" s="30"/>
      <c r="H120" s="30"/>
      <c r="I120" s="30"/>
      <c r="J120" s="30"/>
    </row>
    <row r="121" spans="3:10" x14ac:dyDescent="0.15">
      <c r="C121" s="30"/>
      <c r="D121" s="30"/>
      <c r="E121" s="30"/>
      <c r="F121" s="30"/>
      <c r="G121" s="30"/>
      <c r="H121" s="30"/>
      <c r="I121" s="30"/>
      <c r="J121" s="30"/>
    </row>
    <row r="122" spans="3:10" x14ac:dyDescent="0.15">
      <c r="C122" s="30"/>
      <c r="D122" s="30"/>
      <c r="E122" s="30"/>
      <c r="F122" s="30"/>
      <c r="G122" s="30"/>
      <c r="H122" s="30"/>
      <c r="I122" s="30"/>
      <c r="J122" s="30"/>
    </row>
    <row r="123" spans="3:10" x14ac:dyDescent="0.15">
      <c r="C123" s="30"/>
      <c r="D123" s="30"/>
      <c r="E123" s="30"/>
      <c r="F123" s="30"/>
      <c r="G123" s="30"/>
      <c r="H123" s="30"/>
      <c r="I123" s="30"/>
      <c r="J123" s="30"/>
    </row>
    <row r="124" spans="3:10" x14ac:dyDescent="0.15">
      <c r="C124" s="30"/>
      <c r="D124" s="30"/>
      <c r="E124" s="30"/>
      <c r="F124" s="30"/>
      <c r="G124" s="30"/>
      <c r="H124" s="30"/>
      <c r="I124" s="30"/>
      <c r="J124" s="30"/>
    </row>
    <row r="125" spans="3:10" x14ac:dyDescent="0.15">
      <c r="C125" s="30"/>
      <c r="D125" s="30"/>
      <c r="E125" s="30"/>
      <c r="F125" s="30"/>
      <c r="G125" s="30"/>
      <c r="H125" s="30"/>
      <c r="I125" s="30"/>
      <c r="J125" s="30"/>
    </row>
    <row r="126" spans="3:10" x14ac:dyDescent="0.15">
      <c r="C126" s="30"/>
      <c r="D126" s="30"/>
      <c r="E126" s="30"/>
      <c r="F126" s="30"/>
      <c r="G126" s="30"/>
      <c r="H126" s="30"/>
      <c r="I126" s="30"/>
      <c r="J126" s="30"/>
    </row>
    <row r="127" spans="3:10" x14ac:dyDescent="0.15">
      <c r="C127" s="30"/>
      <c r="D127" s="30"/>
      <c r="E127" s="30"/>
      <c r="F127" s="30"/>
      <c r="G127" s="30"/>
      <c r="H127" s="30"/>
      <c r="I127" s="30"/>
      <c r="J127" s="30"/>
    </row>
    <row r="128" spans="3:10" x14ac:dyDescent="0.15">
      <c r="C128" s="30"/>
      <c r="D128" s="30"/>
      <c r="E128" s="30"/>
      <c r="F128" s="30"/>
      <c r="G128" s="30"/>
      <c r="H128" s="30"/>
      <c r="I128" s="30"/>
      <c r="J128" s="30"/>
    </row>
    <row r="129" spans="3:10" x14ac:dyDescent="0.15">
      <c r="C129" s="30"/>
      <c r="D129" s="30"/>
      <c r="E129" s="30"/>
      <c r="F129" s="30"/>
      <c r="G129" s="30"/>
      <c r="H129" s="30"/>
      <c r="I129" s="30"/>
      <c r="J129" s="30"/>
    </row>
    <row r="130" spans="3:10" x14ac:dyDescent="0.15">
      <c r="C130" s="30"/>
      <c r="D130" s="30"/>
      <c r="E130" s="30"/>
      <c r="F130" s="30"/>
      <c r="G130" s="30"/>
      <c r="H130" s="30"/>
      <c r="I130" s="30"/>
      <c r="J130" s="30"/>
    </row>
    <row r="131" spans="3:10" x14ac:dyDescent="0.15">
      <c r="C131" s="30"/>
      <c r="D131" s="30"/>
      <c r="E131" s="30"/>
      <c r="F131" s="30"/>
      <c r="G131" s="30"/>
      <c r="H131" s="30"/>
      <c r="I131" s="30"/>
      <c r="J131" s="30"/>
    </row>
    <row r="132" spans="3:10" x14ac:dyDescent="0.15">
      <c r="C132" s="30"/>
      <c r="D132" s="30"/>
      <c r="E132" s="30"/>
      <c r="F132" s="30"/>
      <c r="G132" s="30"/>
      <c r="H132" s="30"/>
      <c r="I132" s="30"/>
      <c r="J132" s="30"/>
    </row>
    <row r="133" spans="3:10" x14ac:dyDescent="0.15">
      <c r="C133" s="30"/>
      <c r="D133" s="30"/>
      <c r="E133" s="30"/>
      <c r="F133" s="30"/>
      <c r="G133" s="30"/>
      <c r="H133" s="30"/>
      <c r="I133" s="30"/>
      <c r="J133" s="30"/>
    </row>
    <row r="134" spans="3:10" x14ac:dyDescent="0.15">
      <c r="C134" s="30"/>
      <c r="D134" s="30"/>
      <c r="E134" s="30"/>
      <c r="F134" s="30"/>
      <c r="G134" s="30"/>
      <c r="H134" s="30"/>
      <c r="I134" s="30"/>
      <c r="J134" s="30"/>
    </row>
    <row r="135" spans="3:10" x14ac:dyDescent="0.15">
      <c r="C135" s="30"/>
      <c r="D135" s="30"/>
      <c r="E135" s="30"/>
      <c r="F135" s="30"/>
      <c r="G135" s="30"/>
      <c r="H135" s="30"/>
      <c r="I135" s="30"/>
      <c r="J135" s="30"/>
    </row>
    <row r="136" spans="3:10" x14ac:dyDescent="0.15">
      <c r="C136" s="30"/>
      <c r="D136" s="30"/>
      <c r="E136" s="30"/>
      <c r="F136" s="30"/>
      <c r="G136" s="30"/>
      <c r="H136" s="30"/>
      <c r="I136" s="30"/>
      <c r="J136" s="30"/>
    </row>
    <row r="137" spans="3:10" x14ac:dyDescent="0.15">
      <c r="C137" s="30"/>
      <c r="D137" s="30"/>
      <c r="E137" s="30"/>
      <c r="F137" s="30"/>
      <c r="G137" s="30"/>
      <c r="H137" s="30"/>
      <c r="I137" s="30"/>
      <c r="J137" s="30"/>
    </row>
    <row r="138" spans="3:10" x14ac:dyDescent="0.15">
      <c r="C138" s="30"/>
      <c r="D138" s="30"/>
      <c r="E138" s="30"/>
      <c r="F138" s="30"/>
      <c r="G138" s="30"/>
      <c r="H138" s="30"/>
      <c r="I138" s="30"/>
      <c r="J138" s="30"/>
    </row>
    <row r="139" spans="3:10" x14ac:dyDescent="0.15">
      <c r="C139" s="30"/>
      <c r="D139" s="30"/>
      <c r="E139" s="30"/>
      <c r="F139" s="30"/>
      <c r="G139" s="30"/>
      <c r="H139" s="30"/>
      <c r="I139" s="30"/>
      <c r="J139" s="30"/>
    </row>
    <row r="140" spans="3:10" x14ac:dyDescent="0.15">
      <c r="C140" s="30"/>
      <c r="D140" s="30"/>
      <c r="E140" s="30"/>
      <c r="F140" s="30"/>
      <c r="G140" s="30"/>
      <c r="H140" s="30"/>
      <c r="I140" s="30"/>
      <c r="J140" s="30"/>
    </row>
    <row r="141" spans="3:10" x14ac:dyDescent="0.15">
      <c r="C141" s="30"/>
      <c r="D141" s="30"/>
      <c r="E141" s="30"/>
      <c r="F141" s="30"/>
      <c r="G141" s="30"/>
      <c r="H141" s="30"/>
      <c r="I141" s="30"/>
      <c r="J141" s="30"/>
    </row>
    <row r="142" spans="3:10" x14ac:dyDescent="0.15">
      <c r="C142" s="30"/>
      <c r="D142" s="30"/>
      <c r="E142" s="30"/>
      <c r="F142" s="30"/>
      <c r="G142" s="30"/>
      <c r="H142" s="30"/>
      <c r="I142" s="30"/>
      <c r="J142" s="30"/>
    </row>
    <row r="143" spans="3:10" x14ac:dyDescent="0.15">
      <c r="C143" s="30"/>
      <c r="D143" s="30"/>
      <c r="E143" s="30"/>
      <c r="F143" s="30"/>
      <c r="G143" s="30"/>
      <c r="H143" s="30"/>
      <c r="I143" s="30"/>
      <c r="J143" s="30"/>
    </row>
    <row r="144" spans="3:10" x14ac:dyDescent="0.15">
      <c r="C144" s="30"/>
      <c r="D144" s="30"/>
      <c r="E144" s="30"/>
      <c r="F144" s="30"/>
      <c r="G144" s="30"/>
      <c r="H144" s="30"/>
      <c r="I144" s="30"/>
      <c r="J144" s="30"/>
    </row>
    <row r="145" spans="3:10" x14ac:dyDescent="0.15">
      <c r="C145" s="30"/>
      <c r="D145" s="30"/>
      <c r="E145" s="30"/>
      <c r="F145" s="30"/>
      <c r="G145" s="30"/>
      <c r="H145" s="30"/>
      <c r="I145" s="30"/>
      <c r="J145" s="30"/>
    </row>
    <row r="146" spans="3:10" x14ac:dyDescent="0.15">
      <c r="C146" s="30"/>
      <c r="D146" s="30"/>
      <c r="E146" s="30"/>
      <c r="F146" s="30"/>
      <c r="G146" s="30"/>
      <c r="H146" s="30"/>
      <c r="I146" s="30"/>
      <c r="J146" s="30"/>
    </row>
    <row r="147" spans="3:10" x14ac:dyDescent="0.15">
      <c r="C147" s="30"/>
      <c r="D147" s="30"/>
      <c r="E147" s="30"/>
      <c r="F147" s="30"/>
      <c r="G147" s="30"/>
      <c r="H147" s="30"/>
      <c r="I147" s="30"/>
      <c r="J147" s="30"/>
    </row>
    <row r="148" spans="3:10" x14ac:dyDescent="0.15">
      <c r="C148" s="30"/>
      <c r="D148" s="30"/>
      <c r="E148" s="30"/>
      <c r="F148" s="30"/>
      <c r="G148" s="30"/>
      <c r="H148" s="30"/>
      <c r="I148" s="30"/>
      <c r="J148" s="30"/>
    </row>
    <row r="149" spans="3:10" x14ac:dyDescent="0.15">
      <c r="C149" s="30"/>
      <c r="D149" s="30"/>
      <c r="E149" s="30"/>
      <c r="F149" s="30"/>
      <c r="G149" s="30"/>
      <c r="H149" s="30"/>
      <c r="I149" s="30"/>
      <c r="J149" s="30"/>
    </row>
    <row r="150" spans="3:10" x14ac:dyDescent="0.15">
      <c r="C150" s="30"/>
      <c r="D150" s="30"/>
      <c r="E150" s="30"/>
      <c r="F150" s="30"/>
      <c r="G150" s="30"/>
      <c r="H150" s="30"/>
      <c r="I150" s="30"/>
      <c r="J150" s="30"/>
    </row>
    <row r="151" spans="3:10" x14ac:dyDescent="0.15">
      <c r="C151" s="30"/>
      <c r="D151" s="30"/>
      <c r="E151" s="30"/>
      <c r="F151" s="30"/>
      <c r="G151" s="30"/>
      <c r="H151" s="30"/>
      <c r="I151" s="30"/>
      <c r="J151" s="30"/>
    </row>
    <row r="152" spans="3:10" x14ac:dyDescent="0.15">
      <c r="C152" s="30"/>
      <c r="D152" s="30"/>
      <c r="E152" s="30"/>
      <c r="F152" s="30"/>
      <c r="G152" s="30"/>
      <c r="H152" s="30"/>
      <c r="I152" s="30"/>
      <c r="J152" s="30"/>
    </row>
    <row r="153" spans="3:10" x14ac:dyDescent="0.15">
      <c r="C153" s="30"/>
      <c r="D153" s="30"/>
      <c r="E153" s="30"/>
      <c r="F153" s="30"/>
      <c r="G153" s="30"/>
      <c r="H153" s="30"/>
      <c r="I153" s="30"/>
      <c r="J153" s="30"/>
    </row>
    <row r="154" spans="3:10" x14ac:dyDescent="0.15">
      <c r="C154" s="30"/>
      <c r="D154" s="30"/>
      <c r="E154" s="30"/>
      <c r="F154" s="30"/>
      <c r="G154" s="30"/>
      <c r="H154" s="30"/>
      <c r="I154" s="30"/>
      <c r="J154" s="30"/>
    </row>
    <row r="155" spans="3:10" x14ac:dyDescent="0.15">
      <c r="C155" s="30"/>
      <c r="D155" s="30"/>
      <c r="E155" s="30"/>
      <c r="F155" s="30"/>
      <c r="G155" s="30"/>
      <c r="H155" s="30"/>
      <c r="I155" s="30"/>
      <c r="J155" s="30"/>
    </row>
    <row r="156" spans="3:10" x14ac:dyDescent="0.15">
      <c r="C156" s="30"/>
      <c r="D156" s="30"/>
      <c r="E156" s="30"/>
      <c r="F156" s="30"/>
      <c r="G156" s="30"/>
      <c r="H156" s="30"/>
      <c r="I156" s="30"/>
      <c r="J156" s="30"/>
    </row>
    <row r="157" spans="3:10" x14ac:dyDescent="0.15">
      <c r="C157" s="30"/>
      <c r="D157" s="30"/>
      <c r="E157" s="30"/>
      <c r="F157" s="30"/>
      <c r="G157" s="30"/>
      <c r="H157" s="30"/>
      <c r="I157" s="30"/>
      <c r="J157" s="30"/>
    </row>
    <row r="158" spans="3:10" x14ac:dyDescent="0.15">
      <c r="C158" s="30"/>
      <c r="D158" s="30"/>
      <c r="E158" s="30"/>
      <c r="F158" s="30"/>
      <c r="G158" s="30"/>
      <c r="H158" s="30"/>
      <c r="I158" s="30"/>
      <c r="J158" s="30"/>
    </row>
    <row r="159" spans="3:10" x14ac:dyDescent="0.15">
      <c r="C159" s="30"/>
      <c r="D159" s="30"/>
      <c r="E159" s="30"/>
      <c r="F159" s="30"/>
      <c r="G159" s="30"/>
      <c r="H159" s="30"/>
      <c r="I159" s="30"/>
      <c r="J159" s="30"/>
    </row>
    <row r="160" spans="3:10" x14ac:dyDescent="0.15">
      <c r="C160" s="30"/>
      <c r="D160" s="30"/>
      <c r="E160" s="30"/>
      <c r="F160" s="30"/>
      <c r="G160" s="30"/>
      <c r="H160" s="30"/>
      <c r="I160" s="30"/>
      <c r="J160" s="30"/>
    </row>
    <row r="161" spans="3:10" x14ac:dyDescent="0.15">
      <c r="C161" s="30"/>
      <c r="D161" s="30"/>
      <c r="E161" s="30"/>
      <c r="F161" s="30"/>
      <c r="G161" s="30"/>
      <c r="H161" s="30"/>
      <c r="I161" s="30"/>
      <c r="J161" s="30"/>
    </row>
    <row r="162" spans="3:10" x14ac:dyDescent="0.15">
      <c r="C162" s="30"/>
      <c r="D162" s="30"/>
      <c r="E162" s="30"/>
      <c r="F162" s="30"/>
      <c r="G162" s="30"/>
      <c r="H162" s="30"/>
      <c r="I162" s="30"/>
      <c r="J162" s="30"/>
    </row>
    <row r="163" spans="3:10" x14ac:dyDescent="0.15">
      <c r="C163" s="30"/>
      <c r="D163" s="30"/>
      <c r="E163" s="30"/>
      <c r="F163" s="30"/>
      <c r="G163" s="30"/>
      <c r="H163" s="30"/>
      <c r="I163" s="30"/>
      <c r="J163" s="30"/>
    </row>
    <row r="164" spans="3:10" x14ac:dyDescent="0.15">
      <c r="C164" s="30"/>
      <c r="D164" s="30"/>
      <c r="E164" s="30"/>
      <c r="F164" s="30"/>
      <c r="G164" s="30"/>
      <c r="H164" s="30"/>
      <c r="I164" s="30"/>
      <c r="J164" s="30"/>
    </row>
    <row r="165" spans="3:10" x14ac:dyDescent="0.15">
      <c r="C165" s="30"/>
      <c r="D165" s="30"/>
      <c r="E165" s="30"/>
      <c r="F165" s="30"/>
      <c r="G165" s="30"/>
      <c r="H165" s="30"/>
      <c r="I165" s="30"/>
      <c r="J165" s="30"/>
    </row>
    <row r="166" spans="3:10" x14ac:dyDescent="0.15">
      <c r="C166" s="30"/>
      <c r="D166" s="30"/>
      <c r="E166" s="30"/>
      <c r="F166" s="30"/>
      <c r="G166" s="30"/>
      <c r="H166" s="30"/>
      <c r="I166" s="30"/>
      <c r="J166" s="30"/>
    </row>
    <row r="167" spans="3:10" x14ac:dyDescent="0.15">
      <c r="C167" s="30"/>
      <c r="D167" s="30"/>
      <c r="E167" s="30"/>
      <c r="F167" s="30"/>
      <c r="G167" s="30"/>
      <c r="H167" s="30"/>
      <c r="I167" s="30"/>
      <c r="J167" s="30"/>
    </row>
    <row r="168" spans="3:10" x14ac:dyDescent="0.15">
      <c r="C168" s="30"/>
      <c r="D168" s="30"/>
      <c r="E168" s="30"/>
      <c r="F168" s="30"/>
      <c r="G168" s="30"/>
      <c r="H168" s="30"/>
      <c r="I168" s="30"/>
      <c r="J168" s="30"/>
    </row>
    <row r="169" spans="3:10" x14ac:dyDescent="0.15">
      <c r="C169" s="30"/>
      <c r="D169" s="30"/>
      <c r="E169" s="30"/>
      <c r="F169" s="30"/>
      <c r="G169" s="30"/>
      <c r="H169" s="30"/>
      <c r="I169" s="30"/>
      <c r="J169" s="30"/>
    </row>
    <row r="170" spans="3:10" x14ac:dyDescent="0.15">
      <c r="C170" s="30"/>
      <c r="D170" s="30"/>
      <c r="E170" s="30"/>
      <c r="F170" s="30"/>
      <c r="G170" s="30"/>
      <c r="H170" s="30"/>
      <c r="I170" s="30"/>
      <c r="J170" s="30"/>
    </row>
    <row r="171" spans="3:10" x14ac:dyDescent="0.15">
      <c r="C171" s="30"/>
      <c r="D171" s="30"/>
      <c r="E171" s="30"/>
      <c r="F171" s="30"/>
      <c r="G171" s="30"/>
      <c r="H171" s="30"/>
      <c r="I171" s="30"/>
      <c r="J171" s="30"/>
    </row>
    <row r="172" spans="3:10" x14ac:dyDescent="0.15">
      <c r="C172" s="30"/>
      <c r="D172" s="30"/>
      <c r="E172" s="30"/>
      <c r="F172" s="30"/>
      <c r="G172" s="30"/>
      <c r="H172" s="30"/>
      <c r="I172" s="30"/>
      <c r="J172" s="30"/>
    </row>
    <row r="173" spans="3:10" x14ac:dyDescent="0.15">
      <c r="C173" s="30"/>
      <c r="D173" s="30"/>
      <c r="E173" s="30"/>
      <c r="F173" s="30"/>
      <c r="G173" s="30"/>
      <c r="H173" s="30"/>
      <c r="I173" s="30"/>
      <c r="J173" s="30"/>
    </row>
    <row r="174" spans="3:10" x14ac:dyDescent="0.15">
      <c r="C174" s="30"/>
      <c r="D174" s="30"/>
      <c r="E174" s="30"/>
      <c r="F174" s="30"/>
      <c r="G174" s="30"/>
      <c r="H174" s="30"/>
      <c r="I174" s="30"/>
      <c r="J174" s="30"/>
    </row>
    <row r="175" spans="3:10" x14ac:dyDescent="0.15">
      <c r="C175" s="30"/>
      <c r="D175" s="30"/>
      <c r="E175" s="30"/>
      <c r="F175" s="30"/>
      <c r="G175" s="30"/>
      <c r="H175" s="30"/>
      <c r="I175" s="30"/>
      <c r="J175" s="30"/>
    </row>
    <row r="176" spans="3:10" x14ac:dyDescent="0.15">
      <c r="C176" s="30"/>
      <c r="D176" s="30"/>
      <c r="E176" s="30"/>
      <c r="F176" s="30"/>
      <c r="G176" s="30"/>
      <c r="H176" s="30"/>
      <c r="I176" s="30"/>
      <c r="J176" s="30"/>
    </row>
    <row r="177" spans="3:10" x14ac:dyDescent="0.15">
      <c r="C177" s="30"/>
      <c r="D177" s="30"/>
      <c r="E177" s="30"/>
      <c r="F177" s="30"/>
      <c r="G177" s="30"/>
      <c r="H177" s="30"/>
      <c r="I177" s="30"/>
      <c r="J177" s="30"/>
    </row>
    <row r="178" spans="3:10" x14ac:dyDescent="0.15">
      <c r="C178" s="30"/>
      <c r="D178" s="30"/>
      <c r="E178" s="30"/>
      <c r="F178" s="30"/>
      <c r="G178" s="30"/>
      <c r="H178" s="30"/>
      <c r="I178" s="30"/>
      <c r="J178" s="30"/>
    </row>
    <row r="179" spans="3:10" x14ac:dyDescent="0.15">
      <c r="C179" s="30"/>
      <c r="D179" s="30"/>
      <c r="E179" s="30"/>
      <c r="F179" s="30"/>
      <c r="G179" s="30"/>
      <c r="H179" s="30"/>
      <c r="I179" s="30"/>
      <c r="J179" s="30"/>
    </row>
    <row r="180" spans="3:10" x14ac:dyDescent="0.15">
      <c r="C180" s="30"/>
      <c r="D180" s="30"/>
      <c r="E180" s="30"/>
      <c r="F180" s="30"/>
      <c r="G180" s="30"/>
      <c r="H180" s="30"/>
      <c r="I180" s="30"/>
      <c r="J180" s="30"/>
    </row>
    <row r="181" spans="3:10" x14ac:dyDescent="0.15">
      <c r="C181" s="30"/>
      <c r="D181" s="30"/>
      <c r="E181" s="30"/>
      <c r="F181" s="30"/>
      <c r="G181" s="30"/>
      <c r="H181" s="30"/>
      <c r="I181" s="30"/>
      <c r="J181" s="30"/>
    </row>
    <row r="182" spans="3:10" x14ac:dyDescent="0.15">
      <c r="C182" s="30"/>
      <c r="D182" s="30"/>
      <c r="E182" s="30"/>
      <c r="F182" s="30"/>
      <c r="G182" s="30"/>
      <c r="H182" s="30"/>
      <c r="I182" s="30"/>
      <c r="J182" s="30"/>
    </row>
    <row r="183" spans="3:10" x14ac:dyDescent="0.15">
      <c r="C183" s="30"/>
      <c r="D183" s="30"/>
      <c r="E183" s="30"/>
      <c r="F183" s="30"/>
      <c r="G183" s="30"/>
      <c r="H183" s="30"/>
      <c r="I183" s="30"/>
      <c r="J183" s="30"/>
    </row>
    <row r="184" spans="3:10" x14ac:dyDescent="0.15">
      <c r="C184" s="30"/>
      <c r="D184" s="30"/>
      <c r="E184" s="30"/>
      <c r="F184" s="30"/>
      <c r="G184" s="30"/>
      <c r="H184" s="30"/>
      <c r="I184" s="30"/>
      <c r="J184" s="30"/>
    </row>
    <row r="185" spans="3:10" x14ac:dyDescent="0.15">
      <c r="C185" s="30"/>
      <c r="D185" s="30"/>
      <c r="E185" s="30"/>
      <c r="F185" s="30"/>
      <c r="G185" s="30"/>
      <c r="H185" s="30"/>
      <c r="I185" s="30"/>
      <c r="J185" s="30"/>
    </row>
    <row r="186" spans="3:10" x14ac:dyDescent="0.15">
      <c r="C186" s="30"/>
      <c r="D186" s="30"/>
      <c r="E186" s="30"/>
      <c r="F186" s="30"/>
      <c r="G186" s="30"/>
      <c r="H186" s="30"/>
      <c r="I186" s="30"/>
      <c r="J186" s="30"/>
    </row>
    <row r="187" spans="3:10" x14ac:dyDescent="0.15">
      <c r="C187" s="30"/>
      <c r="D187" s="30"/>
      <c r="E187" s="30"/>
      <c r="F187" s="30"/>
      <c r="G187" s="30"/>
      <c r="H187" s="30"/>
      <c r="I187" s="30"/>
      <c r="J187" s="30"/>
    </row>
    <row r="188" spans="3:10" x14ac:dyDescent="0.15">
      <c r="C188" s="30"/>
      <c r="D188" s="30"/>
      <c r="E188" s="30"/>
      <c r="F188" s="30"/>
      <c r="G188" s="30"/>
      <c r="H188" s="30"/>
      <c r="I188" s="30"/>
      <c r="J188" s="30"/>
    </row>
    <row r="189" spans="3:10" x14ac:dyDescent="0.15">
      <c r="C189" s="30"/>
      <c r="D189" s="30"/>
      <c r="E189" s="30"/>
      <c r="F189" s="30"/>
      <c r="G189" s="30"/>
      <c r="H189" s="30"/>
      <c r="I189" s="30"/>
      <c r="J189" s="30"/>
    </row>
    <row r="190" spans="3:10" x14ac:dyDescent="0.15">
      <c r="C190" s="30"/>
      <c r="D190" s="30"/>
      <c r="E190" s="30"/>
      <c r="F190" s="30"/>
      <c r="G190" s="30"/>
      <c r="H190" s="30"/>
      <c r="I190" s="30"/>
      <c r="J190" s="30"/>
    </row>
    <row r="191" spans="3:10" x14ac:dyDescent="0.15">
      <c r="C191" s="30"/>
      <c r="D191" s="30"/>
      <c r="E191" s="30"/>
      <c r="F191" s="30"/>
      <c r="G191" s="30"/>
      <c r="H191" s="30"/>
      <c r="I191" s="30"/>
      <c r="J191" s="30"/>
    </row>
    <row r="192" spans="3:10" x14ac:dyDescent="0.15">
      <c r="C192" s="30"/>
      <c r="D192" s="30"/>
      <c r="E192" s="30"/>
      <c r="F192" s="30"/>
      <c r="G192" s="30"/>
      <c r="H192" s="30"/>
      <c r="I192" s="30"/>
      <c r="J192" s="30"/>
    </row>
    <row r="193" spans="3:10" x14ac:dyDescent="0.15">
      <c r="C193" s="30"/>
      <c r="D193" s="30"/>
      <c r="E193" s="30"/>
      <c r="F193" s="30"/>
      <c r="G193" s="30"/>
      <c r="H193" s="30"/>
      <c r="I193" s="30"/>
      <c r="J193" s="30"/>
    </row>
    <row r="194" spans="3:10" x14ac:dyDescent="0.15">
      <c r="C194" s="30"/>
      <c r="D194" s="30"/>
      <c r="E194" s="30"/>
      <c r="F194" s="30"/>
      <c r="G194" s="30"/>
      <c r="H194" s="30"/>
      <c r="I194" s="30"/>
      <c r="J194" s="30"/>
    </row>
    <row r="195" spans="3:10" x14ac:dyDescent="0.15">
      <c r="C195" s="30"/>
      <c r="D195" s="30"/>
      <c r="E195" s="30"/>
      <c r="F195" s="30"/>
      <c r="G195" s="30"/>
      <c r="H195" s="30"/>
      <c r="I195" s="30"/>
      <c r="J195" s="30"/>
    </row>
    <row r="196" spans="3:10" x14ac:dyDescent="0.15">
      <c r="C196" s="30"/>
      <c r="D196" s="30"/>
      <c r="E196" s="30"/>
      <c r="F196" s="30"/>
      <c r="G196" s="30"/>
      <c r="H196" s="30"/>
      <c r="I196" s="30"/>
      <c r="J196" s="30"/>
    </row>
    <row r="197" spans="3:10" x14ac:dyDescent="0.15">
      <c r="C197" s="30"/>
      <c r="D197" s="30"/>
      <c r="E197" s="30"/>
      <c r="F197" s="30"/>
      <c r="G197" s="30"/>
      <c r="H197" s="30"/>
      <c r="I197" s="30"/>
      <c r="J197" s="30"/>
    </row>
    <row r="198" spans="3:10" x14ac:dyDescent="0.15">
      <c r="C198" s="30"/>
      <c r="D198" s="30"/>
      <c r="E198" s="30"/>
      <c r="F198" s="30"/>
      <c r="G198" s="30"/>
      <c r="H198" s="30"/>
      <c r="I198" s="30"/>
      <c r="J198" s="30"/>
    </row>
    <row r="199" spans="3:10" x14ac:dyDescent="0.15">
      <c r="C199" s="30"/>
      <c r="D199" s="30"/>
      <c r="E199" s="30"/>
      <c r="F199" s="30"/>
      <c r="G199" s="30"/>
      <c r="H199" s="30"/>
      <c r="I199" s="30"/>
      <c r="J199" s="30"/>
    </row>
    <row r="200" spans="3:10" x14ac:dyDescent="0.15">
      <c r="C200" s="30"/>
      <c r="D200" s="30"/>
      <c r="E200" s="30"/>
      <c r="F200" s="30"/>
      <c r="G200" s="30"/>
      <c r="H200" s="30"/>
      <c r="I200" s="30"/>
      <c r="J200" s="30"/>
    </row>
    <row r="201" spans="3:10" x14ac:dyDescent="0.15">
      <c r="C201" s="30"/>
      <c r="D201" s="30"/>
      <c r="E201" s="30"/>
      <c r="F201" s="30"/>
      <c r="G201" s="30"/>
      <c r="H201" s="30"/>
      <c r="I201" s="30"/>
      <c r="J201" s="30"/>
    </row>
    <row r="202" spans="3:10" x14ac:dyDescent="0.15">
      <c r="C202" s="30"/>
      <c r="D202" s="30"/>
      <c r="E202" s="30"/>
      <c r="F202" s="30"/>
      <c r="G202" s="30"/>
      <c r="H202" s="30"/>
      <c r="I202" s="30"/>
      <c r="J202" s="30"/>
    </row>
    <row r="203" spans="3:10" x14ac:dyDescent="0.15">
      <c r="C203" s="30"/>
      <c r="D203" s="30"/>
      <c r="E203" s="30"/>
      <c r="F203" s="30"/>
      <c r="G203" s="30"/>
      <c r="H203" s="30"/>
      <c r="I203" s="30"/>
      <c r="J203" s="30"/>
    </row>
    <row r="204" spans="3:10" x14ac:dyDescent="0.15">
      <c r="C204" s="30"/>
      <c r="D204" s="30"/>
      <c r="E204" s="30"/>
      <c r="F204" s="30"/>
      <c r="G204" s="30"/>
      <c r="H204" s="30"/>
      <c r="I204" s="30"/>
      <c r="J204" s="30"/>
    </row>
    <row r="205" spans="3:10" x14ac:dyDescent="0.15">
      <c r="C205" s="30"/>
      <c r="D205" s="30"/>
      <c r="E205" s="30"/>
      <c r="F205" s="30"/>
      <c r="G205" s="30"/>
      <c r="H205" s="30"/>
      <c r="I205" s="30"/>
      <c r="J205" s="30"/>
    </row>
    <row r="206" spans="3:10" x14ac:dyDescent="0.15">
      <c r="C206" s="30"/>
      <c r="D206" s="30"/>
      <c r="E206" s="30"/>
      <c r="F206" s="30"/>
      <c r="G206" s="30"/>
      <c r="H206" s="30"/>
      <c r="I206" s="30"/>
      <c r="J206" s="30"/>
    </row>
    <row r="207" spans="3:10" x14ac:dyDescent="0.15">
      <c r="C207" s="30"/>
      <c r="D207" s="30"/>
      <c r="E207" s="30"/>
      <c r="F207" s="30"/>
      <c r="G207" s="30"/>
      <c r="H207" s="30"/>
      <c r="I207" s="30"/>
      <c r="J207" s="30"/>
    </row>
    <row r="208" spans="3:10" x14ac:dyDescent="0.15">
      <c r="C208" s="30"/>
      <c r="D208" s="30"/>
      <c r="E208" s="30"/>
      <c r="F208" s="30"/>
      <c r="G208" s="30"/>
      <c r="H208" s="30"/>
      <c r="I208" s="30"/>
      <c r="J208" s="30"/>
    </row>
    <row r="209" spans="3:10" x14ac:dyDescent="0.15">
      <c r="C209" s="30"/>
      <c r="D209" s="30"/>
      <c r="E209" s="30"/>
      <c r="F209" s="30"/>
      <c r="G209" s="30"/>
      <c r="H209" s="30"/>
      <c r="I209" s="30"/>
      <c r="J209" s="30"/>
    </row>
    <row r="210" spans="3:10" x14ac:dyDescent="0.15">
      <c r="C210" s="30"/>
      <c r="D210" s="30"/>
      <c r="E210" s="30"/>
      <c r="F210" s="30"/>
      <c r="G210" s="30"/>
      <c r="H210" s="30"/>
      <c r="I210" s="30"/>
      <c r="J210" s="30"/>
    </row>
    <row r="211" spans="3:10" x14ac:dyDescent="0.15">
      <c r="C211" s="30"/>
      <c r="D211" s="30"/>
      <c r="E211" s="30"/>
      <c r="F211" s="30"/>
      <c r="G211" s="30"/>
      <c r="H211" s="30"/>
      <c r="I211" s="30"/>
      <c r="J211" s="30"/>
    </row>
    <row r="212" spans="3:10" x14ac:dyDescent="0.15">
      <c r="C212" s="30"/>
      <c r="D212" s="30"/>
      <c r="E212" s="30"/>
      <c r="F212" s="30"/>
      <c r="G212" s="30"/>
      <c r="H212" s="30"/>
      <c r="I212" s="30"/>
      <c r="J212" s="30"/>
    </row>
    <row r="213" spans="3:10" x14ac:dyDescent="0.15">
      <c r="C213" s="30"/>
      <c r="D213" s="30"/>
      <c r="E213" s="30"/>
      <c r="F213" s="30"/>
      <c r="G213" s="30"/>
      <c r="H213" s="30"/>
      <c r="I213" s="30"/>
      <c r="J213" s="30"/>
    </row>
    <row r="214" spans="3:10" x14ac:dyDescent="0.15">
      <c r="C214" s="30"/>
      <c r="D214" s="30"/>
      <c r="E214" s="30"/>
      <c r="F214" s="30"/>
      <c r="G214" s="30"/>
      <c r="H214" s="30"/>
      <c r="I214" s="30"/>
      <c r="J214" s="30"/>
    </row>
    <row r="215" spans="3:10" x14ac:dyDescent="0.15">
      <c r="C215" s="30"/>
      <c r="D215" s="30"/>
      <c r="E215" s="30"/>
      <c r="F215" s="30"/>
      <c r="G215" s="30"/>
      <c r="H215" s="30"/>
      <c r="I215" s="30"/>
      <c r="J215" s="30"/>
    </row>
    <row r="216" spans="3:10" x14ac:dyDescent="0.15">
      <c r="C216" s="30"/>
      <c r="D216" s="30"/>
      <c r="E216" s="30"/>
      <c r="F216" s="30"/>
      <c r="G216" s="30"/>
      <c r="H216" s="30"/>
      <c r="I216" s="30"/>
      <c r="J216" s="30"/>
    </row>
    <row r="217" spans="3:10" x14ac:dyDescent="0.15">
      <c r="C217" s="30"/>
      <c r="D217" s="30"/>
      <c r="E217" s="30"/>
      <c r="F217" s="30"/>
      <c r="G217" s="30"/>
      <c r="H217" s="30"/>
      <c r="I217" s="30"/>
      <c r="J217" s="30"/>
    </row>
    <row r="218" spans="3:10" x14ac:dyDescent="0.15">
      <c r="C218" s="30"/>
      <c r="D218" s="30"/>
      <c r="E218" s="30"/>
      <c r="F218" s="30"/>
      <c r="G218" s="30"/>
      <c r="H218" s="30"/>
      <c r="I218" s="30"/>
      <c r="J218" s="30"/>
    </row>
    <row r="219" spans="3:10" x14ac:dyDescent="0.15">
      <c r="C219" s="30"/>
      <c r="D219" s="30"/>
      <c r="E219" s="30"/>
      <c r="F219" s="30"/>
      <c r="G219" s="30"/>
      <c r="H219" s="30"/>
      <c r="I219" s="30"/>
      <c r="J219" s="30"/>
    </row>
    <row r="220" spans="3:10" x14ac:dyDescent="0.15">
      <c r="C220" s="30"/>
      <c r="D220" s="30"/>
      <c r="E220" s="30"/>
      <c r="F220" s="30"/>
      <c r="G220" s="30"/>
      <c r="H220" s="30"/>
      <c r="I220" s="30"/>
      <c r="J220" s="30"/>
    </row>
    <row r="221" spans="3:10" x14ac:dyDescent="0.15">
      <c r="C221" s="30"/>
      <c r="D221" s="30"/>
      <c r="E221" s="30"/>
      <c r="F221" s="30"/>
      <c r="G221" s="30"/>
      <c r="H221" s="30"/>
      <c r="I221" s="30"/>
      <c r="J221" s="30"/>
    </row>
    <row r="222" spans="3:10" x14ac:dyDescent="0.15">
      <c r="C222" s="30"/>
      <c r="D222" s="30"/>
      <c r="E222" s="30"/>
      <c r="F222" s="30"/>
      <c r="G222" s="30"/>
      <c r="H222" s="30"/>
      <c r="I222" s="30"/>
      <c r="J222" s="30"/>
    </row>
    <row r="223" spans="3:10" x14ac:dyDescent="0.15">
      <c r="C223" s="30"/>
      <c r="D223" s="30"/>
      <c r="E223" s="30"/>
      <c r="F223" s="30"/>
      <c r="G223" s="30"/>
      <c r="H223" s="30"/>
      <c r="I223" s="30"/>
      <c r="J223" s="30"/>
    </row>
    <row r="224" spans="3:10" x14ac:dyDescent="0.15">
      <c r="C224" s="30"/>
      <c r="D224" s="30"/>
      <c r="E224" s="30"/>
      <c r="F224" s="30"/>
      <c r="G224" s="30"/>
      <c r="H224" s="30"/>
      <c r="I224" s="30"/>
      <c r="J224" s="30"/>
    </row>
    <row r="225" spans="3:10" x14ac:dyDescent="0.15">
      <c r="C225" s="30"/>
      <c r="D225" s="30"/>
      <c r="E225" s="30"/>
      <c r="F225" s="30"/>
      <c r="G225" s="30"/>
      <c r="H225" s="30"/>
      <c r="I225" s="30"/>
      <c r="J225" s="30"/>
    </row>
    <row r="226" spans="3:10" x14ac:dyDescent="0.15">
      <c r="C226" s="30"/>
      <c r="D226" s="30"/>
      <c r="E226" s="30"/>
      <c r="F226" s="30"/>
      <c r="G226" s="30"/>
      <c r="H226" s="30"/>
      <c r="I226" s="30"/>
      <c r="J226" s="30"/>
    </row>
    <row r="227" spans="3:10" x14ac:dyDescent="0.15">
      <c r="C227" s="30"/>
      <c r="D227" s="30"/>
      <c r="E227" s="30"/>
      <c r="F227" s="30"/>
      <c r="G227" s="30"/>
      <c r="H227" s="30"/>
      <c r="I227" s="30"/>
      <c r="J227" s="30"/>
    </row>
    <row r="228" spans="3:10" x14ac:dyDescent="0.15">
      <c r="C228" s="30"/>
      <c r="D228" s="30"/>
      <c r="E228" s="30"/>
      <c r="F228" s="30"/>
      <c r="G228" s="30"/>
      <c r="H228" s="30"/>
      <c r="I228" s="30"/>
      <c r="J228" s="30"/>
    </row>
    <row r="229" spans="3:10" x14ac:dyDescent="0.15">
      <c r="C229" s="30"/>
      <c r="D229" s="30"/>
      <c r="E229" s="30"/>
      <c r="F229" s="30"/>
      <c r="G229" s="30"/>
      <c r="H229" s="30"/>
      <c r="I229" s="30"/>
      <c r="J229" s="30"/>
    </row>
    <row r="230" spans="3:10" x14ac:dyDescent="0.15">
      <c r="C230" s="30"/>
      <c r="D230" s="30"/>
      <c r="E230" s="30"/>
      <c r="F230" s="30"/>
      <c r="G230" s="30"/>
      <c r="H230" s="30"/>
      <c r="I230" s="30"/>
      <c r="J230" s="30"/>
    </row>
    <row r="231" spans="3:10" x14ac:dyDescent="0.15">
      <c r="C231" s="30"/>
      <c r="D231" s="30"/>
      <c r="E231" s="30"/>
      <c r="F231" s="30"/>
      <c r="G231" s="30"/>
      <c r="H231" s="30"/>
      <c r="I231" s="30"/>
      <c r="J231" s="30"/>
    </row>
    <row r="232" spans="3:10" x14ac:dyDescent="0.15">
      <c r="C232" s="30"/>
      <c r="D232" s="30"/>
      <c r="E232" s="30"/>
      <c r="F232" s="30"/>
      <c r="G232" s="30"/>
      <c r="H232" s="30"/>
      <c r="I232" s="30"/>
      <c r="J232" s="30"/>
    </row>
    <row r="233" spans="3:10" x14ac:dyDescent="0.15">
      <c r="C233" s="30"/>
      <c r="D233" s="30"/>
      <c r="E233" s="30"/>
      <c r="F233" s="30"/>
      <c r="G233" s="30"/>
      <c r="H233" s="30"/>
      <c r="I233" s="30"/>
      <c r="J233" s="30"/>
    </row>
    <row r="234" spans="3:10" x14ac:dyDescent="0.15">
      <c r="C234" s="30"/>
      <c r="D234" s="30"/>
      <c r="E234" s="30"/>
      <c r="F234" s="30"/>
      <c r="G234" s="30"/>
      <c r="H234" s="30"/>
      <c r="I234" s="30"/>
      <c r="J234" s="30"/>
    </row>
    <row r="235" spans="3:10" x14ac:dyDescent="0.15">
      <c r="C235" s="30"/>
      <c r="D235" s="30"/>
      <c r="E235" s="30"/>
      <c r="F235" s="30"/>
      <c r="G235" s="30"/>
      <c r="H235" s="30"/>
      <c r="I235" s="30"/>
      <c r="J235" s="30"/>
    </row>
    <row r="236" spans="3:10" x14ac:dyDescent="0.15">
      <c r="C236" s="30"/>
      <c r="D236" s="30"/>
      <c r="E236" s="30"/>
      <c r="F236" s="30"/>
      <c r="G236" s="30"/>
      <c r="H236" s="30"/>
      <c r="I236" s="30"/>
      <c r="J236" s="30"/>
    </row>
    <row r="237" spans="3:10" x14ac:dyDescent="0.15">
      <c r="C237" s="30"/>
      <c r="D237" s="30"/>
      <c r="E237" s="30"/>
      <c r="F237" s="30"/>
      <c r="G237" s="30"/>
      <c r="H237" s="30"/>
      <c r="I237" s="30"/>
      <c r="J237" s="30"/>
    </row>
    <row r="238" spans="3:10" x14ac:dyDescent="0.15">
      <c r="C238" s="30"/>
      <c r="D238" s="30"/>
      <c r="E238" s="30"/>
      <c r="F238" s="30"/>
      <c r="G238" s="30"/>
      <c r="H238" s="30"/>
      <c r="I238" s="30"/>
      <c r="J238" s="30"/>
    </row>
    <row r="239" spans="3:10" x14ac:dyDescent="0.15">
      <c r="C239" s="30"/>
      <c r="D239" s="30"/>
      <c r="E239" s="30"/>
      <c r="F239" s="30"/>
      <c r="G239" s="30"/>
      <c r="H239" s="30"/>
      <c r="I239" s="30"/>
      <c r="J239" s="30"/>
    </row>
    <row r="240" spans="3:10" x14ac:dyDescent="0.15">
      <c r="C240" s="30"/>
      <c r="D240" s="30"/>
      <c r="E240" s="30"/>
      <c r="F240" s="30"/>
      <c r="G240" s="30"/>
      <c r="H240" s="30"/>
      <c r="I240" s="30"/>
      <c r="J240" s="30"/>
    </row>
    <row r="241" spans="3:10" x14ac:dyDescent="0.15">
      <c r="C241" s="30"/>
      <c r="D241" s="30"/>
      <c r="E241" s="30"/>
      <c r="F241" s="30"/>
      <c r="G241" s="30"/>
      <c r="H241" s="30"/>
      <c r="I241" s="30"/>
      <c r="J241" s="30"/>
    </row>
    <row r="242" spans="3:10" x14ac:dyDescent="0.15">
      <c r="C242" s="30"/>
      <c r="D242" s="30"/>
      <c r="E242" s="30"/>
      <c r="F242" s="30"/>
      <c r="G242" s="30"/>
      <c r="H242" s="30"/>
      <c r="I242" s="30"/>
      <c r="J242" s="30"/>
    </row>
    <row r="243" spans="3:10" x14ac:dyDescent="0.15">
      <c r="C243" s="30"/>
      <c r="D243" s="30"/>
      <c r="E243" s="30"/>
      <c r="F243" s="30"/>
      <c r="G243" s="30"/>
      <c r="H243" s="30"/>
      <c r="I243" s="30"/>
      <c r="J243" s="30"/>
    </row>
    <row r="244" spans="3:10" x14ac:dyDescent="0.15">
      <c r="C244" s="30"/>
      <c r="D244" s="30"/>
      <c r="E244" s="30"/>
      <c r="F244" s="30"/>
      <c r="G244" s="30"/>
      <c r="H244" s="30"/>
      <c r="I244" s="30"/>
      <c r="J244" s="30"/>
    </row>
    <row r="245" spans="3:10" x14ac:dyDescent="0.15">
      <c r="C245" s="30"/>
      <c r="D245" s="30"/>
      <c r="E245" s="30"/>
      <c r="F245" s="30"/>
      <c r="G245" s="30"/>
      <c r="H245" s="30"/>
      <c r="I245" s="30"/>
      <c r="J245" s="30"/>
    </row>
    <row r="246" spans="3:10" x14ac:dyDescent="0.15">
      <c r="C246" s="30"/>
      <c r="D246" s="30"/>
      <c r="E246" s="30"/>
      <c r="F246" s="30"/>
      <c r="G246" s="30"/>
      <c r="H246" s="30"/>
      <c r="I246" s="30"/>
      <c r="J246" s="30"/>
    </row>
    <row r="247" spans="3:10" x14ac:dyDescent="0.15">
      <c r="C247" s="30"/>
      <c r="D247" s="30"/>
      <c r="E247" s="30"/>
      <c r="F247" s="30"/>
      <c r="G247" s="30"/>
      <c r="H247" s="30"/>
      <c r="I247" s="30"/>
      <c r="J247" s="30"/>
    </row>
    <row r="248" spans="3:10" x14ac:dyDescent="0.15">
      <c r="C248" s="30"/>
      <c r="D248" s="30"/>
      <c r="E248" s="30"/>
      <c r="F248" s="30"/>
      <c r="G248" s="30"/>
      <c r="H248" s="30"/>
      <c r="I248" s="30"/>
      <c r="J248" s="30"/>
    </row>
    <row r="249" spans="3:10" x14ac:dyDescent="0.15">
      <c r="C249" s="30"/>
      <c r="D249" s="30"/>
      <c r="E249" s="30"/>
      <c r="F249" s="30"/>
      <c r="G249" s="30"/>
      <c r="H249" s="30"/>
      <c r="I249" s="30"/>
      <c r="J249" s="30"/>
    </row>
  </sheetData>
  <mergeCells count="11">
    <mergeCell ref="L2:W2"/>
    <mergeCell ref="N5:W5"/>
    <mergeCell ref="N6:N8"/>
    <mergeCell ref="O6:O8"/>
    <mergeCell ref="Q6:Q8"/>
    <mergeCell ref="W6:W8"/>
    <mergeCell ref="R7:R8"/>
    <mergeCell ref="M6:M8"/>
    <mergeCell ref="P6:P8"/>
    <mergeCell ref="S7:S8"/>
    <mergeCell ref="V7:V8"/>
  </mergeCells>
  <phoneticPr fontId="36" type="noConversion"/>
  <pageMargins left="0.7" right="0.7" top="0.75" bottom="0.75" header="0.3" footer="0.3"/>
  <pageSetup paperSize="9" scale="58"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33"/>
  <sheetViews>
    <sheetView zoomScale="85" zoomScaleNormal="85" zoomScalePageLayoutView="85" workbookViewId="0">
      <pane xSplit="4" ySplit="8" topLeftCell="E209" activePane="bottomRight" state="frozen"/>
      <selection pane="topRight" activeCell="E1" sqref="E1"/>
      <selection pane="bottomLeft" activeCell="C5" sqref="C5"/>
      <selection pane="bottomRight" activeCell="L228" sqref="L228"/>
    </sheetView>
  </sheetViews>
  <sheetFormatPr baseColWidth="10" defaultColWidth="7.6640625" defaultRowHeight="13" x14ac:dyDescent="0.15"/>
  <cols>
    <col min="1" max="1" width="8" style="146" hidden="1" customWidth="1"/>
    <col min="2" max="2" width="13" style="146" hidden="1" customWidth="1"/>
    <col min="3" max="3" width="7.6640625" style="146" hidden="1" customWidth="1"/>
    <col min="4" max="4" width="26.1640625" style="146" customWidth="1"/>
    <col min="5" max="8" width="11.83203125" style="146" customWidth="1"/>
    <col min="9" max="13" width="11.83203125" style="159" customWidth="1"/>
    <col min="14" max="16" width="11.83203125" style="146" customWidth="1"/>
    <col min="17" max="17" width="11.83203125" style="159" customWidth="1"/>
    <col min="18" max="18" width="11.83203125" style="146" customWidth="1"/>
    <col min="19" max="16384" width="7.6640625" style="146"/>
  </cols>
  <sheetData>
    <row r="1" spans="2:22" ht="12" customHeight="1" thickBot="1" x14ac:dyDescent="0.2">
      <c r="N1" s="159"/>
    </row>
    <row r="2" spans="2:22" ht="33" customHeight="1" thickTop="1" x14ac:dyDescent="0.15">
      <c r="B2" s="146" t="s">
        <v>115</v>
      </c>
      <c r="D2" s="2207" t="s">
        <v>402</v>
      </c>
      <c r="E2" s="2208"/>
      <c r="F2" s="2208"/>
      <c r="G2" s="2208"/>
      <c r="H2" s="2208"/>
      <c r="I2" s="2208"/>
      <c r="J2" s="2208"/>
      <c r="K2" s="2208"/>
      <c r="L2" s="2208"/>
      <c r="M2" s="2208"/>
      <c r="N2" s="2208"/>
      <c r="O2" s="2208"/>
      <c r="P2" s="2208"/>
      <c r="Q2" s="2208"/>
      <c r="R2" s="2209"/>
    </row>
    <row r="3" spans="2:22" ht="18" x14ac:dyDescent="0.2">
      <c r="D3" s="333"/>
      <c r="E3" s="158"/>
      <c r="F3" s="158"/>
      <c r="G3" s="158"/>
      <c r="H3" s="158"/>
      <c r="I3" s="158"/>
      <c r="J3" s="158"/>
      <c r="K3" s="158"/>
      <c r="L3" s="158"/>
      <c r="M3" s="158"/>
      <c r="N3" s="158"/>
      <c r="O3" s="158"/>
      <c r="P3" s="158"/>
      <c r="Q3" s="158"/>
      <c r="R3" s="334"/>
    </row>
    <row r="4" spans="2:22" ht="18" x14ac:dyDescent="0.2">
      <c r="D4" s="333"/>
      <c r="E4" s="1383" t="s">
        <v>1</v>
      </c>
      <c r="F4" s="1383" t="s">
        <v>2</v>
      </c>
      <c r="G4" s="1383" t="s">
        <v>3</v>
      </c>
      <c r="H4" s="1383" t="s">
        <v>4</v>
      </c>
      <c r="I4" s="1383" t="s">
        <v>5</v>
      </c>
      <c r="J4" s="1383" t="s">
        <v>6</v>
      </c>
      <c r="K4" s="160" t="s">
        <v>7</v>
      </c>
      <c r="L4" s="1383" t="s">
        <v>8</v>
      </c>
      <c r="M4" s="1383" t="s">
        <v>9</v>
      </c>
      <c r="N4" s="1383" t="s">
        <v>10</v>
      </c>
      <c r="O4" s="1383" t="s">
        <v>11</v>
      </c>
      <c r="P4" s="1383" t="s">
        <v>12</v>
      </c>
      <c r="Q4" s="1383" t="s">
        <v>13</v>
      </c>
      <c r="R4" s="1394" t="s">
        <v>177</v>
      </c>
    </row>
    <row r="5" spans="2:22" ht="21.75" customHeight="1" thickBot="1" x14ac:dyDescent="0.25">
      <c r="D5" s="333"/>
      <c r="E5" s="2228" t="s">
        <v>403</v>
      </c>
      <c r="F5" s="2229"/>
      <c r="G5" s="2229"/>
      <c r="H5" s="2229"/>
      <c r="I5" s="2229"/>
      <c r="J5" s="2229"/>
      <c r="K5" s="2229"/>
      <c r="L5" s="2229"/>
      <c r="M5" s="2229"/>
      <c r="N5" s="2229"/>
      <c r="O5" s="2229"/>
      <c r="P5" s="2229"/>
      <c r="Q5" s="2229"/>
      <c r="R5" s="2230"/>
    </row>
    <row r="6" spans="2:22" ht="32.25" customHeight="1" x14ac:dyDescent="0.2">
      <c r="B6" s="146" t="s">
        <v>404</v>
      </c>
      <c r="D6" s="335"/>
      <c r="E6" s="2210" t="s">
        <v>405</v>
      </c>
      <c r="F6" s="2211"/>
      <c r="G6" s="2211"/>
      <c r="H6" s="2211"/>
      <c r="I6" s="2218" t="s">
        <v>406</v>
      </c>
      <c r="J6" s="2219"/>
      <c r="K6" s="2219"/>
      <c r="L6" s="2219"/>
      <c r="M6" s="2219"/>
      <c r="N6" s="2210" t="s">
        <v>407</v>
      </c>
      <c r="O6" s="2211"/>
      <c r="P6" s="2211"/>
      <c r="Q6" s="2211"/>
      <c r="R6" s="371" t="s">
        <v>408</v>
      </c>
    </row>
    <row r="7" spans="2:22" ht="78" customHeight="1" x14ac:dyDescent="0.2">
      <c r="D7" s="335"/>
      <c r="E7" s="2214" t="s">
        <v>409</v>
      </c>
      <c r="F7" s="2216" t="s">
        <v>410</v>
      </c>
      <c r="G7" s="2216" t="s">
        <v>411</v>
      </c>
      <c r="H7" s="2216" t="s">
        <v>412</v>
      </c>
      <c r="I7" s="2212" t="s">
        <v>413</v>
      </c>
      <c r="J7" s="337" t="s">
        <v>414</v>
      </c>
      <c r="K7" s="337" t="s">
        <v>415</v>
      </c>
      <c r="L7" s="2216" t="s">
        <v>416</v>
      </c>
      <c r="M7" s="2216" t="s">
        <v>417</v>
      </c>
      <c r="N7" s="2214" t="s">
        <v>409</v>
      </c>
      <c r="O7" s="2216" t="s">
        <v>410</v>
      </c>
      <c r="P7" s="2216" t="s">
        <v>411</v>
      </c>
      <c r="Q7" s="2216" t="s">
        <v>418</v>
      </c>
      <c r="R7" s="2220" t="s">
        <v>419</v>
      </c>
    </row>
    <row r="8" spans="2:22" s="149" customFormat="1" ht="66" customHeight="1" x14ac:dyDescent="0.2">
      <c r="D8" s="336"/>
      <c r="E8" s="2215"/>
      <c r="F8" s="2217"/>
      <c r="G8" s="2217"/>
      <c r="H8" s="2217"/>
      <c r="I8" s="2213"/>
      <c r="J8" s="1848"/>
      <c r="K8" s="1848"/>
      <c r="L8" s="2217"/>
      <c r="M8" s="2217"/>
      <c r="N8" s="2215"/>
      <c r="O8" s="2217"/>
      <c r="P8" s="2217"/>
      <c r="Q8" s="2217"/>
      <c r="R8" s="2221"/>
    </row>
    <row r="9" spans="2:22" s="149" customFormat="1" ht="40" customHeight="1" x14ac:dyDescent="0.2">
      <c r="D9" s="339" t="s">
        <v>28</v>
      </c>
      <c r="E9" s="367">
        <f>SUM(E10:E44)</f>
        <v>964504.39049308503</v>
      </c>
      <c r="F9" s="368">
        <f t="shared" ref="F9:R9" si="0">SUM(F10:F44)</f>
        <v>1044810</v>
      </c>
      <c r="G9" s="368">
        <f t="shared" si="0"/>
        <v>816765.6565721666</v>
      </c>
      <c r="H9" s="368">
        <f t="shared" si="0"/>
        <v>148065.48273750852</v>
      </c>
      <c r="I9" s="369">
        <f t="shared" si="0"/>
        <v>107123.62778134528</v>
      </c>
      <c r="J9" s="368">
        <f t="shared" si="0"/>
        <v>94581.7</v>
      </c>
      <c r="K9" s="368">
        <f t="shared" si="0"/>
        <v>12541.927781345275</v>
      </c>
      <c r="L9" s="368">
        <f t="shared" si="0"/>
        <v>0</v>
      </c>
      <c r="M9" s="368">
        <f t="shared" si="0"/>
        <v>0</v>
      </c>
      <c r="N9" s="367">
        <f t="shared" si="0"/>
        <v>1357226.2317901247</v>
      </c>
      <c r="O9" s="368">
        <f t="shared" si="0"/>
        <v>1473626.8579402301</v>
      </c>
      <c r="P9" s="368">
        <f t="shared" si="0"/>
        <v>682646.87285153859</v>
      </c>
      <c r="Q9" s="368">
        <f t="shared" si="0"/>
        <v>674579.35893858597</v>
      </c>
      <c r="R9" s="370">
        <f t="shared" si="0"/>
        <v>111280.98316547611</v>
      </c>
    </row>
    <row r="10" spans="2:22" ht="14.25" customHeight="1" x14ac:dyDescent="0.2">
      <c r="D10" s="1395" t="s">
        <v>29</v>
      </c>
      <c r="E10" s="749">
        <v>23973.251183410001</v>
      </c>
      <c r="F10" s="1396">
        <v>24300</v>
      </c>
      <c r="G10" s="1396">
        <v>15084.14745168254</v>
      </c>
      <c r="H10" s="1396">
        <f>+F10-G10</f>
        <v>9215.8525483174599</v>
      </c>
      <c r="I10" s="1397"/>
      <c r="J10" s="1396"/>
      <c r="K10" s="1396"/>
      <c r="L10" s="1396"/>
      <c r="M10" s="1396"/>
      <c r="N10" s="749">
        <v>13385.678863927</v>
      </c>
      <c r="O10" s="1396">
        <v>13900</v>
      </c>
      <c r="P10" s="1396">
        <v>5236.9695951766162</v>
      </c>
      <c r="Q10" s="1396">
        <f t="shared" ref="Q10:Q44" si="1">+N10-P10</f>
        <v>8148.7092687503837</v>
      </c>
      <c r="R10" s="1398"/>
    </row>
    <row r="11" spans="2:22" ht="14.25" customHeight="1" x14ac:dyDescent="0.2">
      <c r="D11" s="1395" t="s">
        <v>30</v>
      </c>
      <c r="E11" s="749">
        <f>F11</f>
        <v>15300</v>
      </c>
      <c r="F11" s="1396">
        <v>15300</v>
      </c>
      <c r="G11" s="1396">
        <v>8746.0155314162403</v>
      </c>
      <c r="H11" s="1396">
        <f t="shared" ref="H11:H44" si="2">+E11-G11</f>
        <v>6553.9844685837597</v>
      </c>
      <c r="I11" s="1397"/>
      <c r="J11" s="1396"/>
      <c r="K11" s="1396"/>
      <c r="L11" s="1396"/>
      <c r="M11" s="1396"/>
      <c r="N11" s="749">
        <v>16982.133813799999</v>
      </c>
      <c r="O11" s="1396">
        <v>17000</v>
      </c>
      <c r="P11" s="1396">
        <v>8594.2593145658138</v>
      </c>
      <c r="Q11" s="1396">
        <f t="shared" si="1"/>
        <v>8387.8744992341854</v>
      </c>
      <c r="R11" s="1398">
        <f>+-IF(VLOOKUP(D11,TableB11!$H$8:$M$39,6,0)&lt;0,VLOOKUP(D11,TableB11!$H$8:$M$39,6,0),0)*1000</f>
        <v>8291.6046975630488</v>
      </c>
    </row>
    <row r="12" spans="2:22" ht="14.25" customHeight="1" x14ac:dyDescent="0.2">
      <c r="D12" s="1395" t="s">
        <v>31</v>
      </c>
      <c r="E12" s="749">
        <v>20734.331669439998</v>
      </c>
      <c r="F12" s="1396">
        <v>29600</v>
      </c>
      <c r="G12" s="1396">
        <v>27800.73952074621</v>
      </c>
      <c r="H12" s="1396">
        <f t="shared" si="2"/>
        <v>-7066.4078513062123</v>
      </c>
      <c r="I12" s="1397">
        <f>TableB11!G26*1000</f>
        <v>1522.8850683018743</v>
      </c>
      <c r="J12" s="1396">
        <f>TableB11!C26*1000</f>
        <v>2983.1</v>
      </c>
      <c r="K12" s="1396">
        <f>I12-J12</f>
        <v>-1460.2149316981256</v>
      </c>
      <c r="L12" s="1396"/>
      <c r="M12" s="1396"/>
      <c r="N12" s="749">
        <v>13926.788685523999</v>
      </c>
      <c r="O12" s="1396">
        <v>21100</v>
      </c>
      <c r="P12" s="1396">
        <v>26715.621529801992</v>
      </c>
      <c r="Q12" s="1396">
        <f t="shared" si="1"/>
        <v>-12788.832844277993</v>
      </c>
      <c r="R12" s="1398">
        <f>+-IF(VLOOKUP(D12,TableB11!$H$8:$M$39,6,0)&lt;0,VLOOKUP(D12,TableB11!$H$8:$M$39,6,0),0)*1000</f>
        <v>16719.735509765891</v>
      </c>
    </row>
    <row r="13" spans="2:22" ht="14.25" customHeight="1" x14ac:dyDescent="0.2">
      <c r="D13" s="1395" t="s">
        <v>32</v>
      </c>
      <c r="E13" s="749">
        <v>33733.083000860999</v>
      </c>
      <c r="F13" s="1396">
        <v>33800</v>
      </c>
      <c r="G13" s="1396">
        <v>18702.496557745493</v>
      </c>
      <c r="H13" s="1396">
        <f t="shared" si="2"/>
        <v>15030.586443115506</v>
      </c>
      <c r="I13" s="1397"/>
      <c r="J13" s="1396"/>
      <c r="K13" s="1396"/>
      <c r="L13" s="1396"/>
      <c r="M13" s="1396"/>
      <c r="N13" s="749">
        <v>40494.406633810999</v>
      </c>
      <c r="O13" s="1396">
        <v>40500</v>
      </c>
      <c r="P13" s="1396">
        <v>26063.670054359609</v>
      </c>
      <c r="Q13" s="1396">
        <f t="shared" si="1"/>
        <v>14430.73657945139</v>
      </c>
      <c r="R13" s="1398">
        <f>+-IF(VLOOKUP(D13,TableB11!$H$8:$M$39,6,0)&lt;0,VLOOKUP(D13,TableB11!$H$8:$M$39,6,0),0)*1000</f>
        <v>0</v>
      </c>
    </row>
    <row r="14" spans="2:22" ht="14.25" customHeight="1" x14ac:dyDescent="0.2">
      <c r="D14" s="1395" t="s">
        <v>33</v>
      </c>
      <c r="E14" s="749">
        <v>10233.519814927</v>
      </c>
      <c r="F14" s="1396">
        <v>11000</v>
      </c>
      <c r="G14" s="1396">
        <v>3417.4988467258759</v>
      </c>
      <c r="H14" s="1396">
        <f t="shared" si="2"/>
        <v>6816.0209682011246</v>
      </c>
      <c r="I14" s="1397"/>
      <c r="J14" s="1396"/>
      <c r="K14" s="1396"/>
      <c r="L14" s="1396"/>
      <c r="M14" s="1396"/>
      <c r="N14" s="749">
        <v>3882.6249462321998</v>
      </c>
      <c r="O14" s="1396">
        <v>4630</v>
      </c>
      <c r="P14" s="1396">
        <v>86.35224899087369</v>
      </c>
      <c r="Q14" s="1396">
        <f t="shared" si="1"/>
        <v>3796.2726972413261</v>
      </c>
      <c r="R14" s="1398"/>
      <c r="V14" s="1399"/>
    </row>
    <row r="15" spans="2:22" ht="14.25" customHeight="1" x14ac:dyDescent="0.2">
      <c r="D15" s="1395" t="s">
        <v>34</v>
      </c>
      <c r="E15" s="749">
        <v>14473.473712032001</v>
      </c>
      <c r="F15" s="1396">
        <v>14600</v>
      </c>
      <c r="G15" s="1396">
        <v>9765.0656740439226</v>
      </c>
      <c r="H15" s="1396">
        <f t="shared" si="2"/>
        <v>4708.4080379880779</v>
      </c>
      <c r="I15" s="1397"/>
      <c r="J15" s="1396"/>
      <c r="K15" s="1396"/>
      <c r="L15" s="1396"/>
      <c r="M15" s="1396"/>
      <c r="N15" s="749">
        <v>1860.9017606636</v>
      </c>
      <c r="O15" s="1396">
        <v>1980</v>
      </c>
      <c r="P15" s="1396">
        <v>1674.7697382778817</v>
      </c>
      <c r="Q15" s="1396">
        <f t="shared" si="1"/>
        <v>186.1320223857183</v>
      </c>
      <c r="R15" s="1398">
        <f>+-IF(VLOOKUP(D15,TableB11!$H$8:$M$39,6,0)&lt;0,VLOOKUP(D15,TableB11!$H$8:$M$39,6,0),0)*1000</f>
        <v>0</v>
      </c>
    </row>
    <row r="16" spans="2:22" ht="14.25" customHeight="1" x14ac:dyDescent="0.2">
      <c r="D16" s="1395" t="s">
        <v>35</v>
      </c>
      <c r="E16" s="749">
        <v>5206.0843964671003</v>
      </c>
      <c r="F16" s="1396">
        <v>5510</v>
      </c>
      <c r="G16" s="1396">
        <v>6679.3552335053964</v>
      </c>
      <c r="H16" s="1396">
        <f t="shared" si="2"/>
        <v>-1473.2708370382961</v>
      </c>
      <c r="I16" s="1397"/>
      <c r="J16" s="1396"/>
      <c r="K16" s="1396"/>
      <c r="L16" s="1396"/>
      <c r="M16" s="1396"/>
      <c r="N16" s="749">
        <v>12909.418027181</v>
      </c>
      <c r="O16" s="1396">
        <v>13400</v>
      </c>
      <c r="P16" s="1396">
        <v>7705.3930798993551</v>
      </c>
      <c r="Q16" s="1396">
        <f t="shared" si="1"/>
        <v>5204.0249472816449</v>
      </c>
      <c r="R16" s="1398">
        <f>+-IF(VLOOKUP(D16,TableB11!$H$8:$M$39,6,0)&lt;0,VLOOKUP(D16,TableB11!$H$8:$M$39,6,0),0)*1000</f>
        <v>275.82489610817373</v>
      </c>
    </row>
    <row r="17" spans="4:18" ht="14.25" customHeight="1" x14ac:dyDescent="0.2">
      <c r="D17" s="1395" t="s">
        <v>36</v>
      </c>
      <c r="E17" s="749">
        <v>1321.7160288407999</v>
      </c>
      <c r="F17" s="1396">
        <v>1350</v>
      </c>
      <c r="G17" s="1396">
        <v>691.64583955451508</v>
      </c>
      <c r="H17" s="1396">
        <f t="shared" si="2"/>
        <v>630.07018928628486</v>
      </c>
      <c r="I17" s="1397"/>
      <c r="J17" s="1396"/>
      <c r="K17" s="1396"/>
      <c r="L17" s="1396"/>
      <c r="M17" s="1396"/>
      <c r="N17" s="749">
        <v>334.27620632280002</v>
      </c>
      <c r="O17" s="1396">
        <v>353</v>
      </c>
      <c r="P17" s="1396">
        <v>155.39999999999998</v>
      </c>
      <c r="Q17" s="1396">
        <f t="shared" si="1"/>
        <v>178.87620632280004</v>
      </c>
      <c r="R17" s="1398">
        <f>+-IF(VLOOKUP(D17,TableB11!$H$8:$M$39,6,0)&lt;0,VLOOKUP(D17,TableB11!$H$8:$M$39,6,0),0)*1000</f>
        <v>0</v>
      </c>
    </row>
    <row r="18" spans="4:18" ht="14.25" customHeight="1" x14ac:dyDescent="0.2">
      <c r="D18" s="1395" t="s">
        <v>37</v>
      </c>
      <c r="E18" s="749">
        <v>4089.1290388051361</v>
      </c>
      <c r="F18" s="1396">
        <v>0</v>
      </c>
      <c r="G18" s="1396">
        <v>4310.8212187169474</v>
      </c>
      <c r="H18" s="1396">
        <f t="shared" si="2"/>
        <v>-221.69217991181131</v>
      </c>
      <c r="I18" s="1397"/>
      <c r="J18" s="1396"/>
      <c r="K18" s="1396"/>
      <c r="L18" s="1396"/>
      <c r="M18" s="1396"/>
      <c r="N18" s="749">
        <v>6937.5328116999999</v>
      </c>
      <c r="O18" s="1396">
        <v>7710</v>
      </c>
      <c r="P18" s="1396">
        <v>3400.9986366577896</v>
      </c>
      <c r="Q18" s="1396">
        <f t="shared" si="1"/>
        <v>3536.5341750422103</v>
      </c>
      <c r="R18" s="1398">
        <f>+-IF(VLOOKUP(D18,TableB11!$H$8:$M$39,6,0)&lt;0,VLOOKUP(D18,TableB11!$H$8:$M$39,6,0),0)*1000</f>
        <v>0</v>
      </c>
    </row>
    <row r="19" spans="4:18" ht="14.25" customHeight="1" x14ac:dyDescent="0.2">
      <c r="D19" s="1395" t="s">
        <v>38</v>
      </c>
      <c r="E19" s="749">
        <v>25964.503605103</v>
      </c>
      <c r="F19" s="1396">
        <v>29400</v>
      </c>
      <c r="G19" s="1396">
        <v>18278.668543060412</v>
      </c>
      <c r="H19" s="1396">
        <f t="shared" si="2"/>
        <v>7685.8350620425881</v>
      </c>
      <c r="I19" s="1397"/>
      <c r="J19" s="1396"/>
      <c r="K19" s="1396"/>
      <c r="L19" s="1396"/>
      <c r="M19" s="1396"/>
      <c r="N19" s="749">
        <v>70779.811425402004</v>
      </c>
      <c r="O19" s="1396">
        <v>74000</v>
      </c>
      <c r="P19" s="1396">
        <v>53256.887019926573</v>
      </c>
      <c r="Q19" s="1396">
        <f t="shared" si="1"/>
        <v>17522.924405475431</v>
      </c>
      <c r="R19" s="1398">
        <f>+-IF(VLOOKUP(D19,TableB11!$H$8:$M$39,6,0)&lt;0,VLOOKUP(D19,TableB11!$H$8:$M$39,6,0),0)*1000</f>
        <v>5134.6462465300065</v>
      </c>
    </row>
    <row r="20" spans="4:18" ht="14.25" customHeight="1" x14ac:dyDescent="0.2">
      <c r="D20" s="1395" t="s">
        <v>39</v>
      </c>
      <c r="E20" s="749">
        <v>33633.943427621001</v>
      </c>
      <c r="F20" s="1396">
        <v>43600</v>
      </c>
      <c r="G20" s="1396">
        <v>28795.112841251059</v>
      </c>
      <c r="H20" s="1396">
        <f t="shared" si="2"/>
        <v>4838.8305863699425</v>
      </c>
      <c r="I20" s="1397"/>
      <c r="J20" s="1396"/>
      <c r="K20" s="1396"/>
      <c r="L20" s="1396"/>
      <c r="M20" s="1396"/>
      <c r="N20" s="749">
        <v>74202.995008319005</v>
      </c>
      <c r="O20" s="1396">
        <v>84200</v>
      </c>
      <c r="P20" s="1396">
        <v>65092.017891796029</v>
      </c>
      <c r="Q20" s="1396">
        <f t="shared" si="1"/>
        <v>9110.9771165229758</v>
      </c>
      <c r="R20" s="1398">
        <f>+-IF(VLOOKUP(D20,TableB11!$H$8:$M$39,6,0)&lt;0,VLOOKUP(D20,TableB11!$H$8:$M$39,6,0),0)*1000</f>
        <v>25909.240633099653</v>
      </c>
    </row>
    <row r="21" spans="4:18" ht="14.25" customHeight="1" x14ac:dyDescent="0.2">
      <c r="D21" s="1395" t="s">
        <v>40</v>
      </c>
      <c r="E21" s="749">
        <v>1156.7556206323</v>
      </c>
      <c r="F21" s="1396">
        <v>1030</v>
      </c>
      <c r="G21" s="1396">
        <v>1111.5008855783394</v>
      </c>
      <c r="H21" s="1396">
        <f t="shared" si="2"/>
        <v>45.25473505396053</v>
      </c>
      <c r="I21" s="1397"/>
      <c r="J21" s="1396"/>
      <c r="K21" s="1396"/>
      <c r="L21" s="1396"/>
      <c r="M21" s="1396"/>
      <c r="N21" s="749">
        <v>1801.5251170271999</v>
      </c>
      <c r="O21" s="1396">
        <v>2350</v>
      </c>
      <c r="P21" s="1396">
        <v>643.86980787518678</v>
      </c>
      <c r="Q21" s="1396">
        <f t="shared" si="1"/>
        <v>1157.6553091520132</v>
      </c>
      <c r="R21" s="1398">
        <f>+-IF(VLOOKUP(D21,TableB11!$H$8:$M$39,6,0)&lt;0,VLOOKUP(D21,TableB11!$H$8:$M$39,6,0),0)*1000</f>
        <v>0</v>
      </c>
    </row>
    <row r="22" spans="4:18" ht="14.25" customHeight="1" x14ac:dyDescent="0.2">
      <c r="D22" s="1395" t="s">
        <v>41</v>
      </c>
      <c r="E22" s="749">
        <v>11620.257269139</v>
      </c>
      <c r="F22" s="1396">
        <v>13300</v>
      </c>
      <c r="G22" s="1396">
        <v>7319.2399710567806</v>
      </c>
      <c r="H22" s="1396">
        <f t="shared" si="2"/>
        <v>4301.017298082219</v>
      </c>
      <c r="I22" s="1397"/>
      <c r="J22" s="1396"/>
      <c r="K22" s="1396"/>
      <c r="L22" s="1396"/>
      <c r="M22" s="1396"/>
      <c r="N22" s="749">
        <v>3943.6663646067</v>
      </c>
      <c r="O22" s="1396">
        <v>5480</v>
      </c>
      <c r="P22" s="1396">
        <v>948.10469657704039</v>
      </c>
      <c r="Q22" s="1396">
        <f t="shared" si="1"/>
        <v>2995.5616680296598</v>
      </c>
      <c r="R22" s="1398">
        <f>+-IF(VLOOKUP(D22,TableB11!$H$8:$M$39,6,0)&lt;0,VLOOKUP(D22,TableB11!$H$8:$M$39,6,0),0)*1000</f>
        <v>0</v>
      </c>
    </row>
    <row r="23" spans="4:18" ht="14.25" customHeight="1" x14ac:dyDescent="0.2">
      <c r="D23" s="1395" t="s">
        <v>42</v>
      </c>
      <c r="E23" s="749">
        <v>36.721543558576997</v>
      </c>
      <c r="F23" s="1396">
        <v>230</v>
      </c>
      <c r="G23" s="1396">
        <v>176.20863807149999</v>
      </c>
      <c r="H23" s="1396">
        <f t="shared" si="2"/>
        <v>-139.48709451292299</v>
      </c>
      <c r="I23" s="1397"/>
      <c r="J23" s="1396"/>
      <c r="K23" s="1396"/>
      <c r="L23" s="1396"/>
      <c r="M23" s="1396"/>
      <c r="N23" s="749">
        <v>290.37895851496</v>
      </c>
      <c r="O23" s="1396">
        <v>487</v>
      </c>
      <c r="P23" s="1396">
        <v>78.153061464591289</v>
      </c>
      <c r="Q23" s="1396">
        <f t="shared" si="1"/>
        <v>212.2258970503687</v>
      </c>
      <c r="R23" s="1398"/>
    </row>
    <row r="24" spans="4:18" ht="14.25" customHeight="1" x14ac:dyDescent="0.2">
      <c r="D24" s="1395" t="s">
        <v>43</v>
      </c>
      <c r="E24" s="749">
        <v>64705.490848586</v>
      </c>
      <c r="F24" s="1396">
        <v>66200</v>
      </c>
      <c r="G24" s="1396">
        <v>73812.560486827089</v>
      </c>
      <c r="H24" s="1396">
        <f t="shared" si="2"/>
        <v>-9107.0696382410897</v>
      </c>
      <c r="I24" s="1397">
        <f>+TableB11!G37*1000</f>
        <v>44744.7</v>
      </c>
      <c r="J24" s="1396">
        <f>+TableB11!C37*1000</f>
        <v>46219.5</v>
      </c>
      <c r="K24" s="1396">
        <f>I24-J24</f>
        <v>-1474.8000000000029</v>
      </c>
      <c r="L24" s="1396"/>
      <c r="M24" s="1396"/>
      <c r="N24" s="749">
        <v>11762.617859124</v>
      </c>
      <c r="O24" s="1396">
        <v>17500</v>
      </c>
      <c r="P24" s="1396">
        <v>12167.529469148147</v>
      </c>
      <c r="Q24" s="1396">
        <f t="shared" si="1"/>
        <v>-404.91161002414628</v>
      </c>
      <c r="R24" s="1398">
        <f>+-IF(VLOOKUP(D24,TableB11!$H$8:$M$39,6,0)&lt;0,VLOOKUP(D24,TableB11!$H$8:$M$39,6,0),0)*1000</f>
        <v>0</v>
      </c>
    </row>
    <row r="25" spans="4:18" ht="14.25" customHeight="1" x14ac:dyDescent="0.2">
      <c r="D25" s="1395" t="s">
        <v>44</v>
      </c>
      <c r="E25" s="749">
        <f>F25</f>
        <v>5020</v>
      </c>
      <c r="F25" s="1396">
        <v>5020</v>
      </c>
      <c r="G25" s="1396">
        <v>1082.9000000000001</v>
      </c>
      <c r="H25" s="1396">
        <f t="shared" si="2"/>
        <v>3937.1</v>
      </c>
      <c r="I25" s="1397"/>
      <c r="J25" s="1396"/>
      <c r="K25" s="1396"/>
      <c r="L25" s="1396"/>
      <c r="M25" s="1396"/>
      <c r="N25" s="749">
        <f>O25</f>
        <v>6400</v>
      </c>
      <c r="O25" s="1396">
        <v>6400</v>
      </c>
      <c r="P25" s="1396">
        <v>-24.997835689045985</v>
      </c>
      <c r="Q25" s="1396">
        <f t="shared" si="1"/>
        <v>6424.997835689046</v>
      </c>
      <c r="R25" s="1398"/>
    </row>
    <row r="26" spans="4:18" ht="14.25" customHeight="1" x14ac:dyDescent="0.2">
      <c r="D26" s="1395" t="s">
        <v>45</v>
      </c>
      <c r="E26" s="749">
        <v>11685.327787022001</v>
      </c>
      <c r="F26" s="1396">
        <v>14800</v>
      </c>
      <c r="G26" s="1396">
        <v>14399.63306024618</v>
      </c>
      <c r="H26" s="1396">
        <f t="shared" si="2"/>
        <v>-2714.3052732241795</v>
      </c>
      <c r="I26" s="1397"/>
      <c r="J26" s="1396"/>
      <c r="K26" s="1396"/>
      <c r="L26" s="1396"/>
      <c r="M26" s="1396"/>
      <c r="N26" s="749">
        <v>12171.589572934001</v>
      </c>
      <c r="O26" s="1396">
        <v>15300</v>
      </c>
      <c r="P26" s="1396">
        <v>10427.157751708566</v>
      </c>
      <c r="Q26" s="1396">
        <f t="shared" si="1"/>
        <v>1744.4318212254348</v>
      </c>
      <c r="R26" s="1398">
        <f>+-IF(VLOOKUP(D26,TableB11!$H$8:$M$39,6,0)&lt;0,VLOOKUP(D26,TableB11!$H$8:$M$39,6,0),0)*1000</f>
        <v>1254.4653799274456</v>
      </c>
    </row>
    <row r="27" spans="4:18" ht="14.25" customHeight="1" x14ac:dyDescent="0.2">
      <c r="D27" s="1395" t="s">
        <v>46</v>
      </c>
      <c r="E27" s="749">
        <v>24191.297999145001</v>
      </c>
      <c r="F27" s="1396">
        <v>24200</v>
      </c>
      <c r="G27" s="1396">
        <v>14144.417507000473</v>
      </c>
      <c r="H27" s="1396">
        <f t="shared" si="2"/>
        <v>10046.880492144528</v>
      </c>
      <c r="I27" s="1397"/>
      <c r="J27" s="1396"/>
      <c r="K27" s="1396"/>
      <c r="L27" s="1396"/>
      <c r="M27" s="1396"/>
      <c r="N27" s="749">
        <v>94342.367206581999</v>
      </c>
      <c r="O27" s="1396">
        <v>94200</v>
      </c>
      <c r="P27" s="1396">
        <v>33072.343830371668</v>
      </c>
      <c r="Q27" s="1396">
        <f t="shared" si="1"/>
        <v>61270.023376210331</v>
      </c>
      <c r="R27" s="1398">
        <f>+-IF(VLOOKUP(D27,TableB11!$H$8:$M$39,6,0)&lt;0,VLOOKUP(D27,TableB11!$H$8:$M$39,6,0),0)*1000</f>
        <v>0</v>
      </c>
    </row>
    <row r="28" spans="4:18" ht="14.25" customHeight="1" x14ac:dyDescent="0.2">
      <c r="D28" s="1395" t="s">
        <v>47</v>
      </c>
      <c r="E28" s="749">
        <v>2261.1056400176999</v>
      </c>
      <c r="F28" s="1396">
        <v>10600</v>
      </c>
      <c r="G28" s="1396">
        <v>7920.6575588544893</v>
      </c>
      <c r="H28" s="1396">
        <f t="shared" si="2"/>
        <v>-5659.5519188367889</v>
      </c>
      <c r="I28" s="1397"/>
      <c r="J28" s="1396"/>
      <c r="K28" s="1396"/>
      <c r="L28" s="1396"/>
      <c r="M28" s="1396"/>
      <c r="N28" s="749">
        <v>-123.834732</v>
      </c>
      <c r="O28" s="1396">
        <v>10800</v>
      </c>
      <c r="P28" s="1396">
        <v>3507.8817069653305</v>
      </c>
      <c r="Q28" s="1396">
        <f t="shared" si="1"/>
        <v>-3631.7164389653303</v>
      </c>
      <c r="R28" s="1398"/>
    </row>
    <row r="29" spans="4:18" ht="14.25" customHeight="1" x14ac:dyDescent="0.2">
      <c r="D29" s="1395" t="s">
        <v>48</v>
      </c>
      <c r="E29" s="749">
        <v>1151.4143094842</v>
      </c>
      <c r="F29" s="1396">
        <v>1180</v>
      </c>
      <c r="G29" s="1396">
        <v>686.13284062363823</v>
      </c>
      <c r="H29" s="1396">
        <f t="shared" si="2"/>
        <v>465.28146886056174</v>
      </c>
      <c r="I29" s="1397"/>
      <c r="J29" s="1396"/>
      <c r="K29" s="1396"/>
      <c r="L29" s="1396"/>
      <c r="M29" s="1396"/>
      <c r="N29" s="749">
        <v>154.18746533555</v>
      </c>
      <c r="O29" s="1396">
        <v>199</v>
      </c>
      <c r="P29" s="1396">
        <v>85.598722190536279</v>
      </c>
      <c r="Q29" s="1396">
        <f t="shared" si="1"/>
        <v>68.588743145013723</v>
      </c>
      <c r="R29" s="1398">
        <f>+-IF(VLOOKUP(D29,TableB11!$H$8:$M$39,6,0)&lt;0,VLOOKUP(D29,TableB11!$H$8:$M$39,6,0),0)*1000</f>
        <v>9.0943471977765462</v>
      </c>
    </row>
    <row r="30" spans="4:18" ht="14.25" customHeight="1" x14ac:dyDescent="0.2">
      <c r="D30" s="1395" t="s">
        <v>49</v>
      </c>
      <c r="E30" s="749">
        <v>64727.676095397001</v>
      </c>
      <c r="F30" s="1396">
        <v>86700</v>
      </c>
      <c r="G30" s="1396">
        <v>62909.762243116493</v>
      </c>
      <c r="H30" s="1396">
        <f t="shared" si="2"/>
        <v>1817.9138522805079</v>
      </c>
      <c r="I30" s="1397">
        <f>+TableB11!G35*1000</f>
        <v>29171.24783593354</v>
      </c>
      <c r="J30" s="1396">
        <f>+TableB11!C35*1000</f>
        <v>23136.3</v>
      </c>
      <c r="K30" s="1396">
        <f>I30-J30</f>
        <v>6034.9478359335408</v>
      </c>
      <c r="L30" s="1396"/>
      <c r="M30" s="1396"/>
      <c r="N30" s="749">
        <v>90364.947310039002</v>
      </c>
      <c r="O30" s="1396">
        <v>112000</v>
      </c>
      <c r="P30" s="1396">
        <v>69180.079632939945</v>
      </c>
      <c r="Q30" s="1396">
        <f t="shared" si="1"/>
        <v>21184.867677099057</v>
      </c>
      <c r="R30" s="1398">
        <f>+-IF(VLOOKUP(D30,TableB11!$H$8:$M$39,6,0)&lt;0,VLOOKUP(D30,TableB11!$H$8:$M$39,6,0),0)*1000</f>
        <v>48802.596103404954</v>
      </c>
    </row>
    <row r="31" spans="4:18" ht="14.25" customHeight="1" x14ac:dyDescent="0.2">
      <c r="D31" s="1395" t="s">
        <v>50</v>
      </c>
      <c r="E31" s="749">
        <f>F31</f>
        <v>16300</v>
      </c>
      <c r="F31" s="1396">
        <v>16300</v>
      </c>
      <c r="G31" s="1396">
        <v>17084.280597131503</v>
      </c>
      <c r="H31" s="1396">
        <f t="shared" si="2"/>
        <v>-784.28059713150287</v>
      </c>
      <c r="I31" s="1397"/>
      <c r="J31" s="1396"/>
      <c r="K31" s="1396"/>
      <c r="L31" s="1396"/>
      <c r="M31" s="1396"/>
      <c r="N31" s="749">
        <f>O31</f>
        <v>4550</v>
      </c>
      <c r="O31" s="1396">
        <v>4550</v>
      </c>
      <c r="P31" s="1396">
        <v>1709.8565963684346</v>
      </c>
      <c r="Q31" s="1396">
        <f t="shared" si="1"/>
        <v>2840.1434036315654</v>
      </c>
      <c r="R31" s="1398"/>
    </row>
    <row r="32" spans="4:18" ht="14.25" customHeight="1" x14ac:dyDescent="0.2">
      <c r="D32" s="1395" t="s">
        <v>51</v>
      </c>
      <c r="E32" s="749">
        <v>181210.20521352999</v>
      </c>
      <c r="F32" s="1396">
        <v>187000</v>
      </c>
      <c r="G32" s="1396">
        <v>111789.87582132951</v>
      </c>
      <c r="H32" s="1396">
        <f t="shared" si="2"/>
        <v>69420.329392200481</v>
      </c>
      <c r="I32" s="1397">
        <f>+TableB11!G36*1000</f>
        <v>31684.794877109867</v>
      </c>
      <c r="J32" s="1396">
        <f>+TableB11!C36*1000</f>
        <v>22242.800000000003</v>
      </c>
      <c r="K32" s="1396">
        <f>I32-J32</f>
        <v>9441.9948771098643</v>
      </c>
      <c r="L32" s="1396"/>
      <c r="M32" s="1396"/>
      <c r="N32" s="749">
        <v>213437.60399333999</v>
      </c>
      <c r="O32" s="1396">
        <v>215000</v>
      </c>
      <c r="P32" s="1396">
        <v>91096.936710870068</v>
      </c>
      <c r="Q32" s="1396">
        <f t="shared" si="1"/>
        <v>122340.66728246992</v>
      </c>
      <c r="R32" s="1398">
        <f>+-IF(VLOOKUP(D32,TableB11!$H$8:$M$39,6,0)&lt;0,VLOOKUP(D32,TableB11!$H$8:$M$39,6,0),0)*1000</f>
        <v>0</v>
      </c>
    </row>
    <row r="33" spans="1:18" ht="14.25" customHeight="1" x14ac:dyDescent="0.2">
      <c r="D33" s="1395" t="s">
        <v>52</v>
      </c>
      <c r="E33" s="749">
        <v>5867.7600055780003</v>
      </c>
      <c r="F33" s="1396">
        <v>6100</v>
      </c>
      <c r="G33" s="1396">
        <v>4530.9737255284817</v>
      </c>
      <c r="H33" s="1396">
        <f t="shared" si="2"/>
        <v>1336.7862800495186</v>
      </c>
      <c r="I33" s="1397"/>
      <c r="J33" s="1396"/>
      <c r="K33" s="1396"/>
      <c r="L33" s="1396"/>
      <c r="M33" s="1396"/>
      <c r="N33" s="749">
        <v>491.57955654720001</v>
      </c>
      <c r="O33" s="1396">
        <v>704</v>
      </c>
      <c r="P33" s="1396">
        <v>1059.3328761591561</v>
      </c>
      <c r="Q33" s="1396">
        <f t="shared" si="1"/>
        <v>-567.75331961195604</v>
      </c>
      <c r="R33" s="1398"/>
    </row>
    <row r="34" spans="1:18" ht="14.25" customHeight="1" x14ac:dyDescent="0.2">
      <c r="D34" s="1395" t="s">
        <v>53</v>
      </c>
      <c r="E34" s="749">
        <v>6038.0938209143997</v>
      </c>
      <c r="F34" s="1396">
        <v>6420</v>
      </c>
      <c r="G34" s="1396">
        <v>6445.7190919453233</v>
      </c>
      <c r="H34" s="1396">
        <f t="shared" si="2"/>
        <v>-407.62527103092361</v>
      </c>
      <c r="I34" s="1397"/>
      <c r="J34" s="1396"/>
      <c r="K34" s="1396"/>
      <c r="L34" s="1396"/>
      <c r="M34" s="1396"/>
      <c r="N34" s="749">
        <v>9078.4073013156994</v>
      </c>
      <c r="O34" s="1396">
        <v>11100</v>
      </c>
      <c r="P34" s="1396">
        <v>4977.5100788552527</v>
      </c>
      <c r="Q34" s="1396">
        <f t="shared" si="1"/>
        <v>4100.8972224604468</v>
      </c>
      <c r="R34" s="1398"/>
    </row>
    <row r="35" spans="1:18" ht="14.25" customHeight="1" x14ac:dyDescent="0.2">
      <c r="D35" s="1395" t="s">
        <v>54</v>
      </c>
      <c r="E35" s="749">
        <v>18057.344437961001</v>
      </c>
      <c r="F35" s="1396">
        <v>18800</v>
      </c>
      <c r="G35" s="1396">
        <v>10357.826171812563</v>
      </c>
      <c r="H35" s="1396">
        <f t="shared" si="2"/>
        <v>7699.5182661484378</v>
      </c>
      <c r="I35" s="1397"/>
      <c r="J35" s="1396"/>
      <c r="K35" s="1396"/>
      <c r="L35" s="1396"/>
      <c r="M35" s="1396"/>
      <c r="N35" s="749">
        <v>945.81189326825995</v>
      </c>
      <c r="O35" s="1396">
        <v>1330</v>
      </c>
      <c r="P35" s="1396">
        <v>673.03081358580391</v>
      </c>
      <c r="Q35" s="1396">
        <f t="shared" si="1"/>
        <v>272.78107968245604</v>
      </c>
      <c r="R35" s="1398">
        <f>+-IF(VLOOKUP(D35,TableB11!$H$8:$M$39,6,0)&lt;0,VLOOKUP(D35,TableB11!$H$8:$M$39,6,0),0)*1000</f>
        <v>38.817335600265679</v>
      </c>
    </row>
    <row r="36" spans="1:18" ht="14.25" customHeight="1" x14ac:dyDescent="0.2">
      <c r="D36" s="1395" t="s">
        <v>55</v>
      </c>
      <c r="E36" s="749">
        <v>4857.4597892401998</v>
      </c>
      <c r="F36" s="1396">
        <v>5230</v>
      </c>
      <c r="G36" s="1396">
        <v>4053.400083082227</v>
      </c>
      <c r="H36" s="1396">
        <f t="shared" si="2"/>
        <v>804.05970615797287</v>
      </c>
      <c r="I36" s="1397"/>
      <c r="J36" s="1396"/>
      <c r="K36" s="1396"/>
      <c r="L36" s="1396"/>
      <c r="M36" s="1396"/>
      <c r="N36" s="749">
        <v>1911.2590127564999</v>
      </c>
      <c r="O36" s="1396">
        <v>2300</v>
      </c>
      <c r="P36" s="1396">
        <v>399.74098939929326</v>
      </c>
      <c r="Q36" s="1396">
        <f t="shared" si="1"/>
        <v>1511.5180233572066</v>
      </c>
      <c r="R36" s="1398">
        <f>+-IF(VLOOKUP(D36,TableB11!$H$8:$M$39,6,0)&lt;0,VLOOKUP(D36,TableB11!$H$8:$M$39,6,0),0)*1000</f>
        <v>0</v>
      </c>
    </row>
    <row r="37" spans="1:18" ht="14.25" customHeight="1" x14ac:dyDescent="0.2">
      <c r="D37" s="1395" t="s">
        <v>336</v>
      </c>
      <c r="E37" s="749">
        <f>F37</f>
        <v>3710</v>
      </c>
      <c r="F37" s="1396">
        <v>3710</v>
      </c>
      <c r="G37" s="1396">
        <v>4731.3233592984134</v>
      </c>
      <c r="H37" s="1396">
        <f t="shared" si="2"/>
        <v>-1021.3233592984134</v>
      </c>
      <c r="I37" s="1397"/>
      <c r="J37" s="1396"/>
      <c r="K37" s="1396"/>
      <c r="L37" s="1396"/>
      <c r="M37" s="1396"/>
      <c r="N37" s="749">
        <v>257.14810130000001</v>
      </c>
      <c r="O37" s="1396">
        <v>257</v>
      </c>
      <c r="P37" s="1396">
        <v>421.07860217717945</v>
      </c>
      <c r="Q37" s="1396">
        <f t="shared" si="1"/>
        <v>-163.93050087717944</v>
      </c>
      <c r="R37" s="1398"/>
    </row>
    <row r="38" spans="1:18" ht="14.25" customHeight="1" x14ac:dyDescent="0.2">
      <c r="D38" s="1395" t="s">
        <v>57</v>
      </c>
      <c r="E38" s="749">
        <v>1078.1752634498</v>
      </c>
      <c r="F38" s="1396">
        <v>1090</v>
      </c>
      <c r="G38" s="1396">
        <v>779.06403655617976</v>
      </c>
      <c r="H38" s="1396">
        <f t="shared" si="2"/>
        <v>299.11122689362026</v>
      </c>
      <c r="I38" s="1397"/>
      <c r="J38" s="1396"/>
      <c r="K38" s="1396"/>
      <c r="L38" s="1396"/>
      <c r="M38" s="1396"/>
      <c r="N38" s="749">
        <v>55.169162506932999</v>
      </c>
      <c r="O38" s="1396">
        <v>71.857940230000011</v>
      </c>
      <c r="P38" s="1396">
        <v>52.5</v>
      </c>
      <c r="Q38" s="1396">
        <f t="shared" si="1"/>
        <v>2.6691625069329987</v>
      </c>
      <c r="R38" s="1398">
        <f>+-IF(VLOOKUP(D38,TableB11!$H$8:$M$39,6,0)&lt;0,VLOOKUP(D38,TableB11!$H$8:$M$39,6,0),0)*1000</f>
        <v>56.451496630100742</v>
      </c>
    </row>
    <row r="39" spans="1:18" ht="14.25" customHeight="1" x14ac:dyDescent="0.2">
      <c r="D39" s="1395" t="s">
        <v>58</v>
      </c>
      <c r="E39" s="749">
        <v>21338.879645035999</v>
      </c>
      <c r="F39" s="1396">
        <v>22800</v>
      </c>
      <c r="G39" s="1396">
        <v>18796.008563171872</v>
      </c>
      <c r="H39" s="1396">
        <f t="shared" si="2"/>
        <v>2542.8710818641266</v>
      </c>
      <c r="I39" s="1397"/>
      <c r="J39" s="1396"/>
      <c r="K39" s="1396"/>
      <c r="L39" s="1396"/>
      <c r="M39" s="1396"/>
      <c r="N39" s="749">
        <v>30208.541320021999</v>
      </c>
      <c r="O39" s="1396">
        <v>32000</v>
      </c>
      <c r="P39" s="1396">
        <v>13290.648167509076</v>
      </c>
      <c r="Q39" s="1396">
        <f t="shared" si="1"/>
        <v>16917.893152512923</v>
      </c>
      <c r="R39" s="1398">
        <f>+-IF(VLOOKUP(D39,TableB11!$H$8:$M$39,6,0)&lt;0,VLOOKUP(D39,TableB11!$H$8:$M$39,6,0),0)*1000</f>
        <v>0</v>
      </c>
    </row>
    <row r="40" spans="1:18" ht="14.25" customHeight="1" x14ac:dyDescent="0.2">
      <c r="D40" s="1395" t="s">
        <v>59</v>
      </c>
      <c r="E40" s="749">
        <v>20768.035305423</v>
      </c>
      <c r="F40" s="1396">
        <v>21400</v>
      </c>
      <c r="G40" s="1396">
        <v>15334.735610577482</v>
      </c>
      <c r="H40" s="1396">
        <f t="shared" si="2"/>
        <v>5433.2996948455184</v>
      </c>
      <c r="I40" s="1397"/>
      <c r="J40" s="1396"/>
      <c r="K40" s="1396"/>
      <c r="L40" s="1396"/>
      <c r="M40" s="1396"/>
      <c r="N40" s="749">
        <v>28599.883738863002</v>
      </c>
      <c r="O40" s="1396">
        <v>29200</v>
      </c>
      <c r="P40" s="1396">
        <v>15878.592698805054</v>
      </c>
      <c r="Q40" s="1396">
        <f t="shared" si="1"/>
        <v>12721.291040057948</v>
      </c>
      <c r="R40" s="1398">
        <f>+-IF(VLOOKUP(D40,TableB11!$H$8:$M$39,6,0)&lt;0,VLOOKUP(D40,TableB11!$H$8:$M$39,6,0),0)*1000</f>
        <v>0</v>
      </c>
    </row>
    <row r="41" spans="1:18" ht="14.25" customHeight="1" x14ac:dyDescent="0.2">
      <c r="D41" s="1395" t="s">
        <v>60</v>
      </c>
      <c r="E41" s="749">
        <v>60637.403417950001</v>
      </c>
      <c r="F41" s="1396">
        <v>70400</v>
      </c>
      <c r="G41" s="1396">
        <v>71349.18417581133</v>
      </c>
      <c r="H41" s="1396">
        <f t="shared" si="2"/>
        <v>-10711.780757861328</v>
      </c>
      <c r="I41" s="1397"/>
      <c r="J41" s="1396"/>
      <c r="K41" s="1396"/>
      <c r="L41" s="1396"/>
      <c r="M41" s="1396"/>
      <c r="N41" s="749">
        <v>91005.563908597003</v>
      </c>
      <c r="O41" s="1396">
        <v>102000</v>
      </c>
      <c r="P41" s="1396">
        <v>57625.709920048714</v>
      </c>
      <c r="Q41" s="1396">
        <f t="shared" si="1"/>
        <v>33379.85398854829</v>
      </c>
      <c r="R41" s="1398"/>
    </row>
    <row r="42" spans="1:18" ht="14.25" customHeight="1" x14ac:dyDescent="0.2">
      <c r="D42" s="1395" t="s">
        <v>61</v>
      </c>
      <c r="E42" s="749">
        <v>3542.26</v>
      </c>
      <c r="F42" s="1396">
        <v>3540</v>
      </c>
      <c r="G42" s="1396">
        <v>5595.1229416998012</v>
      </c>
      <c r="H42" s="1396">
        <f t="shared" si="2"/>
        <v>-2052.862941699801</v>
      </c>
      <c r="I42" s="1397"/>
      <c r="J42" s="1396"/>
      <c r="K42" s="1396"/>
      <c r="L42" s="1396"/>
      <c r="M42" s="1396"/>
      <c r="N42" s="749">
        <v>223.1</v>
      </c>
      <c r="O42" s="1396">
        <v>225</v>
      </c>
      <c r="P42" s="1396">
        <v>617.95683371944358</v>
      </c>
      <c r="Q42" s="1396">
        <f t="shared" si="1"/>
        <v>-394.85683371944356</v>
      </c>
      <c r="R42" s="1398"/>
    </row>
    <row r="43" spans="1:18" ht="14.25" customHeight="1" x14ac:dyDescent="0.2">
      <c r="D43" s="1395" t="s">
        <v>62</v>
      </c>
      <c r="E43" s="749">
        <v>97544.690603513998</v>
      </c>
      <c r="F43" s="1396">
        <v>80300</v>
      </c>
      <c r="G43" s="1396">
        <v>96956.694353908591</v>
      </c>
      <c r="H43" s="1396">
        <f t="shared" si="2"/>
        <v>587.99624960540677</v>
      </c>
      <c r="I43" s="1397"/>
      <c r="J43" s="1396"/>
      <c r="K43" s="1396"/>
      <c r="L43" s="1396"/>
      <c r="M43" s="1396"/>
      <c r="N43" s="749">
        <v>92967.150496561997</v>
      </c>
      <c r="O43" s="1396">
        <v>94400</v>
      </c>
      <c r="P43" s="1396">
        <v>54496.201671305695</v>
      </c>
      <c r="Q43" s="1396">
        <f t="shared" si="1"/>
        <v>38470.948825256302</v>
      </c>
      <c r="R43" s="1398">
        <f>+-IF(VLOOKUP(D43,TableB11!$H$8:$M$39,6,0)&lt;0,VLOOKUP(D43,TableB11!$H$8:$M$39,6,0),0)*1000</f>
        <v>4788.506519648784</v>
      </c>
    </row>
    <row r="44" spans="1:18" ht="14.25" customHeight="1" x14ac:dyDescent="0.2">
      <c r="D44" s="1395" t="s">
        <v>63</v>
      </c>
      <c r="E44" s="749">
        <v>148335</v>
      </c>
      <c r="F44" s="1396">
        <v>170000</v>
      </c>
      <c r="G44" s="1396">
        <v>123126.86759048983</v>
      </c>
      <c r="H44" s="1396">
        <f t="shared" si="2"/>
        <v>25208.132409510174</v>
      </c>
      <c r="I44" s="1397"/>
      <c r="J44" s="1396"/>
      <c r="K44" s="1396"/>
      <c r="L44" s="1396"/>
      <c r="M44" s="1396"/>
      <c r="N44" s="749">
        <v>406691</v>
      </c>
      <c r="O44" s="1396">
        <v>437000</v>
      </c>
      <c r="P44" s="1396">
        <v>112279.71693973089</v>
      </c>
      <c r="Q44" s="1396">
        <f t="shared" si="1"/>
        <v>294411.28306026908</v>
      </c>
      <c r="R44" s="1398">
        <f>+-IF(VLOOKUP(D44,TableB11!$H$8:$M$39,6,0)&lt;0,VLOOKUP(D44,TableB11!$H$8:$M$39,6,0),0)*1000</f>
        <v>0</v>
      </c>
    </row>
    <row r="45" spans="1:18" ht="40" customHeight="1" x14ac:dyDescent="0.15">
      <c r="D45" s="340" t="s">
        <v>64</v>
      </c>
      <c r="E45" s="345">
        <f>SUM(E46:E52)</f>
        <v>226900.20003003805</v>
      </c>
      <c r="F45" s="346">
        <f t="shared" ref="F45:R45" si="3">SUM(F46:F52)</f>
        <v>226900.20003003805</v>
      </c>
      <c r="G45" s="346">
        <f t="shared" si="3"/>
        <v>85684.996882808991</v>
      </c>
      <c r="H45" s="346">
        <f t="shared" si="3"/>
        <v>141215.20314722904</v>
      </c>
      <c r="I45" s="347">
        <f t="shared" si="3"/>
        <v>0</v>
      </c>
      <c r="J45" s="346">
        <f t="shared" si="3"/>
        <v>0</v>
      </c>
      <c r="K45" s="346">
        <f t="shared" si="3"/>
        <v>0</v>
      </c>
      <c r="L45" s="346">
        <f t="shared" si="3"/>
        <v>0</v>
      </c>
      <c r="M45" s="346">
        <f t="shared" si="3"/>
        <v>0</v>
      </c>
      <c r="N45" s="345">
        <f t="shared" si="3"/>
        <v>131187.92156774367</v>
      </c>
      <c r="O45" s="346">
        <f t="shared" si="3"/>
        <v>131209.13504377365</v>
      </c>
      <c r="P45" s="346">
        <f t="shared" si="3"/>
        <v>-1439.6109690674334</v>
      </c>
      <c r="Q45" s="346">
        <f t="shared" si="3"/>
        <v>132627.53253681108</v>
      </c>
      <c r="R45" s="365">
        <f t="shared" si="3"/>
        <v>0</v>
      </c>
    </row>
    <row r="46" spans="1:18" ht="14.25" customHeight="1" x14ac:dyDescent="0.2">
      <c r="D46" s="1395" t="s">
        <v>65</v>
      </c>
      <c r="E46" s="749">
        <f>+F46</f>
        <v>28600</v>
      </c>
      <c r="F46" s="1396">
        <v>28600</v>
      </c>
      <c r="G46" s="1396">
        <v>17640.671263987952</v>
      </c>
      <c r="H46" s="1396">
        <f t="shared" ref="H46:H52" si="4">+E46-G46</f>
        <v>10959.328736012048</v>
      </c>
      <c r="I46" s="1397"/>
      <c r="J46" s="1396"/>
      <c r="K46" s="1396"/>
      <c r="L46" s="1396"/>
      <c r="M46" s="1396"/>
      <c r="N46" s="749">
        <v>7289.0531494999996</v>
      </c>
      <c r="O46" s="1396">
        <v>7290</v>
      </c>
      <c r="P46" s="1396">
        <v>-6977.8082559605737</v>
      </c>
      <c r="Q46" s="1396">
        <f t="shared" ref="Q46:Q52" si="5">+N46-P46</f>
        <v>14266.861405460573</v>
      </c>
      <c r="R46" s="1398"/>
    </row>
    <row r="47" spans="1:18" ht="14.25" customHeight="1" x14ac:dyDescent="0.2">
      <c r="A47" s="146" t="s">
        <v>337</v>
      </c>
      <c r="B47" s="146" t="s">
        <v>1994</v>
      </c>
      <c r="D47" s="1395" t="s">
        <v>66</v>
      </c>
      <c r="E47" s="749">
        <v>129190.20003003805</v>
      </c>
      <c r="F47" s="1396">
        <f>+E47</f>
        <v>129190.20003003805</v>
      </c>
      <c r="G47" s="1396">
        <v>42190.774426270713</v>
      </c>
      <c r="H47" s="1396">
        <f t="shared" si="4"/>
        <v>86999.425603767333</v>
      </c>
      <c r="I47" s="1397"/>
      <c r="J47" s="1396"/>
      <c r="K47" s="1396"/>
      <c r="L47" s="1396"/>
      <c r="M47" s="1396"/>
      <c r="N47" s="749">
        <v>94634.249003443649</v>
      </c>
      <c r="O47" s="1396">
        <f>+N47</f>
        <v>94634.249003443649</v>
      </c>
      <c r="P47" s="1396">
        <v>2408.4440825108622</v>
      </c>
      <c r="Q47" s="1396">
        <f t="shared" si="5"/>
        <v>92225.804920932787</v>
      </c>
      <c r="R47" s="757"/>
    </row>
    <row r="48" spans="1:18" ht="14.25" customHeight="1" x14ac:dyDescent="0.2">
      <c r="D48" s="1395" t="s">
        <v>67</v>
      </c>
      <c r="E48" s="749">
        <f>+F48</f>
        <v>5310</v>
      </c>
      <c r="F48" s="1396">
        <v>5310</v>
      </c>
      <c r="G48" s="1396">
        <v>1690.6779477846599</v>
      </c>
      <c r="H48" s="1396">
        <f t="shared" si="4"/>
        <v>3619.3220522153401</v>
      </c>
      <c r="I48" s="1397"/>
      <c r="J48" s="1396"/>
      <c r="K48" s="1396"/>
      <c r="L48" s="1396"/>
      <c r="M48" s="1396"/>
      <c r="N48" s="749">
        <v>3561.5806026999999</v>
      </c>
      <c r="O48" s="1396">
        <v>3560</v>
      </c>
      <c r="P48" s="1396">
        <v>184.45558795359</v>
      </c>
      <c r="Q48" s="1396">
        <f t="shared" si="5"/>
        <v>3377.1250147464098</v>
      </c>
      <c r="R48" s="1398"/>
    </row>
    <row r="49" spans="1:18" ht="14.25" customHeight="1" x14ac:dyDescent="0.2">
      <c r="D49" s="1395" t="s">
        <v>68</v>
      </c>
      <c r="E49" s="749">
        <f>+F49</f>
        <v>2040</v>
      </c>
      <c r="F49" s="1396">
        <v>2040</v>
      </c>
      <c r="G49" s="1396">
        <v>403.8</v>
      </c>
      <c r="H49" s="1396">
        <f t="shared" si="4"/>
        <v>1636.2</v>
      </c>
      <c r="I49" s="1397"/>
      <c r="J49" s="1396"/>
      <c r="K49" s="1396"/>
      <c r="L49" s="1396"/>
      <c r="M49" s="1396"/>
      <c r="N49" s="749">
        <v>74.886040299999991</v>
      </c>
      <c r="O49" s="1396">
        <v>74.88604033</v>
      </c>
      <c r="P49" s="1396">
        <v>11.4</v>
      </c>
      <c r="Q49" s="1396">
        <f t="shared" si="5"/>
        <v>63.486040299999992</v>
      </c>
      <c r="R49" s="1398"/>
    </row>
    <row r="50" spans="1:18" ht="14.25" customHeight="1" x14ac:dyDescent="0.2">
      <c r="D50" s="1395" t="s">
        <v>69</v>
      </c>
      <c r="E50" s="749">
        <f>+F50</f>
        <v>13700</v>
      </c>
      <c r="F50" s="1396">
        <v>13700</v>
      </c>
      <c r="G50" s="1396">
        <v>8522.3382472770827</v>
      </c>
      <c r="H50" s="1396">
        <f t="shared" si="4"/>
        <v>5177.6617527229173</v>
      </c>
      <c r="I50" s="1397"/>
      <c r="J50" s="1396"/>
      <c r="K50" s="1396"/>
      <c r="L50" s="1396"/>
      <c r="M50" s="1396"/>
      <c r="N50" s="749">
        <v>5018.5436815000003</v>
      </c>
      <c r="O50" s="1396">
        <v>5020</v>
      </c>
      <c r="P50" s="1396">
        <v>2477.7552580678466</v>
      </c>
      <c r="Q50" s="1396">
        <f t="shared" si="5"/>
        <v>2540.7884234321536</v>
      </c>
      <c r="R50" s="1398"/>
    </row>
    <row r="51" spans="1:18" ht="14.25" customHeight="1" x14ac:dyDescent="0.2">
      <c r="B51" s="146" t="s">
        <v>70</v>
      </c>
      <c r="D51" s="1400" t="s">
        <v>338</v>
      </c>
      <c r="E51" s="749">
        <f>+F51</f>
        <v>41000</v>
      </c>
      <c r="F51" s="1396">
        <v>41000</v>
      </c>
      <c r="G51" s="1396">
        <v>10880.058343201796</v>
      </c>
      <c r="H51" s="1396">
        <f t="shared" si="4"/>
        <v>30119.941656798204</v>
      </c>
      <c r="I51" s="1397"/>
      <c r="J51" s="1396"/>
      <c r="K51" s="1396"/>
      <c r="L51" s="1396"/>
      <c r="M51" s="1396"/>
      <c r="N51" s="749">
        <v>17282.830000000002</v>
      </c>
      <c r="O51" s="1396">
        <v>17300</v>
      </c>
      <c r="P51" s="1396">
        <v>708.54235836084172</v>
      </c>
      <c r="Q51" s="1396">
        <f t="shared" si="5"/>
        <v>16574.287641639159</v>
      </c>
      <c r="R51" s="1398"/>
    </row>
    <row r="52" spans="1:18" ht="14.25" customHeight="1" x14ac:dyDescent="0.2">
      <c r="D52" s="1395" t="s">
        <v>71</v>
      </c>
      <c r="E52" s="749">
        <f>+F52</f>
        <v>7060</v>
      </c>
      <c r="F52" s="1396">
        <v>7060</v>
      </c>
      <c r="G52" s="1396">
        <v>4356.6766542867881</v>
      </c>
      <c r="H52" s="1396">
        <f t="shared" si="4"/>
        <v>2703.3233457132119</v>
      </c>
      <c r="I52" s="1397"/>
      <c r="J52" s="1396"/>
      <c r="K52" s="1396"/>
      <c r="L52" s="1396"/>
      <c r="M52" s="1396"/>
      <c r="N52" s="749">
        <v>3326.7790902999996</v>
      </c>
      <c r="O52" s="1396">
        <v>3330</v>
      </c>
      <c r="P52" s="1396">
        <v>-252.4</v>
      </c>
      <c r="Q52" s="1396">
        <f t="shared" si="5"/>
        <v>3579.1790902999996</v>
      </c>
      <c r="R52" s="1398"/>
    </row>
    <row r="53" spans="1:18" ht="40" customHeight="1" x14ac:dyDescent="0.15">
      <c r="D53" s="7" t="s">
        <v>72</v>
      </c>
      <c r="E53" s="345">
        <f>SUM(E54:E89)</f>
        <v>164664.62938446001</v>
      </c>
      <c r="F53" s="346">
        <f t="shared" ref="F53:R53" si="6">SUM(F54:F89)</f>
        <v>164664.62938446001</v>
      </c>
      <c r="G53" s="346">
        <f t="shared" si="6"/>
        <v>174576.08289828533</v>
      </c>
      <c r="H53" s="346">
        <f t="shared" si="6"/>
        <v>-9911.4535138253377</v>
      </c>
      <c r="I53" s="347">
        <f t="shared" si="6"/>
        <v>142739.04726038632</v>
      </c>
      <c r="J53" s="346">
        <f t="shared" si="6"/>
        <v>81139</v>
      </c>
      <c r="K53" s="346">
        <f t="shared" si="6"/>
        <v>61600.047260386316</v>
      </c>
      <c r="L53" s="346">
        <f t="shared" si="6"/>
        <v>44346.683670168517</v>
      </c>
      <c r="M53" s="346">
        <f t="shared" si="6"/>
        <v>45353.768002438665</v>
      </c>
      <c r="N53" s="345">
        <f t="shared" si="6"/>
        <v>128962.0263476</v>
      </c>
      <c r="O53" s="346">
        <f t="shared" si="6"/>
        <v>129407.80083910801</v>
      </c>
      <c r="P53" s="346">
        <f t="shared" si="6"/>
        <v>79262.996958486139</v>
      </c>
      <c r="Q53" s="346">
        <f t="shared" si="6"/>
        <v>49699.029389113886</v>
      </c>
      <c r="R53" s="365">
        <f t="shared" si="6"/>
        <v>71203.33650762387</v>
      </c>
    </row>
    <row r="54" spans="1:18" ht="14.25" customHeight="1" x14ac:dyDescent="0.2">
      <c r="D54" s="1395" t="s">
        <v>73</v>
      </c>
      <c r="E54" s="749">
        <f t="shared" ref="E54:E78" si="7">+F54</f>
        <v>0</v>
      </c>
      <c r="F54" s="1396">
        <v>0</v>
      </c>
      <c r="G54" s="1396">
        <v>36.200000000000003</v>
      </c>
      <c r="H54" s="1396">
        <f t="shared" ref="H54:H78" si="8">+E54-G54</f>
        <v>-36.200000000000003</v>
      </c>
      <c r="I54" s="1397">
        <f t="shared" ref="I54:I88" si="9">IF(E54&lt;G54,-H54,0)</f>
        <v>36.200000000000003</v>
      </c>
      <c r="J54" s="1396">
        <v>0</v>
      </c>
      <c r="K54" s="1396">
        <f>I54-J54</f>
        <v>36.200000000000003</v>
      </c>
      <c r="L54" s="1396"/>
      <c r="M54" s="1396">
        <f t="shared" ref="M54:M63" si="10">$L$226*(I54+F54)/(SUM($I$54:$I$88,$F$54:$F$88)-$F$64-$I$64-$F$66-$I$66-$F$84-$I$84-$F$87-$I$87)</f>
        <v>5.3587171965343172</v>
      </c>
      <c r="N54" s="749">
        <v>0</v>
      </c>
      <c r="O54" s="1396">
        <v>0</v>
      </c>
      <c r="P54" s="1396">
        <v>68.900000000000006</v>
      </c>
      <c r="Q54" s="1396">
        <f t="shared" ref="Q54:Q78" si="11">+N54-P54</f>
        <v>-68.900000000000006</v>
      </c>
      <c r="R54" s="1398">
        <f t="shared" ref="R54:R78" si="12">IF(N54&lt;P54,-Q54,0)</f>
        <v>68.900000000000006</v>
      </c>
    </row>
    <row r="55" spans="1:18" ht="14.25" customHeight="1" x14ac:dyDescent="0.2">
      <c r="B55" s="146" t="s">
        <v>1995</v>
      </c>
      <c r="D55" s="1395" t="s">
        <v>74</v>
      </c>
      <c r="E55" s="749">
        <f t="shared" si="7"/>
        <v>0</v>
      </c>
      <c r="F55" s="1396">
        <v>0</v>
      </c>
      <c r="G55" s="1396">
        <v>108.5</v>
      </c>
      <c r="H55" s="1396">
        <f t="shared" si="8"/>
        <v>-108.5</v>
      </c>
      <c r="I55" s="1397">
        <f t="shared" si="9"/>
        <v>108.5</v>
      </c>
      <c r="J55" s="1396">
        <v>0</v>
      </c>
      <c r="K55" s="1396">
        <f>I55-J55</f>
        <v>108.5</v>
      </c>
      <c r="L55" s="1396"/>
      <c r="M55" s="1396">
        <f t="shared" si="10"/>
        <v>16.061348503424679</v>
      </c>
      <c r="N55" s="749">
        <v>0</v>
      </c>
      <c r="O55" s="1396">
        <v>0</v>
      </c>
      <c r="P55" s="1396">
        <v>5.8</v>
      </c>
      <c r="Q55" s="1396">
        <f t="shared" si="11"/>
        <v>-5.8</v>
      </c>
      <c r="R55" s="1398">
        <f t="shared" si="12"/>
        <v>5.8</v>
      </c>
    </row>
    <row r="56" spans="1:18" ht="14.25" customHeight="1" x14ac:dyDescent="0.2">
      <c r="D56" s="1395" t="s">
        <v>75</v>
      </c>
      <c r="E56" s="749">
        <f t="shared" si="7"/>
        <v>0</v>
      </c>
      <c r="F56" s="1396">
        <v>0</v>
      </c>
      <c r="G56" s="1396">
        <v>76.900000000000006</v>
      </c>
      <c r="H56" s="1396">
        <f t="shared" si="8"/>
        <v>-76.900000000000006</v>
      </c>
      <c r="I56" s="1397">
        <f t="shared" si="9"/>
        <v>76.900000000000006</v>
      </c>
      <c r="J56" s="1396">
        <v>0</v>
      </c>
      <c r="K56" s="1396">
        <f>I56-J56</f>
        <v>76.900000000000006</v>
      </c>
      <c r="L56" s="1396"/>
      <c r="M56" s="1396">
        <f t="shared" si="10"/>
        <v>11.383573271090855</v>
      </c>
      <c r="N56" s="749">
        <v>0</v>
      </c>
      <c r="O56" s="1396">
        <v>0</v>
      </c>
      <c r="P56" s="1396">
        <v>0</v>
      </c>
      <c r="Q56" s="1396">
        <f t="shared" si="11"/>
        <v>0</v>
      </c>
      <c r="R56" s="1398">
        <f t="shared" si="12"/>
        <v>0</v>
      </c>
    </row>
    <row r="57" spans="1:18" ht="14.25" customHeight="1" x14ac:dyDescent="0.2">
      <c r="B57" s="146" t="s">
        <v>1996</v>
      </c>
      <c r="D57" s="1395" t="s">
        <v>76</v>
      </c>
      <c r="E57" s="749">
        <f t="shared" si="7"/>
        <v>98.715083800000002</v>
      </c>
      <c r="F57" s="1396">
        <v>98.715083800000002</v>
      </c>
      <c r="G57" s="1396">
        <v>22.9</v>
      </c>
      <c r="H57" s="1396">
        <f t="shared" si="8"/>
        <v>75.815083799999996</v>
      </c>
      <c r="I57" s="1397">
        <f t="shared" si="9"/>
        <v>0</v>
      </c>
      <c r="J57" s="1396"/>
      <c r="K57" s="1396"/>
      <c r="L57" s="1396"/>
      <c r="M57" s="1396">
        <f t="shared" si="10"/>
        <v>14.612878925867019</v>
      </c>
      <c r="N57" s="749">
        <v>0</v>
      </c>
      <c r="O57" s="1396">
        <v>13.46368715</v>
      </c>
      <c r="P57" s="1396">
        <v>57</v>
      </c>
      <c r="Q57" s="1396">
        <f t="shared" si="11"/>
        <v>-57</v>
      </c>
      <c r="R57" s="1398">
        <f t="shared" si="12"/>
        <v>57</v>
      </c>
    </row>
    <row r="58" spans="1:18" ht="14.25" customHeight="1" x14ac:dyDescent="0.2">
      <c r="B58" s="146" t="s">
        <v>77</v>
      </c>
      <c r="D58" s="1395" t="s">
        <v>152</v>
      </c>
      <c r="E58" s="749">
        <f t="shared" si="7"/>
        <v>0</v>
      </c>
      <c r="F58" s="1396">
        <v>0</v>
      </c>
      <c r="G58" s="1396">
        <v>2441.0858728483822</v>
      </c>
      <c r="H58" s="1396">
        <f t="shared" si="8"/>
        <v>-2441.0858728483822</v>
      </c>
      <c r="I58" s="1397">
        <f t="shared" si="9"/>
        <v>2441.0858728483822</v>
      </c>
      <c r="J58" s="1396">
        <v>2288</v>
      </c>
      <c r="K58" s="1396">
        <f t="shared" ref="K58:K75" si="13">I58-J58</f>
        <v>153.08587284838222</v>
      </c>
      <c r="L58" s="1396"/>
      <c r="M58" s="1396">
        <f t="shared" si="10"/>
        <v>361.35604544335933</v>
      </c>
      <c r="N58" s="749">
        <v>0</v>
      </c>
      <c r="O58" s="1396">
        <v>0</v>
      </c>
      <c r="P58" s="1396">
        <v>1702.2606313516633</v>
      </c>
      <c r="Q58" s="1396">
        <f t="shared" si="11"/>
        <v>-1702.2606313516633</v>
      </c>
      <c r="R58" s="1398">
        <f t="shared" si="12"/>
        <v>1702.2606313516633</v>
      </c>
    </row>
    <row r="59" spans="1:18" ht="14.25" customHeight="1" x14ac:dyDescent="0.2">
      <c r="B59" s="146" t="s">
        <v>340</v>
      </c>
      <c r="D59" s="1395" t="s">
        <v>78</v>
      </c>
      <c r="E59" s="749">
        <f t="shared" si="7"/>
        <v>0</v>
      </c>
      <c r="F59" s="1396">
        <v>0</v>
      </c>
      <c r="G59" s="1396">
        <v>720.00805649591416</v>
      </c>
      <c r="H59" s="1396">
        <f t="shared" si="8"/>
        <v>-720.00805649591416</v>
      </c>
      <c r="I59" s="1397">
        <f t="shared" si="9"/>
        <v>720.00805649591416</v>
      </c>
      <c r="J59" s="1396">
        <v>87</v>
      </c>
      <c r="K59" s="1396">
        <f t="shared" si="13"/>
        <v>633.00805649591416</v>
      </c>
      <c r="L59" s="1396"/>
      <c r="M59" s="1396">
        <f t="shared" si="10"/>
        <v>106.58341309358859</v>
      </c>
      <c r="N59" s="749">
        <v>0</v>
      </c>
      <c r="O59" s="1396">
        <v>0</v>
      </c>
      <c r="P59" s="1396">
        <v>77.400000000000006</v>
      </c>
      <c r="Q59" s="1396">
        <f t="shared" si="11"/>
        <v>-77.400000000000006</v>
      </c>
      <c r="R59" s="1398">
        <f t="shared" si="12"/>
        <v>77.400000000000006</v>
      </c>
    </row>
    <row r="60" spans="1:18" ht="14.25" customHeight="1" x14ac:dyDescent="0.2">
      <c r="D60" s="1395" t="s">
        <v>79</v>
      </c>
      <c r="E60" s="749">
        <f t="shared" si="7"/>
        <v>0</v>
      </c>
      <c r="F60" s="1396">
        <v>0</v>
      </c>
      <c r="G60" s="1396">
        <v>2130.7224236508159</v>
      </c>
      <c r="H60" s="1396">
        <f t="shared" si="8"/>
        <v>-2130.7224236508159</v>
      </c>
      <c r="I60" s="1397">
        <f t="shared" si="9"/>
        <v>2130.7224236508159</v>
      </c>
      <c r="J60" s="1396">
        <v>1455</v>
      </c>
      <c r="K60" s="1396">
        <f t="shared" si="13"/>
        <v>675.72242365081593</v>
      </c>
      <c r="L60" s="1396"/>
      <c r="M60" s="1396">
        <f t="shared" si="10"/>
        <v>315.41267659278742</v>
      </c>
      <c r="N60" s="749">
        <v>0</v>
      </c>
      <c r="O60" s="1396">
        <f>+N60</f>
        <v>0</v>
      </c>
      <c r="P60" s="1396">
        <v>234.93255831256295</v>
      </c>
      <c r="Q60" s="1396">
        <f t="shared" si="11"/>
        <v>-234.93255831256295</v>
      </c>
      <c r="R60" s="1398">
        <f t="shared" si="12"/>
        <v>234.93255831256295</v>
      </c>
    </row>
    <row r="61" spans="1:18" ht="14.25" customHeight="1" x14ac:dyDescent="0.2">
      <c r="D61" s="1395" t="s">
        <v>80</v>
      </c>
      <c r="E61" s="749">
        <f t="shared" si="7"/>
        <v>51.461402590000006</v>
      </c>
      <c r="F61" s="1396">
        <v>51.461402590000006</v>
      </c>
      <c r="G61" s="1396">
        <v>66.2</v>
      </c>
      <c r="H61" s="1396">
        <f t="shared" si="8"/>
        <v>-14.738597409999997</v>
      </c>
      <c r="I61" s="1397">
        <f t="shared" si="9"/>
        <v>14.738597409999997</v>
      </c>
      <c r="J61" s="1396">
        <v>2</v>
      </c>
      <c r="K61" s="1396">
        <f t="shared" si="13"/>
        <v>12.738597409999997</v>
      </c>
      <c r="L61" s="1396"/>
      <c r="M61" s="1396">
        <f t="shared" si="10"/>
        <v>9.7996430500157938</v>
      </c>
      <c r="N61" s="749">
        <v>1.2105223000000001</v>
      </c>
      <c r="O61" s="1396">
        <v>1.210522334</v>
      </c>
      <c r="P61" s="1396">
        <v>-46.832508833922262</v>
      </c>
      <c r="Q61" s="1396">
        <f t="shared" si="11"/>
        <v>48.043031133922263</v>
      </c>
      <c r="R61" s="1398">
        <f t="shared" si="12"/>
        <v>0</v>
      </c>
    </row>
    <row r="62" spans="1:18" ht="14.25" customHeight="1" x14ac:dyDescent="0.2">
      <c r="B62" s="146" t="s">
        <v>1997</v>
      </c>
      <c r="D62" s="1395" t="s">
        <v>81</v>
      </c>
      <c r="E62" s="749">
        <f t="shared" si="7"/>
        <v>80.34483324</v>
      </c>
      <c r="F62" s="1396">
        <v>80.34483324</v>
      </c>
      <c r="G62" s="1396">
        <v>47722.737121784165</v>
      </c>
      <c r="H62" s="1396">
        <f t="shared" si="8"/>
        <v>-47642.392288544164</v>
      </c>
      <c r="I62" s="1397">
        <f t="shared" si="9"/>
        <v>47642.392288544164</v>
      </c>
      <c r="J62" s="1396">
        <v>30408</v>
      </c>
      <c r="K62" s="1396">
        <f t="shared" si="13"/>
        <v>17234.392288544164</v>
      </c>
      <c r="L62" s="1396"/>
      <c r="M62" s="1396">
        <f t="shared" si="10"/>
        <v>7064.4379027677178</v>
      </c>
      <c r="N62" s="749">
        <v>108.3720849</v>
      </c>
      <c r="O62" s="1396">
        <v>108</v>
      </c>
      <c r="P62" s="1396">
        <v>32275.338594347504</v>
      </c>
      <c r="Q62" s="1396">
        <f t="shared" si="11"/>
        <v>-32166.966509447506</v>
      </c>
      <c r="R62" s="1398">
        <f t="shared" si="12"/>
        <v>32166.966509447506</v>
      </c>
    </row>
    <row r="63" spans="1:18" ht="14.25" customHeight="1" x14ac:dyDescent="0.2">
      <c r="A63" s="146" t="s">
        <v>1998</v>
      </c>
      <c r="B63" s="146" t="s">
        <v>420</v>
      </c>
      <c r="D63" s="1395" t="s">
        <v>82</v>
      </c>
      <c r="E63" s="749">
        <f t="shared" si="7"/>
        <v>0</v>
      </c>
      <c r="F63" s="1396">
        <v>0</v>
      </c>
      <c r="G63" s="1396">
        <v>0.1</v>
      </c>
      <c r="H63" s="1396">
        <f t="shared" si="8"/>
        <v>-0.1</v>
      </c>
      <c r="I63" s="1397">
        <f t="shared" si="9"/>
        <v>0.1</v>
      </c>
      <c r="J63" s="1396">
        <v>0</v>
      </c>
      <c r="K63" s="1396">
        <f t="shared" si="13"/>
        <v>0.1</v>
      </c>
      <c r="L63" s="1396"/>
      <c r="M63" s="1396">
        <f t="shared" si="10"/>
        <v>1.4803086178271594E-2</v>
      </c>
      <c r="N63" s="749">
        <v>0</v>
      </c>
      <c r="O63" s="1396">
        <v>0</v>
      </c>
      <c r="P63" s="1396">
        <v>9.5</v>
      </c>
      <c r="Q63" s="1396">
        <f t="shared" si="11"/>
        <v>-9.5</v>
      </c>
      <c r="R63" s="1398">
        <f t="shared" si="12"/>
        <v>9.5</v>
      </c>
    </row>
    <row r="64" spans="1:18" ht="14.25" customHeight="1" x14ac:dyDescent="0.2">
      <c r="A64" s="146" t="s">
        <v>1999</v>
      </c>
      <c r="B64" s="146" t="s">
        <v>421</v>
      </c>
      <c r="D64" s="1395" t="s">
        <v>83</v>
      </c>
      <c r="E64" s="749">
        <f t="shared" si="7"/>
        <v>0</v>
      </c>
      <c r="F64" s="1396">
        <v>0</v>
      </c>
      <c r="G64" s="1396">
        <v>535.5961744890501</v>
      </c>
      <c r="H64" s="1396">
        <f t="shared" si="8"/>
        <v>-535.5961744890501</v>
      </c>
      <c r="I64" s="1397">
        <f t="shared" si="9"/>
        <v>535.5961744890501</v>
      </c>
      <c r="J64" s="1396">
        <v>0</v>
      </c>
      <c r="K64" s="1396">
        <f t="shared" si="13"/>
        <v>535.5961744890501</v>
      </c>
      <c r="L64" s="1396">
        <v>31375.949560756722</v>
      </c>
      <c r="M64" s="1396"/>
      <c r="N64" s="749">
        <v>0</v>
      </c>
      <c r="O64" s="1396">
        <v>0</v>
      </c>
      <c r="P64" s="1396">
        <v>4544.6985035662929</v>
      </c>
      <c r="Q64" s="1396">
        <f t="shared" si="11"/>
        <v>-4544.6985035662929</v>
      </c>
      <c r="R64" s="1398">
        <f t="shared" si="12"/>
        <v>4544.6985035662929</v>
      </c>
    </row>
    <row r="65" spans="1:18" ht="14.25" customHeight="1" x14ac:dyDescent="0.2">
      <c r="A65" s="146" t="s">
        <v>2000</v>
      </c>
      <c r="B65" s="146" t="s">
        <v>1993</v>
      </c>
      <c r="D65" s="1395" t="s">
        <v>84</v>
      </c>
      <c r="E65" s="749">
        <f t="shared" si="7"/>
        <v>1</v>
      </c>
      <c r="F65" s="1396">
        <v>1</v>
      </c>
      <c r="G65" s="1396">
        <v>32253.212825518716</v>
      </c>
      <c r="H65" s="1396">
        <f t="shared" si="8"/>
        <v>-32252.212825518716</v>
      </c>
      <c r="I65" s="1397">
        <f t="shared" si="9"/>
        <v>32252.212825518716</v>
      </c>
      <c r="J65" s="1396">
        <v>23312</v>
      </c>
      <c r="K65" s="1396">
        <f t="shared" si="13"/>
        <v>8940.2128255187163</v>
      </c>
      <c r="L65" s="1396"/>
      <c r="M65" s="1396">
        <f>$L$226*(I65+F65)/(SUM($I$54:$I$88,$F$54:$F$88)-$F$64-$I$64-$F$66-$I$66-$F$84-$I$84-$F$87-$I$87)</f>
        <v>4774.4708898228819</v>
      </c>
      <c r="N65" s="749">
        <v>0</v>
      </c>
      <c r="O65" s="1396">
        <v>0</v>
      </c>
      <c r="P65" s="1396">
        <v>16211.194650380299</v>
      </c>
      <c r="Q65" s="1396">
        <f t="shared" si="11"/>
        <v>-16211.194650380299</v>
      </c>
      <c r="R65" s="1398">
        <f t="shared" si="12"/>
        <v>16211.194650380299</v>
      </c>
    </row>
    <row r="66" spans="1:18" ht="14.25" customHeight="1" x14ac:dyDescent="0.2">
      <c r="B66" s="146" t="s">
        <v>422</v>
      </c>
      <c r="D66" s="1395" t="s">
        <v>85</v>
      </c>
      <c r="E66" s="749">
        <f t="shared" si="7"/>
        <v>56.82681564</v>
      </c>
      <c r="F66" s="1396">
        <v>56.82681564</v>
      </c>
      <c r="G66" s="1396">
        <v>487.29023846046579</v>
      </c>
      <c r="H66" s="1396">
        <f t="shared" si="8"/>
        <v>-430.46342282046578</v>
      </c>
      <c r="I66" s="1397">
        <f t="shared" si="9"/>
        <v>430.46342282046578</v>
      </c>
      <c r="J66" s="1396">
        <v>57</v>
      </c>
      <c r="K66" s="1396">
        <f t="shared" si="13"/>
        <v>373.46342282046578</v>
      </c>
      <c r="L66" s="1396">
        <v>12939.514734540455</v>
      </c>
      <c r="M66" s="1396"/>
      <c r="N66" s="749">
        <v>12.782122900000001</v>
      </c>
      <c r="O66" s="1396">
        <v>12.78212291</v>
      </c>
      <c r="P66" s="1396">
        <v>2686.2999999999997</v>
      </c>
      <c r="Q66" s="1396">
        <f t="shared" si="11"/>
        <v>-2673.5178770999996</v>
      </c>
      <c r="R66" s="1398">
        <f t="shared" si="12"/>
        <v>2673.5178770999996</v>
      </c>
    </row>
    <row r="67" spans="1:18" ht="14.25" customHeight="1" x14ac:dyDescent="0.2">
      <c r="D67" s="1395" t="s">
        <v>86</v>
      </c>
      <c r="E67" s="749">
        <f t="shared" si="7"/>
        <v>2100</v>
      </c>
      <c r="F67" s="1396">
        <v>2100</v>
      </c>
      <c r="G67" s="1396">
        <v>5263.7361260589269</v>
      </c>
      <c r="H67" s="1396">
        <f t="shared" si="8"/>
        <v>-3163.7361260589269</v>
      </c>
      <c r="I67" s="1397">
        <f t="shared" si="9"/>
        <v>3163.7361260589269</v>
      </c>
      <c r="J67" s="1396">
        <v>134</v>
      </c>
      <c r="K67" s="1396">
        <f t="shared" si="13"/>
        <v>3029.7361260589269</v>
      </c>
      <c r="L67" s="1396"/>
      <c r="M67" s="1396">
        <f t="shared" ref="M67:M83" si="14">$L$226*(I67+F67)/(SUM($I$54:$I$88,$F$54:$F$88)-$F$64-$I$64-$F$66-$I$66-$F$84-$I$84-$F$87-$I$87)</f>
        <v>779.19539493731759</v>
      </c>
      <c r="N67" s="749">
        <v>2611.3350037999999</v>
      </c>
      <c r="O67" s="1396">
        <f>+N67</f>
        <v>2611.3350037999999</v>
      </c>
      <c r="P67" s="1396">
        <v>2975.4490700636984</v>
      </c>
      <c r="Q67" s="1396">
        <f t="shared" si="11"/>
        <v>-364.11406626369853</v>
      </c>
      <c r="R67" s="1398">
        <f t="shared" si="12"/>
        <v>364.11406626369853</v>
      </c>
    </row>
    <row r="68" spans="1:18" ht="14.25" customHeight="1" x14ac:dyDescent="0.2">
      <c r="D68" s="1395" t="s">
        <v>87</v>
      </c>
      <c r="E68" s="749">
        <f t="shared" si="7"/>
        <v>0</v>
      </c>
      <c r="F68" s="1396">
        <v>0</v>
      </c>
      <c r="G68" s="1396">
        <v>2328.1</v>
      </c>
      <c r="H68" s="1396">
        <f t="shared" si="8"/>
        <v>-2328.1</v>
      </c>
      <c r="I68" s="1397">
        <f t="shared" si="9"/>
        <v>2328.1</v>
      </c>
      <c r="J68" s="1396">
        <v>0</v>
      </c>
      <c r="K68" s="1396">
        <f t="shared" si="13"/>
        <v>2328.1</v>
      </c>
      <c r="L68" s="1396"/>
      <c r="M68" s="1396">
        <f t="shared" si="14"/>
        <v>344.63064931634091</v>
      </c>
      <c r="N68" s="749">
        <v>0</v>
      </c>
      <c r="O68" s="1396">
        <v>0</v>
      </c>
      <c r="P68" s="1396">
        <v>293.06236093911127</v>
      </c>
      <c r="Q68" s="1396">
        <f t="shared" si="11"/>
        <v>-293.06236093911127</v>
      </c>
      <c r="R68" s="1398">
        <f t="shared" si="12"/>
        <v>293.06236093911127</v>
      </c>
    </row>
    <row r="69" spans="1:18" ht="14.25" customHeight="1" x14ac:dyDescent="0.2">
      <c r="D69" s="1395" t="s">
        <v>88</v>
      </c>
      <c r="E69" s="749">
        <f t="shared" si="7"/>
        <v>0</v>
      </c>
      <c r="F69" s="1396">
        <v>0</v>
      </c>
      <c r="G69" s="1396">
        <v>15.2</v>
      </c>
      <c r="H69" s="1396">
        <f t="shared" si="8"/>
        <v>-15.2</v>
      </c>
      <c r="I69" s="1397">
        <f t="shared" si="9"/>
        <v>15.2</v>
      </c>
      <c r="J69" s="1396">
        <v>0</v>
      </c>
      <c r="K69" s="1396">
        <f t="shared" si="13"/>
        <v>15.2</v>
      </c>
      <c r="L69" s="1396"/>
      <c r="M69" s="1396">
        <f t="shared" si="14"/>
        <v>2.2500690990972818</v>
      </c>
      <c r="N69" s="749">
        <v>0</v>
      </c>
      <c r="O69" s="1396">
        <v>0</v>
      </c>
      <c r="P69" s="1396">
        <v>0</v>
      </c>
      <c r="Q69" s="1396">
        <f t="shared" si="11"/>
        <v>0</v>
      </c>
      <c r="R69" s="1398">
        <f t="shared" si="12"/>
        <v>0</v>
      </c>
    </row>
    <row r="70" spans="1:18" ht="14.25" customHeight="1" x14ac:dyDescent="0.2">
      <c r="D70" s="1395" t="s">
        <v>89</v>
      </c>
      <c r="E70" s="749">
        <f t="shared" si="7"/>
        <v>0</v>
      </c>
      <c r="F70" s="1396">
        <v>0</v>
      </c>
      <c r="G70" s="1396">
        <v>766.90416711093746</v>
      </c>
      <c r="H70" s="1396">
        <f t="shared" si="8"/>
        <v>-766.90416711093746</v>
      </c>
      <c r="I70" s="1397">
        <f t="shared" si="9"/>
        <v>766.90416711093746</v>
      </c>
      <c r="J70" s="1396">
        <v>0</v>
      </c>
      <c r="K70" s="1396">
        <f t="shared" si="13"/>
        <v>766.90416711093746</v>
      </c>
      <c r="L70" s="1396"/>
      <c r="M70" s="1396">
        <f t="shared" si="14"/>
        <v>113.52548476218806</v>
      </c>
      <c r="N70" s="749">
        <v>0</v>
      </c>
      <c r="O70" s="1396">
        <v>0</v>
      </c>
      <c r="P70" s="1396">
        <v>2729.5756643478048</v>
      </c>
      <c r="Q70" s="1396">
        <f t="shared" si="11"/>
        <v>-2729.5756643478048</v>
      </c>
      <c r="R70" s="1398">
        <f t="shared" si="12"/>
        <v>2729.5756643478048</v>
      </c>
    </row>
    <row r="71" spans="1:18" ht="14.25" customHeight="1" x14ac:dyDescent="0.2">
      <c r="B71" s="146" t="s">
        <v>2001</v>
      </c>
      <c r="D71" s="1395" t="s">
        <v>90</v>
      </c>
      <c r="E71" s="749">
        <f t="shared" si="7"/>
        <v>0</v>
      </c>
      <c r="F71" s="1396">
        <v>0</v>
      </c>
      <c r="G71" s="1396">
        <v>301.64808972880496</v>
      </c>
      <c r="H71" s="1396">
        <f t="shared" si="8"/>
        <v>-301.64808972880496</v>
      </c>
      <c r="I71" s="1397">
        <f t="shared" si="9"/>
        <v>301.64808972880496</v>
      </c>
      <c r="J71" s="1396">
        <v>-1905</v>
      </c>
      <c r="K71" s="1396">
        <f t="shared" si="13"/>
        <v>2206.6480897288047</v>
      </c>
      <c r="L71" s="1396"/>
      <c r="M71" s="1396">
        <f t="shared" si="14"/>
        <v>44.653226677665018</v>
      </c>
      <c r="N71" s="749">
        <v>0</v>
      </c>
      <c r="O71" s="1396">
        <v>0</v>
      </c>
      <c r="P71" s="1396">
        <v>3083.9</v>
      </c>
      <c r="Q71" s="1396">
        <f t="shared" si="11"/>
        <v>-3083.9</v>
      </c>
      <c r="R71" s="1398">
        <f t="shared" si="12"/>
        <v>3083.9</v>
      </c>
    </row>
    <row r="72" spans="1:18" ht="14.25" customHeight="1" x14ac:dyDescent="0.2">
      <c r="A72" s="146" t="s">
        <v>91</v>
      </c>
      <c r="B72" s="146" t="s">
        <v>423</v>
      </c>
      <c r="D72" s="1401" t="s">
        <v>341</v>
      </c>
      <c r="E72" s="749">
        <f t="shared" si="7"/>
        <v>137000</v>
      </c>
      <c r="F72" s="1396">
        <v>137000</v>
      </c>
      <c r="G72" s="1396">
        <v>22137.65539721922</v>
      </c>
      <c r="H72" s="1396">
        <f t="shared" si="8"/>
        <v>114862.34460278078</v>
      </c>
      <c r="I72" s="1397">
        <f t="shared" si="9"/>
        <v>0</v>
      </c>
      <c r="J72" s="1396"/>
      <c r="K72" s="1396">
        <f t="shared" si="13"/>
        <v>0</v>
      </c>
      <c r="L72" s="1396"/>
      <c r="M72" s="1396">
        <f t="shared" si="14"/>
        <v>20280.22806423208</v>
      </c>
      <c r="N72" s="749">
        <v>121684.5393873</v>
      </c>
      <c r="O72" s="1396">
        <v>122000</v>
      </c>
      <c r="P72" s="1396">
        <v>4594.8862213961775</v>
      </c>
      <c r="Q72" s="1396">
        <f t="shared" si="11"/>
        <v>117089.65316590382</v>
      </c>
      <c r="R72" s="1398">
        <f t="shared" si="12"/>
        <v>0</v>
      </c>
    </row>
    <row r="73" spans="1:18" ht="14.25" customHeight="1" x14ac:dyDescent="0.2">
      <c r="D73" s="1395" t="s">
        <v>92</v>
      </c>
      <c r="E73" s="749">
        <f t="shared" si="7"/>
        <v>0</v>
      </c>
      <c r="F73" s="1396">
        <v>0</v>
      </c>
      <c r="G73" s="1396">
        <v>602.53205981920314</v>
      </c>
      <c r="H73" s="1396">
        <f t="shared" si="8"/>
        <v>-602.53205981920314</v>
      </c>
      <c r="I73" s="1397">
        <f t="shared" si="9"/>
        <v>602.53205981920314</v>
      </c>
      <c r="J73" s="1396">
        <v>0</v>
      </c>
      <c r="K73" s="1396">
        <f t="shared" si="13"/>
        <v>602.53205981920314</v>
      </c>
      <c r="L73" s="1396"/>
      <c r="M73" s="1396">
        <f t="shared" si="14"/>
        <v>89.193340066751588</v>
      </c>
      <c r="N73" s="749">
        <v>0</v>
      </c>
      <c r="O73" s="1396">
        <v>0</v>
      </c>
      <c r="P73" s="1396">
        <v>22.741982969107276</v>
      </c>
      <c r="Q73" s="1396">
        <f t="shared" si="11"/>
        <v>-22.741982969107276</v>
      </c>
      <c r="R73" s="1398">
        <f t="shared" si="12"/>
        <v>22.741982969107276</v>
      </c>
    </row>
    <row r="74" spans="1:18" ht="14.25" customHeight="1" x14ac:dyDescent="0.2">
      <c r="D74" s="1395" t="s">
        <v>93</v>
      </c>
      <c r="E74" s="749">
        <f t="shared" si="7"/>
        <v>436</v>
      </c>
      <c r="F74" s="1396">
        <v>436</v>
      </c>
      <c r="G74" s="1396">
        <v>246.2</v>
      </c>
      <c r="H74" s="1396">
        <f t="shared" si="8"/>
        <v>189.8</v>
      </c>
      <c r="I74" s="1397">
        <f t="shared" si="9"/>
        <v>0</v>
      </c>
      <c r="J74" s="1396"/>
      <c r="K74" s="1396">
        <f t="shared" si="13"/>
        <v>0</v>
      </c>
      <c r="L74" s="1396"/>
      <c r="M74" s="1396">
        <f t="shared" si="14"/>
        <v>64.541455737264144</v>
      </c>
      <c r="N74" s="749">
        <v>487.54139129999999</v>
      </c>
      <c r="O74" s="1396">
        <v>488</v>
      </c>
      <c r="P74" s="1396">
        <v>228</v>
      </c>
      <c r="Q74" s="1396">
        <f t="shared" si="11"/>
        <v>259.54139129999999</v>
      </c>
      <c r="R74" s="1398">
        <f t="shared" si="12"/>
        <v>0</v>
      </c>
    </row>
    <row r="75" spans="1:18" ht="14.25" customHeight="1" x14ac:dyDescent="0.2">
      <c r="D75" s="1395" t="s">
        <v>94</v>
      </c>
      <c r="E75" s="749">
        <f t="shared" si="7"/>
        <v>0</v>
      </c>
      <c r="F75" s="1396">
        <v>0</v>
      </c>
      <c r="G75" s="1396">
        <v>7.5</v>
      </c>
      <c r="H75" s="1396">
        <f t="shared" si="8"/>
        <v>-7.5</v>
      </c>
      <c r="I75" s="1397">
        <f t="shared" si="9"/>
        <v>7.5</v>
      </c>
      <c r="J75" s="1396">
        <v>-18</v>
      </c>
      <c r="K75" s="1396">
        <f t="shared" si="13"/>
        <v>25.5</v>
      </c>
      <c r="L75" s="1396"/>
      <c r="M75" s="1396">
        <f t="shared" si="14"/>
        <v>1.1102314633703694</v>
      </c>
      <c r="N75" s="749">
        <v>0</v>
      </c>
      <c r="O75" s="1396">
        <v>0</v>
      </c>
      <c r="P75" s="1396">
        <v>1795.1512367491164</v>
      </c>
      <c r="Q75" s="1396">
        <f t="shared" si="11"/>
        <v>-1795.1512367491164</v>
      </c>
      <c r="R75" s="1398">
        <f t="shared" si="12"/>
        <v>1795.1512367491164</v>
      </c>
    </row>
    <row r="76" spans="1:18" ht="14.25" customHeight="1" x14ac:dyDescent="0.2">
      <c r="A76" s="146" t="s">
        <v>342</v>
      </c>
      <c r="B76" s="146" t="s">
        <v>424</v>
      </c>
      <c r="D76" s="1395" t="s">
        <v>95</v>
      </c>
      <c r="E76" s="749">
        <f t="shared" si="7"/>
        <v>6430</v>
      </c>
      <c r="F76" s="1396">
        <v>6430</v>
      </c>
      <c r="G76" s="1396">
        <v>501.7</v>
      </c>
      <c r="H76" s="1396">
        <f t="shared" si="8"/>
        <v>5928.3</v>
      </c>
      <c r="I76" s="1397">
        <f t="shared" si="9"/>
        <v>0</v>
      </c>
      <c r="J76" s="1396"/>
      <c r="K76" s="1396"/>
      <c r="L76" s="1396"/>
      <c r="M76" s="1396">
        <f t="shared" si="14"/>
        <v>951.83844126286351</v>
      </c>
      <c r="N76" s="749">
        <v>0</v>
      </c>
      <c r="O76" s="1396">
        <v>118</v>
      </c>
      <c r="P76" s="1396">
        <v>77.599999999999994</v>
      </c>
      <c r="Q76" s="1396">
        <f t="shared" si="11"/>
        <v>-77.599999999999994</v>
      </c>
      <c r="R76" s="1398">
        <f t="shared" si="12"/>
        <v>77.599999999999994</v>
      </c>
    </row>
    <row r="77" spans="1:18" ht="14.25" customHeight="1" x14ac:dyDescent="0.2">
      <c r="D77" s="1402" t="s">
        <v>96</v>
      </c>
      <c r="E77" s="749">
        <f t="shared" si="7"/>
        <v>10100</v>
      </c>
      <c r="F77" s="1396">
        <v>10100</v>
      </c>
      <c r="G77" s="1396">
        <v>2552.7219275076573</v>
      </c>
      <c r="H77" s="1396">
        <f t="shared" si="8"/>
        <v>7547.2780724923432</v>
      </c>
      <c r="I77" s="1397">
        <f t="shared" si="9"/>
        <v>0</v>
      </c>
      <c r="J77" s="1396">
        <v>35</v>
      </c>
      <c r="K77" s="1396">
        <f>I77-J77</f>
        <v>-35</v>
      </c>
      <c r="L77" s="1396"/>
      <c r="M77" s="1396">
        <f t="shared" si="14"/>
        <v>1495.1117040054307</v>
      </c>
      <c r="N77" s="749">
        <v>30.117526699999999</v>
      </c>
      <c r="O77" s="1396">
        <f>+N77</f>
        <v>30.117526699999999</v>
      </c>
      <c r="P77" s="1396">
        <v>850.39084927035708</v>
      </c>
      <c r="Q77" s="1396">
        <f t="shared" si="11"/>
        <v>-820.2733225703571</v>
      </c>
      <c r="R77" s="1398">
        <f t="shared" si="12"/>
        <v>820.2733225703571</v>
      </c>
    </row>
    <row r="78" spans="1:18" ht="14.25" customHeight="1" x14ac:dyDescent="0.2">
      <c r="A78" s="146" t="s">
        <v>97</v>
      </c>
      <c r="B78" s="161" t="s">
        <v>373</v>
      </c>
      <c r="D78" s="1402" t="s">
        <v>97</v>
      </c>
      <c r="E78" s="749">
        <f t="shared" si="7"/>
        <v>0</v>
      </c>
      <c r="F78" s="1396">
        <v>0</v>
      </c>
      <c r="G78" s="1396">
        <v>124.25690030132812</v>
      </c>
      <c r="H78" s="1396">
        <f t="shared" si="8"/>
        <v>-124.25690030132812</v>
      </c>
      <c r="I78" s="1397">
        <f t="shared" si="9"/>
        <v>124.25690030132812</v>
      </c>
      <c r="J78" s="1396">
        <v>236</v>
      </c>
      <c r="K78" s="1396">
        <f>I78-J78</f>
        <v>-111.74309969867188</v>
      </c>
      <c r="L78" s="1396"/>
      <c r="M78" s="1396">
        <f t="shared" si="14"/>
        <v>18.393856034054615</v>
      </c>
      <c r="N78" s="749">
        <v>0</v>
      </c>
      <c r="O78" s="1396">
        <f>+N78</f>
        <v>0</v>
      </c>
      <c r="P78" s="1396">
        <v>405.33887008171797</v>
      </c>
      <c r="Q78" s="1396">
        <f t="shared" si="11"/>
        <v>-405.33887008171797</v>
      </c>
      <c r="R78" s="1398">
        <f t="shared" si="12"/>
        <v>405.33887008171797</v>
      </c>
    </row>
    <row r="79" spans="1:18" ht="14.25" customHeight="1" x14ac:dyDescent="0.2">
      <c r="D79" s="1395" t="s">
        <v>98</v>
      </c>
      <c r="E79" s="749"/>
      <c r="F79" s="1396"/>
      <c r="G79" s="1396"/>
      <c r="H79" s="1396"/>
      <c r="I79" s="1397">
        <f t="shared" si="9"/>
        <v>0</v>
      </c>
      <c r="J79" s="1396"/>
      <c r="K79" s="1396"/>
      <c r="L79" s="1396"/>
      <c r="M79" s="1396">
        <f t="shared" si="14"/>
        <v>0</v>
      </c>
      <c r="N79" s="749"/>
      <c r="O79" s="1396"/>
      <c r="P79" s="1396"/>
      <c r="Q79" s="1396"/>
      <c r="R79" s="1398"/>
    </row>
    <row r="80" spans="1:18" ht="14.25" customHeight="1" x14ac:dyDescent="0.2">
      <c r="D80" s="1395" t="s">
        <v>99</v>
      </c>
      <c r="E80" s="749">
        <f t="shared" ref="E80:E88" si="15">+F80</f>
        <v>0.35195531000000002</v>
      </c>
      <c r="F80" s="1396">
        <v>0.35195531000000002</v>
      </c>
      <c r="G80" s="1396">
        <v>3.6</v>
      </c>
      <c r="H80" s="1396">
        <f t="shared" ref="H80:H88" si="16">+E80-G80</f>
        <v>-3.24804469</v>
      </c>
      <c r="I80" s="1397">
        <f t="shared" si="9"/>
        <v>3.24804469</v>
      </c>
      <c r="J80" s="1396">
        <v>0</v>
      </c>
      <c r="K80" s="1396">
        <f>I80-J80</f>
        <v>3.24804469</v>
      </c>
      <c r="L80" s="1396"/>
      <c r="M80" s="1396">
        <f t="shared" si="14"/>
        <v>0.53291110241777739</v>
      </c>
      <c r="N80" s="749">
        <v>7.8212299999999998E-2</v>
      </c>
      <c r="O80" s="1396">
        <v>7.821228999999999E-2</v>
      </c>
      <c r="P80" s="1396">
        <v>0</v>
      </c>
      <c r="Q80" s="1396">
        <f t="shared" ref="Q80:Q88" si="17">+N80-P80</f>
        <v>7.8212299999999998E-2</v>
      </c>
      <c r="R80" s="1398">
        <f t="shared" ref="R80:R88" si="18">IF(N80&lt;P80,-Q80,0)</f>
        <v>0</v>
      </c>
    </row>
    <row r="81" spans="1:18" ht="14.25" customHeight="1" x14ac:dyDescent="0.2">
      <c r="D81" s="1395" t="s">
        <v>100</v>
      </c>
      <c r="E81" s="749">
        <f t="shared" si="15"/>
        <v>4020</v>
      </c>
      <c r="F81" s="1396">
        <v>4020</v>
      </c>
      <c r="G81" s="1396">
        <v>2376.3000000000002</v>
      </c>
      <c r="H81" s="1396">
        <f t="shared" si="16"/>
        <v>1643.6999999999998</v>
      </c>
      <c r="I81" s="1397">
        <f t="shared" si="9"/>
        <v>0</v>
      </c>
      <c r="J81" s="1396"/>
      <c r="K81" s="1396"/>
      <c r="L81" s="1396"/>
      <c r="M81" s="1396">
        <f t="shared" si="14"/>
        <v>595.08406436651796</v>
      </c>
      <c r="N81" s="749">
        <v>3701.4363321999999</v>
      </c>
      <c r="O81" s="1396">
        <v>3700</v>
      </c>
      <c r="P81" s="1396">
        <v>236.1</v>
      </c>
      <c r="Q81" s="1396">
        <f t="shared" si="17"/>
        <v>3465.3363322</v>
      </c>
      <c r="R81" s="1398">
        <f t="shared" si="18"/>
        <v>0</v>
      </c>
    </row>
    <row r="82" spans="1:18" ht="14.25" customHeight="1" x14ac:dyDescent="0.2">
      <c r="D82" s="1395" t="s">
        <v>101</v>
      </c>
      <c r="E82" s="749">
        <f t="shared" si="15"/>
        <v>69.929293879999989</v>
      </c>
      <c r="F82" s="1396">
        <v>69.929293879999989</v>
      </c>
      <c r="G82" s="1396">
        <v>23.1</v>
      </c>
      <c r="H82" s="1396">
        <f t="shared" si="16"/>
        <v>46.829293879999987</v>
      </c>
      <c r="I82" s="1397">
        <f t="shared" si="9"/>
        <v>0</v>
      </c>
      <c r="J82" s="1396"/>
      <c r="K82" s="1396"/>
      <c r="L82" s="1396"/>
      <c r="M82" s="1396">
        <f t="shared" si="14"/>
        <v>10.3516936369132</v>
      </c>
      <c r="N82" s="749">
        <v>1.8137638999999999</v>
      </c>
      <c r="O82" s="1396">
        <v>1.8137639240000001</v>
      </c>
      <c r="P82" s="1396">
        <v>-31.3</v>
      </c>
      <c r="Q82" s="1396">
        <f t="shared" si="17"/>
        <v>33.113763900000002</v>
      </c>
      <c r="R82" s="1398">
        <f t="shared" si="18"/>
        <v>0</v>
      </c>
    </row>
    <row r="83" spans="1:18" ht="14.25" customHeight="1" x14ac:dyDescent="0.2">
      <c r="D83" s="1395" t="s">
        <v>102</v>
      </c>
      <c r="E83" s="749">
        <f t="shared" si="15"/>
        <v>0</v>
      </c>
      <c r="F83" s="1396">
        <v>0</v>
      </c>
      <c r="G83" s="1396">
        <v>48948.502210899605</v>
      </c>
      <c r="H83" s="1396">
        <f t="shared" si="16"/>
        <v>-48948.502210899605</v>
      </c>
      <c r="I83" s="1397">
        <f t="shared" si="9"/>
        <v>48948.502210899605</v>
      </c>
      <c r="J83" s="1396">
        <v>25049</v>
      </c>
      <c r="K83" s="1396">
        <f>I83-J83</f>
        <v>23899.502210899605</v>
      </c>
      <c r="L83" s="1396"/>
      <c r="M83" s="1396">
        <f t="shared" si="14"/>
        <v>7245.888965252645</v>
      </c>
      <c r="N83" s="749">
        <v>0</v>
      </c>
      <c r="O83" s="1396">
        <v>0</v>
      </c>
      <c r="P83" s="1396">
        <v>3311.9901675257311</v>
      </c>
      <c r="Q83" s="1396">
        <f t="shared" si="17"/>
        <v>-3311.9901675257311</v>
      </c>
      <c r="R83" s="1398">
        <f t="shared" si="18"/>
        <v>3311.9901675257311</v>
      </c>
    </row>
    <row r="84" spans="1:18" ht="14.25" customHeight="1" x14ac:dyDescent="0.2">
      <c r="D84" s="1395" t="s">
        <v>425</v>
      </c>
      <c r="E84" s="749">
        <f t="shared" si="15"/>
        <v>0</v>
      </c>
      <c r="F84" s="1396">
        <v>0</v>
      </c>
      <c r="G84" s="1396">
        <v>0.30000000000000004</v>
      </c>
      <c r="H84" s="1396">
        <f t="shared" si="16"/>
        <v>-0.30000000000000004</v>
      </c>
      <c r="I84" s="1397">
        <f t="shared" si="9"/>
        <v>0.30000000000000004</v>
      </c>
      <c r="J84" s="1396">
        <v>-1</v>
      </c>
      <c r="K84" s="1396">
        <f>I84-J84</f>
        <v>1.3</v>
      </c>
      <c r="L84" s="1396">
        <v>6.3020096796338532</v>
      </c>
      <c r="M84" s="1396"/>
      <c r="N84" s="749">
        <v>0</v>
      </c>
      <c r="O84" s="1396">
        <v>0</v>
      </c>
      <c r="P84" s="1396">
        <v>-4.5</v>
      </c>
      <c r="Q84" s="1396">
        <f t="shared" si="17"/>
        <v>4.5</v>
      </c>
      <c r="R84" s="1398">
        <f t="shared" si="18"/>
        <v>0</v>
      </c>
    </row>
    <row r="85" spans="1:18" ht="14.25" customHeight="1" x14ac:dyDescent="0.2">
      <c r="D85" s="1395" t="s">
        <v>426</v>
      </c>
      <c r="E85" s="749">
        <f t="shared" si="15"/>
        <v>0</v>
      </c>
      <c r="F85" s="1396">
        <v>0</v>
      </c>
      <c r="G85" s="1396">
        <v>71.900000000000006</v>
      </c>
      <c r="H85" s="1396">
        <f t="shared" si="16"/>
        <v>-71.900000000000006</v>
      </c>
      <c r="I85" s="1397">
        <f t="shared" si="9"/>
        <v>71.900000000000006</v>
      </c>
      <c r="J85" s="1396">
        <v>0</v>
      </c>
      <c r="K85" s="1396">
        <f>I85-J85</f>
        <v>71.900000000000006</v>
      </c>
      <c r="L85" s="1396"/>
      <c r="M85" s="1396">
        <f>$L$226*(I85+F85)/(SUM($I$54:$I$88,$F$54:$F$88)-$F$64-$I$64-$F$66-$I$66-$F$84-$I$84-$F$87-$I$87)</f>
        <v>10.643418962177277</v>
      </c>
      <c r="N85" s="749">
        <v>0</v>
      </c>
      <c r="O85" s="1396">
        <v>0</v>
      </c>
      <c r="P85" s="1396">
        <v>2.5</v>
      </c>
      <c r="Q85" s="1396">
        <f t="shared" si="17"/>
        <v>-2.5</v>
      </c>
      <c r="R85" s="1398">
        <f t="shared" si="18"/>
        <v>2.5</v>
      </c>
    </row>
    <row r="86" spans="1:18" ht="14.25" customHeight="1" x14ac:dyDescent="0.2">
      <c r="D86" s="1395" t="s">
        <v>427</v>
      </c>
      <c r="E86" s="749">
        <f t="shared" si="15"/>
        <v>0</v>
      </c>
      <c r="F86" s="1396">
        <v>0</v>
      </c>
      <c r="G86" s="1396">
        <v>16.3</v>
      </c>
      <c r="H86" s="1396">
        <f t="shared" si="16"/>
        <v>-16.3</v>
      </c>
      <c r="I86" s="1397">
        <f t="shared" si="9"/>
        <v>16.3</v>
      </c>
      <c r="J86" s="1396">
        <v>0</v>
      </c>
      <c r="K86" s="1396">
        <f>I86-J86</f>
        <v>16.3</v>
      </c>
      <c r="L86" s="1396"/>
      <c r="M86" s="1396">
        <f>$L$226*(I86+F86)/(SUM($I$54:$I$88,$F$54:$F$88)-$F$64-$I$64-$F$66-$I$66-$F$84-$I$84-$F$87-$I$87)</f>
        <v>2.4129030470582693</v>
      </c>
      <c r="N86" s="749">
        <v>0</v>
      </c>
      <c r="O86" s="1396">
        <v>0</v>
      </c>
      <c r="P86" s="1396">
        <v>-2.1000000000000005</v>
      </c>
      <c r="Q86" s="1396">
        <f t="shared" si="17"/>
        <v>2.1000000000000005</v>
      </c>
      <c r="R86" s="1398">
        <f t="shared" si="18"/>
        <v>0</v>
      </c>
    </row>
    <row r="87" spans="1:18" ht="14.25" customHeight="1" x14ac:dyDescent="0.2">
      <c r="D87" s="1395" t="s">
        <v>106</v>
      </c>
      <c r="E87" s="749">
        <f t="shared" si="15"/>
        <v>0</v>
      </c>
      <c r="F87" s="1396">
        <v>0</v>
      </c>
      <c r="G87" s="1396">
        <v>0</v>
      </c>
      <c r="H87" s="1396">
        <f t="shared" si="16"/>
        <v>0</v>
      </c>
      <c r="I87" s="1397">
        <f t="shared" si="9"/>
        <v>0</v>
      </c>
      <c r="J87" s="1396">
        <f>IF(F87&lt;H87,-I87,0)</f>
        <v>0</v>
      </c>
      <c r="K87" s="1396">
        <f>I87-J87</f>
        <v>0</v>
      </c>
      <c r="L87" s="1396">
        <v>24.917365191704601</v>
      </c>
      <c r="M87" s="1396"/>
      <c r="N87" s="749">
        <v>0</v>
      </c>
      <c r="O87" s="1396">
        <v>0</v>
      </c>
      <c r="P87" s="1396">
        <v>0</v>
      </c>
      <c r="Q87" s="1396">
        <f t="shared" si="17"/>
        <v>0</v>
      </c>
      <c r="R87" s="1398">
        <f t="shared" si="18"/>
        <v>0</v>
      </c>
    </row>
    <row r="88" spans="1:18" ht="14.25" customHeight="1" x14ac:dyDescent="0.2">
      <c r="D88" s="1395" t="s">
        <v>107</v>
      </c>
      <c r="E88" s="749">
        <f t="shared" si="15"/>
        <v>4220</v>
      </c>
      <c r="F88" s="1396">
        <v>4220</v>
      </c>
      <c r="G88" s="1396">
        <v>1686.4733063921349</v>
      </c>
      <c r="H88" s="1396">
        <f t="shared" si="16"/>
        <v>2533.5266936078651</v>
      </c>
      <c r="I88" s="1397">
        <f t="shared" si="9"/>
        <v>0</v>
      </c>
      <c r="J88" s="1396">
        <f>IF(F88&lt;H88,-I88,0)</f>
        <v>0</v>
      </c>
      <c r="K88" s="1396"/>
      <c r="L88" s="1396"/>
      <c r="M88" s="1396">
        <f>$L$226*(I88+F88)/(SUM($I$54:$I$88,$F$54:$F$88)-$F$64-$I$64-$F$66-$I$66-$F$84-$I$84-$F$87-$I$87)</f>
        <v>624.69023672306116</v>
      </c>
      <c r="N88" s="749">
        <v>322.8</v>
      </c>
      <c r="O88" s="1396">
        <v>323</v>
      </c>
      <c r="P88" s="1396">
        <v>867.71810601889706</v>
      </c>
      <c r="Q88" s="1396">
        <f t="shared" si="17"/>
        <v>-544.91810601889711</v>
      </c>
      <c r="R88" s="1398">
        <f t="shared" si="18"/>
        <v>544.91810601889711</v>
      </c>
    </row>
    <row r="89" spans="1:18" ht="14.25" customHeight="1" x14ac:dyDescent="0.2">
      <c r="D89" s="1395" t="s">
        <v>108</v>
      </c>
      <c r="E89" s="749">
        <v>0</v>
      </c>
      <c r="F89" s="1396">
        <v>0</v>
      </c>
      <c r="G89" s="1396">
        <v>0</v>
      </c>
      <c r="H89" s="1396">
        <v>0</v>
      </c>
      <c r="I89" s="1397">
        <v>0</v>
      </c>
      <c r="J89" s="1396">
        <v>0</v>
      </c>
      <c r="K89" s="1396">
        <v>0</v>
      </c>
      <c r="L89" s="1396">
        <v>0</v>
      </c>
      <c r="M89" s="1396">
        <v>0</v>
      </c>
      <c r="N89" s="749">
        <v>0</v>
      </c>
      <c r="O89" s="1396">
        <v>0</v>
      </c>
      <c r="P89" s="1396">
        <v>0</v>
      </c>
      <c r="Q89" s="1396">
        <v>0</v>
      </c>
      <c r="R89" s="1398">
        <v>0</v>
      </c>
    </row>
    <row r="90" spans="1:18" ht="40" customHeight="1" x14ac:dyDescent="0.15">
      <c r="D90" s="372" t="s">
        <v>109</v>
      </c>
      <c r="E90" s="345">
        <f>SUM(E91:E219)</f>
        <v>160926.41586347498</v>
      </c>
      <c r="F90" s="346">
        <f t="shared" ref="F90:R90" si="19">SUM(F91:F219)</f>
        <v>160937.64714467298</v>
      </c>
      <c r="G90" s="346">
        <f t="shared" si="19"/>
        <v>167663.07073865991</v>
      </c>
      <c r="H90" s="346">
        <f t="shared" si="19"/>
        <v>-6737.630925004938</v>
      </c>
      <c r="I90" s="347">
        <f t="shared" si="19"/>
        <v>0</v>
      </c>
      <c r="J90" s="346">
        <f t="shared" si="19"/>
        <v>0</v>
      </c>
      <c r="K90" s="346">
        <f t="shared" si="19"/>
        <v>0</v>
      </c>
      <c r="L90" s="346">
        <f t="shared" si="19"/>
        <v>0</v>
      </c>
      <c r="M90" s="346">
        <f t="shared" si="19"/>
        <v>0</v>
      </c>
      <c r="N90" s="345">
        <f t="shared" si="19"/>
        <v>20147.489777298008</v>
      </c>
      <c r="O90" s="346">
        <f t="shared" si="19"/>
        <v>20147.489777298008</v>
      </c>
      <c r="P90" s="346">
        <f t="shared" si="19"/>
        <v>80929.430424521051</v>
      </c>
      <c r="Q90" s="346">
        <f t="shared" si="19"/>
        <v>-60781.940647223048</v>
      </c>
      <c r="R90" s="365">
        <f t="shared" si="19"/>
        <v>0</v>
      </c>
    </row>
    <row r="91" spans="1:18" ht="14.25" customHeight="1" x14ac:dyDescent="0.2">
      <c r="A91" s="146" t="s">
        <v>428</v>
      </c>
      <c r="B91" s="146" t="s">
        <v>429</v>
      </c>
      <c r="D91" s="1395" t="s">
        <v>430</v>
      </c>
      <c r="E91" s="749">
        <f t="shared" ref="E91:E122" si="20">+F91</f>
        <v>6.747533E-2</v>
      </c>
      <c r="F91" s="1396">
        <v>6.747533E-2</v>
      </c>
      <c r="G91" s="1396">
        <v>4</v>
      </c>
      <c r="H91" s="1396">
        <f t="shared" ref="H91:H122" si="21">+E91-G91</f>
        <v>-3.9325246699999998</v>
      </c>
      <c r="I91" s="1397"/>
      <c r="J91" s="1396"/>
      <c r="K91" s="1396"/>
      <c r="L91" s="1396"/>
      <c r="M91" s="1396"/>
      <c r="N91" s="749">
        <f>+O91</f>
        <v>0</v>
      </c>
      <c r="O91" s="1396">
        <v>0</v>
      </c>
      <c r="P91" s="1396">
        <v>0.20309275541445002</v>
      </c>
      <c r="Q91" s="1396">
        <f t="shared" ref="Q91:Q122" si="22">+N91-P91</f>
        <v>-0.20309275541445002</v>
      </c>
      <c r="R91" s="1398"/>
    </row>
    <row r="92" spans="1:18" ht="14.25" customHeight="1" x14ac:dyDescent="0.2">
      <c r="D92" s="1395" t="s">
        <v>431</v>
      </c>
      <c r="E92" s="749">
        <f t="shared" si="20"/>
        <v>170</v>
      </c>
      <c r="F92" s="1396">
        <v>170</v>
      </c>
      <c r="G92" s="1396">
        <v>165.9</v>
      </c>
      <c r="H92" s="1396">
        <f t="shared" si="21"/>
        <v>4.0999999999999943</v>
      </c>
      <c r="I92" s="1397"/>
      <c r="J92" s="1396"/>
      <c r="K92" s="1396"/>
      <c r="L92" s="1396"/>
      <c r="M92" s="1396"/>
      <c r="N92" s="749">
        <f t="shared" ref="N92:N155" si="23">+O92</f>
        <v>17.79</v>
      </c>
      <c r="O92" s="1396">
        <v>17.79</v>
      </c>
      <c r="P92" s="1396">
        <v>-0.1</v>
      </c>
      <c r="Q92" s="1396">
        <f t="shared" si="22"/>
        <v>17.89</v>
      </c>
      <c r="R92" s="1398"/>
    </row>
    <row r="93" spans="1:18" ht="14.25" customHeight="1" x14ac:dyDescent="0.2">
      <c r="D93" s="1395" t="s">
        <v>432</v>
      </c>
      <c r="E93" s="749">
        <f t="shared" si="20"/>
        <v>6360</v>
      </c>
      <c r="F93" s="1396">
        <v>6360</v>
      </c>
      <c r="G93" s="1396">
        <v>1128.5611299182819</v>
      </c>
      <c r="H93" s="1396">
        <f t="shared" si="21"/>
        <v>5231.4388700817181</v>
      </c>
      <c r="I93" s="1397"/>
      <c r="J93" s="1396"/>
      <c r="K93" s="1396"/>
      <c r="L93" s="1396"/>
      <c r="M93" s="1396"/>
      <c r="N93" s="749">
        <f t="shared" si="23"/>
        <v>72.356424560000008</v>
      </c>
      <c r="O93" s="1396">
        <v>72.356424560000008</v>
      </c>
      <c r="P93" s="1396">
        <v>247.29999999999998</v>
      </c>
      <c r="Q93" s="1396">
        <f t="shared" si="22"/>
        <v>-174.94357543999996</v>
      </c>
      <c r="R93" s="1398"/>
    </row>
    <row r="94" spans="1:18" ht="14.25" customHeight="1" x14ac:dyDescent="0.2">
      <c r="D94" s="1395" t="s">
        <v>433</v>
      </c>
      <c r="E94" s="749">
        <f t="shared" si="20"/>
        <v>4290</v>
      </c>
      <c r="F94" s="1396">
        <v>4290</v>
      </c>
      <c r="G94" s="1396">
        <v>-1199.9675284897598</v>
      </c>
      <c r="H94" s="1396">
        <f t="shared" si="21"/>
        <v>5489.9675284897603</v>
      </c>
      <c r="I94" s="1397"/>
      <c r="J94" s="1396"/>
      <c r="K94" s="1396"/>
      <c r="L94" s="1396"/>
      <c r="M94" s="1396"/>
      <c r="N94" s="749">
        <f t="shared" si="23"/>
        <v>0</v>
      </c>
      <c r="O94" s="1396">
        <v>0</v>
      </c>
      <c r="P94" s="1396">
        <v>-28.9</v>
      </c>
      <c r="Q94" s="1396">
        <f t="shared" si="22"/>
        <v>28.9</v>
      </c>
      <c r="R94" s="1398"/>
    </row>
    <row r="95" spans="1:18" ht="14.25" customHeight="1" x14ac:dyDescent="0.2">
      <c r="D95" s="1395" t="s">
        <v>275</v>
      </c>
      <c r="E95" s="749">
        <f t="shared" si="20"/>
        <v>8790</v>
      </c>
      <c r="F95" s="1396">
        <v>8790</v>
      </c>
      <c r="G95" s="1396">
        <v>5181.045954950986</v>
      </c>
      <c r="H95" s="1396">
        <f t="shared" si="21"/>
        <v>3608.954045049014</v>
      </c>
      <c r="I95" s="1397"/>
      <c r="J95" s="1396"/>
      <c r="K95" s="1396"/>
      <c r="L95" s="1396"/>
      <c r="M95" s="1396"/>
      <c r="N95" s="749">
        <f t="shared" si="23"/>
        <v>647</v>
      </c>
      <c r="O95" s="1396">
        <v>647</v>
      </c>
      <c r="P95" s="1396">
        <v>-347.43896827740497</v>
      </c>
      <c r="Q95" s="1396">
        <f t="shared" si="22"/>
        <v>994.43896827740491</v>
      </c>
      <c r="R95" s="1398"/>
    </row>
    <row r="96" spans="1:18" ht="14.25" customHeight="1" x14ac:dyDescent="0.2">
      <c r="A96" s="146" t="s">
        <v>434</v>
      </c>
      <c r="B96" s="146" t="s">
        <v>435</v>
      </c>
      <c r="D96" s="1395" t="s">
        <v>436</v>
      </c>
      <c r="E96" s="749">
        <f t="shared" si="20"/>
        <v>-33.1</v>
      </c>
      <c r="F96" s="1396">
        <v>-33.1</v>
      </c>
      <c r="G96" s="1396">
        <v>14.1</v>
      </c>
      <c r="H96" s="1396">
        <f t="shared" si="21"/>
        <v>-47.2</v>
      </c>
      <c r="I96" s="1397"/>
      <c r="J96" s="1396"/>
      <c r="K96" s="1396"/>
      <c r="L96" s="1396"/>
      <c r="M96" s="1396"/>
      <c r="N96" s="749">
        <f t="shared" si="23"/>
        <v>0.68399456999999997</v>
      </c>
      <c r="O96" s="1396">
        <v>0.68399456999999997</v>
      </c>
      <c r="P96" s="1396">
        <v>3.6</v>
      </c>
      <c r="Q96" s="1396">
        <f t="shared" si="22"/>
        <v>-2.9160054300000002</v>
      </c>
      <c r="R96" s="1398"/>
    </row>
    <row r="97" spans="1:18" ht="14.25" customHeight="1" x14ac:dyDescent="0.2">
      <c r="A97" s="146" t="s">
        <v>437</v>
      </c>
      <c r="B97" s="146" t="s">
        <v>438</v>
      </c>
      <c r="D97" s="1395" t="s">
        <v>439</v>
      </c>
      <c r="E97" s="749">
        <f t="shared" si="20"/>
        <v>2270</v>
      </c>
      <c r="F97" s="1396">
        <v>2270</v>
      </c>
      <c r="G97" s="1396">
        <v>191</v>
      </c>
      <c r="H97" s="1396">
        <f t="shared" si="21"/>
        <v>2079</v>
      </c>
      <c r="I97" s="1397"/>
      <c r="J97" s="1396"/>
      <c r="K97" s="1396"/>
      <c r="L97" s="1396"/>
      <c r="M97" s="1396"/>
      <c r="N97" s="749">
        <f t="shared" si="23"/>
        <v>443</v>
      </c>
      <c r="O97" s="1396">
        <v>443</v>
      </c>
      <c r="P97" s="1396">
        <v>-4</v>
      </c>
      <c r="Q97" s="1396">
        <f t="shared" si="22"/>
        <v>447</v>
      </c>
      <c r="R97" s="1398"/>
    </row>
    <row r="98" spans="1:18" ht="14.25" customHeight="1" x14ac:dyDescent="0.2">
      <c r="D98" s="1395" t="s">
        <v>440</v>
      </c>
      <c r="E98" s="749">
        <f t="shared" si="20"/>
        <v>2210</v>
      </c>
      <c r="F98" s="1396">
        <v>2210</v>
      </c>
      <c r="G98" s="1396">
        <v>401.4440790000001</v>
      </c>
      <c r="H98" s="1396">
        <f t="shared" si="21"/>
        <v>1808.5559209999999</v>
      </c>
      <c r="I98" s="1397"/>
      <c r="J98" s="1396"/>
      <c r="K98" s="1396"/>
      <c r="L98" s="1396"/>
      <c r="M98" s="1396"/>
      <c r="N98" s="749">
        <f t="shared" si="23"/>
        <v>14.752823640000001</v>
      </c>
      <c r="O98" s="1396">
        <v>14.752823640000001</v>
      </c>
      <c r="P98" s="1396">
        <v>7</v>
      </c>
      <c r="Q98" s="1396">
        <f t="shared" si="22"/>
        <v>7.7528236400000008</v>
      </c>
      <c r="R98" s="1398"/>
    </row>
    <row r="99" spans="1:18" ht="14.25" customHeight="1" x14ac:dyDescent="0.2">
      <c r="D99" s="1395" t="s">
        <v>441</v>
      </c>
      <c r="E99" s="749">
        <f t="shared" si="20"/>
        <v>1790</v>
      </c>
      <c r="F99" s="1396">
        <v>1790</v>
      </c>
      <c r="G99" s="1396">
        <v>233.90000000000003</v>
      </c>
      <c r="H99" s="1396">
        <f t="shared" si="21"/>
        <v>1556.1</v>
      </c>
      <c r="I99" s="1397"/>
      <c r="J99" s="1396"/>
      <c r="K99" s="1396"/>
      <c r="L99" s="1396"/>
      <c r="M99" s="1396"/>
      <c r="N99" s="749">
        <f t="shared" si="23"/>
        <v>49.1</v>
      </c>
      <c r="O99" s="1396">
        <v>49.1</v>
      </c>
      <c r="P99" s="1396">
        <v>31.900000000000006</v>
      </c>
      <c r="Q99" s="1396">
        <f t="shared" si="22"/>
        <v>17.199999999999996</v>
      </c>
      <c r="R99" s="1398"/>
    </row>
    <row r="100" spans="1:18" ht="14.25" customHeight="1" x14ac:dyDescent="0.2">
      <c r="D100" s="1395" t="s">
        <v>80</v>
      </c>
      <c r="E100" s="749">
        <f t="shared" si="20"/>
        <v>51.461402590000006</v>
      </c>
      <c r="F100" s="1396">
        <v>51.461402590000006</v>
      </c>
      <c r="G100" s="1396">
        <v>66.2</v>
      </c>
      <c r="H100" s="1396">
        <f t="shared" si="21"/>
        <v>-14.738597409999997</v>
      </c>
      <c r="I100" s="1397"/>
      <c r="J100" s="1396"/>
      <c r="K100" s="1396"/>
      <c r="L100" s="1396"/>
      <c r="M100" s="1396"/>
      <c r="N100" s="749">
        <f t="shared" si="23"/>
        <v>1.210522334</v>
      </c>
      <c r="O100" s="1396">
        <v>1.210522334</v>
      </c>
      <c r="P100" s="1396">
        <v>-46.832508833922262</v>
      </c>
      <c r="Q100" s="1396">
        <f t="shared" si="22"/>
        <v>48.043031167922258</v>
      </c>
      <c r="R100" s="1398"/>
    </row>
    <row r="101" spans="1:18" ht="14.25" customHeight="1" x14ac:dyDescent="0.2">
      <c r="D101" s="1395" t="s">
        <v>442</v>
      </c>
      <c r="E101" s="749">
        <f t="shared" si="20"/>
        <v>64.393730180000006</v>
      </c>
      <c r="F101" s="1396">
        <v>64.393730180000006</v>
      </c>
      <c r="G101" s="1396">
        <v>-32.29999999999999</v>
      </c>
      <c r="H101" s="1396">
        <f t="shared" si="21"/>
        <v>96.693730179999989</v>
      </c>
      <c r="I101" s="1397"/>
      <c r="J101" s="1396"/>
      <c r="K101" s="1396"/>
      <c r="L101" s="1396"/>
      <c r="M101" s="1396"/>
      <c r="N101" s="749">
        <f t="shared" si="23"/>
        <v>0.33078056</v>
      </c>
      <c r="O101" s="1396">
        <v>0.33078056</v>
      </c>
      <c r="P101" s="1396">
        <v>0</v>
      </c>
      <c r="Q101" s="1396">
        <f t="shared" si="22"/>
        <v>0.33078056</v>
      </c>
      <c r="R101" s="1398"/>
    </row>
    <row r="102" spans="1:18" ht="14.25" customHeight="1" x14ac:dyDescent="0.2">
      <c r="D102" s="1395" t="s">
        <v>443</v>
      </c>
      <c r="E102" s="749">
        <f t="shared" si="20"/>
        <v>5.3329602449999998</v>
      </c>
      <c r="F102" s="1396">
        <v>5.3329602449999998</v>
      </c>
      <c r="G102" s="1396">
        <v>-3.7</v>
      </c>
      <c r="H102" s="1396">
        <f t="shared" si="21"/>
        <v>9.0329602449999999</v>
      </c>
      <c r="I102" s="1397"/>
      <c r="J102" s="1396"/>
      <c r="K102" s="1396"/>
      <c r="L102" s="1396"/>
      <c r="M102" s="1396"/>
      <c r="N102" s="749">
        <f t="shared" si="23"/>
        <v>0</v>
      </c>
      <c r="O102" s="1396">
        <v>0</v>
      </c>
      <c r="P102" s="1396">
        <v>0</v>
      </c>
      <c r="Q102" s="1396">
        <f t="shared" si="22"/>
        <v>0</v>
      </c>
      <c r="R102" s="1398"/>
    </row>
    <row r="103" spans="1:18" ht="14.25" customHeight="1" x14ac:dyDescent="0.2">
      <c r="A103" s="146" t="s">
        <v>444</v>
      </c>
      <c r="B103" s="146" t="s">
        <v>445</v>
      </c>
      <c r="D103" s="1395" t="s">
        <v>444</v>
      </c>
      <c r="E103" s="749">
        <f t="shared" si="20"/>
        <v>1080</v>
      </c>
      <c r="F103" s="1396">
        <v>1080</v>
      </c>
      <c r="G103" s="1396">
        <v>337.39999999999992</v>
      </c>
      <c r="H103" s="1396">
        <f t="shared" si="21"/>
        <v>742.60000000000014</v>
      </c>
      <c r="I103" s="1397"/>
      <c r="J103" s="1396"/>
      <c r="K103" s="1396"/>
      <c r="L103" s="1396"/>
      <c r="M103" s="1396"/>
      <c r="N103" s="749">
        <f t="shared" si="23"/>
        <v>7.0032867589999999</v>
      </c>
      <c r="O103" s="1396">
        <v>7.0032867589999999</v>
      </c>
      <c r="P103" s="1396">
        <v>2.1</v>
      </c>
      <c r="Q103" s="1396">
        <f t="shared" si="22"/>
        <v>4.9032867590000002</v>
      </c>
      <c r="R103" s="1398"/>
    </row>
    <row r="104" spans="1:18" ht="14.25" customHeight="1" x14ac:dyDescent="0.2">
      <c r="A104" s="146" t="s">
        <v>446</v>
      </c>
      <c r="B104" s="146" t="s">
        <v>447</v>
      </c>
      <c r="D104" s="1395" t="s">
        <v>446</v>
      </c>
      <c r="E104" s="749">
        <f t="shared" si="20"/>
        <v>312</v>
      </c>
      <c r="F104" s="1396">
        <v>312</v>
      </c>
      <c r="G104" s="1396">
        <v>179.5</v>
      </c>
      <c r="H104" s="1396">
        <f t="shared" si="21"/>
        <v>132.5</v>
      </c>
      <c r="I104" s="1397"/>
      <c r="J104" s="1396"/>
      <c r="K104" s="1396"/>
      <c r="L104" s="1396"/>
      <c r="M104" s="1396"/>
      <c r="N104" s="749">
        <f t="shared" si="23"/>
        <v>1.360475361</v>
      </c>
      <c r="O104" s="1396">
        <v>1.360475361</v>
      </c>
      <c r="P104" s="1396">
        <v>-112.8</v>
      </c>
      <c r="Q104" s="1396">
        <f t="shared" si="22"/>
        <v>114.160475361</v>
      </c>
      <c r="R104" s="1398"/>
    </row>
    <row r="105" spans="1:18" ht="14.25" customHeight="1" x14ac:dyDescent="0.2">
      <c r="D105" s="1395" t="s">
        <v>448</v>
      </c>
      <c r="E105" s="749">
        <f t="shared" si="20"/>
        <v>449</v>
      </c>
      <c r="F105" s="1396">
        <v>449</v>
      </c>
      <c r="G105" s="1396">
        <v>40.4</v>
      </c>
      <c r="H105" s="1396">
        <f t="shared" si="21"/>
        <v>408.6</v>
      </c>
      <c r="I105" s="1397"/>
      <c r="J105" s="1396"/>
      <c r="K105" s="1396"/>
      <c r="L105" s="1396"/>
      <c r="M105" s="1396"/>
      <c r="N105" s="749">
        <f t="shared" si="23"/>
        <v>4.7202724099999998</v>
      </c>
      <c r="O105" s="1396">
        <v>4.7202724099999998</v>
      </c>
      <c r="P105" s="1396">
        <v>0.2</v>
      </c>
      <c r="Q105" s="1396">
        <f t="shared" si="22"/>
        <v>4.5202724099999996</v>
      </c>
      <c r="R105" s="1398"/>
    </row>
    <row r="106" spans="1:18" ht="14.25" customHeight="1" x14ac:dyDescent="0.2">
      <c r="B106" s="146" t="s">
        <v>449</v>
      </c>
      <c r="D106" s="1395" t="s">
        <v>450</v>
      </c>
      <c r="E106" s="749">
        <f t="shared" si="20"/>
        <v>0</v>
      </c>
      <c r="F106" s="1396">
        <v>0</v>
      </c>
      <c r="G106" s="1396">
        <v>128.1</v>
      </c>
      <c r="H106" s="1396">
        <f t="shared" si="21"/>
        <v>-128.1</v>
      </c>
      <c r="I106" s="1397"/>
      <c r="J106" s="1396"/>
      <c r="K106" s="1396"/>
      <c r="L106" s="1396"/>
      <c r="M106" s="1396"/>
      <c r="N106" s="749">
        <f t="shared" si="23"/>
        <v>0</v>
      </c>
      <c r="O106" s="1396">
        <v>0</v>
      </c>
      <c r="P106" s="1396">
        <v>-23.1</v>
      </c>
      <c r="Q106" s="1396">
        <f t="shared" si="22"/>
        <v>23.1</v>
      </c>
      <c r="R106" s="1398"/>
    </row>
    <row r="107" spans="1:18" ht="14.25" customHeight="1" x14ac:dyDescent="0.2">
      <c r="D107" s="1395" t="s">
        <v>451</v>
      </c>
      <c r="E107" s="749">
        <f t="shared" si="20"/>
        <v>2570</v>
      </c>
      <c r="F107" s="1396">
        <v>2570</v>
      </c>
      <c r="G107" s="1396">
        <v>2111.4911230000002</v>
      </c>
      <c r="H107" s="1396">
        <f t="shared" si="21"/>
        <v>458.50887699999976</v>
      </c>
      <c r="I107" s="1397"/>
      <c r="J107" s="1396"/>
      <c r="K107" s="1396"/>
      <c r="L107" s="1396"/>
      <c r="M107" s="1396"/>
      <c r="N107" s="749">
        <f t="shared" si="23"/>
        <v>37.64</v>
      </c>
      <c r="O107" s="1396">
        <v>37.64</v>
      </c>
      <c r="P107" s="1396">
        <v>-27.600000000000009</v>
      </c>
      <c r="Q107" s="1396">
        <f t="shared" si="22"/>
        <v>65.240000000000009</v>
      </c>
      <c r="R107" s="1398"/>
    </row>
    <row r="108" spans="1:18" ht="14.25" customHeight="1" x14ac:dyDescent="0.2">
      <c r="A108" s="146" t="s">
        <v>452</v>
      </c>
      <c r="B108" s="146" t="s">
        <v>453</v>
      </c>
      <c r="D108" s="1395" t="s">
        <v>452</v>
      </c>
      <c r="E108" s="749">
        <f t="shared" si="20"/>
        <v>0</v>
      </c>
      <c r="F108" s="1396">
        <v>0</v>
      </c>
      <c r="G108" s="1396">
        <v>100.6</v>
      </c>
      <c r="H108" s="1396">
        <f t="shared" si="21"/>
        <v>-100.6</v>
      </c>
      <c r="I108" s="1397"/>
      <c r="J108" s="1396"/>
      <c r="K108" s="1396"/>
      <c r="L108" s="1396"/>
      <c r="M108" s="1396"/>
      <c r="N108" s="749">
        <f t="shared" si="23"/>
        <v>0</v>
      </c>
      <c r="O108" s="1396">
        <v>0</v>
      </c>
      <c r="P108" s="1396">
        <v>0</v>
      </c>
      <c r="Q108" s="1396">
        <f t="shared" si="22"/>
        <v>0</v>
      </c>
      <c r="R108" s="1398"/>
    </row>
    <row r="109" spans="1:18" ht="14.25" customHeight="1" x14ac:dyDescent="0.2">
      <c r="D109" s="1395" t="s">
        <v>454</v>
      </c>
      <c r="E109" s="749">
        <f t="shared" si="20"/>
        <v>5.770284126</v>
      </c>
      <c r="F109" s="1396">
        <v>5.770284126</v>
      </c>
      <c r="G109" s="1396">
        <v>20</v>
      </c>
      <c r="H109" s="1396">
        <f t="shared" si="21"/>
        <v>-14.229715874</v>
      </c>
      <c r="I109" s="1397"/>
      <c r="J109" s="1396"/>
      <c r="K109" s="1396"/>
      <c r="L109" s="1396"/>
      <c r="M109" s="1396"/>
      <c r="N109" s="749">
        <f t="shared" si="23"/>
        <v>3.1808699999999997E-3</v>
      </c>
      <c r="O109" s="1396">
        <v>3.1808699999999997E-3</v>
      </c>
      <c r="P109" s="1396">
        <v>0</v>
      </c>
      <c r="Q109" s="1396">
        <f t="shared" si="22"/>
        <v>3.1808699999999997E-3</v>
      </c>
      <c r="R109" s="1398"/>
    </row>
    <row r="110" spans="1:18" ht="14.25" customHeight="1" x14ac:dyDescent="0.2">
      <c r="A110" s="146" t="s">
        <v>455</v>
      </c>
      <c r="B110" s="146" t="s">
        <v>456</v>
      </c>
      <c r="D110" s="1395" t="s">
        <v>455</v>
      </c>
      <c r="E110" s="749">
        <f t="shared" si="20"/>
        <v>1070</v>
      </c>
      <c r="F110" s="1396">
        <v>1070</v>
      </c>
      <c r="G110" s="1396">
        <v>117.81952799999999</v>
      </c>
      <c r="H110" s="1396">
        <f t="shared" si="21"/>
        <v>952.18047200000001</v>
      </c>
      <c r="I110" s="1397"/>
      <c r="J110" s="1396"/>
      <c r="K110" s="1396"/>
      <c r="L110" s="1396"/>
      <c r="M110" s="1396"/>
      <c r="N110" s="749">
        <f t="shared" si="23"/>
        <v>2.1449218960000001</v>
      </c>
      <c r="O110" s="1396">
        <v>2.1449218960000001</v>
      </c>
      <c r="P110" s="1396">
        <v>-3.8</v>
      </c>
      <c r="Q110" s="1396">
        <f t="shared" si="22"/>
        <v>5.9449218960000003</v>
      </c>
      <c r="R110" s="1398"/>
    </row>
    <row r="111" spans="1:18" ht="14.25" customHeight="1" x14ac:dyDescent="0.2">
      <c r="D111" s="1395" t="s">
        <v>457</v>
      </c>
      <c r="E111" s="749">
        <f t="shared" si="20"/>
        <v>411</v>
      </c>
      <c r="F111" s="1396">
        <v>411</v>
      </c>
      <c r="G111" s="1396">
        <v>63.900000000000006</v>
      </c>
      <c r="H111" s="1396">
        <f t="shared" si="21"/>
        <v>347.1</v>
      </c>
      <c r="I111" s="1397"/>
      <c r="J111" s="1396"/>
      <c r="K111" s="1396"/>
      <c r="L111" s="1396"/>
      <c r="M111" s="1396"/>
      <c r="N111" s="749">
        <f t="shared" si="23"/>
        <v>83.050200189999998</v>
      </c>
      <c r="O111" s="1396">
        <v>83.050200189999998</v>
      </c>
      <c r="P111" s="1396">
        <v>-1.1000000000000001</v>
      </c>
      <c r="Q111" s="1396">
        <f t="shared" si="22"/>
        <v>84.150200189999993</v>
      </c>
      <c r="R111" s="1398"/>
    </row>
    <row r="112" spans="1:18" ht="14.25" customHeight="1" x14ac:dyDescent="0.2">
      <c r="D112" s="1395" t="s">
        <v>458</v>
      </c>
      <c r="E112" s="749">
        <f t="shared" si="20"/>
        <v>15.538265109999999</v>
      </c>
      <c r="F112" s="1396">
        <v>15.538265109999999</v>
      </c>
      <c r="G112" s="1396">
        <v>8.1999999999999993</v>
      </c>
      <c r="H112" s="1396">
        <f t="shared" si="21"/>
        <v>7.33826511</v>
      </c>
      <c r="I112" s="1397"/>
      <c r="J112" s="1396"/>
      <c r="K112" s="1396"/>
      <c r="L112" s="1396"/>
      <c r="M112" s="1396"/>
      <c r="N112" s="749">
        <f t="shared" si="23"/>
        <v>0</v>
      </c>
      <c r="O112" s="1396">
        <v>0</v>
      </c>
      <c r="P112" s="1396">
        <v>0.3</v>
      </c>
      <c r="Q112" s="1396">
        <f t="shared" si="22"/>
        <v>-0.3</v>
      </c>
      <c r="R112" s="1398"/>
    </row>
    <row r="113" spans="1:18" ht="14.25" customHeight="1" x14ac:dyDescent="0.2">
      <c r="A113" s="146" t="s">
        <v>459</v>
      </c>
      <c r="B113" s="146" t="s">
        <v>460</v>
      </c>
      <c r="D113" s="1395" t="s">
        <v>459</v>
      </c>
      <c r="E113" s="749">
        <f t="shared" si="20"/>
        <v>0</v>
      </c>
      <c r="F113" s="1396">
        <v>0</v>
      </c>
      <c r="G113" s="1396">
        <v>-3</v>
      </c>
      <c r="H113" s="1396">
        <f t="shared" si="21"/>
        <v>3</v>
      </c>
      <c r="I113" s="1397"/>
      <c r="J113" s="1396"/>
      <c r="K113" s="1396"/>
      <c r="L113" s="1396"/>
      <c r="M113" s="1396"/>
      <c r="N113" s="749">
        <f t="shared" si="23"/>
        <v>0</v>
      </c>
      <c r="O113" s="1396">
        <v>0</v>
      </c>
      <c r="P113" s="1396">
        <v>0</v>
      </c>
      <c r="Q113" s="1396">
        <f t="shared" si="22"/>
        <v>0</v>
      </c>
      <c r="R113" s="1398"/>
    </row>
    <row r="114" spans="1:18" ht="14.25" customHeight="1" x14ac:dyDescent="0.2">
      <c r="D114" s="1395" t="s">
        <v>461</v>
      </c>
      <c r="E114" s="749">
        <f t="shared" si="20"/>
        <v>0</v>
      </c>
      <c r="F114" s="1396">
        <v>0</v>
      </c>
      <c r="G114" s="1396">
        <v>-218</v>
      </c>
      <c r="H114" s="1396">
        <f t="shared" si="21"/>
        <v>218</v>
      </c>
      <c r="I114" s="1397"/>
      <c r="J114" s="1396"/>
      <c r="K114" s="1396"/>
      <c r="L114" s="1396"/>
      <c r="M114" s="1396"/>
      <c r="N114" s="749">
        <f t="shared" si="23"/>
        <v>0</v>
      </c>
      <c r="O114" s="1396">
        <v>0</v>
      </c>
      <c r="P114" s="1396">
        <v>0</v>
      </c>
      <c r="Q114" s="1396">
        <f t="shared" si="22"/>
        <v>0</v>
      </c>
      <c r="R114" s="1398"/>
    </row>
    <row r="115" spans="1:18" ht="14.25" customHeight="1" x14ac:dyDescent="0.2">
      <c r="D115" s="1395" t="s">
        <v>462</v>
      </c>
      <c r="E115" s="749">
        <f t="shared" si="20"/>
        <v>0</v>
      </c>
      <c r="F115" s="1396">
        <v>0</v>
      </c>
      <c r="G115" s="1396">
        <v>0</v>
      </c>
      <c r="H115" s="1396">
        <f t="shared" si="21"/>
        <v>0</v>
      </c>
      <c r="I115" s="1397"/>
      <c r="J115" s="1396"/>
      <c r="K115" s="1396"/>
      <c r="L115" s="1396"/>
      <c r="M115" s="1396"/>
      <c r="N115" s="749">
        <f t="shared" si="23"/>
        <v>0</v>
      </c>
      <c r="O115" s="1396">
        <v>0</v>
      </c>
      <c r="P115" s="1396">
        <v>0</v>
      </c>
      <c r="Q115" s="1396">
        <f t="shared" si="22"/>
        <v>0</v>
      </c>
      <c r="R115" s="1398"/>
    </row>
    <row r="116" spans="1:18" ht="14.25" customHeight="1" x14ac:dyDescent="0.2">
      <c r="A116" s="146" t="s">
        <v>463</v>
      </c>
      <c r="B116" s="146" t="s">
        <v>464</v>
      </c>
      <c r="D116" s="1395" t="s">
        <v>465</v>
      </c>
      <c r="E116" s="749">
        <f t="shared" si="20"/>
        <v>0</v>
      </c>
      <c r="F116" s="1396">
        <v>0</v>
      </c>
      <c r="G116" s="1396">
        <v>-126.89999999999998</v>
      </c>
      <c r="H116" s="1396">
        <f t="shared" si="21"/>
        <v>126.89999999999998</v>
      </c>
      <c r="I116" s="1397"/>
      <c r="J116" s="1396"/>
      <c r="K116" s="1396"/>
      <c r="L116" s="1396"/>
      <c r="M116" s="1396"/>
      <c r="N116" s="749">
        <f t="shared" si="23"/>
        <v>0</v>
      </c>
      <c r="O116" s="1396">
        <v>0</v>
      </c>
      <c r="P116" s="1396">
        <v>-10</v>
      </c>
      <c r="Q116" s="1396">
        <f t="shared" si="22"/>
        <v>10</v>
      </c>
      <c r="R116" s="1398"/>
    </row>
    <row r="117" spans="1:18" ht="14.25" customHeight="1" x14ac:dyDescent="0.2">
      <c r="A117" s="146" t="s">
        <v>466</v>
      </c>
      <c r="B117" s="146" t="s">
        <v>467</v>
      </c>
      <c r="D117" s="1395" t="s">
        <v>468</v>
      </c>
      <c r="E117" s="749">
        <f t="shared" si="20"/>
        <v>0</v>
      </c>
      <c r="F117" s="1396">
        <v>0</v>
      </c>
      <c r="G117" s="1396">
        <v>-292.5</v>
      </c>
      <c r="H117" s="1396">
        <f t="shared" si="21"/>
        <v>292.5</v>
      </c>
      <c r="I117" s="1397"/>
      <c r="J117" s="1396"/>
      <c r="K117" s="1396"/>
      <c r="L117" s="1396"/>
      <c r="M117" s="1396"/>
      <c r="N117" s="749">
        <f t="shared" si="23"/>
        <v>0</v>
      </c>
      <c r="O117" s="1396">
        <v>0</v>
      </c>
      <c r="P117" s="1396">
        <v>-82.3</v>
      </c>
      <c r="Q117" s="1396">
        <f t="shared" si="22"/>
        <v>82.3</v>
      </c>
      <c r="R117" s="1398"/>
    </row>
    <row r="118" spans="1:18" ht="14.25" customHeight="1" x14ac:dyDescent="0.2">
      <c r="A118" s="146" t="s">
        <v>469</v>
      </c>
      <c r="B118" s="146" t="s">
        <v>470</v>
      </c>
      <c r="D118" s="1395" t="s">
        <v>471</v>
      </c>
      <c r="E118" s="749">
        <f t="shared" si="20"/>
        <v>686</v>
      </c>
      <c r="F118" s="1396">
        <v>686</v>
      </c>
      <c r="G118" s="1396">
        <v>198.8</v>
      </c>
      <c r="H118" s="1396">
        <f t="shared" si="21"/>
        <v>487.2</v>
      </c>
      <c r="I118" s="1397"/>
      <c r="J118" s="1396"/>
      <c r="K118" s="1396"/>
      <c r="L118" s="1396"/>
      <c r="M118" s="1396"/>
      <c r="N118" s="749">
        <f t="shared" si="23"/>
        <v>15.736626509999999</v>
      </c>
      <c r="O118" s="1396">
        <v>15.736626509999999</v>
      </c>
      <c r="P118" s="1396">
        <v>-11</v>
      </c>
      <c r="Q118" s="1396">
        <f t="shared" si="22"/>
        <v>26.736626510000001</v>
      </c>
      <c r="R118" s="1398"/>
    </row>
    <row r="119" spans="1:18" ht="14.25" customHeight="1" x14ac:dyDescent="0.2">
      <c r="D119" s="1395" t="s">
        <v>472</v>
      </c>
      <c r="E119" s="749">
        <f t="shared" si="20"/>
        <v>-164</v>
      </c>
      <c r="F119" s="1396">
        <v>-164</v>
      </c>
      <c r="G119" s="1396">
        <v>85.403986706843654</v>
      </c>
      <c r="H119" s="1396">
        <f t="shared" si="21"/>
        <v>-249.40398670684365</v>
      </c>
      <c r="I119" s="1397"/>
      <c r="J119" s="1396"/>
      <c r="K119" s="1396"/>
      <c r="L119" s="1396"/>
      <c r="M119" s="1396"/>
      <c r="N119" s="749">
        <f t="shared" si="23"/>
        <v>-213</v>
      </c>
      <c r="O119" s="1396">
        <v>-213</v>
      </c>
      <c r="P119" s="1396">
        <v>107.8</v>
      </c>
      <c r="Q119" s="1396">
        <f t="shared" si="22"/>
        <v>-320.8</v>
      </c>
      <c r="R119" s="1398"/>
    </row>
    <row r="120" spans="1:18" ht="14.25" customHeight="1" x14ac:dyDescent="0.2">
      <c r="D120" s="1395" t="s">
        <v>473</v>
      </c>
      <c r="E120" s="749">
        <f t="shared" si="20"/>
        <v>7.4274139100000003</v>
      </c>
      <c r="F120" s="1396">
        <v>7.4274139100000003</v>
      </c>
      <c r="G120" s="1396">
        <v>13.6</v>
      </c>
      <c r="H120" s="1396">
        <f t="shared" si="21"/>
        <v>-6.1725860899999994</v>
      </c>
      <c r="I120" s="1397"/>
      <c r="J120" s="1396"/>
      <c r="K120" s="1396"/>
      <c r="L120" s="1396"/>
      <c r="M120" s="1396"/>
      <c r="N120" s="749">
        <f t="shared" si="23"/>
        <v>0</v>
      </c>
      <c r="O120" s="1396">
        <v>0</v>
      </c>
      <c r="P120" s="1396">
        <v>1</v>
      </c>
      <c r="Q120" s="1396">
        <f t="shared" si="22"/>
        <v>-1</v>
      </c>
      <c r="R120" s="1398"/>
    </row>
    <row r="121" spans="1:18" ht="14.25" customHeight="1" x14ac:dyDescent="0.2">
      <c r="D121" s="1395" t="s">
        <v>474</v>
      </c>
      <c r="E121" s="749">
        <f t="shared" si="20"/>
        <v>0</v>
      </c>
      <c r="F121" s="1396">
        <v>0</v>
      </c>
      <c r="G121" s="1396">
        <v>3.7</v>
      </c>
      <c r="H121" s="1396">
        <f t="shared" si="21"/>
        <v>-3.7</v>
      </c>
      <c r="I121" s="1397"/>
      <c r="J121" s="1396"/>
      <c r="K121" s="1396"/>
      <c r="L121" s="1396"/>
      <c r="M121" s="1396"/>
      <c r="N121" s="749">
        <f t="shared" si="23"/>
        <v>0</v>
      </c>
      <c r="O121" s="1396">
        <v>0</v>
      </c>
      <c r="P121" s="1396">
        <v>-0.4</v>
      </c>
      <c r="Q121" s="1396">
        <f t="shared" si="22"/>
        <v>0.4</v>
      </c>
      <c r="R121" s="1398"/>
    </row>
    <row r="122" spans="1:18" ht="14.25" customHeight="1" x14ac:dyDescent="0.2">
      <c r="A122" s="147" t="s">
        <v>282</v>
      </c>
      <c r="B122" s="162" t="s">
        <v>475</v>
      </c>
      <c r="D122" s="1395" t="s">
        <v>282</v>
      </c>
      <c r="E122" s="749">
        <f t="shared" si="20"/>
        <v>2340</v>
      </c>
      <c r="F122" s="1396">
        <v>2340</v>
      </c>
      <c r="G122" s="1396">
        <v>428.1</v>
      </c>
      <c r="H122" s="1396">
        <f t="shared" si="21"/>
        <v>1911.9</v>
      </c>
      <c r="I122" s="1397"/>
      <c r="J122" s="1396"/>
      <c r="K122" s="1396"/>
      <c r="L122" s="1396"/>
      <c r="M122" s="1396"/>
      <c r="N122" s="749">
        <f t="shared" si="23"/>
        <v>0</v>
      </c>
      <c r="O122" s="1396">
        <v>0</v>
      </c>
      <c r="P122" s="1396">
        <v>0.7</v>
      </c>
      <c r="Q122" s="1396">
        <f t="shared" si="22"/>
        <v>-0.7</v>
      </c>
      <c r="R122" s="1398"/>
    </row>
    <row r="123" spans="1:18" ht="14.25" customHeight="1" x14ac:dyDescent="0.2">
      <c r="D123" s="1395" t="s">
        <v>276</v>
      </c>
      <c r="E123" s="749">
        <f t="shared" ref="E123:E154" si="24">+F123</f>
        <v>601</v>
      </c>
      <c r="F123" s="1396">
        <v>601</v>
      </c>
      <c r="G123" s="1396">
        <v>423.10000000000008</v>
      </c>
      <c r="H123" s="1396">
        <f t="shared" ref="H123:H154" si="25">+E123-G123</f>
        <v>177.89999999999992</v>
      </c>
      <c r="I123" s="1397"/>
      <c r="J123" s="1396"/>
      <c r="K123" s="1396"/>
      <c r="L123" s="1396"/>
      <c r="M123" s="1396"/>
      <c r="N123" s="749">
        <f t="shared" si="23"/>
        <v>0</v>
      </c>
      <c r="O123" s="1396">
        <v>0</v>
      </c>
      <c r="P123" s="1396">
        <v>-26.9</v>
      </c>
      <c r="Q123" s="1396">
        <f t="shared" ref="Q123:Q154" si="26">+N123-P123</f>
        <v>26.9</v>
      </c>
      <c r="R123" s="1398"/>
    </row>
    <row r="124" spans="1:18" ht="14.25" customHeight="1" x14ac:dyDescent="0.2">
      <c r="D124" s="1395" t="s">
        <v>286</v>
      </c>
      <c r="E124" s="749">
        <f t="shared" si="24"/>
        <v>4370</v>
      </c>
      <c r="F124" s="1396">
        <v>4370</v>
      </c>
      <c r="G124" s="1396">
        <v>932.97225921654695</v>
      </c>
      <c r="H124" s="1396">
        <f t="shared" si="25"/>
        <v>3437.0277407834528</v>
      </c>
      <c r="I124" s="1397"/>
      <c r="J124" s="1396"/>
      <c r="K124" s="1396"/>
      <c r="L124" s="1396"/>
      <c r="M124" s="1396"/>
      <c r="N124" s="749">
        <f t="shared" si="23"/>
        <v>153</v>
      </c>
      <c r="O124" s="1396">
        <v>153</v>
      </c>
      <c r="P124" s="1396">
        <v>5.2</v>
      </c>
      <c r="Q124" s="1396">
        <f t="shared" si="26"/>
        <v>147.80000000000001</v>
      </c>
      <c r="R124" s="1398"/>
    </row>
    <row r="125" spans="1:18" ht="14.25" customHeight="1" x14ac:dyDescent="0.2">
      <c r="A125" s="147" t="s">
        <v>476</v>
      </c>
      <c r="B125" s="162" t="s">
        <v>477</v>
      </c>
      <c r="D125" s="1395" t="s">
        <v>476</v>
      </c>
      <c r="E125" s="749">
        <f t="shared" si="24"/>
        <v>727</v>
      </c>
      <c r="F125" s="1396">
        <v>727</v>
      </c>
      <c r="G125" s="1396">
        <v>113.9</v>
      </c>
      <c r="H125" s="1396">
        <f t="shared" si="25"/>
        <v>613.1</v>
      </c>
      <c r="I125" s="1397"/>
      <c r="J125" s="1396"/>
      <c r="K125" s="1396"/>
      <c r="L125" s="1396"/>
      <c r="M125" s="1396"/>
      <c r="N125" s="749">
        <f t="shared" si="23"/>
        <v>2.0593841930000001</v>
      </c>
      <c r="O125" s="1396">
        <v>2.0593841930000001</v>
      </c>
      <c r="P125" s="1396">
        <v>0</v>
      </c>
      <c r="Q125" s="1396">
        <f t="shared" si="26"/>
        <v>2.0593841930000001</v>
      </c>
      <c r="R125" s="1398"/>
    </row>
    <row r="126" spans="1:18" ht="14.25" customHeight="1" x14ac:dyDescent="0.2">
      <c r="A126" s="147" t="s">
        <v>478</v>
      </c>
      <c r="B126" s="162" t="s">
        <v>479</v>
      </c>
      <c r="D126" s="1395" t="s">
        <v>478</v>
      </c>
      <c r="E126" s="749">
        <f t="shared" si="24"/>
        <v>0</v>
      </c>
      <c r="F126" s="1396">
        <v>0</v>
      </c>
      <c r="G126" s="1396">
        <v>30.9</v>
      </c>
      <c r="H126" s="1396">
        <f t="shared" si="25"/>
        <v>-30.9</v>
      </c>
      <c r="I126" s="1397"/>
      <c r="J126" s="1396"/>
      <c r="K126" s="1396"/>
      <c r="L126" s="1396"/>
      <c r="M126" s="1396"/>
      <c r="N126" s="749">
        <f t="shared" si="23"/>
        <v>0</v>
      </c>
      <c r="O126" s="1396">
        <v>0</v>
      </c>
      <c r="P126" s="1396">
        <v>0</v>
      </c>
      <c r="Q126" s="1396">
        <f t="shared" si="26"/>
        <v>0</v>
      </c>
      <c r="R126" s="1398"/>
    </row>
    <row r="127" spans="1:18" ht="14.25" customHeight="1" x14ac:dyDescent="0.2">
      <c r="D127" s="1395" t="s">
        <v>480</v>
      </c>
      <c r="E127" s="749">
        <f t="shared" si="24"/>
        <v>0</v>
      </c>
      <c r="F127" s="1396">
        <v>0</v>
      </c>
      <c r="G127" s="1396">
        <v>3.2</v>
      </c>
      <c r="H127" s="1396">
        <f t="shared" si="25"/>
        <v>-3.2</v>
      </c>
      <c r="I127" s="1397"/>
      <c r="J127" s="1396"/>
      <c r="K127" s="1396"/>
      <c r="L127" s="1396"/>
      <c r="M127" s="1396"/>
      <c r="N127" s="749">
        <f t="shared" si="23"/>
        <v>0</v>
      </c>
      <c r="O127" s="1396">
        <v>0</v>
      </c>
      <c r="P127" s="1396">
        <v>-0.1</v>
      </c>
      <c r="Q127" s="1396">
        <f t="shared" si="26"/>
        <v>0.1</v>
      </c>
      <c r="R127" s="1398"/>
    </row>
    <row r="128" spans="1:18" ht="14.25" customHeight="1" x14ac:dyDescent="0.2">
      <c r="D128" s="1395" t="s">
        <v>481</v>
      </c>
      <c r="E128" s="749">
        <f t="shared" si="24"/>
        <v>11.99284141</v>
      </c>
      <c r="F128" s="1396">
        <v>11.99284141</v>
      </c>
      <c r="G128" s="1396">
        <v>222.90557802259099</v>
      </c>
      <c r="H128" s="1396">
        <f t="shared" si="25"/>
        <v>-210.91273661259098</v>
      </c>
      <c r="I128" s="1397"/>
      <c r="J128" s="1396"/>
      <c r="K128" s="1396"/>
      <c r="L128" s="1396"/>
      <c r="M128" s="1396"/>
      <c r="N128" s="749">
        <f t="shared" si="23"/>
        <v>0</v>
      </c>
      <c r="O128" s="1396">
        <v>0</v>
      </c>
      <c r="P128" s="1396">
        <v>-0.2</v>
      </c>
      <c r="Q128" s="1396">
        <f t="shared" si="26"/>
        <v>0.2</v>
      </c>
      <c r="R128" s="1398"/>
    </row>
    <row r="129" spans="1:18" ht="14.25" customHeight="1" x14ac:dyDescent="0.2">
      <c r="A129" s="147" t="s">
        <v>482</v>
      </c>
      <c r="B129" s="162" t="s">
        <v>483</v>
      </c>
      <c r="D129" s="1395" t="s">
        <v>484</v>
      </c>
      <c r="E129" s="749">
        <f t="shared" si="24"/>
        <v>0</v>
      </c>
      <c r="F129" s="1396">
        <v>0</v>
      </c>
      <c r="G129" s="1396">
        <v>21.064018702654398</v>
      </c>
      <c r="H129" s="1396">
        <f t="shared" si="25"/>
        <v>-21.064018702654398</v>
      </c>
      <c r="I129" s="1397"/>
      <c r="J129" s="1396"/>
      <c r="K129" s="1396"/>
      <c r="L129" s="1396"/>
      <c r="M129" s="1396"/>
      <c r="N129" s="749">
        <f t="shared" si="23"/>
        <v>0</v>
      </c>
      <c r="O129" s="1396">
        <v>0</v>
      </c>
      <c r="P129" s="1396">
        <v>-7.6898361664977006</v>
      </c>
      <c r="Q129" s="1396">
        <f t="shared" si="26"/>
        <v>7.6898361664977006</v>
      </c>
      <c r="R129" s="1398"/>
    </row>
    <row r="130" spans="1:18" ht="14.25" customHeight="1" x14ac:dyDescent="0.2">
      <c r="D130" s="1395" t="s">
        <v>485</v>
      </c>
      <c r="E130" s="749">
        <f t="shared" si="24"/>
        <v>209</v>
      </c>
      <c r="F130" s="1396">
        <v>209</v>
      </c>
      <c r="G130" s="1396">
        <v>154.67826282966402</v>
      </c>
      <c r="H130" s="1396">
        <f t="shared" si="25"/>
        <v>54.321737170335979</v>
      </c>
      <c r="I130" s="1397"/>
      <c r="J130" s="1396"/>
      <c r="K130" s="1396"/>
      <c r="L130" s="1396"/>
      <c r="M130" s="1396"/>
      <c r="N130" s="749">
        <f t="shared" si="23"/>
        <v>0</v>
      </c>
      <c r="O130" s="1396">
        <v>0</v>
      </c>
      <c r="P130" s="1396">
        <v>0</v>
      </c>
      <c r="Q130" s="1396">
        <f t="shared" si="26"/>
        <v>0</v>
      </c>
      <c r="R130" s="1398"/>
    </row>
    <row r="131" spans="1:18" ht="14.25" customHeight="1" x14ac:dyDescent="0.2">
      <c r="D131" s="1395" t="s">
        <v>486</v>
      </c>
      <c r="E131" s="749">
        <f t="shared" si="24"/>
        <v>0</v>
      </c>
      <c r="F131" s="1396">
        <v>0</v>
      </c>
      <c r="G131" s="1396">
        <v>-63.7</v>
      </c>
      <c r="H131" s="1396">
        <f t="shared" si="25"/>
        <v>63.7</v>
      </c>
      <c r="I131" s="1397"/>
      <c r="J131" s="1396"/>
      <c r="K131" s="1396"/>
      <c r="L131" s="1396"/>
      <c r="M131" s="1396"/>
      <c r="N131" s="749">
        <f t="shared" si="23"/>
        <v>0</v>
      </c>
      <c r="O131" s="1396">
        <v>0</v>
      </c>
      <c r="P131" s="1396">
        <v>-1.1000000000000001</v>
      </c>
      <c r="Q131" s="1396">
        <f t="shared" si="26"/>
        <v>1.1000000000000001</v>
      </c>
      <c r="R131" s="1398"/>
    </row>
    <row r="132" spans="1:18" ht="14.25" customHeight="1" x14ac:dyDescent="0.2">
      <c r="A132" s="147" t="s">
        <v>487</v>
      </c>
      <c r="B132" s="162" t="s">
        <v>488</v>
      </c>
      <c r="D132" s="1395" t="s">
        <v>487</v>
      </c>
      <c r="E132" s="749">
        <f t="shared" si="24"/>
        <v>5.7992729499999998</v>
      </c>
      <c r="F132" s="1396">
        <v>5.7992729499999998</v>
      </c>
      <c r="G132" s="1396">
        <v>-4.2</v>
      </c>
      <c r="H132" s="1396">
        <f t="shared" si="25"/>
        <v>9.9992729499999999</v>
      </c>
      <c r="I132" s="1397"/>
      <c r="J132" s="1396"/>
      <c r="K132" s="1396"/>
      <c r="L132" s="1396"/>
      <c r="M132" s="1396"/>
      <c r="N132" s="749">
        <f t="shared" si="23"/>
        <v>-4.5506935510000002</v>
      </c>
      <c r="O132" s="1396">
        <v>-4.5506935510000002</v>
      </c>
      <c r="P132" s="1396">
        <v>0</v>
      </c>
      <c r="Q132" s="1396">
        <f t="shared" si="26"/>
        <v>-4.5506935510000002</v>
      </c>
      <c r="R132" s="1398"/>
    </row>
    <row r="133" spans="1:18" ht="14.25" customHeight="1" x14ac:dyDescent="0.2">
      <c r="D133" s="1395" t="s">
        <v>489</v>
      </c>
      <c r="E133" s="749">
        <f t="shared" si="24"/>
        <v>592</v>
      </c>
      <c r="F133" s="1396">
        <v>592</v>
      </c>
      <c r="G133" s="1396">
        <v>100.3</v>
      </c>
      <c r="H133" s="1396">
        <f t="shared" si="25"/>
        <v>491.7</v>
      </c>
      <c r="I133" s="1397"/>
      <c r="J133" s="1396"/>
      <c r="K133" s="1396"/>
      <c r="L133" s="1396"/>
      <c r="M133" s="1396"/>
      <c r="N133" s="749">
        <f t="shared" si="23"/>
        <v>213</v>
      </c>
      <c r="O133" s="1396">
        <v>213</v>
      </c>
      <c r="P133" s="1396">
        <v>4.2</v>
      </c>
      <c r="Q133" s="1396">
        <f t="shared" si="26"/>
        <v>208.8</v>
      </c>
      <c r="R133" s="1398"/>
    </row>
    <row r="134" spans="1:18" ht="14.25" customHeight="1" x14ac:dyDescent="0.2">
      <c r="D134" s="1395" t="s">
        <v>490</v>
      </c>
      <c r="E134" s="749">
        <f t="shared" si="24"/>
        <v>813</v>
      </c>
      <c r="F134" s="1396">
        <v>813</v>
      </c>
      <c r="G134" s="1396">
        <v>220.7</v>
      </c>
      <c r="H134" s="1396">
        <f t="shared" si="25"/>
        <v>592.29999999999995</v>
      </c>
      <c r="I134" s="1397"/>
      <c r="J134" s="1396"/>
      <c r="K134" s="1396"/>
      <c r="L134" s="1396"/>
      <c r="M134" s="1396"/>
      <c r="N134" s="749">
        <f t="shared" si="23"/>
        <v>0</v>
      </c>
      <c r="O134" s="1396">
        <v>0</v>
      </c>
      <c r="P134" s="1396">
        <v>-21.5</v>
      </c>
      <c r="Q134" s="1396">
        <f t="shared" si="26"/>
        <v>21.5</v>
      </c>
      <c r="R134" s="1398"/>
    </row>
    <row r="135" spans="1:18" ht="14.25" customHeight="1" x14ac:dyDescent="0.2">
      <c r="D135" s="1395" t="s">
        <v>88</v>
      </c>
      <c r="E135" s="749">
        <f t="shared" si="24"/>
        <v>0</v>
      </c>
      <c r="F135" s="1396">
        <v>0</v>
      </c>
      <c r="G135" s="1396">
        <v>15.2</v>
      </c>
      <c r="H135" s="1396">
        <f t="shared" si="25"/>
        <v>-15.2</v>
      </c>
      <c r="I135" s="1397"/>
      <c r="J135" s="1396"/>
      <c r="K135" s="1396"/>
      <c r="L135" s="1396"/>
      <c r="M135" s="1396"/>
      <c r="N135" s="749">
        <f t="shared" si="23"/>
        <v>0</v>
      </c>
      <c r="O135" s="1396">
        <v>0</v>
      </c>
      <c r="P135" s="1396">
        <v>0</v>
      </c>
      <c r="Q135" s="1396">
        <f t="shared" si="26"/>
        <v>0</v>
      </c>
      <c r="R135" s="1398"/>
    </row>
    <row r="136" spans="1:18" ht="14.25" customHeight="1" x14ac:dyDescent="0.2">
      <c r="D136" s="1395" t="s">
        <v>491</v>
      </c>
      <c r="E136" s="749">
        <f t="shared" si="24"/>
        <v>1310</v>
      </c>
      <c r="F136" s="1396">
        <v>1310</v>
      </c>
      <c r="G136" s="1396">
        <v>253.10000000000002</v>
      </c>
      <c r="H136" s="1396">
        <f t="shared" si="25"/>
        <v>1056.9000000000001</v>
      </c>
      <c r="I136" s="1397"/>
      <c r="J136" s="1396"/>
      <c r="K136" s="1396"/>
      <c r="L136" s="1396"/>
      <c r="M136" s="1396"/>
      <c r="N136" s="749">
        <f t="shared" si="23"/>
        <v>144</v>
      </c>
      <c r="O136" s="1396">
        <v>144</v>
      </c>
      <c r="P136" s="1396">
        <v>165.00000000000011</v>
      </c>
      <c r="Q136" s="1396">
        <f t="shared" si="26"/>
        <v>-21.000000000000114</v>
      </c>
      <c r="R136" s="1398"/>
    </row>
    <row r="137" spans="1:18" ht="14.25" customHeight="1" x14ac:dyDescent="0.2">
      <c r="B137" s="1403"/>
      <c r="D137" s="1395" t="s">
        <v>492</v>
      </c>
      <c r="E137" s="749">
        <f t="shared" si="24"/>
        <v>109</v>
      </c>
      <c r="F137" s="1396">
        <v>109</v>
      </c>
      <c r="G137" s="1396">
        <v>-1750.6</v>
      </c>
      <c r="H137" s="1396">
        <f t="shared" si="25"/>
        <v>1859.6</v>
      </c>
      <c r="I137" s="1397"/>
      <c r="J137" s="1396"/>
      <c r="K137" s="1396"/>
      <c r="L137" s="1396"/>
      <c r="M137" s="1396"/>
      <c r="N137" s="749">
        <f t="shared" si="23"/>
        <v>0</v>
      </c>
      <c r="O137" s="1396">
        <v>0</v>
      </c>
      <c r="P137" s="1396">
        <v>0</v>
      </c>
      <c r="Q137" s="1396">
        <f t="shared" si="26"/>
        <v>0</v>
      </c>
      <c r="R137" s="1398"/>
    </row>
    <row r="138" spans="1:18" ht="14.25" customHeight="1" x14ac:dyDescent="0.2">
      <c r="A138" s="147" t="s">
        <v>493</v>
      </c>
      <c r="B138" s="162" t="s">
        <v>494</v>
      </c>
      <c r="D138" s="1395" t="s">
        <v>493</v>
      </c>
      <c r="E138" s="749">
        <f t="shared" si="24"/>
        <v>1.2252778819999999</v>
      </c>
      <c r="F138" s="1396">
        <v>1.2252778819999999</v>
      </c>
      <c r="G138" s="1396">
        <v>4.9000000000000004</v>
      </c>
      <c r="H138" s="1396">
        <f t="shared" si="25"/>
        <v>-3.6747221180000005</v>
      </c>
      <c r="I138" s="1397"/>
      <c r="J138" s="1396"/>
      <c r="K138" s="1396"/>
      <c r="L138" s="1396"/>
      <c r="M138" s="1396"/>
      <c r="N138" s="749">
        <f t="shared" si="23"/>
        <v>0.43452567999999997</v>
      </c>
      <c r="O138" s="1396">
        <v>0.43452567999999997</v>
      </c>
      <c r="P138" s="1396">
        <v>-2.2000000000000002</v>
      </c>
      <c r="Q138" s="1396">
        <f t="shared" si="26"/>
        <v>2.6345256800000003</v>
      </c>
      <c r="R138" s="1398"/>
    </row>
    <row r="139" spans="1:18" ht="14.25" customHeight="1" x14ac:dyDescent="0.2">
      <c r="D139" s="1395" t="s">
        <v>495</v>
      </c>
      <c r="E139" s="749">
        <f t="shared" si="24"/>
        <v>5.8369999999999997</v>
      </c>
      <c r="F139" s="1396">
        <v>5.8369999999999997</v>
      </c>
      <c r="G139" s="1396">
        <v>25.5</v>
      </c>
      <c r="H139" s="1396">
        <f t="shared" si="25"/>
        <v>-19.663</v>
      </c>
      <c r="I139" s="1397"/>
      <c r="J139" s="1396"/>
      <c r="K139" s="1396"/>
      <c r="L139" s="1396"/>
      <c r="M139" s="1396"/>
      <c r="N139" s="749">
        <f t="shared" si="23"/>
        <v>0</v>
      </c>
      <c r="O139" s="1396">
        <v>0</v>
      </c>
      <c r="P139" s="1396">
        <v>0.1</v>
      </c>
      <c r="Q139" s="1396">
        <f t="shared" si="26"/>
        <v>-0.1</v>
      </c>
      <c r="R139" s="1398"/>
    </row>
    <row r="140" spans="1:18" ht="14.25" customHeight="1" x14ac:dyDescent="0.2">
      <c r="D140" s="1395" t="s">
        <v>496</v>
      </c>
      <c r="E140" s="749">
        <f t="shared" si="24"/>
        <v>0</v>
      </c>
      <c r="F140" s="1396">
        <v>0</v>
      </c>
      <c r="G140" s="1396">
        <v>25</v>
      </c>
      <c r="H140" s="1396">
        <f t="shared" si="25"/>
        <v>-25</v>
      </c>
      <c r="I140" s="1397"/>
      <c r="J140" s="1396"/>
      <c r="K140" s="1396"/>
      <c r="L140" s="1396"/>
      <c r="M140" s="1396"/>
      <c r="N140" s="749">
        <f t="shared" si="23"/>
        <v>0</v>
      </c>
      <c r="O140" s="1396">
        <v>0</v>
      </c>
      <c r="P140" s="1396">
        <v>-1</v>
      </c>
      <c r="Q140" s="1396">
        <f t="shared" si="26"/>
        <v>1</v>
      </c>
      <c r="R140" s="1398"/>
    </row>
    <row r="141" spans="1:18" ht="14.25" customHeight="1" x14ac:dyDescent="0.2">
      <c r="D141" s="1395" t="s">
        <v>280</v>
      </c>
      <c r="E141" s="749">
        <f t="shared" si="24"/>
        <v>1180</v>
      </c>
      <c r="F141" s="1396">
        <v>1180</v>
      </c>
      <c r="G141" s="1396">
        <v>96.4</v>
      </c>
      <c r="H141" s="1396">
        <f t="shared" si="25"/>
        <v>1083.5999999999999</v>
      </c>
      <c r="I141" s="1397"/>
      <c r="J141" s="1396"/>
      <c r="K141" s="1396"/>
      <c r="L141" s="1396"/>
      <c r="M141" s="1396"/>
      <c r="N141" s="749">
        <f t="shared" si="23"/>
        <v>0</v>
      </c>
      <c r="O141" s="1396">
        <v>0</v>
      </c>
      <c r="P141" s="1396">
        <v>0</v>
      </c>
      <c r="Q141" s="1396">
        <f t="shared" si="26"/>
        <v>0</v>
      </c>
      <c r="R141" s="1398"/>
    </row>
    <row r="142" spans="1:18" ht="14.25" customHeight="1" x14ac:dyDescent="0.2">
      <c r="D142" s="1395" t="s">
        <v>292</v>
      </c>
      <c r="E142" s="749">
        <f t="shared" si="24"/>
        <v>18600</v>
      </c>
      <c r="F142" s="1396">
        <v>18600</v>
      </c>
      <c r="G142" s="1396">
        <v>7111.8207493907667</v>
      </c>
      <c r="H142" s="1396">
        <f t="shared" si="25"/>
        <v>11488.179250609233</v>
      </c>
      <c r="I142" s="1397"/>
      <c r="J142" s="1396"/>
      <c r="K142" s="1396"/>
      <c r="L142" s="1396"/>
      <c r="M142" s="1396"/>
      <c r="N142" s="749">
        <f t="shared" si="23"/>
        <v>88.28855978</v>
      </c>
      <c r="O142" s="1396">
        <v>88.28855978</v>
      </c>
      <c r="P142" s="1396">
        <v>-138.1976066683722</v>
      </c>
      <c r="Q142" s="1396">
        <f t="shared" si="26"/>
        <v>226.48616644837222</v>
      </c>
      <c r="R142" s="1398"/>
    </row>
    <row r="143" spans="1:18" ht="14.25" customHeight="1" x14ac:dyDescent="0.2">
      <c r="B143" s="161" t="s">
        <v>497</v>
      </c>
      <c r="D143" s="1395" t="s">
        <v>498</v>
      </c>
      <c r="E143" s="749">
        <f t="shared" si="24"/>
        <v>0</v>
      </c>
      <c r="F143" s="1396">
        <v>0</v>
      </c>
      <c r="G143" s="1396">
        <v>653.79999999999984</v>
      </c>
      <c r="H143" s="1396">
        <f t="shared" si="25"/>
        <v>-653.79999999999984</v>
      </c>
      <c r="I143" s="1397"/>
      <c r="J143" s="1396"/>
      <c r="K143" s="1396"/>
      <c r="L143" s="1396"/>
      <c r="M143" s="1396"/>
      <c r="N143" s="749">
        <f t="shared" si="23"/>
        <v>0</v>
      </c>
      <c r="O143" s="1396">
        <v>0</v>
      </c>
      <c r="P143" s="1396">
        <v>-32.1</v>
      </c>
      <c r="Q143" s="1396">
        <f t="shared" si="26"/>
        <v>32.1</v>
      </c>
      <c r="R143" s="1398"/>
    </row>
    <row r="144" spans="1:18" ht="14.25" customHeight="1" x14ac:dyDescent="0.2">
      <c r="D144" s="1395" t="s">
        <v>499</v>
      </c>
      <c r="E144" s="749">
        <f t="shared" si="24"/>
        <v>104</v>
      </c>
      <c r="F144" s="1396">
        <v>104</v>
      </c>
      <c r="G144" s="1396">
        <v>0</v>
      </c>
      <c r="H144" s="1396">
        <f t="shared" si="25"/>
        <v>104</v>
      </c>
      <c r="I144" s="1397"/>
      <c r="J144" s="1396"/>
      <c r="K144" s="1396"/>
      <c r="L144" s="1396"/>
      <c r="M144" s="1396"/>
      <c r="N144" s="749">
        <f t="shared" si="23"/>
        <v>23.6</v>
      </c>
      <c r="O144" s="1396">
        <v>23.6</v>
      </c>
      <c r="P144" s="1396">
        <v>0.1</v>
      </c>
      <c r="Q144" s="1396">
        <f t="shared" si="26"/>
        <v>23.5</v>
      </c>
      <c r="R144" s="1398"/>
    </row>
    <row r="145" spans="1:18" ht="14.25" customHeight="1" x14ac:dyDescent="0.2">
      <c r="D145" s="1395" t="s">
        <v>500</v>
      </c>
      <c r="E145" s="749">
        <f t="shared" si="24"/>
        <v>244</v>
      </c>
      <c r="F145" s="1396">
        <v>244</v>
      </c>
      <c r="G145" s="1396">
        <v>123.3</v>
      </c>
      <c r="H145" s="1396">
        <f t="shared" si="25"/>
        <v>120.7</v>
      </c>
      <c r="I145" s="1397"/>
      <c r="J145" s="1396"/>
      <c r="K145" s="1396"/>
      <c r="L145" s="1396"/>
      <c r="M145" s="1396"/>
      <c r="N145" s="749">
        <f t="shared" si="23"/>
        <v>22.79321882</v>
      </c>
      <c r="O145" s="1396">
        <v>22.79321882</v>
      </c>
      <c r="P145" s="1396">
        <v>-0.7</v>
      </c>
      <c r="Q145" s="1396">
        <f t="shared" si="26"/>
        <v>23.493218819999999</v>
      </c>
      <c r="R145" s="1398"/>
    </row>
    <row r="146" spans="1:18" ht="14.25" customHeight="1" x14ac:dyDescent="0.2">
      <c r="D146" s="1395" t="s">
        <v>501</v>
      </c>
      <c r="E146" s="749">
        <f t="shared" si="24"/>
        <v>794</v>
      </c>
      <c r="F146" s="1396">
        <v>794</v>
      </c>
      <c r="G146" s="1396">
        <v>101.6</v>
      </c>
      <c r="H146" s="1396">
        <f t="shared" si="25"/>
        <v>692.4</v>
      </c>
      <c r="I146" s="1397"/>
      <c r="J146" s="1396"/>
      <c r="K146" s="1396"/>
      <c r="L146" s="1396"/>
      <c r="M146" s="1396"/>
      <c r="N146" s="749">
        <f t="shared" si="23"/>
        <v>0</v>
      </c>
      <c r="O146" s="1396">
        <v>0</v>
      </c>
      <c r="P146" s="1396">
        <v>7.5</v>
      </c>
      <c r="Q146" s="1396">
        <f t="shared" si="26"/>
        <v>-7.5</v>
      </c>
      <c r="R146" s="1398"/>
    </row>
    <row r="147" spans="1:18" ht="14.25" customHeight="1" x14ac:dyDescent="0.2">
      <c r="D147" s="1395" t="s">
        <v>502</v>
      </c>
      <c r="E147" s="749">
        <f t="shared" si="24"/>
        <v>8770</v>
      </c>
      <c r="F147" s="1396">
        <v>8770</v>
      </c>
      <c r="G147" s="1396">
        <v>1254.7370723232889</v>
      </c>
      <c r="H147" s="1396">
        <f t="shared" si="25"/>
        <v>7515.2629276767111</v>
      </c>
      <c r="I147" s="1397"/>
      <c r="J147" s="1396"/>
      <c r="K147" s="1396"/>
      <c r="L147" s="1396"/>
      <c r="M147" s="1396"/>
      <c r="N147" s="749">
        <f t="shared" si="23"/>
        <v>584</v>
      </c>
      <c r="O147" s="1396">
        <v>584</v>
      </c>
      <c r="P147" s="1396">
        <v>-122.2</v>
      </c>
      <c r="Q147" s="1396">
        <f t="shared" si="26"/>
        <v>706.2</v>
      </c>
      <c r="R147" s="1398"/>
    </row>
    <row r="148" spans="1:18" ht="14.25" customHeight="1" x14ac:dyDescent="0.2">
      <c r="D148" s="1395" t="s">
        <v>503</v>
      </c>
      <c r="E148" s="749">
        <f t="shared" si="24"/>
        <v>0</v>
      </c>
      <c r="F148" s="1396">
        <v>0</v>
      </c>
      <c r="G148" s="1396">
        <v>420.47599667671091</v>
      </c>
      <c r="H148" s="1396">
        <f t="shared" si="25"/>
        <v>-420.47599667671091</v>
      </c>
      <c r="I148" s="1397"/>
      <c r="J148" s="1396"/>
      <c r="K148" s="1396"/>
      <c r="L148" s="1396"/>
      <c r="M148" s="1396"/>
      <c r="N148" s="749">
        <f t="shared" si="23"/>
        <v>0</v>
      </c>
      <c r="O148" s="1396">
        <v>0</v>
      </c>
      <c r="P148" s="1396">
        <v>0.6</v>
      </c>
      <c r="Q148" s="1396">
        <f t="shared" si="26"/>
        <v>-0.6</v>
      </c>
      <c r="R148" s="1398"/>
    </row>
    <row r="149" spans="1:18" ht="14.25" customHeight="1" x14ac:dyDescent="0.2">
      <c r="B149" s="1403"/>
      <c r="D149" s="1395" t="s">
        <v>504</v>
      </c>
      <c r="E149" s="749">
        <f t="shared" si="24"/>
        <v>2.4747287299999998</v>
      </c>
      <c r="F149" s="1396">
        <v>2.4747287299999998</v>
      </c>
      <c r="G149" s="1396">
        <v>0</v>
      </c>
      <c r="H149" s="1396">
        <f t="shared" si="25"/>
        <v>2.4747287299999998</v>
      </c>
      <c r="I149" s="1397"/>
      <c r="J149" s="1396"/>
      <c r="K149" s="1396"/>
      <c r="L149" s="1396"/>
      <c r="M149" s="1396"/>
      <c r="N149" s="749">
        <f t="shared" si="23"/>
        <v>4.677746E-2</v>
      </c>
      <c r="O149" s="1396">
        <v>4.677746E-2</v>
      </c>
      <c r="P149" s="1396">
        <v>0</v>
      </c>
      <c r="Q149" s="1396">
        <f t="shared" si="26"/>
        <v>4.677746E-2</v>
      </c>
      <c r="R149" s="1398"/>
    </row>
    <row r="150" spans="1:18" ht="14.25" customHeight="1" x14ac:dyDescent="0.2">
      <c r="D150" s="1395" t="s">
        <v>505</v>
      </c>
      <c r="E150" s="749">
        <f t="shared" si="24"/>
        <v>116</v>
      </c>
      <c r="F150" s="1396">
        <v>116</v>
      </c>
      <c r="G150" s="1396">
        <v>0</v>
      </c>
      <c r="H150" s="1396">
        <f t="shared" si="25"/>
        <v>116</v>
      </c>
      <c r="I150" s="1397"/>
      <c r="J150" s="1396"/>
      <c r="K150" s="1396"/>
      <c r="L150" s="1396"/>
      <c r="M150" s="1396"/>
      <c r="N150" s="749">
        <f t="shared" si="23"/>
        <v>3.4978055339999998</v>
      </c>
      <c r="O150" s="1396">
        <v>3.4978055339999998</v>
      </c>
      <c r="P150" s="1396">
        <v>0</v>
      </c>
      <c r="Q150" s="1396">
        <f t="shared" si="26"/>
        <v>3.4978055339999998</v>
      </c>
      <c r="R150" s="1398"/>
    </row>
    <row r="151" spans="1:18" ht="14.25" customHeight="1" x14ac:dyDescent="0.2">
      <c r="D151" s="1395" t="s">
        <v>506</v>
      </c>
      <c r="E151" s="749">
        <f t="shared" si="24"/>
        <v>1720</v>
      </c>
      <c r="F151" s="1396">
        <v>1720</v>
      </c>
      <c r="G151" s="1396">
        <v>1125.8999999999999</v>
      </c>
      <c r="H151" s="1396">
        <f t="shared" si="25"/>
        <v>594.10000000000014</v>
      </c>
      <c r="I151" s="1397"/>
      <c r="J151" s="1396"/>
      <c r="K151" s="1396"/>
      <c r="L151" s="1396"/>
      <c r="M151" s="1396"/>
      <c r="N151" s="749">
        <f t="shared" si="23"/>
        <v>3940</v>
      </c>
      <c r="O151" s="1396">
        <v>3940</v>
      </c>
      <c r="P151" s="1396">
        <v>48.3</v>
      </c>
      <c r="Q151" s="1396">
        <f t="shared" si="26"/>
        <v>3891.7</v>
      </c>
      <c r="R151" s="1398"/>
    </row>
    <row r="152" spans="1:18" ht="14.25" customHeight="1" x14ac:dyDescent="0.2">
      <c r="B152" s="161" t="s">
        <v>507</v>
      </c>
      <c r="D152" s="1395" t="s">
        <v>508</v>
      </c>
      <c r="E152" s="749">
        <f t="shared" si="24"/>
        <v>191</v>
      </c>
      <c r="F152" s="1396">
        <v>191</v>
      </c>
      <c r="G152" s="1396">
        <v>0.5</v>
      </c>
      <c r="H152" s="1396">
        <f t="shared" si="25"/>
        <v>190.5</v>
      </c>
      <c r="I152" s="1397"/>
      <c r="J152" s="1396"/>
      <c r="K152" s="1396"/>
      <c r="L152" s="1396"/>
      <c r="M152" s="1396"/>
      <c r="N152" s="749">
        <f t="shared" si="23"/>
        <v>0</v>
      </c>
      <c r="O152" s="1396">
        <v>0</v>
      </c>
      <c r="P152" s="1396">
        <v>0</v>
      </c>
      <c r="Q152" s="1396">
        <f t="shared" si="26"/>
        <v>0</v>
      </c>
      <c r="R152" s="1398"/>
    </row>
    <row r="153" spans="1:18" ht="14.25" customHeight="1" x14ac:dyDescent="0.2">
      <c r="B153" s="161" t="s">
        <v>509</v>
      </c>
      <c r="D153" s="1395" t="s">
        <v>510</v>
      </c>
      <c r="E153" s="749">
        <f t="shared" si="24"/>
        <v>86.209429260000007</v>
      </c>
      <c r="F153" s="1396">
        <v>86.209429260000007</v>
      </c>
      <c r="G153" s="1396">
        <v>56.314139999999995</v>
      </c>
      <c r="H153" s="1396">
        <f t="shared" si="25"/>
        <v>29.895289260000013</v>
      </c>
      <c r="I153" s="1397"/>
      <c r="J153" s="1396"/>
      <c r="K153" s="1396"/>
      <c r="L153" s="1396"/>
      <c r="M153" s="1396"/>
      <c r="N153" s="749">
        <f t="shared" si="23"/>
        <v>0</v>
      </c>
      <c r="O153" s="1396">
        <v>0</v>
      </c>
      <c r="P153" s="1396">
        <v>34</v>
      </c>
      <c r="Q153" s="1396">
        <f t="shared" si="26"/>
        <v>-34</v>
      </c>
      <c r="R153" s="1398"/>
    </row>
    <row r="154" spans="1:18" ht="14.25" customHeight="1" x14ac:dyDescent="0.2">
      <c r="D154" s="1395" t="s">
        <v>511</v>
      </c>
      <c r="E154" s="749">
        <f t="shared" si="24"/>
        <v>126</v>
      </c>
      <c r="F154" s="1396">
        <v>126</v>
      </c>
      <c r="G154" s="1396">
        <v>8.1999999999999993</v>
      </c>
      <c r="H154" s="1396">
        <f t="shared" si="25"/>
        <v>117.8</v>
      </c>
      <c r="I154" s="1397"/>
      <c r="J154" s="1396"/>
      <c r="K154" s="1396"/>
      <c r="L154" s="1396"/>
      <c r="M154" s="1396"/>
      <c r="N154" s="749">
        <f t="shared" si="23"/>
        <v>0</v>
      </c>
      <c r="O154" s="1396">
        <v>0</v>
      </c>
      <c r="P154" s="1396">
        <v>0.1</v>
      </c>
      <c r="Q154" s="1396">
        <f t="shared" si="26"/>
        <v>-0.1</v>
      </c>
      <c r="R154" s="1398"/>
    </row>
    <row r="155" spans="1:18" ht="14.25" customHeight="1" x14ac:dyDescent="0.2">
      <c r="D155" s="1395" t="s">
        <v>512</v>
      </c>
      <c r="E155" s="749">
        <f t="shared" ref="E155:E187" si="27">+F155</f>
        <v>372</v>
      </c>
      <c r="F155" s="1396">
        <v>372</v>
      </c>
      <c r="G155" s="1396">
        <v>-139.95157794228899</v>
      </c>
      <c r="H155" s="1396">
        <f t="shared" ref="H155:H184" si="28">+E155-G155</f>
        <v>511.95157794228896</v>
      </c>
      <c r="I155" s="1397"/>
      <c r="J155" s="1396"/>
      <c r="K155" s="1396"/>
      <c r="L155" s="1396"/>
      <c r="M155" s="1396"/>
      <c r="N155" s="749">
        <f t="shared" si="23"/>
        <v>0</v>
      </c>
      <c r="O155" s="1396">
        <v>0</v>
      </c>
      <c r="P155" s="1396">
        <v>-3.0239202410625001</v>
      </c>
      <c r="Q155" s="1396">
        <f t="shared" ref="Q155:Q184" si="29">+N155-P155</f>
        <v>3.0239202410625001</v>
      </c>
      <c r="R155" s="1398"/>
    </row>
    <row r="156" spans="1:18" ht="14.25" customHeight="1" x14ac:dyDescent="0.2">
      <c r="D156" s="1395" t="s">
        <v>513</v>
      </c>
      <c r="E156" s="749">
        <f t="shared" si="27"/>
        <v>0</v>
      </c>
      <c r="F156" s="1396">
        <v>0</v>
      </c>
      <c r="G156" s="1396">
        <v>-689.97632900561712</v>
      </c>
      <c r="H156" s="1396">
        <f t="shared" si="28"/>
        <v>689.97632900561712</v>
      </c>
      <c r="I156" s="1397"/>
      <c r="J156" s="1396"/>
      <c r="K156" s="1396"/>
      <c r="L156" s="1396"/>
      <c r="M156" s="1396"/>
      <c r="N156" s="749">
        <f t="shared" ref="N156:N217" si="30">+O156</f>
        <v>0</v>
      </c>
      <c r="O156" s="1396">
        <v>0</v>
      </c>
      <c r="P156" s="1396">
        <v>-0.4</v>
      </c>
      <c r="Q156" s="1396">
        <f t="shared" si="29"/>
        <v>0.4</v>
      </c>
      <c r="R156" s="1398"/>
    </row>
    <row r="157" spans="1:18" ht="14.25" customHeight="1" x14ac:dyDescent="0.2">
      <c r="D157" s="1395" t="s">
        <v>514</v>
      </c>
      <c r="E157" s="749">
        <v>1678.768718802</v>
      </c>
      <c r="F157" s="1396">
        <v>1690</v>
      </c>
      <c r="G157" s="1396">
        <v>856</v>
      </c>
      <c r="H157" s="1396">
        <f>+E157-G157</f>
        <v>822.76871880199997</v>
      </c>
      <c r="I157" s="1397"/>
      <c r="J157" s="1396"/>
      <c r="K157" s="1396"/>
      <c r="L157" s="1396"/>
      <c r="M157" s="1396"/>
      <c r="N157" s="749">
        <f t="shared" si="30"/>
        <v>107</v>
      </c>
      <c r="O157" s="1396">
        <v>107</v>
      </c>
      <c r="P157" s="1396">
        <v>73.5</v>
      </c>
      <c r="Q157" s="1396">
        <f>+N157-P157</f>
        <v>33.5</v>
      </c>
      <c r="R157" s="1398"/>
    </row>
    <row r="158" spans="1:18" ht="14.25" customHeight="1" x14ac:dyDescent="0.2">
      <c r="A158" s="146" t="s">
        <v>515</v>
      </c>
      <c r="B158" s="146" t="s">
        <v>516</v>
      </c>
      <c r="D158" s="1395" t="s">
        <v>517</v>
      </c>
      <c r="E158" s="749">
        <f t="shared" si="27"/>
        <v>371</v>
      </c>
      <c r="F158" s="1396">
        <v>371</v>
      </c>
      <c r="G158" s="1396">
        <v>298.3</v>
      </c>
      <c r="H158" s="1396">
        <f t="shared" si="28"/>
        <v>72.699999999999989</v>
      </c>
      <c r="I158" s="1397"/>
      <c r="J158" s="1396"/>
      <c r="K158" s="1396"/>
      <c r="L158" s="1396"/>
      <c r="M158" s="1396"/>
      <c r="N158" s="749">
        <f t="shared" si="30"/>
        <v>39.4570224</v>
      </c>
      <c r="O158" s="1396">
        <v>39.4570224</v>
      </c>
      <c r="P158" s="1396">
        <v>6.3</v>
      </c>
      <c r="Q158" s="1396">
        <f t="shared" si="29"/>
        <v>33.157022400000002</v>
      </c>
      <c r="R158" s="1398"/>
    </row>
    <row r="159" spans="1:18" ht="14.25" customHeight="1" x14ac:dyDescent="0.2">
      <c r="D159" s="1395" t="s">
        <v>518</v>
      </c>
      <c r="E159" s="749">
        <f t="shared" si="27"/>
        <v>347</v>
      </c>
      <c r="F159" s="1396">
        <v>347</v>
      </c>
      <c r="G159" s="1396">
        <v>41.6</v>
      </c>
      <c r="H159" s="1396">
        <f t="shared" si="28"/>
        <v>305.39999999999998</v>
      </c>
      <c r="I159" s="1397"/>
      <c r="J159" s="1396"/>
      <c r="K159" s="1396"/>
      <c r="L159" s="1396"/>
      <c r="M159" s="1396"/>
      <c r="N159" s="749">
        <f t="shared" si="30"/>
        <v>0.10951525999999999</v>
      </c>
      <c r="O159" s="1396">
        <v>0.10951525999999999</v>
      </c>
      <c r="P159" s="1396">
        <v>0</v>
      </c>
      <c r="Q159" s="1396">
        <f t="shared" si="29"/>
        <v>0.10951525999999999</v>
      </c>
      <c r="R159" s="1398"/>
    </row>
    <row r="160" spans="1:18" ht="14.25" customHeight="1" x14ac:dyDescent="0.2">
      <c r="B160" s="1403"/>
      <c r="D160" s="1395" t="s">
        <v>519</v>
      </c>
      <c r="E160" s="749">
        <f t="shared" si="27"/>
        <v>299</v>
      </c>
      <c r="F160" s="1396">
        <v>299</v>
      </c>
      <c r="G160" s="1396">
        <v>70.2</v>
      </c>
      <c r="H160" s="1396">
        <f t="shared" si="28"/>
        <v>228.8</v>
      </c>
      <c r="I160" s="1397"/>
      <c r="J160" s="1396"/>
      <c r="K160" s="1396"/>
      <c r="L160" s="1396"/>
      <c r="M160" s="1396"/>
      <c r="N160" s="749">
        <f t="shared" si="30"/>
        <v>-9.0221839999999998E-2</v>
      </c>
      <c r="O160" s="1396">
        <v>-9.0221839999999998E-2</v>
      </c>
      <c r="P160" s="1396">
        <v>-0.2</v>
      </c>
      <c r="Q160" s="1396">
        <f t="shared" si="29"/>
        <v>0.10977816000000001</v>
      </c>
      <c r="R160" s="1398"/>
    </row>
    <row r="161" spans="1:18" ht="14.25" customHeight="1" x14ac:dyDescent="0.2">
      <c r="D161" s="1395" t="s">
        <v>293</v>
      </c>
      <c r="E161" s="749">
        <f t="shared" si="27"/>
        <v>13200</v>
      </c>
      <c r="F161" s="1396">
        <v>13200</v>
      </c>
      <c r="G161" s="1396">
        <v>5669.7286676192707</v>
      </c>
      <c r="H161" s="1396">
        <f t="shared" si="28"/>
        <v>7530.2713323807293</v>
      </c>
      <c r="I161" s="1397"/>
      <c r="J161" s="1396"/>
      <c r="K161" s="1396"/>
      <c r="L161" s="1396"/>
      <c r="M161" s="1396"/>
      <c r="N161" s="749">
        <f t="shared" si="30"/>
        <v>4790</v>
      </c>
      <c r="O161" s="1396">
        <v>4790</v>
      </c>
      <c r="P161" s="1396">
        <v>740.07738434292605</v>
      </c>
      <c r="Q161" s="1396">
        <f t="shared" si="29"/>
        <v>4049.9226156570739</v>
      </c>
      <c r="R161" s="1398"/>
    </row>
    <row r="162" spans="1:18" ht="14.25" customHeight="1" x14ac:dyDescent="0.2">
      <c r="D162" s="1395" t="s">
        <v>520</v>
      </c>
      <c r="E162" s="749">
        <f t="shared" si="27"/>
        <v>285</v>
      </c>
      <c r="F162" s="1396">
        <v>285</v>
      </c>
      <c r="G162" s="1396">
        <v>11.100000000000001</v>
      </c>
      <c r="H162" s="1396">
        <f t="shared" si="28"/>
        <v>273.89999999999998</v>
      </c>
      <c r="I162" s="1397"/>
      <c r="J162" s="1396"/>
      <c r="K162" s="1396"/>
      <c r="L162" s="1396"/>
      <c r="M162" s="1396"/>
      <c r="N162" s="749">
        <f t="shared" si="30"/>
        <v>0</v>
      </c>
      <c r="O162" s="1396">
        <v>0</v>
      </c>
      <c r="P162" s="1396">
        <v>0.1</v>
      </c>
      <c r="Q162" s="1396">
        <f t="shared" si="29"/>
        <v>-0.1</v>
      </c>
      <c r="R162" s="1398"/>
    </row>
    <row r="163" spans="1:18" ht="14.25" customHeight="1" x14ac:dyDescent="0.2">
      <c r="B163" s="1403"/>
      <c r="D163" s="1395" t="s">
        <v>521</v>
      </c>
      <c r="E163" s="749">
        <f t="shared" si="27"/>
        <v>0</v>
      </c>
      <c r="F163" s="1396">
        <v>0</v>
      </c>
      <c r="G163" s="1396">
        <v>28.3</v>
      </c>
      <c r="H163" s="1396">
        <f t="shared" si="28"/>
        <v>-28.3</v>
      </c>
      <c r="I163" s="1397"/>
      <c r="J163" s="1396"/>
      <c r="K163" s="1396"/>
      <c r="L163" s="1396"/>
      <c r="M163" s="1396"/>
      <c r="N163" s="749">
        <f t="shared" si="30"/>
        <v>0</v>
      </c>
      <c r="O163" s="1396">
        <v>0</v>
      </c>
      <c r="P163" s="1396">
        <v>0</v>
      </c>
      <c r="Q163" s="1396">
        <f t="shared" si="29"/>
        <v>0</v>
      </c>
      <c r="R163" s="1398"/>
    </row>
    <row r="164" spans="1:18" ht="14.25" customHeight="1" x14ac:dyDescent="0.2">
      <c r="D164" s="1395" t="s">
        <v>522</v>
      </c>
      <c r="E164" s="749">
        <f t="shared" si="27"/>
        <v>0</v>
      </c>
      <c r="F164" s="1396">
        <v>0</v>
      </c>
      <c r="G164" s="1396">
        <v>2.2999999999999998</v>
      </c>
      <c r="H164" s="1396">
        <f t="shared" si="28"/>
        <v>-2.2999999999999998</v>
      </c>
      <c r="I164" s="1397"/>
      <c r="J164" s="1396"/>
      <c r="K164" s="1396"/>
      <c r="L164" s="1396"/>
      <c r="M164" s="1396"/>
      <c r="N164" s="749">
        <f t="shared" si="30"/>
        <v>0</v>
      </c>
      <c r="O164" s="1396">
        <v>0</v>
      </c>
      <c r="P164" s="1396">
        <v>0</v>
      </c>
      <c r="Q164" s="1396">
        <f t="shared" si="29"/>
        <v>0</v>
      </c>
      <c r="R164" s="1398"/>
    </row>
    <row r="165" spans="1:18" ht="14.25" customHeight="1" x14ac:dyDescent="0.2">
      <c r="A165" s="161" t="s">
        <v>523</v>
      </c>
      <c r="B165" s="146" t="s">
        <v>524</v>
      </c>
      <c r="D165" s="1395" t="s">
        <v>525</v>
      </c>
      <c r="E165" s="749">
        <f t="shared" si="27"/>
        <v>0</v>
      </c>
      <c r="F165" s="1396">
        <v>0</v>
      </c>
      <c r="G165" s="1396">
        <v>1</v>
      </c>
      <c r="H165" s="1396">
        <f t="shared" si="28"/>
        <v>-1</v>
      </c>
      <c r="I165" s="1397"/>
      <c r="J165" s="1396"/>
      <c r="K165" s="1396"/>
      <c r="L165" s="1396"/>
      <c r="M165" s="1396"/>
      <c r="N165" s="749">
        <f t="shared" si="30"/>
        <v>0</v>
      </c>
      <c r="O165" s="1396">
        <v>0</v>
      </c>
      <c r="P165" s="1396">
        <v>0</v>
      </c>
      <c r="Q165" s="1396">
        <f t="shared" si="29"/>
        <v>0</v>
      </c>
      <c r="R165" s="1398"/>
    </row>
    <row r="166" spans="1:18" ht="14.25" customHeight="1" x14ac:dyDescent="0.2">
      <c r="D166" s="1395" t="s">
        <v>526</v>
      </c>
      <c r="E166" s="749">
        <f t="shared" si="27"/>
        <v>217</v>
      </c>
      <c r="F166" s="1396">
        <v>217</v>
      </c>
      <c r="G166" s="1396">
        <v>62.2</v>
      </c>
      <c r="H166" s="1396">
        <f t="shared" si="28"/>
        <v>154.80000000000001</v>
      </c>
      <c r="I166" s="1397"/>
      <c r="J166" s="1396"/>
      <c r="K166" s="1396"/>
      <c r="L166" s="1396"/>
      <c r="M166" s="1396"/>
      <c r="N166" s="749">
        <f t="shared" si="30"/>
        <v>8.25</v>
      </c>
      <c r="O166" s="1396">
        <v>8.25</v>
      </c>
      <c r="P166" s="1396">
        <v>0.80000000000000016</v>
      </c>
      <c r="Q166" s="1396">
        <f t="shared" si="29"/>
        <v>7.45</v>
      </c>
      <c r="R166" s="1398"/>
    </row>
    <row r="167" spans="1:18" ht="14.25" customHeight="1" x14ac:dyDescent="0.2">
      <c r="D167" s="1395" t="s">
        <v>527</v>
      </c>
      <c r="E167" s="749">
        <f t="shared" si="27"/>
        <v>460</v>
      </c>
      <c r="F167" s="1396">
        <v>460</v>
      </c>
      <c r="G167" s="1396">
        <v>-8.5147560000000002</v>
      </c>
      <c r="H167" s="1396">
        <f t="shared" si="28"/>
        <v>468.51475599999998</v>
      </c>
      <c r="I167" s="1397"/>
      <c r="J167" s="1396"/>
      <c r="K167" s="1396"/>
      <c r="L167" s="1396"/>
      <c r="M167" s="1396"/>
      <c r="N167" s="749">
        <f t="shared" si="30"/>
        <v>0.82106268999999998</v>
      </c>
      <c r="O167" s="1396">
        <v>0.82106268999999998</v>
      </c>
      <c r="P167" s="1396">
        <v>-2</v>
      </c>
      <c r="Q167" s="1396">
        <f t="shared" si="29"/>
        <v>2.8210626899999998</v>
      </c>
      <c r="R167" s="1398"/>
    </row>
    <row r="168" spans="1:18" ht="14.25" customHeight="1" x14ac:dyDescent="0.2">
      <c r="D168" s="1395" t="s">
        <v>528</v>
      </c>
      <c r="E168" s="749">
        <f t="shared" si="27"/>
        <v>44.854206329999997</v>
      </c>
      <c r="F168" s="1396">
        <v>44.854206329999997</v>
      </c>
      <c r="G168" s="1396">
        <v>73.999999999999986</v>
      </c>
      <c r="H168" s="1396">
        <f t="shared" si="28"/>
        <v>-29.145793669999989</v>
      </c>
      <c r="I168" s="1397"/>
      <c r="J168" s="1396"/>
      <c r="K168" s="1396"/>
      <c r="L168" s="1396"/>
      <c r="M168" s="1396"/>
      <c r="N168" s="749">
        <f t="shared" si="30"/>
        <v>1.5007364050000001</v>
      </c>
      <c r="O168" s="1396">
        <v>1.5007364050000001</v>
      </c>
      <c r="P168" s="1396">
        <v>-1.6</v>
      </c>
      <c r="Q168" s="1396">
        <f t="shared" si="29"/>
        <v>3.1007364050000001</v>
      </c>
      <c r="R168" s="1398"/>
    </row>
    <row r="169" spans="1:18" ht="14.25" customHeight="1" x14ac:dyDescent="0.2">
      <c r="D169" s="1395" t="s">
        <v>529</v>
      </c>
      <c r="E169" s="749">
        <f t="shared" si="27"/>
        <v>0</v>
      </c>
      <c r="F169" s="1396">
        <v>0</v>
      </c>
      <c r="G169" s="1396">
        <v>0</v>
      </c>
      <c r="H169" s="1396">
        <f t="shared" si="28"/>
        <v>0</v>
      </c>
      <c r="I169" s="1397"/>
      <c r="J169" s="1396"/>
      <c r="K169" s="1396"/>
      <c r="L169" s="1396"/>
      <c r="M169" s="1396"/>
      <c r="N169" s="749">
        <f t="shared" si="30"/>
        <v>0</v>
      </c>
      <c r="O169" s="1396">
        <v>0</v>
      </c>
      <c r="P169" s="1396">
        <v>0</v>
      </c>
      <c r="Q169" s="1396">
        <f t="shared" si="29"/>
        <v>0</v>
      </c>
      <c r="R169" s="1398"/>
    </row>
    <row r="170" spans="1:18" ht="14.25" customHeight="1" x14ac:dyDescent="0.2">
      <c r="D170" s="1395" t="s">
        <v>530</v>
      </c>
      <c r="E170" s="749">
        <f t="shared" si="27"/>
        <v>1420</v>
      </c>
      <c r="F170" s="1396">
        <v>1420</v>
      </c>
      <c r="G170" s="1396">
        <v>885.37200996986746</v>
      </c>
      <c r="H170" s="1396">
        <f t="shared" si="28"/>
        <v>534.62799003013254</v>
      </c>
      <c r="I170" s="1397"/>
      <c r="J170" s="1396"/>
      <c r="K170" s="1396"/>
      <c r="L170" s="1396"/>
      <c r="M170" s="1396"/>
      <c r="N170" s="749">
        <f t="shared" si="30"/>
        <v>277</v>
      </c>
      <c r="O170" s="1396">
        <v>277</v>
      </c>
      <c r="P170" s="1396">
        <v>46</v>
      </c>
      <c r="Q170" s="1396">
        <f t="shared" si="29"/>
        <v>231</v>
      </c>
      <c r="R170" s="1398"/>
    </row>
    <row r="171" spans="1:18" ht="14.25" customHeight="1" x14ac:dyDescent="0.2">
      <c r="D171" s="1395" t="s">
        <v>531</v>
      </c>
      <c r="E171" s="749">
        <f t="shared" si="27"/>
        <v>59.961276320000003</v>
      </c>
      <c r="F171" s="1396">
        <v>59.961276320000003</v>
      </c>
      <c r="G171" s="1396">
        <v>139.2999169177734</v>
      </c>
      <c r="H171" s="1396">
        <f t="shared" si="28"/>
        <v>-79.338640597773406</v>
      </c>
      <c r="I171" s="1397"/>
      <c r="J171" s="1396"/>
      <c r="K171" s="1396"/>
      <c r="L171" s="1396"/>
      <c r="M171" s="1396"/>
      <c r="N171" s="749">
        <f t="shared" si="30"/>
        <v>0</v>
      </c>
      <c r="O171" s="1396">
        <v>0</v>
      </c>
      <c r="P171" s="1396">
        <v>-4.8</v>
      </c>
      <c r="Q171" s="1396">
        <f t="shared" si="29"/>
        <v>4.8</v>
      </c>
      <c r="R171" s="1398"/>
    </row>
    <row r="172" spans="1:18" ht="14.25" customHeight="1" x14ac:dyDescent="0.2">
      <c r="D172" s="1395" t="s">
        <v>532</v>
      </c>
      <c r="E172" s="749">
        <f t="shared" si="27"/>
        <v>2650</v>
      </c>
      <c r="F172" s="1396">
        <v>2650</v>
      </c>
      <c r="G172" s="1396">
        <v>69.874327000000008</v>
      </c>
      <c r="H172" s="1396">
        <f t="shared" si="28"/>
        <v>2580.125673</v>
      </c>
      <c r="I172" s="1397"/>
      <c r="J172" s="1396"/>
      <c r="K172" s="1396"/>
      <c r="L172" s="1396"/>
      <c r="M172" s="1396"/>
      <c r="N172" s="749">
        <f t="shared" si="30"/>
        <v>4.4102910480000004</v>
      </c>
      <c r="O172" s="1396">
        <v>4.4102910480000004</v>
      </c>
      <c r="P172" s="1396">
        <v>-2</v>
      </c>
      <c r="Q172" s="1396">
        <f t="shared" si="29"/>
        <v>6.4102910480000004</v>
      </c>
      <c r="R172" s="1398"/>
    </row>
    <row r="173" spans="1:18" ht="14.25" customHeight="1" x14ac:dyDescent="0.2">
      <c r="D173" s="1395" t="s">
        <v>533</v>
      </c>
      <c r="E173" s="749">
        <f t="shared" si="27"/>
        <v>232</v>
      </c>
      <c r="F173" s="1396">
        <v>232</v>
      </c>
      <c r="G173" s="1396">
        <v>16.199999999999996</v>
      </c>
      <c r="H173" s="1396">
        <f t="shared" si="28"/>
        <v>215.8</v>
      </c>
      <c r="I173" s="1397"/>
      <c r="J173" s="1396"/>
      <c r="K173" s="1396"/>
      <c r="L173" s="1396"/>
      <c r="M173" s="1396"/>
      <c r="N173" s="749">
        <f t="shared" si="30"/>
        <v>5.9392437220000005</v>
      </c>
      <c r="O173" s="1396">
        <v>5.9392437220000005</v>
      </c>
      <c r="P173" s="1396">
        <v>-5.9</v>
      </c>
      <c r="Q173" s="1396">
        <f t="shared" si="29"/>
        <v>11.839243722000001</v>
      </c>
      <c r="R173" s="1398"/>
    </row>
    <row r="174" spans="1:18" ht="14.25" customHeight="1" x14ac:dyDescent="0.2">
      <c r="D174" s="1395" t="s">
        <v>534</v>
      </c>
      <c r="E174" s="749">
        <f t="shared" si="27"/>
        <v>49.151066979999996</v>
      </c>
      <c r="F174" s="1396">
        <v>49.151066979999996</v>
      </c>
      <c r="G174" s="1396">
        <v>19.8</v>
      </c>
      <c r="H174" s="1396">
        <f t="shared" si="28"/>
        <v>29.351066979999995</v>
      </c>
      <c r="I174" s="1397"/>
      <c r="J174" s="1396"/>
      <c r="K174" s="1396"/>
      <c r="L174" s="1396"/>
      <c r="M174" s="1396"/>
      <c r="N174" s="749">
        <f t="shared" si="30"/>
        <v>0</v>
      </c>
      <c r="O174" s="1396">
        <v>0</v>
      </c>
      <c r="P174" s="1396">
        <v>-0.1</v>
      </c>
      <c r="Q174" s="1396">
        <f t="shared" si="29"/>
        <v>0.1</v>
      </c>
      <c r="R174" s="1398"/>
    </row>
    <row r="175" spans="1:18" ht="14.25" customHeight="1" x14ac:dyDescent="0.2">
      <c r="D175" s="1395" t="s">
        <v>535</v>
      </c>
      <c r="E175" s="749">
        <f t="shared" si="27"/>
        <v>161</v>
      </c>
      <c r="F175" s="1396">
        <v>161</v>
      </c>
      <c r="G175" s="1396">
        <v>-14.8</v>
      </c>
      <c r="H175" s="1396">
        <f t="shared" si="28"/>
        <v>175.8</v>
      </c>
      <c r="I175" s="1397"/>
      <c r="J175" s="1396"/>
      <c r="K175" s="1396"/>
      <c r="L175" s="1396"/>
      <c r="M175" s="1396"/>
      <c r="N175" s="749">
        <f t="shared" si="30"/>
        <v>0</v>
      </c>
      <c r="O175" s="1396">
        <v>0</v>
      </c>
      <c r="P175" s="1396">
        <v>-4.9000000000000004</v>
      </c>
      <c r="Q175" s="1396">
        <f t="shared" si="29"/>
        <v>4.9000000000000004</v>
      </c>
      <c r="R175" s="1398"/>
    </row>
    <row r="176" spans="1:18" ht="14.25" customHeight="1" x14ac:dyDescent="0.2">
      <c r="D176" s="1395" t="s">
        <v>536</v>
      </c>
      <c r="E176" s="749">
        <f t="shared" si="27"/>
        <v>122</v>
      </c>
      <c r="F176" s="1396">
        <v>122</v>
      </c>
      <c r="G176" s="1396">
        <v>16.600000000000001</v>
      </c>
      <c r="H176" s="1396">
        <f t="shared" si="28"/>
        <v>105.4</v>
      </c>
      <c r="I176" s="1397"/>
      <c r="J176" s="1396"/>
      <c r="K176" s="1396"/>
      <c r="L176" s="1396"/>
      <c r="M176" s="1396"/>
      <c r="N176" s="749">
        <f t="shared" si="30"/>
        <v>1.7404697900000001</v>
      </c>
      <c r="O176" s="1396">
        <v>1.7404697900000001</v>
      </c>
      <c r="P176" s="1396">
        <v>9</v>
      </c>
      <c r="Q176" s="1396">
        <f t="shared" si="29"/>
        <v>-7.2595302099999994</v>
      </c>
      <c r="R176" s="1398"/>
    </row>
    <row r="177" spans="2:18" ht="14.25" customHeight="1" x14ac:dyDescent="0.2">
      <c r="D177" s="1395" t="s">
        <v>287</v>
      </c>
      <c r="E177" s="749">
        <f t="shared" si="27"/>
        <v>12700</v>
      </c>
      <c r="F177" s="1396">
        <v>12700</v>
      </c>
      <c r="G177" s="1396">
        <v>4840</v>
      </c>
      <c r="H177" s="1396">
        <f t="shared" si="28"/>
        <v>7860</v>
      </c>
      <c r="I177" s="1397"/>
      <c r="J177" s="1396"/>
      <c r="K177" s="1396"/>
      <c r="L177" s="1396"/>
      <c r="M177" s="1396"/>
      <c r="N177" s="749">
        <f t="shared" si="30"/>
        <v>307</v>
      </c>
      <c r="O177" s="1396">
        <v>307</v>
      </c>
      <c r="P177" s="1396">
        <v>73.3</v>
      </c>
      <c r="Q177" s="1396">
        <f t="shared" si="29"/>
        <v>233.7</v>
      </c>
      <c r="R177" s="1398"/>
    </row>
    <row r="178" spans="2:18" ht="14.25" customHeight="1" x14ac:dyDescent="0.2">
      <c r="D178" s="1395" t="s">
        <v>537</v>
      </c>
      <c r="E178" s="749">
        <f t="shared" si="27"/>
        <v>2520</v>
      </c>
      <c r="F178" s="1396">
        <v>2520</v>
      </c>
      <c r="G178" s="1396">
        <v>510.29701027987608</v>
      </c>
      <c r="H178" s="1396">
        <f t="shared" si="28"/>
        <v>2009.7029897201239</v>
      </c>
      <c r="I178" s="1397"/>
      <c r="J178" s="1396"/>
      <c r="K178" s="1396"/>
      <c r="L178" s="1396"/>
      <c r="M178" s="1396"/>
      <c r="N178" s="749">
        <f t="shared" si="30"/>
        <v>0</v>
      </c>
      <c r="O178" s="1396">
        <v>0</v>
      </c>
      <c r="P178" s="1396">
        <v>37.280388692580004</v>
      </c>
      <c r="Q178" s="1396">
        <f t="shared" si="29"/>
        <v>-37.280388692580004</v>
      </c>
      <c r="R178" s="1398"/>
    </row>
    <row r="179" spans="2:18" ht="14.25" customHeight="1" x14ac:dyDescent="0.2">
      <c r="D179" s="1395" t="s">
        <v>538</v>
      </c>
      <c r="E179" s="749">
        <f t="shared" si="27"/>
        <v>3640</v>
      </c>
      <c r="F179" s="1396">
        <v>3640</v>
      </c>
      <c r="G179" s="1396">
        <v>560.11844021092975</v>
      </c>
      <c r="H179" s="1396">
        <f t="shared" si="28"/>
        <v>3079.8815597890703</v>
      </c>
      <c r="I179" s="1397"/>
      <c r="J179" s="1396"/>
      <c r="K179" s="1396"/>
      <c r="L179" s="1396"/>
      <c r="M179" s="1396"/>
      <c r="N179" s="749">
        <f t="shared" si="30"/>
        <v>29</v>
      </c>
      <c r="O179" s="1396">
        <v>29</v>
      </c>
      <c r="P179" s="1396">
        <v>5.6</v>
      </c>
      <c r="Q179" s="1396">
        <f t="shared" si="29"/>
        <v>23.4</v>
      </c>
      <c r="R179" s="1398"/>
    </row>
    <row r="180" spans="2:18" ht="14.25" customHeight="1" x14ac:dyDescent="0.2">
      <c r="D180" s="1395" t="s">
        <v>539</v>
      </c>
      <c r="E180" s="749">
        <f t="shared" si="27"/>
        <v>28.073087690000001</v>
      </c>
      <c r="F180" s="1396">
        <v>28.073087690000001</v>
      </c>
      <c r="G180" s="1396">
        <v>3</v>
      </c>
      <c r="H180" s="1396">
        <f t="shared" si="28"/>
        <v>25.073087690000001</v>
      </c>
      <c r="I180" s="1397"/>
      <c r="J180" s="1396"/>
      <c r="K180" s="1396"/>
      <c r="L180" s="1396"/>
      <c r="M180" s="1396"/>
      <c r="N180" s="749">
        <f t="shared" si="30"/>
        <v>0</v>
      </c>
      <c r="O180" s="1396">
        <v>0</v>
      </c>
      <c r="P180" s="1396">
        <v>0</v>
      </c>
      <c r="Q180" s="1396">
        <f t="shared" si="29"/>
        <v>0</v>
      </c>
      <c r="R180" s="1398"/>
    </row>
    <row r="181" spans="2:18" ht="14.25" customHeight="1" x14ac:dyDescent="0.2">
      <c r="D181" s="1395" t="s">
        <v>540</v>
      </c>
      <c r="E181" s="749">
        <f t="shared" si="27"/>
        <v>257</v>
      </c>
      <c r="F181" s="1396">
        <v>257</v>
      </c>
      <c r="G181" s="1396">
        <v>0</v>
      </c>
      <c r="H181" s="1396">
        <f t="shared" si="28"/>
        <v>257</v>
      </c>
      <c r="I181" s="1397"/>
      <c r="J181" s="1396"/>
      <c r="K181" s="1396"/>
      <c r="L181" s="1396"/>
      <c r="M181" s="1396"/>
      <c r="N181" s="749">
        <f t="shared" si="30"/>
        <v>4.9125641840000007</v>
      </c>
      <c r="O181" s="1396">
        <v>4.9125641840000007</v>
      </c>
      <c r="P181" s="1396">
        <v>0</v>
      </c>
      <c r="Q181" s="1396">
        <f t="shared" si="29"/>
        <v>4.9125641840000007</v>
      </c>
      <c r="R181" s="1398"/>
    </row>
    <row r="182" spans="2:18" ht="14.25" customHeight="1" x14ac:dyDescent="0.2">
      <c r="D182" s="1395" t="s">
        <v>541</v>
      </c>
      <c r="E182" s="749">
        <f t="shared" si="27"/>
        <v>899</v>
      </c>
      <c r="F182" s="1396">
        <v>899</v>
      </c>
      <c r="G182" s="1396">
        <v>129.30000000000001</v>
      </c>
      <c r="H182" s="1396">
        <f t="shared" si="28"/>
        <v>769.7</v>
      </c>
      <c r="I182" s="1397"/>
      <c r="J182" s="1396"/>
      <c r="K182" s="1396"/>
      <c r="L182" s="1396"/>
      <c r="M182" s="1396"/>
      <c r="N182" s="749">
        <f t="shared" si="30"/>
        <v>0.2</v>
      </c>
      <c r="O182" s="1396">
        <v>0.2</v>
      </c>
      <c r="P182" s="1396">
        <v>0</v>
      </c>
      <c r="Q182" s="1396">
        <f t="shared" si="29"/>
        <v>0.2</v>
      </c>
      <c r="R182" s="1398"/>
    </row>
    <row r="183" spans="2:18" ht="14.25" customHeight="1" x14ac:dyDescent="0.2">
      <c r="D183" s="1395" t="s">
        <v>277</v>
      </c>
      <c r="E183" s="749">
        <f t="shared" si="27"/>
        <v>5810</v>
      </c>
      <c r="F183" s="1396">
        <v>5810</v>
      </c>
      <c r="G183" s="1396">
        <v>961.49149317740103</v>
      </c>
      <c r="H183" s="1396">
        <f t="shared" si="28"/>
        <v>4848.508506822599</v>
      </c>
      <c r="I183" s="1397"/>
      <c r="J183" s="1396"/>
      <c r="K183" s="1396"/>
      <c r="L183" s="1396"/>
      <c r="M183" s="1396"/>
      <c r="N183" s="749">
        <f t="shared" si="30"/>
        <v>0</v>
      </c>
      <c r="O183" s="1396">
        <v>0</v>
      </c>
      <c r="P183" s="1396">
        <v>57.139989792805004</v>
      </c>
      <c r="Q183" s="1396">
        <f t="shared" si="29"/>
        <v>-57.139989792805004</v>
      </c>
      <c r="R183" s="1398"/>
    </row>
    <row r="184" spans="2:18" ht="14.25" customHeight="1" x14ac:dyDescent="0.2">
      <c r="D184" s="1395" t="s">
        <v>294</v>
      </c>
      <c r="E184" s="749">
        <f t="shared" si="27"/>
        <v>4120</v>
      </c>
      <c r="F184" s="1396">
        <v>4120</v>
      </c>
      <c r="G184" s="1396">
        <v>2778.2380543710769</v>
      </c>
      <c r="H184" s="1396">
        <f t="shared" si="28"/>
        <v>1341.7619456289231</v>
      </c>
      <c r="I184" s="1397"/>
      <c r="J184" s="1396"/>
      <c r="K184" s="1396"/>
      <c r="L184" s="1396"/>
      <c r="M184" s="1396"/>
      <c r="N184" s="749">
        <f t="shared" si="30"/>
        <v>700</v>
      </c>
      <c r="O184" s="1396">
        <v>700</v>
      </c>
      <c r="P184" s="1396">
        <v>18.552962750826701</v>
      </c>
      <c r="Q184" s="1396">
        <f t="shared" si="29"/>
        <v>681.44703724917326</v>
      </c>
      <c r="R184" s="1398"/>
    </row>
    <row r="185" spans="2:18" ht="14.25" customHeight="1" x14ac:dyDescent="0.2">
      <c r="D185" s="1395" t="s">
        <v>542</v>
      </c>
      <c r="E185" s="749">
        <f t="shared" si="27"/>
        <v>0</v>
      </c>
      <c r="F185" s="1396">
        <v>0</v>
      </c>
      <c r="G185" s="1396"/>
      <c r="H185" s="1396"/>
      <c r="I185" s="1397"/>
      <c r="J185" s="1396"/>
      <c r="K185" s="1396"/>
      <c r="L185" s="1396"/>
      <c r="M185" s="1396"/>
      <c r="N185" s="749">
        <f t="shared" si="30"/>
        <v>0</v>
      </c>
      <c r="O185" s="1396">
        <v>0</v>
      </c>
      <c r="P185" s="1396"/>
      <c r="Q185" s="1396"/>
      <c r="R185" s="1398"/>
    </row>
    <row r="186" spans="2:18" ht="14.25" customHeight="1" x14ac:dyDescent="0.2">
      <c r="D186" s="1395" t="s">
        <v>543</v>
      </c>
      <c r="E186" s="749">
        <f t="shared" si="27"/>
        <v>4200</v>
      </c>
      <c r="F186" s="1396">
        <v>4200</v>
      </c>
      <c r="G186" s="1396">
        <v>2677.000778127674</v>
      </c>
      <c r="H186" s="1396">
        <f>+E186-G186</f>
        <v>1522.999221872326</v>
      </c>
      <c r="I186" s="1397"/>
      <c r="J186" s="1396"/>
      <c r="K186" s="1396"/>
      <c r="L186" s="1396"/>
      <c r="M186" s="1396"/>
      <c r="N186" s="749">
        <f t="shared" si="30"/>
        <v>-75.900000000000006</v>
      </c>
      <c r="O186" s="1396">
        <v>-75.900000000000006</v>
      </c>
      <c r="P186" s="1396">
        <v>45.724003323289061</v>
      </c>
      <c r="Q186" s="1396">
        <f>+N186-P186</f>
        <v>-121.62400332328906</v>
      </c>
      <c r="R186" s="1398"/>
    </row>
    <row r="187" spans="2:18" ht="14.25" customHeight="1" x14ac:dyDescent="0.2">
      <c r="D187" s="1395" t="s">
        <v>544</v>
      </c>
      <c r="E187" s="749">
        <f t="shared" si="27"/>
        <v>77.336620180000011</v>
      </c>
      <c r="F187" s="1396">
        <v>77.336620180000011</v>
      </c>
      <c r="G187" s="1396">
        <v>-38.1</v>
      </c>
      <c r="H187" s="1396">
        <f>+E187-G187</f>
        <v>115.43662018000001</v>
      </c>
      <c r="I187" s="1397"/>
      <c r="J187" s="1396"/>
      <c r="K187" s="1396"/>
      <c r="L187" s="1396"/>
      <c r="M187" s="1396"/>
      <c r="N187" s="749">
        <f t="shared" si="30"/>
        <v>3.6350981020000002</v>
      </c>
      <c r="O187" s="1396">
        <v>3.6350981020000002</v>
      </c>
      <c r="P187" s="1396">
        <v>0</v>
      </c>
      <c r="Q187" s="1396">
        <f>+N187-P187</f>
        <v>3.6350981020000002</v>
      </c>
      <c r="R187" s="1398"/>
    </row>
    <row r="188" spans="2:18" ht="14.25" customHeight="1" x14ac:dyDescent="0.2">
      <c r="D188" s="1395" t="s">
        <v>545</v>
      </c>
      <c r="E188" s="749">
        <f t="shared" ref="E188:E218" si="31">+F188</f>
        <v>29.095430789999998</v>
      </c>
      <c r="F188" s="1396">
        <v>29.095430789999998</v>
      </c>
      <c r="G188" s="1396">
        <v>5</v>
      </c>
      <c r="H188" s="1396">
        <f>+E188-G188</f>
        <v>24.095430789999998</v>
      </c>
      <c r="I188" s="1397"/>
      <c r="J188" s="1396"/>
      <c r="K188" s="1396"/>
      <c r="L188" s="1396"/>
      <c r="M188" s="1396"/>
      <c r="N188" s="749">
        <f t="shared" si="30"/>
        <v>0.46355962000000001</v>
      </c>
      <c r="O188" s="1396">
        <v>0.46355962000000001</v>
      </c>
      <c r="P188" s="1396">
        <v>-1.3219964664310899</v>
      </c>
      <c r="Q188" s="1396">
        <f>+N188-P188</f>
        <v>1.78555608643109</v>
      </c>
      <c r="R188" s="1398"/>
    </row>
    <row r="189" spans="2:18" ht="14.25" customHeight="1" x14ac:dyDescent="0.2">
      <c r="D189" s="1395" t="s">
        <v>546</v>
      </c>
      <c r="E189" s="749">
        <f t="shared" si="31"/>
        <v>0.97604981999999996</v>
      </c>
      <c r="F189" s="1396">
        <v>0.97604981999999996</v>
      </c>
      <c r="G189" s="1396"/>
      <c r="H189" s="1396"/>
      <c r="I189" s="1397"/>
      <c r="J189" s="1396"/>
      <c r="K189" s="1396"/>
      <c r="L189" s="1396"/>
      <c r="M189" s="1396"/>
      <c r="N189" s="749">
        <f t="shared" si="30"/>
        <v>0</v>
      </c>
      <c r="O189" s="1396">
        <v>0</v>
      </c>
      <c r="P189" s="1396"/>
      <c r="Q189" s="1396"/>
      <c r="R189" s="1398"/>
    </row>
    <row r="190" spans="2:18" ht="14.25" customHeight="1" x14ac:dyDescent="0.2">
      <c r="D190" s="1395" t="s">
        <v>289</v>
      </c>
      <c r="E190" s="749">
        <f t="shared" si="31"/>
        <v>6860</v>
      </c>
      <c r="F190" s="1396">
        <v>6860</v>
      </c>
      <c r="G190" s="1396">
        <v>3458.871811867306</v>
      </c>
      <c r="H190" s="1396">
        <f t="shared" ref="H190:H219" si="32">+E190-G190</f>
        <v>3401.128188132694</v>
      </c>
      <c r="I190" s="1397"/>
      <c r="J190" s="1396"/>
      <c r="K190" s="1396"/>
      <c r="L190" s="1396"/>
      <c r="M190" s="1396"/>
      <c r="N190" s="749">
        <f t="shared" si="30"/>
        <v>5850</v>
      </c>
      <c r="O190" s="1396">
        <v>5850</v>
      </c>
      <c r="P190" s="1396">
        <v>672.20708480565406</v>
      </c>
      <c r="Q190" s="1396">
        <f t="shared" ref="Q190:Q219" si="33">+N190-P190</f>
        <v>5177.7929151943463</v>
      </c>
      <c r="R190" s="1398"/>
    </row>
    <row r="191" spans="2:18" ht="14.25" customHeight="1" x14ac:dyDescent="0.2">
      <c r="D191" s="1395" t="s">
        <v>547</v>
      </c>
      <c r="E191" s="749">
        <f t="shared" si="31"/>
        <v>0</v>
      </c>
      <c r="F191" s="1396">
        <v>0</v>
      </c>
      <c r="G191" s="1396">
        <v>158.9</v>
      </c>
      <c r="H191" s="1396">
        <f t="shared" si="32"/>
        <v>-158.9</v>
      </c>
      <c r="I191" s="1397"/>
      <c r="J191" s="1396"/>
      <c r="K191" s="1396"/>
      <c r="L191" s="1396"/>
      <c r="M191" s="1396"/>
      <c r="N191" s="749">
        <f t="shared" si="30"/>
        <v>0</v>
      </c>
      <c r="O191" s="1396">
        <v>0</v>
      </c>
      <c r="P191" s="1396">
        <v>1.4</v>
      </c>
      <c r="Q191" s="1396">
        <f t="shared" si="33"/>
        <v>-1.4</v>
      </c>
      <c r="R191" s="1398"/>
    </row>
    <row r="192" spans="2:18" ht="14.25" customHeight="1" x14ac:dyDescent="0.2">
      <c r="B192" s="161" t="s">
        <v>548</v>
      </c>
      <c r="D192" s="1395" t="s">
        <v>549</v>
      </c>
      <c r="E192" s="749">
        <f t="shared" si="31"/>
        <v>1530</v>
      </c>
      <c r="F192" s="1396">
        <v>1530</v>
      </c>
      <c r="G192" s="1396">
        <v>687.71594682737498</v>
      </c>
      <c r="H192" s="1396">
        <f t="shared" si="32"/>
        <v>842.28405317262502</v>
      </c>
      <c r="I192" s="1397"/>
      <c r="J192" s="1396"/>
      <c r="K192" s="1396"/>
      <c r="L192" s="1396"/>
      <c r="M192" s="1396"/>
      <c r="N192" s="749">
        <f t="shared" si="30"/>
        <v>384</v>
      </c>
      <c r="O192" s="1396">
        <v>384</v>
      </c>
      <c r="P192" s="1396">
        <v>5.1000000000000032</v>
      </c>
      <c r="Q192" s="1396">
        <f t="shared" si="33"/>
        <v>378.9</v>
      </c>
      <c r="R192" s="1398"/>
    </row>
    <row r="193" spans="2:18" ht="14.25" customHeight="1" x14ac:dyDescent="0.2">
      <c r="D193" s="1395" t="s">
        <v>550</v>
      </c>
      <c r="E193" s="749">
        <f t="shared" si="31"/>
        <v>101</v>
      </c>
      <c r="F193" s="1396">
        <v>101</v>
      </c>
      <c r="G193" s="1396">
        <v>-14.7</v>
      </c>
      <c r="H193" s="1396">
        <f t="shared" si="32"/>
        <v>115.7</v>
      </c>
      <c r="I193" s="1397"/>
      <c r="J193" s="1396"/>
      <c r="K193" s="1396"/>
      <c r="L193" s="1396"/>
      <c r="M193" s="1396"/>
      <c r="N193" s="749">
        <f t="shared" si="30"/>
        <v>0</v>
      </c>
      <c r="O193" s="1396">
        <v>0</v>
      </c>
      <c r="P193" s="1396">
        <v>0</v>
      </c>
      <c r="Q193" s="1396">
        <f t="shared" si="33"/>
        <v>0</v>
      </c>
      <c r="R193" s="1398"/>
    </row>
    <row r="194" spans="2:18" ht="14.25" customHeight="1" x14ac:dyDescent="0.2">
      <c r="D194" s="1395" t="s">
        <v>551</v>
      </c>
      <c r="E194" s="749">
        <f t="shared" si="31"/>
        <v>60.715341850000002</v>
      </c>
      <c r="F194" s="1396">
        <v>60.715341850000002</v>
      </c>
      <c r="G194" s="1396">
        <v>20.100000000000001</v>
      </c>
      <c r="H194" s="1396">
        <f t="shared" si="32"/>
        <v>40.61534185</v>
      </c>
      <c r="I194" s="1397"/>
      <c r="J194" s="1396"/>
      <c r="K194" s="1396"/>
      <c r="L194" s="1396"/>
      <c r="M194" s="1396"/>
      <c r="N194" s="749">
        <f t="shared" si="30"/>
        <v>4.1729951080000003</v>
      </c>
      <c r="O194" s="1396">
        <v>4.1729951080000003</v>
      </c>
      <c r="P194" s="1396">
        <v>0</v>
      </c>
      <c r="Q194" s="1396">
        <f t="shared" si="33"/>
        <v>4.1729951080000003</v>
      </c>
      <c r="R194" s="1398"/>
    </row>
    <row r="195" spans="2:18" ht="14.25" customHeight="1" x14ac:dyDescent="0.2">
      <c r="D195" s="1395" t="s">
        <v>552</v>
      </c>
      <c r="E195" s="749">
        <f t="shared" si="31"/>
        <v>0</v>
      </c>
      <c r="F195" s="1396">
        <v>0</v>
      </c>
      <c r="G195" s="1396">
        <v>0</v>
      </c>
      <c r="H195" s="1396">
        <f t="shared" si="32"/>
        <v>0</v>
      </c>
      <c r="I195" s="1397"/>
      <c r="J195" s="1396"/>
      <c r="K195" s="1396"/>
      <c r="L195" s="1396"/>
      <c r="M195" s="1396"/>
      <c r="N195" s="749">
        <f t="shared" si="30"/>
        <v>0</v>
      </c>
      <c r="O195" s="1396">
        <v>0</v>
      </c>
      <c r="P195" s="1396">
        <v>0</v>
      </c>
      <c r="Q195" s="1396">
        <f t="shared" si="33"/>
        <v>0</v>
      </c>
      <c r="R195" s="1398"/>
    </row>
    <row r="196" spans="2:18" ht="14.25" customHeight="1" x14ac:dyDescent="0.2">
      <c r="D196" s="1395" t="s">
        <v>553</v>
      </c>
      <c r="E196" s="749">
        <f t="shared" si="31"/>
        <v>394</v>
      </c>
      <c r="F196" s="1396">
        <v>394</v>
      </c>
      <c r="G196" s="1396">
        <v>-20</v>
      </c>
      <c r="H196" s="1396">
        <f t="shared" si="32"/>
        <v>414</v>
      </c>
      <c r="I196" s="1397"/>
      <c r="J196" s="1396"/>
      <c r="K196" s="1396"/>
      <c r="L196" s="1396"/>
      <c r="M196" s="1396"/>
      <c r="N196" s="749">
        <f t="shared" si="30"/>
        <v>4.6687575949999998</v>
      </c>
      <c r="O196" s="1396">
        <v>4.6687575949999998</v>
      </c>
      <c r="P196" s="1396">
        <v>0</v>
      </c>
      <c r="Q196" s="1396">
        <f t="shared" si="33"/>
        <v>4.6687575949999998</v>
      </c>
      <c r="R196" s="1398"/>
    </row>
    <row r="197" spans="2:18" ht="14.25" customHeight="1" x14ac:dyDescent="0.2">
      <c r="D197" s="1395" t="s">
        <v>554</v>
      </c>
      <c r="E197" s="749">
        <f t="shared" si="31"/>
        <v>-41.6</v>
      </c>
      <c r="F197" s="1396">
        <v>-41.6</v>
      </c>
      <c r="G197" s="1396">
        <v>10.9</v>
      </c>
      <c r="H197" s="1396">
        <f t="shared" si="32"/>
        <v>-52.5</v>
      </c>
      <c r="I197" s="1397"/>
      <c r="J197" s="1396"/>
      <c r="K197" s="1396"/>
      <c r="L197" s="1396"/>
      <c r="M197" s="1396"/>
      <c r="N197" s="749">
        <f t="shared" si="30"/>
        <v>0</v>
      </c>
      <c r="O197" s="1396">
        <v>0</v>
      </c>
      <c r="P197" s="1396">
        <v>1</v>
      </c>
      <c r="Q197" s="1396">
        <f t="shared" si="33"/>
        <v>-1</v>
      </c>
      <c r="R197" s="1398"/>
    </row>
    <row r="198" spans="2:18" ht="14.25" customHeight="1" x14ac:dyDescent="0.2">
      <c r="D198" s="1395" t="s">
        <v>555</v>
      </c>
      <c r="E198" s="749">
        <f t="shared" si="31"/>
        <v>416</v>
      </c>
      <c r="F198" s="1396">
        <v>416</v>
      </c>
      <c r="G198" s="1396">
        <v>4</v>
      </c>
      <c r="H198" s="1396">
        <f t="shared" si="32"/>
        <v>412</v>
      </c>
      <c r="I198" s="1397"/>
      <c r="J198" s="1396"/>
      <c r="K198" s="1396"/>
      <c r="L198" s="1396"/>
      <c r="M198" s="1396"/>
      <c r="N198" s="749">
        <f t="shared" si="30"/>
        <v>113</v>
      </c>
      <c r="O198" s="1396">
        <v>113</v>
      </c>
      <c r="P198" s="1396">
        <v>-9.8000000000000007</v>
      </c>
      <c r="Q198" s="1396">
        <f t="shared" si="33"/>
        <v>122.8</v>
      </c>
      <c r="R198" s="1398"/>
    </row>
    <row r="199" spans="2:18" ht="14.25" customHeight="1" x14ac:dyDescent="0.2">
      <c r="B199" s="146" t="s">
        <v>556</v>
      </c>
      <c r="D199" s="1395" t="s">
        <v>557</v>
      </c>
      <c r="E199" s="749">
        <f t="shared" si="31"/>
        <v>0</v>
      </c>
      <c r="F199" s="1396">
        <v>0</v>
      </c>
      <c r="G199" s="1396">
        <v>-61</v>
      </c>
      <c r="H199" s="1396">
        <f t="shared" si="32"/>
        <v>61</v>
      </c>
      <c r="I199" s="1397"/>
      <c r="J199" s="1396"/>
      <c r="K199" s="1396"/>
      <c r="L199" s="1396"/>
      <c r="M199" s="1396"/>
      <c r="N199" s="749">
        <f t="shared" si="30"/>
        <v>0</v>
      </c>
      <c r="O199" s="1396">
        <v>0</v>
      </c>
      <c r="P199" s="1396">
        <v>6.9</v>
      </c>
      <c r="Q199" s="1396">
        <f t="shared" si="33"/>
        <v>-6.9</v>
      </c>
      <c r="R199" s="1398"/>
    </row>
    <row r="200" spans="2:18" ht="14.25" customHeight="1" x14ac:dyDescent="0.2">
      <c r="D200" s="1395" t="s">
        <v>558</v>
      </c>
      <c r="E200" s="749">
        <f t="shared" si="31"/>
        <v>42.569490000000002</v>
      </c>
      <c r="F200" s="1396">
        <v>42.569490000000002</v>
      </c>
      <c r="G200" s="1396">
        <v>0</v>
      </c>
      <c r="H200" s="1396">
        <f t="shared" si="32"/>
        <v>42.569490000000002</v>
      </c>
      <c r="I200" s="1397"/>
      <c r="J200" s="1396"/>
      <c r="K200" s="1396"/>
      <c r="L200" s="1396"/>
      <c r="M200" s="1396"/>
      <c r="N200" s="749">
        <f t="shared" si="30"/>
        <v>0</v>
      </c>
      <c r="O200" s="1396">
        <v>0</v>
      </c>
      <c r="P200" s="1396">
        <v>0</v>
      </c>
      <c r="Q200" s="1396">
        <f t="shared" si="33"/>
        <v>0</v>
      </c>
      <c r="R200" s="1398"/>
    </row>
    <row r="201" spans="2:18" ht="14.25" customHeight="1" x14ac:dyDescent="0.2">
      <c r="D201" s="1395" t="s">
        <v>559</v>
      </c>
      <c r="E201" s="749">
        <f t="shared" si="31"/>
        <v>776</v>
      </c>
      <c r="F201" s="1396">
        <v>776</v>
      </c>
      <c r="G201" s="1396">
        <v>65.887873715015587</v>
      </c>
      <c r="H201" s="1396">
        <f t="shared" si="32"/>
        <v>710.11212628498447</v>
      </c>
      <c r="I201" s="1397"/>
      <c r="J201" s="1396"/>
      <c r="K201" s="1396"/>
      <c r="L201" s="1396"/>
      <c r="M201" s="1396"/>
      <c r="N201" s="749">
        <f t="shared" si="30"/>
        <v>0</v>
      </c>
      <c r="O201" s="1396">
        <v>0</v>
      </c>
      <c r="P201" s="1396">
        <v>-7.9</v>
      </c>
      <c r="Q201" s="1396">
        <f t="shared" si="33"/>
        <v>7.9</v>
      </c>
      <c r="R201" s="1398"/>
    </row>
    <row r="202" spans="2:18" ht="14.25" customHeight="1" x14ac:dyDescent="0.2">
      <c r="D202" s="1395" t="s">
        <v>296</v>
      </c>
      <c r="E202" s="749">
        <f t="shared" si="31"/>
        <v>14800</v>
      </c>
      <c r="F202" s="1396">
        <v>14800</v>
      </c>
      <c r="G202" s="1396">
        <v>10417.186510207855</v>
      </c>
      <c r="H202" s="1396">
        <f t="shared" si="32"/>
        <v>4382.8134897921445</v>
      </c>
      <c r="I202" s="1397"/>
      <c r="J202" s="1396"/>
      <c r="K202" s="1396"/>
      <c r="L202" s="1396"/>
      <c r="M202" s="1396"/>
      <c r="N202" s="749">
        <f t="shared" si="30"/>
        <v>-5.7150128420000001</v>
      </c>
      <c r="O202" s="1396">
        <v>-5.7150128420000001</v>
      </c>
      <c r="P202" s="1396">
        <v>96.522487514592797</v>
      </c>
      <c r="Q202" s="1396">
        <f t="shared" si="33"/>
        <v>-102.23750035659279</v>
      </c>
      <c r="R202" s="1398"/>
    </row>
    <row r="203" spans="2:18" ht="14.25" customHeight="1" x14ac:dyDescent="0.2">
      <c r="B203" s="161" t="s">
        <v>560</v>
      </c>
      <c r="D203" s="1395" t="s">
        <v>561</v>
      </c>
      <c r="E203" s="749">
        <f t="shared" si="31"/>
        <v>13.3665</v>
      </c>
      <c r="F203" s="1396">
        <v>13.3665</v>
      </c>
      <c r="G203" s="1396">
        <v>239.18468705386999</v>
      </c>
      <c r="H203" s="1396">
        <f t="shared" si="32"/>
        <v>-225.81818705386999</v>
      </c>
      <c r="I203" s="1397"/>
      <c r="J203" s="1396"/>
      <c r="K203" s="1396"/>
      <c r="L203" s="1396"/>
      <c r="M203" s="1396"/>
      <c r="N203" s="749">
        <f t="shared" si="30"/>
        <v>0</v>
      </c>
      <c r="O203" s="1396">
        <v>0</v>
      </c>
      <c r="P203" s="1396">
        <v>-0.2</v>
      </c>
      <c r="Q203" s="1396">
        <f t="shared" si="33"/>
        <v>0.2</v>
      </c>
      <c r="R203" s="1398"/>
    </row>
    <row r="204" spans="2:18" ht="14.25" customHeight="1" x14ac:dyDescent="0.2">
      <c r="D204" s="1395" t="s">
        <v>562</v>
      </c>
      <c r="E204" s="749">
        <f t="shared" si="31"/>
        <v>121</v>
      </c>
      <c r="F204" s="1396">
        <v>121</v>
      </c>
      <c r="G204" s="1396">
        <v>-0.7</v>
      </c>
      <c r="H204" s="1396">
        <f t="shared" si="32"/>
        <v>121.7</v>
      </c>
      <c r="I204" s="1397"/>
      <c r="J204" s="1396"/>
      <c r="K204" s="1396"/>
      <c r="L204" s="1396"/>
      <c r="M204" s="1396"/>
      <c r="N204" s="749">
        <f t="shared" si="30"/>
        <v>197</v>
      </c>
      <c r="O204" s="1396">
        <v>197</v>
      </c>
      <c r="P204" s="1396">
        <v>10</v>
      </c>
      <c r="Q204" s="1396">
        <f t="shared" si="33"/>
        <v>187</v>
      </c>
      <c r="R204" s="1398"/>
    </row>
    <row r="205" spans="2:18" ht="14.25" customHeight="1" x14ac:dyDescent="0.2">
      <c r="D205" s="1395" t="s">
        <v>563</v>
      </c>
      <c r="E205" s="749">
        <f t="shared" si="31"/>
        <v>0</v>
      </c>
      <c r="F205" s="1396">
        <v>0</v>
      </c>
      <c r="G205" s="1396">
        <v>0</v>
      </c>
      <c r="H205" s="1396">
        <f t="shared" si="32"/>
        <v>0</v>
      </c>
      <c r="I205" s="1397"/>
      <c r="J205" s="1396"/>
      <c r="K205" s="1396"/>
      <c r="L205" s="1396"/>
      <c r="M205" s="1396"/>
      <c r="N205" s="749">
        <f t="shared" si="30"/>
        <v>0</v>
      </c>
      <c r="O205" s="1396">
        <v>0</v>
      </c>
      <c r="P205" s="1396">
        <v>0</v>
      </c>
      <c r="Q205" s="1396">
        <f t="shared" si="33"/>
        <v>0</v>
      </c>
      <c r="R205" s="1398"/>
    </row>
    <row r="206" spans="2:18" ht="14.25" customHeight="1" x14ac:dyDescent="0.2">
      <c r="D206" s="1395" t="s">
        <v>564</v>
      </c>
      <c r="E206" s="749">
        <f t="shared" si="31"/>
        <v>530</v>
      </c>
      <c r="F206" s="1396">
        <v>530</v>
      </c>
      <c r="G206" s="1396">
        <v>331.8</v>
      </c>
      <c r="H206" s="1396">
        <f t="shared" si="32"/>
        <v>198.2</v>
      </c>
      <c r="I206" s="1397"/>
      <c r="J206" s="1396"/>
      <c r="K206" s="1396"/>
      <c r="L206" s="1396"/>
      <c r="M206" s="1396"/>
      <c r="N206" s="749">
        <f t="shared" si="30"/>
        <v>126</v>
      </c>
      <c r="O206" s="1396">
        <v>126</v>
      </c>
      <c r="P206" s="1396">
        <v>-2</v>
      </c>
      <c r="Q206" s="1396">
        <f t="shared" si="33"/>
        <v>128</v>
      </c>
      <c r="R206" s="1398"/>
    </row>
    <row r="207" spans="2:18" ht="14.25" customHeight="1" x14ac:dyDescent="0.2">
      <c r="D207" s="1395" t="s">
        <v>565</v>
      </c>
      <c r="E207" s="749">
        <f t="shared" si="31"/>
        <v>984</v>
      </c>
      <c r="F207" s="1396">
        <v>984</v>
      </c>
      <c r="G207" s="1396">
        <v>233.6</v>
      </c>
      <c r="H207" s="1396">
        <f t="shared" si="32"/>
        <v>750.4</v>
      </c>
      <c r="I207" s="1397"/>
      <c r="J207" s="1396"/>
      <c r="K207" s="1396"/>
      <c r="L207" s="1396"/>
      <c r="M207" s="1396"/>
      <c r="N207" s="749">
        <f t="shared" si="30"/>
        <v>39.86490792</v>
      </c>
      <c r="O207" s="1396">
        <v>39.86490792</v>
      </c>
      <c r="P207" s="1396">
        <v>12.2</v>
      </c>
      <c r="Q207" s="1396">
        <f t="shared" si="33"/>
        <v>27.664907920000001</v>
      </c>
      <c r="R207" s="1398"/>
    </row>
    <row r="208" spans="2:18" ht="14.25" customHeight="1" x14ac:dyDescent="0.2">
      <c r="D208" s="1395" t="s">
        <v>566</v>
      </c>
      <c r="E208" s="749">
        <f t="shared" si="31"/>
        <v>0</v>
      </c>
      <c r="F208" s="1396">
        <v>0</v>
      </c>
      <c r="G208" s="1396">
        <v>0</v>
      </c>
      <c r="H208" s="1396">
        <f t="shared" si="32"/>
        <v>0</v>
      </c>
      <c r="I208" s="1397"/>
      <c r="J208" s="1396"/>
      <c r="K208" s="1396"/>
      <c r="L208" s="1396"/>
      <c r="M208" s="1396"/>
      <c r="N208" s="749">
        <f t="shared" si="30"/>
        <v>0</v>
      </c>
      <c r="O208" s="1396">
        <v>0</v>
      </c>
      <c r="P208" s="1396">
        <v>0</v>
      </c>
      <c r="Q208" s="1396">
        <f t="shared" si="33"/>
        <v>0</v>
      </c>
      <c r="R208" s="1398"/>
    </row>
    <row r="209" spans="2:18" ht="14.25" customHeight="1" x14ac:dyDescent="0.2">
      <c r="D209" s="1395" t="s">
        <v>567</v>
      </c>
      <c r="E209" s="749">
        <f t="shared" si="31"/>
        <v>229</v>
      </c>
      <c r="F209" s="1396">
        <v>229</v>
      </c>
      <c r="G209" s="1396">
        <v>41.836212690500098</v>
      </c>
      <c r="H209" s="1396">
        <f t="shared" si="32"/>
        <v>187.1637873094999</v>
      </c>
      <c r="I209" s="1397"/>
      <c r="J209" s="1396"/>
      <c r="K209" s="1396"/>
      <c r="L209" s="1396"/>
      <c r="M209" s="1396"/>
      <c r="N209" s="749">
        <f t="shared" si="30"/>
        <v>0.28762388</v>
      </c>
      <c r="O209" s="1396">
        <v>0.28762388</v>
      </c>
      <c r="P209" s="1396">
        <v>-0.4</v>
      </c>
      <c r="Q209" s="1396">
        <f t="shared" si="33"/>
        <v>0.68762388000000008</v>
      </c>
      <c r="R209" s="1398"/>
    </row>
    <row r="210" spans="2:18" ht="14.25" customHeight="1" x14ac:dyDescent="0.2">
      <c r="D210" s="1395" t="s">
        <v>568</v>
      </c>
      <c r="E210" s="749">
        <f t="shared" si="31"/>
        <v>471</v>
      </c>
      <c r="F210" s="1396">
        <v>471</v>
      </c>
      <c r="G210" s="1396">
        <v>-157.49593021092966</v>
      </c>
      <c r="H210" s="1396">
        <f t="shared" si="32"/>
        <v>628.4959302109296</v>
      </c>
      <c r="I210" s="1397"/>
      <c r="J210" s="1396"/>
      <c r="K210" s="1396"/>
      <c r="L210" s="1396"/>
      <c r="M210" s="1396"/>
      <c r="N210" s="749">
        <f t="shared" si="30"/>
        <v>42</v>
      </c>
      <c r="O210" s="1396">
        <v>42</v>
      </c>
      <c r="P210" s="1396">
        <v>-3.2039029449206544</v>
      </c>
      <c r="Q210" s="1396">
        <f t="shared" si="33"/>
        <v>45.203902944920657</v>
      </c>
      <c r="R210" s="1398"/>
    </row>
    <row r="211" spans="2:18" ht="14.25" customHeight="1" x14ac:dyDescent="0.2">
      <c r="D211" s="1395" t="s">
        <v>569</v>
      </c>
      <c r="E211" s="749">
        <f t="shared" si="31"/>
        <v>806</v>
      </c>
      <c r="F211" s="1396">
        <v>806</v>
      </c>
      <c r="G211" s="1396">
        <v>188.74232605478502</v>
      </c>
      <c r="H211" s="1396">
        <f t="shared" si="32"/>
        <v>617.25767394521495</v>
      </c>
      <c r="I211" s="1397"/>
      <c r="J211" s="1396"/>
      <c r="K211" s="1396"/>
      <c r="L211" s="1396"/>
      <c r="M211" s="1396"/>
      <c r="N211" s="749">
        <f t="shared" si="30"/>
        <v>32.814710599999998</v>
      </c>
      <c r="O211" s="1396">
        <v>32.814710599999998</v>
      </c>
      <c r="P211" s="1396">
        <v>452.70630963046403</v>
      </c>
      <c r="Q211" s="1396">
        <f t="shared" si="33"/>
        <v>-419.89159903046402</v>
      </c>
      <c r="R211" s="1398"/>
    </row>
    <row r="212" spans="2:18" ht="14.25" customHeight="1" x14ac:dyDescent="0.2">
      <c r="D212" s="1395" t="s">
        <v>570</v>
      </c>
      <c r="E212" s="749">
        <f t="shared" si="31"/>
        <v>25.113928659999999</v>
      </c>
      <c r="F212" s="1396">
        <v>25.113928659999999</v>
      </c>
      <c r="G212" s="1396">
        <v>13.713712525358797</v>
      </c>
      <c r="H212" s="1396">
        <f t="shared" si="32"/>
        <v>11.400216134641202</v>
      </c>
      <c r="I212" s="1397"/>
      <c r="J212" s="1396"/>
      <c r="K212" s="1396"/>
      <c r="L212" s="1396"/>
      <c r="M212" s="1396"/>
      <c r="N212" s="749">
        <f t="shared" si="30"/>
        <v>1.4479432269999999</v>
      </c>
      <c r="O212" s="1396">
        <v>1.4479432269999999</v>
      </c>
      <c r="P212" s="1396">
        <v>0</v>
      </c>
      <c r="Q212" s="1396">
        <f t="shared" si="33"/>
        <v>1.4479432269999999</v>
      </c>
      <c r="R212" s="1398"/>
    </row>
    <row r="213" spans="2:18" ht="14.25" customHeight="1" x14ac:dyDescent="0.2">
      <c r="B213" s="161" t="s">
        <v>571</v>
      </c>
      <c r="D213" s="1395" t="s">
        <v>278</v>
      </c>
      <c r="E213" s="749">
        <f t="shared" si="31"/>
        <v>2330</v>
      </c>
      <c r="F213" s="1396">
        <v>2330</v>
      </c>
      <c r="G213" s="1396">
        <v>2742.1986054943527</v>
      </c>
      <c r="H213" s="1396">
        <f t="shared" si="32"/>
        <v>-412.19860549435271</v>
      </c>
      <c r="I213" s="1397"/>
      <c r="J213" s="1396"/>
      <c r="K213" s="1396"/>
      <c r="L213" s="1396"/>
      <c r="M213" s="1396"/>
      <c r="N213" s="749">
        <f t="shared" si="30"/>
        <v>600</v>
      </c>
      <c r="O213" s="1396">
        <v>600</v>
      </c>
      <c r="P213" s="1396">
        <v>-76.5</v>
      </c>
      <c r="Q213" s="1396">
        <f t="shared" si="33"/>
        <v>676.5</v>
      </c>
      <c r="R213" s="1398"/>
    </row>
    <row r="214" spans="2:18" ht="14.25" customHeight="1" x14ac:dyDescent="0.2">
      <c r="D214" s="1395" t="s">
        <v>572</v>
      </c>
      <c r="E214" s="749">
        <f t="shared" si="31"/>
        <v>0</v>
      </c>
      <c r="F214" s="1396">
        <v>0</v>
      </c>
      <c r="G214" s="1396">
        <v>2080.9400631878912</v>
      </c>
      <c r="H214" s="1396">
        <f t="shared" si="32"/>
        <v>-2080.9400631878912</v>
      </c>
      <c r="I214" s="1397"/>
      <c r="J214" s="1396"/>
      <c r="K214" s="1396"/>
      <c r="L214" s="1396"/>
      <c r="M214" s="1396"/>
      <c r="N214" s="749">
        <f t="shared" si="30"/>
        <v>0</v>
      </c>
      <c r="O214" s="1396">
        <v>0</v>
      </c>
      <c r="P214" s="1396">
        <v>-0.57518286842481992</v>
      </c>
      <c r="Q214" s="1396">
        <f t="shared" si="33"/>
        <v>0.57518286842481992</v>
      </c>
      <c r="R214" s="1398"/>
    </row>
    <row r="215" spans="2:18" ht="14.25" customHeight="1" x14ac:dyDescent="0.2">
      <c r="D215" s="1395" t="s">
        <v>573</v>
      </c>
      <c r="E215" s="749">
        <f t="shared" si="31"/>
        <v>73.865486590000003</v>
      </c>
      <c r="F215" s="1396">
        <v>73.865486590000003</v>
      </c>
      <c r="G215" s="1396">
        <v>0</v>
      </c>
      <c r="H215" s="1396">
        <f t="shared" si="32"/>
        <v>73.865486590000003</v>
      </c>
      <c r="I215" s="1397"/>
      <c r="J215" s="1396"/>
      <c r="K215" s="1396"/>
      <c r="L215" s="1396"/>
      <c r="M215" s="1396"/>
      <c r="N215" s="749">
        <f t="shared" si="30"/>
        <v>4.4454228530000002</v>
      </c>
      <c r="O215" s="1396">
        <v>4.4454228530000002</v>
      </c>
      <c r="P215" s="1396">
        <v>0</v>
      </c>
      <c r="Q215" s="1396">
        <f t="shared" si="33"/>
        <v>4.4454228530000002</v>
      </c>
      <c r="R215" s="1398"/>
    </row>
    <row r="216" spans="2:18" ht="14.25" customHeight="1" x14ac:dyDescent="0.2">
      <c r="B216" s="161" t="s">
        <v>574</v>
      </c>
      <c r="D216" s="1395" t="s">
        <v>575</v>
      </c>
      <c r="E216" s="749">
        <f t="shared" si="31"/>
        <v>204</v>
      </c>
      <c r="F216" s="1396">
        <v>204</v>
      </c>
      <c r="G216" s="1396">
        <v>-117.9</v>
      </c>
      <c r="H216" s="1396">
        <f t="shared" si="32"/>
        <v>321.89999999999998</v>
      </c>
      <c r="I216" s="1397"/>
      <c r="J216" s="1396"/>
      <c r="K216" s="1396"/>
      <c r="L216" s="1396"/>
      <c r="M216" s="1396"/>
      <c r="N216" s="749">
        <f t="shared" si="30"/>
        <v>0</v>
      </c>
      <c r="O216" s="1396">
        <v>0</v>
      </c>
      <c r="P216" s="1396">
        <v>-0.1</v>
      </c>
      <c r="Q216" s="1396">
        <f t="shared" si="33"/>
        <v>0.1</v>
      </c>
      <c r="R216" s="1398"/>
    </row>
    <row r="217" spans="2:18" ht="14.25" customHeight="1" x14ac:dyDescent="0.2">
      <c r="D217" s="1395" t="s">
        <v>576</v>
      </c>
      <c r="E217" s="749">
        <f t="shared" si="31"/>
        <v>34.138577740000002</v>
      </c>
      <c r="F217" s="1396">
        <v>34.138577740000002</v>
      </c>
      <c r="G217" s="1396">
        <v>161.00000000000003</v>
      </c>
      <c r="H217" s="1396">
        <f t="shared" si="32"/>
        <v>-126.86142226000003</v>
      </c>
      <c r="I217" s="1397"/>
      <c r="J217" s="1396"/>
      <c r="K217" s="1396"/>
      <c r="L217" s="1396"/>
      <c r="M217" s="1396"/>
      <c r="N217" s="749">
        <f t="shared" si="30"/>
        <v>0</v>
      </c>
      <c r="O217" s="1396">
        <v>0</v>
      </c>
      <c r="P217" s="1396">
        <v>0.1</v>
      </c>
      <c r="Q217" s="1396">
        <f t="shared" si="33"/>
        <v>-0.1</v>
      </c>
      <c r="R217" s="1398"/>
    </row>
    <row r="218" spans="2:18" ht="14.25" customHeight="1" x14ac:dyDescent="0.2">
      <c r="D218" s="1395" t="s">
        <v>577</v>
      </c>
      <c r="E218" s="749">
        <f t="shared" si="31"/>
        <v>148</v>
      </c>
      <c r="F218" s="1396">
        <v>148</v>
      </c>
      <c r="G218" s="1396">
        <v>52.6</v>
      </c>
      <c r="H218" s="1396">
        <f t="shared" si="32"/>
        <v>95.4</v>
      </c>
      <c r="I218" s="1397"/>
      <c r="J218" s="1396"/>
      <c r="K218" s="1396"/>
      <c r="L218" s="1396"/>
      <c r="M218" s="1396"/>
      <c r="N218" s="749">
        <f>+O218</f>
        <v>193</v>
      </c>
      <c r="O218" s="1396">
        <v>193</v>
      </c>
      <c r="P218" s="1396">
        <v>-0.2</v>
      </c>
      <c r="Q218" s="1396">
        <f t="shared" si="33"/>
        <v>193.2</v>
      </c>
      <c r="R218" s="1398"/>
    </row>
    <row r="219" spans="2:18" ht="14.25" customHeight="1" x14ac:dyDescent="0.2">
      <c r="D219" s="1868" t="s">
        <v>578</v>
      </c>
      <c r="E219" s="1404">
        <f>+F219</f>
        <v>-1672.4</v>
      </c>
      <c r="F219" s="1405">
        <v>-1672.4</v>
      </c>
      <c r="G219" s="1405">
        <v>106261.94453427197</v>
      </c>
      <c r="H219" s="1405">
        <f t="shared" si="32"/>
        <v>-107934.34453427196</v>
      </c>
      <c r="I219" s="1406"/>
      <c r="J219" s="1405"/>
      <c r="K219" s="1405"/>
      <c r="L219" s="1405"/>
      <c r="M219" s="1405"/>
      <c r="N219" s="1404"/>
      <c r="O219" s="1405"/>
      <c r="P219" s="1405">
        <v>79071.100643379541</v>
      </c>
      <c r="Q219" s="1405">
        <f t="shared" si="33"/>
        <v>-79071.100643379541</v>
      </c>
      <c r="R219" s="1407"/>
    </row>
    <row r="220" spans="2:18" ht="40" customHeight="1" thickBot="1" x14ac:dyDescent="0.2">
      <c r="D220" s="341" t="s">
        <v>110</v>
      </c>
      <c r="E220" s="342">
        <f>E90+E53+E45+E9</f>
        <v>1516995.635771058</v>
      </c>
      <c r="F220" s="343">
        <f>F90+F53+F45+F9</f>
        <v>1597312.476559171</v>
      </c>
      <c r="G220" s="343">
        <f t="shared" ref="G220:R220" si="34">G90+G53+G45+G9</f>
        <v>1244689.8070919209</v>
      </c>
      <c r="H220" s="343">
        <f t="shared" si="34"/>
        <v>272631.60144590726</v>
      </c>
      <c r="I220" s="344">
        <f t="shared" si="34"/>
        <v>249862.67504173159</v>
      </c>
      <c r="J220" s="343">
        <f t="shared" si="34"/>
        <v>175720.7</v>
      </c>
      <c r="K220" s="343">
        <f t="shared" si="34"/>
        <v>74141.975041731595</v>
      </c>
      <c r="L220" s="343">
        <f t="shared" si="34"/>
        <v>44346.683670168517</v>
      </c>
      <c r="M220" s="343">
        <f t="shared" si="34"/>
        <v>45353.768002438665</v>
      </c>
      <c r="N220" s="342">
        <f t="shared" si="34"/>
        <v>1637523.6694827664</v>
      </c>
      <c r="O220" s="343">
        <f t="shared" si="34"/>
        <v>1754391.2836004097</v>
      </c>
      <c r="P220" s="343">
        <f t="shared" si="34"/>
        <v>841399.6892654784</v>
      </c>
      <c r="Q220" s="343">
        <f t="shared" si="34"/>
        <v>796123.9802172879</v>
      </c>
      <c r="R220" s="366">
        <f t="shared" si="34"/>
        <v>182484.31967309996</v>
      </c>
    </row>
    <row r="221" spans="2:18" ht="14" thickTop="1" x14ac:dyDescent="0.15">
      <c r="J221" s="338"/>
      <c r="K221" s="338"/>
      <c r="L221" s="338"/>
      <c r="M221" s="338"/>
    </row>
    <row r="222" spans="2:18" ht="14" thickBot="1" x14ac:dyDescent="0.2">
      <c r="I222" s="163"/>
      <c r="J222" s="163"/>
      <c r="K222" s="163"/>
      <c r="L222" s="163"/>
      <c r="M222" s="163"/>
    </row>
    <row r="223" spans="2:18" x14ac:dyDescent="0.15">
      <c r="D223" s="2222" t="s">
        <v>579</v>
      </c>
      <c r="E223" s="2223"/>
      <c r="F223" s="2223"/>
      <c r="G223" s="2223"/>
      <c r="H223" s="2223"/>
      <c r="I223" s="2223"/>
      <c r="J223" s="2223"/>
      <c r="K223" s="2223"/>
      <c r="L223" s="2223"/>
      <c r="M223" s="2223"/>
      <c r="N223" s="2223"/>
      <c r="O223" s="2223"/>
      <c r="P223" s="2223"/>
      <c r="Q223" s="2223"/>
      <c r="R223" s="2224"/>
    </row>
    <row r="224" spans="2:18" ht="14" thickBot="1" x14ac:dyDescent="0.2">
      <c r="D224" s="2225"/>
      <c r="E224" s="2226"/>
      <c r="F224" s="2226"/>
      <c r="G224" s="2226"/>
      <c r="H224" s="2226"/>
      <c r="I224" s="2226"/>
      <c r="J224" s="2226"/>
      <c r="K224" s="2226"/>
      <c r="L224" s="2226"/>
      <c r="M224" s="2226"/>
      <c r="N224" s="2226"/>
      <c r="O224" s="2226"/>
      <c r="P224" s="2226"/>
      <c r="Q224" s="2226"/>
      <c r="R224" s="2227"/>
    </row>
    <row r="225" spans="4:15" x14ac:dyDescent="0.15">
      <c r="I225" s="163"/>
      <c r="J225" s="163"/>
      <c r="K225" s="163"/>
      <c r="L225" s="163"/>
      <c r="M225" s="163"/>
    </row>
    <row r="226" spans="4:15" ht="18" x14ac:dyDescent="0.2">
      <c r="D226" s="555" t="s">
        <v>580</v>
      </c>
      <c r="E226" s="556">
        <f>N220-E220</f>
        <v>120528.03371170838</v>
      </c>
      <c r="F226" s="556">
        <f>O220-F220</f>
        <v>157078.80704123876</v>
      </c>
      <c r="G226" s="556"/>
      <c r="H226" s="556"/>
      <c r="I226" s="556">
        <f>O220+R220-F220-I220</f>
        <v>89700.451672607189</v>
      </c>
      <c r="J226" s="557"/>
      <c r="K226" s="557"/>
      <c r="L226" s="558">
        <f>I226-L220</f>
        <v>45353.768002438672</v>
      </c>
      <c r="M226" s="559">
        <f>L226-M220</f>
        <v>0</v>
      </c>
      <c r="O226" s="164"/>
    </row>
    <row r="227" spans="4:15" x14ac:dyDescent="0.15">
      <c r="D227" s="555" t="s">
        <v>26</v>
      </c>
      <c r="E227" s="555"/>
      <c r="F227" s="559">
        <f>F226-TableB9!S54*1000</f>
        <v>-29945.192958761239</v>
      </c>
      <c r="G227" s="555"/>
      <c r="H227" s="555"/>
      <c r="I227" s="560"/>
      <c r="J227" s="560"/>
      <c r="K227" s="560"/>
      <c r="L227" s="560"/>
      <c r="M227" s="560"/>
    </row>
    <row r="228" spans="4:15" x14ac:dyDescent="0.15">
      <c r="D228" s="555"/>
      <c r="E228" s="555"/>
      <c r="F228" s="555"/>
      <c r="G228" s="555"/>
      <c r="H228" s="555"/>
      <c r="I228" s="561"/>
      <c r="J228" s="561"/>
      <c r="K228" s="561"/>
      <c r="L228" s="561"/>
      <c r="M228" s="561"/>
      <c r="O228" s="164"/>
    </row>
    <row r="229" spans="4:15" x14ac:dyDescent="0.15">
      <c r="D229" s="555" t="s">
        <v>326</v>
      </c>
      <c r="E229" s="555">
        <v>0.90165899999999999</v>
      </c>
      <c r="F229" s="555"/>
      <c r="G229" s="555"/>
      <c r="H229" s="555"/>
      <c r="I229" s="561"/>
      <c r="J229" s="561"/>
      <c r="K229" s="561"/>
      <c r="L229" s="561"/>
      <c r="M229" s="561"/>
    </row>
    <row r="230" spans="4:15" x14ac:dyDescent="0.15">
      <c r="D230" s="555"/>
      <c r="E230" s="555"/>
      <c r="F230" s="555"/>
      <c r="G230" s="555"/>
      <c r="H230" s="555"/>
      <c r="I230" s="561"/>
      <c r="J230" s="561"/>
      <c r="K230" s="561"/>
      <c r="L230" s="561"/>
      <c r="M230" s="561"/>
    </row>
    <row r="231" spans="4:15" x14ac:dyDescent="0.15">
      <c r="D231" s="555"/>
      <c r="E231" s="555"/>
      <c r="F231" s="555"/>
      <c r="G231" s="555"/>
      <c r="H231" s="555"/>
      <c r="I231" s="561"/>
      <c r="J231" s="561"/>
      <c r="K231" s="561"/>
      <c r="L231" s="561"/>
      <c r="M231" s="561"/>
    </row>
    <row r="232" spans="4:15" x14ac:dyDescent="0.15">
      <c r="D232" s="555"/>
      <c r="E232" s="555"/>
      <c r="F232" s="555"/>
      <c r="G232" s="555"/>
      <c r="H232" s="555"/>
      <c r="I232" s="561"/>
      <c r="J232" s="561"/>
      <c r="K232" s="561"/>
      <c r="L232" s="561"/>
      <c r="M232" s="561"/>
    </row>
    <row r="233" spans="4:15" x14ac:dyDescent="0.15">
      <c r="D233" s="555"/>
      <c r="E233" s="555"/>
      <c r="F233" s="555"/>
      <c r="G233" s="555"/>
      <c r="H233" s="555"/>
      <c r="I233" s="561"/>
      <c r="J233" s="561"/>
      <c r="K233" s="561"/>
      <c r="L233" s="561"/>
      <c r="M233" s="561"/>
    </row>
  </sheetData>
  <mergeCells count="18">
    <mergeCell ref="D223:R224"/>
    <mergeCell ref="H7:H8"/>
    <mergeCell ref="N7:N8"/>
    <mergeCell ref="O7:O8"/>
    <mergeCell ref="E5:R5"/>
    <mergeCell ref="D2:R2"/>
    <mergeCell ref="E6:H6"/>
    <mergeCell ref="I7:I8"/>
    <mergeCell ref="E7:E8"/>
    <mergeCell ref="F7:F8"/>
    <mergeCell ref="G7:G8"/>
    <mergeCell ref="I6:M6"/>
    <mergeCell ref="L7:L8"/>
    <mergeCell ref="M7:M8"/>
    <mergeCell ref="R7:R8"/>
    <mergeCell ref="P7:P8"/>
    <mergeCell ref="Q7:Q8"/>
    <mergeCell ref="N6:Q6"/>
  </mergeCells>
  <phoneticPr fontId="36" type="noConversion"/>
  <pageMargins left="0.7" right="0.7" top="0.75" bottom="0.75" header="0.3" footer="0.3"/>
  <pageSetup scale="47" fitToHeight="0"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43"/>
  <sheetViews>
    <sheetView topLeftCell="A22" workbookViewId="0">
      <selection activeCell="A2" sqref="A2:M40"/>
    </sheetView>
  </sheetViews>
  <sheetFormatPr baseColWidth="10" defaultColWidth="8.83203125" defaultRowHeight="13" x14ac:dyDescent="0.15"/>
  <cols>
    <col min="1" max="1" width="19.33203125" style="145" customWidth="1"/>
    <col min="2" max="7" width="10.83203125" style="145" customWidth="1"/>
    <col min="8" max="8" width="19.33203125" style="145" customWidth="1"/>
    <col min="9" max="13" width="10.83203125" style="145" customWidth="1"/>
    <col min="14" max="16384" width="8.83203125" style="145"/>
  </cols>
  <sheetData>
    <row r="1" spans="1:14" ht="14" thickBot="1" x14ac:dyDescent="0.2"/>
    <row r="2" spans="1:14" ht="34" customHeight="1" thickTop="1" x14ac:dyDescent="0.15">
      <c r="A2" s="2207" t="s">
        <v>581</v>
      </c>
      <c r="B2" s="2208"/>
      <c r="C2" s="2208"/>
      <c r="D2" s="2208"/>
      <c r="E2" s="2208"/>
      <c r="F2" s="2208"/>
      <c r="G2" s="2208"/>
      <c r="H2" s="2208"/>
      <c r="I2" s="2208"/>
      <c r="J2" s="2208"/>
      <c r="K2" s="2208"/>
      <c r="L2" s="2208"/>
      <c r="M2" s="2209"/>
    </row>
    <row r="3" spans="1:14" ht="13" customHeight="1" x14ac:dyDescent="0.2">
      <c r="A3" s="1395"/>
      <c r="B3" s="374"/>
      <c r="C3" s="374"/>
      <c r="D3" s="374"/>
      <c r="E3" s="374"/>
      <c r="F3" s="374"/>
      <c r="G3" s="374"/>
      <c r="H3" s="374"/>
      <c r="I3" s="374"/>
      <c r="J3" s="374"/>
      <c r="K3" s="374"/>
      <c r="L3" s="374"/>
      <c r="M3" s="1408"/>
    </row>
    <row r="4" spans="1:14" ht="13" customHeight="1" thickBot="1" x14ac:dyDescent="0.25">
      <c r="A4" s="1395"/>
      <c r="B4" s="160" t="s">
        <v>1</v>
      </c>
      <c r="C4" s="160" t="s">
        <v>2</v>
      </c>
      <c r="D4" s="160" t="s">
        <v>3</v>
      </c>
      <c r="E4" s="160" t="s">
        <v>4</v>
      </c>
      <c r="F4" s="160" t="s">
        <v>5</v>
      </c>
      <c r="G4" s="160" t="s">
        <v>6</v>
      </c>
      <c r="H4" s="376"/>
      <c r="I4" s="160" t="s">
        <v>7</v>
      </c>
      <c r="J4" s="160" t="s">
        <v>8</v>
      </c>
      <c r="K4" s="160" t="s">
        <v>9</v>
      </c>
      <c r="L4" s="160" t="s">
        <v>10</v>
      </c>
      <c r="M4" s="377" t="s">
        <v>11</v>
      </c>
    </row>
    <row r="5" spans="1:14" s="373" customFormat="1" ht="35.25" customHeight="1" x14ac:dyDescent="0.2">
      <c r="A5" s="2244" t="s">
        <v>582</v>
      </c>
      <c r="B5" s="2245"/>
      <c r="C5" s="2245"/>
      <c r="D5" s="2245"/>
      <c r="E5" s="2245"/>
      <c r="F5" s="2245"/>
      <c r="G5" s="2246"/>
      <c r="H5" s="2237" t="s">
        <v>583</v>
      </c>
      <c r="I5" s="2238"/>
      <c r="J5" s="2238"/>
      <c r="K5" s="2238"/>
      <c r="L5" s="2238"/>
      <c r="M5" s="2239"/>
      <c r="N5" s="375"/>
    </row>
    <row r="6" spans="1:14" ht="18" customHeight="1" x14ac:dyDescent="0.2">
      <c r="A6" s="1409"/>
      <c r="B6" s="2240" t="s">
        <v>584</v>
      </c>
      <c r="C6" s="2241"/>
      <c r="D6" s="2241"/>
      <c r="E6" s="2241"/>
      <c r="F6" s="2241"/>
      <c r="G6" s="2242"/>
      <c r="H6" s="1410"/>
      <c r="I6" s="2240" t="s">
        <v>584</v>
      </c>
      <c r="J6" s="2241"/>
      <c r="K6" s="2241"/>
      <c r="L6" s="2241"/>
      <c r="M6" s="2243"/>
      <c r="N6" s="1411"/>
    </row>
    <row r="7" spans="1:14" ht="68" x14ac:dyDescent="0.15">
      <c r="A7" s="1412" t="s">
        <v>585</v>
      </c>
      <c r="B7" s="1846" t="s">
        <v>586</v>
      </c>
      <c r="C7" s="1848" t="s">
        <v>63</v>
      </c>
      <c r="D7" s="1848" t="s">
        <v>46</v>
      </c>
      <c r="E7" s="1848" t="s">
        <v>32</v>
      </c>
      <c r="F7" s="1848" t="s">
        <v>587</v>
      </c>
      <c r="G7" s="378" t="s">
        <v>588</v>
      </c>
      <c r="H7" s="1847" t="s">
        <v>589</v>
      </c>
      <c r="I7" s="1846" t="s">
        <v>590</v>
      </c>
      <c r="J7" s="1848" t="s">
        <v>63</v>
      </c>
      <c r="K7" s="1848" t="s">
        <v>46</v>
      </c>
      <c r="L7" s="1848" t="s">
        <v>32</v>
      </c>
      <c r="M7" s="382" t="s">
        <v>231</v>
      </c>
    </row>
    <row r="8" spans="1:14" ht="12" customHeight="1" x14ac:dyDescent="0.2">
      <c r="A8" s="1413" t="s">
        <v>35</v>
      </c>
      <c r="B8" s="1414">
        <v>3.6888795431532673E-2</v>
      </c>
      <c r="C8" s="1415">
        <v>-8.1000000000000221E-3</v>
      </c>
      <c r="D8" s="1415"/>
      <c r="E8" s="1415"/>
      <c r="F8" s="1415">
        <v>5.9442737982594772E-2</v>
      </c>
      <c r="G8" s="379">
        <f t="shared" ref="G8:G37" si="0">+SUM(B8:E8)</f>
        <v>2.8788795431532649E-2</v>
      </c>
      <c r="H8" s="1416" t="s">
        <v>514</v>
      </c>
      <c r="I8" s="1414">
        <v>4.6580802720318911E-3</v>
      </c>
      <c r="J8" s="1415">
        <v>4.4362669257446552E-4</v>
      </c>
      <c r="K8" s="1415"/>
      <c r="L8" s="1415"/>
      <c r="M8" s="383">
        <f t="shared" ref="M8:M37" si="1">+SUM(H8:K8)</f>
        <v>5.1017069646063567E-3</v>
      </c>
      <c r="N8" s="1417"/>
    </row>
    <row r="9" spans="1:14" ht="16" x14ac:dyDescent="0.2">
      <c r="A9" s="1418" t="s">
        <v>57</v>
      </c>
      <c r="B9" s="1419">
        <v>-0.10413546906313796</v>
      </c>
      <c r="C9" s="1420">
        <v>1.2399999999999998E-2</v>
      </c>
      <c r="D9" s="1420"/>
      <c r="E9" s="1420"/>
      <c r="F9" s="1420">
        <v>-2.4123684040136741E-2</v>
      </c>
      <c r="G9" s="380">
        <f t="shared" si="0"/>
        <v>-9.1735469063137967E-2</v>
      </c>
      <c r="H9" s="1421" t="s">
        <v>48</v>
      </c>
      <c r="I9" s="1419">
        <v>-9.094347197776546E-3</v>
      </c>
      <c r="J9" s="1420">
        <v>0</v>
      </c>
      <c r="K9" s="1420"/>
      <c r="L9" s="1420"/>
      <c r="M9" s="384">
        <f t="shared" si="1"/>
        <v>-9.094347197776546E-3</v>
      </c>
      <c r="N9" s="1417"/>
    </row>
    <row r="10" spans="1:14" ht="16" x14ac:dyDescent="0.2">
      <c r="A10" s="1418" t="s">
        <v>48</v>
      </c>
      <c r="B10" s="1419">
        <v>-0.1477557084219201</v>
      </c>
      <c r="C10" s="1420">
        <v>-1.1000000000000001E-3</v>
      </c>
      <c r="D10" s="1420"/>
      <c r="E10" s="1420"/>
      <c r="F10" s="1420">
        <v>-4.0132787929942487E-2</v>
      </c>
      <c r="G10" s="380">
        <f t="shared" si="0"/>
        <v>-0.14885570842192009</v>
      </c>
      <c r="H10" s="1421" t="s">
        <v>34</v>
      </c>
      <c r="I10" s="1419">
        <v>0</v>
      </c>
      <c r="J10" s="1420">
        <v>1.4861494201244595E-2</v>
      </c>
      <c r="K10" s="1420"/>
      <c r="L10" s="1420"/>
      <c r="M10" s="384">
        <f t="shared" si="1"/>
        <v>1.4861494201244595E-2</v>
      </c>
      <c r="N10" s="1417"/>
    </row>
    <row r="11" spans="1:14" ht="16" x14ac:dyDescent="0.2">
      <c r="A11" s="1418" t="s">
        <v>472</v>
      </c>
      <c r="B11" s="1419">
        <v>0.17129281668568724</v>
      </c>
      <c r="C11" s="1420">
        <v>-1.95E-2</v>
      </c>
      <c r="D11" s="1420"/>
      <c r="E11" s="1420"/>
      <c r="F11" s="1420">
        <v>4.6376888587993839E-2</v>
      </c>
      <c r="G11" s="380">
        <f t="shared" si="0"/>
        <v>0.15179281668568725</v>
      </c>
      <c r="H11" s="1421" t="s">
        <v>543</v>
      </c>
      <c r="I11" s="1419">
        <v>-3.5822855425388087E-2</v>
      </c>
      <c r="J11" s="1420"/>
      <c r="K11" s="1420"/>
      <c r="L11" s="1420"/>
      <c r="M11" s="384">
        <f t="shared" si="1"/>
        <v>-3.5822855425388087E-2</v>
      </c>
      <c r="N11" s="1417"/>
    </row>
    <row r="12" spans="1:14" ht="16" x14ac:dyDescent="0.2">
      <c r="A12" s="1418" t="s">
        <v>37</v>
      </c>
      <c r="B12" s="1419">
        <v>-0.31315243257151559</v>
      </c>
      <c r="C12" s="1420"/>
      <c r="D12" s="1420"/>
      <c r="E12" s="1420"/>
      <c r="F12" s="1420">
        <v>-5.8700047595954256E-2</v>
      </c>
      <c r="G12" s="380">
        <f t="shared" si="0"/>
        <v>-0.31315243257151559</v>
      </c>
      <c r="H12" s="1421" t="s">
        <v>451</v>
      </c>
      <c r="I12" s="1419">
        <v>4.1035469063138055E-2</v>
      </c>
      <c r="J12" s="1420">
        <v>1.1090667314361623E-4</v>
      </c>
      <c r="K12" s="1420"/>
      <c r="L12" s="1420"/>
      <c r="M12" s="384">
        <f t="shared" si="1"/>
        <v>4.1146375736281673E-2</v>
      </c>
      <c r="N12" s="1417"/>
    </row>
    <row r="13" spans="1:14" ht="16" x14ac:dyDescent="0.2">
      <c r="A13" s="1418" t="s">
        <v>58</v>
      </c>
      <c r="B13" s="1419">
        <v>-0.32379999999999926</v>
      </c>
      <c r="C13" s="1420"/>
      <c r="D13" s="1420"/>
      <c r="E13" s="1420"/>
      <c r="F13" s="1420">
        <v>-8.9067832294142169E-2</v>
      </c>
      <c r="G13" s="380">
        <f t="shared" si="0"/>
        <v>-0.32379999999999926</v>
      </c>
      <c r="H13" s="1421" t="s">
        <v>57</v>
      </c>
      <c r="I13" s="1419">
        <v>-5.7782376707824136E-2</v>
      </c>
      <c r="J13" s="1420">
        <v>1.3308800777233965E-3</v>
      </c>
      <c r="K13" s="1420"/>
      <c r="L13" s="1420"/>
      <c r="M13" s="384">
        <f t="shared" si="1"/>
        <v>-5.6451496630100739E-2</v>
      </c>
      <c r="N13" s="1417"/>
    </row>
    <row r="14" spans="1:14" ht="16" x14ac:dyDescent="0.2">
      <c r="A14" s="1418" t="s">
        <v>451</v>
      </c>
      <c r="B14" s="1419">
        <v>-0.31406322545441223</v>
      </c>
      <c r="C14" s="1420">
        <v>-3.4000000000000002E-2</v>
      </c>
      <c r="D14" s="1420"/>
      <c r="E14" s="1420"/>
      <c r="F14" s="1420">
        <v>-8.3951520741730193E-2</v>
      </c>
      <c r="G14" s="380">
        <f t="shared" si="0"/>
        <v>-0.34806322545441226</v>
      </c>
      <c r="H14" s="1421" t="s">
        <v>40</v>
      </c>
      <c r="I14" s="1419">
        <v>8.6396298378877134E-2</v>
      </c>
      <c r="J14" s="1420"/>
      <c r="K14" s="1420"/>
      <c r="L14" s="1420"/>
      <c r="M14" s="384">
        <f t="shared" si="1"/>
        <v>8.6396298378877134E-2</v>
      </c>
      <c r="N14" s="1417"/>
    </row>
    <row r="15" spans="1:14" ht="16" x14ac:dyDescent="0.2">
      <c r="A15" s="1418" t="s">
        <v>36</v>
      </c>
      <c r="B15" s="1419">
        <v>-0.36899999999999999</v>
      </c>
      <c r="C15" s="1420">
        <v>-1.4299999999999998E-2</v>
      </c>
      <c r="D15" s="1420"/>
      <c r="E15" s="1420"/>
      <c r="F15" s="1420">
        <v>-0.10543452785158977</v>
      </c>
      <c r="G15" s="380">
        <f t="shared" si="0"/>
        <v>-0.38329999999999997</v>
      </c>
      <c r="H15" s="1421" t="s">
        <v>36</v>
      </c>
      <c r="I15" s="1419">
        <v>0.15515843572791932</v>
      </c>
      <c r="J15" s="1420">
        <v>-1.3974240816095664E-2</v>
      </c>
      <c r="K15" s="1420"/>
      <c r="L15" s="1420"/>
      <c r="M15" s="384">
        <f t="shared" si="1"/>
        <v>0.14118419491182366</v>
      </c>
      <c r="N15" s="1417"/>
    </row>
    <row r="16" spans="1:14" ht="16" x14ac:dyDescent="0.2">
      <c r="A16" s="1418" t="s">
        <v>55</v>
      </c>
      <c r="B16" s="1419">
        <v>-0.40109999999999946</v>
      </c>
      <c r="C16" s="1420"/>
      <c r="D16" s="1420"/>
      <c r="E16" s="1420"/>
      <c r="F16" s="1420">
        <v>-0.1103307829931453</v>
      </c>
      <c r="G16" s="380">
        <f t="shared" si="0"/>
        <v>-0.40109999999999946</v>
      </c>
      <c r="H16" s="1421" t="s">
        <v>56</v>
      </c>
      <c r="I16" s="1419">
        <v>-0.17013083660230752</v>
      </c>
      <c r="J16" s="1420"/>
      <c r="K16" s="1420"/>
      <c r="L16" s="1420"/>
      <c r="M16" s="384">
        <f t="shared" si="1"/>
        <v>-0.17013083660230752</v>
      </c>
      <c r="N16" s="1417"/>
    </row>
    <row r="17" spans="1:17" ht="16" x14ac:dyDescent="0.2">
      <c r="A17" s="1418" t="s">
        <v>514</v>
      </c>
      <c r="B17" s="1419">
        <v>-0.51803349614432959</v>
      </c>
      <c r="C17" s="1420">
        <v>-3.0799999999999998E-2</v>
      </c>
      <c r="D17" s="1420"/>
      <c r="E17" s="1420"/>
      <c r="F17" s="1420">
        <v>-0.14966586643373336</v>
      </c>
      <c r="G17" s="380">
        <f t="shared" si="0"/>
        <v>-0.54883349614432964</v>
      </c>
      <c r="H17" s="1421" t="s">
        <v>472</v>
      </c>
      <c r="I17" s="1419">
        <v>-0.18044515720466384</v>
      </c>
      <c r="J17" s="1420">
        <v>-1.7745067702978621E-3</v>
      </c>
      <c r="K17" s="1420"/>
      <c r="L17" s="1420"/>
      <c r="M17" s="384">
        <f t="shared" si="1"/>
        <v>-0.1822196639749617</v>
      </c>
      <c r="N17" s="1417"/>
    </row>
    <row r="18" spans="1:17" ht="16" x14ac:dyDescent="0.2">
      <c r="A18" s="1418" t="s">
        <v>40</v>
      </c>
      <c r="B18" s="1419">
        <v>-0.60762529759033068</v>
      </c>
      <c r="C18" s="1420">
        <v>1.29E-2</v>
      </c>
      <c r="D18" s="1420"/>
      <c r="E18" s="1420"/>
      <c r="F18" s="1420">
        <v>-0.14309168115939735</v>
      </c>
      <c r="G18" s="380">
        <f t="shared" si="0"/>
        <v>-0.59472529759033066</v>
      </c>
      <c r="H18" s="1421" t="s">
        <v>54</v>
      </c>
      <c r="I18" s="1419">
        <v>0.12698814074944081</v>
      </c>
      <c r="J18" s="1420">
        <v>-0.16580547634970649</v>
      </c>
      <c r="K18" s="1420"/>
      <c r="L18" s="1420"/>
      <c r="M18" s="384">
        <f t="shared" si="1"/>
        <v>-3.8817335600265679E-2</v>
      </c>
      <c r="N18" s="1417"/>
    </row>
    <row r="19" spans="1:17" ht="16" x14ac:dyDescent="0.2">
      <c r="A19" s="1418" t="s">
        <v>96</v>
      </c>
      <c r="B19" s="1419">
        <v>1.1061198839028947</v>
      </c>
      <c r="C19" s="1420"/>
      <c r="D19" s="1420"/>
      <c r="E19" s="1420"/>
      <c r="F19" s="1420">
        <v>0.30862911622615108</v>
      </c>
      <c r="G19" s="380">
        <f t="shared" si="0"/>
        <v>1.1061198839028947</v>
      </c>
      <c r="H19" s="1421" t="s">
        <v>96</v>
      </c>
      <c r="I19" s="1419">
        <v>-0.40991106393880605</v>
      </c>
      <c r="J19" s="1420"/>
      <c r="K19" s="1420"/>
      <c r="L19" s="1420"/>
      <c r="M19" s="384">
        <f t="shared" si="1"/>
        <v>-0.40991106393880605</v>
      </c>
      <c r="N19" s="1417"/>
      <c r="Q19" s="1422"/>
    </row>
    <row r="20" spans="1:17" ht="16" x14ac:dyDescent="0.2">
      <c r="A20" s="1418" t="s">
        <v>543</v>
      </c>
      <c r="B20" s="1419">
        <v>-1.0928000000000002</v>
      </c>
      <c r="C20" s="1420">
        <v>9.4800000000000009E-2</v>
      </c>
      <c r="D20" s="1420"/>
      <c r="E20" s="1420"/>
      <c r="F20" s="1420">
        <v>-0.27452037254340367</v>
      </c>
      <c r="G20" s="380">
        <f t="shared" si="0"/>
        <v>-0.99800000000000022</v>
      </c>
      <c r="H20" s="1421" t="s">
        <v>35</v>
      </c>
      <c r="I20" s="1419">
        <v>-0.48100224142386405</v>
      </c>
      <c r="J20" s="1420">
        <v>0.20517734531569029</v>
      </c>
      <c r="K20" s="1420"/>
      <c r="L20" s="1420"/>
      <c r="M20" s="384">
        <f t="shared" si="1"/>
        <v>-0.27582489610817373</v>
      </c>
      <c r="N20" s="1417"/>
    </row>
    <row r="21" spans="1:17" ht="16" x14ac:dyDescent="0.2">
      <c r="A21" s="1418" t="s">
        <v>56</v>
      </c>
      <c r="B21" s="1419">
        <v>-1.4168826093900249</v>
      </c>
      <c r="C21" s="1420">
        <v>-1.5699999999999995E-2</v>
      </c>
      <c r="D21" s="1420"/>
      <c r="E21" s="1420"/>
      <c r="F21" s="1420">
        <v>-0.3341281528341406</v>
      </c>
      <c r="G21" s="380">
        <f t="shared" si="0"/>
        <v>-1.4325826093900249</v>
      </c>
      <c r="H21" s="1421" t="s">
        <v>55</v>
      </c>
      <c r="I21" s="1419">
        <v>1.2014519901647964</v>
      </c>
      <c r="J21" s="1420"/>
      <c r="K21" s="1420"/>
      <c r="L21" s="1420"/>
      <c r="M21" s="384">
        <f t="shared" si="1"/>
        <v>1.2014519901647964</v>
      </c>
      <c r="N21" s="1417"/>
    </row>
    <row r="22" spans="1:17" ht="16" x14ac:dyDescent="0.2">
      <c r="A22" s="1418" t="s">
        <v>30</v>
      </c>
      <c r="B22" s="1419">
        <v>-1.8105</v>
      </c>
      <c r="C22" s="1420"/>
      <c r="D22" s="1420"/>
      <c r="E22" s="1420"/>
      <c r="F22" s="1420">
        <v>-0.49801516481947111</v>
      </c>
      <c r="G22" s="380">
        <f t="shared" si="0"/>
        <v>-1.8105</v>
      </c>
      <c r="H22" s="1421" t="s">
        <v>41</v>
      </c>
      <c r="I22" s="1419">
        <v>1.2346130854347377</v>
      </c>
      <c r="J22" s="1420">
        <v>-0.29356996381115252</v>
      </c>
      <c r="K22" s="1420"/>
      <c r="L22" s="1420"/>
      <c r="M22" s="384">
        <f t="shared" si="1"/>
        <v>0.94104312162358517</v>
      </c>
      <c r="N22" s="1417"/>
    </row>
    <row r="23" spans="1:17" ht="16" x14ac:dyDescent="0.2">
      <c r="A23" s="1418" t="s">
        <v>59</v>
      </c>
      <c r="B23" s="1419">
        <v>-1.7636000000000003</v>
      </c>
      <c r="C23" s="1420"/>
      <c r="D23" s="1420">
        <v>-0.18432689076469042</v>
      </c>
      <c r="E23" s="1420"/>
      <c r="F23" s="1420">
        <v>-0.53083107708843724</v>
      </c>
      <c r="G23" s="380">
        <f t="shared" si="0"/>
        <v>-1.9479268907646907</v>
      </c>
      <c r="H23" s="1421" t="s">
        <v>45</v>
      </c>
      <c r="I23" s="1419">
        <v>-1.4780532329849763</v>
      </c>
      <c r="J23" s="1420">
        <v>0.2403347607022166</v>
      </c>
      <c r="K23" s="1420">
        <v>-1.6746907644686074E-2</v>
      </c>
      <c r="L23" s="1420"/>
      <c r="M23" s="384">
        <f t="shared" si="1"/>
        <v>-1.2544653799274457</v>
      </c>
      <c r="N23" s="1417"/>
    </row>
    <row r="24" spans="1:17" ht="16" x14ac:dyDescent="0.2">
      <c r="A24" s="1418" t="s">
        <v>39</v>
      </c>
      <c r="B24" s="1419">
        <v>0.87090000000000145</v>
      </c>
      <c r="C24" s="1420">
        <v>1.0498000000000003</v>
      </c>
      <c r="D24" s="1420">
        <v>0.75427628404973501</v>
      </c>
      <c r="E24" s="1420"/>
      <c r="F24" s="1420"/>
      <c r="G24" s="380">
        <f t="shared" si="0"/>
        <v>2.6749762840497366</v>
      </c>
      <c r="H24" s="1421" t="s">
        <v>86</v>
      </c>
      <c r="I24" s="1419">
        <v>-1.7419002083936388</v>
      </c>
      <c r="J24" s="1420"/>
      <c r="K24" s="1420"/>
      <c r="L24" s="1420"/>
      <c r="M24" s="384">
        <f t="shared" si="1"/>
        <v>-1.7419002083936388</v>
      </c>
      <c r="N24" s="1417"/>
    </row>
    <row r="25" spans="1:17" ht="16" x14ac:dyDescent="0.2">
      <c r="A25" s="1418" t="s">
        <v>41</v>
      </c>
      <c r="B25" s="1419">
        <v>-2.2133553388808851</v>
      </c>
      <c r="C25" s="1420">
        <v>0.67020000000000002</v>
      </c>
      <c r="D25" s="1420"/>
      <c r="E25" s="1420"/>
      <c r="F25" s="1420">
        <v>-0.38485115553654908</v>
      </c>
      <c r="G25" s="380">
        <f t="shared" si="0"/>
        <v>-1.5431553388808852</v>
      </c>
      <c r="H25" s="1421" t="s">
        <v>58</v>
      </c>
      <c r="I25" s="1419">
        <v>2.0966906557800677</v>
      </c>
      <c r="J25" s="1420">
        <v>-0.80396247361807527</v>
      </c>
      <c r="K25" s="1420"/>
      <c r="L25" s="1420"/>
      <c r="M25" s="384">
        <f t="shared" si="1"/>
        <v>1.2927281821619925</v>
      </c>
      <c r="N25" s="1417"/>
    </row>
    <row r="26" spans="1:17" ht="16" x14ac:dyDescent="0.2">
      <c r="A26" s="1418" t="s">
        <v>31</v>
      </c>
      <c r="B26" s="1419">
        <v>-1.1296021390570052</v>
      </c>
      <c r="C26" s="1420">
        <v>2.9830999999999999</v>
      </c>
      <c r="D26" s="1420">
        <v>-0.33061279264112042</v>
      </c>
      <c r="E26" s="1420"/>
      <c r="F26" s="1420">
        <v>0.60342218561970296</v>
      </c>
      <c r="G26" s="380">
        <f t="shared" si="0"/>
        <v>1.5228850683018742</v>
      </c>
      <c r="H26" s="1421" t="s">
        <v>37</v>
      </c>
      <c r="I26" s="1419">
        <v>3.2225042948609173</v>
      </c>
      <c r="J26" s="1420">
        <v>-0.85919399684359621</v>
      </c>
      <c r="K26" s="1420"/>
      <c r="L26" s="1420"/>
      <c r="M26" s="384">
        <f t="shared" si="1"/>
        <v>2.3633102980173213</v>
      </c>
      <c r="N26" s="1417"/>
    </row>
    <row r="27" spans="1:17" ht="16" x14ac:dyDescent="0.2">
      <c r="A27" s="1418" t="s">
        <v>45</v>
      </c>
      <c r="B27" s="1419">
        <v>-4.0287781571525381</v>
      </c>
      <c r="C27" s="1420">
        <v>0.98580000000000001</v>
      </c>
      <c r="D27" s="1420">
        <v>-8.3180004857712295E-3</v>
      </c>
      <c r="E27" s="1420"/>
      <c r="F27" s="1420">
        <v>-0.64278477611164886</v>
      </c>
      <c r="G27" s="380">
        <f t="shared" si="0"/>
        <v>-3.0512961576383089</v>
      </c>
      <c r="H27" s="1421" t="s">
        <v>59</v>
      </c>
      <c r="I27" s="1419">
        <v>4.738154890041578</v>
      </c>
      <c r="J27" s="1420">
        <v>1.7367985014290326</v>
      </c>
      <c r="K27" s="1420">
        <v>8.4289071589148373E-3</v>
      </c>
      <c r="L27" s="1420"/>
      <c r="M27" s="384">
        <f t="shared" si="1"/>
        <v>6.4833822986295253</v>
      </c>
      <c r="N27" s="1417"/>
    </row>
    <row r="28" spans="1:17" ht="16" x14ac:dyDescent="0.2">
      <c r="A28" s="1418" t="s">
        <v>86</v>
      </c>
      <c r="B28" s="1419">
        <v>-5.3437000000000001</v>
      </c>
      <c r="C28" s="1420"/>
      <c r="D28" s="1420"/>
      <c r="E28" s="1420"/>
      <c r="F28" s="1420">
        <v>-1.4698943033669196</v>
      </c>
      <c r="G28" s="380">
        <f t="shared" si="0"/>
        <v>-5.3437000000000001</v>
      </c>
      <c r="H28" s="1421" t="s">
        <v>32</v>
      </c>
      <c r="I28" s="1419">
        <v>5.4696209653918695</v>
      </c>
      <c r="J28" s="1420">
        <v>-2.5125183340879995</v>
      </c>
      <c r="K28" s="1420">
        <v>6.649149234447E-3</v>
      </c>
      <c r="L28" s="1420"/>
      <c r="M28" s="384">
        <f t="shared" si="1"/>
        <v>2.9637517805383169</v>
      </c>
      <c r="N28" s="1417"/>
    </row>
    <row r="29" spans="1:17" ht="16" x14ac:dyDescent="0.2">
      <c r="A29" s="1418" t="s">
        <v>46</v>
      </c>
      <c r="B29" s="1419">
        <v>-4.8689999999999998</v>
      </c>
      <c r="C29" s="1420">
        <v>0.98350000000000004</v>
      </c>
      <c r="D29" s="1420"/>
      <c r="E29" s="1420">
        <v>6.649149234447E-3</v>
      </c>
      <c r="F29" s="1420">
        <v>-1.0687864804783513</v>
      </c>
      <c r="G29" s="380">
        <f t="shared" si="0"/>
        <v>-3.8788508507655526</v>
      </c>
      <c r="H29" s="1421" t="s">
        <v>30</v>
      </c>
      <c r="I29" s="1419">
        <v>-8.2916046975630486</v>
      </c>
      <c r="J29" s="1420"/>
      <c r="K29" s="1420"/>
      <c r="L29" s="1420"/>
      <c r="M29" s="384">
        <f t="shared" si="1"/>
        <v>-8.2916046975630486</v>
      </c>
      <c r="N29" s="1417"/>
    </row>
    <row r="30" spans="1:17" ht="16" x14ac:dyDescent="0.2">
      <c r="A30" s="1418" t="s">
        <v>63</v>
      </c>
      <c r="B30" s="1419">
        <v>3.9965000000000002</v>
      </c>
      <c r="C30" s="1420"/>
      <c r="D30" s="1420"/>
      <c r="E30" s="1420">
        <v>-2.5125183340879995</v>
      </c>
      <c r="F30" s="1420">
        <v>1.0993193074846817</v>
      </c>
      <c r="G30" s="380">
        <f t="shared" si="0"/>
        <v>1.4839816659120006</v>
      </c>
      <c r="H30" s="1421" t="s">
        <v>43</v>
      </c>
      <c r="I30" s="1419">
        <v>5.4122456494084794</v>
      </c>
      <c r="J30" s="1420">
        <v>-2.9653117198408707</v>
      </c>
      <c r="K30" s="1420"/>
      <c r="L30" s="1420"/>
      <c r="M30" s="384">
        <f t="shared" si="1"/>
        <v>2.4469339295676087</v>
      </c>
      <c r="N30" s="1417"/>
    </row>
    <row r="31" spans="1:17" ht="16" x14ac:dyDescent="0.2">
      <c r="A31" s="1418" t="s">
        <v>34</v>
      </c>
      <c r="B31" s="1419">
        <v>-6.148133023016463</v>
      </c>
      <c r="C31" s="1420">
        <v>0.39129999999999998</v>
      </c>
      <c r="D31" s="1420"/>
      <c r="E31" s="1420"/>
      <c r="F31" s="1420">
        <v>-1.504938286795807</v>
      </c>
      <c r="G31" s="380">
        <f t="shared" si="0"/>
        <v>-5.7568330230164628</v>
      </c>
      <c r="H31" s="1421" t="s">
        <v>38</v>
      </c>
      <c r="I31" s="1419">
        <v>3.5166287920377877</v>
      </c>
      <c r="J31" s="1420">
        <v>-6.6680419094136463</v>
      </c>
      <c r="K31" s="1420">
        <v>-1.9832331291541478</v>
      </c>
      <c r="L31" s="1420"/>
      <c r="M31" s="384">
        <f t="shared" si="1"/>
        <v>-5.1346462465300062</v>
      </c>
      <c r="N31" s="1417"/>
    </row>
    <row r="32" spans="1:17" ht="16" x14ac:dyDescent="0.2">
      <c r="A32" s="1418" t="s">
        <v>54</v>
      </c>
      <c r="B32" s="1419">
        <v>-7.231743257151539</v>
      </c>
      <c r="C32" s="1420">
        <v>0.27179999999999999</v>
      </c>
      <c r="D32" s="1420"/>
      <c r="E32" s="1420"/>
      <c r="F32" s="1420">
        <v>-1.8756508179348299</v>
      </c>
      <c r="G32" s="380">
        <f t="shared" si="0"/>
        <v>-6.9599432571515392</v>
      </c>
      <c r="H32" s="1421" t="s">
        <v>31</v>
      </c>
      <c r="I32" s="1419">
        <v>-13.243809466771808</v>
      </c>
      <c r="J32" s="1420">
        <v>-3.2185116546277475</v>
      </c>
      <c r="K32" s="1420">
        <v>-0.25741438836633362</v>
      </c>
      <c r="L32" s="1420"/>
      <c r="M32" s="384">
        <f t="shared" si="1"/>
        <v>-16.71973550976589</v>
      </c>
      <c r="N32" s="1417"/>
    </row>
    <row r="33" spans="1:14" ht="16" x14ac:dyDescent="0.2">
      <c r="A33" s="1418" t="s">
        <v>38</v>
      </c>
      <c r="B33" s="1419">
        <v>-8.5152360315817841</v>
      </c>
      <c r="C33" s="1420">
        <v>-0.86229999999999996</v>
      </c>
      <c r="D33" s="1420"/>
      <c r="E33" s="1420"/>
      <c r="F33" s="1420">
        <v>-2.3761966314791501</v>
      </c>
      <c r="G33" s="380">
        <f t="shared" si="0"/>
        <v>-9.3775360315817835</v>
      </c>
      <c r="H33" s="1421" t="s">
        <v>46</v>
      </c>
      <c r="I33" s="1419">
        <v>7.0710767596175508</v>
      </c>
      <c r="J33" s="1420">
        <v>10.646596995094596</v>
      </c>
      <c r="K33" s="1420"/>
      <c r="L33" s="1420"/>
      <c r="M33" s="384">
        <f t="shared" si="1"/>
        <v>17.717673754712145</v>
      </c>
      <c r="N33" s="1417"/>
    </row>
    <row r="34" spans="1:14" ht="16" x14ac:dyDescent="0.2">
      <c r="A34" s="1418" t="s">
        <v>62</v>
      </c>
      <c r="B34" s="1419">
        <v>-10.525017051568271</v>
      </c>
      <c r="C34" s="1420">
        <v>9.4597000000000016</v>
      </c>
      <c r="D34" s="1420"/>
      <c r="E34" s="1420">
        <v>5.4696209653918695</v>
      </c>
      <c r="F34" s="1420">
        <v>0.35049484839158984</v>
      </c>
      <c r="G34" s="380">
        <f t="shared" si="0"/>
        <v>4.4043039138235995</v>
      </c>
      <c r="H34" s="1421" t="s">
        <v>39</v>
      </c>
      <c r="I34" s="1419">
        <v>-22.979419048664738</v>
      </c>
      <c r="J34" s="1420">
        <v>-2.9584355061059671</v>
      </c>
      <c r="K34" s="1420">
        <v>2.8613921671052978E-2</v>
      </c>
      <c r="L34" s="1420"/>
      <c r="M34" s="384">
        <f t="shared" si="1"/>
        <v>-25.909240633099653</v>
      </c>
      <c r="N34" s="1417"/>
    </row>
    <row r="35" spans="1:14" ht="16" x14ac:dyDescent="0.2">
      <c r="A35" s="1418" t="s">
        <v>49</v>
      </c>
      <c r="B35" s="1419">
        <v>6.0349478359335409</v>
      </c>
      <c r="C35" s="1420">
        <v>23.136299999999999</v>
      </c>
      <c r="D35" s="1420"/>
      <c r="E35" s="1420"/>
      <c r="F35" s="1420">
        <v>8.0383856180720272</v>
      </c>
      <c r="G35" s="380">
        <f t="shared" si="0"/>
        <v>29.171247835933539</v>
      </c>
      <c r="H35" s="1421" t="s">
        <v>51</v>
      </c>
      <c r="I35" s="1419">
        <v>19.8008337963687</v>
      </c>
      <c r="J35" s="1420">
        <v>4.2992971844122891</v>
      </c>
      <c r="K35" s="1420">
        <v>-2.2080409556162586</v>
      </c>
      <c r="L35" s="1420"/>
      <c r="M35" s="384">
        <f t="shared" si="1"/>
        <v>21.89209002516473</v>
      </c>
      <c r="N35" s="1417"/>
    </row>
    <row r="36" spans="1:14" ht="16" x14ac:dyDescent="0.2">
      <c r="A36" s="1418" t="s">
        <v>51</v>
      </c>
      <c r="B36" s="1419">
        <v>9.4419948771098632</v>
      </c>
      <c r="C36" s="1420">
        <v>22.242800000000003</v>
      </c>
      <c r="D36" s="1420">
        <v>0</v>
      </c>
      <c r="E36" s="1420"/>
      <c r="F36" s="1420">
        <v>8.1587564748104988</v>
      </c>
      <c r="G36" s="380">
        <f t="shared" si="0"/>
        <v>31.684794877109866</v>
      </c>
      <c r="H36" s="1421" t="s">
        <v>62</v>
      </c>
      <c r="I36" s="1419">
        <v>-17.428318244480458</v>
      </c>
      <c r="J36" s="1420">
        <v>12.401584190919186</v>
      </c>
      <c r="K36" s="1420">
        <v>0.23822753391248799</v>
      </c>
      <c r="L36" s="1420"/>
      <c r="M36" s="384">
        <f t="shared" si="1"/>
        <v>-4.7885065196487844</v>
      </c>
      <c r="N36" s="1417"/>
    </row>
    <row r="37" spans="1:14" ht="16" x14ac:dyDescent="0.2">
      <c r="A37" s="1418" t="s">
        <v>43</v>
      </c>
      <c r="B37" s="1419">
        <v>-1.4747999999999992</v>
      </c>
      <c r="C37" s="1420">
        <v>46.219499999999996</v>
      </c>
      <c r="D37" s="1420"/>
      <c r="E37" s="1420"/>
      <c r="F37" s="1420">
        <v>12.30794760855995</v>
      </c>
      <c r="G37" s="380">
        <f t="shared" si="0"/>
        <v>44.744699999999995</v>
      </c>
      <c r="H37" s="1421" t="s">
        <v>49</v>
      </c>
      <c r="I37" s="1419">
        <v>-48.802596103404952</v>
      </c>
      <c r="J37" s="1420"/>
      <c r="K37" s="1420"/>
      <c r="L37" s="1420"/>
      <c r="M37" s="384">
        <f t="shared" si="1"/>
        <v>-48.802596103404952</v>
      </c>
      <c r="N37" s="1417"/>
    </row>
    <row r="38" spans="1:14" ht="16" x14ac:dyDescent="0.2">
      <c r="A38" s="1418"/>
      <c r="B38" s="1423"/>
      <c r="C38" s="1424"/>
      <c r="D38" s="1424"/>
      <c r="E38" s="1424"/>
      <c r="F38" s="1424"/>
      <c r="G38" s="381"/>
      <c r="H38" s="1421" t="s">
        <v>591</v>
      </c>
      <c r="I38" s="1419">
        <v>-0.92602488393523941</v>
      </c>
      <c r="J38" s="1420"/>
      <c r="K38" s="1420"/>
      <c r="L38" s="1420"/>
      <c r="M38" s="384"/>
      <c r="N38" s="1417"/>
    </row>
    <row r="39" spans="1:14" ht="16" x14ac:dyDescent="0.2">
      <c r="A39" s="1418"/>
      <c r="B39" s="1425"/>
      <c r="C39" s="1426"/>
      <c r="D39" s="1426"/>
      <c r="E39" s="1426"/>
      <c r="F39" s="1426"/>
      <c r="G39" s="385"/>
      <c r="H39" s="1421" t="s">
        <v>63</v>
      </c>
      <c r="I39" s="1419">
        <v>122.56340811770303</v>
      </c>
      <c r="J39" s="1420"/>
      <c r="K39" s="1420">
        <v>1.0907671303674671</v>
      </c>
      <c r="L39" s="1420">
        <v>0.31</v>
      </c>
      <c r="M39" s="384"/>
      <c r="N39" s="1417"/>
    </row>
    <row r="40" spans="1:14" ht="27" customHeight="1" thickBot="1" x14ac:dyDescent="0.25">
      <c r="A40" s="388" t="s">
        <v>231</v>
      </c>
      <c r="B40" s="389">
        <f>SUM(B8:B37)</f>
        <v>-39.003169027980633</v>
      </c>
      <c r="C40" s="390">
        <f t="shared" ref="C40:M40" si="2">SUM(C8:C37)</f>
        <v>107.52809999999999</v>
      </c>
      <c r="D40" s="390">
        <f t="shared" si="2"/>
        <v>0.23101860015815293</v>
      </c>
      <c r="E40" s="390">
        <f t="shared" si="2"/>
        <v>2.9637517805383169</v>
      </c>
      <c r="F40" s="390">
        <f t="shared" si="2"/>
        <v>19.207678835706709</v>
      </c>
      <c r="G40" s="386">
        <f t="shared" si="2"/>
        <v>71.71970135271583</v>
      </c>
      <c r="H40" s="391" t="s">
        <v>231</v>
      </c>
      <c r="I40" s="389">
        <f t="shared" si="2"/>
        <v>-61.131832577466362</v>
      </c>
      <c r="J40" s="390">
        <f t="shared" si="2"/>
        <v>9.0854361032325421</v>
      </c>
      <c r="K40" s="390">
        <f t="shared" si="2"/>
        <v>-4.1835158688045233</v>
      </c>
      <c r="L40" s="390">
        <f t="shared" si="2"/>
        <v>0</v>
      </c>
      <c r="M40" s="387">
        <f t="shared" si="2"/>
        <v>-56.229912343038343</v>
      </c>
      <c r="N40" s="1427"/>
    </row>
    <row r="41" spans="1:14" ht="15" thickTop="1" thickBot="1" x14ac:dyDescent="0.2"/>
    <row r="42" spans="1:14" x14ac:dyDescent="0.15">
      <c r="A42" s="2231" t="s">
        <v>389</v>
      </c>
      <c r="B42" s="2232"/>
      <c r="C42" s="2232"/>
      <c r="D42" s="2232"/>
      <c r="E42" s="2232"/>
      <c r="F42" s="2232"/>
      <c r="G42" s="2232"/>
      <c r="H42" s="2232"/>
      <c r="I42" s="2232"/>
      <c r="J42" s="2232"/>
      <c r="K42" s="2232"/>
      <c r="L42" s="2232"/>
      <c r="M42" s="2233"/>
    </row>
    <row r="43" spans="1:14" ht="14" thickBot="1" x14ac:dyDescent="0.2">
      <c r="A43" s="2234"/>
      <c r="B43" s="2235"/>
      <c r="C43" s="2235"/>
      <c r="D43" s="2235"/>
      <c r="E43" s="2235"/>
      <c r="F43" s="2235"/>
      <c r="G43" s="2235"/>
      <c r="H43" s="2235"/>
      <c r="I43" s="2235"/>
      <c r="J43" s="2235"/>
      <c r="K43" s="2235"/>
      <c r="L43" s="2235"/>
      <c r="M43" s="2236"/>
    </row>
  </sheetData>
  <mergeCells count="6">
    <mergeCell ref="A42:M43"/>
    <mergeCell ref="H5:M5"/>
    <mergeCell ref="A2:M2"/>
    <mergeCell ref="B6:G6"/>
    <mergeCell ref="I6:M6"/>
    <mergeCell ref="A5:G5"/>
  </mergeCells>
  <pageMargins left="0.7" right="0.7" top="0.75" bottom="0.75" header="0.3" footer="0.3"/>
  <pageSetup paperSize="9" scale="52" fitToHeight="0"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Y41"/>
  <sheetViews>
    <sheetView topLeftCell="B1" workbookViewId="0">
      <selection activeCell="G20" sqref="G20"/>
    </sheetView>
  </sheetViews>
  <sheetFormatPr baseColWidth="10" defaultColWidth="8.83203125" defaultRowHeight="16" x14ac:dyDescent="0.2"/>
  <cols>
    <col min="1" max="1" width="0" style="143" hidden="1" customWidth="1"/>
    <col min="2" max="2" width="68.1640625" style="143" customWidth="1"/>
    <col min="3" max="4" width="15.6640625" style="143" customWidth="1"/>
    <col min="5" max="16384" width="8.83203125" style="143"/>
  </cols>
  <sheetData>
    <row r="1" spans="2:25" ht="17" thickBot="1" x14ac:dyDescent="0.25">
      <c r="B1" s="1031"/>
      <c r="C1" s="1031"/>
      <c r="D1" s="1031"/>
      <c r="E1" s="1031"/>
      <c r="F1" s="958"/>
      <c r="G1" s="958"/>
      <c r="H1" s="958"/>
      <c r="I1" s="958"/>
      <c r="J1" s="958"/>
      <c r="K1" s="958"/>
      <c r="L1" s="958"/>
      <c r="M1" s="958"/>
      <c r="N1" s="958"/>
      <c r="O1" s="958"/>
      <c r="P1" s="958"/>
      <c r="Q1" s="958"/>
      <c r="R1" s="958"/>
      <c r="S1" s="958"/>
      <c r="T1" s="958"/>
      <c r="U1" s="958"/>
      <c r="V1" s="958"/>
      <c r="W1" s="958"/>
      <c r="X1" s="958"/>
      <c r="Y1" s="958"/>
    </row>
    <row r="2" spans="2:25" ht="31" customHeight="1" thickTop="1" x14ac:dyDescent="0.2">
      <c r="B2" s="2247" t="s">
        <v>592</v>
      </c>
      <c r="C2" s="2248"/>
      <c r="D2" s="2249"/>
      <c r="E2" s="604"/>
      <c r="F2" s="958"/>
      <c r="G2" s="958"/>
      <c r="H2" s="958"/>
      <c r="I2" s="958"/>
      <c r="J2" s="958"/>
      <c r="K2" s="958"/>
      <c r="L2" s="958"/>
      <c r="M2" s="958"/>
      <c r="N2" s="958"/>
      <c r="O2" s="958"/>
      <c r="P2" s="958"/>
      <c r="Q2" s="958"/>
      <c r="R2" s="958"/>
      <c r="S2" s="958"/>
      <c r="T2" s="958"/>
      <c r="U2" s="958"/>
      <c r="V2" s="958"/>
      <c r="W2" s="958"/>
      <c r="X2" s="958"/>
      <c r="Y2" s="958"/>
    </row>
    <row r="3" spans="2:25" ht="20" x14ac:dyDescent="0.2">
      <c r="B3" s="669"/>
      <c r="C3" s="603"/>
      <c r="D3" s="670"/>
      <c r="E3" s="603"/>
      <c r="F3" s="958"/>
      <c r="G3" s="958"/>
      <c r="H3" s="958"/>
      <c r="I3" s="958"/>
      <c r="J3" s="958"/>
      <c r="K3" s="958"/>
      <c r="L3" s="958"/>
      <c r="M3" s="958"/>
      <c r="N3" s="958"/>
      <c r="O3" s="958"/>
      <c r="P3" s="958"/>
      <c r="Q3" s="958"/>
      <c r="R3" s="958"/>
      <c r="S3" s="958"/>
      <c r="T3" s="958"/>
      <c r="U3" s="958"/>
      <c r="V3" s="958"/>
      <c r="W3" s="958"/>
      <c r="X3" s="958"/>
      <c r="Y3" s="958"/>
    </row>
    <row r="4" spans="2:25" ht="20" x14ac:dyDescent="0.2">
      <c r="B4" s="669"/>
      <c r="C4" s="678" t="s">
        <v>1</v>
      </c>
      <c r="D4" s="679" t="s">
        <v>2</v>
      </c>
      <c r="E4" s="603"/>
      <c r="F4" s="958"/>
      <c r="G4" s="958"/>
      <c r="H4" s="958"/>
      <c r="I4" s="958"/>
      <c r="J4" s="958"/>
      <c r="K4" s="958"/>
      <c r="L4" s="958"/>
      <c r="M4" s="958"/>
      <c r="N4" s="958"/>
      <c r="O4" s="958"/>
      <c r="P4" s="958"/>
      <c r="Q4" s="958"/>
      <c r="R4" s="958"/>
      <c r="S4" s="958"/>
      <c r="T4" s="958"/>
      <c r="U4" s="958"/>
      <c r="V4" s="958"/>
      <c r="W4" s="958"/>
      <c r="X4" s="958"/>
      <c r="Y4" s="958"/>
    </row>
    <row r="5" spans="2:25" x14ac:dyDescent="0.2">
      <c r="B5" s="1322"/>
      <c r="C5" s="2250" t="s">
        <v>593</v>
      </c>
      <c r="D5" s="2252" t="s">
        <v>594</v>
      </c>
      <c r="E5" s="1031"/>
      <c r="F5" s="958"/>
      <c r="G5" s="958"/>
      <c r="H5" s="958"/>
      <c r="I5" s="958"/>
      <c r="J5" s="958"/>
      <c r="K5" s="958"/>
      <c r="L5" s="958"/>
      <c r="M5" s="958"/>
      <c r="N5" s="958"/>
      <c r="O5" s="958"/>
      <c r="P5" s="958"/>
      <c r="Q5" s="958"/>
      <c r="R5" s="958"/>
      <c r="S5" s="958"/>
      <c r="T5" s="958"/>
      <c r="U5" s="958"/>
      <c r="V5" s="958"/>
      <c r="W5" s="958"/>
      <c r="X5" s="958"/>
      <c r="Y5" s="958"/>
    </row>
    <row r="6" spans="2:25" x14ac:dyDescent="0.2">
      <c r="B6" s="1869"/>
      <c r="C6" s="2251"/>
      <c r="D6" s="2253"/>
      <c r="E6" s="1031"/>
      <c r="F6" s="958"/>
      <c r="G6" s="573"/>
      <c r="H6" s="601"/>
      <c r="I6" s="573"/>
      <c r="J6" s="573"/>
      <c r="K6" s="601"/>
      <c r="L6" s="601"/>
      <c r="M6" s="601"/>
      <c r="N6" s="602"/>
      <c r="O6" s="573"/>
      <c r="P6" s="573"/>
      <c r="Q6" s="573"/>
      <c r="R6" s="601"/>
      <c r="S6" s="601"/>
      <c r="T6" s="601"/>
      <c r="U6" s="601"/>
      <c r="V6" s="573"/>
      <c r="W6" s="573"/>
      <c r="X6" s="601"/>
      <c r="Y6" s="601"/>
    </row>
    <row r="7" spans="2:25" s="617" customFormat="1" ht="32.25" customHeight="1" x14ac:dyDescent="0.2">
      <c r="B7" s="671" t="s">
        <v>595</v>
      </c>
      <c r="C7" s="1428"/>
      <c r="D7" s="1429"/>
      <c r="E7" s="1041"/>
      <c r="F7" s="1430"/>
      <c r="G7" s="581"/>
      <c r="H7" s="613"/>
      <c r="I7" s="581"/>
      <c r="J7" s="581"/>
      <c r="K7" s="613"/>
      <c r="L7" s="613"/>
      <c r="M7" s="613"/>
      <c r="N7" s="618"/>
      <c r="O7" s="581"/>
      <c r="P7" s="581"/>
      <c r="Q7" s="581"/>
      <c r="R7" s="613"/>
      <c r="S7" s="613"/>
      <c r="T7" s="613"/>
      <c r="U7" s="613"/>
      <c r="V7" s="581"/>
      <c r="W7" s="581"/>
      <c r="X7" s="613"/>
      <c r="Y7" s="613"/>
    </row>
    <row r="8" spans="2:25" ht="17" x14ac:dyDescent="0.2">
      <c r="B8" s="1431" t="s">
        <v>596</v>
      </c>
      <c r="C8" s="1432">
        <f>+'Disc. 1'!AE35</f>
        <v>-93628.6</v>
      </c>
      <c r="D8" s="1433">
        <f>+'Disc. 1'!AE35/'Disc. 1'!AE99</f>
        <v>-9.2085196849681236E-2</v>
      </c>
      <c r="E8" s="1031"/>
      <c r="F8" s="958"/>
      <c r="G8" s="573"/>
      <c r="H8" s="583"/>
      <c r="I8" s="573"/>
      <c r="J8" s="573"/>
      <c r="K8" s="575"/>
      <c r="L8" s="573"/>
      <c r="M8" s="583"/>
      <c r="N8" s="583"/>
      <c r="O8" s="573"/>
      <c r="P8" s="573"/>
      <c r="Q8" s="573"/>
      <c r="R8" s="583"/>
      <c r="S8" s="583"/>
      <c r="T8" s="583"/>
      <c r="U8" s="583"/>
      <c r="V8" s="573"/>
      <c r="W8" s="573"/>
      <c r="X8" s="583"/>
      <c r="Y8" s="583"/>
    </row>
    <row r="9" spans="2:25" ht="17" x14ac:dyDescent="0.2">
      <c r="B9" s="1434" t="s">
        <v>597</v>
      </c>
      <c r="C9" s="1432">
        <f>'Disc. 1'!AE36-'Disc. 1'!V36-'Disc. 1'!U36-'Disc. 1'!T36-'Disc. 1'!P36-'Disc. 1'!G36-'Disc. 1'!D36</f>
        <v>-24594.100000000017</v>
      </c>
      <c r="D9" s="1433">
        <f>+C9/'Disc. 1'!$AE$100</f>
        <v>-3.1282187999156469E-2</v>
      </c>
      <c r="E9" s="1031"/>
      <c r="F9" s="958"/>
      <c r="G9" s="573"/>
      <c r="H9" s="583"/>
      <c r="I9" s="573"/>
      <c r="J9" s="573"/>
      <c r="K9" s="575"/>
      <c r="L9" s="573"/>
      <c r="M9" s="583"/>
      <c r="N9" s="583"/>
      <c r="O9" s="573"/>
      <c r="P9" s="573"/>
      <c r="Q9" s="573"/>
      <c r="R9" s="583"/>
      <c r="S9" s="583"/>
      <c r="T9" s="583"/>
      <c r="U9" s="583"/>
      <c r="V9" s="573"/>
      <c r="W9" s="573"/>
      <c r="X9" s="583"/>
      <c r="Y9" s="583"/>
    </row>
    <row r="10" spans="2:25" x14ac:dyDescent="0.2">
      <c r="B10" s="1431"/>
      <c r="C10" s="1428"/>
      <c r="D10" s="1435"/>
      <c r="E10" s="1031"/>
      <c r="F10" s="958"/>
      <c r="G10" s="958"/>
      <c r="H10" s="958"/>
      <c r="I10" s="958"/>
      <c r="J10" s="958"/>
      <c r="K10" s="958"/>
      <c r="L10" s="958"/>
      <c r="M10" s="958"/>
      <c r="N10" s="958"/>
      <c r="O10" s="958"/>
      <c r="P10" s="958"/>
      <c r="Q10" s="958"/>
      <c r="R10" s="958"/>
      <c r="S10" s="958"/>
      <c r="T10" s="958"/>
      <c r="U10" s="958"/>
      <c r="V10" s="958"/>
      <c r="W10" s="958"/>
      <c r="X10" s="958"/>
      <c r="Y10" s="958"/>
    </row>
    <row r="11" spans="2:25" s="617" customFormat="1" ht="32.25" customHeight="1" x14ac:dyDescent="0.2">
      <c r="B11" s="671" t="s">
        <v>598</v>
      </c>
      <c r="C11" s="1428"/>
      <c r="D11" s="1435"/>
      <c r="E11" s="1041"/>
      <c r="F11" s="1430"/>
      <c r="G11" s="1430"/>
      <c r="H11" s="1430"/>
      <c r="I11" s="1430"/>
      <c r="J11" s="1430"/>
      <c r="K11" s="1430"/>
      <c r="L11" s="1430"/>
      <c r="M11" s="1430"/>
      <c r="N11" s="1430"/>
      <c r="O11" s="1430"/>
      <c r="P11" s="1430"/>
      <c r="Q11" s="1430"/>
      <c r="R11" s="1430"/>
      <c r="S11" s="1430"/>
      <c r="T11" s="1430"/>
      <c r="U11" s="1430"/>
      <c r="V11" s="1430"/>
      <c r="W11" s="1430"/>
      <c r="X11" s="1430"/>
      <c r="Y11" s="1430"/>
    </row>
    <row r="12" spans="2:25" ht="15" customHeight="1" x14ac:dyDescent="0.2">
      <c r="B12" s="1431" t="s">
        <v>599</v>
      </c>
      <c r="C12" s="1432">
        <f>+'Disc. 1'!T99</f>
        <v>61021</v>
      </c>
      <c r="D12" s="1436">
        <f>+C12/'Disc. 1'!T99</f>
        <v>1</v>
      </c>
      <c r="E12" s="1031"/>
      <c r="F12" s="958"/>
      <c r="G12" s="958"/>
      <c r="H12" s="958"/>
      <c r="I12" s="958"/>
      <c r="J12" s="958"/>
      <c r="K12" s="958"/>
      <c r="L12" s="958"/>
      <c r="M12" s="958"/>
      <c r="N12" s="958"/>
      <c r="O12" s="958"/>
      <c r="P12" s="958"/>
      <c r="Q12" s="958"/>
      <c r="R12" s="958"/>
      <c r="S12" s="958"/>
      <c r="T12" s="958"/>
      <c r="U12" s="958"/>
      <c r="V12" s="958"/>
      <c r="W12" s="958"/>
      <c r="X12" s="958"/>
      <c r="Y12" s="958"/>
    </row>
    <row r="13" spans="2:25" ht="17" x14ac:dyDescent="0.2">
      <c r="B13" s="1431" t="s">
        <v>600</v>
      </c>
      <c r="C13" s="1432">
        <f>+'Disc. 1'!T67</f>
        <v>37171.800000000003</v>
      </c>
      <c r="D13" s="1436">
        <f>+C13/C12</f>
        <v>0.60916405827502007</v>
      </c>
      <c r="E13" s="1031"/>
      <c r="F13" s="958"/>
      <c r="G13" s="958"/>
      <c r="H13" s="958"/>
      <c r="I13" s="958"/>
      <c r="J13" s="958"/>
      <c r="K13" s="958"/>
      <c r="L13" s="958"/>
      <c r="M13" s="958"/>
      <c r="N13" s="958"/>
      <c r="O13" s="958"/>
      <c r="P13" s="958"/>
      <c r="Q13" s="958"/>
      <c r="R13" s="958"/>
      <c r="S13" s="958"/>
      <c r="T13" s="958"/>
      <c r="U13" s="958"/>
      <c r="V13" s="958"/>
      <c r="W13" s="958"/>
      <c r="X13" s="958"/>
      <c r="Y13" s="958"/>
    </row>
    <row r="14" spans="2:25" ht="17" x14ac:dyDescent="0.2">
      <c r="B14" s="1431" t="s">
        <v>601</v>
      </c>
      <c r="C14" s="1432">
        <f>+C13-C12</f>
        <v>-23849.199999999997</v>
      </c>
      <c r="D14" s="1433">
        <f>+C14/C12</f>
        <v>-0.39083594172497987</v>
      </c>
      <c r="E14" s="1031"/>
      <c r="F14" s="958"/>
      <c r="G14" s="958"/>
      <c r="H14" s="958"/>
      <c r="I14" s="958"/>
      <c r="J14" s="958"/>
      <c r="K14" s="958"/>
      <c r="L14" s="958"/>
      <c r="M14" s="958"/>
      <c r="N14" s="958"/>
      <c r="O14" s="958"/>
      <c r="P14" s="958"/>
      <c r="Q14" s="958"/>
      <c r="R14" s="958"/>
      <c r="S14" s="958"/>
      <c r="T14" s="958"/>
      <c r="U14" s="958"/>
      <c r="V14" s="958"/>
      <c r="W14" s="958"/>
      <c r="X14" s="958"/>
      <c r="Y14" s="958"/>
    </row>
    <row r="15" spans="2:25" ht="17" x14ac:dyDescent="0.2">
      <c r="B15" s="1431" t="s">
        <v>602</v>
      </c>
      <c r="C15" s="1432">
        <f>+'Disc. 1'!T36</f>
        <v>-27767.8</v>
      </c>
      <c r="D15" s="1433">
        <f>+C15/'Disc. 1'!$T$100</f>
        <v>-0.53689746514820469</v>
      </c>
      <c r="E15" s="1031"/>
      <c r="F15" s="958"/>
      <c r="G15" s="958"/>
      <c r="H15" s="958"/>
      <c r="I15" s="958"/>
      <c r="J15" s="958"/>
      <c r="K15" s="958"/>
      <c r="L15" s="958"/>
      <c r="M15" s="958"/>
      <c r="N15" s="958"/>
      <c r="O15" s="958"/>
      <c r="P15" s="958"/>
      <c r="Q15" s="958"/>
      <c r="R15" s="958"/>
      <c r="S15" s="958"/>
      <c r="T15" s="958"/>
      <c r="U15" s="958"/>
      <c r="V15" s="958"/>
      <c r="W15" s="958"/>
      <c r="X15" s="958"/>
      <c r="Y15" s="958"/>
    </row>
    <row r="16" spans="2:25" x14ac:dyDescent="0.2">
      <c r="B16" s="1431"/>
      <c r="C16" s="1428"/>
      <c r="D16" s="1435"/>
      <c r="E16" s="1031"/>
      <c r="F16" s="958"/>
      <c r="G16" s="958"/>
      <c r="H16" s="958"/>
      <c r="I16" s="958"/>
      <c r="J16" s="958"/>
      <c r="K16" s="958"/>
      <c r="L16" s="958"/>
      <c r="M16" s="958"/>
      <c r="N16" s="958"/>
      <c r="O16" s="958"/>
      <c r="P16" s="958"/>
      <c r="Q16" s="958"/>
      <c r="R16" s="958"/>
      <c r="S16" s="958"/>
      <c r="T16" s="958"/>
      <c r="U16" s="958"/>
      <c r="V16" s="958"/>
      <c r="W16" s="958"/>
      <c r="X16" s="958"/>
      <c r="Y16" s="958"/>
    </row>
    <row r="17" spans="2:5" s="617" customFormat="1" ht="32.25" customHeight="1" x14ac:dyDescent="0.2">
      <c r="B17" s="671" t="s">
        <v>603</v>
      </c>
      <c r="C17" s="1428"/>
      <c r="D17" s="1435"/>
      <c r="E17" s="1041"/>
    </row>
    <row r="18" spans="2:5" ht="17" x14ac:dyDescent="0.2">
      <c r="B18" s="1431" t="s">
        <v>49</v>
      </c>
      <c r="C18" s="1432">
        <f>+C15</f>
        <v>-27767.8</v>
      </c>
      <c r="D18" s="1433">
        <f>+C18/'Disc. 1'!$T$100</f>
        <v>-0.53689746514820469</v>
      </c>
      <c r="E18" s="1031"/>
    </row>
    <row r="19" spans="2:5" ht="17" x14ac:dyDescent="0.2">
      <c r="B19" s="1431" t="s">
        <v>43</v>
      </c>
      <c r="C19" s="1432">
        <f>+'Disc. 1'!P36</f>
        <v>-19957.900000000001</v>
      </c>
      <c r="D19" s="1433">
        <f>+'Disc. 1'!P36/'Disc. 1'!$P$100</f>
        <v>-0.34598075756262464</v>
      </c>
      <c r="E19" s="1031"/>
    </row>
    <row r="20" spans="2:5" ht="17" x14ac:dyDescent="0.2">
      <c r="B20" s="1431" t="s">
        <v>31</v>
      </c>
      <c r="C20" s="1432">
        <f>+'Disc. 1'!D36</f>
        <v>-14484.8</v>
      </c>
      <c r="D20" s="1433">
        <f>+'Disc. 1'!D36/'Disc. 1'!D100</f>
        <v>-0.30481481481481482</v>
      </c>
      <c r="E20" s="1031"/>
    </row>
    <row r="21" spans="2:5" ht="17" x14ac:dyDescent="0.2">
      <c r="B21" s="1431" t="s">
        <v>51</v>
      </c>
      <c r="C21" s="1432">
        <f>+'Disc. 1'!V36</f>
        <v>-6773.2</v>
      </c>
      <c r="D21" s="1433">
        <f>+C21/'Disc. 1'!V100</f>
        <v>-0.11672577748825538</v>
      </c>
      <c r="E21" s="1031"/>
    </row>
    <row r="22" spans="2:5" ht="17" x14ac:dyDescent="0.2">
      <c r="B22" s="1431" t="s">
        <v>86</v>
      </c>
      <c r="C22" s="1432">
        <f>+'Disc. 1'!G36</f>
        <v>72.5</v>
      </c>
      <c r="D22" s="1433">
        <f>+C22/'Disc. 1'!G100</f>
        <v>1.7123287671232876E-2</v>
      </c>
      <c r="E22" s="1031"/>
    </row>
    <row r="23" spans="2:5" ht="17" x14ac:dyDescent="0.2">
      <c r="B23" s="1431" t="s">
        <v>96</v>
      </c>
      <c r="C23" s="1432">
        <f>+'Disc. 1'!U36</f>
        <v>-146.39999999999998</v>
      </c>
      <c r="D23" s="1433">
        <f>+C23/'Disc. 1'!U100</f>
        <v>-4.4675007628928891E-2</v>
      </c>
      <c r="E23" s="1031"/>
    </row>
    <row r="24" spans="2:5" ht="17" x14ac:dyDescent="0.2">
      <c r="B24" s="672" t="s">
        <v>604</v>
      </c>
      <c r="C24" s="680">
        <f>SUM(C18:C23)</f>
        <v>-69057.599999999991</v>
      </c>
      <c r="D24" s="673">
        <f>+C24/('Disc. 1'!D100+'Disc. 1'!G100+'Disc. 1'!P100+'Disc. 1'!T100+'Disc. 1'!U100+'Disc. 1'!V100)</f>
        <v>-0.3104248103942433</v>
      </c>
      <c r="E24" s="1031"/>
    </row>
    <row r="25" spans="2:5" x14ac:dyDescent="0.2">
      <c r="B25" s="1437"/>
      <c r="C25" s="1041"/>
      <c r="D25" s="1438"/>
      <c r="E25" s="1031"/>
    </row>
    <row r="26" spans="2:5" s="617" customFormat="1" ht="32.25" customHeight="1" x14ac:dyDescent="0.2">
      <c r="B26" s="671" t="s">
        <v>605</v>
      </c>
      <c r="C26" s="1041"/>
      <c r="D26" s="1438"/>
      <c r="E26" s="1041"/>
    </row>
    <row r="27" spans="2:5" ht="17" x14ac:dyDescent="0.2">
      <c r="B27" s="1431" t="s">
        <v>49</v>
      </c>
      <c r="C27" s="1432">
        <f>+'Disc. 1'!T35-'Disc. 1'!T36</f>
        <v>3918.5999999999985</v>
      </c>
      <c r="D27" s="1433">
        <f>+C27/('Disc. 1'!T99-'Disc. 1'!T100)</f>
        <v>0.42126424424854853</v>
      </c>
      <c r="E27" s="1031"/>
    </row>
    <row r="28" spans="2:5" ht="17" x14ac:dyDescent="0.2">
      <c r="B28" s="1431" t="s">
        <v>43</v>
      </c>
      <c r="C28" s="1432">
        <f>+'Disc. 1'!P35-'Disc. 1'!P36</f>
        <v>4081.7000000000007</v>
      </c>
      <c r="D28" s="1433">
        <f>+C28/('Disc. 1'!P99-'Disc. 1'!P100)</f>
        <v>0.5130341880341881</v>
      </c>
      <c r="E28" s="1031"/>
    </row>
    <row r="29" spans="2:5" ht="17" x14ac:dyDescent="0.2">
      <c r="B29" s="1431" t="s">
        <v>31</v>
      </c>
      <c r="C29" s="1432">
        <f>+'Disc. 1'!D35-'Disc. 1'!D36</f>
        <v>-11535.8</v>
      </c>
      <c r="D29" s="1433">
        <f>+C29/('Disc. 1'!C99-'Disc. 1'!C100)</f>
        <v>-2.8539831766452251</v>
      </c>
      <c r="E29" s="1031"/>
    </row>
    <row r="30" spans="2:5" ht="17" x14ac:dyDescent="0.2">
      <c r="B30" s="1431" t="s">
        <v>51</v>
      </c>
      <c r="C30" s="1432">
        <f>('Disc. 1'!V35-'Disc. 1'!V36)</f>
        <v>9557.9</v>
      </c>
      <c r="D30" s="1439">
        <f>+C30/('Disc. 1'!V99-'Disc. 1'!V100)</f>
        <v>0.37533329929982606</v>
      </c>
      <c r="E30" s="1031"/>
    </row>
    <row r="31" spans="2:5" ht="17" x14ac:dyDescent="0.2">
      <c r="B31" s="1431" t="s">
        <v>86</v>
      </c>
      <c r="C31" s="1432">
        <f>+'Disc. 1'!G35-'Disc. 1'!G36</f>
        <v>510.4</v>
      </c>
      <c r="D31" s="1433">
        <f>+C31/('Disc. 1'!G99-'Disc. 1'!G100)</f>
        <v>1.8035335689045935</v>
      </c>
      <c r="E31" s="1031"/>
    </row>
    <row r="32" spans="2:5" ht="17" x14ac:dyDescent="0.2">
      <c r="B32" s="1431" t="s">
        <v>96</v>
      </c>
      <c r="C32" s="1432">
        <f>+'Disc. 1'!U35-'Disc. 1'!U36</f>
        <v>330.7</v>
      </c>
      <c r="D32" s="1433">
        <f>+C32/('Disc. 1'!U99-'Disc. 1'!U100)</f>
        <v>1.5031818181818182</v>
      </c>
      <c r="E32" s="958"/>
    </row>
    <row r="33" spans="2:4" ht="17" x14ac:dyDescent="0.2">
      <c r="B33" s="674" t="s">
        <v>606</v>
      </c>
      <c r="C33" s="681">
        <f>SUM(C27:C32)</f>
        <v>6863.4999999999991</v>
      </c>
      <c r="D33" s="675">
        <f>+C33/('Disc. 1'!D101+'Disc. 1'!G101+'Disc. 1'!P101+'Disc. 1'!T101+'Disc. 1'!U101+'Disc. 1'!V101)</f>
        <v>0.1050716373172326</v>
      </c>
    </row>
    <row r="34" spans="2:4" x14ac:dyDescent="0.2">
      <c r="B34" s="1437"/>
      <c r="C34" s="1041"/>
      <c r="D34" s="1438"/>
    </row>
    <row r="35" spans="2:4" ht="17" x14ac:dyDescent="0.2">
      <c r="B35" s="1437" t="s">
        <v>607</v>
      </c>
      <c r="C35" s="1440">
        <f>+'Disc. 1'!AE37-'Disc. 1'!V37-'Disc. 1'!U37-'Disc. 1'!T37-'Disc. 1'!P37-'Disc. 1'!G37-'Disc. 1'!D37</f>
        <v>-6840.3999999999978</v>
      </c>
      <c r="D35" s="1441">
        <f>+C35/('Disc. 1'!AE101-'Disc. 1'!V101-'Disc. 1'!U101-'Disc. 1'!T101-'Disc. 1'!P101-'Disc. 1'!G101-'Disc. 1'!D101)</f>
        <v>-4.1397482768700249E-2</v>
      </c>
    </row>
    <row r="36" spans="2:4" x14ac:dyDescent="0.2">
      <c r="B36" s="1437"/>
      <c r="C36" s="1041"/>
      <c r="D36" s="1438"/>
    </row>
    <row r="37" spans="2:4" ht="18" thickBot="1" x14ac:dyDescent="0.25">
      <c r="B37" s="676" t="s">
        <v>608</v>
      </c>
      <c r="C37" s="293">
        <f>+C35+C33+C24+C9</f>
        <v>-93628.6</v>
      </c>
      <c r="D37" s="677">
        <f>+C37/'Disc. 1'!$AE$99</f>
        <v>-9.2085196849681236E-2</v>
      </c>
    </row>
    <row r="38" spans="2:4" ht="17" thickTop="1" x14ac:dyDescent="0.2">
      <c r="B38" s="958"/>
      <c r="C38" s="958"/>
      <c r="D38" s="958"/>
    </row>
    <row r="40" spans="2:4" x14ac:dyDescent="0.2">
      <c r="B40" s="572"/>
      <c r="C40" s="958"/>
      <c r="D40" s="958"/>
    </row>
    <row r="41" spans="2:4" x14ac:dyDescent="0.2">
      <c r="B41" s="572"/>
      <c r="C41" s="958"/>
      <c r="D41" s="958"/>
    </row>
  </sheetData>
  <mergeCells count="3">
    <mergeCell ref="B2:D2"/>
    <mergeCell ref="C5:C6"/>
    <mergeCell ref="D5:D6"/>
  </mergeCells>
  <pageMargins left="0.7" right="0.7" top="0.75" bottom="0.75" header="0.3" footer="0.3"/>
  <pageSetup paperSize="9" scale="88"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T108"/>
  <sheetViews>
    <sheetView workbookViewId="0">
      <pane xSplit="1" ySplit="8" topLeftCell="B53" activePane="bottomRight" state="frozen"/>
      <selection pane="topRight" activeCell="AR8" sqref="AR8"/>
      <selection pane="bottomLeft" activeCell="AR8" sqref="AR8"/>
      <selection pane="bottomRight" activeCell="A3" sqref="A3:L3"/>
    </sheetView>
  </sheetViews>
  <sheetFormatPr baseColWidth="10" defaultColWidth="10.83203125" defaultRowHeight="16" x14ac:dyDescent="0.2"/>
  <cols>
    <col min="1" max="1" width="19" style="1" customWidth="1"/>
    <col min="2" max="2" width="11.33203125" style="1" customWidth="1"/>
    <col min="3" max="3" width="11.83203125" style="1" customWidth="1"/>
    <col min="4" max="13" width="11.33203125" style="1" customWidth="1"/>
    <col min="14" max="14" width="21.6640625" style="1" bestFit="1" customWidth="1"/>
    <col min="15" max="17" width="10.83203125" style="172"/>
    <col min="18" max="16384" width="10.83203125" style="1"/>
  </cols>
  <sheetData>
    <row r="2" spans="1:17" ht="17" thickBot="1" x14ac:dyDescent="0.25">
      <c r="A2" s="958"/>
      <c r="B2" s="958"/>
      <c r="C2" s="958"/>
      <c r="D2" s="958"/>
      <c r="E2" s="958"/>
      <c r="F2" s="958"/>
      <c r="G2" s="958"/>
      <c r="H2" s="958"/>
      <c r="I2" s="958"/>
      <c r="J2" s="958"/>
      <c r="K2" s="958"/>
      <c r="L2" s="958"/>
      <c r="M2" s="958"/>
      <c r="N2" s="958"/>
    </row>
    <row r="3" spans="1:17" ht="32.25" customHeight="1" thickTop="1" x14ac:dyDescent="0.2">
      <c r="A3" s="1934" t="s">
        <v>118</v>
      </c>
      <c r="B3" s="1935"/>
      <c r="C3" s="1935"/>
      <c r="D3" s="1935"/>
      <c r="E3" s="1935"/>
      <c r="F3" s="1935"/>
      <c r="G3" s="1935"/>
      <c r="H3" s="1935"/>
      <c r="I3" s="1935"/>
      <c r="J3" s="1935"/>
      <c r="K3" s="1935"/>
      <c r="L3" s="1936"/>
      <c r="M3" s="620"/>
      <c r="N3" s="958"/>
    </row>
    <row r="4" spans="1:17" ht="12" customHeight="1" x14ac:dyDescent="0.2">
      <c r="A4" s="4"/>
      <c r="B4" s="620"/>
      <c r="C4" s="620"/>
      <c r="D4" s="620"/>
      <c r="E4" s="620"/>
      <c r="F4" s="620"/>
      <c r="G4" s="620"/>
      <c r="H4" s="620"/>
      <c r="I4" s="620"/>
      <c r="J4" s="620"/>
      <c r="K4" s="620"/>
      <c r="L4" s="5"/>
      <c r="M4" s="620"/>
      <c r="N4" s="958"/>
    </row>
    <row r="5" spans="1:17" ht="17" thickBot="1" x14ac:dyDescent="0.25">
      <c r="A5" s="1080"/>
      <c r="B5" s="126" t="s">
        <v>1</v>
      </c>
      <c r="C5" s="126" t="s">
        <v>2</v>
      </c>
      <c r="D5" s="126" t="s">
        <v>3</v>
      </c>
      <c r="E5" s="126" t="s">
        <v>4</v>
      </c>
      <c r="F5" s="126" t="s">
        <v>5</v>
      </c>
      <c r="G5" s="126" t="s">
        <v>6</v>
      </c>
      <c r="H5" s="126" t="s">
        <v>7</v>
      </c>
      <c r="I5" s="126" t="s">
        <v>8</v>
      </c>
      <c r="J5" s="126" t="s">
        <v>9</v>
      </c>
      <c r="K5" s="126" t="s">
        <v>10</v>
      </c>
      <c r="L5" s="185" t="s">
        <v>11</v>
      </c>
      <c r="M5" s="126"/>
      <c r="N5" s="958"/>
    </row>
    <row r="6" spans="1:17" ht="21" customHeight="1" x14ac:dyDescent="0.2">
      <c r="A6" s="1080"/>
      <c r="B6" s="1947" t="s">
        <v>14</v>
      </c>
      <c r="C6" s="1948"/>
      <c r="D6" s="1948"/>
      <c r="E6" s="1948"/>
      <c r="F6" s="1948"/>
      <c r="G6" s="1949"/>
      <c r="H6" s="1969" t="s">
        <v>119</v>
      </c>
      <c r="I6" s="1971" t="s">
        <v>120</v>
      </c>
      <c r="J6" s="1972" t="s">
        <v>121</v>
      </c>
      <c r="K6" s="1974" t="s">
        <v>122</v>
      </c>
      <c r="L6" s="1964" t="s">
        <v>123</v>
      </c>
      <c r="M6" s="1808"/>
      <c r="N6" s="958"/>
    </row>
    <row r="7" spans="1:17" ht="85" customHeight="1" x14ac:dyDescent="0.2">
      <c r="A7" s="1080"/>
      <c r="B7" s="1966" t="s">
        <v>124</v>
      </c>
      <c r="C7" s="1950" t="s">
        <v>125</v>
      </c>
      <c r="D7" s="1967" t="s">
        <v>126</v>
      </c>
      <c r="E7" s="1809" t="s">
        <v>127</v>
      </c>
      <c r="F7" s="1809" t="s">
        <v>128</v>
      </c>
      <c r="G7" s="1968" t="s">
        <v>129</v>
      </c>
      <c r="H7" s="1970"/>
      <c r="I7" s="1958"/>
      <c r="J7" s="1973"/>
      <c r="K7" s="1975"/>
      <c r="L7" s="1965"/>
      <c r="M7" s="1808"/>
      <c r="N7" s="1104"/>
      <c r="O7" s="317" t="s">
        <v>26</v>
      </c>
      <c r="P7" s="545" t="s">
        <v>130</v>
      </c>
      <c r="Q7" s="546" t="s">
        <v>131</v>
      </c>
    </row>
    <row r="8" spans="1:17" ht="33" customHeight="1" x14ac:dyDescent="0.2">
      <c r="A8" s="1080"/>
      <c r="B8" s="1943"/>
      <c r="C8" s="1951"/>
      <c r="D8" s="1967"/>
      <c r="E8" s="127"/>
      <c r="F8" s="127"/>
      <c r="G8" s="1968"/>
      <c r="H8" s="1970"/>
      <c r="I8" s="1958"/>
      <c r="J8" s="1973"/>
      <c r="K8" s="1975"/>
      <c r="L8" s="1965"/>
      <c r="M8" s="1808"/>
      <c r="N8" s="1104"/>
      <c r="O8" s="10"/>
      <c r="Q8" s="547"/>
    </row>
    <row r="9" spans="1:17" ht="40" customHeight="1" x14ac:dyDescent="0.2">
      <c r="A9" s="190" t="s">
        <v>28</v>
      </c>
      <c r="B9" s="174">
        <f t="shared" ref="B9:G9" si="0">SUM(B10:B44)</f>
        <v>26359.302824524231</v>
      </c>
      <c r="C9" s="201">
        <f t="shared" si="0"/>
        <v>15382.439705866644</v>
      </c>
      <c r="D9" s="202">
        <f t="shared" si="0"/>
        <v>6320.6828851727678</v>
      </c>
      <c r="E9" s="202">
        <f t="shared" si="0"/>
        <v>-9.1668137796673932</v>
      </c>
      <c r="F9" s="202">
        <f t="shared" si="0"/>
        <v>6329.8496989524356</v>
      </c>
      <c r="G9" s="203">
        <f t="shared" si="0"/>
        <v>4656.1796282132627</v>
      </c>
      <c r="H9" s="204">
        <f>(G9+D9)/B9</f>
        <v>0.41643220180972884</v>
      </c>
      <c r="I9" s="204">
        <f>D9/(D9+C9)</f>
        <v>0.29123380097306334</v>
      </c>
      <c r="J9" s="205">
        <f>1-I9</f>
        <v>0.70876619902693672</v>
      </c>
      <c r="K9" s="204">
        <f>E9/D9</f>
        <v>-1.4502885125230942E-3</v>
      </c>
      <c r="L9" s="206">
        <f>F9/C9</f>
        <v>0.41149842417638866</v>
      </c>
      <c r="M9" s="176"/>
      <c r="N9" s="1104"/>
      <c r="O9" s="268">
        <f>B9-C9-D9-G9</f>
        <v>6.0527155710587977E-4</v>
      </c>
      <c r="P9" s="318">
        <f>G9/B9</f>
        <v>0.17664274579679837</v>
      </c>
      <c r="Q9" s="318">
        <f>G9/(G9+D9)</f>
        <v>0.42418128336172195</v>
      </c>
    </row>
    <row r="10" spans="1:17" ht="14.25" customHeight="1" x14ac:dyDescent="0.2">
      <c r="A10" s="1094" t="s">
        <v>29</v>
      </c>
      <c r="B10" s="168">
        <f>+TableA1!E10</f>
        <v>774.05825301069046</v>
      </c>
      <c r="C10" s="1105">
        <f>B10-D10-G10</f>
        <v>496.98457655004552</v>
      </c>
      <c r="D10" s="1106">
        <v>163.01301940514912</v>
      </c>
      <c r="E10" s="1107">
        <v>-15.834391363469035</v>
      </c>
      <c r="F10" s="1101">
        <f>D10-E10</f>
        <v>178.84741076861815</v>
      </c>
      <c r="G10" s="1108">
        <v>114.06065705549587</v>
      </c>
      <c r="H10" s="1109">
        <f>(G10+D10)/B10</f>
        <v>0.35794938608686128</v>
      </c>
      <c r="I10" s="24">
        <f>D10/(D10+C10)</f>
        <v>0.24699032300144261</v>
      </c>
      <c r="J10" s="1110">
        <f>1-I10</f>
        <v>0.75300967699855736</v>
      </c>
      <c r="K10" s="1111">
        <f>E10/D10</f>
        <v>-9.7135746710602128E-2</v>
      </c>
      <c r="L10" s="191">
        <f>F10/C10</f>
        <v>0.35986511293798373</v>
      </c>
      <c r="M10" s="24"/>
      <c r="N10" s="958"/>
      <c r="O10" s="268">
        <f t="shared" ref="O10:O73" si="1">B10-C10-D10-G10</f>
        <v>0</v>
      </c>
      <c r="P10" s="318">
        <f t="shared" ref="P10:P52" si="2">G10/B10</f>
        <v>0.1473540997875267</v>
      </c>
      <c r="Q10" s="318">
        <f t="shared" ref="Q10:Q52" si="3">G10/(G10+D10)</f>
        <v>0.41166183129524692</v>
      </c>
    </row>
    <row r="11" spans="1:17" ht="14.25" customHeight="1" x14ac:dyDescent="0.2">
      <c r="A11" s="1080" t="s">
        <v>30</v>
      </c>
      <c r="B11" s="168">
        <f>+TableA1!E11</f>
        <v>216.83707476995184</v>
      </c>
      <c r="C11" s="1105">
        <v>124.3274896607254</v>
      </c>
      <c r="D11" s="1106">
        <v>47.620441874367138</v>
      </c>
      <c r="E11" s="1112">
        <v>-0.33660175299087369</v>
      </c>
      <c r="F11" s="1113">
        <f t="shared" ref="F11:F43" si="4">D11-E11</f>
        <v>47.957043627358011</v>
      </c>
      <c r="G11" s="1114">
        <v>44.889032328186154</v>
      </c>
      <c r="H11" s="1109">
        <f t="shared" ref="H11:H44" si="5">(G11+D11)/B11</f>
        <v>0.42663125897957732</v>
      </c>
      <c r="I11" s="24">
        <f t="shared" ref="I11:I44" si="6">D11/(D11+C11)</f>
        <v>0.27694687251674421</v>
      </c>
      <c r="J11" s="1110">
        <f t="shared" ref="J11:J44" si="7">1-I11</f>
        <v>0.72305312748325579</v>
      </c>
      <c r="K11" s="1111">
        <f t="shared" ref="K11:K44" si="8">E11/D11</f>
        <v>-7.0684298536939404E-3</v>
      </c>
      <c r="L11" s="191">
        <f t="shared" ref="L11:L44" si="9">F11/C11</f>
        <v>0.38573161702393371</v>
      </c>
      <c r="M11" s="24"/>
      <c r="N11" s="958"/>
      <c r="O11" s="268">
        <f t="shared" si="1"/>
        <v>1.1090667314306302E-4</v>
      </c>
      <c r="P11" s="318">
        <f t="shared" si="2"/>
        <v>0.20701733029653765</v>
      </c>
      <c r="Q11" s="318">
        <f t="shared" si="3"/>
        <v>0.48523713614348057</v>
      </c>
    </row>
    <row r="12" spans="1:17" ht="14.25" customHeight="1" x14ac:dyDescent="0.2">
      <c r="A12" s="1080" t="s">
        <v>31</v>
      </c>
      <c r="B12" s="168">
        <f>+TableA1!E12</f>
        <v>283.38418404296965</v>
      </c>
      <c r="C12" s="1105">
        <v>166.52659153848629</v>
      </c>
      <c r="D12" s="1106">
        <v>59.610340494577216</v>
      </c>
      <c r="E12" s="1107">
        <v>-17.063324383164808</v>
      </c>
      <c r="F12" s="1113">
        <f t="shared" si="4"/>
        <v>76.673664877742027</v>
      </c>
      <c r="G12" s="1114">
        <v>57.247252009906191</v>
      </c>
      <c r="H12" s="1109">
        <f t="shared" si="5"/>
        <v>0.41236455343874889</v>
      </c>
      <c r="I12" s="24">
        <f t="shared" si="6"/>
        <v>0.26360285318570426</v>
      </c>
      <c r="J12" s="1110">
        <f t="shared" si="7"/>
        <v>0.7363971468142958</v>
      </c>
      <c r="K12" s="1111">
        <f t="shared" si="8"/>
        <v>-0.2862477255052262</v>
      </c>
      <c r="L12" s="191">
        <f t="shared" si="9"/>
        <v>0.46042895713758619</v>
      </c>
      <c r="M12" s="24"/>
      <c r="N12" s="1104"/>
      <c r="O12" s="268">
        <f t="shared" si="1"/>
        <v>0</v>
      </c>
      <c r="P12" s="318">
        <f t="shared" si="2"/>
        <v>0.20201286886647762</v>
      </c>
      <c r="Q12" s="318">
        <f t="shared" si="3"/>
        <v>0.48988902460667944</v>
      </c>
    </row>
    <row r="13" spans="1:17" x14ac:dyDescent="0.2">
      <c r="A13" s="1094" t="s">
        <v>32</v>
      </c>
      <c r="B13" s="168">
        <f>+TableA1!E13</f>
        <v>963.75367641885134</v>
      </c>
      <c r="C13" s="1105">
        <f>B13-D13-G13</f>
        <v>613.39428253347273</v>
      </c>
      <c r="D13" s="1106">
        <v>181.32856122048508</v>
      </c>
      <c r="E13" s="1107">
        <v>38.37157121659169</v>
      </c>
      <c r="F13" s="1113">
        <f t="shared" si="4"/>
        <v>142.9569900038934</v>
      </c>
      <c r="G13" s="1114">
        <v>169.03083266489352</v>
      </c>
      <c r="H13" s="1109">
        <f t="shared" si="5"/>
        <v>0.363536246302329</v>
      </c>
      <c r="I13" s="24">
        <f t="shared" si="6"/>
        <v>0.22816578464507242</v>
      </c>
      <c r="J13" s="1110">
        <f t="shared" si="7"/>
        <v>0.77183421535492758</v>
      </c>
      <c r="K13" s="1111">
        <f t="shared" si="8"/>
        <v>0.21161349849312525</v>
      </c>
      <c r="L13" s="191">
        <f t="shared" si="9"/>
        <v>0.23305888899623428</v>
      </c>
      <c r="M13" s="24"/>
      <c r="N13" s="958"/>
      <c r="O13" s="268">
        <f t="shared" si="1"/>
        <v>0</v>
      </c>
      <c r="P13" s="318">
        <f t="shared" si="2"/>
        <v>0.17538800297290075</v>
      </c>
      <c r="Q13" s="318">
        <f t="shared" si="3"/>
        <v>0.48244983755221532</v>
      </c>
    </row>
    <row r="14" spans="1:17" x14ac:dyDescent="0.2">
      <c r="A14" s="1094" t="s">
        <v>33</v>
      </c>
      <c r="B14" s="168">
        <f>C14+D14+G14</f>
        <v>154.1756815022006</v>
      </c>
      <c r="C14" s="1105">
        <v>67.029473521292758</v>
      </c>
      <c r="D14" s="1106">
        <v>66.204407980907845</v>
      </c>
      <c r="E14" s="1107">
        <v>-1.3380769776890027</v>
      </c>
      <c r="F14" s="1113">
        <f t="shared" si="4"/>
        <v>67.542484958596845</v>
      </c>
      <c r="G14" s="1114">
        <v>20.941800000000001</v>
      </c>
      <c r="H14" s="1109">
        <f t="shared" si="5"/>
        <v>0.56523964824935102</v>
      </c>
      <c r="I14" s="24">
        <f t="shared" si="6"/>
        <v>0.49690369472433599</v>
      </c>
      <c r="J14" s="1110">
        <f t="shared" si="7"/>
        <v>0.50309630527566407</v>
      </c>
      <c r="K14" s="1111">
        <f t="shared" si="8"/>
        <v>-2.0211297381813004E-2</v>
      </c>
      <c r="L14" s="191">
        <f t="shared" si="9"/>
        <v>1.0076535203150763</v>
      </c>
      <c r="M14" s="24"/>
      <c r="N14" s="958"/>
      <c r="O14" s="268">
        <f t="shared" si="1"/>
        <v>0</v>
      </c>
      <c r="P14" s="318">
        <f t="shared" si="2"/>
        <v>0.13583076005213632</v>
      </c>
      <c r="Q14" s="318">
        <f t="shared" si="3"/>
        <v>0.24030649738182491</v>
      </c>
    </row>
    <row r="15" spans="1:17" x14ac:dyDescent="0.2">
      <c r="A15" s="1094" t="s">
        <v>34</v>
      </c>
      <c r="B15" s="168">
        <f>+TableA1!E15</f>
        <v>112.15354438741807</v>
      </c>
      <c r="C15" s="1105">
        <v>54.009329742364955</v>
      </c>
      <c r="D15" s="1106">
        <v>32.639016210173281</v>
      </c>
      <c r="E15" s="1107">
        <v>-0.93842166776767111</v>
      </c>
      <c r="F15" s="1113">
        <f t="shared" si="4"/>
        <v>33.577437877940952</v>
      </c>
      <c r="G15" s="1114">
        <v>25.505198434879823</v>
      </c>
      <c r="H15" s="1109">
        <f t="shared" si="5"/>
        <v>0.51843403579116853</v>
      </c>
      <c r="I15" s="24">
        <f t="shared" si="6"/>
        <v>0.37668366142905202</v>
      </c>
      <c r="J15" s="1110">
        <f t="shared" si="7"/>
        <v>0.62331633857094793</v>
      </c>
      <c r="K15" s="1111">
        <f t="shared" si="8"/>
        <v>-2.8751530429865522E-2</v>
      </c>
      <c r="L15" s="191">
        <f t="shared" si="9"/>
        <v>0.62169699268833523</v>
      </c>
      <c r="M15" s="24"/>
      <c r="N15" s="958"/>
      <c r="O15" s="268">
        <f t="shared" si="1"/>
        <v>0</v>
      </c>
      <c r="P15" s="318">
        <f t="shared" si="2"/>
        <v>0.22741321796104663</v>
      </c>
      <c r="Q15" s="318">
        <f t="shared" si="3"/>
        <v>0.43865410497981161</v>
      </c>
    </row>
    <row r="16" spans="1:17" x14ac:dyDescent="0.2">
      <c r="A16" s="1094" t="s">
        <v>35</v>
      </c>
      <c r="B16" s="168">
        <f>+TableA1!E16</f>
        <v>171.31642871995703</v>
      </c>
      <c r="C16" s="1105">
        <v>98.579989289388223</v>
      </c>
      <c r="D16" s="1106">
        <v>41.257110123549566</v>
      </c>
      <c r="E16" s="1107">
        <v>-10.435489075577294</v>
      </c>
      <c r="F16" s="1113">
        <f t="shared" si="4"/>
        <v>51.69259919912686</v>
      </c>
      <c r="G16" s="1114">
        <v>31.479329307019256</v>
      </c>
      <c r="H16" s="1109">
        <f t="shared" si="5"/>
        <v>0.42457363823213756</v>
      </c>
      <c r="I16" s="24">
        <f t="shared" si="6"/>
        <v>0.29503694153235877</v>
      </c>
      <c r="J16" s="1110">
        <f t="shared" si="7"/>
        <v>0.70496305846764118</v>
      </c>
      <c r="K16" s="1111">
        <f t="shared" si="8"/>
        <v>-0.25293795528399637</v>
      </c>
      <c r="L16" s="191">
        <f t="shared" si="9"/>
        <v>0.52437213243531344</v>
      </c>
      <c r="M16" s="24"/>
      <c r="N16" s="958"/>
      <c r="O16" s="268">
        <f t="shared" si="1"/>
        <v>0</v>
      </c>
      <c r="P16" s="318">
        <f t="shared" si="2"/>
        <v>0.18374962367723091</v>
      </c>
      <c r="Q16" s="318">
        <f t="shared" si="3"/>
        <v>0.43278622865596977</v>
      </c>
    </row>
    <row r="17" spans="1:17" x14ac:dyDescent="0.2">
      <c r="A17" s="1094" t="s">
        <v>36</v>
      </c>
      <c r="B17" s="168">
        <f>+TableA1!E17</f>
        <v>14.300084621791608</v>
      </c>
      <c r="C17" s="1105">
        <v>7.9577756114007627</v>
      </c>
      <c r="D17" s="1106">
        <v>4.0342302355990451</v>
      </c>
      <c r="E17" s="1107">
        <v>-4.5471735988882649E-2</v>
      </c>
      <c r="F17" s="1113">
        <f t="shared" si="4"/>
        <v>4.0797019715879275</v>
      </c>
      <c r="G17" s="1114">
        <v>2.3078569614455131</v>
      </c>
      <c r="H17" s="1109">
        <f t="shared" si="5"/>
        <v>0.4434999767330034</v>
      </c>
      <c r="I17" s="24">
        <f t="shared" si="6"/>
        <v>0.33640996235907772</v>
      </c>
      <c r="J17" s="1110">
        <f t="shared" si="7"/>
        <v>0.66359003764092228</v>
      </c>
      <c r="K17" s="1111">
        <f t="shared" si="8"/>
        <v>-1.1271477663230226E-2</v>
      </c>
      <c r="L17" s="191">
        <f t="shared" si="9"/>
        <v>0.51266863641431581</v>
      </c>
      <c r="M17" s="24"/>
      <c r="N17" s="958"/>
      <c r="O17" s="268">
        <f t="shared" si="1"/>
        <v>2.218133462874583E-4</v>
      </c>
      <c r="P17" s="318">
        <f t="shared" si="2"/>
        <v>0.16138764367370365</v>
      </c>
      <c r="Q17" s="318">
        <f t="shared" si="3"/>
        <v>0.36389549524342479</v>
      </c>
    </row>
    <row r="18" spans="1:17" x14ac:dyDescent="0.2">
      <c r="A18" s="1094" t="s">
        <v>37</v>
      </c>
      <c r="B18" s="168">
        <f>+TableA1!E18</f>
        <v>127.77114186183469</v>
      </c>
      <c r="C18" s="1105">
        <v>75.447591606139355</v>
      </c>
      <c r="D18" s="1106">
        <v>26.548839417118892</v>
      </c>
      <c r="E18" s="1107">
        <v>1.4539864849128108</v>
      </c>
      <c r="F18" s="1113">
        <f t="shared" si="4"/>
        <v>25.094852932206081</v>
      </c>
      <c r="G18" s="1114">
        <v>25.774710838576446</v>
      </c>
      <c r="H18" s="1109">
        <f t="shared" si="5"/>
        <v>0.40950992135826259</v>
      </c>
      <c r="I18" s="24">
        <f t="shared" si="6"/>
        <v>0.26029184698692992</v>
      </c>
      <c r="J18" s="1110">
        <f t="shared" si="7"/>
        <v>0.73970815301307002</v>
      </c>
      <c r="K18" s="1111">
        <f t="shared" si="8"/>
        <v>5.4766480073523263E-2</v>
      </c>
      <c r="L18" s="191">
        <f t="shared" si="9"/>
        <v>0.33261304168871642</v>
      </c>
      <c r="M18" s="24"/>
      <c r="N18" s="958"/>
      <c r="O18" s="268">
        <f t="shared" si="1"/>
        <v>0</v>
      </c>
      <c r="P18" s="318">
        <f t="shared" si="2"/>
        <v>0.20172560456920646</v>
      </c>
      <c r="Q18" s="318">
        <f t="shared" si="3"/>
        <v>0.49260248420874131</v>
      </c>
    </row>
    <row r="19" spans="1:17" x14ac:dyDescent="0.2">
      <c r="A19" s="1094" t="s">
        <v>38</v>
      </c>
      <c r="B19" s="168">
        <f>+TableA1!E19</f>
        <v>1308.4658390810716</v>
      </c>
      <c r="C19" s="1105">
        <v>871.38042208861668</v>
      </c>
      <c r="D19" s="1106">
        <v>174.67801020119578</v>
      </c>
      <c r="E19" s="1107">
        <v>-12.980517024728861</v>
      </c>
      <c r="F19" s="1113">
        <f t="shared" si="4"/>
        <v>187.65852722592464</v>
      </c>
      <c r="G19" s="1114">
        <v>262.40740679125923</v>
      </c>
      <c r="H19" s="1109">
        <f t="shared" si="5"/>
        <v>0.33404419430576626</v>
      </c>
      <c r="I19" s="24">
        <f t="shared" si="6"/>
        <v>0.16698685733915186</v>
      </c>
      <c r="J19" s="1110">
        <f t="shared" si="7"/>
        <v>0.83301314266084814</v>
      </c>
      <c r="K19" s="1111">
        <f t="shared" si="8"/>
        <v>-7.4311111111111119E-2</v>
      </c>
      <c r="L19" s="191">
        <f t="shared" si="9"/>
        <v>0.21535775015018682</v>
      </c>
      <c r="M19" s="24"/>
      <c r="N19" s="958"/>
      <c r="O19" s="268">
        <f t="shared" si="1"/>
        <v>0</v>
      </c>
      <c r="P19" s="318">
        <f t="shared" si="2"/>
        <v>0.20054585985641513</v>
      </c>
      <c r="Q19" s="318">
        <f t="shared" si="3"/>
        <v>0.60035726791541277</v>
      </c>
    </row>
    <row r="20" spans="1:17" x14ac:dyDescent="0.2">
      <c r="A20" s="1094" t="s">
        <v>39</v>
      </c>
      <c r="B20" s="168">
        <f>+TableA1!E20</f>
        <v>2072.973263728305</v>
      </c>
      <c r="C20" s="1105">
        <v>1223.0067020902579</v>
      </c>
      <c r="D20" s="1106">
        <v>507.14627148400893</v>
      </c>
      <c r="E20" s="1107">
        <v>-45.903162947411388</v>
      </c>
      <c r="F20" s="1113">
        <f>D20-E20</f>
        <v>553.04943443142031</v>
      </c>
      <c r="G20" s="1114">
        <v>342.82029015403828</v>
      </c>
      <c r="H20" s="1109">
        <f t="shared" si="5"/>
        <v>0.41002292528817119</v>
      </c>
      <c r="I20" s="24">
        <f t="shared" si="6"/>
        <v>0.29312221475787303</v>
      </c>
      <c r="J20" s="1110">
        <f t="shared" si="7"/>
        <v>0.70687778524212697</v>
      </c>
      <c r="K20" s="1111">
        <f t="shared" si="8"/>
        <v>-9.0512669674352092E-2</v>
      </c>
      <c r="L20" s="191">
        <f t="shared" si="9"/>
        <v>0.45220474547375394</v>
      </c>
      <c r="M20" s="24"/>
      <c r="N20" s="958"/>
      <c r="O20" s="268">
        <f t="shared" si="1"/>
        <v>0</v>
      </c>
      <c r="P20" s="318">
        <f t="shared" si="2"/>
        <v>0.16537612720458614</v>
      </c>
      <c r="Q20" s="318">
        <f t="shared" si="3"/>
        <v>0.40333385526762178</v>
      </c>
    </row>
    <row r="21" spans="1:17" x14ac:dyDescent="0.2">
      <c r="A21" s="1094" t="s">
        <v>40</v>
      </c>
      <c r="B21" s="168">
        <f>+TableA1!E21</f>
        <v>65.374766181006336</v>
      </c>
      <c r="C21" s="1105">
        <v>27.693378982519995</v>
      </c>
      <c r="D21" s="1106">
        <v>19.839164251673861</v>
      </c>
      <c r="E21" s="1107">
        <v>-2.7686198440873979</v>
      </c>
      <c r="F21" s="1113">
        <f t="shared" si="4"/>
        <v>22.607784095761257</v>
      </c>
      <c r="G21" s="1114">
        <v>17.842223057719163</v>
      </c>
      <c r="H21" s="1109">
        <f t="shared" si="5"/>
        <v>0.57639039511151302</v>
      </c>
      <c r="I21" s="24">
        <f t="shared" si="6"/>
        <v>0.41738065968668825</v>
      </c>
      <c r="J21" s="1110">
        <f t="shared" si="7"/>
        <v>0.58261934031331175</v>
      </c>
      <c r="K21" s="1111">
        <f t="shared" si="8"/>
        <v>-0.13955324977229347</v>
      </c>
      <c r="L21" s="191">
        <f t="shared" si="9"/>
        <v>0.81636062215561511</v>
      </c>
      <c r="M21" s="24"/>
      <c r="N21" s="958"/>
      <c r="O21" s="268">
        <f t="shared" si="1"/>
        <v>-1.1090668294855277E-7</v>
      </c>
      <c r="P21" s="318">
        <f t="shared" si="2"/>
        <v>0.2729221701278215</v>
      </c>
      <c r="Q21" s="318">
        <f t="shared" si="3"/>
        <v>0.4735022867183965</v>
      </c>
    </row>
    <row r="22" spans="1:17" x14ac:dyDescent="0.2">
      <c r="A22" s="1094" t="s">
        <v>41</v>
      </c>
      <c r="B22" s="168">
        <f>+TableA1!E22</f>
        <v>66.600399165868637</v>
      </c>
      <c r="C22" s="1105">
        <v>34.2062595652135</v>
      </c>
      <c r="D22" s="1106">
        <v>19.543121548691975</v>
      </c>
      <c r="E22" s="1107">
        <v>-1.125168034510843</v>
      </c>
      <c r="F22" s="1113">
        <f t="shared" si="4"/>
        <v>20.668289583202817</v>
      </c>
      <c r="G22" s="1114">
        <v>12.851018051963162</v>
      </c>
      <c r="H22" s="1109">
        <f t="shared" si="5"/>
        <v>0.48639557729942978</v>
      </c>
      <c r="I22" s="24">
        <f t="shared" si="6"/>
        <v>0.36359714556110462</v>
      </c>
      <c r="J22" s="1110">
        <f t="shared" si="7"/>
        <v>0.63640285443889533</v>
      </c>
      <c r="K22" s="1111">
        <f t="shared" si="8"/>
        <v>-5.7573608786470998E-2</v>
      </c>
      <c r="L22" s="191">
        <f t="shared" si="9"/>
        <v>0.60422536243108271</v>
      </c>
      <c r="M22" s="24"/>
      <c r="N22" s="958"/>
      <c r="O22" s="268">
        <f t="shared" si="1"/>
        <v>0</v>
      </c>
      <c r="P22" s="318">
        <f t="shared" si="2"/>
        <v>0.19295707252380928</v>
      </c>
      <c r="Q22" s="318">
        <f t="shared" si="3"/>
        <v>0.39670811481294177</v>
      </c>
    </row>
    <row r="23" spans="1:17" x14ac:dyDescent="0.2">
      <c r="A23" s="1094" t="s">
        <v>42</v>
      </c>
      <c r="B23" s="168">
        <f>+TableA1!E23</f>
        <v>8.7968397543178742</v>
      </c>
      <c r="C23" s="1105">
        <f>+B23*$C$101</f>
        <v>5.1275502981429524</v>
      </c>
      <c r="D23" s="1106">
        <f>B23-C23-G23</f>
        <v>2.1512894561749221</v>
      </c>
      <c r="E23" s="1107">
        <f>+B23*E$101</f>
        <v>2.292478048831671E-3</v>
      </c>
      <c r="F23" s="1113">
        <f t="shared" si="4"/>
        <v>2.1489969781260903</v>
      </c>
      <c r="G23" s="1114">
        <v>1.518</v>
      </c>
      <c r="H23" s="1109">
        <f t="shared" si="5"/>
        <v>0.41711450460079985</v>
      </c>
      <c r="I23" s="24">
        <f t="shared" si="6"/>
        <v>0.29555389715768332</v>
      </c>
      <c r="J23" s="1110">
        <f t="shared" si="7"/>
        <v>0.70444610284231668</v>
      </c>
      <c r="K23" s="1111">
        <f t="shared" si="8"/>
        <v>1.0656297516131502E-3</v>
      </c>
      <c r="L23" s="191">
        <f t="shared" si="9"/>
        <v>0.41910792740626918</v>
      </c>
      <c r="M23" s="24"/>
      <c r="N23" s="958"/>
      <c r="O23" s="268">
        <f t="shared" si="1"/>
        <v>0</v>
      </c>
      <c r="P23" s="318">
        <f t="shared" si="2"/>
        <v>0.17256197025243061</v>
      </c>
      <c r="Q23" s="318">
        <f t="shared" si="3"/>
        <v>0.41370407489804589</v>
      </c>
    </row>
    <row r="24" spans="1:17" x14ac:dyDescent="0.2">
      <c r="A24" s="1094" t="s">
        <v>43</v>
      </c>
      <c r="B24" s="168">
        <f>+TableA1!E24</f>
        <v>216.35996679454206</v>
      </c>
      <c r="C24" s="1105">
        <v>61.361034049457722</v>
      </c>
      <c r="D24" s="1106">
        <v>100.86714256720114</v>
      </c>
      <c r="E24" s="1107">
        <v>-24.667497801275207</v>
      </c>
      <c r="F24" s="1113">
        <f t="shared" si="4"/>
        <v>125.53464036847635</v>
      </c>
      <c r="G24" s="1114">
        <v>54.131790177883211</v>
      </c>
      <c r="H24" s="1109">
        <f t="shared" si="5"/>
        <v>0.716393772107911</v>
      </c>
      <c r="I24" s="24">
        <f t="shared" si="6"/>
        <v>0.62176093370973218</v>
      </c>
      <c r="J24" s="1110">
        <f t="shared" si="7"/>
        <v>0.37823906629026782</v>
      </c>
      <c r="K24" s="1111">
        <f t="shared" si="8"/>
        <v>-0.24455434320290054</v>
      </c>
      <c r="L24" s="191">
        <f t="shared" si="9"/>
        <v>2.0458364548956904</v>
      </c>
      <c r="M24" s="24"/>
      <c r="N24" s="958"/>
      <c r="O24" s="268">
        <f t="shared" si="1"/>
        <v>0</v>
      </c>
      <c r="P24" s="318">
        <f t="shared" si="2"/>
        <v>0.25019318952515551</v>
      </c>
      <c r="Q24" s="318">
        <f t="shared" si="3"/>
        <v>0.34923976068215834</v>
      </c>
    </row>
    <row r="25" spans="1:17" x14ac:dyDescent="0.2">
      <c r="A25" s="1094" t="s">
        <v>44</v>
      </c>
      <c r="B25" s="168">
        <f>+TableA1!E25</f>
        <v>168.61095158963607</v>
      </c>
      <c r="C25" s="1105">
        <v>91.954332974943853</v>
      </c>
      <c r="D25" s="1106">
        <v>53.865003050041011</v>
      </c>
      <c r="E25" s="1107">
        <f>+B25*E$101</f>
        <v>4.3940428165936636E-2</v>
      </c>
      <c r="F25" s="1113">
        <f t="shared" si="4"/>
        <v>53.821062621875072</v>
      </c>
      <c r="G25" s="1114">
        <v>22.791615590379109</v>
      </c>
      <c r="H25" s="1109">
        <f t="shared" si="5"/>
        <v>0.45463605962551212</v>
      </c>
      <c r="I25" s="24">
        <f t="shared" si="6"/>
        <v>0.3693954760623222</v>
      </c>
      <c r="J25" s="1110">
        <f t="shared" si="7"/>
        <v>0.63060452393767785</v>
      </c>
      <c r="K25" s="1111">
        <f t="shared" si="8"/>
        <v>8.1575096403718077E-4</v>
      </c>
      <c r="L25" s="191">
        <f t="shared" si="9"/>
        <v>0.58530208289956809</v>
      </c>
      <c r="M25" s="24"/>
      <c r="N25" s="958"/>
      <c r="O25" s="268">
        <f t="shared" si="1"/>
        <v>-2.5727899810590316E-8</v>
      </c>
      <c r="P25" s="318">
        <f t="shared" si="2"/>
        <v>0.13517280684026475</v>
      </c>
      <c r="Q25" s="318">
        <f t="shared" si="3"/>
        <v>0.29732090972196057</v>
      </c>
    </row>
    <row r="26" spans="1:17" x14ac:dyDescent="0.2">
      <c r="A26" s="1094" t="s">
        <v>45</v>
      </c>
      <c r="B26" s="168">
        <f>+TableA1!E26</f>
        <v>872.75122856867165</v>
      </c>
      <c r="C26" s="1105">
        <v>491.69619556839115</v>
      </c>
      <c r="D26" s="1106">
        <v>194.378029831677</v>
      </c>
      <c r="E26" s="1107">
        <v>-17.51637814295648</v>
      </c>
      <c r="F26" s="1113">
        <f t="shared" si="4"/>
        <v>211.89440797463348</v>
      </c>
      <c r="G26" s="1114">
        <v>186.6768922619305</v>
      </c>
      <c r="H26" s="1109">
        <f t="shared" si="5"/>
        <v>0.43661344678774583</v>
      </c>
      <c r="I26" s="24">
        <f t="shared" si="6"/>
        <v>0.28331924248914903</v>
      </c>
      <c r="J26" s="1110">
        <f t="shared" si="7"/>
        <v>0.71668075751085092</v>
      </c>
      <c r="K26" s="1111">
        <f t="shared" si="8"/>
        <v>-9.0115010210386995E-2</v>
      </c>
      <c r="L26" s="191">
        <f t="shared" si="9"/>
        <v>0.43094579515647402</v>
      </c>
      <c r="M26" s="24"/>
      <c r="N26" s="958"/>
      <c r="O26" s="268">
        <f t="shared" si="1"/>
        <v>1.1090667300095447E-4</v>
      </c>
      <c r="P26" s="318">
        <f t="shared" si="2"/>
        <v>0.21389473443432913</v>
      </c>
      <c r="Q26" s="318">
        <f t="shared" si="3"/>
        <v>0.48989497691378109</v>
      </c>
    </row>
    <row r="27" spans="1:17" x14ac:dyDescent="0.2">
      <c r="A27" s="1094" t="s">
        <v>46</v>
      </c>
      <c r="B27" s="168">
        <f>+TableA1!E27</f>
        <v>2733.7570791303033</v>
      </c>
      <c r="C27" s="1105">
        <f>B27-D27-G27</f>
        <v>1514.0182782989034</v>
      </c>
      <c r="D27" s="1106">
        <v>559.73103340990883</v>
      </c>
      <c r="E27" s="1107">
        <v>-74.404330391180793</v>
      </c>
      <c r="F27" s="1113">
        <f t="shared" si="4"/>
        <v>634.13536380108962</v>
      </c>
      <c r="G27" s="1114">
        <v>660.00776742149105</v>
      </c>
      <c r="H27" s="1109">
        <f t="shared" si="5"/>
        <v>0.44617673243280209</v>
      </c>
      <c r="I27" s="24">
        <f t="shared" si="6"/>
        <v>0.26991258309263949</v>
      </c>
      <c r="J27" s="1110">
        <f t="shared" si="7"/>
        <v>0.73008741690736056</v>
      </c>
      <c r="K27" s="1111">
        <f t="shared" si="8"/>
        <v>-0.13292872102857325</v>
      </c>
      <c r="L27" s="191">
        <f t="shared" si="9"/>
        <v>0.41884260770852871</v>
      </c>
      <c r="M27" s="24"/>
      <c r="N27" s="1115"/>
      <c r="O27" s="302">
        <f t="shared" si="1"/>
        <v>0</v>
      </c>
      <c r="P27" s="318">
        <f t="shared" si="2"/>
        <v>0.2414288279159979</v>
      </c>
      <c r="Q27" s="318">
        <f t="shared" si="3"/>
        <v>0.54110582279715602</v>
      </c>
    </row>
    <row r="28" spans="1:17" x14ac:dyDescent="0.2">
      <c r="A28" s="1094" t="s">
        <v>47</v>
      </c>
      <c r="B28" s="168">
        <f>C28+D28+G28</f>
        <v>843.46264777451415</v>
      </c>
      <c r="C28" s="1105">
        <v>414.68018379403401</v>
      </c>
      <c r="D28" s="1106">
        <v>244.98356771713927</v>
      </c>
      <c r="E28" s="1107">
        <v>-3.2335019659066044</v>
      </c>
      <c r="F28" s="1113">
        <f t="shared" si="4"/>
        <v>248.21706968304588</v>
      </c>
      <c r="G28" s="1114">
        <v>183.79889626334088</v>
      </c>
      <c r="H28" s="1109">
        <f t="shared" si="5"/>
        <v>0.50835975382173426</v>
      </c>
      <c r="I28" s="24">
        <f t="shared" si="6"/>
        <v>0.37137642799975767</v>
      </c>
      <c r="J28" s="1110">
        <f t="shared" si="7"/>
        <v>0.62862357200024233</v>
      </c>
      <c r="K28" s="1111">
        <f t="shared" si="8"/>
        <v>-1.3198852461974272E-2</v>
      </c>
      <c r="L28" s="191">
        <f>F28/C28</f>
        <v>0.59857470740953445</v>
      </c>
      <c r="M28" s="24"/>
      <c r="N28" s="958"/>
      <c r="O28" s="268">
        <f t="shared" si="1"/>
        <v>0</v>
      </c>
      <c r="P28" s="318">
        <f t="shared" si="2"/>
        <v>0.21790994153481055</v>
      </c>
      <c r="Q28" s="318">
        <f t="shared" si="3"/>
        <v>0.42865301569727471</v>
      </c>
    </row>
    <row r="29" spans="1:17" x14ac:dyDescent="0.2">
      <c r="A29" s="1080" t="s">
        <v>48</v>
      </c>
      <c r="B29" s="168">
        <f>+TableA1!E29</f>
        <v>16.865578894016473</v>
      </c>
      <c r="C29" s="1105">
        <v>9.2021529203390635</v>
      </c>
      <c r="D29" s="1106">
        <v>4.0502828674698534</v>
      </c>
      <c r="E29" s="1107">
        <v>-0.13559228045192251</v>
      </c>
      <c r="F29" s="1113">
        <f t="shared" si="4"/>
        <v>4.1858751479217755</v>
      </c>
      <c r="G29" s="1114">
        <v>3.6131442152742888</v>
      </c>
      <c r="H29" s="1109">
        <f t="shared" si="5"/>
        <v>0.45438268860507086</v>
      </c>
      <c r="I29" s="24">
        <f t="shared" si="6"/>
        <v>0.30562554177366846</v>
      </c>
      <c r="J29" s="1110">
        <f t="shared" si="7"/>
        <v>0.69437445822633159</v>
      </c>
      <c r="K29" s="1111">
        <f t="shared" si="8"/>
        <v>-3.3477237242105225E-2</v>
      </c>
      <c r="L29" s="191">
        <f t="shared" si="9"/>
        <v>0.4548799812563365</v>
      </c>
      <c r="M29" s="24"/>
      <c r="N29" s="958"/>
      <c r="O29" s="268">
        <f t="shared" si="1"/>
        <v>-1.1090667331181692E-6</v>
      </c>
      <c r="P29" s="318">
        <f t="shared" si="2"/>
        <v>0.21423185281568669</v>
      </c>
      <c r="Q29" s="318">
        <f t="shared" si="3"/>
        <v>0.47147890575093504</v>
      </c>
    </row>
    <row r="30" spans="1:17" x14ac:dyDescent="0.2">
      <c r="A30" s="1080" t="s">
        <v>49</v>
      </c>
      <c r="B30" s="168">
        <f>+TableA1!E30</f>
        <v>39.231128397764564</v>
      </c>
      <c r="C30" s="1105">
        <v>21.552271978652684</v>
      </c>
      <c r="D30" s="1106">
        <v>13.500336601752991</v>
      </c>
      <c r="E30" s="1107">
        <v>-45.776729340027664</v>
      </c>
      <c r="F30" s="1113">
        <f t="shared" si="4"/>
        <v>59.277065941780656</v>
      </c>
      <c r="G30" s="1114">
        <v>4.1785198173588904</v>
      </c>
      <c r="H30" s="1109">
        <f t="shared" si="5"/>
        <v>0.45063339091004179</v>
      </c>
      <c r="I30" s="24">
        <f t="shared" si="6"/>
        <v>0.38514499058708135</v>
      </c>
      <c r="J30" s="1110">
        <f t="shared" si="7"/>
        <v>0.6148550094129186</v>
      </c>
      <c r="K30" s="1111">
        <f t="shared" si="8"/>
        <v>-3.3907842960066379</v>
      </c>
      <c r="L30" s="191">
        <f t="shared" si="9"/>
        <v>2.7503859454118813</v>
      </c>
      <c r="M30" s="24"/>
      <c r="N30" s="958"/>
      <c r="O30" s="268">
        <f t="shared" si="1"/>
        <v>0</v>
      </c>
      <c r="P30" s="318">
        <f t="shared" si="2"/>
        <v>0.1065103143349042</v>
      </c>
      <c r="Q30" s="318">
        <f t="shared" si="3"/>
        <v>0.23635690670815479</v>
      </c>
    </row>
    <row r="31" spans="1:17" x14ac:dyDescent="0.2">
      <c r="A31" s="1080" t="s">
        <v>50</v>
      </c>
      <c r="B31" s="168">
        <f>+TableA1!E31</f>
        <v>580.51899302302263</v>
      </c>
      <c r="C31" s="1105">
        <v>140.22820286912128</v>
      </c>
      <c r="D31" s="1106">
        <v>337.9335418818979</v>
      </c>
      <c r="E31" s="1107">
        <v>12.88885403053848</v>
      </c>
      <c r="F31" s="1113">
        <f t="shared" si="4"/>
        <v>325.04468785135941</v>
      </c>
      <c r="G31" s="1114">
        <v>102.35718517362183</v>
      </c>
      <c r="H31" s="1109">
        <f t="shared" si="5"/>
        <v>0.75844327635643494</v>
      </c>
      <c r="I31" s="24">
        <f t="shared" si="6"/>
        <v>0.70673479338641221</v>
      </c>
      <c r="J31" s="1110">
        <f t="shared" si="7"/>
        <v>0.29326520661358779</v>
      </c>
      <c r="K31" s="1111">
        <f t="shared" si="8"/>
        <v>3.8140203422135935E-2</v>
      </c>
      <c r="L31" s="191">
        <f t="shared" si="9"/>
        <v>2.3179694326877476</v>
      </c>
      <c r="M31" s="24"/>
      <c r="N31" s="958"/>
      <c r="O31" s="268">
        <f t="shared" si="1"/>
        <v>6.3098381630766198E-5</v>
      </c>
      <c r="P31" s="318">
        <f t="shared" si="2"/>
        <v>0.17632013147511691</v>
      </c>
      <c r="Q31" s="318">
        <f t="shared" si="3"/>
        <v>0.2324763591051392</v>
      </c>
    </row>
    <row r="32" spans="1:17" x14ac:dyDescent="0.2">
      <c r="A32" s="1080" t="s">
        <v>51</v>
      </c>
      <c r="B32" s="168">
        <f>+TableA1!E32</f>
        <v>501.13845699981925</v>
      </c>
      <c r="C32" s="1105">
        <v>282.03899700441076</v>
      </c>
      <c r="D32" s="1106">
        <v>147.30735233608272</v>
      </c>
      <c r="E32" s="1107">
        <v>-12.440401526519448</v>
      </c>
      <c r="F32" s="1113">
        <f t="shared" si="4"/>
        <v>159.74775386260217</v>
      </c>
      <c r="G32" s="1114">
        <v>71.792107659325765</v>
      </c>
      <c r="H32" s="1109">
        <f t="shared" si="5"/>
        <v>0.43720344534541983</v>
      </c>
      <c r="I32" s="24">
        <f t="shared" si="6"/>
        <v>0.34309678552608469</v>
      </c>
      <c r="J32" s="1110">
        <f t="shared" si="7"/>
        <v>0.65690321447391531</v>
      </c>
      <c r="K32" s="1111">
        <f t="shared" si="8"/>
        <v>-8.4452006836268356E-2</v>
      </c>
      <c r="L32" s="191">
        <f t="shared" si="9"/>
        <v>0.56640307035308279</v>
      </c>
      <c r="M32" s="24"/>
      <c r="N32" s="958"/>
      <c r="O32" s="268">
        <f t="shared" si="1"/>
        <v>0</v>
      </c>
      <c r="P32" s="318">
        <f t="shared" si="2"/>
        <v>0.14325802910661806</v>
      </c>
      <c r="Q32" s="318">
        <f t="shared" si="3"/>
        <v>0.32766903058925961</v>
      </c>
    </row>
    <row r="33" spans="1:20" x14ac:dyDescent="0.2">
      <c r="A33" s="1080" t="s">
        <v>52</v>
      </c>
      <c r="B33" s="168">
        <f>+C33+D33+G33</f>
        <v>117.72450705207552</v>
      </c>
      <c r="C33" s="1105">
        <v>57.141860911103748</v>
      </c>
      <c r="D33" s="1106">
        <v>43.654346140971775</v>
      </c>
      <c r="E33" s="1107">
        <f>+B33*E$101</f>
        <v>3.0679295720254882E-2</v>
      </c>
      <c r="F33" s="1113">
        <f t="shared" si="4"/>
        <v>43.62366684525152</v>
      </c>
      <c r="G33" s="1114">
        <v>16.9283</v>
      </c>
      <c r="H33" s="1109">
        <f t="shared" si="5"/>
        <v>0.51461371687182345</v>
      </c>
      <c r="I33" s="24">
        <f t="shared" si="6"/>
        <v>0.43309512746266454</v>
      </c>
      <c r="J33" s="1110">
        <f t="shared" si="7"/>
        <v>0.56690487253733546</v>
      </c>
      <c r="K33" s="1111">
        <f t="shared" si="8"/>
        <v>7.02777579606463E-4</v>
      </c>
      <c r="L33" s="191">
        <f t="shared" si="9"/>
        <v>0.76342747942908895</v>
      </c>
      <c r="M33" s="24"/>
      <c r="N33" s="958"/>
      <c r="O33" s="268">
        <f t="shared" si="1"/>
        <v>0</v>
      </c>
      <c r="P33" s="318">
        <f t="shared" si="2"/>
        <v>0.14379588773739146</v>
      </c>
      <c r="Q33" s="318">
        <f t="shared" si="3"/>
        <v>0.27942490264636138</v>
      </c>
      <c r="R33" s="958"/>
      <c r="S33" s="958"/>
      <c r="T33" s="958"/>
    </row>
    <row r="34" spans="1:20" x14ac:dyDescent="0.2">
      <c r="A34" s="1080" t="s">
        <v>53</v>
      </c>
      <c r="B34" s="168">
        <f>+TableA1!E34</f>
        <v>244.0517414879925</v>
      </c>
      <c r="C34" s="1105">
        <v>120.45063054869772</v>
      </c>
      <c r="D34" s="1106">
        <v>79.92071592763395</v>
      </c>
      <c r="E34" s="1107">
        <v>3.7908441132233497</v>
      </c>
      <c r="F34" s="1113">
        <f t="shared" si="4"/>
        <v>76.129871814410606</v>
      </c>
      <c r="G34" s="1114">
        <v>43.680395011660849</v>
      </c>
      <c r="H34" s="1109">
        <f t="shared" si="5"/>
        <v>0.50645453372180116</v>
      </c>
      <c r="I34" s="24">
        <f t="shared" si="6"/>
        <v>0.39886299779431972</v>
      </c>
      <c r="J34" s="1110">
        <f t="shared" si="7"/>
        <v>0.60113700220568034</v>
      </c>
      <c r="K34" s="1111">
        <f t="shared" si="8"/>
        <v>4.7432559496287004E-2</v>
      </c>
      <c r="L34" s="191">
        <f t="shared" si="9"/>
        <v>0.63204211939456467</v>
      </c>
      <c r="M34" s="24"/>
      <c r="N34" s="958"/>
      <c r="O34" s="268">
        <f t="shared" si="1"/>
        <v>0</v>
      </c>
      <c r="P34" s="318">
        <f t="shared" si="2"/>
        <v>0.17898005867665548</v>
      </c>
      <c r="Q34" s="318">
        <f t="shared" si="3"/>
        <v>0.35339807773341092</v>
      </c>
      <c r="R34" s="958"/>
      <c r="S34" s="958"/>
      <c r="T34" s="958"/>
    </row>
    <row r="35" spans="1:20" x14ac:dyDescent="0.2">
      <c r="A35" s="1080" t="s">
        <v>54</v>
      </c>
      <c r="B35" s="168">
        <f>+TableA1!E35</f>
        <v>234.89932351770796</v>
      </c>
      <c r="C35" s="1105">
        <v>110.83432816023345</v>
      </c>
      <c r="D35" s="1106">
        <v>87.729672370340893</v>
      </c>
      <c r="E35" s="1107">
        <v>-5.4914444886589732E-2</v>
      </c>
      <c r="F35" s="1113">
        <f t="shared" si="4"/>
        <v>87.784586815227485</v>
      </c>
      <c r="G35" s="1114">
        <v>36.335322987133573</v>
      </c>
      <c r="H35" s="1109">
        <f t="shared" si="5"/>
        <v>0.52816242081736686</v>
      </c>
      <c r="I35" s="24">
        <f t="shared" si="6"/>
        <v>0.44182063282328221</v>
      </c>
      <c r="J35" s="1110">
        <f t="shared" si="7"/>
        <v>0.55817936717671779</v>
      </c>
      <c r="K35" s="1111">
        <f t="shared" si="8"/>
        <v>-6.2595064364055308E-4</v>
      </c>
      <c r="L35" s="191">
        <f t="shared" si="9"/>
        <v>0.79203427559300121</v>
      </c>
      <c r="M35" s="24"/>
      <c r="N35" s="958"/>
      <c r="O35" s="268">
        <f t="shared" si="1"/>
        <v>0</v>
      </c>
      <c r="P35" s="318">
        <f t="shared" si="2"/>
        <v>0.15468466423401353</v>
      </c>
      <c r="Q35" s="318">
        <f t="shared" si="3"/>
        <v>0.29287328696090992</v>
      </c>
      <c r="R35" s="958"/>
      <c r="S35" s="958"/>
      <c r="T35" s="958"/>
    </row>
    <row r="36" spans="1:20" x14ac:dyDescent="0.2">
      <c r="A36" s="1080" t="s">
        <v>55</v>
      </c>
      <c r="B36" s="168">
        <f>+TableA1!E36</f>
        <v>101.75390252856124</v>
      </c>
      <c r="C36" s="1105">
        <v>57.993657247362911</v>
      </c>
      <c r="D36" s="1106">
        <v>26.458278573163476</v>
      </c>
      <c r="E36" s="1107">
        <v>-0.15979433466532239</v>
      </c>
      <c r="F36" s="1113">
        <f t="shared" si="4"/>
        <v>26.618072907828797</v>
      </c>
      <c r="G36" s="1114">
        <v>17.301966708034854</v>
      </c>
      <c r="H36" s="1109">
        <f t="shared" si="5"/>
        <v>0.43005962615453786</v>
      </c>
      <c r="I36" s="24">
        <f t="shared" si="6"/>
        <v>0.3132939264931886</v>
      </c>
      <c r="J36" s="1110">
        <f t="shared" si="7"/>
        <v>0.68670607350681134</v>
      </c>
      <c r="K36" s="1111">
        <f t="shared" si="8"/>
        <v>-6.03948341625676E-3</v>
      </c>
      <c r="L36" s="191">
        <f t="shared" si="9"/>
        <v>0.45898248483094545</v>
      </c>
      <c r="M36" s="24"/>
      <c r="N36" s="958"/>
      <c r="O36" s="268">
        <f t="shared" si="1"/>
        <v>0</v>
      </c>
      <c r="P36" s="318">
        <f t="shared" si="2"/>
        <v>0.17003737722175694</v>
      </c>
      <c r="Q36" s="318">
        <f t="shared" si="3"/>
        <v>0.39538093529536672</v>
      </c>
      <c r="R36" s="958"/>
      <c r="S36" s="958"/>
      <c r="T36" s="958"/>
    </row>
    <row r="37" spans="1:20" x14ac:dyDescent="0.2">
      <c r="A37" s="1080" t="s">
        <v>56</v>
      </c>
      <c r="B37" s="168">
        <f>+TableA1!E37</f>
        <v>43.35690211044308</v>
      </c>
      <c r="C37" s="1105">
        <v>21.242901141118761</v>
      </c>
      <c r="D37" s="1106">
        <v>10.906050957180039</v>
      </c>
      <c r="E37" s="1107">
        <v>-0.69849909999234772</v>
      </c>
      <c r="F37" s="1113">
        <f t="shared" si="4"/>
        <v>11.604550057172386</v>
      </c>
      <c r="G37" s="1114">
        <v>11.207950012144281</v>
      </c>
      <c r="H37" s="1109">
        <f t="shared" si="5"/>
        <v>0.5100456880658425</v>
      </c>
      <c r="I37" s="24">
        <f t="shared" si="6"/>
        <v>0.33923503708094876</v>
      </c>
      <c r="J37" s="1110">
        <f t="shared" si="7"/>
        <v>0.66076496291905129</v>
      </c>
      <c r="K37" s="1111">
        <f t="shared" si="8"/>
        <v>-6.404693162858259E-2</v>
      </c>
      <c r="L37" s="191">
        <f t="shared" si="9"/>
        <v>0.546278965386233</v>
      </c>
      <c r="M37" s="24"/>
      <c r="N37" s="958"/>
      <c r="O37" s="268">
        <f t="shared" si="1"/>
        <v>0</v>
      </c>
      <c r="P37" s="318">
        <f t="shared" si="2"/>
        <v>0.25850440106616146</v>
      </c>
      <c r="Q37" s="318">
        <f t="shared" si="3"/>
        <v>0.50682597091731674</v>
      </c>
      <c r="R37" s="958"/>
      <c r="S37" s="958"/>
      <c r="T37" s="958"/>
    </row>
    <row r="38" spans="1:20" x14ac:dyDescent="0.2">
      <c r="A38" s="1080" t="s">
        <v>57</v>
      </c>
      <c r="B38" s="168">
        <f>+TableA1!E38</f>
        <v>23.475728296395868</v>
      </c>
      <c r="C38" s="1105">
        <v>14.942894708531718</v>
      </c>
      <c r="D38" s="1106">
        <v>3.0845410515505307</v>
      </c>
      <c r="E38" s="1107">
        <v>-0.33321743585989821</v>
      </c>
      <c r="F38" s="1113">
        <f t="shared" si="4"/>
        <v>3.417758487410429</v>
      </c>
      <c r="G38" s="1114">
        <v>5.4482925363136179</v>
      </c>
      <c r="H38" s="1109">
        <f t="shared" si="5"/>
        <v>0.36347471227012623</v>
      </c>
      <c r="I38" s="24">
        <f t="shared" si="6"/>
        <v>0.17110259565481639</v>
      </c>
      <c r="J38" s="1110">
        <f t="shared" si="7"/>
        <v>0.82889740434518355</v>
      </c>
      <c r="K38" s="1111">
        <f t="shared" si="8"/>
        <v>-0.10802820591166948</v>
      </c>
      <c r="L38" s="191">
        <f t="shared" si="9"/>
        <v>0.22872131230765103</v>
      </c>
      <c r="M38" s="24"/>
      <c r="N38" s="958"/>
      <c r="O38" s="268">
        <f t="shared" si="1"/>
        <v>0</v>
      </c>
      <c r="P38" s="318">
        <f t="shared" si="2"/>
        <v>0.23208193873798036</v>
      </c>
      <c r="Q38" s="318">
        <f t="shared" si="3"/>
        <v>0.63850917520089345</v>
      </c>
      <c r="R38" s="958"/>
      <c r="S38" s="958"/>
      <c r="T38" s="958"/>
    </row>
    <row r="39" spans="1:20" x14ac:dyDescent="0.2">
      <c r="A39" s="1080" t="s">
        <v>58</v>
      </c>
      <c r="B39" s="168">
        <f>+TableA1!E39</f>
        <v>678.97508925214515</v>
      </c>
      <c r="C39" s="1105">
        <v>393.17191976124013</v>
      </c>
      <c r="D39" s="1106">
        <v>152.19833662171621</v>
      </c>
      <c r="E39" s="1107">
        <v>-6.7553254611776739</v>
      </c>
      <c r="F39" s="1113">
        <f t="shared" si="4"/>
        <v>158.95366208289389</v>
      </c>
      <c r="G39" s="1114">
        <v>133.60483286918893</v>
      </c>
      <c r="H39" s="1109">
        <f t="shared" si="5"/>
        <v>0.42093321833898512</v>
      </c>
      <c r="I39" s="24">
        <f t="shared" si="6"/>
        <v>0.27907340901048933</v>
      </c>
      <c r="J39" s="1110">
        <f t="shared" si="7"/>
        <v>0.72092659098951062</v>
      </c>
      <c r="K39" s="1111">
        <f t="shared" si="8"/>
        <v>-4.4385015047620435E-2</v>
      </c>
      <c r="L39" s="191">
        <f t="shared" si="9"/>
        <v>0.40428538787668511</v>
      </c>
      <c r="M39" s="24"/>
      <c r="N39" s="958"/>
      <c r="O39" s="268">
        <f t="shared" si="1"/>
        <v>0</v>
      </c>
      <c r="P39" s="318">
        <f t="shared" si="2"/>
        <v>0.1967742778550941</v>
      </c>
      <c r="Q39" s="318">
        <f t="shared" si="3"/>
        <v>0.46747148783260961</v>
      </c>
      <c r="R39" s="958"/>
      <c r="S39" s="958"/>
      <c r="T39" s="958"/>
    </row>
    <row r="40" spans="1:20" x14ac:dyDescent="0.2">
      <c r="A40" s="1080" t="s">
        <v>59</v>
      </c>
      <c r="B40" s="168">
        <f>+TableA1!E40</f>
        <v>287.8253425286855</v>
      </c>
      <c r="C40" s="1105">
        <v>164.05430760342725</v>
      </c>
      <c r="D40" s="1106">
        <v>66.119444338073464</v>
      </c>
      <c r="E40" s="1107">
        <v>2.7516819819128777</v>
      </c>
      <c r="F40" s="1113">
        <f t="shared" si="4"/>
        <v>63.367762356160583</v>
      </c>
      <c r="G40" s="1114">
        <v>57.651590587184749</v>
      </c>
      <c r="H40" s="1109">
        <f t="shared" si="5"/>
        <v>0.43002132417482608</v>
      </c>
      <c r="I40" s="24">
        <f t="shared" si="6"/>
        <v>0.28725883720606815</v>
      </c>
      <c r="J40" s="1110">
        <f t="shared" si="7"/>
        <v>0.71274116279393185</v>
      </c>
      <c r="K40" s="1111">
        <f t="shared" si="8"/>
        <v>4.1616834646149327E-2</v>
      </c>
      <c r="L40" s="191">
        <f t="shared" si="9"/>
        <v>0.38626088690911503</v>
      </c>
      <c r="M40" s="24"/>
      <c r="N40" s="958"/>
      <c r="O40" s="268">
        <f t="shared" si="1"/>
        <v>0</v>
      </c>
      <c r="P40" s="318">
        <f t="shared" si="2"/>
        <v>0.20030060619640894</v>
      </c>
      <c r="Q40" s="318">
        <f t="shared" si="3"/>
        <v>0.46579226409473662</v>
      </c>
      <c r="R40" s="958"/>
      <c r="S40" s="958"/>
      <c r="T40" s="958"/>
    </row>
    <row r="41" spans="1:20" x14ac:dyDescent="0.2">
      <c r="A41" s="1080" t="s">
        <v>60</v>
      </c>
      <c r="B41" s="168">
        <f>+TableA1!E41</f>
        <v>483.52057116672086</v>
      </c>
      <c r="C41" s="1105">
        <v>321.15382930461016</v>
      </c>
      <c r="D41" s="1106">
        <v>64.840660819363634</v>
      </c>
      <c r="E41" s="1107">
        <v>-30.048578057962487</v>
      </c>
      <c r="F41" s="1113">
        <f t="shared" si="4"/>
        <v>94.889238877326122</v>
      </c>
      <c r="G41" s="1114">
        <v>97.526081250565014</v>
      </c>
      <c r="H41" s="1109">
        <f t="shared" si="5"/>
        <v>0.33580110496259236</v>
      </c>
      <c r="I41" s="24">
        <f t="shared" si="6"/>
        <v>0.16798338442224423</v>
      </c>
      <c r="J41" s="1110">
        <f t="shared" si="7"/>
        <v>0.83201661557775575</v>
      </c>
      <c r="K41" s="1111">
        <f t="shared" si="8"/>
        <v>-0.46342183559284389</v>
      </c>
      <c r="L41" s="191">
        <f t="shared" si="9"/>
        <v>0.29546351380205693</v>
      </c>
      <c r="M41" s="24"/>
      <c r="N41" s="958"/>
      <c r="O41" s="268">
        <f t="shared" si="1"/>
        <v>-2.07817947739386E-7</v>
      </c>
      <c r="P41" s="318">
        <f t="shared" si="2"/>
        <v>0.20169996286866856</v>
      </c>
      <c r="Q41" s="318">
        <f t="shared" si="3"/>
        <v>0.6006530648287699</v>
      </c>
      <c r="R41" s="958"/>
      <c r="S41" s="958"/>
      <c r="T41" s="958"/>
    </row>
    <row r="42" spans="1:20" x14ac:dyDescent="0.2">
      <c r="A42" s="1080" t="s">
        <v>61</v>
      </c>
      <c r="B42" s="168">
        <f>+TableA1!E42</f>
        <v>461.75718903871274</v>
      </c>
      <c r="C42" s="1105">
        <v>180.37437743772173</v>
      </c>
      <c r="D42" s="1106">
        <v>218.62581160099097</v>
      </c>
      <c r="E42" s="1107">
        <v>6.0263182952703511</v>
      </c>
      <c r="F42" s="1113">
        <f t="shared" si="4"/>
        <v>212.59949330572061</v>
      </c>
      <c r="G42" s="1114">
        <v>62.756999999999998</v>
      </c>
      <c r="H42" s="1109">
        <f t="shared" si="5"/>
        <v>0.6093739703041211</v>
      </c>
      <c r="I42" s="24">
        <f t="shared" si="6"/>
        <v>0.54793410531386721</v>
      </c>
      <c r="J42" s="1110">
        <f t="shared" si="7"/>
        <v>0.45206589468613279</v>
      </c>
      <c r="K42" s="1111">
        <f t="shared" si="8"/>
        <v>2.7564532527700109E-2</v>
      </c>
      <c r="L42" s="191">
        <f t="shared" si="9"/>
        <v>1.1786568376604671</v>
      </c>
      <c r="M42" s="24"/>
      <c r="N42" s="958"/>
      <c r="O42" s="268">
        <f t="shared" si="1"/>
        <v>0</v>
      </c>
      <c r="P42" s="318">
        <f t="shared" si="2"/>
        <v>0.13590909137905935</v>
      </c>
      <c r="Q42" s="318">
        <f t="shared" si="3"/>
        <v>0.22303068066926296</v>
      </c>
      <c r="R42" s="105"/>
      <c r="S42" s="105"/>
      <c r="T42" s="106"/>
    </row>
    <row r="43" spans="1:20" x14ac:dyDescent="0.2">
      <c r="A43" s="1080" t="s">
        <v>62</v>
      </c>
      <c r="B43" s="168">
        <f>+TableA1!E43</f>
        <v>1619.5418191262634</v>
      </c>
      <c r="C43" s="1105">
        <v>1012.5690365062753</v>
      </c>
      <c r="D43" s="1106">
        <v>402.15111260493916</v>
      </c>
      <c r="E43" s="1107">
        <v>-22.899877013803483</v>
      </c>
      <c r="F43" s="1113">
        <f t="shared" si="4"/>
        <v>425.05098961874262</v>
      </c>
      <c r="G43" s="1114">
        <v>204.82167001504862</v>
      </c>
      <c r="H43" s="1109">
        <f t="shared" si="5"/>
        <v>0.37478055549528649</v>
      </c>
      <c r="I43" s="24">
        <f t="shared" si="6"/>
        <v>0.28426195304957452</v>
      </c>
      <c r="J43" s="1110">
        <f t="shared" si="7"/>
        <v>0.71573804695042553</v>
      </c>
      <c r="K43" s="1111">
        <f t="shared" si="8"/>
        <v>-5.6943463031767401E-2</v>
      </c>
      <c r="L43" s="191">
        <f t="shared" si="9"/>
        <v>0.41977482452487414</v>
      </c>
      <c r="M43" s="24"/>
      <c r="N43" s="958"/>
      <c r="O43" s="268">
        <f t="shared" si="1"/>
        <v>2.5579538487363607E-13</v>
      </c>
      <c r="P43" s="318">
        <f t="shared" si="2"/>
        <v>0.12646889854659582</v>
      </c>
      <c r="Q43" s="318">
        <f t="shared" si="3"/>
        <v>0.33744786567025187</v>
      </c>
      <c r="R43" s="958"/>
      <c r="S43" s="958"/>
      <c r="T43" s="958"/>
    </row>
    <row r="44" spans="1:20" x14ac:dyDescent="0.2">
      <c r="A44" s="1080" t="s">
        <v>63</v>
      </c>
      <c r="B44" s="168">
        <f>+TableA1!E44</f>
        <v>9749.7634999999991</v>
      </c>
      <c r="C44" s="1105">
        <v>6036.1069000000007</v>
      </c>
      <c r="D44" s="1106">
        <v>2162.7638000000002</v>
      </c>
      <c r="E44" s="1107">
        <v>273.36689999999993</v>
      </c>
      <c r="F44" s="1113">
        <f>D44-E44</f>
        <v>1889.3969000000002</v>
      </c>
      <c r="G44" s="1114">
        <v>1550.8926999999999</v>
      </c>
      <c r="H44" s="1109">
        <f t="shared" si="5"/>
        <v>0.38089708534981392</v>
      </c>
      <c r="I44" s="689">
        <f t="shared" si="6"/>
        <v>0.26378801168312116</v>
      </c>
      <c r="J44" s="1110">
        <f t="shared" si="7"/>
        <v>0.73621198831687884</v>
      </c>
      <c r="K44" s="1111">
        <f t="shared" si="8"/>
        <v>0.12639702033111516</v>
      </c>
      <c r="L44" s="191">
        <f t="shared" si="9"/>
        <v>0.31301581156556391</v>
      </c>
      <c r="M44" s="24"/>
      <c r="N44" s="958"/>
      <c r="O44" s="268">
        <f t="shared" si="1"/>
        <v>9.9999998383282218E-5</v>
      </c>
      <c r="P44" s="318">
        <f t="shared" si="2"/>
        <v>0.15906977641047396</v>
      </c>
      <c r="Q44" s="318">
        <f t="shared" si="3"/>
        <v>0.41761878084308546</v>
      </c>
      <c r="R44" s="958"/>
      <c r="S44" s="958"/>
      <c r="T44" s="958"/>
    </row>
    <row r="45" spans="1:20" ht="40" customHeight="1" x14ac:dyDescent="0.2">
      <c r="A45" s="187" t="s">
        <v>64</v>
      </c>
      <c r="B45" s="168">
        <f t="shared" ref="B45:G45" si="10">SUM(B46:B52)</f>
        <v>9449.600738407149</v>
      </c>
      <c r="C45" s="1116">
        <f t="shared" si="10"/>
        <v>4635.4243070321654</v>
      </c>
      <c r="D45" s="208">
        <f t="shared" si="10"/>
        <v>3321.8450289362322</v>
      </c>
      <c r="E45" s="209">
        <f t="shared" si="10"/>
        <v>164.74348387507928</v>
      </c>
      <c r="F45" s="175">
        <f t="shared" si="10"/>
        <v>3157.101545061153</v>
      </c>
      <c r="G45" s="781">
        <f t="shared" si="10"/>
        <v>1492.331402438941</v>
      </c>
      <c r="H45" s="195">
        <f>(G45+D45)/B45</f>
        <v>0.50945818396414755</v>
      </c>
      <c r="I45" s="176">
        <f>D45/(D45+C45)</f>
        <v>0.41746042375628151</v>
      </c>
      <c r="J45" s="196">
        <f>1-I45</f>
        <v>0.58253957624371844</v>
      </c>
      <c r="K45" s="176">
        <f>E45/D45</f>
        <v>4.959397035081909E-2</v>
      </c>
      <c r="L45" s="186">
        <f>F45/C45</f>
        <v>0.68108145790918762</v>
      </c>
      <c r="M45" s="176"/>
      <c r="N45" s="958"/>
      <c r="O45" s="268">
        <f t="shared" si="1"/>
        <v>-1.8962964531965554E-10</v>
      </c>
      <c r="P45" s="318">
        <f t="shared" si="2"/>
        <v>0.15792533925517921</v>
      </c>
      <c r="Q45" s="318">
        <f t="shared" si="3"/>
        <v>0.30998685314336416</v>
      </c>
      <c r="R45" s="958"/>
      <c r="S45" s="958"/>
      <c r="T45" s="958"/>
    </row>
    <row r="46" spans="1:20" x14ac:dyDescent="0.2">
      <c r="A46" s="1094" t="s">
        <v>65</v>
      </c>
      <c r="B46" s="168">
        <f>C46+D46+G46</f>
        <v>1105.0676793002151</v>
      </c>
      <c r="C46" s="1105">
        <v>683.84777930021517</v>
      </c>
      <c r="D46" s="1106">
        <v>228.2663</v>
      </c>
      <c r="E46" s="1107">
        <v>-46.069400000000002</v>
      </c>
      <c r="F46" s="1113">
        <f t="shared" ref="F46:F51" si="11">D46-E46</f>
        <v>274.33569999999997</v>
      </c>
      <c r="G46" s="1114">
        <v>192.95359999999999</v>
      </c>
      <c r="H46" s="1109">
        <f t="shared" ref="H46:H52" si="12">(G46+D46)/B46</f>
        <v>0.38117113357865812</v>
      </c>
      <c r="I46" s="24">
        <f t="shared" ref="I46:I53" si="13">D46/(D46+C46)</f>
        <v>0.25026069126696149</v>
      </c>
      <c r="J46" s="1110">
        <f t="shared" ref="J46:J53" si="14">1-I46</f>
        <v>0.74973930873303851</v>
      </c>
      <c r="K46" s="1111">
        <f t="shared" ref="K46:K53" si="15">E46/D46</f>
        <v>-0.20182304615267344</v>
      </c>
      <c r="L46" s="191">
        <f t="shared" ref="L46:L51" si="16">F46/C46</f>
        <v>0.40116486198248541</v>
      </c>
      <c r="M46" s="24"/>
      <c r="N46" s="958"/>
      <c r="O46" s="268">
        <f t="shared" si="1"/>
        <v>0</v>
      </c>
      <c r="P46" s="318">
        <f t="shared" si="2"/>
        <v>0.17460794810521288</v>
      </c>
      <c r="Q46" s="318">
        <f t="shared" si="3"/>
        <v>0.45808282087337276</v>
      </c>
      <c r="R46" s="958"/>
      <c r="S46" s="958"/>
      <c r="T46" s="958"/>
    </row>
    <row r="47" spans="1:20" x14ac:dyDescent="0.2">
      <c r="A47" s="1080" t="s">
        <v>66</v>
      </c>
      <c r="B47" s="168">
        <f>+TableA1!E47</f>
        <v>6211.8447853385696</v>
      </c>
      <c r="C47" s="1105">
        <v>3000.3468631285727</v>
      </c>
      <c r="D47" s="1106">
        <f>B47-C47-G47</f>
        <v>2262.1510287447009</v>
      </c>
      <c r="E47" s="1107">
        <v>193.44695620379616</v>
      </c>
      <c r="F47" s="1113">
        <f t="shared" si="11"/>
        <v>2068.7040725409047</v>
      </c>
      <c r="G47" s="1114">
        <v>949.34689346529626</v>
      </c>
      <c r="H47" s="1109">
        <f t="shared" si="12"/>
        <v>0.51699584152358347</v>
      </c>
      <c r="I47" s="24">
        <f t="shared" si="13"/>
        <v>0.42986260046547031</v>
      </c>
      <c r="J47" s="1110">
        <f t="shared" si="14"/>
        <v>0.57013739953452969</v>
      </c>
      <c r="K47" s="1111">
        <f t="shared" si="15"/>
        <v>8.5514607002673285E-2</v>
      </c>
      <c r="L47" s="191">
        <f t="shared" si="16"/>
        <v>0.6894883048234598</v>
      </c>
      <c r="M47" s="24"/>
      <c r="N47" s="958"/>
      <c r="O47" s="268">
        <f t="shared" si="1"/>
        <v>0</v>
      </c>
      <c r="P47" s="318">
        <f t="shared" si="2"/>
        <v>0.15282849560342857</v>
      </c>
      <c r="Q47" s="318">
        <f t="shared" si="3"/>
        <v>0.29560875219623423</v>
      </c>
      <c r="R47" s="958"/>
      <c r="S47" s="958"/>
      <c r="T47" s="958"/>
    </row>
    <row r="48" spans="1:20" x14ac:dyDescent="0.2">
      <c r="A48" s="1080" t="s">
        <v>67</v>
      </c>
      <c r="B48" s="168">
        <f>+TableA1!E48</f>
        <v>135.02409969740114</v>
      </c>
      <c r="C48" s="1105">
        <v>54.170478374899503</v>
      </c>
      <c r="D48" s="1106">
        <v>63.58782132250164</v>
      </c>
      <c r="E48" s="1107">
        <v>4.9870875135386079</v>
      </c>
      <c r="F48" s="1113">
        <f t="shared" si="11"/>
        <v>58.600733808963028</v>
      </c>
      <c r="G48" s="1114">
        <v>17.265799999999999</v>
      </c>
      <c r="H48" s="1109">
        <f t="shared" si="12"/>
        <v>0.59880881637945005</v>
      </c>
      <c r="I48" s="24">
        <f t="shared" si="13"/>
        <v>0.53998589896339155</v>
      </c>
      <c r="J48" s="1110">
        <f t="shared" si="14"/>
        <v>0.46001410103660845</v>
      </c>
      <c r="K48" s="1111">
        <f t="shared" si="15"/>
        <v>7.8428343821458177E-2</v>
      </c>
      <c r="L48" s="191">
        <f t="shared" si="16"/>
        <v>1.0817835759803136</v>
      </c>
      <c r="M48" s="24"/>
      <c r="N48" s="958"/>
      <c r="O48" s="268">
        <f t="shared" si="1"/>
        <v>0</v>
      </c>
      <c r="P48" s="318">
        <f t="shared" si="2"/>
        <v>0.12787198758365295</v>
      </c>
      <c r="Q48" s="318">
        <f t="shared" si="3"/>
        <v>0.2135439293576194</v>
      </c>
      <c r="R48" s="958"/>
      <c r="S48" s="958"/>
      <c r="T48" s="958"/>
    </row>
    <row r="49" spans="1:17" x14ac:dyDescent="0.2">
      <c r="A49" s="1080" t="s">
        <v>68</v>
      </c>
      <c r="B49" s="168">
        <f>+TableA1!E49</f>
        <v>29.987501894855708</v>
      </c>
      <c r="C49" s="1105">
        <v>15.631819704056245</v>
      </c>
      <c r="D49" s="1106">
        <v>11.754449253082553</v>
      </c>
      <c r="E49" s="1107">
        <v>-1.4482909191884843</v>
      </c>
      <c r="F49" s="1113">
        <f>D49-E49</f>
        <v>13.202740172271037</v>
      </c>
      <c r="G49" s="1114">
        <v>2.601232937903974</v>
      </c>
      <c r="H49" s="1109">
        <f>(G49+D49)/B49</f>
        <v>0.47872217703633441</v>
      </c>
      <c r="I49" s="24">
        <f>D49/(D49+C49)</f>
        <v>0.4292095893558554</v>
      </c>
      <c r="J49" s="1110">
        <f>1-I49</f>
        <v>0.5707904106441446</v>
      </c>
      <c r="K49" s="1111">
        <f>E49/D49</f>
        <v>-0.12321214614191101</v>
      </c>
      <c r="L49" s="191">
        <f>F49/C49</f>
        <v>0.84460673307568312</v>
      </c>
      <c r="M49" s="24"/>
      <c r="N49" s="958"/>
      <c r="O49" s="268">
        <f t="shared" si="1"/>
        <v>-1.8706414195435173E-10</v>
      </c>
      <c r="P49" s="318">
        <f t="shared" si="2"/>
        <v>8.6743902410564247E-2</v>
      </c>
      <c r="Q49" s="318">
        <f t="shared" si="3"/>
        <v>0.18119883843187923</v>
      </c>
    </row>
    <row r="50" spans="1:17" x14ac:dyDescent="0.2">
      <c r="A50" s="1080" t="s">
        <v>69</v>
      </c>
      <c r="B50" s="168">
        <f>+TableA1!E50</f>
        <v>919.01579786888453</v>
      </c>
      <c r="C50" s="1105">
        <v>318.62573018831665</v>
      </c>
      <c r="D50" s="1106">
        <f>B50-C50-G50</f>
        <v>392.14914516074521</v>
      </c>
      <c r="E50" s="1107">
        <f>+B50*$E$102</f>
        <v>16.022038228747046</v>
      </c>
      <c r="F50" s="1113">
        <f t="shared" si="11"/>
        <v>376.12710693199818</v>
      </c>
      <c r="G50" s="1114">
        <v>208.24092251982265</v>
      </c>
      <c r="H50" s="1109">
        <f t="shared" si="12"/>
        <v>0.6532967867068431</v>
      </c>
      <c r="I50" s="24">
        <f t="shared" si="13"/>
        <v>0.55172060628642872</v>
      </c>
      <c r="J50" s="1110">
        <f t="shared" si="14"/>
        <v>0.44827939371357128</v>
      </c>
      <c r="K50" s="1111">
        <f t="shared" si="15"/>
        <v>4.0857001542562277E-2</v>
      </c>
      <c r="L50" s="191">
        <f t="shared" si="16"/>
        <v>1.1804668339549873</v>
      </c>
      <c r="M50" s="24"/>
      <c r="N50" s="958"/>
      <c r="O50" s="268">
        <f t="shared" si="1"/>
        <v>0</v>
      </c>
      <c r="P50" s="318">
        <f t="shared" si="2"/>
        <v>0.22659123271081383</v>
      </c>
      <c r="Q50" s="318">
        <f t="shared" si="3"/>
        <v>0.34684271730926658</v>
      </c>
    </row>
    <row r="51" spans="1:17" x14ac:dyDescent="0.2">
      <c r="A51" s="1080" t="s">
        <v>70</v>
      </c>
      <c r="B51" s="168">
        <f>+TableA1!E51</f>
        <v>856.3415010588692</v>
      </c>
      <c r="C51" s="1105">
        <v>465.66449313355542</v>
      </c>
      <c r="D51" s="1106">
        <v>304.59339180293296</v>
      </c>
      <c r="E51" s="1107">
        <f>+B51*$E$102</f>
        <v>14.929380211574236</v>
      </c>
      <c r="F51" s="1113">
        <f t="shared" si="11"/>
        <v>289.6640115913587</v>
      </c>
      <c r="G51" s="1114">
        <v>86.083616122380846</v>
      </c>
      <c r="H51" s="1109">
        <f t="shared" si="12"/>
        <v>0.45621636630040741</v>
      </c>
      <c r="I51" s="24">
        <f t="shared" si="13"/>
        <v>0.39544339338772</v>
      </c>
      <c r="J51" s="1110">
        <f t="shared" si="14"/>
        <v>0.60455660661228006</v>
      </c>
      <c r="K51" s="1111">
        <f t="shared" si="15"/>
        <v>4.9014130356555156E-2</v>
      </c>
      <c r="L51" s="191">
        <f t="shared" si="16"/>
        <v>0.62204444586734098</v>
      </c>
      <c r="M51" s="24"/>
      <c r="N51" s="958"/>
      <c r="O51" s="268">
        <f t="shared" si="1"/>
        <v>0</v>
      </c>
      <c r="P51" s="318">
        <f t="shared" si="2"/>
        <v>0.10052486772617952</v>
      </c>
      <c r="Q51" s="318">
        <f t="shared" si="3"/>
        <v>0.22034472051356951</v>
      </c>
    </row>
    <row r="52" spans="1:17" x14ac:dyDescent="0.2">
      <c r="A52" s="1080" t="s">
        <v>71</v>
      </c>
      <c r="B52" s="168">
        <f>+TableA1!E52</f>
        <v>192.31937324835505</v>
      </c>
      <c r="C52" s="1105">
        <v>97.137143202548756</v>
      </c>
      <c r="D52" s="1106">
        <f>B52-C52-G52</f>
        <v>59.342892652268709</v>
      </c>
      <c r="E52" s="1107">
        <v>-17.12428736338828</v>
      </c>
      <c r="F52" s="1113">
        <f>D52-E52</f>
        <v>76.467180015656993</v>
      </c>
      <c r="G52" s="1114">
        <v>35.839337393537583</v>
      </c>
      <c r="H52" s="1109">
        <f t="shared" si="12"/>
        <v>0.49491753450595444</v>
      </c>
      <c r="I52" s="24">
        <f t="shared" si="13"/>
        <v>0.37923619027878536</v>
      </c>
      <c r="J52" s="1110">
        <f t="shared" si="14"/>
        <v>0.6207638097212147</v>
      </c>
      <c r="K52" s="1111">
        <f t="shared" si="15"/>
        <v>-0.28856509344314224</v>
      </c>
      <c r="L52" s="191">
        <f t="shared" ref="L52:L91" si="17">F52/C52</f>
        <v>0.78720845080042035</v>
      </c>
      <c r="M52" s="24"/>
      <c r="N52" s="958"/>
      <c r="O52" s="268">
        <f t="shared" si="1"/>
        <v>0</v>
      </c>
      <c r="P52" s="318">
        <f t="shared" si="2"/>
        <v>0.18635323518476643</v>
      </c>
      <c r="Q52" s="318">
        <f t="shared" si="3"/>
        <v>0.37653391159557786</v>
      </c>
    </row>
    <row r="53" spans="1:17" ht="40" customHeight="1" x14ac:dyDescent="0.2">
      <c r="A53" s="187" t="s">
        <v>72</v>
      </c>
      <c r="B53" s="168">
        <f t="shared" ref="B53:G53" si="18">SUM(B54:B89)</f>
        <v>687.54671431433303</v>
      </c>
      <c r="C53" s="1116">
        <f t="shared" si="18"/>
        <v>314.67446275208073</v>
      </c>
      <c r="D53" s="208">
        <f t="shared" si="18"/>
        <v>265.16973811058523</v>
      </c>
      <c r="E53" s="209">
        <f t="shared" si="18"/>
        <v>-33.628710695772561</v>
      </c>
      <c r="F53" s="175">
        <f t="shared" si="18"/>
        <v>298.79844880635773</v>
      </c>
      <c r="G53" s="781">
        <f t="shared" si="18"/>
        <v>107.70251345166704</v>
      </c>
      <c r="H53" s="195">
        <f t="shared" ref="H53:H89" si="19">(G53+D53)/B53</f>
        <v>0.54232278883639939</v>
      </c>
      <c r="I53" s="176">
        <f t="shared" si="13"/>
        <v>0.45731204643605594</v>
      </c>
      <c r="J53" s="196">
        <f t="shared" si="14"/>
        <v>0.54268795356394406</v>
      </c>
      <c r="K53" s="176">
        <f t="shared" si="15"/>
        <v>-0.12681956446232259</v>
      </c>
      <c r="L53" s="186">
        <f t="shared" si="17"/>
        <v>0.9495478158383921</v>
      </c>
      <c r="M53" s="176"/>
      <c r="N53" s="958"/>
      <c r="O53" s="268">
        <f t="shared" si="1"/>
        <v>0</v>
      </c>
    </row>
    <row r="54" spans="1:17" ht="15.75" customHeight="1" x14ac:dyDescent="0.2">
      <c r="A54" s="1080" t="str">
        <f>+TableA1!A54</f>
        <v>Andorra</v>
      </c>
      <c r="B54" s="122">
        <f>TableA1!E54</f>
        <v>1.8902000000000001</v>
      </c>
      <c r="C54" s="1097">
        <v>0.50910500000000003</v>
      </c>
      <c r="D54" s="1117">
        <f t="shared" ref="D54:D88" si="20">B54-C54-G54</f>
        <v>1.1254930000000001</v>
      </c>
      <c r="E54" s="1040">
        <f t="shared" ref="E54:E64" si="21">+B54*$E$103</f>
        <v>-9.2451883826600065E-2</v>
      </c>
      <c r="F54" s="1040">
        <f t="shared" ref="F54:F89" si="22">D54-E54</f>
        <v>1.2179448838266</v>
      </c>
      <c r="G54" s="1118">
        <v>0.255602</v>
      </c>
      <c r="H54" s="1109">
        <f t="shared" si="19"/>
        <v>0.73066077663739293</v>
      </c>
      <c r="I54" s="24">
        <f t="shared" ref="I54:I89" si="23">D54/(D54+C54)</f>
        <v>0.6885442169879078</v>
      </c>
      <c r="J54" s="1110">
        <f t="shared" ref="J54:J89" si="24">1-I54</f>
        <v>0.3114557830120922</v>
      </c>
      <c r="K54" s="1111">
        <f t="shared" ref="K54:K91" si="25">E54/D54</f>
        <v>-8.2143455202831173E-2</v>
      </c>
      <c r="L54" s="191">
        <f t="shared" si="17"/>
        <v>2.3923255199351803</v>
      </c>
      <c r="M54" s="24"/>
      <c r="N54" s="958"/>
      <c r="O54" s="268">
        <f t="shared" si="1"/>
        <v>0</v>
      </c>
    </row>
    <row r="55" spans="1:17" ht="15.75" customHeight="1" x14ac:dyDescent="0.2">
      <c r="A55" s="1080" t="str">
        <f>+TableA1!A55</f>
        <v>Anguilla</v>
      </c>
      <c r="B55" s="122">
        <f>TableA1!E55</f>
        <v>0.17888200000000001</v>
      </c>
      <c r="C55" s="1097">
        <v>4.8179904000000003E-2</v>
      </c>
      <c r="D55" s="1117">
        <f t="shared" si="20"/>
        <v>0.10651282000000002</v>
      </c>
      <c r="E55" s="1040">
        <f t="shared" si="21"/>
        <v>-8.7493269932651958E-3</v>
      </c>
      <c r="F55" s="1040">
        <f t="shared" si="22"/>
        <v>0.11526214699326522</v>
      </c>
      <c r="G55" s="1118">
        <v>2.4189275999999999E-2</v>
      </c>
      <c r="H55" s="1109">
        <f t="shared" si="19"/>
        <v>0.73066097203743252</v>
      </c>
      <c r="I55" s="24">
        <f t="shared" si="23"/>
        <v>0.68854447220154968</v>
      </c>
      <c r="J55" s="1110">
        <f t="shared" si="24"/>
        <v>0.31145552779845032</v>
      </c>
      <c r="K55" s="1111">
        <f t="shared" si="25"/>
        <v>-8.214341703904933E-2</v>
      </c>
      <c r="L55" s="191">
        <f t="shared" si="17"/>
        <v>2.3923282826230872</v>
      </c>
      <c r="M55" s="24"/>
      <c r="N55" s="958"/>
      <c r="O55" s="268">
        <f t="shared" si="1"/>
        <v>0</v>
      </c>
    </row>
    <row r="56" spans="1:17" ht="15.75" customHeight="1" x14ac:dyDescent="0.2">
      <c r="A56" s="1080" t="str">
        <f>+TableA1!A56</f>
        <v>Antigua and Barbuda</v>
      </c>
      <c r="B56" s="122">
        <f>TableA1!E56</f>
        <v>0.91761499999999996</v>
      </c>
      <c r="C56" s="1097">
        <v>9.4220399999999996E-2</v>
      </c>
      <c r="D56" s="1117">
        <f t="shared" si="20"/>
        <v>0.6993106</v>
      </c>
      <c r="E56" s="1040">
        <f t="shared" si="21"/>
        <v>-4.4881618547003288E-2</v>
      </c>
      <c r="F56" s="1040">
        <f t="shared" si="22"/>
        <v>0.74419221854700335</v>
      </c>
      <c r="G56" s="1118">
        <v>0.124084</v>
      </c>
      <c r="H56" s="1109">
        <f t="shared" si="19"/>
        <v>0.89732033587070836</v>
      </c>
      <c r="I56" s="24">
        <f t="shared" si="23"/>
        <v>0.88126437404461833</v>
      </c>
      <c r="J56" s="1110">
        <f t="shared" si="24"/>
        <v>0.11873562595538167</v>
      </c>
      <c r="K56" s="1111">
        <f t="shared" si="25"/>
        <v>-6.4179805864523265E-2</v>
      </c>
      <c r="L56" s="191">
        <f t="shared" si="17"/>
        <v>7.8984192228753365</v>
      </c>
      <c r="M56" s="24"/>
      <c r="N56" s="958"/>
      <c r="O56" s="268">
        <f t="shared" si="1"/>
        <v>0</v>
      </c>
    </row>
    <row r="57" spans="1:17" ht="15.75" customHeight="1" x14ac:dyDescent="0.2">
      <c r="A57" s="1080" t="str">
        <f>+TableA1!A57</f>
        <v>Aruba</v>
      </c>
      <c r="B57" s="122">
        <f>TableA1!E57</f>
        <v>1.6807799999999999</v>
      </c>
      <c r="C57" s="1097">
        <v>0.45270100000000002</v>
      </c>
      <c r="D57" s="1117">
        <f t="shared" si="20"/>
        <v>1.0007949999999999</v>
      </c>
      <c r="E57" s="1040">
        <f t="shared" si="21"/>
        <v>-8.2208907680707252E-2</v>
      </c>
      <c r="F57" s="1040">
        <f t="shared" si="22"/>
        <v>1.0830039076807072</v>
      </c>
      <c r="G57" s="1118">
        <v>0.22728400000000001</v>
      </c>
      <c r="H57" s="1109">
        <f t="shared" si="19"/>
        <v>0.73066016968312331</v>
      </c>
      <c r="I57" s="24">
        <f t="shared" si="23"/>
        <v>0.68854334652451743</v>
      </c>
      <c r="J57" s="1110">
        <f t="shared" si="24"/>
        <v>0.31145665347548257</v>
      </c>
      <c r="K57" s="1111">
        <f t="shared" si="25"/>
        <v>-8.2143603515912114E-2</v>
      </c>
      <c r="L57" s="191">
        <f t="shared" si="17"/>
        <v>2.3923161373195709</v>
      </c>
      <c r="M57" s="24"/>
      <c r="N57" s="958"/>
      <c r="O57" s="268">
        <f t="shared" si="1"/>
        <v>0</v>
      </c>
    </row>
    <row r="58" spans="1:17" ht="15.75" customHeight="1" x14ac:dyDescent="0.2">
      <c r="A58" s="1080" t="str">
        <f>+TableA1!A58</f>
        <v>Bahamas, The</v>
      </c>
      <c r="B58" s="122">
        <f>TableA1!E58</f>
        <v>7.5567900000000003</v>
      </c>
      <c r="C58" s="1097">
        <v>0.49227100000000001</v>
      </c>
      <c r="D58" s="1117">
        <f t="shared" si="20"/>
        <v>6.0426490000000008</v>
      </c>
      <c r="E58" s="1040">
        <f t="shared" si="21"/>
        <v>-0.3696114015352942</v>
      </c>
      <c r="F58" s="1040">
        <f t="shared" si="22"/>
        <v>6.4122604015352946</v>
      </c>
      <c r="G58" s="1118">
        <v>1.0218700000000001</v>
      </c>
      <c r="H58" s="1109">
        <f t="shared" si="19"/>
        <v>0.93485712848974234</v>
      </c>
      <c r="I58" s="24">
        <f t="shared" si="23"/>
        <v>0.92467069221964471</v>
      </c>
      <c r="J58" s="1110">
        <f t="shared" si="24"/>
        <v>7.5329307780355292E-2</v>
      </c>
      <c r="K58" s="1111">
        <f t="shared" si="25"/>
        <v>-6.1167114213533526E-2</v>
      </c>
      <c r="L58" s="191">
        <f t="shared" si="17"/>
        <v>13.025874775347917</v>
      </c>
      <c r="M58" s="24"/>
      <c r="N58" s="958"/>
      <c r="O58" s="268">
        <f t="shared" si="1"/>
        <v>0</v>
      </c>
    </row>
    <row r="59" spans="1:17" ht="15.75" customHeight="1" x14ac:dyDescent="0.2">
      <c r="A59" s="1080" t="str">
        <f>+TableA1!A59</f>
        <v>Bahrain</v>
      </c>
      <c r="B59" s="122">
        <f>TableA1!E59</f>
        <v>22.1172</v>
      </c>
      <c r="C59" s="1119">
        <f>+B59*SUM($C$60:$C$73,$C$54:$C$58,$C$75:$C$89)/SUM($B$75:$B$89,$B$60:$B$73,$B$54:$B$58)</f>
        <v>10.122538414747584</v>
      </c>
      <c r="D59" s="1117">
        <f t="shared" si="20"/>
        <v>10.950201585252415</v>
      </c>
      <c r="E59" s="1040">
        <f t="shared" si="21"/>
        <v>-1.0817780155378685</v>
      </c>
      <c r="F59" s="1040">
        <f t="shared" si="22"/>
        <v>12.031979600790283</v>
      </c>
      <c r="G59" s="1118">
        <v>1.0444599999999999</v>
      </c>
      <c r="H59" s="1109">
        <f t="shared" si="19"/>
        <v>0.54232278883639951</v>
      </c>
      <c r="I59" s="24">
        <f t="shared" si="23"/>
        <v>0.5196382428318489</v>
      </c>
      <c r="J59" s="1110">
        <f t="shared" si="24"/>
        <v>0.4803617571681511</v>
      </c>
      <c r="K59" s="1111">
        <f t="shared" si="25"/>
        <v>-9.8790694136151117E-2</v>
      </c>
      <c r="L59" s="191">
        <f t="shared" si="17"/>
        <v>1.1886326440866672</v>
      </c>
      <c r="M59" s="24"/>
      <c r="N59" s="958"/>
      <c r="O59" s="268">
        <f t="shared" si="1"/>
        <v>0</v>
      </c>
    </row>
    <row r="60" spans="1:17" ht="15.75" customHeight="1" x14ac:dyDescent="0.2">
      <c r="A60" s="1080" t="str">
        <f>+TableA1!A60</f>
        <v>Barbados</v>
      </c>
      <c r="B60" s="122">
        <f>TableA1!E60</f>
        <v>3.0819800000000002</v>
      </c>
      <c r="C60" s="1119">
        <v>0.34493299999999999</v>
      </c>
      <c r="D60" s="1117">
        <f t="shared" si="20"/>
        <v>2.3202859999999998</v>
      </c>
      <c r="E60" s="1040">
        <f t="shared" si="21"/>
        <v>-0.1507432318886387</v>
      </c>
      <c r="F60" s="1040">
        <f t="shared" si="22"/>
        <v>2.4710292318886387</v>
      </c>
      <c r="G60" s="1118">
        <v>0.41676099999999999</v>
      </c>
      <c r="H60" s="1109">
        <f t="shared" si="19"/>
        <v>0.88808071434597236</v>
      </c>
      <c r="I60" s="24">
        <f t="shared" si="23"/>
        <v>0.87057986604477899</v>
      </c>
      <c r="J60" s="1110">
        <f t="shared" si="24"/>
        <v>0.12942013395522101</v>
      </c>
      <c r="K60" s="1111">
        <f t="shared" si="25"/>
        <v>-6.4967522059193872E-2</v>
      </c>
      <c r="L60" s="191">
        <f t="shared" si="17"/>
        <v>7.1637948004065679</v>
      </c>
      <c r="M60" s="24"/>
      <c r="N60" s="958"/>
      <c r="O60" s="268">
        <f t="shared" si="1"/>
        <v>0</v>
      </c>
    </row>
    <row r="61" spans="1:17" ht="15.75" customHeight="1" x14ac:dyDescent="0.2">
      <c r="A61" s="1080" t="str">
        <f>+TableA1!A61</f>
        <v>Belize</v>
      </c>
      <c r="B61" s="122">
        <f>TableA1!E61</f>
        <v>1.17154</v>
      </c>
      <c r="C61" s="1119">
        <v>0.13389599999999999</v>
      </c>
      <c r="D61" s="1117">
        <f t="shared" si="20"/>
        <v>0.87922299999999998</v>
      </c>
      <c r="E61" s="1040">
        <f t="shared" si="21"/>
        <v>-5.7301386085184133E-2</v>
      </c>
      <c r="F61" s="1040">
        <f t="shared" si="22"/>
        <v>0.93652438608518407</v>
      </c>
      <c r="G61" s="1118">
        <v>0.15842100000000001</v>
      </c>
      <c r="H61" s="1109">
        <f t="shared" si="19"/>
        <v>0.88570940812947063</v>
      </c>
      <c r="I61" s="24">
        <f t="shared" si="23"/>
        <v>0.86783783543690329</v>
      </c>
      <c r="J61" s="1110">
        <f t="shared" si="24"/>
        <v>0.13216216456309671</v>
      </c>
      <c r="K61" s="1111">
        <f t="shared" si="25"/>
        <v>-6.5172756041623273E-2</v>
      </c>
      <c r="L61" s="191">
        <f t="shared" si="17"/>
        <v>6.9944164581853387</v>
      </c>
      <c r="M61" s="24"/>
      <c r="N61" s="958"/>
      <c r="O61" s="268">
        <f t="shared" si="1"/>
        <v>0</v>
      </c>
    </row>
    <row r="62" spans="1:17" ht="15.75" customHeight="1" x14ac:dyDescent="0.2">
      <c r="A62" s="1080" t="str">
        <f>+TableA1!A62</f>
        <v>Bermuda</v>
      </c>
      <c r="B62" s="122">
        <f>TableA1!E62</f>
        <v>4.8467700000000002</v>
      </c>
      <c r="C62" s="1119">
        <v>3.0988699999999998</v>
      </c>
      <c r="D62" s="1117">
        <f t="shared" si="20"/>
        <v>1.5341060000000004</v>
      </c>
      <c r="E62" s="1040">
        <f t="shared" si="21"/>
        <v>-0.23706116652960027</v>
      </c>
      <c r="F62" s="1040">
        <f t="shared" si="22"/>
        <v>1.7711671665296007</v>
      </c>
      <c r="G62" s="1118">
        <v>0.21379400000000001</v>
      </c>
      <c r="H62" s="1109">
        <f t="shared" si="19"/>
        <v>0.36063192600432875</v>
      </c>
      <c r="I62" s="24">
        <f t="shared" si="23"/>
        <v>0.33112755170758501</v>
      </c>
      <c r="J62" s="1110">
        <f t="shared" si="24"/>
        <v>0.66887244829241499</v>
      </c>
      <c r="K62" s="1111">
        <f t="shared" si="25"/>
        <v>-0.15452724031429393</v>
      </c>
      <c r="L62" s="191">
        <f t="shared" si="17"/>
        <v>0.57155258740431214</v>
      </c>
      <c r="M62" s="24"/>
      <c r="N62" s="958"/>
      <c r="O62" s="268">
        <f t="shared" si="1"/>
        <v>0</v>
      </c>
    </row>
    <row r="63" spans="1:17" ht="15.75" customHeight="1" x14ac:dyDescent="0.2">
      <c r="A63" s="1080" t="str">
        <f>+TableA1!A63</f>
        <v>Bonaire</v>
      </c>
      <c r="B63" s="122">
        <f>TableA1!E63</f>
        <v>0.26904600000000001</v>
      </c>
      <c r="C63" s="1119">
        <v>7.2464799999999996E-2</v>
      </c>
      <c r="D63" s="1117">
        <f t="shared" si="20"/>
        <v>0.16019941200000001</v>
      </c>
      <c r="E63" s="1040">
        <f t="shared" si="21"/>
        <v>-1.3159353262094721E-2</v>
      </c>
      <c r="F63" s="1040">
        <f t="shared" si="22"/>
        <v>0.17335876526209473</v>
      </c>
      <c r="G63" s="1118">
        <v>3.6381787999999998E-2</v>
      </c>
      <c r="H63" s="1109">
        <f t="shared" si="19"/>
        <v>0.73066018450376513</v>
      </c>
      <c r="I63" s="24">
        <f t="shared" si="23"/>
        <v>0.68854341895950899</v>
      </c>
      <c r="J63" s="1110">
        <f t="shared" si="24"/>
        <v>0.31145658104049101</v>
      </c>
      <c r="K63" s="1111">
        <f t="shared" si="25"/>
        <v>-8.2143580290386584E-2</v>
      </c>
      <c r="L63" s="191">
        <f t="shared" si="17"/>
        <v>2.3923168940243364</v>
      </c>
      <c r="M63" s="24"/>
      <c r="N63" s="958"/>
      <c r="O63" s="268">
        <f t="shared" si="1"/>
        <v>0</v>
      </c>
    </row>
    <row r="64" spans="1:17" ht="15.75" customHeight="1" x14ac:dyDescent="0.2">
      <c r="A64" s="1080" t="str">
        <f>+TableA1!A64</f>
        <v>British Virgin Islands</v>
      </c>
      <c r="B64" s="122">
        <f>TableA1!E64</f>
        <v>0.60508099999999998</v>
      </c>
      <c r="C64" s="1119">
        <v>0.16297200000000001</v>
      </c>
      <c r="D64" s="1117">
        <f t="shared" si="20"/>
        <v>0.36028688799999997</v>
      </c>
      <c r="E64" s="1040">
        <f t="shared" si="21"/>
        <v>-2.9595216547287584E-2</v>
      </c>
      <c r="F64" s="1040">
        <f t="shared" si="22"/>
        <v>0.38988210454728756</v>
      </c>
      <c r="G64" s="1118">
        <v>8.1822112000000002E-2</v>
      </c>
      <c r="H64" s="1109">
        <f t="shared" si="19"/>
        <v>0.73066085367083078</v>
      </c>
      <c r="I64" s="24">
        <f t="shared" si="23"/>
        <v>0.68854422975420149</v>
      </c>
      <c r="J64" s="1110">
        <f t="shared" si="24"/>
        <v>0.31145577024579851</v>
      </c>
      <c r="K64" s="1111">
        <f t="shared" si="25"/>
        <v>-8.2143473806594883E-2</v>
      </c>
      <c r="L64" s="191">
        <f t="shared" si="17"/>
        <v>2.3923257034784351</v>
      </c>
      <c r="M64" s="24"/>
      <c r="N64" s="958"/>
      <c r="O64" s="268">
        <f t="shared" si="1"/>
        <v>0</v>
      </c>
    </row>
    <row r="65" spans="1:15" ht="15.75" customHeight="1" x14ac:dyDescent="0.2">
      <c r="A65" s="1080" t="str">
        <f>+TableA1!A65</f>
        <v>Cayman Islands</v>
      </c>
      <c r="B65" s="122">
        <f>TableA1!E65</f>
        <v>2.3189600000000001</v>
      </c>
      <c r="C65" s="1119">
        <v>1.41639</v>
      </c>
      <c r="D65" s="1117">
        <f t="shared" si="20"/>
        <v>0.58898800000000007</v>
      </c>
      <c r="E65" s="1040">
        <v>-0.47557262591999999</v>
      </c>
      <c r="F65" s="1040">
        <f t="shared" si="22"/>
        <v>1.06456062592</v>
      </c>
      <c r="G65" s="1118">
        <v>0.31358200000000003</v>
      </c>
      <c r="H65" s="1109">
        <f t="shared" si="19"/>
        <v>0.38921326801669714</v>
      </c>
      <c r="I65" s="24">
        <f t="shared" si="23"/>
        <v>0.29370422932733875</v>
      </c>
      <c r="J65" s="1110">
        <f t="shared" si="24"/>
        <v>0.70629577067266125</v>
      </c>
      <c r="K65" s="1111">
        <f t="shared" si="25"/>
        <v>-0.80744026350282172</v>
      </c>
      <c r="L65" s="191">
        <f t="shared" si="17"/>
        <v>0.75160134279400448</v>
      </c>
      <c r="M65" s="24"/>
      <c r="N65" s="958"/>
      <c r="O65" s="268">
        <f t="shared" si="1"/>
        <v>0</v>
      </c>
    </row>
    <row r="66" spans="1:15" ht="15.75" customHeight="1" x14ac:dyDescent="0.2">
      <c r="A66" s="1080" t="str">
        <f>+TableA1!A66</f>
        <v>Curacao</v>
      </c>
      <c r="B66" s="122">
        <f>TableA1!E66</f>
        <v>2.0247299999999999</v>
      </c>
      <c r="C66" s="1119">
        <v>1.3583099999999999</v>
      </c>
      <c r="D66" s="1117">
        <f t="shared" si="20"/>
        <v>0.35703400000000002</v>
      </c>
      <c r="E66" s="1040">
        <f>+B66*$E$103</f>
        <v>-9.9031902835801475E-2</v>
      </c>
      <c r="F66" s="1040">
        <f t="shared" si="22"/>
        <v>0.45606590283580151</v>
      </c>
      <c r="G66" s="1118">
        <v>0.30938599999999999</v>
      </c>
      <c r="H66" s="1109">
        <f t="shared" si="19"/>
        <v>0.32914018165385017</v>
      </c>
      <c r="I66" s="24">
        <f t="shared" si="23"/>
        <v>0.20814134074564636</v>
      </c>
      <c r="J66" s="1110">
        <f t="shared" si="24"/>
        <v>0.79185865925435361</v>
      </c>
      <c r="K66" s="1111">
        <f t="shared" si="25"/>
        <v>-0.27737387149627618</v>
      </c>
      <c r="L66" s="191">
        <f t="shared" si="17"/>
        <v>0.33575980655064125</v>
      </c>
      <c r="M66" s="24"/>
      <c r="N66" s="958"/>
      <c r="O66" s="268">
        <f t="shared" si="1"/>
        <v>0</v>
      </c>
    </row>
    <row r="67" spans="1:15" ht="15.75" customHeight="1" x14ac:dyDescent="0.2">
      <c r="A67" s="1080" t="str">
        <f>+TableA1!A67</f>
        <v>Cyprus</v>
      </c>
      <c r="B67" s="122">
        <f>TableA1!E67</f>
        <v>9.9627499999999998</v>
      </c>
      <c r="C67" s="1119">
        <v>5.5453299999999999</v>
      </c>
      <c r="D67" s="1117">
        <f t="shared" si="20"/>
        <v>3.12425</v>
      </c>
      <c r="E67" s="1040">
        <v>0</v>
      </c>
      <c r="F67" s="1040">
        <f t="shared" si="22"/>
        <v>3.12425</v>
      </c>
      <c r="G67" s="1118">
        <v>1.2931699999999999</v>
      </c>
      <c r="H67" s="1109">
        <f t="shared" si="19"/>
        <v>0.44339364131389425</v>
      </c>
      <c r="I67" s="24">
        <f t="shared" si="23"/>
        <v>0.36036924510760615</v>
      </c>
      <c r="J67" s="1110">
        <f t="shared" si="24"/>
        <v>0.63963075489239385</v>
      </c>
      <c r="K67" s="1111">
        <f t="shared" si="25"/>
        <v>0</v>
      </c>
      <c r="L67" s="191">
        <f t="shared" si="17"/>
        <v>0.56340199771699795</v>
      </c>
      <c r="M67" s="24"/>
      <c r="N67" s="958"/>
      <c r="O67" s="268">
        <f t="shared" si="1"/>
        <v>0</v>
      </c>
    </row>
    <row r="68" spans="1:15" ht="15.75" customHeight="1" x14ac:dyDescent="0.2">
      <c r="A68" s="1080" t="str">
        <f>+TableA1!A68</f>
        <v>Jersey</v>
      </c>
      <c r="B68" s="122">
        <f>TableA1!E68</f>
        <v>4.6878599999999997</v>
      </c>
      <c r="C68" s="1119">
        <v>1.2626299999999999</v>
      </c>
      <c r="D68" s="1117">
        <f t="shared" si="20"/>
        <v>2.7913139999999999</v>
      </c>
      <c r="E68" s="1040">
        <f>+B68*$E$103</f>
        <v>-0.2292886933210059</v>
      </c>
      <c r="F68" s="1040">
        <f t="shared" si="22"/>
        <v>3.0206026933210057</v>
      </c>
      <c r="G68" s="1118">
        <v>0.63391600000000004</v>
      </c>
      <c r="H68" s="1109">
        <f t="shared" si="19"/>
        <v>0.73065961867461915</v>
      </c>
      <c r="I68" s="24">
        <f t="shared" si="23"/>
        <v>0.68854281164219344</v>
      </c>
      <c r="J68" s="1110">
        <f t="shared" si="24"/>
        <v>0.31145718835780656</v>
      </c>
      <c r="K68" s="1111">
        <f t="shared" si="25"/>
        <v>-8.2143640350389069E-2</v>
      </c>
      <c r="L68" s="191">
        <f t="shared" si="17"/>
        <v>2.3923102518718911</v>
      </c>
      <c r="M68" s="24"/>
      <c r="N68" s="958"/>
      <c r="O68" s="268">
        <f t="shared" si="1"/>
        <v>0</v>
      </c>
    </row>
    <row r="69" spans="1:15" ht="15.75" customHeight="1" x14ac:dyDescent="0.2">
      <c r="A69" s="1080" t="str">
        <f>+TableA1!A69</f>
        <v>Grenada</v>
      </c>
      <c r="B69" s="122">
        <f>TableA1!E69</f>
        <v>0.50683400000000001</v>
      </c>
      <c r="C69" s="1119">
        <v>7.3907048000000003E-2</v>
      </c>
      <c r="D69" s="1117">
        <f t="shared" si="20"/>
        <v>0.35847732799999998</v>
      </c>
      <c r="E69" s="1040">
        <f>+B69*$E$103</f>
        <v>-2.4789841332859497E-2</v>
      </c>
      <c r="F69" s="1040">
        <f t="shared" si="22"/>
        <v>0.38326716933285948</v>
      </c>
      <c r="G69" s="1118">
        <v>7.4449624000000006E-2</v>
      </c>
      <c r="H69" s="1109">
        <f t="shared" si="19"/>
        <v>0.85417898562448447</v>
      </c>
      <c r="I69" s="24">
        <f t="shared" si="23"/>
        <v>0.82907095606988346</v>
      </c>
      <c r="J69" s="1110">
        <f t="shared" si="24"/>
        <v>0.17092904393011654</v>
      </c>
      <c r="K69" s="1111">
        <f t="shared" si="25"/>
        <v>-6.9153163663559489E-2</v>
      </c>
      <c r="L69" s="191">
        <f t="shared" si="17"/>
        <v>5.1857999974895419</v>
      </c>
      <c r="M69" s="24"/>
      <c r="N69" s="958"/>
      <c r="O69" s="268">
        <f t="shared" si="1"/>
        <v>0</v>
      </c>
    </row>
    <row r="70" spans="1:15" ht="15.75" customHeight="1" x14ac:dyDescent="0.2">
      <c r="A70" s="1080" t="str">
        <f>+TableA1!A70</f>
        <v>Guernsey</v>
      </c>
      <c r="B70" s="122">
        <f>TableA1!E70</f>
        <v>3.1522600000000001</v>
      </c>
      <c r="C70" s="1119">
        <v>0.84902900000000003</v>
      </c>
      <c r="D70" s="1117">
        <f t="shared" si="20"/>
        <v>1.8769660000000004</v>
      </c>
      <c r="E70" s="1040">
        <f>+B70*$E$103</f>
        <v>-0.15418070855530544</v>
      </c>
      <c r="F70" s="1040">
        <f t="shared" si="22"/>
        <v>2.0311467085553057</v>
      </c>
      <c r="G70" s="1118">
        <v>0.42626500000000001</v>
      </c>
      <c r="H70" s="1109">
        <f t="shared" si="19"/>
        <v>0.73066022472765579</v>
      </c>
      <c r="I70" s="24">
        <f t="shared" si="23"/>
        <v>0.68854344927265099</v>
      </c>
      <c r="J70" s="1110">
        <f t="shared" si="24"/>
        <v>0.31145655072734901</v>
      </c>
      <c r="K70" s="1111">
        <f t="shared" si="25"/>
        <v>-8.2143580946754183E-2</v>
      </c>
      <c r="L70" s="191">
        <f t="shared" si="17"/>
        <v>2.3923172336343113</v>
      </c>
      <c r="M70" s="24"/>
      <c r="N70" s="958"/>
      <c r="O70" s="268">
        <f t="shared" si="1"/>
        <v>0</v>
      </c>
    </row>
    <row r="71" spans="1:15" ht="15.75" customHeight="1" x14ac:dyDescent="0.2">
      <c r="A71" s="1080" t="str">
        <f>+TableA1!A71</f>
        <v>Gibraltar</v>
      </c>
      <c r="B71" s="122">
        <f>TableA1!E71</f>
        <v>1.6875</v>
      </c>
      <c r="C71" s="1119">
        <v>0.45451200000000003</v>
      </c>
      <c r="D71" s="1117">
        <f t="shared" si="20"/>
        <v>1.0047949999999999</v>
      </c>
      <c r="E71" s="1040">
        <f>+B71*$E$103</f>
        <v>-8.2537590708595704E-2</v>
      </c>
      <c r="F71" s="1040">
        <f t="shared" si="22"/>
        <v>1.0873325907085956</v>
      </c>
      <c r="G71" s="1118">
        <v>0.22819300000000001</v>
      </c>
      <c r="H71" s="1109">
        <f t="shared" si="19"/>
        <v>0.73065955555555551</v>
      </c>
      <c r="I71" s="24">
        <f t="shared" si="23"/>
        <v>0.68854257534569485</v>
      </c>
      <c r="J71" s="1110">
        <f t="shared" si="24"/>
        <v>0.31145742465430515</v>
      </c>
      <c r="K71" s="1111">
        <f t="shared" si="25"/>
        <v>-8.2143711611418965E-2</v>
      </c>
      <c r="L71" s="191">
        <f t="shared" si="17"/>
        <v>2.3923077734110332</v>
      </c>
      <c r="M71" s="24"/>
      <c r="N71" s="958"/>
      <c r="O71" s="268">
        <f t="shared" si="1"/>
        <v>0</v>
      </c>
    </row>
    <row r="72" spans="1:15" ht="15.75" customHeight="1" x14ac:dyDescent="0.2">
      <c r="A72" s="1080" t="str">
        <f>+TableA1!A72</f>
        <v>Hong Kong</v>
      </c>
      <c r="B72" s="122">
        <f>TableA1!E72</f>
        <v>219.09200000000001</v>
      </c>
      <c r="C72" s="1119">
        <v>117.069</v>
      </c>
      <c r="D72" s="1117">
        <f t="shared" si="20"/>
        <v>72.396300000000011</v>
      </c>
      <c r="E72" s="1040">
        <v>-1.5334282122</v>
      </c>
      <c r="F72" s="1040">
        <f t="shared" si="22"/>
        <v>73.929728212200004</v>
      </c>
      <c r="G72" s="1118">
        <v>29.6267</v>
      </c>
      <c r="H72" s="1109">
        <f t="shared" si="19"/>
        <v>0.46566282657513741</v>
      </c>
      <c r="I72" s="24">
        <f t="shared" si="23"/>
        <v>0.38210849163408817</v>
      </c>
      <c r="J72" s="1110">
        <f t="shared" si="24"/>
        <v>0.61789150836591178</v>
      </c>
      <c r="K72" s="1111">
        <f t="shared" si="25"/>
        <v>-2.1181030138280543E-2</v>
      </c>
      <c r="L72" s="191">
        <f t="shared" si="17"/>
        <v>0.63150559253260896</v>
      </c>
      <c r="M72" s="24"/>
      <c r="N72" s="958"/>
      <c r="O72" s="268">
        <f t="shared" si="1"/>
        <v>0</v>
      </c>
    </row>
    <row r="73" spans="1:15" ht="15.75" customHeight="1" x14ac:dyDescent="0.2">
      <c r="A73" s="1080" t="str">
        <f>+TableA1!A73</f>
        <v>Isle of man</v>
      </c>
      <c r="B73" s="122">
        <f>TableA1!E73</f>
        <v>4.56663</v>
      </c>
      <c r="C73" s="1119">
        <v>1.22997</v>
      </c>
      <c r="D73" s="1117">
        <f t="shared" si="20"/>
        <v>2.7191380000000001</v>
      </c>
      <c r="E73" s="1040">
        <f>+B73*$E$103</f>
        <v>-0.22335919280450039</v>
      </c>
      <c r="F73" s="1040">
        <f t="shared" si="22"/>
        <v>2.9424971928045003</v>
      </c>
      <c r="G73" s="1118">
        <v>0.61752200000000002</v>
      </c>
      <c r="H73" s="1109">
        <f t="shared" si="19"/>
        <v>0.73066134107646119</v>
      </c>
      <c r="I73" s="24">
        <f t="shared" si="23"/>
        <v>0.68854485620550265</v>
      </c>
      <c r="J73" s="1110">
        <f t="shared" si="24"/>
        <v>0.31145514379449735</v>
      </c>
      <c r="K73" s="1111">
        <f t="shared" si="25"/>
        <v>-8.2143382500079215E-2</v>
      </c>
      <c r="L73" s="191">
        <f t="shared" si="17"/>
        <v>2.3923324900643919</v>
      </c>
      <c r="M73" s="24"/>
      <c r="N73" s="958"/>
      <c r="O73" s="268">
        <f t="shared" si="1"/>
        <v>0</v>
      </c>
    </row>
    <row r="74" spans="1:15" ht="15.75" customHeight="1" x14ac:dyDescent="0.2">
      <c r="A74" s="1094" t="str">
        <f>+TableA1!A74</f>
        <v>Lebanon</v>
      </c>
      <c r="B74" s="122">
        <f>TableA1!E74</f>
        <v>33.252099999999999</v>
      </c>
      <c r="C74" s="1119">
        <f>+B74*SUM($C$60:$C$73,$C$54:$C$58,$C$75:$C$89)/SUM($B$75:$B$89,$B$60:$B$73,$B$54:$B$58)</f>
        <v>15.218728393333157</v>
      </c>
      <c r="D74" s="1117">
        <f t="shared" si="20"/>
        <v>13.53685160666684</v>
      </c>
      <c r="E74" s="1120">
        <f>+B74*$E$103</f>
        <v>-1.6263989451859528</v>
      </c>
      <c r="F74" s="1120">
        <f t="shared" si="22"/>
        <v>15.163250551852792</v>
      </c>
      <c r="G74" s="1118">
        <v>4.4965200000000003</v>
      </c>
      <c r="H74" s="1121">
        <f t="shared" si="19"/>
        <v>0.54232278883639951</v>
      </c>
      <c r="I74" s="138">
        <f t="shared" si="23"/>
        <v>0.47075564487542393</v>
      </c>
      <c r="J74" s="1122">
        <f t="shared" si="24"/>
        <v>0.52924435512457602</v>
      </c>
      <c r="K74" s="1123">
        <f t="shared" si="25"/>
        <v>-0.12014602748433457</v>
      </c>
      <c r="L74" s="139">
        <f t="shared" si="17"/>
        <v>0.9963546335773581</v>
      </c>
      <c r="M74" s="24"/>
      <c r="N74" s="958"/>
      <c r="O74" s="268">
        <f t="shared" ref="O74:O91" si="26">B74-C74-D74-G74</f>
        <v>0</v>
      </c>
    </row>
    <row r="75" spans="1:15" ht="15.75" customHeight="1" x14ac:dyDescent="0.2">
      <c r="A75" s="1080" t="str">
        <f>+TableA1!A75</f>
        <v>Liechtenstein</v>
      </c>
      <c r="B75" s="122">
        <f>TableA1!E75</f>
        <v>4.7388899999999996</v>
      </c>
      <c r="C75" s="1119">
        <v>2.9184000000000001</v>
      </c>
      <c r="D75" s="1117">
        <f t="shared" si="20"/>
        <v>1.1529629999999995</v>
      </c>
      <c r="E75" s="1040">
        <f>+B75*$E$103</f>
        <v>-0.23178463006403383</v>
      </c>
      <c r="F75" s="1040">
        <f t="shared" si="22"/>
        <v>1.3847476300640333</v>
      </c>
      <c r="G75" s="1118">
        <v>0.66752699999999998</v>
      </c>
      <c r="H75" s="1109">
        <f t="shared" si="19"/>
        <v>0.38415958167418945</v>
      </c>
      <c r="I75" s="24">
        <f t="shared" si="23"/>
        <v>0.28318845556144207</v>
      </c>
      <c r="J75" s="1110">
        <f t="shared" si="24"/>
        <v>0.71681154443855788</v>
      </c>
      <c r="K75" s="1111">
        <f t="shared" si="25"/>
        <v>-0.20103388405701997</v>
      </c>
      <c r="L75" s="191">
        <f t="shared" si="17"/>
        <v>0.47448863420505527</v>
      </c>
      <c r="M75" s="24"/>
      <c r="N75" s="958"/>
      <c r="O75" s="268">
        <f t="shared" si="26"/>
        <v>0</v>
      </c>
    </row>
    <row r="76" spans="1:15" ht="15.75" customHeight="1" x14ac:dyDescent="0.2">
      <c r="A76" s="1080" t="str">
        <f>+TableA1!A76</f>
        <v>Macau</v>
      </c>
      <c r="B76" s="122">
        <f>TableA1!E76</f>
        <v>25.217500000000001</v>
      </c>
      <c r="C76" s="1119">
        <v>10.102600000000001</v>
      </c>
      <c r="D76" s="1117">
        <f t="shared" si="20"/>
        <v>11.70486</v>
      </c>
      <c r="E76" s="1040">
        <f>+B76*$E$103</f>
        <v>-1.2334172999668223</v>
      </c>
      <c r="F76" s="1040">
        <f t="shared" si="22"/>
        <v>12.938277299966822</v>
      </c>
      <c r="G76" s="1118">
        <v>3.41004</v>
      </c>
      <c r="H76" s="1109">
        <f t="shared" si="19"/>
        <v>0.5993813819768018</v>
      </c>
      <c r="I76" s="24">
        <f t="shared" si="23"/>
        <v>0.53673651126724531</v>
      </c>
      <c r="J76" s="1110">
        <f t="shared" si="24"/>
        <v>0.46326348873275469</v>
      </c>
      <c r="K76" s="1111">
        <f t="shared" si="25"/>
        <v>-0.1053765102672584</v>
      </c>
      <c r="L76" s="191">
        <f t="shared" si="17"/>
        <v>1.2806878724255955</v>
      </c>
      <c r="M76" s="24"/>
      <c r="N76" s="958"/>
      <c r="O76" s="268">
        <f t="shared" si="26"/>
        <v>0</v>
      </c>
    </row>
    <row r="77" spans="1:15" ht="15.75" customHeight="1" x14ac:dyDescent="0.2">
      <c r="A77" s="1080" t="s">
        <v>96</v>
      </c>
      <c r="B77" s="122">
        <f>TableA1!E77</f>
        <v>5.8736199999999998</v>
      </c>
      <c r="C77" s="1119">
        <v>2.7482700000000002</v>
      </c>
      <c r="D77" s="1117">
        <f t="shared" si="20"/>
        <v>2.3345849999999997</v>
      </c>
      <c r="E77" s="1040">
        <v>1.6701859999999999E-3</v>
      </c>
      <c r="F77" s="1040">
        <f t="shared" si="22"/>
        <v>2.3329148139999996</v>
      </c>
      <c r="G77" s="1118">
        <v>0.79076500000000005</v>
      </c>
      <c r="H77" s="1109">
        <f t="shared" si="19"/>
        <v>0.53209945485067123</v>
      </c>
      <c r="I77" s="24">
        <f t="shared" si="23"/>
        <v>0.45930584287767395</v>
      </c>
      <c r="J77" s="1110">
        <f t="shared" si="24"/>
        <v>0.54069415712232605</v>
      </c>
      <c r="K77" s="1111">
        <f t="shared" si="25"/>
        <v>7.1541023351045271E-4</v>
      </c>
      <c r="L77" s="191">
        <f t="shared" si="17"/>
        <v>0.84886667394397175</v>
      </c>
      <c r="M77" s="24"/>
      <c r="N77" s="958"/>
      <c r="O77" s="268">
        <f t="shared" si="26"/>
        <v>0</v>
      </c>
    </row>
    <row r="78" spans="1:15" ht="15.75" customHeight="1" x14ac:dyDescent="0.2">
      <c r="A78" s="1080" t="s">
        <v>97</v>
      </c>
      <c r="B78" s="122">
        <f>TableA1!E78</f>
        <v>0.12894600000000001</v>
      </c>
      <c r="C78" s="1097">
        <v>8.3486143999999998E-2</v>
      </c>
      <c r="D78" s="1117">
        <f t="shared" si="20"/>
        <v>2.8023098000000007E-2</v>
      </c>
      <c r="E78" s="1040">
        <f>+B78*$E$103</f>
        <v>-6.3068990645988639E-3</v>
      </c>
      <c r="F78" s="1040">
        <f t="shared" si="22"/>
        <v>3.4329997064598869E-2</v>
      </c>
      <c r="G78" s="1118">
        <v>1.7436758E-2</v>
      </c>
      <c r="H78" s="1109">
        <f t="shared" si="19"/>
        <v>0.35254956338312166</v>
      </c>
      <c r="I78" s="24">
        <f t="shared" si="23"/>
        <v>0.25130740284289621</v>
      </c>
      <c r="J78" s="1110">
        <f t="shared" si="24"/>
        <v>0.74869259715710379</v>
      </c>
      <c r="K78" s="1111">
        <f t="shared" si="25"/>
        <v>-0.22506073613270247</v>
      </c>
      <c r="L78" s="191">
        <f t="shared" si="17"/>
        <v>0.41120592495682723</v>
      </c>
      <c r="M78" s="24"/>
      <c r="N78" s="958"/>
      <c r="O78" s="268">
        <f t="shared" si="26"/>
        <v>0</v>
      </c>
    </row>
    <row r="79" spans="1:15" ht="15.75" customHeight="1" x14ac:dyDescent="0.2">
      <c r="A79" s="1080" t="str">
        <f>+TableA1!A79</f>
        <v>Monaco</v>
      </c>
      <c r="B79" s="122">
        <f>TableA1!E79</f>
        <v>3.85907</v>
      </c>
      <c r="C79" s="1097">
        <v>1.0394000000000001</v>
      </c>
      <c r="D79" s="1117">
        <f t="shared" si="20"/>
        <v>2.2978269999999998</v>
      </c>
      <c r="E79" s="1040">
        <f>+B79*$E$103</f>
        <v>-0.18875160899307877</v>
      </c>
      <c r="F79" s="1040">
        <f t="shared" si="22"/>
        <v>2.4865786089930788</v>
      </c>
      <c r="G79" s="1118">
        <v>0.52184299999999995</v>
      </c>
      <c r="H79" s="1109">
        <f t="shared" si="19"/>
        <v>0.73066049592259275</v>
      </c>
      <c r="I79" s="24">
        <f t="shared" si="23"/>
        <v>0.688543811973234</v>
      </c>
      <c r="J79" s="1110">
        <f t="shared" si="24"/>
        <v>0.311456188026766</v>
      </c>
      <c r="K79" s="1111">
        <f t="shared" si="25"/>
        <v>-8.2143524727091632E-2</v>
      </c>
      <c r="L79" s="191">
        <f t="shared" si="17"/>
        <v>2.3923211554676529</v>
      </c>
      <c r="M79" s="24"/>
      <c r="N79" s="958"/>
      <c r="O79" s="268">
        <f t="shared" si="26"/>
        <v>0</v>
      </c>
    </row>
    <row r="80" spans="1:15" ht="15.75" customHeight="1" x14ac:dyDescent="0.2">
      <c r="A80" s="1080" t="str">
        <f>+TableA1!A80</f>
        <v>Sint Maarten</v>
      </c>
      <c r="B80" s="122">
        <f>TableA1!E80</f>
        <v>0.53428699999999996</v>
      </c>
      <c r="C80" s="1097">
        <v>0.14390500000000001</v>
      </c>
      <c r="D80" s="1117">
        <f t="shared" si="20"/>
        <v>0.31813307199999996</v>
      </c>
      <c r="E80" s="1040">
        <f>+B80*$E$103</f>
        <v>-2.6132599541880575E-2</v>
      </c>
      <c r="F80" s="1040">
        <f t="shared" si="22"/>
        <v>0.34426567154188054</v>
      </c>
      <c r="G80" s="1118">
        <v>7.2248928000000004E-2</v>
      </c>
      <c r="H80" s="1109">
        <f t="shared" si="19"/>
        <v>0.73065973905410386</v>
      </c>
      <c r="I80" s="24">
        <f t="shared" si="23"/>
        <v>0.68854298223285804</v>
      </c>
      <c r="J80" s="1110">
        <f t="shared" si="24"/>
        <v>0.31145701776714196</v>
      </c>
      <c r="K80" s="1111">
        <f t="shared" si="25"/>
        <v>-8.2143611720697104E-2</v>
      </c>
      <c r="L80" s="191">
        <f t="shared" si="17"/>
        <v>2.3923120916012683</v>
      </c>
      <c r="M80" s="24"/>
      <c r="N80" s="958"/>
      <c r="O80" s="268">
        <f t="shared" si="26"/>
        <v>0</v>
      </c>
    </row>
    <row r="81" spans="1:17" ht="15.75" customHeight="1" x14ac:dyDescent="0.2">
      <c r="A81" s="1080" t="str">
        <f>+TableA1!A81</f>
        <v>Mauritius</v>
      </c>
      <c r="B81" s="122">
        <f>TableA1!E81</f>
        <v>7.8608700000000002</v>
      </c>
      <c r="C81" s="1097">
        <v>0.36308000000000001</v>
      </c>
      <c r="D81" s="1117">
        <f t="shared" si="20"/>
        <v>6.4348000000000001</v>
      </c>
      <c r="E81" s="1040">
        <f>+B81*$E$103</f>
        <v>-0.38448430854724669</v>
      </c>
      <c r="F81" s="1040">
        <f t="shared" si="22"/>
        <v>6.819284308547247</v>
      </c>
      <c r="G81" s="1118">
        <v>1.0629900000000001</v>
      </c>
      <c r="H81" s="1109">
        <f t="shared" si="19"/>
        <v>0.9538117282183779</v>
      </c>
      <c r="I81" s="24">
        <f t="shared" si="23"/>
        <v>0.9465892307601782</v>
      </c>
      <c r="J81" s="1110">
        <f t="shared" si="24"/>
        <v>5.3410769239821798E-2</v>
      </c>
      <c r="K81" s="1111">
        <f t="shared" si="25"/>
        <v>-5.9750778353211707E-2</v>
      </c>
      <c r="L81" s="191">
        <f t="shared" si="17"/>
        <v>18.781767953473743</v>
      </c>
      <c r="M81" s="24"/>
      <c r="N81" s="958"/>
      <c r="O81" s="268">
        <f t="shared" si="26"/>
        <v>0</v>
      </c>
    </row>
    <row r="82" spans="1:17" ht="15.75" customHeight="1" x14ac:dyDescent="0.2">
      <c r="A82" s="1080" t="str">
        <f>+TableA1!A82</f>
        <v>Seychelles</v>
      </c>
      <c r="B82" s="122">
        <f>TableA1!E82</f>
        <v>0.96659899999999999</v>
      </c>
      <c r="C82" s="1097">
        <v>6.9840823999999996E-2</v>
      </c>
      <c r="D82" s="1117">
        <f t="shared" si="20"/>
        <v>0.76605017600000003</v>
      </c>
      <c r="E82" s="1040">
        <f>+B82*$E$103</f>
        <v>-4.7277483046718756E-2</v>
      </c>
      <c r="F82" s="1040">
        <f t="shared" si="22"/>
        <v>0.81332765904671878</v>
      </c>
      <c r="G82" s="1118">
        <v>0.13070799999999999</v>
      </c>
      <c r="H82" s="1109">
        <f t="shared" si="19"/>
        <v>0.92774581393111322</v>
      </c>
      <c r="I82" s="24">
        <f t="shared" si="23"/>
        <v>0.91644745068435951</v>
      </c>
      <c r="J82" s="1110">
        <f t="shared" si="24"/>
        <v>8.355254931564049E-2</v>
      </c>
      <c r="K82" s="1111">
        <f t="shared" si="25"/>
        <v>-6.1715909124363616E-2</v>
      </c>
      <c r="L82" s="191">
        <f t="shared" si="17"/>
        <v>11.645447640290138</v>
      </c>
      <c r="M82" s="24"/>
      <c r="N82" s="958"/>
      <c r="O82" s="268">
        <f t="shared" si="26"/>
        <v>0</v>
      </c>
    </row>
    <row r="83" spans="1:17" ht="15.75" customHeight="1" x14ac:dyDescent="0.2">
      <c r="A83" s="1080" t="str">
        <f>+TableA1!A83</f>
        <v>Singapore</v>
      </c>
      <c r="B83" s="122">
        <f>TableA1!E83</f>
        <v>193.44101831433295</v>
      </c>
      <c r="C83" s="1097">
        <v>103.461294</v>
      </c>
      <c r="D83" s="1117">
        <f t="shared" si="20"/>
        <v>45.48921462866592</v>
      </c>
      <c r="E83" s="1040">
        <v>-19.058138157438236</v>
      </c>
      <c r="F83" s="1040">
        <f t="shared" si="22"/>
        <v>64.547352786104156</v>
      </c>
      <c r="G83" s="1118">
        <v>44.490509685667035</v>
      </c>
      <c r="H83" s="1109">
        <f t="shared" si="19"/>
        <v>0.46515328082134033</v>
      </c>
      <c r="I83" s="24">
        <f t="shared" si="23"/>
        <v>0.30539818257398954</v>
      </c>
      <c r="J83" s="1110">
        <f t="shared" si="24"/>
        <v>0.69460181742601046</v>
      </c>
      <c r="K83" s="1111">
        <f t="shared" si="25"/>
        <v>-0.41895948991452531</v>
      </c>
      <c r="L83" s="191">
        <f t="shared" si="17"/>
        <v>0.62387923338851881</v>
      </c>
      <c r="M83" s="24"/>
      <c r="N83" s="958"/>
      <c r="O83" s="268">
        <f t="shared" si="26"/>
        <v>0</v>
      </c>
    </row>
    <row r="84" spans="1:17" ht="15.75" customHeight="1" x14ac:dyDescent="0.2">
      <c r="A84" s="1080" t="str">
        <f>+TableA1!A84</f>
        <v>St. Kitts and Nevis</v>
      </c>
      <c r="B84" s="122">
        <f>TableA1!E84</f>
        <v>0.59048</v>
      </c>
      <c r="C84" s="1097">
        <v>7.3737880000000006E-2</v>
      </c>
      <c r="D84" s="1117">
        <f t="shared" si="20"/>
        <v>0.43689451199999996</v>
      </c>
      <c r="E84" s="1040">
        <f t="shared" ref="E84:E89" si="27">+B84*$E$103</f>
        <v>-2.8881064629103167E-2</v>
      </c>
      <c r="F84" s="1040">
        <f t="shared" si="22"/>
        <v>0.46577557662910313</v>
      </c>
      <c r="G84" s="1118">
        <v>7.9847608E-2</v>
      </c>
      <c r="H84" s="1109">
        <f t="shared" si="19"/>
        <v>0.8751221379216908</v>
      </c>
      <c r="I84" s="24">
        <f t="shared" si="23"/>
        <v>0.85559498152635793</v>
      </c>
      <c r="J84" s="1110">
        <f t="shared" si="24"/>
        <v>0.14440501847364207</v>
      </c>
      <c r="K84" s="1111">
        <f t="shared" si="25"/>
        <v>-6.6105350000604191E-2</v>
      </c>
      <c r="L84" s="191">
        <f t="shared" si="17"/>
        <v>6.3166391090861724</v>
      </c>
      <c r="M84" s="24"/>
      <c r="N84" s="958"/>
      <c r="O84" s="268">
        <f t="shared" si="26"/>
        <v>0</v>
      </c>
    </row>
    <row r="85" spans="1:17" ht="15.75" customHeight="1" x14ac:dyDescent="0.2">
      <c r="A85" s="1080" t="str">
        <f>+TableA1!A85</f>
        <v>St. Lucia</v>
      </c>
      <c r="B85" s="122">
        <f>TableA1!E85</f>
        <v>1.1087400000000001</v>
      </c>
      <c r="C85" s="1097">
        <v>0.115233</v>
      </c>
      <c r="D85" s="1117">
        <f t="shared" si="20"/>
        <v>0.84357800000000005</v>
      </c>
      <c r="E85" s="1040">
        <f t="shared" si="27"/>
        <v>-5.4229764931702763E-2</v>
      </c>
      <c r="F85" s="1040">
        <f t="shared" si="22"/>
        <v>0.89780776493170278</v>
      </c>
      <c r="G85" s="1118">
        <v>0.14992900000000001</v>
      </c>
      <c r="H85" s="1109">
        <f t="shared" si="19"/>
        <v>0.89606851020076839</v>
      </c>
      <c r="I85" s="24">
        <f t="shared" si="23"/>
        <v>0.87981677306580752</v>
      </c>
      <c r="J85" s="1110">
        <f t="shared" si="24"/>
        <v>0.12018322693419248</v>
      </c>
      <c r="K85" s="1111">
        <f t="shared" si="25"/>
        <v>-6.4285418694777205E-2</v>
      </c>
      <c r="L85" s="191">
        <f t="shared" si="17"/>
        <v>7.7912383165560453</v>
      </c>
      <c r="M85" s="24"/>
      <c r="N85" s="958"/>
      <c r="O85" s="268">
        <f t="shared" si="26"/>
        <v>0</v>
      </c>
    </row>
    <row r="86" spans="1:17" ht="15.75" customHeight="1" x14ac:dyDescent="0.2">
      <c r="A86" s="1080" t="str">
        <f>+TableA1!A86</f>
        <v>St. Vincent and the Grenadines</v>
      </c>
      <c r="B86" s="122">
        <f>TableA1!E86</f>
        <v>0.50773400000000002</v>
      </c>
      <c r="C86" s="1097">
        <v>7.3914943999999996E-2</v>
      </c>
      <c r="D86" s="1117">
        <f t="shared" si="20"/>
        <v>0.36516068800000001</v>
      </c>
      <c r="E86" s="1040">
        <f t="shared" si="27"/>
        <v>-2.4833861381237412E-2</v>
      </c>
      <c r="F86" s="1040">
        <f t="shared" si="22"/>
        <v>0.3899945493812374</v>
      </c>
      <c r="G86" s="1118">
        <v>6.8658367999999997E-2</v>
      </c>
      <c r="H86" s="1109">
        <f t="shared" si="19"/>
        <v>0.8544219138367728</v>
      </c>
      <c r="I86" s="24">
        <f t="shared" si="23"/>
        <v>0.83165783156009898</v>
      </c>
      <c r="J86" s="1110">
        <f t="shared" si="24"/>
        <v>0.16834216843990102</v>
      </c>
      <c r="K86" s="1111">
        <f t="shared" si="25"/>
        <v>-6.8008036454453746E-2</v>
      </c>
      <c r="L86" s="191">
        <f t="shared" si="17"/>
        <v>5.2762611763764227</v>
      </c>
      <c r="M86" s="24"/>
      <c r="N86" s="958"/>
      <c r="O86" s="268">
        <f t="shared" si="26"/>
        <v>0</v>
      </c>
    </row>
    <row r="87" spans="1:17" ht="15.75" customHeight="1" x14ac:dyDescent="0.2">
      <c r="A87" s="1080" t="str">
        <f>+TableA1!A87</f>
        <v>Turks and Caicos</v>
      </c>
      <c r="B87" s="122">
        <f>TableA1!E87</f>
        <v>0.424902</v>
      </c>
      <c r="C87" s="1097">
        <v>0.114443</v>
      </c>
      <c r="D87" s="1117">
        <f t="shared" si="20"/>
        <v>0.253001696</v>
      </c>
      <c r="E87" s="1040">
        <f t="shared" si="27"/>
        <v>-2.0782451773193322E-2</v>
      </c>
      <c r="F87" s="1040">
        <f t="shared" si="22"/>
        <v>0.27378414777319332</v>
      </c>
      <c r="G87" s="1118">
        <v>5.7457304000000001E-2</v>
      </c>
      <c r="H87" s="1109">
        <f t="shared" si="19"/>
        <v>0.73066024636269067</v>
      </c>
      <c r="I87" s="24">
        <f t="shared" si="23"/>
        <v>0.68854360602881037</v>
      </c>
      <c r="J87" s="1110">
        <f t="shared" si="24"/>
        <v>0.31145639397118963</v>
      </c>
      <c r="K87" s="1111">
        <f t="shared" si="25"/>
        <v>-8.2143527501069888E-2</v>
      </c>
      <c r="L87" s="191">
        <f t="shared" si="17"/>
        <v>2.3923188641786157</v>
      </c>
      <c r="M87" s="24"/>
      <c r="N87" s="958"/>
      <c r="O87" s="268">
        <f t="shared" si="26"/>
        <v>0</v>
      </c>
    </row>
    <row r="88" spans="1:17" ht="15.75" customHeight="1" x14ac:dyDescent="0.2">
      <c r="A88" s="1080" t="str">
        <f>+TableA1!A88</f>
        <v>Panama</v>
      </c>
      <c r="B88" s="122">
        <f>TableA1!E88</f>
        <v>35.049199999999999</v>
      </c>
      <c r="C88" s="1097">
        <v>10.2681</v>
      </c>
      <c r="D88" s="1117">
        <f t="shared" si="20"/>
        <v>20.04157</v>
      </c>
      <c r="E88" s="1040">
        <f t="shared" si="27"/>
        <v>-1.7142971995636815</v>
      </c>
      <c r="F88" s="1040">
        <f t="shared" si="22"/>
        <v>21.755867199563681</v>
      </c>
      <c r="G88" s="1118">
        <v>4.7395300000000002</v>
      </c>
      <c r="H88" s="1109">
        <f t="shared" si="19"/>
        <v>0.70703753580680884</v>
      </c>
      <c r="I88" s="24">
        <f t="shared" si="23"/>
        <v>0.6612269285676815</v>
      </c>
      <c r="J88" s="1110">
        <f t="shared" si="24"/>
        <v>0.3387730714323185</v>
      </c>
      <c r="K88" s="1111">
        <f t="shared" si="25"/>
        <v>-8.5537071175745286E-2</v>
      </c>
      <c r="L88" s="191">
        <f t="shared" si="17"/>
        <v>2.1187821699792249</v>
      </c>
      <c r="M88" s="24"/>
      <c r="N88" s="958"/>
      <c r="O88" s="268">
        <f t="shared" si="26"/>
        <v>0</v>
      </c>
    </row>
    <row r="89" spans="1:17" ht="15.75" customHeight="1" x14ac:dyDescent="0.2">
      <c r="A89" s="1080" t="s">
        <v>108</v>
      </c>
      <c r="B89" s="122">
        <f>C89+D89+G89</f>
        <v>81.677350000000004</v>
      </c>
      <c r="C89" s="1097">
        <v>23.088800000000003</v>
      </c>
      <c r="D89" s="1117">
        <v>48.7699</v>
      </c>
      <c r="E89" s="1040">
        <f t="shared" si="27"/>
        <v>-3.9949343315334636</v>
      </c>
      <c r="F89" s="1040">
        <f t="shared" si="22"/>
        <v>52.764834331533464</v>
      </c>
      <c r="G89" s="1118">
        <v>9.8186499999999999</v>
      </c>
      <c r="H89" s="1109">
        <f t="shared" si="19"/>
        <v>0.71731697955430718</v>
      </c>
      <c r="I89" s="24">
        <f t="shared" si="23"/>
        <v>0.67869165459436365</v>
      </c>
      <c r="J89" s="1110">
        <f t="shared" si="24"/>
        <v>0.32130834540563635</v>
      </c>
      <c r="K89" s="1111">
        <f t="shared" si="25"/>
        <v>-8.1913933215640458E-2</v>
      </c>
      <c r="L89" s="191">
        <f t="shared" si="17"/>
        <v>2.2852999866399926</v>
      </c>
      <c r="M89" s="24"/>
      <c r="N89" s="958"/>
      <c r="O89" s="268">
        <f t="shared" si="26"/>
        <v>0</v>
      </c>
    </row>
    <row r="90" spans="1:17" ht="40" customHeight="1" x14ac:dyDescent="0.2">
      <c r="A90" s="1588" t="s">
        <v>109</v>
      </c>
      <c r="B90" s="1589">
        <f>TableA1!E90</f>
        <v>4259.654706389314</v>
      </c>
      <c r="C90" s="1774">
        <f>+B90*C102</f>
        <v>2089.5387553579658</v>
      </c>
      <c r="D90" s="1591">
        <f>B90-C90-G90</f>
        <v>1497.408536414895</v>
      </c>
      <c r="E90" s="1775">
        <f>+B90*E102</f>
        <v>74.262434558027934</v>
      </c>
      <c r="F90" s="1592">
        <f t="shared" ref="F90" si="28">D90-E90</f>
        <v>1423.1461018568671</v>
      </c>
      <c r="G90" s="1593">
        <f>+B90*D102</f>
        <v>672.70741461645321</v>
      </c>
      <c r="H90" s="1594">
        <f t="shared" ref="H90" si="29">(G90+D90)/B90</f>
        <v>0.50945818396412745</v>
      </c>
      <c r="I90" s="1595">
        <f t="shared" ref="I90" si="30">D90/(D90+C90)</f>
        <v>0.41746042375626763</v>
      </c>
      <c r="J90" s="1596">
        <f t="shared" ref="J90" si="31">1-I90</f>
        <v>0.58253957624373243</v>
      </c>
      <c r="K90" s="1595">
        <f t="shared" si="25"/>
        <v>4.9593970350821907E-2</v>
      </c>
      <c r="L90" s="1772">
        <f t="shared" si="17"/>
        <v>0.68108145790914665</v>
      </c>
      <c r="M90" s="176"/>
      <c r="N90" s="958"/>
      <c r="O90" s="268">
        <f t="shared" si="26"/>
        <v>0</v>
      </c>
    </row>
    <row r="91" spans="1:17" ht="40" customHeight="1" thickBot="1" x14ac:dyDescent="0.25">
      <c r="A91" s="210" t="s">
        <v>110</v>
      </c>
      <c r="B91" s="165">
        <f>TableA1!E91</f>
        <v>40756.104983635028</v>
      </c>
      <c r="C91" s="211">
        <f>C90+C53+C45+C9</f>
        <v>22422.077231008858</v>
      </c>
      <c r="D91" s="212">
        <f>D90+D53+D45+D9</f>
        <v>11405.10618863448</v>
      </c>
      <c r="E91" s="213">
        <f>E90+E53+E45+E9</f>
        <v>196.21039395766726</v>
      </c>
      <c r="F91" s="170">
        <f>F90+F53+F45+F9</f>
        <v>11208.895794676813</v>
      </c>
      <c r="G91" s="166">
        <f>G90+G53+G45+G9</f>
        <v>6928.9209587203241</v>
      </c>
      <c r="H91" s="197">
        <f>(G91+D91)/B91</f>
        <v>0.44984738248948336</v>
      </c>
      <c r="I91" s="167">
        <f>D91/(D91+C91)</f>
        <v>0.33715802013866669</v>
      </c>
      <c r="J91" s="198">
        <f>1-I91</f>
        <v>0.66284197986133331</v>
      </c>
      <c r="K91" s="167">
        <f t="shared" si="25"/>
        <v>1.7203732320633422E-2</v>
      </c>
      <c r="L91" s="199">
        <f t="shared" si="17"/>
        <v>0.49990443254630074</v>
      </c>
      <c r="M91" s="176"/>
      <c r="N91" s="958"/>
      <c r="O91" s="268">
        <f t="shared" si="26"/>
        <v>6.0527136702148709E-4</v>
      </c>
    </row>
    <row r="92" spans="1:17" ht="17" thickTop="1" x14ac:dyDescent="0.2">
      <c r="A92" s="192"/>
      <c r="B92" s="193"/>
      <c r="C92" s="152"/>
      <c r="D92" s="153"/>
      <c r="E92" s="194"/>
      <c r="F92" s="152"/>
      <c r="G92" s="152"/>
      <c r="H92" s="155"/>
      <c r="I92" s="154"/>
      <c r="J92" s="155"/>
      <c r="K92" s="155"/>
      <c r="L92" s="154"/>
      <c r="M92" s="154"/>
      <c r="N92" s="958"/>
    </row>
    <row r="93" spans="1:17" s="2" customFormat="1" ht="17" thickBot="1" x14ac:dyDescent="0.25">
      <c r="B93" s="958"/>
      <c r="C93" s="958"/>
      <c r="D93" s="958"/>
      <c r="E93" s="958"/>
      <c r="F93" s="958"/>
      <c r="G93" s="958"/>
      <c r="H93" s="958"/>
      <c r="I93" s="958"/>
      <c r="J93" s="958"/>
      <c r="K93" s="958"/>
      <c r="L93" s="958"/>
      <c r="M93" s="958"/>
      <c r="N93" s="958"/>
      <c r="O93" s="314"/>
      <c r="P93" s="314"/>
      <c r="Q93" s="314"/>
    </row>
    <row r="94" spans="1:17" s="2" customFormat="1" ht="47.25" customHeight="1" thickBot="1" x14ac:dyDescent="0.25">
      <c r="A94" s="1931" t="s">
        <v>132</v>
      </c>
      <c r="B94" s="1962"/>
      <c r="C94" s="1962"/>
      <c r="D94" s="1962"/>
      <c r="E94" s="1962"/>
      <c r="F94" s="1962"/>
      <c r="G94" s="1962"/>
      <c r="H94" s="1962"/>
      <c r="I94" s="1962"/>
      <c r="J94" s="1962"/>
      <c r="K94" s="1962"/>
      <c r="L94" s="1963"/>
      <c r="M94" s="1124"/>
      <c r="N94" s="958"/>
      <c r="O94" s="314"/>
      <c r="P94" s="314"/>
      <c r="Q94" s="314"/>
    </row>
    <row r="95" spans="1:17" s="2" customFormat="1" x14ac:dyDescent="0.2">
      <c r="A95" s="958"/>
      <c r="B95" s="958"/>
      <c r="C95" s="958"/>
      <c r="D95" s="958"/>
      <c r="E95" s="958"/>
      <c r="F95" s="958"/>
      <c r="G95" s="958"/>
      <c r="H95" s="958"/>
      <c r="I95" s="958"/>
      <c r="J95" s="958"/>
      <c r="K95" s="958"/>
      <c r="L95" s="958"/>
      <c r="M95" s="958"/>
      <c r="N95" s="958"/>
      <c r="O95" s="314"/>
      <c r="P95" s="314"/>
      <c r="Q95" s="314"/>
    </row>
    <row r="96" spans="1:17" s="2" customFormat="1" x14ac:dyDescent="0.2">
      <c r="A96" s="958"/>
      <c r="B96" s="958"/>
      <c r="C96" s="958"/>
      <c r="D96" s="958"/>
      <c r="E96" s="1081"/>
      <c r="F96" s="958"/>
      <c r="H96" s="958"/>
      <c r="I96" s="958"/>
      <c r="J96" s="958"/>
      <c r="K96" s="958"/>
      <c r="L96" s="958"/>
      <c r="M96" s="958"/>
      <c r="N96" s="958"/>
      <c r="O96" s="314"/>
      <c r="P96" s="314"/>
      <c r="Q96" s="314"/>
    </row>
    <row r="97" spans="1:18" s="2" customFormat="1" x14ac:dyDescent="0.2">
      <c r="A97" s="1004" t="s">
        <v>133</v>
      </c>
      <c r="B97" s="1007">
        <f>SUM(B10:B44)-B12-B24-B30-B32-B41</f>
        <v>24835.668517122413</v>
      </c>
      <c r="C97" s="1007">
        <f t="shared" ref="C97:G97" si="32">SUM(C10:C44)-C12-C24-C30-C32-C41</f>
        <v>14529.806981991025</v>
      </c>
      <c r="D97" s="1007">
        <f t="shared" si="32"/>
        <v>5934.5570523537908</v>
      </c>
      <c r="E97" s="1007">
        <f t="shared" si="32"/>
        <v>120.82971732928223</v>
      </c>
      <c r="F97" s="1007">
        <f t="shared" si="32"/>
        <v>5813.7273350245077</v>
      </c>
      <c r="G97" s="1007">
        <f t="shared" si="32"/>
        <v>4371.3038772982236</v>
      </c>
      <c r="H97" s="1109">
        <f t="shared" ref="H97" si="33">(G97+D97)/B97</f>
        <v>0.41496209061362144</v>
      </c>
      <c r="I97" s="689">
        <f t="shared" ref="I97" si="34">D97/(D97+C97)</f>
        <v>0.28999469724023558</v>
      </c>
      <c r="J97" s="1110">
        <f t="shared" ref="J97" si="35">1-I97</f>
        <v>0.71000530275976437</v>
      </c>
      <c r="K97" s="1111">
        <f t="shared" ref="K97" si="36">E97/D97</f>
        <v>2.0360359882522015E-2</v>
      </c>
      <c r="L97" s="191">
        <f t="shared" ref="L97" si="37">F97/C97</f>
        <v>0.4001241958843868</v>
      </c>
      <c r="M97" s="958"/>
      <c r="N97" s="958"/>
      <c r="O97" s="314"/>
      <c r="P97" s="314"/>
      <c r="Q97" s="314"/>
    </row>
    <row r="98" spans="1:18" s="2" customFormat="1" x14ac:dyDescent="0.2">
      <c r="A98" s="958"/>
      <c r="C98" s="128"/>
      <c r="D98" s="128"/>
      <c r="E98" s="128"/>
      <c r="F98" s="128"/>
      <c r="G98" s="128"/>
      <c r="H98" s="958"/>
      <c r="I98" s="958"/>
      <c r="J98" s="958"/>
      <c r="K98" s="958"/>
      <c r="L98" s="958"/>
      <c r="M98" s="958"/>
      <c r="N98" s="958"/>
      <c r="O98" s="314"/>
      <c r="P98" s="314"/>
      <c r="Q98" s="314"/>
    </row>
    <row r="99" spans="1:18" x14ac:dyDescent="0.2">
      <c r="A99" s="958"/>
      <c r="B99" s="128"/>
      <c r="C99" s="129"/>
      <c r="D99" s="129"/>
      <c r="E99" s="129"/>
      <c r="F99" s="129"/>
      <c r="G99" s="129"/>
      <c r="H99" s="958"/>
      <c r="I99" s="958"/>
      <c r="J99" s="958"/>
      <c r="K99" s="958"/>
      <c r="L99" s="958"/>
      <c r="M99" s="958"/>
      <c r="N99" s="958"/>
      <c r="R99" s="958"/>
    </row>
    <row r="100" spans="1:18" s="2" customFormat="1" ht="30" customHeight="1" x14ac:dyDescent="0.2">
      <c r="A100" s="128" t="s">
        <v>112</v>
      </c>
      <c r="B100" s="1773"/>
      <c r="C100" s="128" t="s">
        <v>125</v>
      </c>
      <c r="D100" s="128" t="s">
        <v>134</v>
      </c>
      <c r="E100" s="128" t="s">
        <v>127</v>
      </c>
      <c r="F100" s="129"/>
      <c r="G100" s="129"/>
      <c r="H100" s="958"/>
      <c r="I100" s="958"/>
      <c r="J100" s="958"/>
      <c r="K100" s="958"/>
      <c r="L100" s="958"/>
      <c r="M100" s="958"/>
      <c r="N100" s="958"/>
      <c r="O100" s="314"/>
      <c r="P100" s="314"/>
      <c r="Q100" s="314"/>
    </row>
    <row r="101" spans="1:18" x14ac:dyDescent="0.2">
      <c r="A101" s="958"/>
      <c r="B101" s="128" t="s">
        <v>115</v>
      </c>
      <c r="C101" s="130">
        <f>+(+C11+C12+SUM(C14:C22)+SUM(C24:C26)+SUM(C28:C44))/(B11+B12+SUM(B28:B44)+SUM(B24:B26)+SUM(B14:B22))</f>
        <v>0.5828854953992002</v>
      </c>
      <c r="D101" s="130">
        <f>+SUM(G10:G44)/SUM(B10:B44)</f>
        <v>0.17664274579679837</v>
      </c>
      <c r="E101" s="130">
        <f>(SUM(E11:E13,E26:E27,E28:E32)+SUM(E14:E22)+SUM(E24)+SUM(E34:E44))/(SUM(B11:B13)+SUM(B14:B22)+SUM(B24)+SUM(B34:B44,B26:B27,B28:B32))</f>
        <v>2.6060245643401908E-4</v>
      </c>
      <c r="F101" s="130"/>
      <c r="G101" s="133">
        <f>+SUM(G49,G51:G53)</f>
        <v>232.22669990548945</v>
      </c>
      <c r="H101" s="958"/>
      <c r="I101" s="958"/>
      <c r="J101" s="958"/>
      <c r="K101" s="958"/>
      <c r="L101" s="958"/>
      <c r="M101" s="958"/>
      <c r="N101" s="958"/>
      <c r="R101" s="958"/>
    </row>
    <row r="102" spans="1:18" x14ac:dyDescent="0.2">
      <c r="A102" s="958"/>
      <c r="B102" s="128" t="s">
        <v>64</v>
      </c>
      <c r="C102" s="130">
        <f>+SUM(C46:C52)/SUM(B46:B52)</f>
        <v>0.4905418160358726</v>
      </c>
      <c r="D102" s="130">
        <f>+SUM(G46:G52)/SUM(B46:B52)</f>
        <v>0.15792533925517921</v>
      </c>
      <c r="E102" s="130">
        <f>+SUM(E46:E49,E52)/SUM(B46:B49,B52)</f>
        <v>1.7433909477835661E-2</v>
      </c>
      <c r="F102" s="130"/>
      <c r="G102" s="130"/>
      <c r="H102" s="958"/>
      <c r="I102" s="958"/>
      <c r="J102" s="958"/>
      <c r="K102" s="958"/>
      <c r="L102" s="958"/>
      <c r="M102" s="958"/>
      <c r="N102" s="958"/>
      <c r="R102" s="958"/>
    </row>
    <row r="103" spans="1:18" x14ac:dyDescent="0.2">
      <c r="A103" s="958"/>
      <c r="B103" s="128" t="s">
        <v>116</v>
      </c>
      <c r="C103" s="131">
        <v>0</v>
      </c>
      <c r="D103" s="132">
        <v>0</v>
      </c>
      <c r="E103" s="132">
        <f>+(E65+E67+E72+E83+E77)/(B83+B67+B65+B72+B77)</f>
        <v>-4.8911164864353013E-2</v>
      </c>
      <c r="F103" s="128"/>
      <c r="G103" s="128"/>
      <c r="H103" s="958"/>
      <c r="I103" s="958"/>
      <c r="J103"/>
      <c r="K103"/>
      <c r="L103"/>
      <c r="M103"/>
      <c r="N103"/>
      <c r="R103"/>
    </row>
    <row r="104" spans="1:18" ht="15" customHeight="1" x14ac:dyDescent="0.2">
      <c r="A104" s="958"/>
      <c r="B104" s="128"/>
      <c r="C104" s="128"/>
      <c r="D104" s="128"/>
      <c r="E104" s="128"/>
      <c r="F104" s="128"/>
      <c r="G104" s="128"/>
      <c r="H104" s="958"/>
      <c r="I104" s="958"/>
      <c r="J104"/>
      <c r="K104"/>
      <c r="L104"/>
      <c r="M104"/>
      <c r="N104"/>
      <c r="R104"/>
    </row>
    <row r="105" spans="1:18" x14ac:dyDescent="0.2">
      <c r="A105" s="958"/>
      <c r="B105" s="958"/>
      <c r="C105" s="958"/>
      <c r="D105" s="958"/>
      <c r="E105" s="958"/>
      <c r="F105" s="958"/>
      <c r="G105" s="958"/>
      <c r="H105" s="958"/>
      <c r="I105" s="958"/>
      <c r="J105"/>
      <c r="K105"/>
      <c r="L105"/>
      <c r="M105"/>
      <c r="N105"/>
      <c r="R105"/>
    </row>
    <row r="106" spans="1:18" x14ac:dyDescent="0.2">
      <c r="A106" s="958"/>
      <c r="B106" s="958"/>
      <c r="C106" s="958"/>
      <c r="D106" s="958"/>
      <c r="E106" s="958"/>
      <c r="F106" s="958"/>
      <c r="G106" s="958"/>
      <c r="H106" s="958"/>
      <c r="I106" s="958"/>
      <c r="J106"/>
      <c r="K106"/>
      <c r="L106"/>
      <c r="M106"/>
      <c r="N106"/>
      <c r="R106"/>
    </row>
    <row r="107" spans="1:18" x14ac:dyDescent="0.2">
      <c r="A107" s="958"/>
      <c r="B107" s="958"/>
      <c r="C107" s="958"/>
      <c r="D107" s="958"/>
      <c r="E107" s="958"/>
      <c r="F107" s="958"/>
      <c r="G107" s="958"/>
      <c r="H107" s="958"/>
      <c r="I107" s="958"/>
      <c r="J107"/>
      <c r="K107"/>
      <c r="L107"/>
      <c r="M107"/>
      <c r="N107"/>
      <c r="R107"/>
    </row>
    <row r="108" spans="1:18" x14ac:dyDescent="0.2">
      <c r="A108" s="958"/>
      <c r="B108" s="958"/>
      <c r="C108" s="958"/>
      <c r="D108" s="958"/>
      <c r="E108" s="958"/>
      <c r="F108" s="958"/>
      <c r="G108" s="958"/>
      <c r="H108" s="958"/>
      <c r="I108" s="958"/>
      <c r="J108"/>
      <c r="K108"/>
      <c r="L108"/>
      <c r="M108"/>
      <c r="N108"/>
      <c r="R108"/>
    </row>
  </sheetData>
  <mergeCells count="12">
    <mergeCell ref="A94:L94"/>
    <mergeCell ref="A3:L3"/>
    <mergeCell ref="L6:L8"/>
    <mergeCell ref="B7:B8"/>
    <mergeCell ref="C7:C8"/>
    <mergeCell ref="D7:D8"/>
    <mergeCell ref="B6:G6"/>
    <mergeCell ref="G7:G8"/>
    <mergeCell ref="H6:H8"/>
    <mergeCell ref="I6:I8"/>
    <mergeCell ref="J6:J8"/>
    <mergeCell ref="K6:K8"/>
  </mergeCells>
  <phoneticPr fontId="36" type="noConversion"/>
  <pageMargins left="0.7" right="0.7" top="0.75" bottom="0.75" header="0.3" footer="0.3"/>
  <pageSetup scale="42" fitToHeight="0" orientation="portrait" horizontalDpi="4294967292" verticalDpi="4294967292"/>
  <ignoredErrors>
    <ignoredError sqref="C59 C74" formula="1"/>
  </ignoredError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F18"/>
  <sheetViews>
    <sheetView topLeftCell="B1" workbookViewId="0">
      <selection activeCell="I18" sqref="I18"/>
    </sheetView>
  </sheetViews>
  <sheetFormatPr baseColWidth="10" defaultColWidth="8.83203125" defaultRowHeight="16" x14ac:dyDescent="0.2"/>
  <cols>
    <col min="1" max="1" width="0" hidden="1" customWidth="1"/>
    <col min="2" max="2" width="13.1640625" customWidth="1"/>
    <col min="3" max="6" width="21.1640625" customWidth="1"/>
  </cols>
  <sheetData>
    <row r="1" spans="2:6" ht="17" thickBot="1" x14ac:dyDescent="0.25"/>
    <row r="2" spans="2:6" ht="37" customHeight="1" thickTop="1" x14ac:dyDescent="0.2">
      <c r="B2" s="2247" t="s">
        <v>609</v>
      </c>
      <c r="C2" s="2248"/>
      <c r="D2" s="2248"/>
      <c r="E2" s="2248"/>
      <c r="F2" s="2249"/>
    </row>
    <row r="3" spans="2:6" ht="12" customHeight="1" x14ac:dyDescent="0.2">
      <c r="B3" s="683"/>
      <c r="C3" s="1031"/>
      <c r="D3" s="1031"/>
      <c r="E3" s="1031"/>
      <c r="F3" s="1079"/>
    </row>
    <row r="4" spans="2:6" ht="17" thickBot="1" x14ac:dyDescent="0.25">
      <c r="B4" s="683"/>
      <c r="C4" s="160" t="s">
        <v>1</v>
      </c>
      <c r="D4" s="160" t="s">
        <v>2</v>
      </c>
      <c r="E4" s="160" t="s">
        <v>3</v>
      </c>
      <c r="F4" s="377" t="s">
        <v>4</v>
      </c>
    </row>
    <row r="5" spans="2:6" ht="19" customHeight="1" x14ac:dyDescent="0.2">
      <c r="B5" s="1442"/>
      <c r="C5" s="2254" t="s">
        <v>610</v>
      </c>
      <c r="D5" s="2255"/>
      <c r="E5" s="2255"/>
      <c r="F5" s="1443" t="s">
        <v>611</v>
      </c>
    </row>
    <row r="6" spans="2:6" ht="25" customHeight="1" x14ac:dyDescent="0.2">
      <c r="B6" s="1870"/>
      <c r="C6" s="1444" t="s">
        <v>612</v>
      </c>
      <c r="D6" s="1445" t="s">
        <v>613</v>
      </c>
      <c r="E6" s="1445" t="s">
        <v>614</v>
      </c>
      <c r="F6" s="1446" t="s">
        <v>614</v>
      </c>
    </row>
    <row r="7" spans="2:6" ht="17.25" customHeight="1" x14ac:dyDescent="0.2">
      <c r="B7" s="1442" t="s">
        <v>615</v>
      </c>
      <c r="C7" s="1447">
        <f>+'Disc. 2'!C10</f>
        <v>567016.80000000005</v>
      </c>
      <c r="D7" s="1448">
        <f>+C7-E7</f>
        <v>542422.70000000007</v>
      </c>
      <c r="E7" s="1449">
        <f>-'Disc. 2'!D10</f>
        <v>24594.10000000002</v>
      </c>
      <c r="F7" s="1450">
        <f>E7/'Disc. 2'!C10</f>
        <v>4.3374552570576423E-2</v>
      </c>
    </row>
    <row r="8" spans="2:6" ht="17.25" customHeight="1" x14ac:dyDescent="0.2">
      <c r="B8" s="1442" t="s">
        <v>616</v>
      </c>
      <c r="C8" s="1447">
        <f>SUM(C9:C14)</f>
        <v>222461.6</v>
      </c>
      <c r="D8" s="1448">
        <f>SUM(D9:D14)</f>
        <v>153404</v>
      </c>
      <c r="E8" s="1449">
        <f>SUM(E9:E14)</f>
        <v>69057.599999999991</v>
      </c>
      <c r="F8" s="1450">
        <f>E8/'Disc. 2'!C8</f>
        <v>0.31506593072688494</v>
      </c>
    </row>
    <row r="9" spans="2:6" ht="17.25" customHeight="1" x14ac:dyDescent="0.2">
      <c r="B9" s="1442" t="s">
        <v>49</v>
      </c>
      <c r="C9" s="1447">
        <f>+'Disc. 1'!T100</f>
        <v>51719</v>
      </c>
      <c r="D9" s="1448">
        <f>+C9-E9</f>
        <v>23951.200000000001</v>
      </c>
      <c r="E9" s="1449">
        <f>-TableB12a!C18</f>
        <v>27767.8</v>
      </c>
      <c r="F9" s="1450">
        <f>-TableB12a!D18</f>
        <v>0.53689746514820469</v>
      </c>
    </row>
    <row r="10" spans="2:6" ht="17.25" customHeight="1" x14ac:dyDescent="0.2">
      <c r="B10" s="1442" t="s">
        <v>43</v>
      </c>
      <c r="C10" s="1447">
        <f>+'Disc. 1'!P100</f>
        <v>57685</v>
      </c>
      <c r="D10" s="1448">
        <f t="shared" ref="D10:D14" si="0">+C10-E10</f>
        <v>37727.1</v>
      </c>
      <c r="E10" s="1449">
        <f>-TableB12a!C19</f>
        <v>19957.900000000001</v>
      </c>
      <c r="F10" s="1450">
        <f>-TableB12a!D19</f>
        <v>0.34598075756262464</v>
      </c>
    </row>
    <row r="11" spans="2:6" ht="17.25" customHeight="1" x14ac:dyDescent="0.2">
      <c r="B11" s="1442" t="s">
        <v>31</v>
      </c>
      <c r="C11" s="1447">
        <f>+'Disc. 1'!D100</f>
        <v>47520</v>
      </c>
      <c r="D11" s="1448">
        <f t="shared" si="0"/>
        <v>33035.199999999997</v>
      </c>
      <c r="E11" s="1449">
        <f>-TableB12a!C20</f>
        <v>14484.8</v>
      </c>
      <c r="F11" s="1450">
        <f>-TableB12a!D20</f>
        <v>0.30481481481481482</v>
      </c>
    </row>
    <row r="12" spans="2:6" ht="17.25" customHeight="1" x14ac:dyDescent="0.2">
      <c r="B12" s="1442" t="s">
        <v>51</v>
      </c>
      <c r="C12" s="1447">
        <f>+'Disc. 1'!V100</f>
        <v>58026.6</v>
      </c>
      <c r="D12" s="1448">
        <f t="shared" si="0"/>
        <v>51253.4</v>
      </c>
      <c r="E12" s="1449">
        <f>-TableB12a!C21</f>
        <v>6773.2</v>
      </c>
      <c r="F12" s="1450">
        <f>-TableB12a!D21</f>
        <v>0.11672577748825538</v>
      </c>
    </row>
    <row r="13" spans="2:6" ht="17.25" customHeight="1" x14ac:dyDescent="0.2">
      <c r="B13" s="1442" t="s">
        <v>96</v>
      </c>
      <c r="C13" s="1447">
        <f>+'Disc. 1'!G100</f>
        <v>4234</v>
      </c>
      <c r="D13" s="1448">
        <f t="shared" si="0"/>
        <v>4087.6</v>
      </c>
      <c r="E13" s="1449">
        <f>-'Disc. 1'!U36</f>
        <v>146.39999999999998</v>
      </c>
      <c r="F13" s="1450">
        <f>-'Disc. 1'!U36/'Disc. 1'!U100</f>
        <v>4.4675007628928891E-2</v>
      </c>
    </row>
    <row r="14" spans="2:6" ht="17.25" customHeight="1" thickBot="1" x14ac:dyDescent="0.25">
      <c r="B14" s="1451" t="s">
        <v>86</v>
      </c>
      <c r="C14" s="1452">
        <f>+'Disc. 1'!U100</f>
        <v>3277</v>
      </c>
      <c r="D14" s="1453">
        <f t="shared" si="0"/>
        <v>3349.5</v>
      </c>
      <c r="E14" s="1454">
        <f>-'Disc. 1'!G36</f>
        <v>-72.5</v>
      </c>
      <c r="F14" s="1455">
        <f>-'Disc. 1'!G36/'Disc. 1'!G100</f>
        <v>-1.7123287671232876E-2</v>
      </c>
    </row>
    <row r="15" spans="2:6" ht="17" thickTop="1" x14ac:dyDescent="0.2">
      <c r="B15" s="573"/>
      <c r="C15" s="595"/>
      <c r="D15" s="595"/>
      <c r="E15" s="593"/>
      <c r="F15" s="682"/>
    </row>
    <row r="16" spans="2:6" ht="17" thickBot="1" x14ac:dyDescent="0.25"/>
    <row r="17" spans="2:6" x14ac:dyDescent="0.2">
      <c r="B17" s="2256" t="s">
        <v>617</v>
      </c>
      <c r="C17" s="2257"/>
      <c r="D17" s="2257"/>
      <c r="E17" s="2257"/>
      <c r="F17" s="2258"/>
    </row>
    <row r="18" spans="2:6" ht="17" thickBot="1" x14ac:dyDescent="0.25">
      <c r="B18" s="2259"/>
      <c r="C18" s="2260"/>
      <c r="D18" s="2260"/>
      <c r="E18" s="2260"/>
      <c r="F18" s="2261"/>
    </row>
  </sheetData>
  <mergeCells count="3">
    <mergeCell ref="B2:F2"/>
    <mergeCell ref="C5:E5"/>
    <mergeCell ref="B17:F18"/>
  </mergeCells>
  <pageMargins left="0.7" right="0.7" top="0.75" bottom="0.75" header="0.3" footer="0.3"/>
  <pageSetup paperSize="9" scale="90"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J101"/>
  <sheetViews>
    <sheetView zoomScale="69" workbookViewId="0">
      <pane xSplit="3" ySplit="7" topLeftCell="D44" activePane="bottomRight" state="frozen"/>
      <selection pane="topRight" activeCell="AR8" sqref="AR8"/>
      <selection pane="bottomLeft" activeCell="AR8" sqref="AR8"/>
      <selection pane="bottomRight" activeCell="G93" sqref="G93"/>
    </sheetView>
  </sheetViews>
  <sheetFormatPr baseColWidth="10" defaultColWidth="10.83203125" defaultRowHeight="16" x14ac:dyDescent="0.2"/>
  <cols>
    <col min="1" max="1" width="0" style="1" hidden="1" customWidth="1"/>
    <col min="2" max="2" width="10.83203125" style="1" hidden="1" customWidth="1"/>
    <col min="3" max="3" width="19" style="1" customWidth="1"/>
    <col min="4" max="4" width="10.83203125" style="1" customWidth="1"/>
    <col min="5" max="5" width="10.83203125" style="328" customWidth="1"/>
    <col min="6" max="25" width="10.83203125" style="1" customWidth="1"/>
    <col min="26" max="28" width="10.83203125" style="1"/>
    <col min="29" max="29" width="15" style="1" customWidth="1"/>
    <col min="30" max="34" width="10.83203125" style="1"/>
    <col min="35" max="35" width="12.83203125" style="1" bestFit="1" customWidth="1"/>
    <col min="36" max="16384" width="10.83203125" style="1"/>
  </cols>
  <sheetData>
    <row r="1" spans="3:36" ht="17" thickBot="1" x14ac:dyDescent="0.25">
      <c r="C1" s="958"/>
      <c r="D1" s="958"/>
      <c r="E1" s="1456"/>
      <c r="F1" s="958"/>
      <c r="G1" s="958"/>
      <c r="H1" s="958"/>
      <c r="I1" s="958"/>
      <c r="J1" s="958"/>
      <c r="K1" s="958"/>
      <c r="L1" s="958"/>
      <c r="M1" s="958"/>
      <c r="N1" s="1115"/>
      <c r="O1" s="1115"/>
      <c r="P1" s="958"/>
      <c r="Q1" s="958"/>
      <c r="R1" s="958"/>
      <c r="S1" s="958"/>
      <c r="T1" s="958"/>
      <c r="U1" s="958"/>
      <c r="V1" s="958"/>
      <c r="W1" s="958"/>
      <c r="X1" s="958"/>
      <c r="Y1" s="1115"/>
      <c r="Z1" s="958"/>
      <c r="AA1" s="958"/>
      <c r="AB1" s="958"/>
      <c r="AC1" s="958"/>
      <c r="AD1" s="958"/>
      <c r="AE1" s="958"/>
      <c r="AF1" s="958"/>
      <c r="AG1" s="958"/>
      <c r="AH1" s="958"/>
      <c r="AI1" s="958"/>
      <c r="AJ1" s="958"/>
    </row>
    <row r="2" spans="3:36" ht="17" hidden="1" thickBot="1" x14ac:dyDescent="0.25">
      <c r="C2" s="958"/>
      <c r="D2" s="958"/>
      <c r="E2" s="1456"/>
      <c r="F2" s="958">
        <v>2</v>
      </c>
      <c r="G2" s="958">
        <v>3</v>
      </c>
      <c r="H2" s="958">
        <v>4</v>
      </c>
      <c r="I2" s="958">
        <v>5</v>
      </c>
      <c r="J2" s="958">
        <v>6</v>
      </c>
      <c r="K2" s="958">
        <v>7</v>
      </c>
      <c r="L2" s="958"/>
      <c r="M2" s="958"/>
      <c r="N2" s="958"/>
      <c r="O2" s="958"/>
      <c r="P2" s="958"/>
      <c r="Q2" s="958">
        <v>2</v>
      </c>
      <c r="R2" s="958">
        <v>3</v>
      </c>
      <c r="S2" s="958">
        <v>4</v>
      </c>
      <c r="T2" s="958">
        <v>5</v>
      </c>
      <c r="U2" s="958">
        <v>6</v>
      </c>
      <c r="V2" s="958">
        <v>7</v>
      </c>
      <c r="W2" s="958"/>
      <c r="X2" s="958"/>
      <c r="Y2" s="958"/>
      <c r="Z2" s="958"/>
      <c r="AA2" s="958"/>
      <c r="AB2" s="958"/>
      <c r="AC2" s="958"/>
      <c r="AD2" s="958"/>
      <c r="AE2" s="958"/>
      <c r="AF2" s="958"/>
      <c r="AG2" s="958"/>
      <c r="AH2" s="958"/>
      <c r="AI2" s="958"/>
      <c r="AJ2" s="958"/>
    </row>
    <row r="3" spans="3:36" ht="32.25" customHeight="1" thickTop="1" x14ac:dyDescent="0.2">
      <c r="C3" s="1934" t="s">
        <v>618</v>
      </c>
      <c r="D3" s="1935"/>
      <c r="E3" s="1935"/>
      <c r="F3" s="1935"/>
      <c r="G3" s="1935"/>
      <c r="H3" s="1935"/>
      <c r="I3" s="1935"/>
      <c r="J3" s="1935"/>
      <c r="K3" s="1935"/>
      <c r="L3" s="1935"/>
      <c r="M3" s="1935"/>
      <c r="N3" s="1935"/>
      <c r="O3" s="1935"/>
      <c r="P3" s="1935"/>
      <c r="Q3" s="1935"/>
      <c r="R3" s="1935"/>
      <c r="S3" s="1935"/>
      <c r="T3" s="1935"/>
      <c r="U3" s="1935"/>
      <c r="V3" s="1935"/>
      <c r="W3" s="1935"/>
      <c r="X3" s="1935"/>
      <c r="Y3" s="1936"/>
      <c r="Z3" s="958"/>
      <c r="AA3" s="958"/>
      <c r="AB3" s="958"/>
      <c r="AC3" s="958"/>
      <c r="AD3" s="958"/>
      <c r="AE3" s="958"/>
      <c r="AF3" s="958"/>
      <c r="AG3" s="958"/>
      <c r="AH3" s="958"/>
      <c r="AI3" s="958"/>
      <c r="AJ3" s="958"/>
    </row>
    <row r="4" spans="3:36" ht="20" x14ac:dyDescent="0.2">
      <c r="C4" s="4"/>
      <c r="D4" s="160" t="s">
        <v>1</v>
      </c>
      <c r="E4" s="160" t="s">
        <v>2</v>
      </c>
      <c r="F4" s="160" t="s">
        <v>3</v>
      </c>
      <c r="G4" s="160" t="s">
        <v>4</v>
      </c>
      <c r="H4" s="160" t="s">
        <v>5</v>
      </c>
      <c r="I4" s="160" t="s">
        <v>6</v>
      </c>
      <c r="J4" s="160" t="s">
        <v>7</v>
      </c>
      <c r="K4" s="160" t="s">
        <v>8</v>
      </c>
      <c r="L4" s="160" t="s">
        <v>9</v>
      </c>
      <c r="M4" s="160" t="s">
        <v>10</v>
      </c>
      <c r="N4" s="160" t="s">
        <v>11</v>
      </c>
      <c r="O4" s="160" t="s">
        <v>12</v>
      </c>
      <c r="P4" s="160" t="s">
        <v>13</v>
      </c>
      <c r="Q4" s="160" t="s">
        <v>177</v>
      </c>
      <c r="R4" s="160" t="s">
        <v>178</v>
      </c>
      <c r="S4" s="160" t="s">
        <v>179</v>
      </c>
      <c r="T4" s="160" t="s">
        <v>619</v>
      </c>
      <c r="U4" s="160" t="s">
        <v>620</v>
      </c>
      <c r="V4" s="160" t="s">
        <v>621</v>
      </c>
      <c r="W4" s="160" t="s">
        <v>622</v>
      </c>
      <c r="X4" s="160" t="s">
        <v>623</v>
      </c>
      <c r="Y4" s="6" t="s">
        <v>624</v>
      </c>
      <c r="Z4" s="958"/>
      <c r="AA4" s="958"/>
      <c r="AB4" s="958"/>
      <c r="AC4" s="958"/>
      <c r="AD4" s="958"/>
      <c r="AE4" s="958"/>
      <c r="AF4" s="958"/>
      <c r="AG4" s="958"/>
      <c r="AH4" s="958"/>
      <c r="AI4" s="958"/>
      <c r="AJ4" s="958"/>
    </row>
    <row r="5" spans="3:36" ht="21" customHeight="1" x14ac:dyDescent="0.2">
      <c r="C5" s="1154"/>
      <c r="D5" s="2098" t="s">
        <v>625</v>
      </c>
      <c r="E5" s="2099"/>
      <c r="F5" s="2099"/>
      <c r="G5" s="2099"/>
      <c r="H5" s="2099"/>
      <c r="I5" s="2099"/>
      <c r="J5" s="2099"/>
      <c r="K5" s="2099"/>
      <c r="L5" s="2099"/>
      <c r="M5" s="2099"/>
      <c r="N5" s="2100"/>
      <c r="O5" s="2099" t="s">
        <v>626</v>
      </c>
      <c r="P5" s="2099"/>
      <c r="Q5" s="2099"/>
      <c r="R5" s="2099"/>
      <c r="S5" s="2099"/>
      <c r="T5" s="2099"/>
      <c r="U5" s="2099"/>
      <c r="V5" s="2099"/>
      <c r="W5" s="2099"/>
      <c r="X5" s="2099"/>
      <c r="Y5" s="2175"/>
      <c r="Z5" s="958"/>
      <c r="AA5" s="958"/>
      <c r="AB5" s="958"/>
      <c r="AC5" s="958"/>
      <c r="AD5" s="958"/>
      <c r="AE5" s="958"/>
      <c r="AF5" s="958"/>
      <c r="AG5" s="958"/>
      <c r="AH5" s="958"/>
      <c r="AI5" s="958"/>
      <c r="AJ5" s="958"/>
    </row>
    <row r="6" spans="3:36" ht="73.5" customHeight="1" x14ac:dyDescent="0.2">
      <c r="C6" s="1154"/>
      <c r="D6" s="2020" t="s">
        <v>627</v>
      </c>
      <c r="E6" s="2020" t="s">
        <v>628</v>
      </c>
      <c r="F6" s="1826" t="s">
        <v>31</v>
      </c>
      <c r="G6" s="1826" t="s">
        <v>86</v>
      </c>
      <c r="H6" s="1826" t="s">
        <v>43</v>
      </c>
      <c r="I6" s="1828" t="s">
        <v>49</v>
      </c>
      <c r="J6" s="1826" t="s">
        <v>96</v>
      </c>
      <c r="K6" s="1828" t="s">
        <v>51</v>
      </c>
      <c r="L6" s="2020" t="s">
        <v>629</v>
      </c>
      <c r="M6" s="1828" t="s">
        <v>60</v>
      </c>
      <c r="N6" s="1843" t="s">
        <v>630</v>
      </c>
      <c r="O6" s="2020" t="s">
        <v>627</v>
      </c>
      <c r="P6" s="2020" t="s">
        <v>628</v>
      </c>
      <c r="Q6" s="1826" t="s">
        <v>31</v>
      </c>
      <c r="R6" s="1826" t="s">
        <v>86</v>
      </c>
      <c r="S6" s="1826" t="s">
        <v>43</v>
      </c>
      <c r="T6" s="1828" t="s">
        <v>49</v>
      </c>
      <c r="U6" s="1826" t="s">
        <v>96</v>
      </c>
      <c r="V6" s="1828" t="s">
        <v>51</v>
      </c>
      <c r="W6" s="2019" t="s">
        <v>629</v>
      </c>
      <c r="X6" s="1828" t="s">
        <v>60</v>
      </c>
      <c r="Y6" s="1837" t="s">
        <v>630</v>
      </c>
      <c r="Z6" s="173"/>
      <c r="AA6" s="2263" t="s">
        <v>631</v>
      </c>
      <c r="AB6" s="2263"/>
      <c r="AC6" s="2263"/>
      <c r="AD6" s="2263"/>
      <c r="AE6" s="2263"/>
      <c r="AF6" s="2263"/>
      <c r="AG6" s="2263"/>
      <c r="AH6" s="2263"/>
      <c r="AI6" s="2263"/>
      <c r="AJ6" s="2263"/>
    </row>
    <row r="7" spans="3:36" ht="16.5" customHeight="1" x14ac:dyDescent="0.2">
      <c r="C7" s="1154"/>
      <c r="D7" s="2020"/>
      <c r="E7" s="2020"/>
      <c r="F7" s="1826"/>
      <c r="G7" s="1826"/>
      <c r="H7" s="1826"/>
      <c r="I7" s="1826"/>
      <c r="J7" s="1826"/>
      <c r="K7" s="1826"/>
      <c r="L7" s="2050"/>
      <c r="M7" s="1826"/>
      <c r="N7" s="1843"/>
      <c r="O7" s="2020"/>
      <c r="P7" s="2020"/>
      <c r="Q7" s="1826"/>
      <c r="R7" s="1826"/>
      <c r="S7" s="1826"/>
      <c r="T7" s="1826"/>
      <c r="U7" s="1826"/>
      <c r="V7" s="1826"/>
      <c r="W7" s="2050"/>
      <c r="X7" s="1826"/>
      <c r="Y7" s="1837"/>
      <c r="Z7" s="173"/>
      <c r="AA7" s="958"/>
      <c r="AB7" s="958"/>
      <c r="AC7" s="958"/>
      <c r="AD7" s="958"/>
      <c r="AE7" s="958"/>
      <c r="AF7" s="958"/>
      <c r="AG7" s="958"/>
      <c r="AH7" s="958"/>
      <c r="AI7" s="958"/>
      <c r="AJ7" s="958"/>
    </row>
    <row r="8" spans="3:36" ht="40" customHeight="1" x14ac:dyDescent="0.2">
      <c r="C8" s="8" t="s">
        <v>28</v>
      </c>
      <c r="D8" s="264">
        <f>+E8+L8</f>
        <v>83693.776530170406</v>
      </c>
      <c r="E8" s="264">
        <f>SUMIF(E9:E43,"&gt;-999999999")-(E11+E23+E29+E31+E40)</f>
        <v>65679.204649272186</v>
      </c>
      <c r="F8" s="258">
        <f t="shared" ref="F8:K8" si="0">SUMIF(F9:F43,"&gt;-999999999")-(F11+F23+F29+F31+F40)</f>
        <v>7015.510104471201</v>
      </c>
      <c r="G8" s="258">
        <f t="shared" si="0"/>
        <v>282.23899490426965</v>
      </c>
      <c r="H8" s="258">
        <f t="shared" si="0"/>
        <v>2568.8956883965775</v>
      </c>
      <c r="I8" s="258">
        <f t="shared" si="0"/>
        <v>25696.238636535363</v>
      </c>
      <c r="J8" s="258">
        <f t="shared" si="0"/>
        <v>217.0985790002191</v>
      </c>
      <c r="K8" s="258">
        <f t="shared" si="0"/>
        <v>29899.222645964561</v>
      </c>
      <c r="L8" s="264">
        <f>SUMIF(L9:L43,"&gt;-999999999")-(L11+L23+L29+L31)</f>
        <v>18014.571880898227</v>
      </c>
      <c r="M8" s="258">
        <f>SUMIF(M9:M43,"&gt;-999999999")-(M11+M23+M29+M31)</f>
        <v>4165.7323652371379</v>
      </c>
      <c r="N8" s="259">
        <f>SUMIF(N9:N43,"&gt;-999999999")-(N11+N23+N29+N31)</f>
        <v>13848.839515661095</v>
      </c>
      <c r="O8" s="264">
        <f>+P8+W8</f>
        <v>448814.081244973</v>
      </c>
      <c r="P8" s="264">
        <f>SUMIF(P9:P43,"&gt;-999999999")-(P11+P23+P29+P31)-P40</f>
        <v>225242.21225594476</v>
      </c>
      <c r="Q8" s="258">
        <f t="shared" ref="Q8:V8" si="1">SUMIF(Q9:Q43,"&gt;-999999999")-(Q11+Q23+Q29+Q31)-Q40</f>
        <v>39238.274089301536</v>
      </c>
      <c r="R8" s="258">
        <f t="shared" si="1"/>
        <v>1316.3210430899758</v>
      </c>
      <c r="S8" s="258">
        <f t="shared" si="1"/>
        <v>69281.817454401942</v>
      </c>
      <c r="T8" s="258">
        <f t="shared" si="1"/>
        <v>57187.256812274674</v>
      </c>
      <c r="U8" s="258">
        <f t="shared" si="1"/>
        <v>1093.2623119709401</v>
      </c>
      <c r="V8" s="258">
        <f t="shared" si="1"/>
        <v>57125.280544905785</v>
      </c>
      <c r="W8" s="264">
        <f>SUMIF(W9:W43,"&gt;-999999999")-(W11+W23+W29+W31)</f>
        <v>223571.86898902821</v>
      </c>
      <c r="X8" s="258">
        <f>SUMIF(X9:X43,"&gt;-999999999")-(X11+X23+X29+X31)</f>
        <v>51881.273516048612</v>
      </c>
      <c r="Y8" s="621">
        <f>SUMIF(Y9:Y43,"&gt;-999999999")-(Y11+Y23+Y29+Y31)</f>
        <v>171690.59547297953</v>
      </c>
      <c r="Z8" s="173"/>
      <c r="AA8" s="1081"/>
      <c r="AB8" s="2262" t="s">
        <v>632</v>
      </c>
      <c r="AC8" s="2262"/>
      <c r="AD8" s="2262" t="s">
        <v>633</v>
      </c>
      <c r="AE8" s="2262"/>
      <c r="AF8" s="1457"/>
      <c r="AG8" s="2262" t="s">
        <v>634</v>
      </c>
      <c r="AH8" s="2262"/>
      <c r="AI8" s="2262" t="s">
        <v>635</v>
      </c>
      <c r="AJ8" s="2262"/>
    </row>
    <row r="9" spans="3:36" x14ac:dyDescent="0.2">
      <c r="C9" s="1155" t="s">
        <v>29</v>
      </c>
      <c r="D9" s="1458">
        <f>+E9+L9</f>
        <v>1540.2224395651967</v>
      </c>
      <c r="E9" s="1458">
        <f>SUM(F9:K9)</f>
        <v>875.71909114199502</v>
      </c>
      <c r="F9" s="1459">
        <v>71.091177485058097</v>
      </c>
      <c r="G9" s="1459">
        <v>0</v>
      </c>
      <c r="H9" s="1459">
        <v>0</v>
      </c>
      <c r="I9" s="1459">
        <v>371.31554168482768</v>
      </c>
      <c r="J9" s="1459">
        <v>5.2126136377499703</v>
      </c>
      <c r="K9" s="1459">
        <v>428.09975833435925</v>
      </c>
      <c r="L9" s="1458">
        <f>SUM(M9:N9)</f>
        <v>664.50334842320171</v>
      </c>
      <c r="M9" s="1174">
        <v>113.43566356655384</v>
      </c>
      <c r="N9" s="1235">
        <v>551.06768485664793</v>
      </c>
      <c r="O9" s="1458">
        <f>+P9+W9</f>
        <v>15114.33158590892</v>
      </c>
      <c r="P9" s="1458">
        <f t="shared" ref="P9:P43" si="2">SUM(Q9:V9)</f>
        <v>4386.0262028105972</v>
      </c>
      <c r="Q9" s="1459">
        <v>433.97781201097092</v>
      </c>
      <c r="R9" s="1459">
        <v>2.2181334628723275</v>
      </c>
      <c r="S9" s="1459">
        <v>2141.6078584032325</v>
      </c>
      <c r="T9" s="1459">
        <v>317.19308519074286</v>
      </c>
      <c r="U9" s="1459">
        <v>6.2107736960425166</v>
      </c>
      <c r="V9" s="1459">
        <v>1484.818540046736</v>
      </c>
      <c r="W9" s="1458">
        <f>SUM(X9:Y9)</f>
        <v>10728.305383098323</v>
      </c>
      <c r="X9" s="1174">
        <v>1031.3882217121466</v>
      </c>
      <c r="Y9" s="1217">
        <v>9696.9171613861763</v>
      </c>
      <c r="Z9" s="173"/>
      <c r="AA9" s="1081">
        <f>+TableB2!L10/TableB2!$L$91</f>
        <v>1.2748824469055224E-2</v>
      </c>
      <c r="AB9" s="1145">
        <f>+AA9</f>
        <v>1.2748824469055224E-2</v>
      </c>
      <c r="AC9" s="1145">
        <f>+AB9/$AB$90</f>
        <v>3.0171292148778037E-2</v>
      </c>
      <c r="AD9" s="1145">
        <f>+AB9</f>
        <v>1.2748824469055224E-2</v>
      </c>
      <c r="AE9" s="1145">
        <f>+AD9/$AD$90</f>
        <v>4.9800062874892144E-2</v>
      </c>
      <c r="AF9" s="1145"/>
      <c r="AG9" s="1145"/>
      <c r="AH9" s="1145">
        <f t="shared" ref="AH9:AH72" si="3">+AG9/$AG$90</f>
        <v>0</v>
      </c>
      <c r="AI9" s="1145"/>
      <c r="AJ9" s="1145">
        <f t="shared" ref="AJ9:AJ21" si="4">+AI9/$AB$90</f>
        <v>0</v>
      </c>
    </row>
    <row r="10" spans="3:36" x14ac:dyDescent="0.2">
      <c r="C10" s="1155" t="s">
        <v>30</v>
      </c>
      <c r="D10" s="1458">
        <f t="shared" ref="D10:D51" si="5">+E10+L10</f>
        <v>438.19226559042829</v>
      </c>
      <c r="E10" s="1458">
        <f t="shared" ref="E10:E51" si="6">SUM(F10:K10)</f>
        <v>310.31687145583862</v>
      </c>
      <c r="F10" s="1459">
        <v>23.290401360159439</v>
      </c>
      <c r="G10" s="1459">
        <v>0</v>
      </c>
      <c r="H10" s="1459">
        <v>58.669630092973065</v>
      </c>
      <c r="I10" s="1459">
        <v>122.88459384312695</v>
      </c>
      <c r="J10" s="1459">
        <v>1.2199734045797803</v>
      </c>
      <c r="K10" s="1459">
        <v>104.2522727549994</v>
      </c>
      <c r="L10" s="1458">
        <f t="shared" ref="L10:L51" si="7">SUM(M10:N10)</f>
        <v>127.87539413458968</v>
      </c>
      <c r="M10" s="1174">
        <v>61.109576902132616</v>
      </c>
      <c r="N10" s="1235">
        <v>66.765817232457067</v>
      </c>
      <c r="O10" s="1458">
        <f t="shared" ref="O10:O51" si="8">+P10+W10</f>
        <v>3867.648412537334</v>
      </c>
      <c r="P10" s="1458">
        <f t="shared" si="2"/>
        <v>2266.1560523435137</v>
      </c>
      <c r="Q10" s="1459">
        <v>444.73575930590169</v>
      </c>
      <c r="R10" s="1459">
        <v>12.199734045797802</v>
      </c>
      <c r="S10" s="1459">
        <v>797.41897990260179</v>
      </c>
      <c r="T10" s="1459">
        <v>544.55176513515642</v>
      </c>
      <c r="U10" s="1459">
        <v>45.028109296308251</v>
      </c>
      <c r="V10" s="1459">
        <v>422.22170465774752</v>
      </c>
      <c r="W10" s="1458">
        <f t="shared" ref="W10:W51" si="9">SUM(X10:Y10)</f>
        <v>1601.4923601938203</v>
      </c>
      <c r="X10" s="1174">
        <v>1274.3176744201521</v>
      </c>
      <c r="Y10" s="1217">
        <v>327.17468577366833</v>
      </c>
      <c r="Z10" s="173"/>
      <c r="AA10" s="1081">
        <f>+TableB2!L11/TableB2!$L$91</f>
        <v>7.732296120374859E-3</v>
      </c>
      <c r="AB10" s="1145"/>
      <c r="AC10" s="1145">
        <f t="shared" ref="AC10:AC73" si="10">+AB10/$AB$90</f>
        <v>0</v>
      </c>
      <c r="AD10" s="1145">
        <f t="shared" ref="AD10:AD42" si="11">+AB10</f>
        <v>0</v>
      </c>
      <c r="AE10" s="1145">
        <f t="shared" ref="AE10:AE73" si="12">+AD10/$AD$90</f>
        <v>0</v>
      </c>
      <c r="AF10" s="1145"/>
      <c r="AG10" s="1145"/>
      <c r="AH10" s="1145">
        <f t="shared" si="3"/>
        <v>0</v>
      </c>
      <c r="AI10" s="1145"/>
      <c r="AJ10" s="1145">
        <f t="shared" si="4"/>
        <v>0</v>
      </c>
    </row>
    <row r="11" spans="3:36" x14ac:dyDescent="0.2">
      <c r="C11" s="1155" t="s">
        <v>31</v>
      </c>
      <c r="D11" s="1458">
        <f t="shared" si="5"/>
        <v>4416.6364445982344</v>
      </c>
      <c r="E11" s="1458">
        <f t="shared" si="6"/>
        <v>4324.3620925427458</v>
      </c>
      <c r="F11" s="1459">
        <v>0</v>
      </c>
      <c r="G11" s="1459">
        <v>0</v>
      </c>
      <c r="H11" s="1459">
        <v>170.68536996802561</v>
      </c>
      <c r="I11" s="1459">
        <v>2586.3436177091339</v>
      </c>
      <c r="J11" s="1459">
        <v>17.966881049265854</v>
      </c>
      <c r="K11" s="1459">
        <v>1549.3662238163208</v>
      </c>
      <c r="L11" s="1458">
        <f t="shared" si="7"/>
        <v>92.274352055488833</v>
      </c>
      <c r="M11" s="1174">
        <v>58.780536766116683</v>
      </c>
      <c r="N11" s="1235">
        <v>33.493815289372144</v>
      </c>
      <c r="O11" s="1458">
        <f t="shared" si="8"/>
        <v>14402.56238777631</v>
      </c>
      <c r="P11" s="1458">
        <f t="shared" si="2"/>
        <v>8827.2839288467148</v>
      </c>
      <c r="Q11" s="1459">
        <v>0</v>
      </c>
      <c r="R11" s="1459">
        <v>13.308800777233966</v>
      </c>
      <c r="S11" s="1459">
        <v>2127.8554309334236</v>
      </c>
      <c r="T11" s="1459">
        <v>4154.1203492672948</v>
      </c>
      <c r="U11" s="1459">
        <v>6.6544003886169829</v>
      </c>
      <c r="V11" s="1459">
        <v>2525.344947480145</v>
      </c>
      <c r="W11" s="1458">
        <f t="shared" si="9"/>
        <v>5575.2784589295952</v>
      </c>
      <c r="X11" s="1174">
        <v>4482.8477284649744</v>
      </c>
      <c r="Y11" s="1217">
        <v>1092.4307304646213</v>
      </c>
      <c r="Z11" s="173"/>
      <c r="AA11" s="1081">
        <f>+TableB2!L12/TableB2!$L$91</f>
        <v>2.307033494060028E-2</v>
      </c>
      <c r="AB11" s="1145"/>
      <c r="AC11" s="1145">
        <f t="shared" si="10"/>
        <v>0</v>
      </c>
      <c r="AD11" s="1145">
        <f t="shared" si="11"/>
        <v>0</v>
      </c>
      <c r="AE11" s="1145">
        <f t="shared" si="12"/>
        <v>0</v>
      </c>
      <c r="AF11" s="1145"/>
      <c r="AG11" s="1145"/>
      <c r="AH11" s="1145">
        <f t="shared" si="3"/>
        <v>0</v>
      </c>
      <c r="AI11" s="1145"/>
      <c r="AJ11" s="1145">
        <f t="shared" si="4"/>
        <v>0</v>
      </c>
    </row>
    <row r="12" spans="3:36" x14ac:dyDescent="0.2">
      <c r="C12" s="1155" t="s">
        <v>32</v>
      </c>
      <c r="D12" s="1458">
        <f t="shared" si="5"/>
        <v>2429.8624644859888</v>
      </c>
      <c r="E12" s="1458">
        <f t="shared" si="6"/>
        <v>1259.345273545764</v>
      </c>
      <c r="F12" s="1459">
        <v>157.48747586393526</v>
      </c>
      <c r="G12" s="1459">
        <v>0</v>
      </c>
      <c r="H12" s="1459">
        <v>57.116936668962438</v>
      </c>
      <c r="I12" s="1459">
        <v>564.84768632043824</v>
      </c>
      <c r="J12" s="1459">
        <v>5.2126136377499703</v>
      </c>
      <c r="K12" s="1459">
        <v>474.68056105467809</v>
      </c>
      <c r="L12" s="1458">
        <f t="shared" si="7"/>
        <v>1170.5171909402247</v>
      </c>
      <c r="M12" s="1174">
        <v>199.81598976955121</v>
      </c>
      <c r="N12" s="1235">
        <v>970.70120117067347</v>
      </c>
      <c r="O12" s="1458">
        <f t="shared" si="8"/>
        <v>21870.009758508928</v>
      </c>
      <c r="P12" s="1458">
        <f t="shared" si="2"/>
        <v>2972.1879335757753</v>
      </c>
      <c r="Q12" s="1459">
        <v>251.75814803600917</v>
      </c>
      <c r="R12" s="1459">
        <v>2.2181334628723275</v>
      </c>
      <c r="S12" s="1459">
        <v>641.92782415525153</v>
      </c>
      <c r="T12" s="1459">
        <v>613.31390248419859</v>
      </c>
      <c r="U12" s="1459">
        <v>7.9852804663403791</v>
      </c>
      <c r="V12" s="1459">
        <v>1454.9846449711033</v>
      </c>
      <c r="W12" s="1458">
        <f t="shared" si="9"/>
        <v>18897.821824933151</v>
      </c>
      <c r="X12" s="1174">
        <v>1816.7818821561007</v>
      </c>
      <c r="Y12" s="1217">
        <v>17081.03994277705</v>
      </c>
      <c r="Z12" s="173"/>
      <c r="AA12" s="1081">
        <f>+TableB2!L13/TableB2!$L$91</f>
        <v>2.2456949601109763E-2</v>
      </c>
      <c r="AB12" s="1145">
        <f>+AA12</f>
        <v>2.2456949601109763E-2</v>
      </c>
      <c r="AC12" s="1145">
        <f t="shared" si="10"/>
        <v>5.3146483334998697E-2</v>
      </c>
      <c r="AD12" s="1145">
        <f t="shared" si="11"/>
        <v>2.2456949601109763E-2</v>
      </c>
      <c r="AE12" s="1145">
        <f t="shared" si="12"/>
        <v>8.7722401765598104E-2</v>
      </c>
      <c r="AF12" s="1145"/>
      <c r="AG12" s="1145"/>
      <c r="AH12" s="1145">
        <f t="shared" si="3"/>
        <v>0</v>
      </c>
      <c r="AI12" s="1145"/>
      <c r="AJ12" s="1145">
        <f t="shared" si="4"/>
        <v>0</v>
      </c>
    </row>
    <row r="13" spans="3:36" x14ac:dyDescent="0.2">
      <c r="C13" s="1155" t="s">
        <v>33</v>
      </c>
      <c r="D13" s="1458">
        <f t="shared" si="5"/>
        <v>747.23762873329281</v>
      </c>
      <c r="E13" s="1458">
        <f t="shared" si="6"/>
        <v>433.64509199154008</v>
      </c>
      <c r="F13" s="1459">
        <v>18.965041107558402</v>
      </c>
      <c r="G13" s="1459">
        <v>0</v>
      </c>
      <c r="H13" s="1459">
        <v>0</v>
      </c>
      <c r="I13" s="1459">
        <v>124.32638059399397</v>
      </c>
      <c r="J13" s="1459">
        <v>1.9963201165850948</v>
      </c>
      <c r="K13" s="1459">
        <v>288.35735017340261</v>
      </c>
      <c r="L13" s="1458">
        <f t="shared" si="7"/>
        <v>313.59253674175272</v>
      </c>
      <c r="M13" s="1174">
        <v>53.532578246941441</v>
      </c>
      <c r="N13" s="1235">
        <v>260.05995849481127</v>
      </c>
      <c r="O13" s="1458">
        <f t="shared" si="8"/>
        <v>5828.9361495392905</v>
      </c>
      <c r="P13" s="1458">
        <f t="shared" si="2"/>
        <v>766.0323914029583</v>
      </c>
      <c r="Q13" s="1459">
        <v>57.338750015249673</v>
      </c>
      <c r="R13" s="1459">
        <v>0</v>
      </c>
      <c r="S13" s="1459">
        <v>286.13921671053026</v>
      </c>
      <c r="T13" s="1459">
        <v>164.14187625255224</v>
      </c>
      <c r="U13" s="1459">
        <v>38.26280223454765</v>
      </c>
      <c r="V13" s="1459">
        <v>220.1497461900785</v>
      </c>
      <c r="W13" s="1458">
        <f t="shared" si="9"/>
        <v>5062.9037581363318</v>
      </c>
      <c r="X13" s="1174">
        <v>486.73291049587181</v>
      </c>
      <c r="Y13" s="1217">
        <v>4576.1708476404601</v>
      </c>
      <c r="Z13" s="173"/>
      <c r="AA13" s="1081">
        <f>+TableB2!L14/TableB2!$L$91</f>
        <v>6.0164274795801243E-3</v>
      </c>
      <c r="AB13" s="1145">
        <f>+AA13</f>
        <v>6.0164274795801243E-3</v>
      </c>
      <c r="AC13" s="1145">
        <f t="shared" si="10"/>
        <v>1.4238441482895431E-2</v>
      </c>
      <c r="AD13" s="1145">
        <f t="shared" si="11"/>
        <v>6.0164274795801243E-3</v>
      </c>
      <c r="AE13" s="1145">
        <f t="shared" si="12"/>
        <v>2.3501654406849235E-2</v>
      </c>
      <c r="AF13" s="1145"/>
      <c r="AG13" s="1145"/>
      <c r="AH13" s="1145">
        <f t="shared" si="3"/>
        <v>0</v>
      </c>
      <c r="AI13" s="1145"/>
      <c r="AJ13" s="1145">
        <f t="shared" si="4"/>
        <v>0</v>
      </c>
    </row>
    <row r="14" spans="3:36" x14ac:dyDescent="0.2">
      <c r="C14" s="1155" t="s">
        <v>34</v>
      </c>
      <c r="D14" s="1458">
        <f t="shared" si="5"/>
        <v>177.78339704921706</v>
      </c>
      <c r="E14" s="1458">
        <f t="shared" si="6"/>
        <v>144.84411512556298</v>
      </c>
      <c r="F14" s="1459">
        <v>9.6488805634946235</v>
      </c>
      <c r="G14" s="1459">
        <v>2.4399468091595606</v>
      </c>
      <c r="H14" s="1459">
        <v>2.4399468091595606</v>
      </c>
      <c r="I14" s="1459">
        <v>71.534804177632566</v>
      </c>
      <c r="J14" s="1459">
        <v>1.1090667314361637</v>
      </c>
      <c r="K14" s="1459">
        <v>57.671470034680517</v>
      </c>
      <c r="L14" s="1458">
        <f t="shared" si="7"/>
        <v>32.939281923654065</v>
      </c>
      <c r="M14" s="1174">
        <v>32.162935211648751</v>
      </c>
      <c r="N14" s="1235">
        <v>0.77634671200531458</v>
      </c>
      <c r="O14" s="1458">
        <f t="shared" si="8"/>
        <v>2190.4067945864235</v>
      </c>
      <c r="P14" s="1458">
        <f t="shared" si="2"/>
        <v>1823.1947998079099</v>
      </c>
      <c r="Q14" s="1459">
        <v>393.71868965983816</v>
      </c>
      <c r="R14" s="1459">
        <v>21.40498791671796</v>
      </c>
      <c r="S14" s="1459">
        <v>299.44801748776422</v>
      </c>
      <c r="T14" s="1459">
        <v>297.89532406375361</v>
      </c>
      <c r="U14" s="1459">
        <v>5.434426984037203</v>
      </c>
      <c r="V14" s="1459">
        <v>805.2933536957986</v>
      </c>
      <c r="W14" s="1458">
        <f t="shared" si="9"/>
        <v>367.21199477851383</v>
      </c>
      <c r="X14" s="1174">
        <v>327.17468577366833</v>
      </c>
      <c r="Y14" s="1217">
        <v>40.037309004845511</v>
      </c>
      <c r="Z14" s="173"/>
      <c r="AA14" s="1081">
        <f>+TableB2!L15/TableB2!$L$91</f>
        <v>3.5917694478059007E-3</v>
      </c>
      <c r="AB14" s="1145"/>
      <c r="AC14" s="1145">
        <f t="shared" si="10"/>
        <v>0</v>
      </c>
      <c r="AD14" s="1145">
        <f t="shared" si="11"/>
        <v>0</v>
      </c>
      <c r="AE14" s="1145">
        <f t="shared" si="12"/>
        <v>0</v>
      </c>
      <c r="AF14" s="1145"/>
      <c r="AG14" s="1145"/>
      <c r="AH14" s="1145">
        <f t="shared" si="3"/>
        <v>0</v>
      </c>
      <c r="AI14" s="1145"/>
      <c r="AJ14" s="1145">
        <f t="shared" si="4"/>
        <v>0</v>
      </c>
    </row>
    <row r="15" spans="3:36" x14ac:dyDescent="0.2">
      <c r="C15" s="1155" t="s">
        <v>35</v>
      </c>
      <c r="D15" s="1458">
        <f t="shared" si="5"/>
        <v>307.4332979541046</v>
      </c>
      <c r="E15" s="1458">
        <f t="shared" si="6"/>
        <v>258.85617511720062</v>
      </c>
      <c r="F15" s="1459">
        <v>12.088827372654185</v>
      </c>
      <c r="G15" s="1459">
        <v>0</v>
      </c>
      <c r="H15" s="1459">
        <v>138.41152808323324</v>
      </c>
      <c r="I15" s="1459">
        <v>77.745577873675074</v>
      </c>
      <c r="J15" s="1459">
        <v>0.66544003886169822</v>
      </c>
      <c r="K15" s="1459">
        <v>29.944801748776424</v>
      </c>
      <c r="L15" s="1458">
        <f t="shared" si="7"/>
        <v>48.577122836903975</v>
      </c>
      <c r="M15" s="1174">
        <v>42.366349140861459</v>
      </c>
      <c r="N15" s="1235">
        <v>6.2107736960425166</v>
      </c>
      <c r="O15" s="1458">
        <f t="shared" si="8"/>
        <v>3383.8735042848789</v>
      </c>
      <c r="P15" s="1458">
        <f t="shared" si="2"/>
        <v>2705.4573846653775</v>
      </c>
      <c r="Q15" s="1459">
        <v>445.84482603733784</v>
      </c>
      <c r="R15" s="1459">
        <v>1.1090667314361637</v>
      </c>
      <c r="S15" s="1459">
        <v>1195.5739364881845</v>
      </c>
      <c r="T15" s="1459">
        <v>402.36941016504022</v>
      </c>
      <c r="U15" s="1459">
        <v>15.305120893819062</v>
      </c>
      <c r="V15" s="1459">
        <v>645.25502434956002</v>
      </c>
      <c r="W15" s="1458">
        <f t="shared" si="9"/>
        <v>678.41611961950139</v>
      </c>
      <c r="X15" s="1174">
        <v>373.42276847455634</v>
      </c>
      <c r="Y15" s="1217">
        <v>304.99335114494505</v>
      </c>
      <c r="Z15" s="173"/>
      <c r="AA15" s="1081">
        <f>+TableB2!L16/TableB2!$L$91</f>
        <v>3.2805903994461813E-3</v>
      </c>
      <c r="AB15" s="1145"/>
      <c r="AC15" s="1145">
        <f t="shared" si="10"/>
        <v>0</v>
      </c>
      <c r="AD15" s="1145">
        <f t="shared" si="11"/>
        <v>0</v>
      </c>
      <c r="AE15" s="1145">
        <f t="shared" si="12"/>
        <v>0</v>
      </c>
      <c r="AF15" s="1145"/>
      <c r="AG15" s="1145"/>
      <c r="AH15" s="1145">
        <f t="shared" si="3"/>
        <v>0</v>
      </c>
      <c r="AI15" s="1145"/>
      <c r="AJ15" s="1145">
        <f t="shared" si="4"/>
        <v>0</v>
      </c>
    </row>
    <row r="16" spans="3:36" x14ac:dyDescent="0.2">
      <c r="C16" s="1094" t="s">
        <v>36</v>
      </c>
      <c r="D16" s="1458">
        <f t="shared" si="5"/>
        <v>33.604721962515768</v>
      </c>
      <c r="E16" s="1458">
        <f t="shared" si="6"/>
        <v>26.173974861893466</v>
      </c>
      <c r="F16" s="1459">
        <v>0.99816005829254728</v>
      </c>
      <c r="G16" s="1459">
        <v>0</v>
      </c>
      <c r="H16" s="1459">
        <v>4.2144535794574232</v>
      </c>
      <c r="I16" s="1459">
        <v>7.5416537737659137</v>
      </c>
      <c r="J16" s="1459">
        <v>0.11090667314361638</v>
      </c>
      <c r="K16" s="1459">
        <v>13.308800777233966</v>
      </c>
      <c r="L16" s="1458">
        <f t="shared" si="7"/>
        <v>7.4307471006222983</v>
      </c>
      <c r="M16" s="1174">
        <v>3.7708268868829569</v>
      </c>
      <c r="N16" s="1235">
        <v>3.659920213739341</v>
      </c>
      <c r="O16" s="1458">
        <f t="shared" si="8"/>
        <v>253.08902811373258</v>
      </c>
      <c r="P16" s="1458">
        <f t="shared" si="2"/>
        <v>181.33241058981278</v>
      </c>
      <c r="Q16" s="1459">
        <v>43.25360252601039</v>
      </c>
      <c r="R16" s="1459">
        <v>1.5526934240106292</v>
      </c>
      <c r="S16" s="1459">
        <v>11.090667314361639</v>
      </c>
      <c r="T16" s="1459">
        <v>106.47040621787173</v>
      </c>
      <c r="U16" s="1459">
        <v>0.33272001943084911</v>
      </c>
      <c r="V16" s="1459">
        <v>18.632321088127554</v>
      </c>
      <c r="W16" s="1458">
        <f t="shared" si="9"/>
        <v>71.7566175239198</v>
      </c>
      <c r="X16" s="1174">
        <v>44.806295950021017</v>
      </c>
      <c r="Y16" s="1217">
        <v>26.95032157389878</v>
      </c>
      <c r="Z16" s="173"/>
      <c r="AA16" s="1081">
        <f>+TableB2!L17/TableB2!$L$91</f>
        <v>5.929502460818286E-4</v>
      </c>
      <c r="AB16" s="1145"/>
      <c r="AC16" s="1145">
        <f t="shared" si="10"/>
        <v>0</v>
      </c>
      <c r="AD16" s="1145">
        <f t="shared" si="11"/>
        <v>0</v>
      </c>
      <c r="AE16" s="1145">
        <f t="shared" si="12"/>
        <v>0</v>
      </c>
      <c r="AF16" s="1145"/>
      <c r="AG16" s="1145"/>
      <c r="AH16" s="1145">
        <f t="shared" si="3"/>
        <v>0</v>
      </c>
      <c r="AI16" s="1145"/>
      <c r="AJ16" s="1145">
        <f t="shared" si="4"/>
        <v>0</v>
      </c>
    </row>
    <row r="17" spans="1:36" x14ac:dyDescent="0.2">
      <c r="A17" s="958"/>
      <c r="B17" s="958"/>
      <c r="C17" s="1155" t="s">
        <v>37</v>
      </c>
      <c r="D17" s="1458">
        <f t="shared" si="5"/>
        <v>353.79228732813624</v>
      </c>
      <c r="E17" s="1458">
        <f t="shared" si="6"/>
        <v>251.97996138229644</v>
      </c>
      <c r="F17" s="1459">
        <v>10.757947294930789</v>
      </c>
      <c r="G17" s="1459">
        <v>0</v>
      </c>
      <c r="H17" s="1459">
        <v>41.700909101999756</v>
      </c>
      <c r="I17" s="1459">
        <v>87.394458437169718</v>
      </c>
      <c r="J17" s="1459">
        <v>1.2199734045797803</v>
      </c>
      <c r="K17" s="1459">
        <v>110.90667314361637</v>
      </c>
      <c r="L17" s="1458">
        <f t="shared" si="7"/>
        <v>101.81232594583983</v>
      </c>
      <c r="M17" s="1174">
        <v>75.083817718228289</v>
      </c>
      <c r="N17" s="1235">
        <v>26.728508227611545</v>
      </c>
      <c r="O17" s="1458">
        <f t="shared" si="8"/>
        <v>2875.2555012482544</v>
      </c>
      <c r="P17" s="1458">
        <f t="shared" si="2"/>
        <v>1852.4741615178245</v>
      </c>
      <c r="Q17" s="1459">
        <v>291.79545704085473</v>
      </c>
      <c r="R17" s="1459">
        <v>1.1090667314361637</v>
      </c>
      <c r="S17" s="1459">
        <v>854.09228987898973</v>
      </c>
      <c r="T17" s="1459">
        <v>443.95941259389639</v>
      </c>
      <c r="U17" s="1459">
        <v>2.7726668285904097</v>
      </c>
      <c r="V17" s="1459">
        <v>258.74526844405705</v>
      </c>
      <c r="W17" s="1458">
        <f t="shared" si="9"/>
        <v>1022.7813397304301</v>
      </c>
      <c r="X17" s="1174">
        <v>389.17151606094984</v>
      </c>
      <c r="Y17" s="1217">
        <v>633.60982366948031</v>
      </c>
      <c r="Z17" s="173"/>
      <c r="AA17" s="1081">
        <f>+TableB2!L18/TableB2!$L$91</f>
        <v>2.1673389492316785E-3</v>
      </c>
      <c r="AB17" s="1145"/>
      <c r="AC17" s="1145">
        <f t="shared" si="10"/>
        <v>0</v>
      </c>
      <c r="AD17" s="1145">
        <f t="shared" si="11"/>
        <v>0</v>
      </c>
      <c r="AE17" s="1145">
        <f t="shared" si="12"/>
        <v>0</v>
      </c>
      <c r="AF17" s="1145"/>
      <c r="AG17" s="1145"/>
      <c r="AH17" s="1145">
        <f t="shared" si="3"/>
        <v>0</v>
      </c>
      <c r="AI17" s="1145"/>
      <c r="AJ17" s="1145">
        <f t="shared" si="4"/>
        <v>0</v>
      </c>
    </row>
    <row r="18" spans="1:36" x14ac:dyDescent="0.2">
      <c r="A18" s="958"/>
      <c r="B18" s="958"/>
      <c r="C18" s="1094" t="s">
        <v>38</v>
      </c>
      <c r="D18" s="1458">
        <f t="shared" si="5"/>
        <v>6381.4590660105423</v>
      </c>
      <c r="E18" s="1458">
        <f t="shared" si="6"/>
        <v>6067.5931810141083</v>
      </c>
      <c r="F18" s="1459">
        <v>1151.211267230738</v>
      </c>
      <c r="G18" s="1459">
        <v>0</v>
      </c>
      <c r="H18" s="1459">
        <v>159.70560932680758</v>
      </c>
      <c r="I18" s="1459">
        <v>3051.5971115466045</v>
      </c>
      <c r="J18" s="1459">
        <v>17.079627664116924</v>
      </c>
      <c r="K18" s="1459">
        <v>1687.9995652458413</v>
      </c>
      <c r="L18" s="1458">
        <f t="shared" si="7"/>
        <v>313.86588499643437</v>
      </c>
      <c r="M18" s="1174">
        <v>225.14054648154126</v>
      </c>
      <c r="N18" s="1235">
        <v>88.72533851489311</v>
      </c>
      <c r="O18" s="1458">
        <f t="shared" si="8"/>
        <v>33129.59777476851</v>
      </c>
      <c r="P18" s="1458">
        <f t="shared" si="2"/>
        <v>23927.67110404266</v>
      </c>
      <c r="Q18" s="1459">
        <v>7693.5959159726681</v>
      </c>
      <c r="R18" s="1459">
        <v>24.066748072164753</v>
      </c>
      <c r="S18" s="1459">
        <v>5843.6726079371474</v>
      </c>
      <c r="T18" s="1459">
        <v>6344.5271438537193</v>
      </c>
      <c r="U18" s="1459">
        <v>61.442296921563475</v>
      </c>
      <c r="V18" s="1459">
        <v>3960.3663912853972</v>
      </c>
      <c r="W18" s="1458">
        <f t="shared" si="9"/>
        <v>9201.9266707258503</v>
      </c>
      <c r="X18" s="1174">
        <v>6096.5398227045926</v>
      </c>
      <c r="Y18" s="1217">
        <v>3105.3868480212586</v>
      </c>
      <c r="Z18" s="173"/>
      <c r="AA18" s="1081">
        <f>+TableB2!L19/TableB2!$L$91</f>
        <v>2.05890434097546E-2</v>
      </c>
      <c r="AB18" s="1145"/>
      <c r="AC18" s="1145">
        <f t="shared" si="10"/>
        <v>0</v>
      </c>
      <c r="AD18" s="1145">
        <f t="shared" si="11"/>
        <v>0</v>
      </c>
      <c r="AE18" s="1145">
        <f t="shared" si="12"/>
        <v>0</v>
      </c>
      <c r="AF18" s="1145"/>
      <c r="AG18" s="1145"/>
      <c r="AH18" s="1145">
        <f t="shared" si="3"/>
        <v>0</v>
      </c>
      <c r="AI18" s="1145"/>
      <c r="AJ18" s="1145">
        <f t="shared" si="4"/>
        <v>0</v>
      </c>
    </row>
    <row r="19" spans="1:36" x14ac:dyDescent="0.2">
      <c r="A19" s="958"/>
      <c r="B19" s="958" t="s">
        <v>636</v>
      </c>
      <c r="C19" s="1155" t="s">
        <v>39</v>
      </c>
      <c r="D19" s="1458">
        <f t="shared" si="5"/>
        <v>13655.605944154055</v>
      </c>
      <c r="E19" s="1458">
        <f t="shared" si="6"/>
        <v>12437.850673037146</v>
      </c>
      <c r="F19" s="1459">
        <v>919.08360034114901</v>
      </c>
      <c r="G19" s="1459">
        <v>31.719308519074286</v>
      </c>
      <c r="H19" s="1459">
        <v>140.85147489239282</v>
      </c>
      <c r="I19" s="1459">
        <v>1841.3834942034628</v>
      </c>
      <c r="J19" s="1459">
        <v>16.746907644686075</v>
      </c>
      <c r="K19" s="1459">
        <v>9488.0658874363817</v>
      </c>
      <c r="L19" s="1458">
        <f t="shared" si="7"/>
        <v>1217.7552711169078</v>
      </c>
      <c r="M19" s="1174">
        <v>548.98803206090111</v>
      </c>
      <c r="N19" s="1235">
        <v>668.76723905600682</v>
      </c>
      <c r="O19" s="1458">
        <f t="shared" si="8"/>
        <v>51452.378338152223</v>
      </c>
      <c r="P19" s="1458">
        <f t="shared" si="2"/>
        <v>37230.815640946297</v>
      </c>
      <c r="Q19" s="1459">
        <v>5290.2483089505013</v>
      </c>
      <c r="R19" s="1459">
        <v>89.834405246329268</v>
      </c>
      <c r="S19" s="1459">
        <v>10263.525346056547</v>
      </c>
      <c r="T19" s="1459">
        <v>13904.369612015185</v>
      </c>
      <c r="U19" s="1459">
        <v>198.96657161964779</v>
      </c>
      <c r="V19" s="1459">
        <v>7483.8713970580893</v>
      </c>
      <c r="W19" s="1458">
        <f t="shared" si="9"/>
        <v>14221.562697205927</v>
      </c>
      <c r="X19" s="1174">
        <v>8972.3498573185643</v>
      </c>
      <c r="Y19" s="1217">
        <v>5249.2128398873629</v>
      </c>
      <c r="Z19" s="173"/>
      <c r="AA19" s="1081">
        <f>+TableB2!L20/TableB2!$L$91</f>
        <v>1.9280661865832386E-2</v>
      </c>
      <c r="AB19" s="1145"/>
      <c r="AC19" s="1145">
        <f t="shared" si="10"/>
        <v>0</v>
      </c>
      <c r="AD19" s="1145">
        <f t="shared" si="11"/>
        <v>0</v>
      </c>
      <c r="AE19" s="1145">
        <f t="shared" si="12"/>
        <v>0</v>
      </c>
      <c r="AF19" s="1145"/>
      <c r="AG19" s="1145"/>
      <c r="AH19" s="1145">
        <f t="shared" si="3"/>
        <v>0</v>
      </c>
      <c r="AI19" s="1145"/>
      <c r="AJ19" s="1145">
        <f t="shared" si="4"/>
        <v>0</v>
      </c>
    </row>
    <row r="20" spans="1:36" x14ac:dyDescent="0.2">
      <c r="A20" s="958"/>
      <c r="B20" s="958"/>
      <c r="C20" s="1155" t="s">
        <v>40</v>
      </c>
      <c r="D20" s="1458">
        <f t="shared" si="5"/>
        <v>65.656750501020895</v>
      </c>
      <c r="E20" s="1458">
        <f t="shared" si="6"/>
        <v>56.340589956957125</v>
      </c>
      <c r="F20" s="1459">
        <v>4.6580802720318886</v>
      </c>
      <c r="G20" s="1459">
        <v>0</v>
      </c>
      <c r="H20" s="1459">
        <v>0</v>
      </c>
      <c r="I20" s="1459">
        <v>18.188694395553085</v>
      </c>
      <c r="J20" s="1459">
        <v>0.22181334628723276</v>
      </c>
      <c r="K20" s="1459">
        <v>33.272001943084916</v>
      </c>
      <c r="L20" s="1458">
        <f t="shared" si="7"/>
        <v>9.3161605440637771</v>
      </c>
      <c r="M20" s="1174">
        <v>8.5398138320584618</v>
      </c>
      <c r="N20" s="1235">
        <v>0.77634671200531458</v>
      </c>
      <c r="O20" s="1458">
        <f t="shared" si="8"/>
        <v>1304.1515694957852</v>
      </c>
      <c r="P20" s="1458">
        <f t="shared" si="2"/>
        <v>1161.8583078525253</v>
      </c>
      <c r="Q20" s="1459">
        <v>270.61228247042396</v>
      </c>
      <c r="R20" s="1459">
        <v>64.325870423297502</v>
      </c>
      <c r="S20" s="1459">
        <v>302.77521768207271</v>
      </c>
      <c r="T20" s="1459">
        <v>206.28641204712648</v>
      </c>
      <c r="U20" s="1459">
        <v>5.5453336571808194</v>
      </c>
      <c r="V20" s="1459">
        <v>312.31319157242376</v>
      </c>
      <c r="W20" s="1458">
        <f t="shared" si="9"/>
        <v>142.29326164325983</v>
      </c>
      <c r="X20" s="1174">
        <v>117.45016685908975</v>
      </c>
      <c r="Y20" s="1217">
        <v>24.843094784170066</v>
      </c>
      <c r="Z20" s="173"/>
      <c r="AA20" s="1081">
        <f>+TableB2!L21/TableB2!$L$91</f>
        <v>6.4152078461630685E-4</v>
      </c>
      <c r="AB20" s="1145"/>
      <c r="AC20" s="1145">
        <f t="shared" si="10"/>
        <v>0</v>
      </c>
      <c r="AD20" s="1145">
        <f t="shared" si="11"/>
        <v>0</v>
      </c>
      <c r="AE20" s="1145">
        <f t="shared" si="12"/>
        <v>0</v>
      </c>
      <c r="AF20" s="1145"/>
      <c r="AG20" s="1145"/>
      <c r="AH20" s="1145">
        <f t="shared" si="3"/>
        <v>0</v>
      </c>
      <c r="AI20" s="1145"/>
      <c r="AJ20" s="1145">
        <f t="shared" si="4"/>
        <v>0</v>
      </c>
    </row>
    <row r="21" spans="1:36" x14ac:dyDescent="0.2">
      <c r="A21" s="958"/>
      <c r="B21" s="958"/>
      <c r="C21" s="1155" t="s">
        <v>41</v>
      </c>
      <c r="D21" s="1458">
        <f t="shared" si="5"/>
        <v>576.2710736542308</v>
      </c>
      <c r="E21" s="1458">
        <f t="shared" si="6"/>
        <v>307.2114846078174</v>
      </c>
      <c r="F21" s="1459">
        <v>43.031789179723155</v>
      </c>
      <c r="G21" s="1459">
        <v>1.1090667314361637</v>
      </c>
      <c r="H21" s="1459">
        <v>9.6488805634946235</v>
      </c>
      <c r="I21" s="1459">
        <v>118.55923359052592</v>
      </c>
      <c r="J21" s="1459">
        <v>0.66544003886169834</v>
      </c>
      <c r="K21" s="1459">
        <v>134.19707450377581</v>
      </c>
      <c r="L21" s="1458">
        <f t="shared" si="7"/>
        <v>269.05958904641335</v>
      </c>
      <c r="M21" s="1174">
        <v>70.869364138770877</v>
      </c>
      <c r="N21" s="1235">
        <v>198.19022490764249</v>
      </c>
      <c r="O21" s="1458">
        <f t="shared" si="8"/>
        <v>2289.3355470305291</v>
      </c>
      <c r="P21" s="1458">
        <f t="shared" si="2"/>
        <v>1756.5398892485962</v>
      </c>
      <c r="Q21" s="1459">
        <v>261.73974861893464</v>
      </c>
      <c r="R21" s="1459">
        <v>0.44362669257446552</v>
      </c>
      <c r="S21" s="1459">
        <v>867.29018398308006</v>
      </c>
      <c r="T21" s="1459">
        <v>296.67535065917383</v>
      </c>
      <c r="U21" s="1459">
        <v>7.2089337543350647</v>
      </c>
      <c r="V21" s="1459">
        <v>323.18204554049811</v>
      </c>
      <c r="W21" s="1458">
        <f t="shared" si="9"/>
        <v>532.79565778193307</v>
      </c>
      <c r="X21" s="1174">
        <v>268.83777570012609</v>
      </c>
      <c r="Y21" s="1217">
        <v>263.95788208180699</v>
      </c>
      <c r="Z21" s="173"/>
      <c r="AA21" s="1081">
        <f>+TableB2!L22/TableB2!$L$91</f>
        <v>6.4782772588043071E-3</v>
      </c>
      <c r="AB21" s="1145"/>
      <c r="AC21" s="1145">
        <f t="shared" si="10"/>
        <v>0</v>
      </c>
      <c r="AD21" s="1145">
        <f t="shared" si="11"/>
        <v>0</v>
      </c>
      <c r="AE21" s="1145">
        <f t="shared" si="12"/>
        <v>0</v>
      </c>
      <c r="AF21" s="1145"/>
      <c r="AG21" s="1145"/>
      <c r="AH21" s="1145">
        <f t="shared" si="3"/>
        <v>0</v>
      </c>
      <c r="AI21" s="1145"/>
      <c r="AJ21" s="1145">
        <f t="shared" si="4"/>
        <v>0</v>
      </c>
    </row>
    <row r="22" spans="1:36" x14ac:dyDescent="0.2">
      <c r="A22" s="958"/>
      <c r="B22" s="958"/>
      <c r="C22" s="1155" t="s">
        <v>42</v>
      </c>
      <c r="D22" s="1458">
        <f t="shared" si="5"/>
        <v>146.18619425553672</v>
      </c>
      <c r="E22" s="1458">
        <f t="shared" si="6"/>
        <v>133.08800777233967</v>
      </c>
      <c r="F22" s="1459">
        <v>32.052028538505134</v>
      </c>
      <c r="G22" s="1459">
        <v>0</v>
      </c>
      <c r="H22" s="1459">
        <v>4.2144535794574223</v>
      </c>
      <c r="I22" s="1459">
        <v>91.830725362914364</v>
      </c>
      <c r="J22" s="1459">
        <v>0.55453336571808187</v>
      </c>
      <c r="K22" s="1459">
        <v>4.436266925744655</v>
      </c>
      <c r="L22" s="1458">
        <f t="shared" si="7"/>
        <v>13.098186483197058</v>
      </c>
      <c r="M22" s="1174">
        <v>2.235957845457933</v>
      </c>
      <c r="N22" s="1235">
        <v>10.862228637739124</v>
      </c>
      <c r="O22" s="1458">
        <f t="shared" si="8"/>
        <v>482.63504227917116</v>
      </c>
      <c r="P22" s="1458">
        <f t="shared" si="2"/>
        <v>271.16681583614206</v>
      </c>
      <c r="Q22" s="1459">
        <v>23.290401360159439</v>
      </c>
      <c r="R22" s="1459">
        <v>0</v>
      </c>
      <c r="S22" s="1459">
        <v>78.07829789310594</v>
      </c>
      <c r="T22" s="1459">
        <v>103.14320602356324</v>
      </c>
      <c r="U22" s="1459">
        <v>0</v>
      </c>
      <c r="V22" s="1459">
        <v>66.65491055931345</v>
      </c>
      <c r="W22" s="1458">
        <f t="shared" si="9"/>
        <v>211.4682264430291</v>
      </c>
      <c r="X22" s="1174">
        <v>20.329943102039906</v>
      </c>
      <c r="Y22" s="1217">
        <v>191.1382833409892</v>
      </c>
      <c r="Z22" s="173"/>
      <c r="AA22" s="1081">
        <f>+TableB2!L23/TableB2!$L$91</f>
        <v>2.5129516763681151E-4</v>
      </c>
      <c r="AB22" s="1145">
        <f>+AA22</f>
        <v>2.5129516763681151E-4</v>
      </c>
      <c r="AC22" s="1145">
        <f t="shared" si="10"/>
        <v>5.9471364883481386E-4</v>
      </c>
      <c r="AD22" s="1145">
        <f t="shared" si="11"/>
        <v>2.5129516763681151E-4</v>
      </c>
      <c r="AE22" s="1145">
        <f t="shared" si="12"/>
        <v>9.8162110387870036E-4</v>
      </c>
      <c r="AF22" s="1145"/>
      <c r="AG22" s="1145">
        <v>0</v>
      </c>
      <c r="AH22" s="1145">
        <f t="shared" si="3"/>
        <v>0</v>
      </c>
      <c r="AI22" s="1145">
        <v>0</v>
      </c>
      <c r="AJ22" s="1145">
        <f>+AI22/$AI$90</f>
        <v>0</v>
      </c>
    </row>
    <row r="23" spans="1:36" x14ac:dyDescent="0.2">
      <c r="A23" s="958"/>
      <c r="B23" s="958"/>
      <c r="C23" s="1155" t="s">
        <v>43</v>
      </c>
      <c r="D23" s="1458">
        <f t="shared" si="5"/>
        <v>6363.4921849612774</v>
      </c>
      <c r="E23" s="1458">
        <f t="shared" si="6"/>
        <v>5864.4121558150036</v>
      </c>
      <c r="F23" s="1459">
        <v>334.82724622057782</v>
      </c>
      <c r="G23" s="1459">
        <v>0</v>
      </c>
      <c r="H23" s="1459">
        <v>0</v>
      </c>
      <c r="I23" s="1459">
        <v>1098.9742241800948</v>
      </c>
      <c r="J23" s="1459">
        <v>15.416027566962677</v>
      </c>
      <c r="K23" s="1459">
        <v>4415.194657847368</v>
      </c>
      <c r="L23" s="1458">
        <f t="shared" si="7"/>
        <v>499.08002914627372</v>
      </c>
      <c r="M23" s="1174">
        <v>216.71163932262641</v>
      </c>
      <c r="N23" s="1235">
        <v>282.36838982364731</v>
      </c>
      <c r="O23" s="1458">
        <f t="shared" si="8"/>
        <v>64483.801525854018</v>
      </c>
      <c r="P23" s="1458">
        <f t="shared" si="2"/>
        <v>21142.582728060166</v>
      </c>
      <c r="Q23" s="1459">
        <v>2207.0427955579657</v>
      </c>
      <c r="R23" s="1459">
        <v>4.436266925744655</v>
      </c>
      <c r="S23" s="1459">
        <v>0</v>
      </c>
      <c r="T23" s="1459">
        <v>968.21525654377103</v>
      </c>
      <c r="U23" s="1459">
        <v>3.9926402331701896</v>
      </c>
      <c r="V23" s="1459">
        <v>17958.895768799513</v>
      </c>
      <c r="W23" s="1458">
        <f t="shared" si="9"/>
        <v>43341.218797793852</v>
      </c>
      <c r="X23" s="1174">
        <v>3424.798066674874</v>
      </c>
      <c r="Y23" s="1217">
        <v>39916.420731118975</v>
      </c>
      <c r="Z23" s="173"/>
      <c r="AA23" s="1081">
        <f>+TableB2!L24/TableB2!$L$91</f>
        <v>2.109084370193446E-2</v>
      </c>
      <c r="AB23" s="1145"/>
      <c r="AC23" s="1145">
        <f t="shared" si="10"/>
        <v>0</v>
      </c>
      <c r="AD23" s="1145">
        <f t="shared" si="11"/>
        <v>0</v>
      </c>
      <c r="AE23" s="1145">
        <f t="shared" si="12"/>
        <v>0</v>
      </c>
      <c r="AF23" s="1145"/>
      <c r="AG23" s="1145"/>
      <c r="AH23" s="1145">
        <f t="shared" si="3"/>
        <v>0</v>
      </c>
      <c r="AI23" s="1145"/>
      <c r="AJ23" s="1145">
        <f>+AI23/$AB$90</f>
        <v>0</v>
      </c>
    </row>
    <row r="24" spans="1:36" x14ac:dyDescent="0.2">
      <c r="A24" s="958"/>
      <c r="B24" s="958"/>
      <c r="C24" s="1155" t="s">
        <v>44</v>
      </c>
      <c r="D24" s="1458">
        <f t="shared" si="5"/>
        <v>64.145428906199342</v>
      </c>
      <c r="E24" s="1458">
        <f t="shared" si="6"/>
        <v>33.87753558509889</v>
      </c>
      <c r="F24" s="1459">
        <v>13.306388875839717</v>
      </c>
      <c r="G24" s="1459">
        <v>-0.24030159252125718</v>
      </c>
      <c r="H24" s="1459">
        <v>-1.2555550335885755</v>
      </c>
      <c r="I24" s="1459">
        <v>17.794790247568937</v>
      </c>
      <c r="J24" s="1459">
        <v>-1.1657537464180019</v>
      </c>
      <c r="K24" s="1459">
        <v>5.4379668342180683</v>
      </c>
      <c r="L24" s="1458">
        <f>SUM(M24:N24)</f>
        <v>30.267893321100455</v>
      </c>
      <c r="M24" s="1174">
        <v>5.1669544958470688</v>
      </c>
      <c r="N24" s="1235">
        <v>25.100938825253387</v>
      </c>
      <c r="O24" s="1458">
        <f t="shared" si="8"/>
        <v>798.84084899718937</v>
      </c>
      <c r="P24" s="1458">
        <f>SUM(Q24:V24)</f>
        <v>310.17031991356225</v>
      </c>
      <c r="Q24" s="1459">
        <v>21.119932353079346</v>
      </c>
      <c r="R24" s="1459">
        <v>7.6222999953022983</v>
      </c>
      <c r="S24" s="1459">
        <v>171.43315168882407</v>
      </c>
      <c r="T24" s="1459">
        <v>16.419500164419606</v>
      </c>
      <c r="U24" s="1459">
        <v>30.66547658195142</v>
      </c>
      <c r="V24" s="1459">
        <v>62.909959129985516</v>
      </c>
      <c r="W24" s="1458">
        <f t="shared" si="9"/>
        <v>488.67052908362712</v>
      </c>
      <c r="X24" s="1174">
        <v>46.979369993393931</v>
      </c>
      <c r="Y24" s="1217">
        <v>441.69115909023316</v>
      </c>
      <c r="Z24" s="173"/>
      <c r="AA24" s="1081">
        <f>+TableB2!L25/TableB2!$L$91</f>
        <v>5.8070446133108653E-4</v>
      </c>
      <c r="AB24" s="1145">
        <f>+AA24</f>
        <v>5.8070446133108653E-4</v>
      </c>
      <c r="AC24" s="1145">
        <f t="shared" si="10"/>
        <v>1.3742917237150876E-3</v>
      </c>
      <c r="AD24" s="1145">
        <f t="shared" si="11"/>
        <v>5.8070446133108653E-4</v>
      </c>
      <c r="AE24" s="1145">
        <f t="shared" si="12"/>
        <v>2.2683753122660719E-3</v>
      </c>
      <c r="AF24" s="1145"/>
      <c r="AG24" s="1145">
        <f>+AB24</f>
        <v>5.8070446133108653E-4</v>
      </c>
      <c r="AH24" s="1145">
        <f t="shared" si="3"/>
        <v>8.3149339972753335E-3</v>
      </c>
      <c r="AI24" s="1145">
        <f>+AD24</f>
        <v>5.8070446133108653E-4</v>
      </c>
      <c r="AJ24" s="1145">
        <f>+AI24/$AI$90</f>
        <v>8.3149339972753335E-3</v>
      </c>
    </row>
    <row r="25" spans="1:36" x14ac:dyDescent="0.2">
      <c r="A25" s="958"/>
      <c r="B25" s="958"/>
      <c r="C25" s="1155" t="s">
        <v>45</v>
      </c>
      <c r="D25" s="1458">
        <f t="shared" si="5"/>
        <v>5370.6556469796224</v>
      </c>
      <c r="E25" s="1458">
        <f t="shared" si="6"/>
        <v>5004.7745322788323</v>
      </c>
      <c r="F25" s="1459">
        <v>1072.3566226256266</v>
      </c>
      <c r="G25" s="1459">
        <v>5.5453336571808194</v>
      </c>
      <c r="H25" s="1459">
        <v>58.669630092973065</v>
      </c>
      <c r="I25" s="1459">
        <v>2729.302319391255</v>
      </c>
      <c r="J25" s="1459">
        <v>9.870693909781858</v>
      </c>
      <c r="K25" s="1459">
        <v>1129.0299326020147</v>
      </c>
      <c r="L25" s="1458">
        <f t="shared" si="7"/>
        <v>365.88111470079042</v>
      </c>
      <c r="M25" s="1174">
        <v>320.40937871190772</v>
      </c>
      <c r="N25" s="1235">
        <v>45.471735988882713</v>
      </c>
      <c r="O25" s="1458">
        <f t="shared" si="8"/>
        <v>20998.514959646607</v>
      </c>
      <c r="P25" s="1458">
        <f t="shared" si="2"/>
        <v>17636.379163297875</v>
      </c>
      <c r="Q25" s="1459">
        <v>1775.6158370292983</v>
      </c>
      <c r="R25" s="1459">
        <v>16.636000971542458</v>
      </c>
      <c r="S25" s="1459">
        <v>6398.2059736552292</v>
      </c>
      <c r="T25" s="1459">
        <v>6990.4476082421406</v>
      </c>
      <c r="U25" s="1459">
        <v>89.168965207467579</v>
      </c>
      <c r="V25" s="1459">
        <v>2366.3047781921991</v>
      </c>
      <c r="W25" s="1458">
        <f t="shared" si="9"/>
        <v>3362.1357963487308</v>
      </c>
      <c r="X25" s="1174">
        <v>2227.7823434358224</v>
      </c>
      <c r="Y25" s="1217">
        <v>1134.3534529129083</v>
      </c>
      <c r="Z25" s="173"/>
      <c r="AA25" s="1081">
        <f>+TableB2!L26/TableB2!$L$91</f>
        <v>1.0039610832351697E-2</v>
      </c>
      <c r="AB25" s="1145"/>
      <c r="AC25" s="1145">
        <f t="shared" si="10"/>
        <v>0</v>
      </c>
      <c r="AD25" s="1145">
        <f t="shared" si="11"/>
        <v>0</v>
      </c>
      <c r="AE25" s="1145">
        <f t="shared" si="12"/>
        <v>0</v>
      </c>
      <c r="AF25" s="1145"/>
      <c r="AG25" s="1145"/>
      <c r="AH25" s="1145">
        <f t="shared" si="3"/>
        <v>0</v>
      </c>
      <c r="AI25" s="1145"/>
      <c r="AJ25" s="1145">
        <f>+AI25/$AB$90</f>
        <v>0</v>
      </c>
    </row>
    <row r="26" spans="1:36" x14ac:dyDescent="0.2">
      <c r="A26" s="958"/>
      <c r="B26" s="958"/>
      <c r="C26" s="1155" t="s">
        <v>46</v>
      </c>
      <c r="D26" s="1458">
        <f t="shared" si="5"/>
        <v>626.61293732632748</v>
      </c>
      <c r="E26" s="1458">
        <f t="shared" si="6"/>
        <v>325.28927233022688</v>
      </c>
      <c r="F26" s="1459">
        <v>18.632321088127554</v>
      </c>
      <c r="G26" s="1459">
        <v>0</v>
      </c>
      <c r="H26" s="1459">
        <v>8.6507205052020772</v>
      </c>
      <c r="I26" s="1459">
        <v>72.089337543350652</v>
      </c>
      <c r="J26" s="1459">
        <v>0.77634671200531458</v>
      </c>
      <c r="K26" s="1459">
        <v>225.14054648154126</v>
      </c>
      <c r="L26" s="1458">
        <f t="shared" si="7"/>
        <v>301.32366499610055</v>
      </c>
      <c r="M26" s="1174">
        <v>51.438190594895104</v>
      </c>
      <c r="N26" s="1235">
        <v>249.88547440120544</v>
      </c>
      <c r="O26" s="1458">
        <f t="shared" si="8"/>
        <v>10430.454270225713</v>
      </c>
      <c r="P26" s="1458">
        <f t="shared" si="2"/>
        <v>5565.6295783661017</v>
      </c>
      <c r="Q26" s="1459">
        <v>687.62137349042155</v>
      </c>
      <c r="R26" s="1459">
        <v>94.381578845217533</v>
      </c>
      <c r="S26" s="1459">
        <v>2499.7255059839695</v>
      </c>
      <c r="T26" s="1459">
        <v>878.38085129744172</v>
      </c>
      <c r="U26" s="1459">
        <v>1.7745067702978621</v>
      </c>
      <c r="V26" s="1459">
        <v>1403.7457619787526</v>
      </c>
      <c r="W26" s="1458">
        <f t="shared" si="9"/>
        <v>4864.8246918596105</v>
      </c>
      <c r="X26" s="1174">
        <v>467.69016249138218</v>
      </c>
      <c r="Y26" s="1217">
        <v>4397.134529368228</v>
      </c>
      <c r="Z26" s="173"/>
      <c r="AA26" s="1081">
        <f>+TableB2!L27/TableB2!$L$91</f>
        <v>5.7810431241967775E-3</v>
      </c>
      <c r="AB26" s="1145">
        <f>+AA26</f>
        <v>5.7810431241967775E-3</v>
      </c>
      <c r="AC26" s="1145">
        <f t="shared" si="10"/>
        <v>1.3681382267690076E-2</v>
      </c>
      <c r="AD26" s="1145">
        <f t="shared" si="11"/>
        <v>5.7810431241967775E-3</v>
      </c>
      <c r="AE26" s="1145">
        <f t="shared" si="12"/>
        <v>2.2582184872516137E-2</v>
      </c>
      <c r="AF26" s="1145"/>
      <c r="AG26" s="1145"/>
      <c r="AH26" s="1145">
        <f t="shared" si="3"/>
        <v>0</v>
      </c>
      <c r="AI26" s="1145"/>
      <c r="AJ26" s="1145">
        <f t="shared" ref="AJ26:AJ88" si="13">+AI26/$AB$90</f>
        <v>0</v>
      </c>
    </row>
    <row r="27" spans="1:36" x14ac:dyDescent="0.2">
      <c r="A27" s="331" t="s">
        <v>308</v>
      </c>
      <c r="B27" s="958" t="s">
        <v>637</v>
      </c>
      <c r="C27" s="1155" t="s">
        <v>47</v>
      </c>
      <c r="D27" s="1458">
        <f t="shared" si="5"/>
        <v>312.44671985142224</v>
      </c>
      <c r="E27" s="1458">
        <f t="shared" si="6"/>
        <v>36.155575444818936</v>
      </c>
      <c r="F27" s="1459">
        <v>11.31248066064887</v>
      </c>
      <c r="G27" s="1459">
        <v>0</v>
      </c>
      <c r="H27" s="1459">
        <v>-5.1017069646063531</v>
      </c>
      <c r="I27" s="1459">
        <v>12.532454065228652</v>
      </c>
      <c r="J27" s="1459">
        <v>-0.33272001943084917</v>
      </c>
      <c r="K27" s="1459">
        <v>17.74506770297862</v>
      </c>
      <c r="L27" s="1458">
        <f t="shared" si="7"/>
        <v>276.29114440660334</v>
      </c>
      <c r="M27" s="1174">
        <v>47.164953160424574</v>
      </c>
      <c r="N27" s="1235">
        <v>229.12619124617876</v>
      </c>
      <c r="O27" s="1458">
        <f t="shared" si="8"/>
        <v>6072.8178592061467</v>
      </c>
      <c r="P27" s="1458">
        <f t="shared" si="2"/>
        <v>1612.1394008156078</v>
      </c>
      <c r="Q27" s="1459">
        <v>260.18705519492403</v>
      </c>
      <c r="R27" s="1459">
        <v>37.597362195685953</v>
      </c>
      <c r="S27" s="1459">
        <v>319.96575201933325</v>
      </c>
      <c r="T27" s="1459">
        <v>266.50873556411017</v>
      </c>
      <c r="U27" s="1459">
        <v>0.11090667314361638</v>
      </c>
      <c r="V27" s="1459">
        <v>727.76958916841079</v>
      </c>
      <c r="W27" s="1458">
        <f t="shared" si="9"/>
        <v>4460.6784583905392</v>
      </c>
      <c r="X27" s="1174">
        <v>428.83671358546133</v>
      </c>
      <c r="Y27" s="1217">
        <v>4031.8417448050782</v>
      </c>
      <c r="Z27" s="173"/>
      <c r="AA27" s="1081">
        <f>+TableB2!L28/TableB2!$L$91</f>
        <v>5.3007818707797921E-3</v>
      </c>
      <c r="AB27" s="1145">
        <f>+AA27</f>
        <v>5.3007818707797921E-3</v>
      </c>
      <c r="AC27" s="1145">
        <f t="shared" si="10"/>
        <v>1.2544798842312032E-2</v>
      </c>
      <c r="AD27" s="1145">
        <f t="shared" si="11"/>
        <v>5.3007818707797921E-3</v>
      </c>
      <c r="AE27" s="1145">
        <f t="shared" si="12"/>
        <v>2.0706165583475537E-2</v>
      </c>
      <c r="AF27" s="1145"/>
      <c r="AG27" s="1145"/>
      <c r="AH27" s="1145">
        <f t="shared" si="3"/>
        <v>0</v>
      </c>
      <c r="AI27" s="1145"/>
      <c r="AJ27" s="1145">
        <f t="shared" si="13"/>
        <v>0</v>
      </c>
    </row>
    <row r="28" spans="1:36" x14ac:dyDescent="0.2">
      <c r="A28" s="958"/>
      <c r="B28" s="958"/>
      <c r="C28" s="1154" t="s">
        <v>48</v>
      </c>
      <c r="D28" s="1458">
        <f t="shared" si="5"/>
        <v>18.521414414983937</v>
      </c>
      <c r="E28" s="1458">
        <f t="shared" si="6"/>
        <v>14.750587528100979</v>
      </c>
      <c r="F28" s="1459">
        <v>0.77634671200531458</v>
      </c>
      <c r="G28" s="1459">
        <v>0</v>
      </c>
      <c r="H28" s="1459">
        <v>2.883573501734026</v>
      </c>
      <c r="I28" s="1459">
        <v>4.3253602526010386</v>
      </c>
      <c r="J28" s="1459">
        <v>0.11090667314361638</v>
      </c>
      <c r="K28" s="1459">
        <v>6.6544003886169829</v>
      </c>
      <c r="L28" s="1458">
        <f t="shared" si="7"/>
        <v>3.7708268868829569</v>
      </c>
      <c r="M28" s="1174">
        <v>0.22181334628723276</v>
      </c>
      <c r="N28" s="1235">
        <v>3.5490135405957242</v>
      </c>
      <c r="O28" s="1458">
        <f t="shared" si="8"/>
        <v>216.71163932262641</v>
      </c>
      <c r="P28" s="1458">
        <f t="shared" si="2"/>
        <v>150.16763543645658</v>
      </c>
      <c r="Q28" s="1459">
        <v>14.196054162382897</v>
      </c>
      <c r="R28" s="1459">
        <v>1.3308800777233964</v>
      </c>
      <c r="S28" s="1459">
        <v>49.908002914627367</v>
      </c>
      <c r="T28" s="1459">
        <v>65.545843827877277</v>
      </c>
      <c r="U28" s="1459">
        <v>2.4399468091595606</v>
      </c>
      <c r="V28" s="1459">
        <v>16.746907644686072</v>
      </c>
      <c r="W28" s="1458">
        <f t="shared" si="9"/>
        <v>66.544003886169833</v>
      </c>
      <c r="X28" s="1174">
        <v>16.636000971542458</v>
      </c>
      <c r="Y28" s="1217">
        <v>49.908002914627367</v>
      </c>
      <c r="Z28" s="173"/>
      <c r="AA28" s="1081">
        <f>+TableB2!L29/TableB2!$L$91</f>
        <v>3.9009029227811333E-4</v>
      </c>
      <c r="AB28" s="1145"/>
      <c r="AC28" s="1145">
        <f t="shared" si="10"/>
        <v>0</v>
      </c>
      <c r="AD28" s="1145">
        <f t="shared" si="11"/>
        <v>0</v>
      </c>
      <c r="AE28" s="1145">
        <f t="shared" si="12"/>
        <v>0</v>
      </c>
      <c r="AF28" s="1145"/>
      <c r="AG28" s="1145"/>
      <c r="AH28" s="1145">
        <f t="shared" si="3"/>
        <v>0</v>
      </c>
      <c r="AI28" s="1145"/>
      <c r="AJ28" s="1145">
        <f t="shared" si="13"/>
        <v>0</v>
      </c>
    </row>
    <row r="29" spans="1:36" x14ac:dyDescent="0.2">
      <c r="A29" s="958"/>
      <c r="B29" s="958"/>
      <c r="C29" s="1154" t="s">
        <v>49</v>
      </c>
      <c r="D29" s="1458">
        <f t="shared" si="5"/>
        <v>17887.582777968168</v>
      </c>
      <c r="E29" s="1458">
        <f t="shared" si="6"/>
        <v>7105.2360149457836</v>
      </c>
      <c r="F29" s="1459">
        <v>1000.3781917554197</v>
      </c>
      <c r="G29" s="1459">
        <v>37.264642176255109</v>
      </c>
      <c r="H29" s="1459">
        <v>1067.033102314733</v>
      </c>
      <c r="I29" s="1459">
        <v>0</v>
      </c>
      <c r="J29" s="1459">
        <v>17.523254356691389</v>
      </c>
      <c r="K29" s="1459">
        <v>4983.0368243426838</v>
      </c>
      <c r="L29" s="1458">
        <f t="shared" si="7"/>
        <v>10782.346763022384</v>
      </c>
      <c r="M29" s="1174">
        <v>1360.8248794721731</v>
      </c>
      <c r="N29" s="1235">
        <v>9421.521883550211</v>
      </c>
      <c r="O29" s="1458">
        <f t="shared" si="8"/>
        <v>19118.868663208596</v>
      </c>
      <c r="P29" s="1458">
        <f t="shared" si="2"/>
        <v>5580.4910725673453</v>
      </c>
      <c r="Q29" s="1459">
        <v>2675.0689562240273</v>
      </c>
      <c r="R29" s="1459">
        <v>57.671470034680517</v>
      </c>
      <c r="S29" s="1459">
        <v>1638.0915623312139</v>
      </c>
      <c r="T29" s="1459">
        <v>0</v>
      </c>
      <c r="U29" s="1459">
        <v>37.70826886882957</v>
      </c>
      <c r="V29" s="1459">
        <v>1171.9508151085943</v>
      </c>
      <c r="W29" s="1458">
        <f t="shared" si="9"/>
        <v>13538.377590641252</v>
      </c>
      <c r="X29" s="1174">
        <v>6672.1454563199613</v>
      </c>
      <c r="Y29" s="1217">
        <v>6866.2321343212898</v>
      </c>
      <c r="Z29" s="173"/>
      <c r="AA29" s="1081">
        <f>+TableB2!L30/TableB2!$L$91</f>
        <v>0.10976103536720654</v>
      </c>
      <c r="AB29" s="1145"/>
      <c r="AC29" s="1145">
        <f t="shared" si="10"/>
        <v>0</v>
      </c>
      <c r="AD29" s="1145">
        <f t="shared" si="11"/>
        <v>0</v>
      </c>
      <c r="AE29" s="1145">
        <f t="shared" si="12"/>
        <v>0</v>
      </c>
      <c r="AF29" s="1145"/>
      <c r="AG29" s="1145"/>
      <c r="AH29" s="1145">
        <f t="shared" si="3"/>
        <v>0</v>
      </c>
      <c r="AI29" s="1145"/>
      <c r="AJ29" s="1145">
        <f t="shared" si="13"/>
        <v>0</v>
      </c>
    </row>
    <row r="30" spans="1:36" x14ac:dyDescent="0.2">
      <c r="A30" s="958"/>
      <c r="B30" s="958"/>
      <c r="C30" s="1154" t="s">
        <v>50</v>
      </c>
      <c r="D30" s="1458">
        <f t="shared" si="5"/>
        <v>3539.7741207496606</v>
      </c>
      <c r="E30" s="1458">
        <f t="shared" si="6"/>
        <v>2859.17403364243</v>
      </c>
      <c r="F30" s="1459">
        <v>154.04936899648317</v>
      </c>
      <c r="G30" s="1459">
        <v>0</v>
      </c>
      <c r="H30" s="1459">
        <v>0</v>
      </c>
      <c r="I30" s="1459">
        <v>681.0778797749482</v>
      </c>
      <c r="J30" s="1459">
        <v>9.9816005829254735</v>
      </c>
      <c r="K30" s="1459">
        <v>2014.0651842880734</v>
      </c>
      <c r="L30" s="1458">
        <f t="shared" si="7"/>
        <v>680.60008710723059</v>
      </c>
      <c r="M30" s="1174">
        <v>116.18349657328437</v>
      </c>
      <c r="N30" s="1235">
        <v>564.41659053394619</v>
      </c>
      <c r="O30" s="1458">
        <f t="shared" si="8"/>
        <v>13052.268872140454</v>
      </c>
      <c r="P30" s="1458">
        <f t="shared" si="2"/>
        <v>2064.0840938758442</v>
      </c>
      <c r="Q30" s="1459">
        <v>645.25502434956002</v>
      </c>
      <c r="R30" s="1459">
        <v>0</v>
      </c>
      <c r="S30" s="1459">
        <v>445.73391936419421</v>
      </c>
      <c r="T30" s="1459">
        <v>104.14136608185579</v>
      </c>
      <c r="U30" s="1459">
        <v>0</v>
      </c>
      <c r="V30" s="1459">
        <v>868.9537840802343</v>
      </c>
      <c r="W30" s="1458">
        <f t="shared" si="9"/>
        <v>10988.184778264609</v>
      </c>
      <c r="X30" s="1174">
        <v>1056.3722744277281</v>
      </c>
      <c r="Y30" s="1217">
        <v>9931.8125038368817</v>
      </c>
      <c r="Z30" s="173"/>
      <c r="AA30" s="1081">
        <f>+TableB2!L31/TableB2!$L$91</f>
        <v>1.3057648339535167E-2</v>
      </c>
      <c r="AB30" s="1145">
        <f>+AA30</f>
        <v>1.3057648339535167E-2</v>
      </c>
      <c r="AC30" s="1145">
        <f t="shared" si="10"/>
        <v>3.0902152883536999E-2</v>
      </c>
      <c r="AD30" s="1145">
        <f t="shared" si="11"/>
        <v>1.3057648339535167E-2</v>
      </c>
      <c r="AE30" s="1145">
        <f t="shared" si="12"/>
        <v>5.1006405326660835E-2</v>
      </c>
      <c r="AF30" s="1145"/>
      <c r="AG30" s="1145"/>
      <c r="AH30" s="1145">
        <f t="shared" si="3"/>
        <v>0</v>
      </c>
      <c r="AI30" s="1145"/>
      <c r="AJ30" s="1145">
        <f t="shared" si="13"/>
        <v>0</v>
      </c>
    </row>
    <row r="31" spans="1:36" x14ac:dyDescent="0.2">
      <c r="A31" s="958"/>
      <c r="B31" s="958"/>
      <c r="C31" s="1154" t="s">
        <v>51</v>
      </c>
      <c r="D31" s="1458">
        <f t="shared" si="5"/>
        <v>12888.13176600023</v>
      </c>
      <c r="E31" s="1458">
        <f t="shared" si="6"/>
        <v>5812.2860194375044</v>
      </c>
      <c r="F31" s="1459">
        <v>872.83551764026095</v>
      </c>
      <c r="G31" s="1459">
        <v>-20.51773453156903</v>
      </c>
      <c r="H31" s="1459">
        <v>3938.2959633298178</v>
      </c>
      <c r="I31" s="1459">
        <v>1026.3303532710261</v>
      </c>
      <c r="J31" s="1459">
        <v>-4.6580802720318868</v>
      </c>
      <c r="K31" s="1459">
        <v>0</v>
      </c>
      <c r="L31" s="1458">
        <f t="shared" si="7"/>
        <v>7075.8457465627253</v>
      </c>
      <c r="M31" s="1174">
        <v>4438.4850592075272</v>
      </c>
      <c r="N31" s="1235">
        <v>2637.3606873551976</v>
      </c>
      <c r="O31" s="1458">
        <f t="shared" si="8"/>
        <v>53778.423993993296</v>
      </c>
      <c r="P31" s="1458">
        <f t="shared" si="2"/>
        <v>14142.1535192351</v>
      </c>
      <c r="Q31" s="1459">
        <v>7609.30684438352</v>
      </c>
      <c r="R31" s="1459">
        <v>46.580802720318879</v>
      </c>
      <c r="S31" s="1459">
        <v>4358.6322545441235</v>
      </c>
      <c r="T31" s="1459">
        <v>2093.4743622589026</v>
      </c>
      <c r="U31" s="1459">
        <v>34.159255328233847</v>
      </c>
      <c r="V31" s="1459">
        <v>0</v>
      </c>
      <c r="W31" s="1458">
        <f t="shared" si="9"/>
        <v>39636.270474758196</v>
      </c>
      <c r="X31" s="1174">
        <v>15052.031865705327</v>
      </c>
      <c r="Y31" s="1217">
        <v>24584.238609052867</v>
      </c>
      <c r="Z31" s="173"/>
      <c r="AA31" s="1081">
        <f>+TableB2!L32/TableB2!$L$91</f>
        <v>9.9513180149138972E-2</v>
      </c>
      <c r="AB31" s="1145"/>
      <c r="AC31" s="1145"/>
      <c r="AD31" s="1145"/>
      <c r="AE31" s="1145"/>
      <c r="AF31" s="1145"/>
      <c r="AG31" s="1145"/>
      <c r="AH31" s="1145">
        <f t="shared" si="3"/>
        <v>0</v>
      </c>
      <c r="AI31" s="1145"/>
      <c r="AJ31" s="1145">
        <f t="shared" si="13"/>
        <v>0</v>
      </c>
    </row>
    <row r="32" spans="1:36" x14ac:dyDescent="0.2">
      <c r="A32" s="958"/>
      <c r="B32" s="958"/>
      <c r="C32" s="1154" t="s">
        <v>52</v>
      </c>
      <c r="D32" s="1458">
        <f t="shared" si="5"/>
        <v>133.40167037013202</v>
      </c>
      <c r="E32" s="1458">
        <f t="shared" si="6"/>
        <v>56.562403303244352</v>
      </c>
      <c r="F32" s="1459">
        <v>13.308800777233966</v>
      </c>
      <c r="G32" s="1459">
        <v>0</v>
      </c>
      <c r="H32" s="1459">
        <v>0</v>
      </c>
      <c r="I32" s="1459">
        <v>21.072267897287112</v>
      </c>
      <c r="J32" s="1459">
        <v>0</v>
      </c>
      <c r="K32" s="1459">
        <v>22.181334628723278</v>
      </c>
      <c r="L32" s="1458">
        <f t="shared" si="7"/>
        <v>76.839267066887686</v>
      </c>
      <c r="M32" s="1174">
        <v>13.117034351117972</v>
      </c>
      <c r="N32" s="1235">
        <v>63.722232715769714</v>
      </c>
      <c r="O32" s="1458">
        <f t="shared" si="8"/>
        <v>1827.2545681877227</v>
      </c>
      <c r="P32" s="1458">
        <f t="shared" si="2"/>
        <v>586.69630092973057</v>
      </c>
      <c r="Q32" s="1459">
        <v>68.762137349042149</v>
      </c>
      <c r="R32" s="1459">
        <v>0</v>
      </c>
      <c r="S32" s="1459">
        <v>247.32188111026451</v>
      </c>
      <c r="T32" s="1459">
        <v>105.36133948643555</v>
      </c>
      <c r="U32" s="1459">
        <v>9.3161605440637771</v>
      </c>
      <c r="V32" s="1459">
        <v>155.93478243992462</v>
      </c>
      <c r="W32" s="1458">
        <f t="shared" si="9"/>
        <v>1240.5582672579922</v>
      </c>
      <c r="X32" s="1174">
        <v>119.26368047028924</v>
      </c>
      <c r="Y32" s="1217">
        <v>1121.2945867877029</v>
      </c>
      <c r="Z32" s="173"/>
      <c r="AA32" s="1081">
        <f>+TableB2!L33/TableB2!$L$91</f>
        <v>1.4741992354005767E-3</v>
      </c>
      <c r="AB32" s="1145">
        <f>+AA32</f>
        <v>1.4741992354005767E-3</v>
      </c>
      <c r="AC32" s="1145">
        <f t="shared" si="10"/>
        <v>3.488831140842601E-3</v>
      </c>
      <c r="AD32" s="1145">
        <f t="shared" si="11"/>
        <v>1.4741992354005767E-3</v>
      </c>
      <c r="AE32" s="1145">
        <f t="shared" si="12"/>
        <v>5.7585869811969592E-3</v>
      </c>
      <c r="AF32" s="1145"/>
      <c r="AG32" s="1145"/>
      <c r="AH32" s="1145">
        <f t="shared" si="3"/>
        <v>0</v>
      </c>
      <c r="AI32" s="1145"/>
      <c r="AJ32" s="1145">
        <f t="shared" si="13"/>
        <v>0</v>
      </c>
    </row>
    <row r="33" spans="1:36" x14ac:dyDescent="0.2">
      <c r="A33" s="958"/>
      <c r="B33" s="958"/>
      <c r="C33" s="1154" t="s">
        <v>53</v>
      </c>
      <c r="D33" s="1458">
        <f t="shared" si="5"/>
        <v>968.34265083574746</v>
      </c>
      <c r="E33" s="1458">
        <f t="shared" si="6"/>
        <v>797.64079324888894</v>
      </c>
      <c r="F33" s="1459">
        <v>120.00102034139293</v>
      </c>
      <c r="G33" s="1459">
        <v>0</v>
      </c>
      <c r="H33" s="1459">
        <v>0</v>
      </c>
      <c r="I33" s="1459">
        <v>447.73023948077929</v>
      </c>
      <c r="J33" s="1459">
        <v>3.6599202137393405</v>
      </c>
      <c r="K33" s="1459">
        <v>226.24961321297741</v>
      </c>
      <c r="L33" s="1458">
        <f t="shared" si="7"/>
        <v>170.70185758685855</v>
      </c>
      <c r="M33" s="1174">
        <v>29.140076620165566</v>
      </c>
      <c r="N33" s="1235">
        <v>141.56178096669299</v>
      </c>
      <c r="O33" s="1458">
        <f t="shared" si="8"/>
        <v>5688.6606576336235</v>
      </c>
      <c r="P33" s="1458">
        <f t="shared" si="2"/>
        <v>2932.705157936648</v>
      </c>
      <c r="Q33" s="1459">
        <v>370.42828829967868</v>
      </c>
      <c r="R33" s="1459">
        <v>2.2181334628723275</v>
      </c>
      <c r="S33" s="1459">
        <v>1315.3531434832903</v>
      </c>
      <c r="T33" s="1459">
        <v>319.41121865361515</v>
      </c>
      <c r="U33" s="1459">
        <v>33.382908616228534</v>
      </c>
      <c r="V33" s="1459">
        <v>891.91146542096294</v>
      </c>
      <c r="W33" s="1458">
        <f t="shared" si="9"/>
        <v>2755.955499696975</v>
      </c>
      <c r="X33" s="1174">
        <v>264.94958341029013</v>
      </c>
      <c r="Y33" s="1217">
        <v>2491.0059162866851</v>
      </c>
      <c r="Z33" s="173"/>
      <c r="AA33" s="1081">
        <f>+TableB2!L34/TableB2!$L$91</f>
        <v>3.2749993270621371E-3</v>
      </c>
      <c r="AB33" s="1145">
        <f>+AA33</f>
        <v>3.2749993270621371E-3</v>
      </c>
      <c r="AC33" s="1145">
        <f t="shared" si="10"/>
        <v>7.7505939252425667E-3</v>
      </c>
      <c r="AD33" s="1145">
        <f t="shared" si="11"/>
        <v>3.2749993270621371E-3</v>
      </c>
      <c r="AE33" s="1145">
        <f t="shared" si="12"/>
        <v>1.2792957719262596E-2</v>
      </c>
      <c r="AF33" s="1145"/>
      <c r="AG33" s="1145"/>
      <c r="AH33" s="1145">
        <f t="shared" si="3"/>
        <v>0</v>
      </c>
      <c r="AI33" s="1145"/>
      <c r="AJ33" s="1145">
        <f t="shared" si="13"/>
        <v>0</v>
      </c>
    </row>
    <row r="34" spans="1:36" x14ac:dyDescent="0.2">
      <c r="A34" s="958"/>
      <c r="B34" s="958"/>
      <c r="C34" s="1154" t="s">
        <v>54</v>
      </c>
      <c r="D34" s="1458">
        <f t="shared" si="5"/>
        <v>462.70264035516755</v>
      </c>
      <c r="E34" s="1458">
        <f t="shared" si="6"/>
        <v>398.26586325872643</v>
      </c>
      <c r="F34" s="1459">
        <v>110.90667314361637</v>
      </c>
      <c r="G34" s="1459">
        <v>4.5471735988882713</v>
      </c>
      <c r="H34" s="1459">
        <v>45.471735988882713</v>
      </c>
      <c r="I34" s="1459">
        <v>180.77787722409471</v>
      </c>
      <c r="J34" s="1459">
        <v>2.2181334628723275</v>
      </c>
      <c r="K34" s="1459">
        <v>54.344269840372029</v>
      </c>
      <c r="L34" s="1458">
        <f t="shared" si="7"/>
        <v>64.436777096441119</v>
      </c>
      <c r="M34" s="1174">
        <v>53.567923128366715</v>
      </c>
      <c r="N34" s="1235">
        <v>10.868853968074406</v>
      </c>
      <c r="O34" s="1458">
        <f t="shared" si="8"/>
        <v>4227.2078468689378</v>
      </c>
      <c r="P34" s="1458">
        <f t="shared" si="2"/>
        <v>2998.5837217839562</v>
      </c>
      <c r="Q34" s="1459">
        <v>586.69630092973068</v>
      </c>
      <c r="R34" s="1459">
        <v>14.417867508670129</v>
      </c>
      <c r="S34" s="1459">
        <v>897.23498573185657</v>
      </c>
      <c r="T34" s="1459">
        <v>428.76519837322093</v>
      </c>
      <c r="U34" s="1459">
        <v>18.632321088127554</v>
      </c>
      <c r="V34" s="1459">
        <v>1052.8370481523502</v>
      </c>
      <c r="W34" s="1458">
        <f t="shared" si="9"/>
        <v>1228.6241250849821</v>
      </c>
      <c r="X34" s="1174">
        <v>1119.9355854042381</v>
      </c>
      <c r="Y34" s="1217">
        <v>108.68853968074406</v>
      </c>
      <c r="Z34" s="173"/>
      <c r="AA34" s="1081">
        <f>+TableB2!L35/TableB2!$L$91</f>
        <v>4.5646328096349172E-3</v>
      </c>
      <c r="AB34" s="1145"/>
      <c r="AC34" s="1145">
        <f t="shared" si="10"/>
        <v>0</v>
      </c>
      <c r="AD34" s="1145">
        <f t="shared" si="11"/>
        <v>0</v>
      </c>
      <c r="AE34" s="1145">
        <f t="shared" si="12"/>
        <v>0</v>
      </c>
      <c r="AF34" s="1145"/>
      <c r="AG34" s="1145"/>
      <c r="AH34" s="1145">
        <f t="shared" si="3"/>
        <v>0</v>
      </c>
      <c r="AI34" s="1145"/>
      <c r="AJ34" s="1145">
        <f t="shared" si="13"/>
        <v>0</v>
      </c>
    </row>
    <row r="35" spans="1:36" x14ac:dyDescent="0.2">
      <c r="A35" s="958"/>
      <c r="B35" s="958"/>
      <c r="C35" s="1154" t="s">
        <v>55</v>
      </c>
      <c r="D35" s="1458">
        <f t="shared" si="5"/>
        <v>921.07992045773403</v>
      </c>
      <c r="E35" s="1458">
        <f t="shared" si="6"/>
        <v>850.87599635782487</v>
      </c>
      <c r="F35" s="1459">
        <v>32.606561904223213</v>
      </c>
      <c r="G35" s="1459">
        <v>0</v>
      </c>
      <c r="H35" s="1459">
        <v>31.053868480212586</v>
      </c>
      <c r="I35" s="1459">
        <v>181.22150391666915</v>
      </c>
      <c r="J35" s="1459">
        <v>2.6617601554467929</v>
      </c>
      <c r="K35" s="1459">
        <v>603.33230190127313</v>
      </c>
      <c r="L35" s="1458">
        <f t="shared" si="7"/>
        <v>70.203924099909159</v>
      </c>
      <c r="M35" s="1174">
        <v>39.482775639127425</v>
      </c>
      <c r="N35" s="1235">
        <v>30.721148460781738</v>
      </c>
      <c r="O35" s="1458">
        <f t="shared" si="8"/>
        <v>2200.6102085156363</v>
      </c>
      <c r="P35" s="1458">
        <f t="shared" si="2"/>
        <v>1952.1792606739357</v>
      </c>
      <c r="Q35" s="1459">
        <v>510.17069646063533</v>
      </c>
      <c r="R35" s="1459">
        <v>1.6636000971542457</v>
      </c>
      <c r="S35" s="1459">
        <v>575.60563361536902</v>
      </c>
      <c r="T35" s="1459">
        <v>604.99590199842737</v>
      </c>
      <c r="U35" s="1459">
        <v>7.8743737931967628</v>
      </c>
      <c r="V35" s="1459">
        <v>251.86905470915281</v>
      </c>
      <c r="W35" s="1458">
        <f t="shared" si="9"/>
        <v>248.43094784170069</v>
      </c>
      <c r="X35" s="1174">
        <v>217.37707936148811</v>
      </c>
      <c r="Y35" s="1217">
        <v>31.053868480212586</v>
      </c>
      <c r="Z35" s="173"/>
      <c r="AA35" s="1081">
        <f>+TableB2!L36/TableB2!$L$91</f>
        <v>3.4282296476492446E-3</v>
      </c>
      <c r="AB35" s="1145"/>
      <c r="AC35" s="1145">
        <f t="shared" si="10"/>
        <v>0</v>
      </c>
      <c r="AD35" s="1145">
        <f t="shared" si="11"/>
        <v>0</v>
      </c>
      <c r="AE35" s="1145">
        <f t="shared" si="12"/>
        <v>0</v>
      </c>
      <c r="AF35" s="1145"/>
      <c r="AG35" s="1145"/>
      <c r="AH35" s="1145">
        <f t="shared" si="3"/>
        <v>0</v>
      </c>
      <c r="AI35" s="1145"/>
      <c r="AJ35" s="1145">
        <f t="shared" si="13"/>
        <v>0</v>
      </c>
    </row>
    <row r="36" spans="1:36" x14ac:dyDescent="0.2">
      <c r="A36" s="958"/>
      <c r="B36" s="958"/>
      <c r="C36" s="1154" t="s">
        <v>56</v>
      </c>
      <c r="D36" s="1458">
        <f t="shared" si="5"/>
        <v>132.42256773347796</v>
      </c>
      <c r="E36" s="1458">
        <f t="shared" si="6"/>
        <v>118.55923359052591</v>
      </c>
      <c r="F36" s="1459">
        <v>10.979760641218022</v>
      </c>
      <c r="G36" s="1459">
        <v>0</v>
      </c>
      <c r="H36" s="1459">
        <v>9.5379738903510081</v>
      </c>
      <c r="I36" s="1459">
        <v>39.926402331701894</v>
      </c>
      <c r="J36" s="1459">
        <v>0.44362669257446552</v>
      </c>
      <c r="K36" s="1459">
        <v>57.671470034680517</v>
      </c>
      <c r="L36" s="1458">
        <f t="shared" si="7"/>
        <v>13.863334142952047</v>
      </c>
      <c r="M36" s="1174">
        <v>2.2181334628723275</v>
      </c>
      <c r="N36" s="1235">
        <v>11.64520068007972</v>
      </c>
      <c r="O36" s="1458">
        <f t="shared" si="8"/>
        <v>656.67841168335258</v>
      </c>
      <c r="P36" s="1458">
        <f t="shared" si="2"/>
        <v>555.30971243008719</v>
      </c>
      <c r="Q36" s="1459">
        <v>163.03280952111606</v>
      </c>
      <c r="R36" s="1459">
        <v>0.88725338514893104</v>
      </c>
      <c r="S36" s="1459">
        <v>100.92507256069091</v>
      </c>
      <c r="T36" s="1459">
        <v>165.80547634970648</v>
      </c>
      <c r="U36" s="1459">
        <v>5.5453336571808194</v>
      </c>
      <c r="V36" s="1459">
        <v>119.11376695624399</v>
      </c>
      <c r="W36" s="1458">
        <f t="shared" si="9"/>
        <v>101.36869925326538</v>
      </c>
      <c r="X36" s="1174">
        <v>90.278031938903737</v>
      </c>
      <c r="Y36" s="1217">
        <v>11.090667314361639</v>
      </c>
      <c r="Z36" s="173"/>
      <c r="AA36" s="1081">
        <f>+TableB2!L37/TableB2!$L$91</f>
        <v>1.2829588931474523E-3</v>
      </c>
      <c r="AB36" s="1145"/>
      <c r="AC36" s="1145">
        <f t="shared" si="10"/>
        <v>0</v>
      </c>
      <c r="AD36" s="1145">
        <f t="shared" si="11"/>
        <v>0</v>
      </c>
      <c r="AE36" s="1145">
        <f t="shared" si="12"/>
        <v>0</v>
      </c>
      <c r="AF36" s="1145"/>
      <c r="AG36" s="1145"/>
      <c r="AH36" s="1145">
        <f t="shared" si="3"/>
        <v>0</v>
      </c>
      <c r="AI36" s="1145"/>
      <c r="AJ36" s="1145">
        <f t="shared" si="13"/>
        <v>0</v>
      </c>
    </row>
    <row r="37" spans="1:36" x14ac:dyDescent="0.2">
      <c r="A37" s="958"/>
      <c r="B37" s="958"/>
      <c r="C37" s="1154" t="s">
        <v>57</v>
      </c>
      <c r="D37" s="1458">
        <f t="shared" si="5"/>
        <v>16.968720990973306</v>
      </c>
      <c r="E37" s="1458">
        <f t="shared" si="6"/>
        <v>11.756107353223337</v>
      </c>
      <c r="F37" s="1459">
        <v>1.3308800777233964</v>
      </c>
      <c r="G37" s="1459">
        <v>0.33272001943084911</v>
      </c>
      <c r="H37" s="1459">
        <v>0</v>
      </c>
      <c r="I37" s="1459">
        <v>8.87253385148931</v>
      </c>
      <c r="J37" s="1459">
        <v>0.11090667314361638</v>
      </c>
      <c r="K37" s="1459">
        <v>1.1090667314361637</v>
      </c>
      <c r="L37" s="1458">
        <f t="shared" si="7"/>
        <v>5.2126136377499694</v>
      </c>
      <c r="M37" s="1174">
        <v>3.4381068674521078</v>
      </c>
      <c r="N37" s="1235">
        <v>1.7745067702978621</v>
      </c>
      <c r="O37" s="1458">
        <f t="shared" si="8"/>
        <v>257.74710838576448</v>
      </c>
      <c r="P37" s="1458">
        <f t="shared" si="2"/>
        <v>136.52611463979179</v>
      </c>
      <c r="Q37" s="1459">
        <v>40.702749043707215</v>
      </c>
      <c r="R37" s="1459">
        <v>0</v>
      </c>
      <c r="S37" s="1459">
        <v>45.693549335169955</v>
      </c>
      <c r="T37" s="1459">
        <v>22.181334628723278</v>
      </c>
      <c r="U37" s="1459">
        <v>0.11090667314361638</v>
      </c>
      <c r="V37" s="1459">
        <v>27.837574959047714</v>
      </c>
      <c r="W37" s="1458">
        <f t="shared" si="9"/>
        <v>121.22099374597269</v>
      </c>
      <c r="X37" s="1174">
        <v>87.616271783456938</v>
      </c>
      <c r="Y37" s="1217">
        <v>33.604721962515761</v>
      </c>
      <c r="Z37" s="173"/>
      <c r="AA37" s="1081">
        <f>+TableB2!L38/TableB2!$L$91</f>
        <v>3.5018124427046114E-4</v>
      </c>
      <c r="AB37" s="1145"/>
      <c r="AC37" s="1145">
        <f t="shared" si="10"/>
        <v>0</v>
      </c>
      <c r="AD37" s="1145">
        <f t="shared" si="11"/>
        <v>0</v>
      </c>
      <c r="AE37" s="1145">
        <f t="shared" si="12"/>
        <v>0</v>
      </c>
      <c r="AF37" s="1145"/>
      <c r="AG37" s="1145"/>
      <c r="AH37" s="1145">
        <f t="shared" si="3"/>
        <v>0</v>
      </c>
      <c r="AI37" s="1145"/>
      <c r="AJ37" s="1145">
        <f t="shared" si="13"/>
        <v>0</v>
      </c>
    </row>
    <row r="38" spans="1:36" x14ac:dyDescent="0.2">
      <c r="A38" s="958"/>
      <c r="B38" s="958"/>
      <c r="C38" s="1154" t="s">
        <v>58</v>
      </c>
      <c r="D38" s="1458">
        <f t="shared" si="5"/>
        <v>5890.8079440231841</v>
      </c>
      <c r="E38" s="1458">
        <f t="shared" si="6"/>
        <v>5591.2490198622763</v>
      </c>
      <c r="F38" s="1459">
        <v>147.50587528100979</v>
      </c>
      <c r="G38" s="1459">
        <v>0</v>
      </c>
      <c r="H38" s="1459">
        <v>189.650411075584</v>
      </c>
      <c r="I38" s="1459">
        <v>988.40027105590912</v>
      </c>
      <c r="J38" s="1459">
        <v>6.8762137349042156</v>
      </c>
      <c r="K38" s="1459">
        <v>4258.8162487148693</v>
      </c>
      <c r="L38" s="1458">
        <f t="shared" si="7"/>
        <v>299.55892416090785</v>
      </c>
      <c r="M38" s="1174">
        <v>213.71715914774876</v>
      </c>
      <c r="N38" s="1235">
        <v>85.84176501315909</v>
      </c>
      <c r="O38" s="1458">
        <f t="shared" si="8"/>
        <v>10955.250266453284</v>
      </c>
      <c r="P38" s="1458">
        <f t="shared" si="2"/>
        <v>7732.302344899791</v>
      </c>
      <c r="Q38" s="1459">
        <v>1136.793399722068</v>
      </c>
      <c r="R38" s="1459">
        <v>14.417867508670129</v>
      </c>
      <c r="S38" s="1459">
        <v>2392.2569397078055</v>
      </c>
      <c r="T38" s="1459">
        <v>2345.6761369874866</v>
      </c>
      <c r="U38" s="1459">
        <v>14.861494201244595</v>
      </c>
      <c r="V38" s="1459">
        <v>1828.2965067725161</v>
      </c>
      <c r="W38" s="1458">
        <f t="shared" si="9"/>
        <v>3222.9479215534921</v>
      </c>
      <c r="X38" s="1174">
        <v>1740.2366082964845</v>
      </c>
      <c r="Y38" s="1217">
        <v>1482.7113132570075</v>
      </c>
      <c r="Z38" s="173"/>
      <c r="AA38" s="1081">
        <f>+TableB2!L39/TableB2!$L$91</f>
        <v>1.4770745163787515E-2</v>
      </c>
      <c r="AB38" s="1145"/>
      <c r="AC38" s="1145">
        <f t="shared" si="10"/>
        <v>0</v>
      </c>
      <c r="AD38" s="1145">
        <f t="shared" si="11"/>
        <v>0</v>
      </c>
      <c r="AE38" s="1145">
        <f t="shared" si="12"/>
        <v>0</v>
      </c>
      <c r="AF38" s="1145"/>
      <c r="AG38" s="1145"/>
      <c r="AH38" s="1145">
        <f t="shared" si="3"/>
        <v>0</v>
      </c>
      <c r="AI38" s="1145"/>
      <c r="AJ38" s="1145">
        <f t="shared" si="13"/>
        <v>0</v>
      </c>
    </row>
    <row r="39" spans="1:36" s="25" customFormat="1" x14ac:dyDescent="0.2">
      <c r="A39" s="1115"/>
      <c r="B39" s="1115"/>
      <c r="C39" s="1080" t="s">
        <v>59</v>
      </c>
      <c r="D39" s="1458">
        <f t="shared" si="5"/>
        <v>1708.4063931042667</v>
      </c>
      <c r="E39" s="1458">
        <f t="shared" si="6"/>
        <v>1556.5751575706558</v>
      </c>
      <c r="F39" s="1459">
        <v>233.79126698674335</v>
      </c>
      <c r="G39" s="1459">
        <v>0</v>
      </c>
      <c r="H39" s="1459">
        <v>103.91955273556854</v>
      </c>
      <c r="I39" s="1459">
        <v>422.66533135032205</v>
      </c>
      <c r="J39" s="1459">
        <v>4.3253602526010386</v>
      </c>
      <c r="K39" s="1459">
        <v>791.8736462454209</v>
      </c>
      <c r="L39" s="1458">
        <f t="shared" si="7"/>
        <v>151.83123553361082</v>
      </c>
      <c r="M39" s="1174">
        <v>60.555043536414544</v>
      </c>
      <c r="N39" s="1235">
        <v>91.276191997196278</v>
      </c>
      <c r="O39" s="1458">
        <f t="shared" si="8"/>
        <v>8300.5881380876817</v>
      </c>
      <c r="P39" s="1458">
        <f t="shared" si="2"/>
        <v>6281.0885268155707</v>
      </c>
      <c r="Q39" s="1459">
        <v>1089.1035302703128</v>
      </c>
      <c r="R39" s="1459">
        <v>5.5453336571808194</v>
      </c>
      <c r="S39" s="1459">
        <v>2390.0388062449329</v>
      </c>
      <c r="T39" s="1459">
        <v>2109.4449231915837</v>
      </c>
      <c r="U39" s="1459">
        <v>133.19891444548327</v>
      </c>
      <c r="V39" s="1459">
        <v>553.75701900607658</v>
      </c>
      <c r="W39" s="1458">
        <f t="shared" si="9"/>
        <v>2019.499611272111</v>
      </c>
      <c r="X39" s="1174">
        <v>711.46630821629913</v>
      </c>
      <c r="Y39" s="1217">
        <v>1308.0333030558118</v>
      </c>
      <c r="Z39" s="173"/>
      <c r="AA39" s="1081">
        <f>+TableB2!L40/TableB2!$L$91</f>
        <v>8.0149738798014902E-3</v>
      </c>
      <c r="AB39" s="1460"/>
      <c r="AC39" s="1145">
        <f t="shared" si="10"/>
        <v>0</v>
      </c>
      <c r="AD39" s="1145">
        <f t="shared" si="11"/>
        <v>0</v>
      </c>
      <c r="AE39" s="1145">
        <f t="shared" si="12"/>
        <v>0</v>
      </c>
      <c r="AF39" s="1460"/>
      <c r="AG39" s="1460"/>
      <c r="AH39" s="1145">
        <f t="shared" si="3"/>
        <v>0</v>
      </c>
      <c r="AI39" s="1460"/>
      <c r="AJ39" s="1145">
        <f t="shared" si="13"/>
        <v>0</v>
      </c>
    </row>
    <row r="40" spans="1:36" x14ac:dyDescent="0.2">
      <c r="A40" s="1115"/>
      <c r="B40" s="1115"/>
      <c r="C40" s="1080" t="s">
        <v>60</v>
      </c>
      <c r="D40" s="1461"/>
      <c r="E40" s="1461">
        <f t="shared" si="6"/>
        <v>3885.5043869134561</v>
      </c>
      <c r="F40" s="1462">
        <v>110.90667314361637</v>
      </c>
      <c r="G40" s="1462">
        <v>4.5471735988882713</v>
      </c>
      <c r="H40" s="1462">
        <v>26.063068188749849</v>
      </c>
      <c r="I40" s="1462">
        <v>1274.3176744201521</v>
      </c>
      <c r="J40" s="1462">
        <v>5.3235203108935858</v>
      </c>
      <c r="K40" s="1462">
        <v>2464.3462772511562</v>
      </c>
      <c r="L40" s="1461"/>
      <c r="M40" s="1107">
        <v>0</v>
      </c>
      <c r="N40" s="1463"/>
      <c r="O40" s="1461"/>
      <c r="P40" s="1461">
        <f t="shared" si="2"/>
        <v>20825.944176235142</v>
      </c>
      <c r="Q40" s="1462">
        <v>3530.1594061613096</v>
      </c>
      <c r="R40" s="1462">
        <v>9.9816005829254735</v>
      </c>
      <c r="S40" s="1462">
        <v>3238.4748557935982</v>
      </c>
      <c r="T40" s="1462">
        <v>6084.3400886587942</v>
      </c>
      <c r="U40" s="1462">
        <v>34.381068674521075</v>
      </c>
      <c r="V40" s="1462">
        <v>7928.6071563639907</v>
      </c>
      <c r="W40" s="1461"/>
      <c r="X40" s="1107"/>
      <c r="Y40" s="1464"/>
      <c r="Z40" s="173"/>
      <c r="AA40" s="1081">
        <f>+TableB2!L41/TableB2!$L$91</f>
        <v>2.836941179799185E-2</v>
      </c>
      <c r="AB40" s="1145">
        <v>0</v>
      </c>
      <c r="AC40" s="1145">
        <f t="shared" si="10"/>
        <v>0</v>
      </c>
      <c r="AD40" s="1145">
        <f t="shared" si="11"/>
        <v>0</v>
      </c>
      <c r="AE40" s="1145">
        <f t="shared" si="12"/>
        <v>0</v>
      </c>
      <c r="AF40" s="1145"/>
      <c r="AG40" s="1145"/>
      <c r="AH40" s="1145">
        <f t="shared" si="3"/>
        <v>0</v>
      </c>
      <c r="AI40" s="1145"/>
      <c r="AJ40" s="1145">
        <f t="shared" si="13"/>
        <v>0</v>
      </c>
    </row>
    <row r="41" spans="1:36" x14ac:dyDescent="0.2">
      <c r="A41" s="958"/>
      <c r="B41" s="958"/>
      <c r="C41" s="1154" t="s">
        <v>61</v>
      </c>
      <c r="D41" s="1458">
        <f t="shared" si="5"/>
        <v>450.57170014861714</v>
      </c>
      <c r="E41" s="1458">
        <f t="shared" si="6"/>
        <v>198.19022490764246</v>
      </c>
      <c r="F41" s="1459">
        <v>16.746907644686075</v>
      </c>
      <c r="G41" s="1459">
        <v>0</v>
      </c>
      <c r="H41" s="1459">
        <v>0</v>
      </c>
      <c r="I41" s="1459">
        <v>53.457016455223098</v>
      </c>
      <c r="J41" s="1459">
        <v>0.44362669257446552</v>
      </c>
      <c r="K41" s="1459">
        <v>127.54267411515883</v>
      </c>
      <c r="L41" s="1458">
        <f t="shared" si="7"/>
        <v>252.38147524097468</v>
      </c>
      <c r="M41" s="1174">
        <v>43.083394814788463</v>
      </c>
      <c r="N41" s="1235">
        <v>209.2980804261862</v>
      </c>
      <c r="O41" s="1458">
        <f t="shared" si="8"/>
        <v>6095.7127948907346</v>
      </c>
      <c r="P41" s="1458">
        <f t="shared" si="2"/>
        <v>2021.0523046961212</v>
      </c>
      <c r="Q41" s="1459">
        <v>342.14708664805653</v>
      </c>
      <c r="R41" s="1459">
        <v>0</v>
      </c>
      <c r="S41" s="1459">
        <v>600.11600838010827</v>
      </c>
      <c r="T41" s="1459">
        <v>240.66748072164754</v>
      </c>
      <c r="U41" s="1459">
        <v>23.623121379590291</v>
      </c>
      <c r="V41" s="1459">
        <v>814.49860756671865</v>
      </c>
      <c r="W41" s="1458">
        <f t="shared" si="9"/>
        <v>4074.660490194613</v>
      </c>
      <c r="X41" s="1174">
        <v>391.72606362262889</v>
      </c>
      <c r="Y41" s="1217">
        <v>3682.9344265719842</v>
      </c>
      <c r="Z41" s="173"/>
      <c r="AA41" s="1081">
        <f>+TableB2!L42/TableB2!$L$91</f>
        <v>4.8420630757141404E-3</v>
      </c>
      <c r="AB41" s="1145">
        <f>+AA41</f>
        <v>4.8420630757141404E-3</v>
      </c>
      <c r="AC41" s="1145">
        <f t="shared" si="10"/>
        <v>1.1459197670717357E-2</v>
      </c>
      <c r="AD41" s="1145">
        <f t="shared" si="11"/>
        <v>4.8420630757141404E-3</v>
      </c>
      <c r="AE41" s="1145">
        <f t="shared" si="12"/>
        <v>1.8914296467102243E-2</v>
      </c>
      <c r="AF41" s="1145"/>
      <c r="AG41" s="1145"/>
      <c r="AH41" s="1145">
        <f t="shared" si="3"/>
        <v>0</v>
      </c>
      <c r="AI41" s="1145"/>
      <c r="AJ41" s="1145">
        <f t="shared" si="13"/>
        <v>0</v>
      </c>
    </row>
    <row r="42" spans="1:36" x14ac:dyDescent="0.2">
      <c r="A42" s="958"/>
      <c r="B42" s="958"/>
      <c r="C42" s="1154" t="s">
        <v>62</v>
      </c>
      <c r="D42" s="1458">
        <f t="shared" si="5"/>
        <v>10849.112580254841</v>
      </c>
      <c r="E42" s="1458">
        <f t="shared" si="6"/>
        <v>8568.9822870952321</v>
      </c>
      <c r="F42" s="1459">
        <v>746.40191025653826</v>
      </c>
      <c r="G42" s="1459">
        <v>55.453336571808187</v>
      </c>
      <c r="H42" s="1459">
        <v>457.37912004427392</v>
      </c>
      <c r="I42" s="1459">
        <v>3357.3668094035547</v>
      </c>
      <c r="J42" s="1459">
        <v>29.612081729345572</v>
      </c>
      <c r="K42" s="1459">
        <v>3922.7690290897112</v>
      </c>
      <c r="L42" s="1458">
        <f t="shared" si="7"/>
        <v>2280.1302931596092</v>
      </c>
      <c r="M42" s="1174">
        <v>247.87641447598261</v>
      </c>
      <c r="N42" s="1235">
        <v>2032.2538786836265</v>
      </c>
      <c r="O42" s="1458">
        <f t="shared" si="8"/>
        <v>63746.272149448952</v>
      </c>
      <c r="P42" s="1458">
        <f t="shared" si="2"/>
        <v>51054.556101586073</v>
      </c>
      <c r="Q42" s="1459">
        <v>6705.4174582630467</v>
      </c>
      <c r="R42" s="1459">
        <v>732.76038945987352</v>
      </c>
      <c r="S42" s="1459">
        <v>18778.717896677124</v>
      </c>
      <c r="T42" s="1459">
        <v>13558.229885133958</v>
      </c>
      <c r="U42" s="1459">
        <v>268.72686902698251</v>
      </c>
      <c r="V42" s="1459">
        <v>11010.703603025089</v>
      </c>
      <c r="W42" s="1458">
        <f t="shared" si="9"/>
        <v>12691.716047862883</v>
      </c>
      <c r="X42" s="1174">
        <v>4073.8239179113166</v>
      </c>
      <c r="Y42" s="1217">
        <v>8617.8921299515659</v>
      </c>
      <c r="Z42" s="173"/>
      <c r="AA42" s="1081">
        <f>+TableB2!L43/TableB2!$L$91</f>
        <v>4.6915671169686653E-2</v>
      </c>
      <c r="AB42" s="1145"/>
      <c r="AC42" s="1145">
        <f t="shared" si="10"/>
        <v>0</v>
      </c>
      <c r="AD42" s="1145">
        <f t="shared" si="11"/>
        <v>0</v>
      </c>
      <c r="AE42" s="1145">
        <f t="shared" si="12"/>
        <v>0</v>
      </c>
      <c r="AF42" s="1145"/>
      <c r="AG42" s="1145"/>
      <c r="AH42" s="1145">
        <f t="shared" si="3"/>
        <v>0</v>
      </c>
      <c r="AI42" s="1145"/>
      <c r="AJ42" s="1145">
        <f t="shared" si="13"/>
        <v>0</v>
      </c>
    </row>
    <row r="43" spans="1:36" x14ac:dyDescent="0.2">
      <c r="A43" s="958"/>
      <c r="B43" s="958"/>
      <c r="C43" s="1154" t="s">
        <v>63</v>
      </c>
      <c r="D43" s="1458">
        <f t="shared" si="5"/>
        <v>25374.495942423811</v>
      </c>
      <c r="E43" s="1458">
        <f t="shared" si="6"/>
        <v>16693.561534903994</v>
      </c>
      <c r="F43" s="1459">
        <v>1857.1322417898564</v>
      </c>
      <c r="G43" s="1459">
        <v>181.33241058981278</v>
      </c>
      <c r="H43" s="1459">
        <v>1051.0625413820526</v>
      </c>
      <c r="I43" s="1459">
        <v>9928.476286489682</v>
      </c>
      <c r="J43" s="1459">
        <v>95.490645576653719</v>
      </c>
      <c r="K43" s="1459">
        <v>3580.0674090759367</v>
      </c>
      <c r="L43" s="1458">
        <f t="shared" si="7"/>
        <v>8680.9344075198187</v>
      </c>
      <c r="M43" s="1174">
        <v>1481.9000645089254</v>
      </c>
      <c r="N43" s="1235">
        <v>7199.0343430108933</v>
      </c>
      <c r="O43" s="1458">
        <f t="shared" si="8"/>
        <v>149246.84163882458</v>
      </c>
      <c r="P43" s="1458">
        <f t="shared" si="2"/>
        <v>40351.729423207667</v>
      </c>
      <c r="Q43" s="1459">
        <v>8919.1146542096285</v>
      </c>
      <c r="R43" s="1459">
        <v>166.36000971542458</v>
      </c>
      <c r="S43" s="1459">
        <v>8470.9407880362742</v>
      </c>
      <c r="T43" s="1459">
        <v>5220.3771048700228</v>
      </c>
      <c r="U43" s="1459">
        <v>59.335070131834762</v>
      </c>
      <c r="V43" s="1459">
        <v>17515.601796244478</v>
      </c>
      <c r="W43" s="1458">
        <f t="shared" si="9"/>
        <v>108895.11221561691</v>
      </c>
      <c r="X43" s="1174">
        <v>17601</v>
      </c>
      <c r="Y43" s="1217">
        <v>91294.112215616915</v>
      </c>
      <c r="Z43" s="173"/>
      <c r="AA43" s="1081">
        <f>+TableB2!L44/TableB2!$L$91</f>
        <v>0.16654800799945507</v>
      </c>
      <c r="AB43" s="1145">
        <f>+AA43</f>
        <v>0.16654800799945507</v>
      </c>
      <c r="AC43" s="1145">
        <f t="shared" si="10"/>
        <v>0.39415152497749978</v>
      </c>
      <c r="AD43" s="1145"/>
      <c r="AE43" s="1145">
        <f t="shared" si="12"/>
        <v>0</v>
      </c>
      <c r="AF43" s="1145"/>
      <c r="AG43" s="1145"/>
      <c r="AH43" s="1145">
        <f t="shared" si="3"/>
        <v>0</v>
      </c>
      <c r="AI43" s="1145"/>
      <c r="AJ43" s="1145">
        <f t="shared" si="13"/>
        <v>0</v>
      </c>
    </row>
    <row r="44" spans="1:36" ht="34" x14ac:dyDescent="0.2">
      <c r="A44" s="958"/>
      <c r="B44" s="958"/>
      <c r="C44" s="7" t="s">
        <v>64</v>
      </c>
      <c r="D44" s="1207">
        <f t="shared" si="5"/>
        <v>14675.920163064318</v>
      </c>
      <c r="E44" s="1207">
        <f>+SUM(E45:E51)</f>
        <v>8783.0862430353827</v>
      </c>
      <c r="F44" s="245">
        <f t="shared" ref="F44:K44" si="14">+SUM(F45:F51)</f>
        <v>534.10653821553854</v>
      </c>
      <c r="G44" s="245">
        <f t="shared" si="14"/>
        <v>19.427034071080644</v>
      </c>
      <c r="H44" s="245">
        <f t="shared" si="14"/>
        <v>29.952115339208834</v>
      </c>
      <c r="I44" s="245">
        <f t="shared" si="14"/>
        <v>4366.8562223314439</v>
      </c>
      <c r="J44" s="245">
        <f t="shared" si="14"/>
        <v>21.182473360580122</v>
      </c>
      <c r="K44" s="245">
        <f t="shared" si="14"/>
        <v>3811.5618597175303</v>
      </c>
      <c r="L44" s="1207">
        <f>+SUM(L45:L51)</f>
        <v>5892.8339200289365</v>
      </c>
      <c r="M44" s="245">
        <f>+SUM(M45:M51)</f>
        <v>1005.9505758581356</v>
      </c>
      <c r="N44" s="623">
        <f>+SUM(N45:N51)</f>
        <v>4886.8833441708002</v>
      </c>
      <c r="O44" s="1207">
        <f t="shared" si="8"/>
        <v>115966.65660172787</v>
      </c>
      <c r="P44" s="1207">
        <f t="shared" ref="P44:Y44" si="15">+SUM(P45:P51)</f>
        <v>20827.750204994591</v>
      </c>
      <c r="Q44" s="1459">
        <f t="shared" si="15"/>
        <v>1851.9816941251784</v>
      </c>
      <c r="R44" s="1459">
        <f t="shared" si="15"/>
        <v>611.37358616807273</v>
      </c>
      <c r="S44" s="1459">
        <f t="shared" si="15"/>
        <v>9939.0263071812933</v>
      </c>
      <c r="T44" s="1459">
        <f t="shared" si="15"/>
        <v>2049.1465669669583</v>
      </c>
      <c r="U44" s="1459">
        <f t="shared" si="15"/>
        <v>121.74967324744678</v>
      </c>
      <c r="V44" s="1459">
        <f t="shared" si="15"/>
        <v>6254.4723773056385</v>
      </c>
      <c r="W44" s="1207">
        <f t="shared" si="15"/>
        <v>95138.906396733277</v>
      </c>
      <c r="X44" s="245">
        <f t="shared" si="15"/>
        <v>9146.3790393918371</v>
      </c>
      <c r="Y44" s="624">
        <f t="shared" si="15"/>
        <v>85992.52735734146</v>
      </c>
      <c r="Z44" s="173"/>
      <c r="AA44" s="1081"/>
      <c r="AB44" s="1145"/>
      <c r="AC44" s="1145">
        <f t="shared" si="10"/>
        <v>0</v>
      </c>
      <c r="AD44" s="1145"/>
      <c r="AE44" s="1145">
        <f t="shared" si="12"/>
        <v>0</v>
      </c>
      <c r="AF44" s="1145"/>
      <c r="AG44" s="1145"/>
      <c r="AH44" s="1145">
        <f t="shared" si="3"/>
        <v>0</v>
      </c>
      <c r="AI44" s="1145"/>
      <c r="AJ44" s="1145">
        <f t="shared" si="13"/>
        <v>0</v>
      </c>
    </row>
    <row r="45" spans="1:36" x14ac:dyDescent="0.2">
      <c r="A45" s="958"/>
      <c r="B45" s="958"/>
      <c r="C45" s="1155" t="s">
        <v>65</v>
      </c>
      <c r="D45" s="1458">
        <f t="shared" si="5"/>
        <v>3910.8574105696666</v>
      </c>
      <c r="E45" s="1458">
        <f t="shared" si="6"/>
        <v>3238.8075758130294</v>
      </c>
      <c r="F45" s="1459">
        <v>284.36470994023244</v>
      </c>
      <c r="G45" s="1459">
        <v>0</v>
      </c>
      <c r="H45" s="1459">
        <v>34.491975347664699</v>
      </c>
      <c r="I45" s="1459">
        <v>804.84972700322407</v>
      </c>
      <c r="J45" s="1459">
        <v>4.5471735988882713</v>
      </c>
      <c r="K45" s="1459">
        <v>2110.5539899230198</v>
      </c>
      <c r="L45" s="1458">
        <f t="shared" si="7"/>
        <v>672.04983475663721</v>
      </c>
      <c r="M45" s="1174">
        <v>114.72390490779084</v>
      </c>
      <c r="N45" s="1235">
        <v>557.32592984884639</v>
      </c>
      <c r="O45" s="1458">
        <f t="shared" si="8"/>
        <v>13941.998489822339</v>
      </c>
      <c r="P45" s="1458">
        <f t="shared" ref="P45:P51" si="16">SUM(Q45:V45)</f>
        <v>3091.8562338977372</v>
      </c>
      <c r="Q45" s="1459">
        <v>201.85014512138181</v>
      </c>
      <c r="R45" s="1459">
        <v>0.11090667314361638</v>
      </c>
      <c r="S45" s="1459">
        <v>987.84573769019119</v>
      </c>
      <c r="T45" s="1459">
        <v>209.61361224143496</v>
      </c>
      <c r="U45" s="1459">
        <v>0</v>
      </c>
      <c r="V45" s="1459">
        <v>1692.4358321715858</v>
      </c>
      <c r="W45" s="1458">
        <f t="shared" si="9"/>
        <v>10850.142255924602</v>
      </c>
      <c r="X45" s="1174">
        <v>1043.1012659550181</v>
      </c>
      <c r="Y45" s="1217">
        <v>9807.0409899695842</v>
      </c>
      <c r="Z45" s="173"/>
      <c r="AA45" s="1081">
        <f>+TableB2!L46/TableB2!$L$91</f>
        <v>1.2893607531249549E-2</v>
      </c>
      <c r="AB45" s="1145">
        <f>+AA45</f>
        <v>1.2893607531249549E-2</v>
      </c>
      <c r="AC45" s="1145">
        <f t="shared" si="10"/>
        <v>3.0513934882487537E-2</v>
      </c>
      <c r="AD45" s="1145">
        <f t="shared" ref="AD45:AD51" si="17">+AB45</f>
        <v>1.2893607531249549E-2</v>
      </c>
      <c r="AE45" s="1145">
        <f t="shared" si="12"/>
        <v>5.0365621340144995E-2</v>
      </c>
      <c r="AF45" s="1145"/>
      <c r="AG45" s="1145">
        <f>+AF45</f>
        <v>0</v>
      </c>
      <c r="AH45" s="1145">
        <f t="shared" si="3"/>
        <v>0</v>
      </c>
      <c r="AI45" s="1145">
        <f>+AH45</f>
        <v>0</v>
      </c>
      <c r="AJ45" s="1145">
        <f t="shared" si="13"/>
        <v>0</v>
      </c>
    </row>
    <row r="46" spans="1:36" x14ac:dyDescent="0.2">
      <c r="A46" t="s">
        <v>337</v>
      </c>
      <c r="B46" s="327" t="s">
        <v>638</v>
      </c>
      <c r="C46" s="1154" t="s">
        <v>66</v>
      </c>
      <c r="D46" s="1458">
        <f t="shared" si="5"/>
        <v>4505.8042213739163</v>
      </c>
      <c r="E46" s="1458">
        <f t="shared" si="6"/>
        <v>418.78359779029546</v>
      </c>
      <c r="F46" s="1459">
        <v>60.000510170696465</v>
      </c>
      <c r="G46" s="1459">
        <v>0</v>
      </c>
      <c r="H46" s="1459">
        <v>0</v>
      </c>
      <c r="I46" s="1459">
        <v>237.56209387362628</v>
      </c>
      <c r="J46" s="1459">
        <v>2.5508534823031765</v>
      </c>
      <c r="K46" s="1459">
        <v>118.67014026366952</v>
      </c>
      <c r="L46" s="1458">
        <f t="shared" si="7"/>
        <v>4087.0206235836213</v>
      </c>
      <c r="M46" s="1174">
        <v>697.68481610590368</v>
      </c>
      <c r="N46" s="1235">
        <v>3389.3358074777175</v>
      </c>
      <c r="O46" s="1458">
        <f t="shared" si="8"/>
        <v>73399.213124886432</v>
      </c>
      <c r="P46" s="1458">
        <f t="shared" si="16"/>
        <v>7414.8874463627608</v>
      </c>
      <c r="Q46" s="1459">
        <v>694.27577387903852</v>
      </c>
      <c r="R46" s="1459">
        <v>77.080137834813385</v>
      </c>
      <c r="S46" s="1459">
        <v>3542.359140207107</v>
      </c>
      <c r="T46" s="1459">
        <v>1212.2099374597271</v>
      </c>
      <c r="U46" s="1459">
        <v>0.88725338514893104</v>
      </c>
      <c r="V46" s="1459">
        <v>1888.0752035969253</v>
      </c>
      <c r="W46" s="1458">
        <f t="shared" si="9"/>
        <v>65984.325678523674</v>
      </c>
      <c r="X46" s="1174">
        <v>6343.5420499554539</v>
      </c>
      <c r="Y46" s="1217">
        <v>59640.783628568213</v>
      </c>
      <c r="Z46" s="173"/>
      <c r="AA46" s="1081">
        <f>+TableB2!L47/TableB2!$L$91</f>
        <v>7.8411506360525254E-2</v>
      </c>
      <c r="AB46" s="1145">
        <f t="shared" ref="AB46:AB51" si="18">+AA46</f>
        <v>7.8411506360525254E-2</v>
      </c>
      <c r="AC46" s="1145">
        <f t="shared" si="10"/>
        <v>0.1855682045016418</v>
      </c>
      <c r="AD46" s="1145">
        <f t="shared" si="17"/>
        <v>7.8411506360525254E-2</v>
      </c>
      <c r="AE46" s="1145">
        <f t="shared" si="12"/>
        <v>0.30629474555457137</v>
      </c>
      <c r="AF46" s="1145"/>
      <c r="AG46" s="1145">
        <f t="shared" ref="AG46:AG51" si="19">+AF46</f>
        <v>0</v>
      </c>
      <c r="AH46" s="1145">
        <f t="shared" si="3"/>
        <v>0</v>
      </c>
      <c r="AI46" s="1145">
        <f>+AH46</f>
        <v>0</v>
      </c>
      <c r="AJ46" s="1145">
        <f t="shared" si="13"/>
        <v>0</v>
      </c>
    </row>
    <row r="47" spans="1:36" x14ac:dyDescent="0.2">
      <c r="A47" s="958"/>
      <c r="B47" s="958"/>
      <c r="C47" s="1154" t="s">
        <v>67</v>
      </c>
      <c r="D47" s="1458">
        <f t="shared" si="5"/>
        <v>132.27729689696474</v>
      </c>
      <c r="E47" s="1458">
        <f>SUM(F47:K47)</f>
        <v>69.860454737633304</v>
      </c>
      <c r="F47" s="1459">
        <v>27.439728472776821</v>
      </c>
      <c r="G47" s="1459">
        <v>-0.49553718231784677</v>
      </c>
      <c r="H47" s="1459">
        <v>-2.5891389110724861</v>
      </c>
      <c r="I47" s="1459">
        <v>36.69547141447832</v>
      </c>
      <c r="J47" s="1459">
        <v>-2.4039554657772357</v>
      </c>
      <c r="K47" s="1459">
        <v>11.213886409545735</v>
      </c>
      <c r="L47" s="1458">
        <f>SUM(M47:N47)</f>
        <v>62.416842159331445</v>
      </c>
      <c r="M47" s="1174">
        <v>10.655019158102712</v>
      </c>
      <c r="N47" s="1235">
        <v>51.761823001228734</v>
      </c>
      <c r="O47" s="1458">
        <f t="shared" si="8"/>
        <v>1647.3271744857298</v>
      </c>
      <c r="P47" s="1458">
        <f t="shared" si="16"/>
        <v>639.61676140367365</v>
      </c>
      <c r="Q47" s="1459">
        <v>43.552402874994137</v>
      </c>
      <c r="R47" s="1459">
        <v>15.718302250199656</v>
      </c>
      <c r="S47" s="1459">
        <v>353.5203410532248</v>
      </c>
      <c r="T47" s="1459">
        <v>33.859421243012186</v>
      </c>
      <c r="U47" s="1459">
        <v>63.236717245267052</v>
      </c>
      <c r="V47" s="1459">
        <v>129.72957673697579</v>
      </c>
      <c r="W47" s="1458">
        <f t="shared" si="9"/>
        <v>1007.710413082056</v>
      </c>
      <c r="X47" s="1174">
        <v>96.878361850784117</v>
      </c>
      <c r="Y47" s="1217">
        <v>910.83205123127186</v>
      </c>
      <c r="Z47" s="173"/>
      <c r="AA47" s="1081">
        <f>+TableB2!L48/TableB2!$L$91</f>
        <v>1.1974979004850091E-3</v>
      </c>
      <c r="AB47" s="1145">
        <f t="shared" si="18"/>
        <v>1.1974979004850091E-3</v>
      </c>
      <c r="AC47" s="1145">
        <f t="shared" si="10"/>
        <v>2.8339914076610565E-3</v>
      </c>
      <c r="AD47" s="1145">
        <f t="shared" si="17"/>
        <v>1.1974979004850091E-3</v>
      </c>
      <c r="AE47" s="1145">
        <f t="shared" si="12"/>
        <v>4.6777231015656291E-3</v>
      </c>
      <c r="AF47" s="1145"/>
      <c r="AG47" s="1145">
        <f>+AB47</f>
        <v>1.1974979004850091E-3</v>
      </c>
      <c r="AH47" s="1145">
        <f t="shared" si="3"/>
        <v>1.7146615305115801E-2</v>
      </c>
      <c r="AI47" s="1145">
        <f>+AD47</f>
        <v>1.1974979004850091E-3</v>
      </c>
      <c r="AJ47" s="1145">
        <f>+AI47/$AI$90</f>
        <v>1.7146615305115801E-2</v>
      </c>
    </row>
    <row r="48" spans="1:36" x14ac:dyDescent="0.2">
      <c r="A48" s="958"/>
      <c r="B48" s="958"/>
      <c r="C48" s="1154" t="s">
        <v>68</v>
      </c>
      <c r="D48" s="1458">
        <f t="shared" si="5"/>
        <v>99.660977114151521</v>
      </c>
      <c r="E48" s="1458">
        <f>SUM(F48:K48)</f>
        <v>52.634589185888103</v>
      </c>
      <c r="F48" s="1174">
        <v>20.673768027434591</v>
      </c>
      <c r="G48" s="1174">
        <v>-0.37334993188330917</v>
      </c>
      <c r="H48" s="1174">
        <v>-1.9507210973833797</v>
      </c>
      <c r="I48" s="1174">
        <v>27.647272983511058</v>
      </c>
      <c r="J48" s="1174">
        <v>-1.8111993235307939</v>
      </c>
      <c r="K48" s="1174">
        <v>8.4488185277399364</v>
      </c>
      <c r="L48" s="1458">
        <f t="shared" si="7"/>
        <v>47.026387928263418</v>
      </c>
      <c r="M48" s="1174">
        <v>8.0277541602143714</v>
      </c>
      <c r="N48" s="1235">
        <v>38.998633768049046</v>
      </c>
      <c r="O48" s="1458">
        <f t="shared" si="8"/>
        <v>1241.1369122837689</v>
      </c>
      <c r="P48" s="1458">
        <f t="shared" si="16"/>
        <v>481.90303941372662</v>
      </c>
      <c r="Q48" s="1459">
        <v>32.813454220885994</v>
      </c>
      <c r="R48" s="1459">
        <v>11.842556489876452</v>
      </c>
      <c r="S48" s="1459">
        <v>266.35094188941594</v>
      </c>
      <c r="T48" s="1459">
        <v>25.510522854324247</v>
      </c>
      <c r="U48" s="1459">
        <v>47.644102034105309</v>
      </c>
      <c r="V48" s="1459">
        <v>97.741461925118742</v>
      </c>
      <c r="W48" s="1458">
        <f t="shared" si="9"/>
        <v>759.23387287004221</v>
      </c>
      <c r="X48" s="1174">
        <v>72.990546599905841</v>
      </c>
      <c r="Y48" s="1217">
        <v>686.24332627013632</v>
      </c>
      <c r="Z48" s="173"/>
      <c r="AA48" s="1081">
        <f>+TableB2!L49/TableB2!$L$91</f>
        <v>9.0222444557089721E-4</v>
      </c>
      <c r="AB48" s="1145">
        <f t="shared" si="18"/>
        <v>9.0222444557089721E-4</v>
      </c>
      <c r="AC48" s="1145">
        <f t="shared" si="10"/>
        <v>2.1351990057720286E-3</v>
      </c>
      <c r="AD48" s="1145">
        <f t="shared" si="17"/>
        <v>9.0222444557089721E-4</v>
      </c>
      <c r="AE48" s="1145">
        <f t="shared" si="12"/>
        <v>3.5243119258371179E-3</v>
      </c>
      <c r="AF48" s="1145"/>
      <c r="AG48" s="1145">
        <f>+AB48</f>
        <v>9.0222444557089721E-4</v>
      </c>
      <c r="AH48" s="1145">
        <f t="shared" si="3"/>
        <v>1.2918682764128343E-2</v>
      </c>
      <c r="AI48" s="1145">
        <f>+AD48</f>
        <v>9.0222444557089721E-4</v>
      </c>
      <c r="AJ48" s="1145">
        <f>+AI48/$AI$90</f>
        <v>1.2918682764128343E-2</v>
      </c>
    </row>
    <row r="49" spans="2:36" x14ac:dyDescent="0.2">
      <c r="B49" s="958"/>
      <c r="C49" s="1154" t="s">
        <v>69</v>
      </c>
      <c r="D49" s="1458">
        <f t="shared" si="5"/>
        <v>573.44883938033706</v>
      </c>
      <c r="E49" s="1458">
        <f t="shared" si="6"/>
        <v>68.983950695329398</v>
      </c>
      <c r="F49" s="1459">
        <v>15.305120893819062</v>
      </c>
      <c r="G49" s="1459">
        <v>0</v>
      </c>
      <c r="H49" s="1459">
        <v>0</v>
      </c>
      <c r="I49" s="1459">
        <v>28.835735017340259</v>
      </c>
      <c r="J49" s="1459">
        <v>0.44362669257446552</v>
      </c>
      <c r="K49" s="1459">
        <v>24.399468091595605</v>
      </c>
      <c r="L49" s="1458">
        <f t="shared" si="7"/>
        <v>504.46488868500762</v>
      </c>
      <c r="M49" s="1174">
        <v>86.11590826411782</v>
      </c>
      <c r="N49" s="1235">
        <v>418.3489804208898</v>
      </c>
      <c r="O49" s="1458">
        <f t="shared" si="8"/>
        <v>11523.835148746442</v>
      </c>
      <c r="P49" s="1458">
        <f t="shared" si="16"/>
        <v>3379.3263306859913</v>
      </c>
      <c r="Q49" s="1459">
        <v>167.46907644686073</v>
      </c>
      <c r="R49" s="1459">
        <v>9.9816005829254735</v>
      </c>
      <c r="S49" s="1459">
        <v>2363.4212046904649</v>
      </c>
      <c r="T49" s="1459">
        <v>121.11008707282909</v>
      </c>
      <c r="U49" s="1459">
        <v>2.1072267897287111</v>
      </c>
      <c r="V49" s="1459">
        <v>715.23713510318203</v>
      </c>
      <c r="W49" s="1458">
        <f t="shared" si="9"/>
        <v>8144.5088180604516</v>
      </c>
      <c r="X49" s="1174">
        <v>782.98949988989898</v>
      </c>
      <c r="Y49" s="1217">
        <v>7361.5193181705527</v>
      </c>
      <c r="Z49" s="173"/>
      <c r="AA49" s="1081">
        <f>+TableB2!L50/TableB2!$L$91</f>
        <v>9.6784076888514429E-3</v>
      </c>
      <c r="AB49" s="1145">
        <f t="shared" si="18"/>
        <v>9.6784076888514429E-3</v>
      </c>
      <c r="AC49" s="1145">
        <f t="shared" si="10"/>
        <v>2.2904862061918128E-2</v>
      </c>
      <c r="AD49" s="1145">
        <f t="shared" si="17"/>
        <v>9.6784076888514429E-3</v>
      </c>
      <c r="AE49" s="1145">
        <f t="shared" si="12"/>
        <v>3.7806255204434536E-2</v>
      </c>
      <c r="AF49" s="1145"/>
      <c r="AG49" s="1145">
        <f t="shared" si="19"/>
        <v>0</v>
      </c>
      <c r="AH49" s="1145">
        <f t="shared" si="3"/>
        <v>0</v>
      </c>
      <c r="AI49" s="1145">
        <f t="shared" ref="AI49:AI51" si="20">+AH49</f>
        <v>0</v>
      </c>
      <c r="AJ49" s="1145">
        <f t="shared" si="13"/>
        <v>0</v>
      </c>
    </row>
    <row r="50" spans="2:36" x14ac:dyDescent="0.2">
      <c r="B50" s="958" t="s">
        <v>338</v>
      </c>
      <c r="C50" s="1154" t="s">
        <v>70</v>
      </c>
      <c r="D50" s="1458">
        <f t="shared" si="5"/>
        <v>4951.7815069379703</v>
      </c>
      <c r="E50" s="1458">
        <f t="shared" si="6"/>
        <v>4608.0613624441175</v>
      </c>
      <c r="F50" s="1459">
        <v>106.9140329104462</v>
      </c>
      <c r="G50" s="1459">
        <v>20.295921185281799</v>
      </c>
      <c r="H50" s="1459">
        <v>0</v>
      </c>
      <c r="I50" s="1459">
        <v>3130.2299428054289</v>
      </c>
      <c r="J50" s="1459">
        <v>16.414187625255224</v>
      </c>
      <c r="K50" s="1459">
        <v>1334.2072779177051</v>
      </c>
      <c r="L50" s="1458">
        <f t="shared" si="7"/>
        <v>343.72014449385262</v>
      </c>
      <c r="M50" s="1174">
        <v>58.675584952839593</v>
      </c>
      <c r="N50" s="1235">
        <v>285.04455954101303</v>
      </c>
      <c r="O50" s="1458">
        <f t="shared" si="8"/>
        <v>9575.44344652787</v>
      </c>
      <c r="P50" s="1458">
        <f t="shared" si="16"/>
        <v>4026.1340484595621</v>
      </c>
      <c r="Q50" s="1459">
        <v>605.55043536414541</v>
      </c>
      <c r="R50" s="1459">
        <v>487.76754848562484</v>
      </c>
      <c r="S50" s="1459">
        <v>1429.5870168212152</v>
      </c>
      <c r="T50" s="1459">
        <v>165.14003631084481</v>
      </c>
      <c r="U50" s="1459">
        <v>6.987120408047832</v>
      </c>
      <c r="V50" s="1459">
        <v>1331.1018910696839</v>
      </c>
      <c r="W50" s="1458">
        <f t="shared" si="9"/>
        <v>5549.3093980683079</v>
      </c>
      <c r="X50" s="1174">
        <v>533.49454060294806</v>
      </c>
      <c r="Y50" s="1217">
        <v>5015.8148574653596</v>
      </c>
      <c r="Z50" s="173"/>
      <c r="AA50" s="1081">
        <f>+TableB2!L51/TableB2!$L$91</f>
        <v>6.5944404930818306E-3</v>
      </c>
      <c r="AB50" s="1145">
        <f t="shared" si="18"/>
        <v>6.5944404930818306E-3</v>
      </c>
      <c r="AC50" s="1145">
        <f t="shared" si="10"/>
        <v>1.5606363642188283E-2</v>
      </c>
      <c r="AD50" s="1145">
        <f t="shared" si="17"/>
        <v>6.5944404930818306E-3</v>
      </c>
      <c r="AE50" s="1145">
        <f t="shared" si="12"/>
        <v>2.5759516257936751E-2</v>
      </c>
      <c r="AF50" s="1145"/>
      <c r="AG50" s="1145">
        <f t="shared" si="19"/>
        <v>0</v>
      </c>
      <c r="AH50" s="1145">
        <f t="shared" si="3"/>
        <v>0</v>
      </c>
      <c r="AI50" s="1145">
        <f t="shared" si="20"/>
        <v>0</v>
      </c>
      <c r="AJ50" s="1145">
        <f t="shared" si="13"/>
        <v>0</v>
      </c>
    </row>
    <row r="51" spans="2:36" x14ac:dyDescent="0.2">
      <c r="B51" s="958"/>
      <c r="C51" s="1154" t="s">
        <v>71</v>
      </c>
      <c r="D51" s="1458">
        <f t="shared" si="5"/>
        <v>502.08991079131147</v>
      </c>
      <c r="E51" s="1458">
        <f t="shared" si="6"/>
        <v>325.9547123690885</v>
      </c>
      <c r="F51" s="1459">
        <v>19.408667800132868</v>
      </c>
      <c r="G51" s="1459">
        <v>0</v>
      </c>
      <c r="H51" s="1459">
        <v>0</v>
      </c>
      <c r="I51" s="1459">
        <v>101.03597923383451</v>
      </c>
      <c r="J51" s="1459">
        <v>1.441786750867013</v>
      </c>
      <c r="K51" s="1459">
        <v>204.06827858425413</v>
      </c>
      <c r="L51" s="1458">
        <f t="shared" si="7"/>
        <v>176.135198422223</v>
      </c>
      <c r="M51" s="1174">
        <v>30.067588309166563</v>
      </c>
      <c r="N51" s="1235">
        <v>146.06761011305645</v>
      </c>
      <c r="O51" s="1458">
        <f t="shared" si="8"/>
        <v>4637.702304975297</v>
      </c>
      <c r="P51" s="1458">
        <f t="shared" si="16"/>
        <v>1794.0263447711386</v>
      </c>
      <c r="Q51" s="1459">
        <v>106.47040621787173</v>
      </c>
      <c r="R51" s="1459">
        <v>8.87253385148931</v>
      </c>
      <c r="S51" s="1459">
        <v>995.94192482967514</v>
      </c>
      <c r="T51" s="1459">
        <v>281.70294978478563</v>
      </c>
      <c r="U51" s="1459">
        <v>0.88725338514893104</v>
      </c>
      <c r="V51" s="1459">
        <v>400.15127670216793</v>
      </c>
      <c r="W51" s="1458">
        <f t="shared" si="9"/>
        <v>2843.6759602041584</v>
      </c>
      <c r="X51" s="1174">
        <v>273.38277453782916</v>
      </c>
      <c r="Y51" s="1217">
        <v>2570.293185666329</v>
      </c>
      <c r="Z51" s="173"/>
      <c r="AA51" s="1081">
        <f>+TableB2!L52/TableB2!$L$91</f>
        <v>3.3792406506837243E-3</v>
      </c>
      <c r="AB51" s="1145">
        <f t="shared" si="18"/>
        <v>3.3792406506837243E-3</v>
      </c>
      <c r="AC51" s="1145">
        <f t="shared" si="10"/>
        <v>7.9972908216188725E-3</v>
      </c>
      <c r="AD51" s="1145">
        <f t="shared" si="17"/>
        <v>3.3792406506837243E-3</v>
      </c>
      <c r="AE51" s="1145">
        <f t="shared" si="12"/>
        <v>1.3200150122226298E-2</v>
      </c>
      <c r="AF51" s="1145"/>
      <c r="AG51" s="1145">
        <f t="shared" si="19"/>
        <v>0</v>
      </c>
      <c r="AH51" s="1145">
        <f t="shared" si="3"/>
        <v>0</v>
      </c>
      <c r="AI51" s="1145">
        <f t="shared" si="20"/>
        <v>0</v>
      </c>
      <c r="AJ51" s="1145">
        <f t="shared" si="13"/>
        <v>0</v>
      </c>
    </row>
    <row r="52" spans="2:36" ht="40" hidden="1" customHeight="1" x14ac:dyDescent="0.2">
      <c r="B52" s="958"/>
      <c r="C52" s="7" t="s">
        <v>72</v>
      </c>
      <c r="D52" s="299"/>
      <c r="E52" s="1206"/>
      <c r="F52" s="245"/>
      <c r="G52" s="245"/>
      <c r="H52" s="245"/>
      <c r="I52" s="13"/>
      <c r="J52" s="13"/>
      <c r="K52" s="13"/>
      <c r="L52" s="1207"/>
      <c r="M52" s="13"/>
      <c r="N52" s="632"/>
      <c r="O52" s="299"/>
      <c r="P52" s="1206"/>
      <c r="Q52" s="245"/>
      <c r="R52" s="245"/>
      <c r="S52" s="245"/>
      <c r="T52" s="13"/>
      <c r="U52" s="13"/>
      <c r="V52" s="13"/>
      <c r="W52" s="1207"/>
      <c r="X52" s="13"/>
      <c r="Y52" s="14"/>
      <c r="Z52" s="173"/>
      <c r="AA52" s="958"/>
      <c r="AB52" s="1145"/>
      <c r="AC52" s="1145">
        <f t="shared" si="10"/>
        <v>0</v>
      </c>
      <c r="AD52" s="1145"/>
      <c r="AE52" s="1145">
        <f t="shared" si="12"/>
        <v>0</v>
      </c>
      <c r="AF52" s="1145"/>
      <c r="AG52" s="1145"/>
      <c r="AH52" s="1145">
        <f t="shared" si="3"/>
        <v>0</v>
      </c>
      <c r="AI52" s="1145"/>
      <c r="AJ52" s="1145">
        <f t="shared" si="13"/>
        <v>0</v>
      </c>
    </row>
    <row r="53" spans="2:36" ht="14.25" hidden="1" customHeight="1" x14ac:dyDescent="0.2">
      <c r="B53" s="958"/>
      <c r="C53" s="1154" t="s">
        <v>73</v>
      </c>
      <c r="D53" s="1465"/>
      <c r="E53" s="1206"/>
      <c r="F53" s="1159"/>
      <c r="G53" s="1159"/>
      <c r="H53" s="1159"/>
      <c r="I53" s="1174"/>
      <c r="J53" s="1174"/>
      <c r="K53" s="1174"/>
      <c r="L53" s="1204"/>
      <c r="M53" s="1174"/>
      <c r="N53" s="1235"/>
      <c r="O53" s="1465"/>
      <c r="P53" s="1206"/>
      <c r="Q53" s="1159"/>
      <c r="R53" s="1159"/>
      <c r="S53" s="1159"/>
      <c r="T53" s="1174"/>
      <c r="U53" s="1174"/>
      <c r="V53" s="1174"/>
      <c r="W53" s="1466"/>
      <c r="X53" s="1174"/>
      <c r="Y53" s="1217"/>
      <c r="Z53" s="173"/>
      <c r="AA53" s="1081"/>
      <c r="AB53" s="1145"/>
      <c r="AC53" s="1145">
        <f t="shared" si="10"/>
        <v>0</v>
      </c>
      <c r="AD53" s="1145"/>
      <c r="AE53" s="1145">
        <f t="shared" si="12"/>
        <v>0</v>
      </c>
      <c r="AF53" s="1145"/>
      <c r="AG53" s="1145"/>
      <c r="AH53" s="1145">
        <f t="shared" si="3"/>
        <v>0</v>
      </c>
      <c r="AI53" s="1145"/>
      <c r="AJ53" s="1145">
        <f t="shared" si="13"/>
        <v>0</v>
      </c>
    </row>
    <row r="54" spans="2:36" ht="14.25" hidden="1" customHeight="1" x14ac:dyDescent="0.2">
      <c r="B54" s="958"/>
      <c r="C54" s="1154" t="s">
        <v>74</v>
      </c>
      <c r="D54" s="1465"/>
      <c r="E54" s="1206"/>
      <c r="F54" s="1159"/>
      <c r="G54" s="1159"/>
      <c r="H54" s="1159"/>
      <c r="I54" s="1174"/>
      <c r="J54" s="1174"/>
      <c r="K54" s="1174"/>
      <c r="L54" s="1204"/>
      <c r="M54" s="1174"/>
      <c r="N54" s="1235"/>
      <c r="O54" s="1465"/>
      <c r="P54" s="1206"/>
      <c r="Q54" s="1159"/>
      <c r="R54" s="1159"/>
      <c r="S54" s="1159"/>
      <c r="T54" s="1174"/>
      <c r="U54" s="1174"/>
      <c r="V54" s="1174"/>
      <c r="W54" s="1466"/>
      <c r="X54" s="1174"/>
      <c r="Y54" s="1217"/>
      <c r="Z54" s="173"/>
      <c r="AA54" s="958"/>
      <c r="AB54" s="1145"/>
      <c r="AC54" s="1145">
        <f t="shared" si="10"/>
        <v>0</v>
      </c>
      <c r="AD54" s="1145"/>
      <c r="AE54" s="1145">
        <f t="shared" si="12"/>
        <v>0</v>
      </c>
      <c r="AF54" s="1145"/>
      <c r="AG54" s="1145"/>
      <c r="AH54" s="1145">
        <f t="shared" si="3"/>
        <v>0</v>
      </c>
      <c r="AI54" s="1145"/>
      <c r="AJ54" s="1145">
        <f t="shared" si="13"/>
        <v>0</v>
      </c>
    </row>
    <row r="55" spans="2:36" ht="14.25" hidden="1" customHeight="1" x14ac:dyDescent="0.2">
      <c r="B55" s="958"/>
      <c r="C55" s="1154" t="str">
        <f>+TableA1!A56</f>
        <v>Antigua and Barbuda</v>
      </c>
      <c r="D55" s="1465"/>
      <c r="E55" s="1206"/>
      <c r="F55" s="1159"/>
      <c r="G55" s="1159"/>
      <c r="H55" s="1159"/>
      <c r="I55" s="1174"/>
      <c r="J55" s="1174"/>
      <c r="K55" s="1174"/>
      <c r="L55" s="1204"/>
      <c r="M55" s="1174"/>
      <c r="N55" s="1235"/>
      <c r="O55" s="1465"/>
      <c r="P55" s="1206"/>
      <c r="Q55" s="1159"/>
      <c r="R55" s="1159"/>
      <c r="S55" s="1159"/>
      <c r="T55" s="1174"/>
      <c r="U55" s="1174"/>
      <c r="V55" s="1174"/>
      <c r="W55" s="1466"/>
      <c r="X55" s="1174"/>
      <c r="Y55" s="1217"/>
      <c r="Z55" s="173"/>
      <c r="AA55" s="958"/>
      <c r="AB55" s="1145"/>
      <c r="AC55" s="1145">
        <f t="shared" si="10"/>
        <v>0</v>
      </c>
      <c r="AD55" s="1145"/>
      <c r="AE55" s="1145">
        <f t="shared" si="12"/>
        <v>0</v>
      </c>
      <c r="AF55" s="1145"/>
      <c r="AG55" s="1145"/>
      <c r="AH55" s="1145">
        <f t="shared" si="3"/>
        <v>0</v>
      </c>
      <c r="AI55" s="1145"/>
      <c r="AJ55" s="1145">
        <f t="shared" si="13"/>
        <v>0</v>
      </c>
    </row>
    <row r="56" spans="2:36" ht="14.25" hidden="1" customHeight="1" x14ac:dyDescent="0.2">
      <c r="B56" s="958"/>
      <c r="C56" s="1154" t="s">
        <v>76</v>
      </c>
      <c r="D56" s="1465"/>
      <c r="E56" s="1206"/>
      <c r="F56" s="1159"/>
      <c r="G56" s="1159"/>
      <c r="H56" s="1159"/>
      <c r="I56" s="1174"/>
      <c r="J56" s="1174"/>
      <c r="K56" s="1174"/>
      <c r="L56" s="1204"/>
      <c r="M56" s="1174"/>
      <c r="N56" s="1235"/>
      <c r="O56" s="1465"/>
      <c r="P56" s="1206"/>
      <c r="Q56" s="1159"/>
      <c r="R56" s="1159"/>
      <c r="S56" s="1159"/>
      <c r="T56" s="1174"/>
      <c r="U56" s="1174"/>
      <c r="V56" s="1174"/>
      <c r="W56" s="1466"/>
      <c r="X56" s="1174"/>
      <c r="Y56" s="1217"/>
      <c r="Z56" s="173"/>
      <c r="AA56" s="958"/>
      <c r="AB56" s="1145"/>
      <c r="AC56" s="1145">
        <f t="shared" si="10"/>
        <v>0</v>
      </c>
      <c r="AD56" s="1145"/>
      <c r="AE56" s="1145">
        <f t="shared" si="12"/>
        <v>0</v>
      </c>
      <c r="AF56" s="1145"/>
      <c r="AG56" s="1145"/>
      <c r="AH56" s="1145">
        <f t="shared" si="3"/>
        <v>0</v>
      </c>
      <c r="AI56" s="1145"/>
      <c r="AJ56" s="1145">
        <f t="shared" si="13"/>
        <v>0</v>
      </c>
    </row>
    <row r="57" spans="2:36" ht="14.25" hidden="1" customHeight="1" x14ac:dyDescent="0.2">
      <c r="B57" s="958"/>
      <c r="C57" s="1154" t="s">
        <v>152</v>
      </c>
      <c r="D57" s="1465"/>
      <c r="E57" s="1206"/>
      <c r="F57" s="1159"/>
      <c r="G57" s="1159"/>
      <c r="H57" s="1159"/>
      <c r="I57" s="1174"/>
      <c r="J57" s="1174"/>
      <c r="K57" s="1174"/>
      <c r="L57" s="1204"/>
      <c r="M57" s="1174"/>
      <c r="N57" s="1235"/>
      <c r="O57" s="1465"/>
      <c r="P57" s="1206"/>
      <c r="Q57" s="1159"/>
      <c r="R57" s="1159"/>
      <c r="S57" s="1159"/>
      <c r="T57" s="1174"/>
      <c r="U57" s="1174"/>
      <c r="V57" s="1174"/>
      <c r="W57" s="1466"/>
      <c r="X57" s="1174"/>
      <c r="Y57" s="1217"/>
      <c r="Z57" s="173"/>
      <c r="AA57" s="958"/>
      <c r="AB57" s="1145"/>
      <c r="AC57" s="1145">
        <f t="shared" si="10"/>
        <v>0</v>
      </c>
      <c r="AD57" s="1145"/>
      <c r="AE57" s="1145">
        <f t="shared" si="12"/>
        <v>0</v>
      </c>
      <c r="AF57" s="1145"/>
      <c r="AG57" s="1145"/>
      <c r="AH57" s="1145">
        <f t="shared" si="3"/>
        <v>0</v>
      </c>
      <c r="AI57" s="1145"/>
      <c r="AJ57" s="1145">
        <f t="shared" si="13"/>
        <v>0</v>
      </c>
    </row>
    <row r="58" spans="2:36" ht="14.25" hidden="1" customHeight="1" x14ac:dyDescent="0.2">
      <c r="B58" s="958"/>
      <c r="C58" s="1154" t="s">
        <v>78</v>
      </c>
      <c r="D58" s="1465"/>
      <c r="E58" s="1206"/>
      <c r="F58" s="1159"/>
      <c r="G58" s="1159"/>
      <c r="H58" s="1159"/>
      <c r="I58" s="1174"/>
      <c r="J58" s="1174"/>
      <c r="K58" s="1174"/>
      <c r="L58" s="1204"/>
      <c r="M58" s="1174"/>
      <c r="N58" s="1235"/>
      <c r="O58" s="1465"/>
      <c r="P58" s="1206"/>
      <c r="Q58" s="1159"/>
      <c r="R58" s="1159"/>
      <c r="S58" s="1159"/>
      <c r="T58" s="1174"/>
      <c r="U58" s="1174"/>
      <c r="V58" s="1174"/>
      <c r="W58" s="1466"/>
      <c r="X58" s="1174"/>
      <c r="Y58" s="1217"/>
      <c r="Z58" s="173"/>
      <c r="AA58" s="958"/>
      <c r="AB58" s="1145"/>
      <c r="AC58" s="1145">
        <f t="shared" si="10"/>
        <v>0</v>
      </c>
      <c r="AD58" s="1145"/>
      <c r="AE58" s="1145">
        <f t="shared" si="12"/>
        <v>0</v>
      </c>
      <c r="AF58" s="1145"/>
      <c r="AG58" s="1145"/>
      <c r="AH58" s="1145">
        <f t="shared" si="3"/>
        <v>0</v>
      </c>
      <c r="AI58" s="1145"/>
      <c r="AJ58" s="1145">
        <f t="shared" si="13"/>
        <v>0</v>
      </c>
    </row>
    <row r="59" spans="2:36" ht="14.25" hidden="1" customHeight="1" x14ac:dyDescent="0.2">
      <c r="B59" s="958"/>
      <c r="C59" s="1154" t="str">
        <f>+TableA1!A60</f>
        <v>Barbados</v>
      </c>
      <c r="D59" s="1465"/>
      <c r="E59" s="1206"/>
      <c r="F59" s="1159"/>
      <c r="G59" s="1159"/>
      <c r="H59" s="1159"/>
      <c r="I59" s="1174"/>
      <c r="J59" s="1174"/>
      <c r="K59" s="1174"/>
      <c r="L59" s="1204"/>
      <c r="M59" s="1174"/>
      <c r="N59" s="1235"/>
      <c r="O59" s="1465"/>
      <c r="P59" s="1206"/>
      <c r="Q59" s="1159"/>
      <c r="R59" s="1159"/>
      <c r="S59" s="1159"/>
      <c r="T59" s="1174"/>
      <c r="U59" s="1174"/>
      <c r="V59" s="1174"/>
      <c r="W59" s="1466"/>
      <c r="X59" s="1174"/>
      <c r="Y59" s="1217"/>
      <c r="Z59" s="173"/>
      <c r="AA59" s="958"/>
      <c r="AB59" s="1145"/>
      <c r="AC59" s="1145">
        <f t="shared" si="10"/>
        <v>0</v>
      </c>
      <c r="AD59" s="1145"/>
      <c r="AE59" s="1145">
        <f t="shared" si="12"/>
        <v>0</v>
      </c>
      <c r="AF59" s="1145"/>
      <c r="AG59" s="1145"/>
      <c r="AH59" s="1145">
        <f t="shared" si="3"/>
        <v>0</v>
      </c>
      <c r="AI59" s="1145"/>
      <c r="AJ59" s="1145">
        <f t="shared" si="13"/>
        <v>0</v>
      </c>
    </row>
    <row r="60" spans="2:36" ht="14.25" hidden="1" customHeight="1" x14ac:dyDescent="0.2">
      <c r="B60" s="958"/>
      <c r="C60" s="1154" t="s">
        <v>80</v>
      </c>
      <c r="D60" s="1465"/>
      <c r="E60" s="1206"/>
      <c r="F60" s="1159"/>
      <c r="G60" s="1159"/>
      <c r="H60" s="1159"/>
      <c r="I60" s="1174"/>
      <c r="J60" s="1174"/>
      <c r="K60" s="1174"/>
      <c r="L60" s="1204"/>
      <c r="M60" s="1174"/>
      <c r="N60" s="1235"/>
      <c r="O60" s="1465"/>
      <c r="P60" s="1206"/>
      <c r="Q60" s="1159"/>
      <c r="R60" s="1159"/>
      <c r="S60" s="1159"/>
      <c r="T60" s="1174"/>
      <c r="U60" s="1174"/>
      <c r="V60" s="1174"/>
      <c r="W60" s="1466"/>
      <c r="X60" s="1174"/>
      <c r="Y60" s="1217"/>
      <c r="Z60" s="173"/>
      <c r="AA60" s="958"/>
      <c r="AB60" s="1145"/>
      <c r="AC60" s="1145">
        <f t="shared" si="10"/>
        <v>0</v>
      </c>
      <c r="AD60" s="1145"/>
      <c r="AE60" s="1145">
        <f t="shared" si="12"/>
        <v>0</v>
      </c>
      <c r="AF60" s="1145"/>
      <c r="AG60" s="1145"/>
      <c r="AH60" s="1145">
        <f t="shared" si="3"/>
        <v>0</v>
      </c>
      <c r="AI60" s="1145"/>
      <c r="AJ60" s="1145">
        <f t="shared" si="13"/>
        <v>0</v>
      </c>
    </row>
    <row r="61" spans="2:36" ht="14.25" hidden="1" customHeight="1" x14ac:dyDescent="0.2">
      <c r="B61" s="958"/>
      <c r="C61" s="1154" t="s">
        <v>81</v>
      </c>
      <c r="D61" s="1465"/>
      <c r="E61" s="1206"/>
      <c r="F61" s="1159"/>
      <c r="G61" s="1159"/>
      <c r="H61" s="1159"/>
      <c r="I61" s="1174"/>
      <c r="J61" s="1174"/>
      <c r="K61" s="1174"/>
      <c r="L61" s="1204"/>
      <c r="M61" s="1174"/>
      <c r="N61" s="1235"/>
      <c r="O61" s="1465"/>
      <c r="P61" s="1206"/>
      <c r="Q61" s="1159"/>
      <c r="R61" s="1159"/>
      <c r="S61" s="1159"/>
      <c r="T61" s="1174"/>
      <c r="U61" s="1174"/>
      <c r="V61" s="1174"/>
      <c r="W61" s="1466"/>
      <c r="X61" s="1174"/>
      <c r="Y61" s="1217"/>
      <c r="Z61" s="173"/>
      <c r="AA61" s="958"/>
      <c r="AB61" s="1145"/>
      <c r="AC61" s="1145">
        <f t="shared" si="10"/>
        <v>0</v>
      </c>
      <c r="AD61" s="1145"/>
      <c r="AE61" s="1145">
        <f t="shared" si="12"/>
        <v>0</v>
      </c>
      <c r="AF61" s="1145"/>
      <c r="AG61" s="1145"/>
      <c r="AH61" s="1145">
        <f t="shared" si="3"/>
        <v>0</v>
      </c>
      <c r="AI61" s="1145"/>
      <c r="AJ61" s="1145">
        <f t="shared" si="13"/>
        <v>0</v>
      </c>
    </row>
    <row r="62" spans="2:36" ht="14.25" hidden="1" customHeight="1" x14ac:dyDescent="0.2">
      <c r="B62" s="958"/>
      <c r="C62" s="1154" t="s">
        <v>82</v>
      </c>
      <c r="D62" s="1465"/>
      <c r="E62" s="1206"/>
      <c r="F62" s="1159"/>
      <c r="G62" s="1159"/>
      <c r="H62" s="1159"/>
      <c r="I62" s="1174"/>
      <c r="J62" s="1174"/>
      <c r="K62" s="1174"/>
      <c r="L62" s="1204"/>
      <c r="M62" s="1174"/>
      <c r="N62" s="1235"/>
      <c r="O62" s="1465"/>
      <c r="P62" s="1206"/>
      <c r="Q62" s="1159"/>
      <c r="R62" s="1159"/>
      <c r="S62" s="1159"/>
      <c r="T62" s="1174"/>
      <c r="U62" s="1174"/>
      <c r="V62" s="1174"/>
      <c r="W62" s="1466"/>
      <c r="X62" s="1174"/>
      <c r="Y62" s="1217"/>
      <c r="Z62" s="173"/>
      <c r="AA62" s="958"/>
      <c r="AB62" s="1145"/>
      <c r="AC62" s="1145">
        <f t="shared" si="10"/>
        <v>0</v>
      </c>
      <c r="AD62" s="1145"/>
      <c r="AE62" s="1145">
        <f t="shared" si="12"/>
        <v>0</v>
      </c>
      <c r="AF62" s="1145"/>
      <c r="AG62" s="1145"/>
      <c r="AH62" s="1145">
        <f t="shared" si="3"/>
        <v>0</v>
      </c>
      <c r="AI62" s="1145"/>
      <c r="AJ62" s="1145">
        <f t="shared" si="13"/>
        <v>0</v>
      </c>
    </row>
    <row r="63" spans="2:36" ht="14.25" hidden="1" customHeight="1" x14ac:dyDescent="0.2">
      <c r="B63" s="958"/>
      <c r="C63" s="1154" t="s">
        <v>153</v>
      </c>
      <c r="D63" s="1465"/>
      <c r="E63" s="1206"/>
      <c r="F63" s="1159"/>
      <c r="G63" s="1159"/>
      <c r="H63" s="1159"/>
      <c r="I63" s="1174"/>
      <c r="J63" s="1174"/>
      <c r="K63" s="1174"/>
      <c r="L63" s="1204"/>
      <c r="M63" s="1174"/>
      <c r="N63" s="1235"/>
      <c r="O63" s="1465"/>
      <c r="P63" s="1206"/>
      <c r="Q63" s="1159"/>
      <c r="R63" s="1159"/>
      <c r="S63" s="1159"/>
      <c r="T63" s="1174"/>
      <c r="U63" s="1174"/>
      <c r="V63" s="1174"/>
      <c r="W63" s="1466"/>
      <c r="X63" s="1174"/>
      <c r="Y63" s="1217"/>
      <c r="Z63" s="173"/>
      <c r="AA63" s="958"/>
      <c r="AB63" s="1145"/>
      <c r="AC63" s="1145">
        <f t="shared" si="10"/>
        <v>0</v>
      </c>
      <c r="AD63" s="1145"/>
      <c r="AE63" s="1145">
        <f t="shared" si="12"/>
        <v>0</v>
      </c>
      <c r="AF63" s="1145"/>
      <c r="AG63" s="1145"/>
      <c r="AH63" s="1145">
        <f t="shared" si="3"/>
        <v>0</v>
      </c>
      <c r="AI63" s="1145"/>
      <c r="AJ63" s="1145">
        <f t="shared" si="13"/>
        <v>0</v>
      </c>
    </row>
    <row r="64" spans="2:36" ht="14.25" hidden="1" customHeight="1" x14ac:dyDescent="0.2">
      <c r="B64" s="958"/>
      <c r="C64" s="113" t="s">
        <v>84</v>
      </c>
      <c r="D64" s="633"/>
      <c r="E64" s="1206"/>
      <c r="F64" s="1159"/>
      <c r="G64" s="1159"/>
      <c r="H64" s="1159"/>
      <c r="I64" s="1174"/>
      <c r="J64" s="1174"/>
      <c r="K64" s="1174"/>
      <c r="L64" s="1204"/>
      <c r="M64" s="1174"/>
      <c r="N64" s="1235"/>
      <c r="O64" s="633"/>
      <c r="P64" s="1206"/>
      <c r="Q64" s="1159"/>
      <c r="R64" s="1159"/>
      <c r="S64" s="1159"/>
      <c r="T64" s="1174"/>
      <c r="U64" s="1174"/>
      <c r="V64" s="1174"/>
      <c r="W64" s="1466"/>
      <c r="X64" s="1174"/>
      <c r="Y64" s="1217"/>
      <c r="Z64" s="173"/>
      <c r="AA64" s="958"/>
      <c r="AB64" s="1145"/>
      <c r="AC64" s="1145">
        <f t="shared" si="10"/>
        <v>0</v>
      </c>
      <c r="AD64" s="1145"/>
      <c r="AE64" s="1145">
        <f t="shared" si="12"/>
        <v>0</v>
      </c>
      <c r="AF64" s="1145"/>
      <c r="AG64" s="1145"/>
      <c r="AH64" s="1145">
        <f t="shared" si="3"/>
        <v>0</v>
      </c>
      <c r="AI64" s="1145"/>
      <c r="AJ64" s="1145">
        <f t="shared" si="13"/>
        <v>0</v>
      </c>
    </row>
    <row r="65" spans="3:36" ht="14.25" hidden="1" customHeight="1" x14ac:dyDescent="0.2">
      <c r="C65" s="1154" t="s">
        <v>85</v>
      </c>
      <c r="D65" s="1465"/>
      <c r="E65" s="1206"/>
      <c r="F65" s="1159"/>
      <c r="G65" s="1159"/>
      <c r="H65" s="1159"/>
      <c r="I65" s="1174"/>
      <c r="J65" s="1174"/>
      <c r="K65" s="1174"/>
      <c r="L65" s="1204"/>
      <c r="M65" s="1174"/>
      <c r="N65" s="1235"/>
      <c r="O65" s="1465"/>
      <c r="P65" s="1206"/>
      <c r="Q65" s="1159"/>
      <c r="R65" s="1159"/>
      <c r="S65" s="1159"/>
      <c r="T65" s="1174"/>
      <c r="U65" s="1174"/>
      <c r="V65" s="1174"/>
      <c r="W65" s="1466"/>
      <c r="X65" s="1174"/>
      <c r="Y65" s="1217"/>
      <c r="Z65" s="173"/>
      <c r="AA65" s="958"/>
      <c r="AB65" s="1145"/>
      <c r="AC65" s="1145">
        <f t="shared" si="10"/>
        <v>0</v>
      </c>
      <c r="AD65" s="1145"/>
      <c r="AE65" s="1145">
        <f t="shared" si="12"/>
        <v>0</v>
      </c>
      <c r="AF65" s="1145"/>
      <c r="AG65" s="1145"/>
      <c r="AH65" s="1145">
        <f t="shared" si="3"/>
        <v>0</v>
      </c>
      <c r="AI65" s="1145"/>
      <c r="AJ65" s="1145">
        <f t="shared" si="13"/>
        <v>0</v>
      </c>
    </row>
    <row r="66" spans="3:36" ht="14.25" hidden="1" customHeight="1" x14ac:dyDescent="0.2">
      <c r="C66" s="1154" t="str">
        <f>+TableA1!A67</f>
        <v>Cyprus</v>
      </c>
      <c r="D66" s="1465"/>
      <c r="E66" s="1206"/>
      <c r="F66" s="1159"/>
      <c r="G66" s="1159"/>
      <c r="H66" s="1159"/>
      <c r="I66" s="1174"/>
      <c r="J66" s="1174"/>
      <c r="K66" s="1174"/>
      <c r="L66" s="1204"/>
      <c r="M66" s="1174"/>
      <c r="N66" s="1235"/>
      <c r="O66" s="1465"/>
      <c r="P66" s="1206"/>
      <c r="Q66" s="1159"/>
      <c r="R66" s="1159"/>
      <c r="S66" s="1159"/>
      <c r="T66" s="1174"/>
      <c r="U66" s="1174"/>
      <c r="V66" s="1174"/>
      <c r="W66" s="1466"/>
      <c r="X66" s="1174"/>
      <c r="Y66" s="1217"/>
      <c r="Z66" s="173"/>
      <c r="AA66" s="958"/>
      <c r="AB66" s="1145"/>
      <c r="AC66" s="1145">
        <f t="shared" si="10"/>
        <v>0</v>
      </c>
      <c r="AD66" s="1145"/>
      <c r="AE66" s="1145">
        <f t="shared" si="12"/>
        <v>0</v>
      </c>
      <c r="AF66" s="1145"/>
      <c r="AG66" s="1145"/>
      <c r="AH66" s="1145">
        <f t="shared" si="3"/>
        <v>0</v>
      </c>
      <c r="AI66" s="1145"/>
      <c r="AJ66" s="1145">
        <f t="shared" si="13"/>
        <v>0</v>
      </c>
    </row>
    <row r="67" spans="3:36" ht="14.25" hidden="1" customHeight="1" x14ac:dyDescent="0.2">
      <c r="C67" s="1154" t="s">
        <v>87</v>
      </c>
      <c r="D67" s="1465"/>
      <c r="E67" s="1206"/>
      <c r="F67" s="1159"/>
      <c r="G67" s="1159"/>
      <c r="H67" s="1159"/>
      <c r="I67" s="1174"/>
      <c r="J67" s="1174"/>
      <c r="K67" s="1174"/>
      <c r="L67" s="1204"/>
      <c r="M67" s="1174"/>
      <c r="N67" s="1235"/>
      <c r="O67" s="1465"/>
      <c r="P67" s="1206"/>
      <c r="Q67" s="1159"/>
      <c r="R67" s="1159"/>
      <c r="S67" s="1159"/>
      <c r="T67" s="1174"/>
      <c r="U67" s="1174"/>
      <c r="V67" s="1174"/>
      <c r="W67" s="1466"/>
      <c r="X67" s="1174"/>
      <c r="Y67" s="1217"/>
      <c r="Z67" s="173"/>
      <c r="AA67" s="958"/>
      <c r="AB67" s="1145"/>
      <c r="AC67" s="1145">
        <f t="shared" si="10"/>
        <v>0</v>
      </c>
      <c r="AD67" s="1145"/>
      <c r="AE67" s="1145">
        <f t="shared" si="12"/>
        <v>0</v>
      </c>
      <c r="AF67" s="1145"/>
      <c r="AG67" s="1145"/>
      <c r="AH67" s="1145">
        <f t="shared" si="3"/>
        <v>0</v>
      </c>
      <c r="AI67" s="1145"/>
      <c r="AJ67" s="1145">
        <f t="shared" si="13"/>
        <v>0</v>
      </c>
    </row>
    <row r="68" spans="3:36" ht="14.25" hidden="1" customHeight="1" x14ac:dyDescent="0.2">
      <c r="C68" s="1154" t="str">
        <f>+TableA1!A69</f>
        <v>Grenada</v>
      </c>
      <c r="D68" s="1465"/>
      <c r="E68" s="1206"/>
      <c r="F68" s="1159"/>
      <c r="G68" s="1159"/>
      <c r="H68" s="1159"/>
      <c r="I68" s="1174"/>
      <c r="J68" s="1174"/>
      <c r="K68" s="1174"/>
      <c r="L68" s="1204"/>
      <c r="M68" s="1174"/>
      <c r="N68" s="1235"/>
      <c r="O68" s="1465"/>
      <c r="P68" s="1206"/>
      <c r="Q68" s="1159"/>
      <c r="R68" s="1159"/>
      <c r="S68" s="1159"/>
      <c r="T68" s="1174"/>
      <c r="U68" s="1174"/>
      <c r="V68" s="1174"/>
      <c r="W68" s="1466"/>
      <c r="X68" s="1174"/>
      <c r="Y68" s="1217"/>
      <c r="Z68" s="173"/>
      <c r="AA68" s="958"/>
      <c r="AB68" s="1145"/>
      <c r="AC68" s="1145">
        <f t="shared" si="10"/>
        <v>0</v>
      </c>
      <c r="AD68" s="1145"/>
      <c r="AE68" s="1145">
        <f t="shared" si="12"/>
        <v>0</v>
      </c>
      <c r="AF68" s="1145"/>
      <c r="AG68" s="1145"/>
      <c r="AH68" s="1145">
        <f t="shared" si="3"/>
        <v>0</v>
      </c>
      <c r="AI68" s="1145"/>
      <c r="AJ68" s="1145">
        <f t="shared" si="13"/>
        <v>0</v>
      </c>
    </row>
    <row r="69" spans="3:36" ht="14.25" hidden="1" customHeight="1" x14ac:dyDescent="0.2">
      <c r="C69" s="1154" t="s">
        <v>89</v>
      </c>
      <c r="D69" s="1465"/>
      <c r="E69" s="1206"/>
      <c r="F69" s="1159"/>
      <c r="G69" s="1159"/>
      <c r="H69" s="1159"/>
      <c r="I69" s="1174"/>
      <c r="J69" s="1174"/>
      <c r="K69" s="1174"/>
      <c r="L69" s="1204"/>
      <c r="M69" s="1174"/>
      <c r="N69" s="1235"/>
      <c r="O69" s="1465"/>
      <c r="P69" s="1206"/>
      <c r="Q69" s="1159"/>
      <c r="R69" s="1159"/>
      <c r="S69" s="1159"/>
      <c r="T69" s="1174"/>
      <c r="U69" s="1174"/>
      <c r="V69" s="1174"/>
      <c r="W69" s="1466"/>
      <c r="X69" s="1174"/>
      <c r="Y69" s="1217"/>
      <c r="Z69" s="173"/>
      <c r="AA69" s="958"/>
      <c r="AB69" s="1145"/>
      <c r="AC69" s="1145">
        <f t="shared" si="10"/>
        <v>0</v>
      </c>
      <c r="AD69" s="1145"/>
      <c r="AE69" s="1145">
        <f t="shared" si="12"/>
        <v>0</v>
      </c>
      <c r="AF69" s="1145"/>
      <c r="AG69" s="1145"/>
      <c r="AH69" s="1145">
        <f t="shared" si="3"/>
        <v>0</v>
      </c>
      <c r="AI69" s="1145"/>
      <c r="AJ69" s="1145">
        <f t="shared" si="13"/>
        <v>0</v>
      </c>
    </row>
    <row r="70" spans="3:36" ht="14.25" hidden="1" customHeight="1" x14ac:dyDescent="0.2">
      <c r="C70" s="1154" t="s">
        <v>154</v>
      </c>
      <c r="D70" s="1465"/>
      <c r="E70" s="1206"/>
      <c r="F70" s="1159"/>
      <c r="G70" s="1159"/>
      <c r="H70" s="1159"/>
      <c r="I70" s="1174"/>
      <c r="J70" s="1174"/>
      <c r="K70" s="1174"/>
      <c r="L70" s="1204"/>
      <c r="M70" s="1174"/>
      <c r="N70" s="1235"/>
      <c r="O70" s="1465"/>
      <c r="P70" s="1206"/>
      <c r="Q70" s="1159"/>
      <c r="R70" s="1159"/>
      <c r="S70" s="1159"/>
      <c r="T70" s="1174"/>
      <c r="U70" s="1174"/>
      <c r="V70" s="1174"/>
      <c r="W70" s="1466"/>
      <c r="X70" s="1174"/>
      <c r="Y70" s="1217"/>
      <c r="Z70" s="173"/>
      <c r="AA70" s="958"/>
      <c r="AB70" s="1145"/>
      <c r="AC70" s="1145">
        <f t="shared" si="10"/>
        <v>0</v>
      </c>
      <c r="AD70" s="1145"/>
      <c r="AE70" s="1145">
        <f t="shared" si="12"/>
        <v>0</v>
      </c>
      <c r="AF70" s="1145"/>
      <c r="AG70" s="1145"/>
      <c r="AH70" s="1145">
        <f t="shared" si="3"/>
        <v>0</v>
      </c>
      <c r="AI70" s="1145"/>
      <c r="AJ70" s="1145">
        <f t="shared" si="13"/>
        <v>0</v>
      </c>
    </row>
    <row r="71" spans="3:36" ht="14.25" hidden="1" customHeight="1" x14ac:dyDescent="0.2">
      <c r="C71" s="1154" t="s">
        <v>91</v>
      </c>
      <c r="D71" s="1465"/>
      <c r="E71" s="1206"/>
      <c r="F71" s="1159"/>
      <c r="G71" s="1159"/>
      <c r="H71" s="1159"/>
      <c r="I71" s="1174"/>
      <c r="J71" s="1174"/>
      <c r="K71" s="1174"/>
      <c r="L71" s="1204"/>
      <c r="M71" s="1174"/>
      <c r="N71" s="1235"/>
      <c r="O71" s="1465"/>
      <c r="P71" s="1206"/>
      <c r="Q71" s="1159"/>
      <c r="R71" s="1159"/>
      <c r="S71" s="1159"/>
      <c r="T71" s="1174"/>
      <c r="U71" s="1174"/>
      <c r="V71" s="1174"/>
      <c r="W71" s="1466"/>
      <c r="X71" s="1174"/>
      <c r="Y71" s="1217"/>
      <c r="Z71" s="173"/>
      <c r="AA71" s="958"/>
      <c r="AB71" s="1145"/>
      <c r="AC71" s="1145">
        <f t="shared" si="10"/>
        <v>0</v>
      </c>
      <c r="AD71" s="1145"/>
      <c r="AE71" s="1145">
        <f t="shared" si="12"/>
        <v>0</v>
      </c>
      <c r="AF71" s="1145"/>
      <c r="AG71" s="1145"/>
      <c r="AH71" s="1145">
        <f t="shared" si="3"/>
        <v>0</v>
      </c>
      <c r="AI71" s="1145"/>
      <c r="AJ71" s="1145">
        <f t="shared" si="13"/>
        <v>0</v>
      </c>
    </row>
    <row r="72" spans="3:36" ht="14.25" hidden="1" customHeight="1" x14ac:dyDescent="0.2">
      <c r="C72" s="1154" t="s">
        <v>92</v>
      </c>
      <c r="D72" s="1465"/>
      <c r="E72" s="1206"/>
      <c r="F72" s="1159"/>
      <c r="G72" s="1159"/>
      <c r="H72" s="1159"/>
      <c r="I72" s="1174"/>
      <c r="J72" s="1174"/>
      <c r="K72" s="1174"/>
      <c r="L72" s="1204"/>
      <c r="M72" s="1174"/>
      <c r="N72" s="1235"/>
      <c r="O72" s="1465"/>
      <c r="P72" s="1206"/>
      <c r="Q72" s="1159"/>
      <c r="R72" s="1159"/>
      <c r="S72" s="1159"/>
      <c r="T72" s="1174"/>
      <c r="U72" s="1174"/>
      <c r="V72" s="1174"/>
      <c r="W72" s="1466"/>
      <c r="X72" s="1174"/>
      <c r="Y72" s="1217"/>
      <c r="Z72" s="173"/>
      <c r="AA72" s="958"/>
      <c r="AB72" s="1145"/>
      <c r="AC72" s="1145">
        <f t="shared" si="10"/>
        <v>0</v>
      </c>
      <c r="AD72" s="1145"/>
      <c r="AE72" s="1145">
        <f t="shared" si="12"/>
        <v>0</v>
      </c>
      <c r="AF72" s="1145"/>
      <c r="AG72" s="1145"/>
      <c r="AH72" s="1145">
        <f t="shared" si="3"/>
        <v>0</v>
      </c>
      <c r="AI72" s="1145"/>
      <c r="AJ72" s="1145">
        <f t="shared" si="13"/>
        <v>0</v>
      </c>
    </row>
    <row r="73" spans="3:36" ht="14.25" hidden="1" customHeight="1" x14ac:dyDescent="0.2">
      <c r="C73" s="1154" t="s">
        <v>93</v>
      </c>
      <c r="D73" s="1465"/>
      <c r="E73" s="1206"/>
      <c r="F73" s="1159"/>
      <c r="G73" s="1159"/>
      <c r="H73" s="1159"/>
      <c r="I73" s="1174"/>
      <c r="J73" s="1174"/>
      <c r="K73" s="1174"/>
      <c r="L73" s="1204"/>
      <c r="M73" s="1174"/>
      <c r="N73" s="1235"/>
      <c r="O73" s="1465"/>
      <c r="P73" s="1206"/>
      <c r="Q73" s="1159"/>
      <c r="R73" s="1159"/>
      <c r="S73" s="1159"/>
      <c r="T73" s="1174"/>
      <c r="U73" s="1174"/>
      <c r="V73" s="1174"/>
      <c r="W73" s="1466"/>
      <c r="X73" s="1174"/>
      <c r="Y73" s="1217"/>
      <c r="Z73" s="173"/>
      <c r="AA73" s="958"/>
      <c r="AB73" s="1145"/>
      <c r="AC73" s="1145">
        <f t="shared" si="10"/>
        <v>0</v>
      </c>
      <c r="AD73" s="1145"/>
      <c r="AE73" s="1145">
        <f t="shared" si="12"/>
        <v>0</v>
      </c>
      <c r="AF73" s="1145"/>
      <c r="AG73" s="1145"/>
      <c r="AH73" s="1145">
        <f t="shared" ref="AH73:AH88" si="21">+AG73/$AG$90</f>
        <v>0</v>
      </c>
      <c r="AI73" s="1145"/>
      <c r="AJ73" s="1145">
        <f t="shared" si="13"/>
        <v>0</v>
      </c>
    </row>
    <row r="74" spans="3:36" ht="14.25" hidden="1" customHeight="1" x14ac:dyDescent="0.2">
      <c r="C74" s="1154" t="s">
        <v>94</v>
      </c>
      <c r="D74" s="1465"/>
      <c r="E74" s="1206"/>
      <c r="F74" s="1159"/>
      <c r="G74" s="1159"/>
      <c r="H74" s="1159"/>
      <c r="I74" s="1174"/>
      <c r="J74" s="1174"/>
      <c r="K74" s="1174"/>
      <c r="L74" s="1204"/>
      <c r="M74" s="1174"/>
      <c r="N74" s="1235"/>
      <c r="O74" s="1465"/>
      <c r="P74" s="1206"/>
      <c r="Q74" s="1159"/>
      <c r="R74" s="1159"/>
      <c r="S74" s="1159"/>
      <c r="T74" s="1174"/>
      <c r="U74" s="1174"/>
      <c r="V74" s="1174"/>
      <c r="W74" s="1466"/>
      <c r="X74" s="1174"/>
      <c r="Y74" s="1217"/>
      <c r="Z74" s="173"/>
      <c r="AA74" s="958"/>
      <c r="AB74" s="1145"/>
      <c r="AC74" s="1145">
        <f t="shared" ref="AC74:AC90" si="22">+AB74/$AB$90</f>
        <v>0</v>
      </c>
      <c r="AD74" s="1145"/>
      <c r="AE74" s="1145">
        <f t="shared" ref="AE74:AE88" si="23">+AD74/$AD$90</f>
        <v>0</v>
      </c>
      <c r="AF74" s="1145"/>
      <c r="AG74" s="1145"/>
      <c r="AH74" s="1145">
        <f t="shared" si="21"/>
        <v>0</v>
      </c>
      <c r="AI74" s="1145"/>
      <c r="AJ74" s="1145">
        <f t="shared" si="13"/>
        <v>0</v>
      </c>
    </row>
    <row r="75" spans="3:36" ht="14.25" hidden="1" customHeight="1" x14ac:dyDescent="0.2">
      <c r="C75" s="1154" t="s">
        <v>95</v>
      </c>
      <c r="D75" s="1465"/>
      <c r="E75" s="1206"/>
      <c r="F75" s="1159"/>
      <c r="G75" s="1159"/>
      <c r="H75" s="1159"/>
      <c r="I75" s="1174"/>
      <c r="J75" s="1174"/>
      <c r="K75" s="1174"/>
      <c r="L75" s="1204"/>
      <c r="M75" s="1174"/>
      <c r="N75" s="1235"/>
      <c r="O75" s="1465"/>
      <c r="P75" s="1206"/>
      <c r="Q75" s="1159"/>
      <c r="R75" s="1159"/>
      <c r="S75" s="1159"/>
      <c r="T75" s="1174"/>
      <c r="U75" s="1174"/>
      <c r="V75" s="1174"/>
      <c r="W75" s="1466"/>
      <c r="X75" s="1174"/>
      <c r="Y75" s="1217"/>
      <c r="Z75" s="173"/>
      <c r="AA75" s="958"/>
      <c r="AB75" s="1145"/>
      <c r="AC75" s="1145">
        <f t="shared" si="22"/>
        <v>0</v>
      </c>
      <c r="AD75" s="1145"/>
      <c r="AE75" s="1145">
        <f t="shared" si="23"/>
        <v>0</v>
      </c>
      <c r="AF75" s="1145"/>
      <c r="AG75" s="1145"/>
      <c r="AH75" s="1145">
        <f t="shared" si="21"/>
        <v>0</v>
      </c>
      <c r="AI75" s="1145"/>
      <c r="AJ75" s="1145">
        <f t="shared" si="13"/>
        <v>0</v>
      </c>
    </row>
    <row r="76" spans="3:36" ht="14.25" hidden="1" customHeight="1" x14ac:dyDescent="0.2">
      <c r="C76" s="1154" t="s">
        <v>96</v>
      </c>
      <c r="D76" s="1465"/>
      <c r="E76" s="1206"/>
      <c r="F76" s="1159"/>
      <c r="G76" s="1159"/>
      <c r="H76" s="1159"/>
      <c r="I76" s="1174"/>
      <c r="J76" s="1174"/>
      <c r="K76" s="1174"/>
      <c r="L76" s="1204"/>
      <c r="M76" s="1174"/>
      <c r="N76" s="634"/>
      <c r="O76" s="1465"/>
      <c r="P76" s="1206"/>
      <c r="Q76" s="1159"/>
      <c r="R76" s="1159"/>
      <c r="S76" s="1159"/>
      <c r="T76" s="1174"/>
      <c r="U76" s="1174"/>
      <c r="V76" s="1174"/>
      <c r="W76" s="1466"/>
      <c r="X76" s="1174"/>
      <c r="Y76" s="635"/>
      <c r="Z76" s="173"/>
      <c r="AA76" s="958"/>
      <c r="AB76" s="1145"/>
      <c r="AC76" s="1145">
        <f t="shared" si="22"/>
        <v>0</v>
      </c>
      <c r="AD76" s="1145"/>
      <c r="AE76" s="1145">
        <f t="shared" si="23"/>
        <v>0</v>
      </c>
      <c r="AF76" s="1145"/>
      <c r="AG76" s="1145"/>
      <c r="AH76" s="1145">
        <f t="shared" si="21"/>
        <v>0</v>
      </c>
      <c r="AI76" s="1145"/>
      <c r="AJ76" s="1145">
        <f t="shared" si="13"/>
        <v>0</v>
      </c>
    </row>
    <row r="77" spans="3:36" ht="14.25" hidden="1" customHeight="1" x14ac:dyDescent="0.2">
      <c r="C77" s="1154" t="s">
        <v>97</v>
      </c>
      <c r="D77" s="1465"/>
      <c r="E77" s="1206"/>
      <c r="F77" s="1159"/>
      <c r="G77" s="1159"/>
      <c r="H77" s="1159"/>
      <c r="I77" s="1174"/>
      <c r="J77" s="1174"/>
      <c r="K77" s="1174"/>
      <c r="L77" s="1204"/>
      <c r="M77" s="1174"/>
      <c r="N77" s="1235"/>
      <c r="O77" s="1465"/>
      <c r="P77" s="1206"/>
      <c r="Q77" s="1159"/>
      <c r="R77" s="1159"/>
      <c r="S77" s="1159"/>
      <c r="T77" s="1174"/>
      <c r="U77" s="1174"/>
      <c r="V77" s="1174"/>
      <c r="W77" s="1466"/>
      <c r="X77" s="1174"/>
      <c r="Y77" s="1217"/>
      <c r="Z77" s="173"/>
      <c r="AA77" s="958"/>
      <c r="AB77" s="1145"/>
      <c r="AC77" s="1145">
        <f t="shared" si="22"/>
        <v>0</v>
      </c>
      <c r="AD77" s="1145"/>
      <c r="AE77" s="1145">
        <f t="shared" si="23"/>
        <v>0</v>
      </c>
      <c r="AF77" s="1145"/>
      <c r="AG77" s="1145"/>
      <c r="AH77" s="1145">
        <f t="shared" si="21"/>
        <v>0</v>
      </c>
      <c r="AI77" s="1145"/>
      <c r="AJ77" s="1145">
        <f t="shared" si="13"/>
        <v>0</v>
      </c>
    </row>
    <row r="78" spans="3:36" ht="14.25" hidden="1" customHeight="1" x14ac:dyDescent="0.2">
      <c r="C78" s="1154" t="str">
        <f>+TableA1!A79</f>
        <v>Monaco</v>
      </c>
      <c r="D78" s="1465"/>
      <c r="E78" s="1206"/>
      <c r="F78" s="1159"/>
      <c r="G78" s="1159"/>
      <c r="H78" s="1159"/>
      <c r="I78" s="1174"/>
      <c r="J78" s="1174"/>
      <c r="K78" s="1174"/>
      <c r="L78" s="1204"/>
      <c r="M78" s="1174"/>
      <c r="N78" s="1235"/>
      <c r="O78" s="1465"/>
      <c r="P78" s="1206"/>
      <c r="Q78" s="1159"/>
      <c r="R78" s="1159"/>
      <c r="S78" s="1159"/>
      <c r="T78" s="1174"/>
      <c r="U78" s="1174"/>
      <c r="V78" s="1174"/>
      <c r="W78" s="1466"/>
      <c r="X78" s="1174"/>
      <c r="Y78" s="1217"/>
      <c r="Z78" s="173"/>
      <c r="AA78" s="958"/>
      <c r="AB78" s="1145"/>
      <c r="AC78" s="1145">
        <f t="shared" si="22"/>
        <v>0</v>
      </c>
      <c r="AD78" s="1145"/>
      <c r="AE78" s="1145">
        <f t="shared" si="23"/>
        <v>0</v>
      </c>
      <c r="AF78" s="1145"/>
      <c r="AG78" s="1145"/>
      <c r="AH78" s="1145">
        <f t="shared" si="21"/>
        <v>0</v>
      </c>
      <c r="AI78" s="1145"/>
      <c r="AJ78" s="1145">
        <f t="shared" si="13"/>
        <v>0</v>
      </c>
    </row>
    <row r="79" spans="3:36" ht="14.25" hidden="1" customHeight="1" x14ac:dyDescent="0.2">
      <c r="C79" s="1154" t="s">
        <v>99</v>
      </c>
      <c r="D79" s="1465"/>
      <c r="E79" s="1206"/>
      <c r="F79" s="1159"/>
      <c r="G79" s="1159"/>
      <c r="H79" s="1159"/>
      <c r="I79" s="1174"/>
      <c r="J79" s="1174"/>
      <c r="K79" s="1174"/>
      <c r="L79" s="1204"/>
      <c r="M79" s="1174"/>
      <c r="N79" s="1235"/>
      <c r="O79" s="1465"/>
      <c r="P79" s="1206"/>
      <c r="Q79" s="1159"/>
      <c r="R79" s="1159"/>
      <c r="S79" s="1159"/>
      <c r="T79" s="1174"/>
      <c r="U79" s="1174"/>
      <c r="V79" s="1174"/>
      <c r="W79" s="1466"/>
      <c r="X79" s="1174"/>
      <c r="Y79" s="1217"/>
      <c r="Z79" s="173"/>
      <c r="AA79" s="958"/>
      <c r="AB79" s="1145"/>
      <c r="AC79" s="1145">
        <f t="shared" si="22"/>
        <v>0</v>
      </c>
      <c r="AD79" s="1145"/>
      <c r="AE79" s="1145">
        <f t="shared" si="23"/>
        <v>0</v>
      </c>
      <c r="AF79" s="1145"/>
      <c r="AG79" s="1145"/>
      <c r="AH79" s="1145">
        <f t="shared" si="21"/>
        <v>0</v>
      </c>
      <c r="AI79" s="1145"/>
      <c r="AJ79" s="1145">
        <f t="shared" si="13"/>
        <v>0</v>
      </c>
    </row>
    <row r="80" spans="3:36" ht="14.25" hidden="1" customHeight="1" x14ac:dyDescent="0.2">
      <c r="C80" s="1154" t="s">
        <v>100</v>
      </c>
      <c r="D80" s="1465"/>
      <c r="E80" s="1206"/>
      <c r="F80" s="1159"/>
      <c r="G80" s="1159"/>
      <c r="H80" s="1159"/>
      <c r="I80" s="1174"/>
      <c r="J80" s="1174"/>
      <c r="K80" s="1174"/>
      <c r="L80" s="1204"/>
      <c r="M80" s="1174"/>
      <c r="N80" s="1235"/>
      <c r="O80" s="1465"/>
      <c r="P80" s="1206"/>
      <c r="Q80" s="1159"/>
      <c r="R80" s="1159"/>
      <c r="S80" s="1159"/>
      <c r="T80" s="1174"/>
      <c r="U80" s="1174"/>
      <c r="V80" s="1174"/>
      <c r="W80" s="1466"/>
      <c r="X80" s="1174"/>
      <c r="Y80" s="1217"/>
      <c r="Z80" s="173"/>
      <c r="AA80" s="958"/>
      <c r="AB80" s="1145"/>
      <c r="AC80" s="1145">
        <f t="shared" si="22"/>
        <v>0</v>
      </c>
      <c r="AD80" s="1145"/>
      <c r="AE80" s="1145">
        <f t="shared" si="23"/>
        <v>0</v>
      </c>
      <c r="AF80" s="1145"/>
      <c r="AG80" s="1145"/>
      <c r="AH80" s="1145">
        <f t="shared" si="21"/>
        <v>0</v>
      </c>
      <c r="AI80" s="1145"/>
      <c r="AJ80" s="1145">
        <f t="shared" si="13"/>
        <v>0</v>
      </c>
    </row>
    <row r="81" spans="3:36" ht="14.25" hidden="1" customHeight="1" x14ac:dyDescent="0.2">
      <c r="C81" s="1154" t="str">
        <f>+TableA1!A82</f>
        <v>Seychelles</v>
      </c>
      <c r="D81" s="1465"/>
      <c r="E81" s="1206"/>
      <c r="F81" s="1159"/>
      <c r="G81" s="1159"/>
      <c r="H81" s="1159"/>
      <c r="I81" s="1174"/>
      <c r="J81" s="1174"/>
      <c r="K81" s="1174"/>
      <c r="L81" s="1204"/>
      <c r="M81" s="1174"/>
      <c r="N81" s="1235"/>
      <c r="O81" s="1465"/>
      <c r="P81" s="1206"/>
      <c r="Q81" s="1159"/>
      <c r="R81" s="1159"/>
      <c r="S81" s="1159"/>
      <c r="T81" s="1174"/>
      <c r="U81" s="1174"/>
      <c r="V81" s="1174"/>
      <c r="W81" s="1466"/>
      <c r="X81" s="1174"/>
      <c r="Y81" s="1217"/>
      <c r="Z81" s="173"/>
      <c r="AA81" s="958"/>
      <c r="AB81" s="1145"/>
      <c r="AC81" s="1145">
        <f t="shared" si="22"/>
        <v>0</v>
      </c>
      <c r="AD81" s="1145"/>
      <c r="AE81" s="1145">
        <f t="shared" si="23"/>
        <v>0</v>
      </c>
      <c r="AF81" s="1145"/>
      <c r="AG81" s="1145"/>
      <c r="AH81" s="1145">
        <f t="shared" si="21"/>
        <v>0</v>
      </c>
      <c r="AI81" s="1145"/>
      <c r="AJ81" s="1145">
        <f t="shared" si="13"/>
        <v>0</v>
      </c>
    </row>
    <row r="82" spans="3:36" hidden="1" x14ac:dyDescent="0.2">
      <c r="C82" s="1154" t="s">
        <v>102</v>
      </c>
      <c r="D82" s="1465"/>
      <c r="E82" s="1206"/>
      <c r="F82" s="1159"/>
      <c r="G82" s="1159"/>
      <c r="H82" s="1159"/>
      <c r="I82" s="1174"/>
      <c r="J82" s="1174"/>
      <c r="K82" s="1174"/>
      <c r="L82" s="1204"/>
      <c r="M82" s="1174"/>
      <c r="N82" s="1235"/>
      <c r="O82" s="1465"/>
      <c r="P82" s="1206"/>
      <c r="Q82" s="1159"/>
      <c r="R82" s="1159"/>
      <c r="S82" s="1159"/>
      <c r="T82" s="1174"/>
      <c r="U82" s="1174"/>
      <c r="V82" s="1174"/>
      <c r="W82" s="1466"/>
      <c r="X82" s="1174"/>
      <c r="Y82" s="1217"/>
      <c r="Z82" s="173"/>
      <c r="AA82" s="958"/>
      <c r="AB82" s="1145"/>
      <c r="AC82" s="1145">
        <f t="shared" si="22"/>
        <v>0</v>
      </c>
      <c r="AD82" s="1145"/>
      <c r="AE82" s="1145">
        <f t="shared" si="23"/>
        <v>0</v>
      </c>
      <c r="AF82" s="1145"/>
      <c r="AG82" s="1145"/>
      <c r="AH82" s="1145">
        <f t="shared" si="21"/>
        <v>0</v>
      </c>
      <c r="AI82" s="1145"/>
      <c r="AJ82" s="1145">
        <f t="shared" si="13"/>
        <v>0</v>
      </c>
    </row>
    <row r="83" spans="3:36" hidden="1" x14ac:dyDescent="0.2">
      <c r="C83" s="1154" t="str">
        <f>+TableA1!A84</f>
        <v>St. Kitts and Nevis</v>
      </c>
      <c r="D83" s="1465"/>
      <c r="E83" s="1206"/>
      <c r="F83" s="1159"/>
      <c r="G83" s="1159"/>
      <c r="H83" s="1159"/>
      <c r="I83" s="1174"/>
      <c r="J83" s="1174"/>
      <c r="K83" s="1174"/>
      <c r="L83" s="1204"/>
      <c r="M83" s="1174"/>
      <c r="N83" s="1235"/>
      <c r="O83" s="1465"/>
      <c r="P83" s="1206"/>
      <c r="Q83" s="1159"/>
      <c r="R83" s="1159"/>
      <c r="S83" s="1159"/>
      <c r="T83" s="1174"/>
      <c r="U83" s="1174"/>
      <c r="V83" s="1174"/>
      <c r="W83" s="1466"/>
      <c r="X83" s="1174"/>
      <c r="Y83" s="1217"/>
      <c r="Z83" s="173"/>
      <c r="AA83" s="958"/>
      <c r="AB83" s="1145"/>
      <c r="AC83" s="1145">
        <f t="shared" si="22"/>
        <v>0</v>
      </c>
      <c r="AD83" s="1145"/>
      <c r="AE83" s="1145">
        <f t="shared" si="23"/>
        <v>0</v>
      </c>
      <c r="AF83" s="1145"/>
      <c r="AG83" s="1145"/>
      <c r="AH83" s="1145">
        <f t="shared" si="21"/>
        <v>0</v>
      </c>
      <c r="AI83" s="1145"/>
      <c r="AJ83" s="1145">
        <f t="shared" si="13"/>
        <v>0</v>
      </c>
    </row>
    <row r="84" spans="3:36" hidden="1" x14ac:dyDescent="0.2">
      <c r="C84" s="1154" t="str">
        <f>+TableA1!A85</f>
        <v>St. Lucia</v>
      </c>
      <c r="D84" s="1465"/>
      <c r="E84" s="1206"/>
      <c r="F84" s="1159"/>
      <c r="G84" s="1159"/>
      <c r="H84" s="1159"/>
      <c r="I84" s="1174"/>
      <c r="J84" s="1174"/>
      <c r="K84" s="1174"/>
      <c r="L84" s="1204"/>
      <c r="M84" s="1174"/>
      <c r="N84" s="1235"/>
      <c r="O84" s="1465"/>
      <c r="P84" s="1206"/>
      <c r="Q84" s="1159"/>
      <c r="R84" s="1159"/>
      <c r="S84" s="1159"/>
      <c r="T84" s="1174"/>
      <c r="U84" s="1174"/>
      <c r="V84" s="1174"/>
      <c r="W84" s="1466"/>
      <c r="X84" s="1174"/>
      <c r="Y84" s="1217"/>
      <c r="Z84" s="173"/>
      <c r="AA84" s="958"/>
      <c r="AB84" s="1145"/>
      <c r="AC84" s="1145">
        <f t="shared" si="22"/>
        <v>0</v>
      </c>
      <c r="AD84" s="1145"/>
      <c r="AE84" s="1145">
        <f t="shared" si="23"/>
        <v>0</v>
      </c>
      <c r="AF84" s="1145"/>
      <c r="AG84" s="1145"/>
      <c r="AH84" s="1145">
        <f t="shared" si="21"/>
        <v>0</v>
      </c>
      <c r="AI84" s="1145"/>
      <c r="AJ84" s="1145">
        <f t="shared" si="13"/>
        <v>0</v>
      </c>
    </row>
    <row r="85" spans="3:36" hidden="1" x14ac:dyDescent="0.2">
      <c r="C85" s="1154" t="str">
        <f>+TableA1!A86</f>
        <v>St. Vincent and the Grenadines</v>
      </c>
      <c r="D85" s="1465"/>
      <c r="E85" s="1206"/>
      <c r="F85" s="1159"/>
      <c r="G85" s="1159"/>
      <c r="H85" s="1159"/>
      <c r="I85" s="1174"/>
      <c r="J85" s="1174"/>
      <c r="K85" s="1174"/>
      <c r="L85" s="1204"/>
      <c r="M85" s="1174"/>
      <c r="N85" s="1235"/>
      <c r="O85" s="1465"/>
      <c r="P85" s="1206"/>
      <c r="Q85" s="1159"/>
      <c r="R85" s="1159"/>
      <c r="S85" s="1159"/>
      <c r="T85" s="1174"/>
      <c r="U85" s="1174"/>
      <c r="V85" s="1174"/>
      <c r="W85" s="1466"/>
      <c r="X85" s="1174"/>
      <c r="Y85" s="1217"/>
      <c r="Z85" s="173"/>
      <c r="AA85" s="958"/>
      <c r="AB85" s="1145"/>
      <c r="AC85" s="1145">
        <f t="shared" si="22"/>
        <v>0</v>
      </c>
      <c r="AD85" s="1145"/>
      <c r="AE85" s="1145">
        <f t="shared" si="23"/>
        <v>0</v>
      </c>
      <c r="AF85" s="1145"/>
      <c r="AG85" s="1145"/>
      <c r="AH85" s="1145">
        <f t="shared" si="21"/>
        <v>0</v>
      </c>
      <c r="AI85" s="1145"/>
      <c r="AJ85" s="1145">
        <f t="shared" si="13"/>
        <v>0</v>
      </c>
    </row>
    <row r="86" spans="3:36" hidden="1" x14ac:dyDescent="0.2">
      <c r="C86" s="1154" t="str">
        <f>+TableA1!A87</f>
        <v>Turks and Caicos</v>
      </c>
      <c r="D86" s="1465"/>
      <c r="E86" s="1206"/>
      <c r="F86" s="1159"/>
      <c r="G86" s="1159"/>
      <c r="H86" s="1159"/>
      <c r="I86" s="1174"/>
      <c r="J86" s="1174"/>
      <c r="K86" s="1174"/>
      <c r="L86" s="1204"/>
      <c r="M86" s="1174"/>
      <c r="N86" s="1235"/>
      <c r="O86" s="1465"/>
      <c r="P86" s="1206"/>
      <c r="Q86" s="1159"/>
      <c r="R86" s="1159"/>
      <c r="S86" s="1159"/>
      <c r="T86" s="1174"/>
      <c r="U86" s="1174"/>
      <c r="V86" s="1174"/>
      <c r="W86" s="1466"/>
      <c r="X86" s="1174"/>
      <c r="Y86" s="1217"/>
      <c r="Z86" s="173"/>
      <c r="AA86" s="958"/>
      <c r="AB86" s="1145"/>
      <c r="AC86" s="1145">
        <f t="shared" si="22"/>
        <v>0</v>
      </c>
      <c r="AD86" s="1145"/>
      <c r="AE86" s="1145">
        <f t="shared" si="23"/>
        <v>0</v>
      </c>
      <c r="AF86" s="1145"/>
      <c r="AG86" s="1145"/>
      <c r="AH86" s="1145">
        <f t="shared" si="21"/>
        <v>0</v>
      </c>
      <c r="AI86" s="1145"/>
      <c r="AJ86" s="1145">
        <f t="shared" si="13"/>
        <v>0</v>
      </c>
    </row>
    <row r="87" spans="3:36" hidden="1" x14ac:dyDescent="0.2">
      <c r="C87" s="1154" t="str">
        <f>+TableA1!A88</f>
        <v>Panama</v>
      </c>
      <c r="D87" s="1465"/>
      <c r="E87" s="1206"/>
      <c r="F87" s="1159"/>
      <c r="G87" s="1159"/>
      <c r="H87" s="1159"/>
      <c r="I87" s="1174"/>
      <c r="J87" s="1174"/>
      <c r="K87" s="1174"/>
      <c r="L87" s="1204"/>
      <c r="M87" s="1174"/>
      <c r="N87" s="1235"/>
      <c r="O87" s="1465"/>
      <c r="P87" s="1206"/>
      <c r="Q87" s="1159"/>
      <c r="R87" s="1159"/>
      <c r="S87" s="1159"/>
      <c r="T87" s="1174"/>
      <c r="U87" s="1174"/>
      <c r="V87" s="1174"/>
      <c r="W87" s="1466"/>
      <c r="X87" s="1174"/>
      <c r="Y87" s="1217"/>
      <c r="Z87" s="173"/>
      <c r="AA87" s="958"/>
      <c r="AB87" s="1145"/>
      <c r="AC87" s="1145">
        <f t="shared" si="22"/>
        <v>0</v>
      </c>
      <c r="AD87" s="1145"/>
      <c r="AE87" s="1145">
        <f t="shared" si="23"/>
        <v>0</v>
      </c>
      <c r="AF87" s="1145"/>
      <c r="AG87" s="1145"/>
      <c r="AH87" s="1145">
        <f t="shared" si="21"/>
        <v>0</v>
      </c>
      <c r="AI87" s="1145"/>
      <c r="AJ87" s="1145">
        <f t="shared" si="13"/>
        <v>0</v>
      </c>
    </row>
    <row r="88" spans="3:36" hidden="1" x14ac:dyDescent="0.2">
      <c r="C88" s="1154" t="s">
        <v>108</v>
      </c>
      <c r="D88" s="1465"/>
      <c r="E88" s="1206"/>
      <c r="F88" s="1159"/>
      <c r="G88" s="1159"/>
      <c r="H88" s="1159"/>
      <c r="I88" s="1174"/>
      <c r="J88" s="1174"/>
      <c r="K88" s="1174"/>
      <c r="L88" s="1204"/>
      <c r="M88" s="1174"/>
      <c r="N88" s="1235"/>
      <c r="O88" s="1465"/>
      <c r="P88" s="1206"/>
      <c r="Q88" s="1159"/>
      <c r="R88" s="1159"/>
      <c r="S88" s="1159"/>
      <c r="T88" s="1174"/>
      <c r="U88" s="1174"/>
      <c r="V88" s="1174"/>
      <c r="W88" s="1466"/>
      <c r="X88" s="1174"/>
      <c r="Y88" s="1217"/>
      <c r="Z88" s="173"/>
      <c r="AA88" s="958"/>
      <c r="AB88" s="1145"/>
      <c r="AC88" s="1145">
        <f t="shared" si="22"/>
        <v>0</v>
      </c>
      <c r="AD88" s="1145"/>
      <c r="AE88" s="1145">
        <f t="shared" si="23"/>
        <v>0</v>
      </c>
      <c r="AF88" s="1145"/>
      <c r="AG88" s="1145"/>
      <c r="AH88" s="1145">
        <f t="shared" si="21"/>
        <v>0</v>
      </c>
      <c r="AI88" s="1145"/>
      <c r="AJ88" s="1145">
        <f t="shared" si="13"/>
        <v>0</v>
      </c>
    </row>
    <row r="89" spans="3:36" ht="40" customHeight="1" x14ac:dyDescent="0.2">
      <c r="C89" s="1467" t="s">
        <v>155</v>
      </c>
      <c r="D89" s="1468">
        <f>+E89+L89</f>
        <v>7418.4007328242969</v>
      </c>
      <c r="E89" s="1347">
        <f>SUM(F89:K89)</f>
        <v>3917.9274204913795</v>
      </c>
      <c r="F89" s="1348">
        <v>1538.8801146239491</v>
      </c>
      <c r="G89" s="1348">
        <v>-27.790811293277596</v>
      </c>
      <c r="H89" s="1348">
        <v>-145.20458495795557</v>
      </c>
      <c r="I89" s="1469">
        <v>2057.9624653544411</v>
      </c>
      <c r="J89" s="1469">
        <v>-134.81909146427398</v>
      </c>
      <c r="K89" s="1469">
        <v>628.8993282284963</v>
      </c>
      <c r="L89" s="1470">
        <f>SUM(M89:N89)</f>
        <v>3500.473312332917</v>
      </c>
      <c r="M89" s="1471">
        <v>597.55682785304793</v>
      </c>
      <c r="N89" s="1472">
        <v>2902.9164844798688</v>
      </c>
      <c r="O89" s="1473">
        <f>+P89+W89</f>
        <v>92385.718525268167</v>
      </c>
      <c r="P89" s="1347">
        <f>SUM(Q89:V89)</f>
        <v>35871.109879269032</v>
      </c>
      <c r="Q89" s="1459">
        <v>2442.5142105510408</v>
      </c>
      <c r="R89" s="1459">
        <v>881.51684126462169</v>
      </c>
      <c r="S89" s="1459">
        <v>19826.195565368522</v>
      </c>
      <c r="T89" s="1459">
        <v>1898.9105557382447</v>
      </c>
      <c r="U89" s="1459">
        <v>3546.4537041386752</v>
      </c>
      <c r="V89" s="1459">
        <v>7275.5190022079296</v>
      </c>
      <c r="W89" s="1470">
        <f>SUM(X89:Y89)</f>
        <v>56514.608645999135</v>
      </c>
      <c r="X89" s="1471">
        <v>5433.1508687275364</v>
      </c>
      <c r="Y89" s="1474">
        <v>51081.4577772716</v>
      </c>
      <c r="Z89" s="173"/>
      <c r="AA89" s="1475">
        <f>+TableB2!L90/TableB2!$L$91</f>
        <v>6.7158306912131871E-2</v>
      </c>
      <c r="AB89" s="1145">
        <f>+AA89</f>
        <v>6.7158306912131871E-2</v>
      </c>
      <c r="AC89" s="1145">
        <f t="shared" si="22"/>
        <v>0.15893644962964881</v>
      </c>
      <c r="AD89" s="1145">
        <f>+AB89</f>
        <v>6.7158306912131871E-2</v>
      </c>
      <c r="AE89" s="1145">
        <f>+AD89/$AD$90</f>
        <v>0.26233696407958473</v>
      </c>
      <c r="AF89" s="1145"/>
      <c r="AG89" s="1145">
        <f>+AB89</f>
        <v>6.7158306912131871E-2</v>
      </c>
      <c r="AH89" s="1145">
        <f>+AG89/$AG$90</f>
        <v>0.96161976793348058</v>
      </c>
      <c r="AI89" s="1145">
        <f>+AD89</f>
        <v>6.7158306912131871E-2</v>
      </c>
      <c r="AJ89" s="1145">
        <f>+AI89/$AI$90</f>
        <v>0.96161976793348058</v>
      </c>
    </row>
    <row r="90" spans="3:36" ht="40" customHeight="1" x14ac:dyDescent="0.2">
      <c r="C90" s="622" t="s">
        <v>110</v>
      </c>
      <c r="D90" s="1476">
        <f t="shared" ref="D90:O90" si="24">SUMIF(D9:D89,"&gt;-999999")-D44</f>
        <v>147343.94059958696</v>
      </c>
      <c r="E90" s="304">
        <f t="shared" si="24"/>
        <v>105372.01898245345</v>
      </c>
      <c r="F90" s="244">
        <f t="shared" si="24"/>
        <v>11407.444386070565</v>
      </c>
      <c r="G90" s="245">
        <f t="shared" si="24"/>
        <v>295.16929892564701</v>
      </c>
      <c r="H90" s="245">
        <f t="shared" si="24"/>
        <v>7655.7207225791572</v>
      </c>
      <c r="I90" s="245">
        <f t="shared" si="24"/>
        <v>38107.023193801651</v>
      </c>
      <c r="J90" s="245">
        <f t="shared" si="24"/>
        <v>155.03356390830689</v>
      </c>
      <c r="K90" s="245">
        <f t="shared" si="24"/>
        <v>47751.627817168104</v>
      </c>
      <c r="L90" s="304">
        <f t="shared" si="24"/>
        <v>45857.426004046953</v>
      </c>
      <c r="M90" s="244">
        <f t="shared" si="24"/>
        <v>11844.041883716764</v>
      </c>
      <c r="N90" s="623">
        <f t="shared" si="24"/>
        <v>34013.3841203302</v>
      </c>
      <c r="O90" s="1476">
        <f t="shared" si="24"/>
        <v>808950.11294280121</v>
      </c>
      <c r="P90" s="304">
        <f t="shared" ref="P90:Y90" si="25">SUMIF(P9:P89,"&gt;-999999")-P44</f>
        <v>352459.52776515292</v>
      </c>
      <c r="Q90" s="332">
        <f t="shared" si="25"/>
        <v>59554.347996304576</v>
      </c>
      <c r="R90" s="298">
        <f t="shared" si="25"/>
        <v>2941.1904115635734</v>
      </c>
      <c r="S90" s="298">
        <f t="shared" si="25"/>
        <v>110410.0934305541</v>
      </c>
      <c r="T90" s="298">
        <f t="shared" si="25"/>
        <v>74435.463991708632</v>
      </c>
      <c r="U90" s="298">
        <f t="shared" si="25"/>
        <v>4878.3613228504337</v>
      </c>
      <c r="V90" s="631">
        <f t="shared" si="25"/>
        <v>100240.07061217159</v>
      </c>
      <c r="W90" s="245">
        <f t="shared" si="25"/>
        <v>477316.52935388347</v>
      </c>
      <c r="X90" s="332">
        <f t="shared" si="25"/>
        <v>96092.626541333113</v>
      </c>
      <c r="Y90" s="624">
        <f t="shared" si="25"/>
        <v>381223.90281255031</v>
      </c>
      <c r="Z90" s="173"/>
      <c r="AA90" s="1023">
        <f>+SUM(AA9:AA89)</f>
        <v>0.85846452450486399</v>
      </c>
      <c r="AB90" s="1145">
        <f>+SUM(AB9:AB89)</f>
        <v>0.42254817613343626</v>
      </c>
      <c r="AC90" s="1145">
        <f t="shared" si="22"/>
        <v>1</v>
      </c>
      <c r="AD90" s="1145">
        <f>+SUM(AD9:AD89)</f>
        <v>0.25600016813398119</v>
      </c>
      <c r="AE90" s="1145">
        <f>SUM(AE9:AE89)</f>
        <v>1</v>
      </c>
      <c r="AF90" s="1145"/>
      <c r="AG90" s="1145">
        <f>+SUM(AG9:AG89)</f>
        <v>6.9838733719518861E-2</v>
      </c>
      <c r="AH90" s="1145">
        <f t="shared" ref="AH90" si="26">+AG90/$AB$90</f>
        <v>0.16527993176679698</v>
      </c>
      <c r="AI90" s="1145">
        <f>+SUM(AI9:AI89)</f>
        <v>6.9838733719518861E-2</v>
      </c>
      <c r="AJ90" s="1145">
        <f>+SUM(AJ9:AJ89)</f>
        <v>1</v>
      </c>
    </row>
    <row r="91" spans="3:36" ht="40" customHeight="1" thickBot="1" x14ac:dyDescent="0.25">
      <c r="C91" s="263" t="s">
        <v>639</v>
      </c>
      <c r="D91" s="626">
        <f>+E91+L91</f>
        <v>105788.09742605902</v>
      </c>
      <c r="E91" s="326">
        <f>+E89+E44+E8</f>
        <v>78380.218312798941</v>
      </c>
      <c r="F91" s="627">
        <f t="shared" ref="F91:Y91" si="27">+F89+F44+F8</f>
        <v>9088.4967573106878</v>
      </c>
      <c r="G91" s="628">
        <f t="shared" si="27"/>
        <v>273.87521768207267</v>
      </c>
      <c r="H91" s="628">
        <f t="shared" si="27"/>
        <v>2453.643218777831</v>
      </c>
      <c r="I91" s="628">
        <f t="shared" si="27"/>
        <v>32121.057324221249</v>
      </c>
      <c r="J91" s="628">
        <f t="shared" si="27"/>
        <v>103.46196089652524</v>
      </c>
      <c r="K91" s="628">
        <f t="shared" si="27"/>
        <v>34339.683833910589</v>
      </c>
      <c r="L91" s="326">
        <f t="shared" si="27"/>
        <v>27407.879113260082</v>
      </c>
      <c r="M91" s="627">
        <f t="shared" si="27"/>
        <v>5769.2397689483214</v>
      </c>
      <c r="N91" s="629">
        <f t="shared" si="27"/>
        <v>21638.639344311763</v>
      </c>
      <c r="O91" s="626">
        <f>+P91+W91</f>
        <v>657166.45637196908</v>
      </c>
      <c r="P91" s="326">
        <f t="shared" si="27"/>
        <v>281941.0723402084</v>
      </c>
      <c r="Q91" s="627">
        <f t="shared" si="27"/>
        <v>43532.769993977752</v>
      </c>
      <c r="R91" s="628">
        <f t="shared" si="27"/>
        <v>2809.2114705226704</v>
      </c>
      <c r="S91" s="628">
        <f t="shared" si="27"/>
        <v>99047.039326951752</v>
      </c>
      <c r="T91" s="628">
        <f t="shared" si="27"/>
        <v>61135.31393497988</v>
      </c>
      <c r="U91" s="628">
        <f t="shared" si="27"/>
        <v>4761.4656893570627</v>
      </c>
      <c r="V91" s="629">
        <f t="shared" si="27"/>
        <v>70655.271924419358</v>
      </c>
      <c r="W91" s="628">
        <f t="shared" si="27"/>
        <v>375225.38403176062</v>
      </c>
      <c r="X91" s="627">
        <f t="shared" si="27"/>
        <v>66460.803424167985</v>
      </c>
      <c r="Y91" s="630">
        <f t="shared" si="27"/>
        <v>308764.58060759259</v>
      </c>
      <c r="Z91" s="958"/>
      <c r="AA91" s="958"/>
      <c r="AB91" s="958"/>
      <c r="AC91" s="958"/>
      <c r="AD91" s="958"/>
      <c r="AE91" s="958"/>
      <c r="AF91" s="958"/>
      <c r="AG91" s="958"/>
      <c r="AH91" s="958"/>
      <c r="AI91" s="958"/>
      <c r="AJ91" s="958"/>
    </row>
    <row r="92" spans="3:36" s="2" customFormat="1" ht="17" thickTop="1" x14ac:dyDescent="0.2">
      <c r="E92" s="1456"/>
      <c r="F92" s="958"/>
      <c r="G92" s="958"/>
      <c r="H92" s="958"/>
      <c r="I92" s="958"/>
      <c r="J92" s="958"/>
      <c r="K92" s="958"/>
      <c r="L92" s="958"/>
      <c r="N92" s="958"/>
      <c r="O92" s="958"/>
      <c r="P92" s="958"/>
      <c r="Q92" s="958"/>
      <c r="R92" s="958"/>
      <c r="S92" s="958"/>
      <c r="T92" s="958"/>
      <c r="U92" s="958"/>
      <c r="V92" s="958"/>
      <c r="W92" s="958"/>
      <c r="X92" s="958"/>
      <c r="Y92" s="958"/>
    </row>
    <row r="94" spans="3:36" s="2" customFormat="1" x14ac:dyDescent="0.2">
      <c r="C94" s="958"/>
      <c r="D94" s="958"/>
      <c r="E94" s="1456"/>
      <c r="F94" s="958"/>
      <c r="G94" s="958"/>
      <c r="H94" s="958"/>
      <c r="I94" s="958"/>
      <c r="J94" s="958"/>
      <c r="K94" s="958"/>
      <c r="L94" s="958"/>
      <c r="N94" s="958"/>
      <c r="O94" s="958"/>
      <c r="P94" s="958"/>
      <c r="Q94" s="958"/>
      <c r="R94" s="958"/>
      <c r="S94" s="958"/>
      <c r="T94" s="958"/>
      <c r="U94" s="958"/>
      <c r="V94" s="958"/>
      <c r="W94" s="958"/>
      <c r="X94" s="958"/>
      <c r="Y94" s="958"/>
    </row>
    <row r="100" spans="13:13" x14ac:dyDescent="0.2">
      <c r="M100" s="1022">
        <f>+M9+M13+M22++M12+M24+M26+M27+M30+M32+M33+M41+M43+M44+M89</f>
        <v>3759.7217582591365</v>
      </c>
    </row>
    <row r="101" spans="13:13" x14ac:dyDescent="0.2">
      <c r="M101" s="1477">
        <f>+M90-M100</f>
        <v>8084.320125457627</v>
      </c>
    </row>
  </sheetData>
  <mergeCells count="14">
    <mergeCell ref="AI8:AJ8"/>
    <mergeCell ref="AB8:AC8"/>
    <mergeCell ref="AG8:AH8"/>
    <mergeCell ref="AD8:AE8"/>
    <mergeCell ref="W6:W7"/>
    <mergeCell ref="AA6:AJ6"/>
    <mergeCell ref="C3:Y3"/>
    <mergeCell ref="P6:P7"/>
    <mergeCell ref="E6:E7"/>
    <mergeCell ref="L6:L7"/>
    <mergeCell ref="D5:N5"/>
    <mergeCell ref="D6:D7"/>
    <mergeCell ref="O6:O7"/>
    <mergeCell ref="O5:Y5"/>
  </mergeCells>
  <phoneticPr fontId="36" type="noConversion"/>
  <pageMargins left="0.7" right="0.7" top="0.75" bottom="0.75" header="0.3" footer="0.3"/>
  <pageSetup scale="31" fitToHeight="0" orientation="landscape" horizontalDpi="4294967292" verticalDpi="4294967292"/>
  <extLst>
    <ext xmlns:mx="http://schemas.microsoft.com/office/mac/excel/2008/main" uri="{64002731-A6B0-56B0-2670-7721B7C09600}">
      <mx:PLV Mode="0" OnePage="0" WScale="10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J100"/>
  <sheetViews>
    <sheetView topLeftCell="C1" zoomScale="70" zoomScaleNormal="70" zoomScalePageLayoutView="70" workbookViewId="0">
      <pane xSplit="1" ySplit="7" topLeftCell="S48" activePane="bottomRight" state="frozen"/>
      <selection pane="topRight" activeCell="D1" sqref="D1"/>
      <selection pane="bottomLeft" activeCell="C8" sqref="C8"/>
      <selection pane="bottomRight" activeCell="V49" sqref="V49"/>
    </sheetView>
  </sheetViews>
  <sheetFormatPr baseColWidth="10" defaultColWidth="10.83203125" defaultRowHeight="16" x14ac:dyDescent="0.2"/>
  <cols>
    <col min="1" max="2" width="10.83203125" style="1" hidden="1" customWidth="1"/>
    <col min="3" max="3" width="19" style="1" customWidth="1"/>
    <col min="4" max="25" width="11" style="1" customWidth="1"/>
    <col min="26" max="34" width="10.83203125" style="1"/>
    <col min="35" max="35" width="16" style="1" customWidth="1"/>
    <col min="36" max="16384" width="10.83203125" style="1"/>
  </cols>
  <sheetData>
    <row r="1" spans="3:36" ht="17" thickBot="1" x14ac:dyDescent="0.25">
      <c r="C1" s="958"/>
      <c r="D1" s="958"/>
      <c r="E1" s="958"/>
      <c r="F1" s="958"/>
      <c r="G1" s="958"/>
      <c r="H1" s="958"/>
      <c r="I1" s="958"/>
      <c r="J1" s="958"/>
      <c r="K1" s="958"/>
      <c r="L1" s="958"/>
      <c r="M1" s="958"/>
      <c r="N1" s="1115"/>
      <c r="O1" s="1115"/>
      <c r="P1" s="958"/>
      <c r="Q1" s="958"/>
      <c r="R1" s="958"/>
      <c r="S1" s="958"/>
      <c r="T1" s="958"/>
      <c r="U1" s="958"/>
      <c r="V1" s="958"/>
      <c r="W1" s="958"/>
      <c r="X1" s="958"/>
      <c r="Y1" s="1115"/>
      <c r="Z1" s="958"/>
      <c r="AA1" s="958"/>
      <c r="AB1" s="958"/>
      <c r="AC1" s="958"/>
      <c r="AD1" s="958"/>
      <c r="AE1" s="958"/>
      <c r="AF1" s="958"/>
      <c r="AG1" s="958"/>
      <c r="AH1" s="958"/>
      <c r="AI1" s="958"/>
      <c r="AJ1" s="958"/>
    </row>
    <row r="2" spans="3:36" ht="17" hidden="1" thickBot="1" x14ac:dyDescent="0.25">
      <c r="C2" s="958"/>
      <c r="D2" s="958"/>
      <c r="E2" s="958"/>
      <c r="F2" s="958">
        <v>2</v>
      </c>
      <c r="G2" s="958">
        <v>3</v>
      </c>
      <c r="H2" s="958">
        <v>4</v>
      </c>
      <c r="I2" s="958">
        <v>5</v>
      </c>
      <c r="J2" s="958">
        <v>6</v>
      </c>
      <c r="K2" s="958">
        <v>7</v>
      </c>
      <c r="L2" s="958"/>
      <c r="M2" s="958"/>
      <c r="N2" s="958"/>
      <c r="O2" s="958"/>
      <c r="P2" s="958"/>
      <c r="Q2" s="958">
        <v>2</v>
      </c>
      <c r="R2" s="958">
        <v>3</v>
      </c>
      <c r="S2" s="958">
        <v>4</v>
      </c>
      <c r="T2" s="958">
        <v>5</v>
      </c>
      <c r="U2" s="958">
        <v>6</v>
      </c>
      <c r="V2" s="958">
        <v>7</v>
      </c>
      <c r="W2" s="958"/>
      <c r="X2" s="958"/>
      <c r="Y2" s="958"/>
      <c r="Z2" s="958"/>
      <c r="AA2" s="958"/>
      <c r="AB2" s="958"/>
      <c r="AC2" s="958"/>
      <c r="AD2" s="958"/>
      <c r="AE2" s="958"/>
      <c r="AF2" s="958"/>
      <c r="AG2" s="958"/>
      <c r="AH2" s="958"/>
      <c r="AI2" s="958"/>
      <c r="AJ2" s="958"/>
    </row>
    <row r="3" spans="3:36" ht="32.25" customHeight="1" thickTop="1" x14ac:dyDescent="0.2">
      <c r="C3" s="1934" t="s">
        <v>640</v>
      </c>
      <c r="D3" s="1935"/>
      <c r="E3" s="1935"/>
      <c r="F3" s="1935"/>
      <c r="G3" s="1935"/>
      <c r="H3" s="1935"/>
      <c r="I3" s="1935"/>
      <c r="J3" s="1935"/>
      <c r="K3" s="1935"/>
      <c r="L3" s="1935"/>
      <c r="M3" s="1935"/>
      <c r="N3" s="1935"/>
      <c r="O3" s="1935"/>
      <c r="P3" s="1935"/>
      <c r="Q3" s="1935"/>
      <c r="R3" s="1935"/>
      <c r="S3" s="1935"/>
      <c r="T3" s="1935"/>
      <c r="U3" s="1935"/>
      <c r="V3" s="1935"/>
      <c r="W3" s="1935"/>
      <c r="X3" s="1935"/>
      <c r="Y3" s="1936"/>
      <c r="Z3" s="958"/>
      <c r="AA3" s="958"/>
      <c r="AB3" s="958"/>
      <c r="AC3" s="958"/>
      <c r="AD3" s="958"/>
      <c r="AE3" s="958"/>
      <c r="AF3" s="958"/>
      <c r="AG3" s="958"/>
      <c r="AH3" s="958"/>
      <c r="AI3" s="958"/>
      <c r="AJ3" s="958"/>
    </row>
    <row r="4" spans="3:36" ht="32.25" customHeight="1" x14ac:dyDescent="0.2">
      <c r="C4" s="4"/>
      <c r="D4" s="160" t="s">
        <v>1</v>
      </c>
      <c r="E4" s="160" t="s">
        <v>2</v>
      </c>
      <c r="F4" s="160" t="s">
        <v>3</v>
      </c>
      <c r="G4" s="160" t="s">
        <v>4</v>
      </c>
      <c r="H4" s="160" t="s">
        <v>5</v>
      </c>
      <c r="I4" s="160" t="s">
        <v>6</v>
      </c>
      <c r="J4" s="160" t="s">
        <v>7</v>
      </c>
      <c r="K4" s="160" t="s">
        <v>8</v>
      </c>
      <c r="L4" s="160" t="s">
        <v>9</v>
      </c>
      <c r="M4" s="160" t="s">
        <v>10</v>
      </c>
      <c r="N4" s="160" t="s">
        <v>11</v>
      </c>
      <c r="O4" s="160" t="s">
        <v>12</v>
      </c>
      <c r="P4" s="160" t="s">
        <v>13</v>
      </c>
      <c r="Q4" s="160" t="s">
        <v>177</v>
      </c>
      <c r="R4" s="160" t="s">
        <v>178</v>
      </c>
      <c r="S4" s="160" t="s">
        <v>179</v>
      </c>
      <c r="T4" s="160" t="s">
        <v>619</v>
      </c>
      <c r="U4" s="160" t="s">
        <v>620</v>
      </c>
      <c r="V4" s="160" t="s">
        <v>621</v>
      </c>
      <c r="W4" s="160" t="s">
        <v>622</v>
      </c>
      <c r="X4" s="160" t="s">
        <v>623</v>
      </c>
      <c r="Y4" s="6" t="s">
        <v>624</v>
      </c>
      <c r="Z4" s="958"/>
      <c r="AA4" s="958"/>
      <c r="AB4" s="958"/>
      <c r="AC4" s="958"/>
      <c r="AD4" s="958"/>
      <c r="AE4" s="958"/>
      <c r="AF4" s="958"/>
      <c r="AG4" s="958"/>
      <c r="AH4" s="958"/>
      <c r="AI4" s="958"/>
      <c r="AJ4" s="958"/>
    </row>
    <row r="5" spans="3:36" ht="21" customHeight="1" x14ac:dyDescent="0.2">
      <c r="C5" s="1154"/>
      <c r="D5" s="2098" t="s">
        <v>625</v>
      </c>
      <c r="E5" s="2099"/>
      <c r="F5" s="2099"/>
      <c r="G5" s="2099"/>
      <c r="H5" s="2099"/>
      <c r="I5" s="2099"/>
      <c r="J5" s="2099"/>
      <c r="K5" s="2099"/>
      <c r="L5" s="2099"/>
      <c r="M5" s="2099"/>
      <c r="N5" s="2100"/>
      <c r="O5" s="2098" t="s">
        <v>641</v>
      </c>
      <c r="P5" s="2099"/>
      <c r="Q5" s="2099"/>
      <c r="R5" s="2099"/>
      <c r="S5" s="2099"/>
      <c r="T5" s="2099"/>
      <c r="U5" s="2099"/>
      <c r="V5" s="2099"/>
      <c r="W5" s="2099"/>
      <c r="X5" s="2099"/>
      <c r="Y5" s="2175"/>
      <c r="Z5" s="958"/>
      <c r="AA5" s="958"/>
      <c r="AB5" s="958"/>
      <c r="AC5" s="958"/>
      <c r="AD5" s="958"/>
      <c r="AE5" s="958"/>
      <c r="AF5" s="958"/>
      <c r="AG5" s="958"/>
      <c r="AH5" s="958"/>
      <c r="AI5" s="958"/>
      <c r="AJ5" s="958"/>
    </row>
    <row r="6" spans="3:36" ht="85" customHeight="1" x14ac:dyDescent="0.2">
      <c r="C6" s="1154"/>
      <c r="D6" s="2020" t="s">
        <v>627</v>
      </c>
      <c r="E6" s="2020" t="s">
        <v>628</v>
      </c>
      <c r="F6" s="1826" t="s">
        <v>31</v>
      </c>
      <c r="G6" s="1826" t="s">
        <v>86</v>
      </c>
      <c r="H6" s="1826" t="s">
        <v>43</v>
      </c>
      <c r="I6" s="1828" t="s">
        <v>49</v>
      </c>
      <c r="J6" s="1826" t="s">
        <v>96</v>
      </c>
      <c r="K6" s="1828" t="s">
        <v>51</v>
      </c>
      <c r="L6" s="2020" t="s">
        <v>629</v>
      </c>
      <c r="M6" s="1828" t="s">
        <v>60</v>
      </c>
      <c r="N6" s="1843" t="s">
        <v>630</v>
      </c>
      <c r="O6" s="2020" t="s">
        <v>627</v>
      </c>
      <c r="P6" s="2020" t="s">
        <v>628</v>
      </c>
      <c r="Q6" s="1826" t="s">
        <v>31</v>
      </c>
      <c r="R6" s="1826" t="s">
        <v>86</v>
      </c>
      <c r="S6" s="1826" t="s">
        <v>43</v>
      </c>
      <c r="T6" s="1828" t="s">
        <v>49</v>
      </c>
      <c r="U6" s="1826" t="s">
        <v>96</v>
      </c>
      <c r="V6" s="1826" t="s">
        <v>51</v>
      </c>
      <c r="W6" s="2019" t="s">
        <v>629</v>
      </c>
      <c r="X6" s="1828" t="s">
        <v>60</v>
      </c>
      <c r="Y6" s="1837" t="s">
        <v>630</v>
      </c>
      <c r="Z6" s="173"/>
      <c r="AA6" s="958"/>
      <c r="AB6" s="958"/>
      <c r="AC6" s="958"/>
      <c r="AD6" s="958"/>
      <c r="AE6" s="958"/>
      <c r="AF6" s="958"/>
      <c r="AG6" s="958"/>
      <c r="AH6" s="958"/>
      <c r="AI6" s="958"/>
      <c r="AJ6" s="958"/>
    </row>
    <row r="7" spans="3:36" ht="13.5" customHeight="1" x14ac:dyDescent="0.2">
      <c r="C7" s="1154"/>
      <c r="D7" s="2020"/>
      <c r="E7" s="2020"/>
      <c r="F7" s="1826"/>
      <c r="G7" s="1826"/>
      <c r="H7" s="1826"/>
      <c r="I7" s="1826"/>
      <c r="J7" s="1826"/>
      <c r="K7" s="1826"/>
      <c r="L7" s="2050"/>
      <c r="M7" s="1826"/>
      <c r="N7" s="1843"/>
      <c r="O7" s="2020"/>
      <c r="P7" s="2020"/>
      <c r="Q7" s="1826"/>
      <c r="R7" s="1826"/>
      <c r="S7" s="1826"/>
      <c r="T7" s="1826"/>
      <c r="U7" s="1826"/>
      <c r="V7" s="1826"/>
      <c r="W7" s="2050"/>
      <c r="X7" s="1826"/>
      <c r="Y7" s="1837"/>
      <c r="Z7" s="173"/>
      <c r="AA7" s="958"/>
      <c r="AB7" s="958"/>
      <c r="AC7" s="958"/>
      <c r="AD7" s="958"/>
      <c r="AE7" s="958"/>
      <c r="AF7" s="958"/>
      <c r="AG7" s="958"/>
      <c r="AH7" s="958"/>
      <c r="AI7" s="958"/>
      <c r="AJ7" s="958"/>
    </row>
    <row r="8" spans="3:36" ht="40" customHeight="1" x14ac:dyDescent="0.2">
      <c r="C8" s="8" t="s">
        <v>28</v>
      </c>
      <c r="D8" s="264">
        <f>+E8+L8</f>
        <v>80504.674146517849</v>
      </c>
      <c r="E8" s="264">
        <f>SUMIF(E9:E43,"&gt;-999999999")-(E11+E23+E29+E31+E40)</f>
        <v>64268.796992313684</v>
      </c>
      <c r="F8" s="258">
        <f t="shared" ref="F8:K8" si="0">SUMIF(F9:F43,"&gt;-999999999")-(F11+F23+F29+F31+F40)</f>
        <v>6427.3659625994533</v>
      </c>
      <c r="G8" s="258">
        <f t="shared" si="0"/>
        <v>267.14124917339745</v>
      </c>
      <c r="H8" s="258">
        <f t="shared" si="0"/>
        <v>2390.5398538206928</v>
      </c>
      <c r="I8" s="258">
        <f t="shared" si="0"/>
        <v>25667.077679209913</v>
      </c>
      <c r="J8" s="258">
        <f t="shared" si="0"/>
        <v>209.56453811970039</v>
      </c>
      <c r="K8" s="258">
        <f t="shared" si="0"/>
        <v>29307.107709390548</v>
      </c>
      <c r="L8" s="264">
        <f>SUMIF(L9:L43,"&gt;-999999999")-(L11+L23+L29+L31)</f>
        <v>16235.877154204158</v>
      </c>
      <c r="M8" s="258">
        <f>SUMIF(M9:M43,"&gt;-999999999")-(M11+M23+M29+M31)</f>
        <v>3659.9212943551083</v>
      </c>
      <c r="N8" s="259">
        <f>SUMIF(N9:N43,"&gt;-999999999")-(N11+N23+N29+N31)</f>
        <v>12575.955859849048</v>
      </c>
      <c r="O8" s="264">
        <f>+P8+W8</f>
        <v>375674.88726064516</v>
      </c>
      <c r="P8" s="264">
        <f>SUMIF(P9:P43,"&gt;-999999999")-(P11+P23+P29+P31)-P40</f>
        <v>181874.36086934345</v>
      </c>
      <c r="Q8" s="258">
        <f t="shared" ref="Q8:V8" si="1">SUMIF(Q9:Q43,"&gt;-999999999")-(Q11+Q23+Q29+Q31)-Q40</f>
        <v>25016.5835469679</v>
      </c>
      <c r="R8" s="258">
        <f t="shared" si="1"/>
        <v>910.87393789792588</v>
      </c>
      <c r="S8" s="258">
        <f t="shared" si="1"/>
        <v>63742.947043034037</v>
      </c>
      <c r="T8" s="258">
        <f t="shared" si="1"/>
        <v>56087.792108036978</v>
      </c>
      <c r="U8" s="258">
        <f t="shared" si="1"/>
        <v>913.14680707665866</v>
      </c>
      <c r="V8" s="258">
        <f t="shared" si="1"/>
        <v>35203.01742632997</v>
      </c>
      <c r="W8" s="264">
        <f>SUMIF(W9:W43,"&gt;-999999999")-(W11+W23+W29+W31)</f>
        <v>193800.52639130171</v>
      </c>
      <c r="X8" s="258">
        <f>SUMIF(X9:X43,"&gt;-999999999")-(X11+X23+X29+X31)</f>
        <v>38104.840718718573</v>
      </c>
      <c r="Y8" s="621">
        <f>SUMIF(Y9:Y43,"&gt;-999999999")-(Y11+Y23+Y29+Y31)</f>
        <v>155695.68567258315</v>
      </c>
      <c r="Z8" s="173"/>
      <c r="AA8" s="1081"/>
      <c r="AB8" s="2264" t="s">
        <v>632</v>
      </c>
      <c r="AC8" s="2264"/>
      <c r="AD8" s="2264" t="s">
        <v>633</v>
      </c>
      <c r="AE8" s="2264"/>
      <c r="AF8" s="958"/>
      <c r="AG8" s="2264" t="s">
        <v>634</v>
      </c>
      <c r="AH8" s="2264"/>
      <c r="AI8" s="2264" t="s">
        <v>635</v>
      </c>
      <c r="AJ8" s="2264"/>
    </row>
    <row r="9" spans="3:36" ht="14.25" customHeight="1" x14ac:dyDescent="0.2">
      <c r="C9" s="1155" t="s">
        <v>29</v>
      </c>
      <c r="D9" s="1458">
        <f>+E9+L9</f>
        <v>1459.0515691491571</v>
      </c>
      <c r="E9" s="1458">
        <f>SUM(F9:K9)</f>
        <v>869.19616120130422</v>
      </c>
      <c r="F9" s="1459">
        <v>64.56824754436731</v>
      </c>
      <c r="G9" s="1459">
        <v>0</v>
      </c>
      <c r="H9" s="1459">
        <v>0</v>
      </c>
      <c r="I9" s="1459">
        <v>371.31554168482768</v>
      </c>
      <c r="J9" s="1459">
        <v>5.2126136377499703</v>
      </c>
      <c r="K9" s="1459">
        <v>428.09975833435925</v>
      </c>
      <c r="L9" s="1458">
        <f>SUM(M9:N9)</f>
        <v>589.85540794785288</v>
      </c>
      <c r="M9" s="1174">
        <v>92.467201553970966</v>
      </c>
      <c r="N9" s="1235">
        <v>497.38820639388194</v>
      </c>
      <c r="O9" s="1458">
        <f>+P9+W9</f>
        <v>12126.498755961245</v>
      </c>
      <c r="P9" s="1458">
        <f>SUM(Q9:V9)</f>
        <v>3444.6200337756745</v>
      </c>
      <c r="Q9" s="1459">
        <v>209.28599850100952</v>
      </c>
      <c r="R9" s="1459">
        <v>1.7670350798107419</v>
      </c>
      <c r="S9" s="1459">
        <v>1950.0565934065048</v>
      </c>
      <c r="T9" s="1459">
        <v>300.21103293341281</v>
      </c>
      <c r="U9" s="1459">
        <v>5.9289140095961335</v>
      </c>
      <c r="V9" s="1459">
        <v>977.37045984534063</v>
      </c>
      <c r="W9" s="1458">
        <f>SUM(X9:Y9)</f>
        <v>8681.878722185571</v>
      </c>
      <c r="X9" s="1174">
        <v>668.73786585925529</v>
      </c>
      <c r="Y9" s="1217">
        <v>8013.1408563263158</v>
      </c>
      <c r="Z9" s="173"/>
      <c r="AA9" s="1145">
        <f>+TableB2!L10/TableB2!$L$91</f>
        <v>1.2748824469055224E-2</v>
      </c>
      <c r="AB9" s="1145">
        <f>+AA9</f>
        <v>1.2748824469055224E-2</v>
      </c>
      <c r="AC9" s="1145">
        <f>+AB9/$AB$90</f>
        <v>3.0171292148778037E-2</v>
      </c>
      <c r="AD9" s="1145">
        <f>+AB9</f>
        <v>1.2748824469055224E-2</v>
      </c>
      <c r="AE9" s="1145">
        <f>+AD9/$AD$90</f>
        <v>4.9800062874892144E-2</v>
      </c>
      <c r="AF9" s="1145"/>
      <c r="AG9" s="1145"/>
      <c r="AH9" s="1145">
        <f t="shared" ref="AH9:AH72" si="2">+AG9/$AG$90</f>
        <v>0</v>
      </c>
      <c r="AI9" s="1145"/>
      <c r="AJ9" s="1145">
        <f t="shared" ref="AJ9:AJ21" si="3">+AI9/$AB$90</f>
        <v>0</v>
      </c>
    </row>
    <row r="10" spans="3:36" ht="14.25" customHeight="1" x14ac:dyDescent="0.2">
      <c r="C10" s="1155" t="s">
        <v>30</v>
      </c>
      <c r="D10" s="1458">
        <f t="shared" ref="D10:D51" si="4">+E10+L10</f>
        <v>420.24534010867956</v>
      </c>
      <c r="E10" s="1458">
        <f t="shared" ref="E10:E51" si="5">SUM(F10:K10)</f>
        <v>298.15867990353695</v>
      </c>
      <c r="F10" s="1459">
        <v>21.438968345726671</v>
      </c>
      <c r="G10" s="1459">
        <v>0</v>
      </c>
      <c r="H10" s="1459">
        <v>51.473913460068566</v>
      </c>
      <c r="I10" s="1459">
        <v>122.61535895281465</v>
      </c>
      <c r="J10" s="1459">
        <v>1.1234955818956067</v>
      </c>
      <c r="K10" s="1459">
        <v>101.50694356303143</v>
      </c>
      <c r="L10" s="1458">
        <f t="shared" ref="L10:L51" si="6">SUM(M10:N10)</f>
        <v>122.08666020514262</v>
      </c>
      <c r="M10" s="1174">
        <v>57.853472223653952</v>
      </c>
      <c r="N10" s="1235">
        <v>64.233187981488669</v>
      </c>
      <c r="O10" s="1458">
        <f t="shared" ref="O10:O51" si="7">+P10+W10</f>
        <v>3342.7105495280571</v>
      </c>
      <c r="P10" s="1458">
        <f t="shared" ref="P10:P51" si="8">SUM(Q10:V10)</f>
        <v>1877.8107582937084</v>
      </c>
      <c r="Q10" s="1459">
        <v>314.26971054328214</v>
      </c>
      <c r="R10" s="1459">
        <v>8.0443966277535228</v>
      </c>
      <c r="S10" s="1459">
        <v>736.17199666970953</v>
      </c>
      <c r="T10" s="1459">
        <v>537.27666517469504</v>
      </c>
      <c r="U10" s="1459">
        <v>36.326764288223615</v>
      </c>
      <c r="V10" s="1459">
        <v>245.72122499004436</v>
      </c>
      <c r="W10" s="1458">
        <f t="shared" ref="W10:W51" si="9">SUM(X10:Y10)</f>
        <v>1464.8997912343486</v>
      </c>
      <c r="X10" s="1174">
        <v>1175.0125594652318</v>
      </c>
      <c r="Y10" s="1217">
        <v>289.88723176911691</v>
      </c>
      <c r="Z10" s="173"/>
      <c r="AA10" s="1145">
        <f>+TableB2!L11/TableB2!$L$91</f>
        <v>7.732296120374859E-3</v>
      </c>
      <c r="AB10" s="1145"/>
      <c r="AC10" s="1145">
        <f t="shared" ref="AC10:AC73" si="10">+AB10/$AB$90</f>
        <v>0</v>
      </c>
      <c r="AD10" s="1145">
        <f t="shared" ref="AD10:AD42" si="11">+AB10</f>
        <v>0</v>
      </c>
      <c r="AE10" s="1145">
        <f t="shared" ref="AE10:AE73" si="12">+AD10/$AD$90</f>
        <v>0</v>
      </c>
      <c r="AF10" s="1145"/>
      <c r="AG10" s="1145"/>
      <c r="AH10" s="1145">
        <f t="shared" si="2"/>
        <v>0</v>
      </c>
      <c r="AI10" s="1145"/>
      <c r="AJ10" s="1145">
        <f t="shared" si="3"/>
        <v>0</v>
      </c>
    </row>
    <row r="11" spans="3:36" ht="14.25" customHeight="1" x14ac:dyDescent="0.2">
      <c r="C11" s="1155" t="s">
        <v>31</v>
      </c>
      <c r="D11" s="1458">
        <f t="shared" si="4"/>
        <v>4343.4119980320602</v>
      </c>
      <c r="E11" s="1458">
        <f t="shared" si="5"/>
        <v>4255.5401739424415</v>
      </c>
      <c r="F11" s="1459">
        <v>0</v>
      </c>
      <c r="G11" s="1459">
        <v>0</v>
      </c>
      <c r="H11" s="1459">
        <v>149.75113953694805</v>
      </c>
      <c r="I11" s="1459">
        <v>2580.6770494401062</v>
      </c>
      <c r="J11" s="1459">
        <v>16.546025842462569</v>
      </c>
      <c r="K11" s="1459">
        <v>1508.5659591229244</v>
      </c>
      <c r="L11" s="1458">
        <f t="shared" si="6"/>
        <v>87.871824089618727</v>
      </c>
      <c r="M11" s="1174">
        <v>55.648530451064609</v>
      </c>
      <c r="N11" s="1235">
        <v>32.223293638554118</v>
      </c>
      <c r="O11" s="1458">
        <f t="shared" si="7"/>
        <v>12648.305346175452</v>
      </c>
      <c r="P11" s="1458">
        <f t="shared" si="8"/>
        <v>7546.8687287957928</v>
      </c>
      <c r="Q11" s="1459">
        <v>0</v>
      </c>
      <c r="R11" s="1459">
        <v>8.7757054120947515</v>
      </c>
      <c r="S11" s="1459">
        <v>1964.4222431300482</v>
      </c>
      <c r="T11" s="1459">
        <v>4098.622152909038</v>
      </c>
      <c r="U11" s="1459">
        <v>5.3684873332350165</v>
      </c>
      <c r="V11" s="1459">
        <v>1469.6801400113766</v>
      </c>
      <c r="W11" s="1458">
        <f t="shared" si="9"/>
        <v>5101.4366173796589</v>
      </c>
      <c r="X11" s="1174">
        <v>4133.5080638454892</v>
      </c>
      <c r="Y11" s="1217">
        <v>967.92855353417008</v>
      </c>
      <c r="Z11" s="173"/>
      <c r="AA11" s="1145">
        <f>+TableB2!L12/TableB2!$L$91</f>
        <v>2.307033494060028E-2</v>
      </c>
      <c r="AB11" s="1145"/>
      <c r="AC11" s="1145">
        <f t="shared" si="10"/>
        <v>0</v>
      </c>
      <c r="AD11" s="1145">
        <f t="shared" si="11"/>
        <v>0</v>
      </c>
      <c r="AE11" s="1145">
        <f t="shared" si="12"/>
        <v>0</v>
      </c>
      <c r="AF11" s="1145"/>
      <c r="AG11" s="1145"/>
      <c r="AH11" s="1145">
        <f t="shared" si="2"/>
        <v>0</v>
      </c>
      <c r="AI11" s="1145"/>
      <c r="AJ11" s="1145">
        <f t="shared" si="3"/>
        <v>0</v>
      </c>
    </row>
    <row r="12" spans="3:36" ht="14.25" customHeight="1" x14ac:dyDescent="0.2">
      <c r="C12" s="1155" t="s">
        <v>32</v>
      </c>
      <c r="D12" s="1458">
        <f t="shared" si="4"/>
        <v>2283.9205579816144</v>
      </c>
      <c r="E12" s="1458">
        <f t="shared" si="5"/>
        <v>1244.8951011342494</v>
      </c>
      <c r="F12" s="1459">
        <v>143.03730345242059</v>
      </c>
      <c r="G12" s="1459">
        <v>0</v>
      </c>
      <c r="H12" s="1459">
        <v>57.116936668962438</v>
      </c>
      <c r="I12" s="1459">
        <v>564.84768632043824</v>
      </c>
      <c r="J12" s="1459">
        <v>5.2126136377499703</v>
      </c>
      <c r="K12" s="1459">
        <v>474.68056105467809</v>
      </c>
      <c r="L12" s="1458">
        <f t="shared" si="6"/>
        <v>1039.0254568473651</v>
      </c>
      <c r="M12" s="1174">
        <v>162.88021614019991</v>
      </c>
      <c r="N12" s="1235">
        <v>876.14524070716527</v>
      </c>
      <c r="O12" s="1458">
        <f t="shared" si="7"/>
        <v>17546.581021146125</v>
      </c>
      <c r="P12" s="1458">
        <f t="shared" si="8"/>
        <v>2253.5229529054918</v>
      </c>
      <c r="Q12" s="1459">
        <v>121.41048213577601</v>
      </c>
      <c r="R12" s="1459">
        <v>1.7670350798107419</v>
      </c>
      <c r="S12" s="1459">
        <v>584.51204363733041</v>
      </c>
      <c r="T12" s="1459">
        <v>580.47797626635418</v>
      </c>
      <c r="U12" s="1459">
        <v>7.622889440909316</v>
      </c>
      <c r="V12" s="1459">
        <v>957.73252634531104</v>
      </c>
      <c r="W12" s="1458">
        <f t="shared" si="9"/>
        <v>15293.058068240633</v>
      </c>
      <c r="X12" s="1174">
        <v>1177.9762586273903</v>
      </c>
      <c r="Y12" s="1217">
        <v>14115.081809613243</v>
      </c>
      <c r="Z12" s="173"/>
      <c r="AA12" s="1145">
        <f>+TableB2!L13/TableB2!$L$91</f>
        <v>2.2456949601109763E-2</v>
      </c>
      <c r="AB12" s="1145">
        <f>+AA12</f>
        <v>2.2456949601109763E-2</v>
      </c>
      <c r="AC12" s="1145">
        <f t="shared" si="10"/>
        <v>5.3146483334998697E-2</v>
      </c>
      <c r="AD12" s="1145">
        <f t="shared" si="11"/>
        <v>2.2456949601109763E-2</v>
      </c>
      <c r="AE12" s="1145">
        <f t="shared" si="12"/>
        <v>8.7722401765598104E-2</v>
      </c>
      <c r="AF12" s="1145"/>
      <c r="AG12" s="1145"/>
      <c r="AH12" s="1145">
        <f t="shared" si="2"/>
        <v>0</v>
      </c>
      <c r="AI12" s="1145"/>
      <c r="AJ12" s="1145">
        <f t="shared" si="3"/>
        <v>0</v>
      </c>
    </row>
    <row r="13" spans="3:36" ht="14.25" customHeight="1" x14ac:dyDescent="0.2">
      <c r="C13" s="1155" t="s">
        <v>33</v>
      </c>
      <c r="D13" s="1458">
        <f t="shared" si="4"/>
        <v>710.26963317488435</v>
      </c>
      <c r="E13" s="1458">
        <f t="shared" si="5"/>
        <v>431.90496559550559</v>
      </c>
      <c r="F13" s="1459">
        <v>17.224914711523891</v>
      </c>
      <c r="G13" s="1459">
        <v>0</v>
      </c>
      <c r="H13" s="1459">
        <v>0</v>
      </c>
      <c r="I13" s="1459">
        <v>124.32638059399397</v>
      </c>
      <c r="J13" s="1459">
        <v>1.9963201165850948</v>
      </c>
      <c r="K13" s="1459">
        <v>288.35735017340261</v>
      </c>
      <c r="L13" s="1458">
        <f t="shared" si="6"/>
        <v>278.3646675793787</v>
      </c>
      <c r="M13" s="1174">
        <v>43.637137976095467</v>
      </c>
      <c r="N13" s="1235">
        <v>234.72752960328322</v>
      </c>
      <c r="O13" s="1458">
        <f t="shared" si="7"/>
        <v>4722.143705084889</v>
      </c>
      <c r="P13" s="1458">
        <f t="shared" si="8"/>
        <v>624.98997570970164</v>
      </c>
      <c r="Q13" s="1459">
        <v>27.65163844237718</v>
      </c>
      <c r="R13" s="1459">
        <v>0</v>
      </c>
      <c r="S13" s="1459">
        <v>260.54614246446312</v>
      </c>
      <c r="T13" s="1459">
        <v>155.35396109840946</v>
      </c>
      <c r="U13" s="1459">
        <v>36.526345237690464</v>
      </c>
      <c r="V13" s="1459">
        <v>144.91188846676135</v>
      </c>
      <c r="W13" s="1458">
        <f t="shared" si="9"/>
        <v>4097.1537293751871</v>
      </c>
      <c r="X13" s="1174">
        <v>315.59089095290943</v>
      </c>
      <c r="Y13" s="1217">
        <v>3781.5628384222773</v>
      </c>
      <c r="Z13" s="173"/>
      <c r="AA13" s="1145">
        <f>+TableB2!L14/TableB2!$L$91</f>
        <v>6.0164274795801243E-3</v>
      </c>
      <c r="AB13" s="1145">
        <f>+AA13</f>
        <v>6.0164274795801243E-3</v>
      </c>
      <c r="AC13" s="1145">
        <f t="shared" si="10"/>
        <v>1.4238441482895431E-2</v>
      </c>
      <c r="AD13" s="1145">
        <f t="shared" si="11"/>
        <v>6.0164274795801243E-3</v>
      </c>
      <c r="AE13" s="1145">
        <f t="shared" si="12"/>
        <v>2.3501654406849235E-2</v>
      </c>
      <c r="AF13" s="1145"/>
      <c r="AG13" s="1145"/>
      <c r="AH13" s="1145">
        <f t="shared" si="2"/>
        <v>0</v>
      </c>
      <c r="AI13" s="1145"/>
      <c r="AJ13" s="1145">
        <f t="shared" si="3"/>
        <v>0</v>
      </c>
    </row>
    <row r="14" spans="3:36" ht="14.25" customHeight="1" x14ac:dyDescent="0.2">
      <c r="C14" s="1155" t="s">
        <v>34</v>
      </c>
      <c r="D14" s="1458">
        <f t="shared" si="4"/>
        <v>172.84660200291393</v>
      </c>
      <c r="E14" s="1458">
        <f t="shared" si="5"/>
        <v>141.65050856105915</v>
      </c>
      <c r="F14" s="1459">
        <v>8.8818583146581904</v>
      </c>
      <c r="G14" s="1459">
        <v>2.0757468024937831</v>
      </c>
      <c r="H14" s="1459">
        <v>2.1406920531597518</v>
      </c>
      <c r="I14" s="1459">
        <v>71.378074480654732</v>
      </c>
      <c r="J14" s="1459">
        <v>1.0213596199050967</v>
      </c>
      <c r="K14" s="1459">
        <v>56.152777290187601</v>
      </c>
      <c r="L14" s="1458">
        <f t="shared" si="6"/>
        <v>31.196093441854771</v>
      </c>
      <c r="M14" s="1174">
        <v>30.449195907186297</v>
      </c>
      <c r="N14" s="1235">
        <v>0.74689753466847286</v>
      </c>
      <c r="O14" s="1458">
        <f t="shared" si="7"/>
        <v>1672.8924464815741</v>
      </c>
      <c r="P14" s="1458">
        <f t="shared" si="8"/>
        <v>1335.739516194988</v>
      </c>
      <c r="Q14" s="1459">
        <v>278.21882105452659</v>
      </c>
      <c r="R14" s="1459">
        <v>14.114259537785728</v>
      </c>
      <c r="S14" s="1459">
        <v>276.44845493855576</v>
      </c>
      <c r="T14" s="1459">
        <v>293.9155035965847</v>
      </c>
      <c r="U14" s="1459">
        <v>4.3842646554752633</v>
      </c>
      <c r="V14" s="1459">
        <v>468.65821241205992</v>
      </c>
      <c r="W14" s="1458">
        <f t="shared" si="9"/>
        <v>337.15293028658618</v>
      </c>
      <c r="X14" s="1174">
        <v>301.6785944667044</v>
      </c>
      <c r="Y14" s="1217">
        <v>35.474335819881766</v>
      </c>
      <c r="Z14" s="173"/>
      <c r="AA14" s="1145">
        <f>+TableB2!L15/TableB2!$L$91</f>
        <v>3.5917694478059007E-3</v>
      </c>
      <c r="AB14" s="1145"/>
      <c r="AC14" s="1145">
        <f t="shared" si="10"/>
        <v>0</v>
      </c>
      <c r="AD14" s="1145">
        <f t="shared" si="11"/>
        <v>0</v>
      </c>
      <c r="AE14" s="1145">
        <f t="shared" si="12"/>
        <v>0</v>
      </c>
      <c r="AF14" s="1145"/>
      <c r="AG14" s="1145"/>
      <c r="AH14" s="1145">
        <f t="shared" si="2"/>
        <v>0</v>
      </c>
      <c r="AI14" s="1145"/>
      <c r="AJ14" s="1145">
        <f t="shared" si="3"/>
        <v>0</v>
      </c>
    </row>
    <row r="15" spans="3:36" ht="14.25" customHeight="1" x14ac:dyDescent="0.2">
      <c r="C15" s="1155" t="s">
        <v>35</v>
      </c>
      <c r="D15" s="1458">
        <f t="shared" si="4"/>
        <v>285.99189464829203</v>
      </c>
      <c r="E15" s="1458">
        <f t="shared" si="5"/>
        <v>239.90777355527123</v>
      </c>
      <c r="F15" s="1459">
        <v>11.127845474686701</v>
      </c>
      <c r="G15" s="1459">
        <v>0</v>
      </c>
      <c r="H15" s="1459">
        <v>121.43562192469862</v>
      </c>
      <c r="I15" s="1459">
        <v>77.575240637114675</v>
      </c>
      <c r="J15" s="1459">
        <v>0.61281577194305803</v>
      </c>
      <c r="K15" s="1459">
        <v>29.156249746828173</v>
      </c>
      <c r="L15" s="1458">
        <f t="shared" si="6"/>
        <v>46.084121093020769</v>
      </c>
      <c r="M15" s="1174">
        <v>40.108940815672987</v>
      </c>
      <c r="N15" s="1235">
        <v>5.9751802773477829</v>
      </c>
      <c r="O15" s="1458">
        <f t="shared" si="7"/>
        <v>2818.9490395511948</v>
      </c>
      <c r="P15" s="1458">
        <f t="shared" si="8"/>
        <v>2204.3925260140882</v>
      </c>
      <c r="Q15" s="1459">
        <v>315.05342553216809</v>
      </c>
      <c r="R15" s="1459">
        <v>0.73130878434122937</v>
      </c>
      <c r="S15" s="1459">
        <v>1103.7460534213446</v>
      </c>
      <c r="T15" s="1459">
        <v>396.9938373225649</v>
      </c>
      <c r="U15" s="1459">
        <v>12.34752086644054</v>
      </c>
      <c r="V15" s="1459">
        <v>375.52038008722826</v>
      </c>
      <c r="W15" s="1458">
        <f t="shared" si="9"/>
        <v>614.55651353710687</v>
      </c>
      <c r="X15" s="1174">
        <v>344.32265341335381</v>
      </c>
      <c r="Y15" s="1217">
        <v>270.23386012375306</v>
      </c>
      <c r="Z15" s="173"/>
      <c r="AA15" s="1145">
        <f>+TableB2!L16/TableB2!$L$91</f>
        <v>3.2805903994461813E-3</v>
      </c>
      <c r="AB15" s="1145"/>
      <c r="AC15" s="1145">
        <f t="shared" si="10"/>
        <v>0</v>
      </c>
      <c r="AD15" s="1145">
        <f t="shared" si="11"/>
        <v>0</v>
      </c>
      <c r="AE15" s="1145">
        <f t="shared" si="12"/>
        <v>0</v>
      </c>
      <c r="AF15" s="1145"/>
      <c r="AG15" s="1145"/>
      <c r="AH15" s="1145">
        <f t="shared" si="2"/>
        <v>0</v>
      </c>
      <c r="AI15" s="1145"/>
      <c r="AJ15" s="1145">
        <f t="shared" si="3"/>
        <v>0</v>
      </c>
    </row>
    <row r="16" spans="3:36" ht="14.25" customHeight="1" x14ac:dyDescent="0.2">
      <c r="C16" s="1094" t="s">
        <v>36</v>
      </c>
      <c r="D16" s="1458">
        <f t="shared" si="4"/>
        <v>32.292965550434353</v>
      </c>
      <c r="E16" s="1458">
        <f t="shared" si="5"/>
        <v>25.201971445662124</v>
      </c>
      <c r="F16" s="1459">
        <v>0.91881292910257151</v>
      </c>
      <c r="G16" s="1459">
        <v>0</v>
      </c>
      <c r="H16" s="1459">
        <v>3.6975590009122983</v>
      </c>
      <c r="I16" s="1459">
        <v>7.5251303328442205</v>
      </c>
      <c r="J16" s="1459">
        <v>0.10213596199050969</v>
      </c>
      <c r="K16" s="1459">
        <v>12.958333220812523</v>
      </c>
      <c r="L16" s="1458">
        <f t="shared" si="6"/>
        <v>7.0909941047722294</v>
      </c>
      <c r="M16" s="1174">
        <v>3.5699057270494281</v>
      </c>
      <c r="N16" s="1235">
        <v>3.5210883777228013</v>
      </c>
      <c r="O16" s="1458">
        <f t="shared" si="7"/>
        <v>223.18092054627817</v>
      </c>
      <c r="P16" s="1458">
        <f t="shared" si="8"/>
        <v>157.98744614477172</v>
      </c>
      <c r="Q16" s="1459">
        <v>30.564884566553623</v>
      </c>
      <c r="R16" s="1459">
        <v>1.023832298077721</v>
      </c>
      <c r="S16" s="1459">
        <v>10.238831664390952</v>
      </c>
      <c r="T16" s="1459">
        <v>105.04798341501166</v>
      </c>
      <c r="U16" s="1459">
        <v>0.26842436666175085</v>
      </c>
      <c r="V16" s="1459">
        <v>10.843489834076033</v>
      </c>
      <c r="W16" s="1458">
        <f t="shared" si="9"/>
        <v>65.19347440150645</v>
      </c>
      <c r="X16" s="1174">
        <v>41.314627852389357</v>
      </c>
      <c r="Y16" s="1217">
        <v>23.878846549117089</v>
      </c>
      <c r="Z16" s="173"/>
      <c r="AA16" s="1145">
        <f>+TableB2!L17/TableB2!$L$91</f>
        <v>5.929502460818286E-4</v>
      </c>
      <c r="AB16" s="1145"/>
      <c r="AC16" s="1145">
        <f t="shared" si="10"/>
        <v>0</v>
      </c>
      <c r="AD16" s="1145">
        <f t="shared" si="11"/>
        <v>0</v>
      </c>
      <c r="AE16" s="1145">
        <f t="shared" si="12"/>
        <v>0</v>
      </c>
      <c r="AF16" s="1145"/>
      <c r="AG16" s="1145"/>
      <c r="AH16" s="1145">
        <f t="shared" si="2"/>
        <v>0</v>
      </c>
      <c r="AI16" s="1145"/>
      <c r="AJ16" s="1145">
        <f t="shared" si="3"/>
        <v>0</v>
      </c>
    </row>
    <row r="17" spans="1:36" ht="14.25" customHeight="1" x14ac:dyDescent="0.2">
      <c r="A17" s="958"/>
      <c r="B17" s="958"/>
      <c r="C17" s="1155" t="s">
        <v>37</v>
      </c>
      <c r="D17" s="1458">
        <f t="shared" si="4"/>
        <v>339.59945949398292</v>
      </c>
      <c r="E17" s="1458">
        <f t="shared" si="5"/>
        <v>242.80172151263542</v>
      </c>
      <c r="F17" s="1459">
        <v>9.9027615692166044</v>
      </c>
      <c r="G17" s="1459">
        <v>0</v>
      </c>
      <c r="H17" s="1459">
        <v>36.586373272184836</v>
      </c>
      <c r="I17" s="1459">
        <v>87.202980915900696</v>
      </c>
      <c r="J17" s="1459">
        <v>1.1234955818956067</v>
      </c>
      <c r="K17" s="1459">
        <v>107.98611017343769</v>
      </c>
      <c r="L17" s="1458">
        <f t="shared" si="6"/>
        <v>96.797737981347495</v>
      </c>
      <c r="M17" s="1174">
        <v>71.08312285919007</v>
      </c>
      <c r="N17" s="1235">
        <v>25.714615122157426</v>
      </c>
      <c r="O17" s="1458">
        <f t="shared" si="7"/>
        <v>2506.509427583429</v>
      </c>
      <c r="P17" s="1458">
        <f t="shared" si="8"/>
        <v>1586.266735013724</v>
      </c>
      <c r="Q17" s="1459">
        <v>206.19541357590407</v>
      </c>
      <c r="R17" s="1459">
        <v>0.73130878434122937</v>
      </c>
      <c r="S17" s="1459">
        <v>788.49242647474739</v>
      </c>
      <c r="T17" s="1459">
        <v>438.02820584405379</v>
      </c>
      <c r="U17" s="1459">
        <v>2.236869722181257</v>
      </c>
      <c r="V17" s="1459">
        <v>150.58251061249632</v>
      </c>
      <c r="W17" s="1458">
        <f t="shared" si="9"/>
        <v>920.24269256970524</v>
      </c>
      <c r="X17" s="1174">
        <v>358.84413151988673</v>
      </c>
      <c r="Y17" s="1217">
        <v>561.39856104981857</v>
      </c>
      <c r="Z17" s="173"/>
      <c r="AA17" s="1145">
        <f>+TableB2!L18/TableB2!$L$91</f>
        <v>2.1673389492316785E-3</v>
      </c>
      <c r="AB17" s="1145"/>
      <c r="AC17" s="1145">
        <f t="shared" si="10"/>
        <v>0</v>
      </c>
      <c r="AD17" s="1145">
        <f t="shared" si="11"/>
        <v>0</v>
      </c>
      <c r="AE17" s="1145">
        <f t="shared" si="12"/>
        <v>0</v>
      </c>
      <c r="AF17" s="1145"/>
      <c r="AG17" s="1145"/>
      <c r="AH17" s="1145">
        <f t="shared" si="2"/>
        <v>0</v>
      </c>
      <c r="AI17" s="1145"/>
      <c r="AJ17" s="1145">
        <f t="shared" si="3"/>
        <v>0</v>
      </c>
    </row>
    <row r="18" spans="1:36" ht="14.25" customHeight="1" x14ac:dyDescent="0.2">
      <c r="A18" s="958"/>
      <c r="B18" s="958"/>
      <c r="C18" s="1094" t="s">
        <v>38</v>
      </c>
      <c r="D18" s="1458">
        <f t="shared" si="4"/>
        <v>6202.508420881526</v>
      </c>
      <c r="E18" s="1458">
        <f t="shared" si="5"/>
        <v>5904.0043312833968</v>
      </c>
      <c r="F18" s="1459">
        <v>1059.6975782316326</v>
      </c>
      <c r="G18" s="1459">
        <v>0</v>
      </c>
      <c r="H18" s="1459">
        <v>140.11802529772916</v>
      </c>
      <c r="I18" s="1459">
        <v>3044.911192767775</v>
      </c>
      <c r="J18" s="1459">
        <v>15.728938146538491</v>
      </c>
      <c r="K18" s="1459">
        <v>1643.5485968397218</v>
      </c>
      <c r="L18" s="1458">
        <f t="shared" si="6"/>
        <v>298.50408959812955</v>
      </c>
      <c r="M18" s="1174">
        <v>213.14437135030408</v>
      </c>
      <c r="N18" s="1235">
        <v>85.359718247825484</v>
      </c>
      <c r="O18" s="1458">
        <f t="shared" si="7"/>
        <v>27432.600642793856</v>
      </c>
      <c r="P18" s="1458">
        <f t="shared" si="8"/>
        <v>19461.497768223173</v>
      </c>
      <c r="Q18" s="1459">
        <v>5436.6308779021147</v>
      </c>
      <c r="R18" s="1459">
        <v>15.869400620204678</v>
      </c>
      <c r="S18" s="1459">
        <v>5394.8404039675934</v>
      </c>
      <c r="T18" s="1459">
        <v>6259.7655617074552</v>
      </c>
      <c r="U18" s="1459">
        <v>49.569033043536649</v>
      </c>
      <c r="V18" s="1459">
        <v>2304.8224909822679</v>
      </c>
      <c r="W18" s="1458">
        <f t="shared" si="9"/>
        <v>7971.1028745706808</v>
      </c>
      <c r="X18" s="1174">
        <v>613.98903341776418</v>
      </c>
      <c r="Y18" s="1217">
        <v>7357.1138411529164</v>
      </c>
      <c r="Z18" s="173"/>
      <c r="AA18" s="1145">
        <f>+TableB2!L19/TableB2!$L$91</f>
        <v>2.05890434097546E-2</v>
      </c>
      <c r="AB18" s="1145"/>
      <c r="AC18" s="1145">
        <f t="shared" si="10"/>
        <v>0</v>
      </c>
      <c r="AD18" s="1145">
        <f t="shared" si="11"/>
        <v>0</v>
      </c>
      <c r="AE18" s="1145">
        <f t="shared" si="12"/>
        <v>0</v>
      </c>
      <c r="AF18" s="1145"/>
      <c r="AG18" s="1145"/>
      <c r="AH18" s="1145">
        <f t="shared" si="2"/>
        <v>0</v>
      </c>
      <c r="AI18" s="1145"/>
      <c r="AJ18" s="1145">
        <f t="shared" si="3"/>
        <v>0</v>
      </c>
    </row>
    <row r="19" spans="1:36" ht="14.25" customHeight="1" x14ac:dyDescent="0.2">
      <c r="A19" s="958"/>
      <c r="B19" s="958" t="str">
        <f>+TableC1!B19</f>
        <v>Germany (until 1990 former territory of the FRG)</v>
      </c>
      <c r="C19" s="1155" t="s">
        <v>39</v>
      </c>
      <c r="D19" s="1458">
        <f t="shared" si="4"/>
        <v>13127.039456704984</v>
      </c>
      <c r="E19" s="1458">
        <f t="shared" si="5"/>
        <v>12087.566906770004</v>
      </c>
      <c r="F19" s="1459">
        <v>846.02252705255682</v>
      </c>
      <c r="G19" s="1459">
        <v>26.984708432419179</v>
      </c>
      <c r="H19" s="1459">
        <v>123.57631397785838</v>
      </c>
      <c r="I19" s="1459">
        <v>1837.3491017090087</v>
      </c>
      <c r="J19" s="1459">
        <v>15.422530260566964</v>
      </c>
      <c r="K19" s="1459">
        <v>9238.2117253375945</v>
      </c>
      <c r="L19" s="1458">
        <f t="shared" si="6"/>
        <v>1039.4725499349804</v>
      </c>
      <c r="M19" s="1174">
        <v>519.7362749674902</v>
      </c>
      <c r="N19" s="1235">
        <v>519.7362749674902</v>
      </c>
      <c r="O19" s="1458">
        <f t="shared" si="7"/>
        <v>44431.430198237256</v>
      </c>
      <c r="P19" s="1458">
        <f t="shared" si="8"/>
        <v>31507.307834851257</v>
      </c>
      <c r="Q19" s="1459">
        <v>3738.320496986174</v>
      </c>
      <c r="R19" s="1459">
        <v>59.236011531639576</v>
      </c>
      <c r="S19" s="1459">
        <v>9475.2195988606763</v>
      </c>
      <c r="T19" s="1459">
        <v>13718.610084104179</v>
      </c>
      <c r="U19" s="1459">
        <v>160.51777126372698</v>
      </c>
      <c r="V19" s="1459">
        <v>4355.4038721048601</v>
      </c>
      <c r="W19" s="1458">
        <f>SUM(X19:Y19)</f>
        <v>12924.122363385997</v>
      </c>
      <c r="X19" s="1174">
        <v>8273.1519635106397</v>
      </c>
      <c r="Y19" s="1217">
        <v>4650.9703998753575</v>
      </c>
      <c r="Z19" s="173"/>
      <c r="AA19" s="1145">
        <f>+TableB2!L20/TableB2!$L$91</f>
        <v>1.9280661865832386E-2</v>
      </c>
      <c r="AB19" s="1145"/>
      <c r="AC19" s="1145">
        <f t="shared" si="10"/>
        <v>0</v>
      </c>
      <c r="AD19" s="1145">
        <f t="shared" si="11"/>
        <v>0</v>
      </c>
      <c r="AE19" s="1145">
        <f t="shared" si="12"/>
        <v>0</v>
      </c>
      <c r="AF19" s="1145"/>
      <c r="AG19" s="1145"/>
      <c r="AH19" s="1145">
        <f t="shared" si="2"/>
        <v>0</v>
      </c>
      <c r="AI19" s="1145"/>
      <c r="AJ19" s="1145">
        <f t="shared" si="3"/>
        <v>0</v>
      </c>
    </row>
    <row r="20" spans="1:36" ht="14.25" customHeight="1" x14ac:dyDescent="0.2">
      <c r="A20" s="958"/>
      <c r="B20" s="958"/>
      <c r="C20" s="1155" t="s">
        <v>40</v>
      </c>
      <c r="D20" s="1458">
        <f t="shared" si="4"/>
        <v>63.86842642323883</v>
      </c>
      <c r="E20" s="1458">
        <f t="shared" si="5"/>
        <v>55.036742389076068</v>
      </c>
      <c r="F20" s="1459">
        <v>4.2877936691453344</v>
      </c>
      <c r="G20" s="1459">
        <v>0</v>
      </c>
      <c r="H20" s="1459">
        <v>0</v>
      </c>
      <c r="I20" s="1459">
        <v>18.148843743918412</v>
      </c>
      <c r="J20" s="1459">
        <v>0.20427192398101937</v>
      </c>
      <c r="K20" s="1459">
        <v>32.395833052031307</v>
      </c>
      <c r="L20" s="1458">
        <f t="shared" si="6"/>
        <v>8.831684034162766</v>
      </c>
      <c r="M20" s="1174">
        <v>8.0847864994942924</v>
      </c>
      <c r="N20" s="1235">
        <v>0.74689753466847286</v>
      </c>
      <c r="O20" s="1458">
        <f t="shared" si="7"/>
        <v>1033.2335008740968</v>
      </c>
      <c r="P20" s="1458">
        <f t="shared" si="8"/>
        <v>902.92422241425868</v>
      </c>
      <c r="Q20" s="1459">
        <v>191.22645728818165</v>
      </c>
      <c r="R20" s="1459">
        <v>42.415909491791304</v>
      </c>
      <c r="S20" s="1459">
        <v>279.52010443787304</v>
      </c>
      <c r="T20" s="1459">
        <v>203.53046786658507</v>
      </c>
      <c r="U20" s="1459">
        <v>4.473739444362514</v>
      </c>
      <c r="V20" s="1459">
        <v>181.75754388546497</v>
      </c>
      <c r="W20" s="1458">
        <f t="shared" si="9"/>
        <v>130.30927845983803</v>
      </c>
      <c r="X20" s="1174">
        <v>108.29750221703051</v>
      </c>
      <c r="Y20" s="1217">
        <v>22.011776242807521</v>
      </c>
      <c r="Z20" s="173"/>
      <c r="AA20" s="1145">
        <f>+TableB2!L21/TableB2!$L$91</f>
        <v>6.4152078461630685E-4</v>
      </c>
      <c r="AB20" s="1145"/>
      <c r="AC20" s="1145">
        <f t="shared" si="10"/>
        <v>0</v>
      </c>
      <c r="AD20" s="1145">
        <f t="shared" si="11"/>
        <v>0</v>
      </c>
      <c r="AE20" s="1145">
        <f t="shared" si="12"/>
        <v>0</v>
      </c>
      <c r="AF20" s="1145"/>
      <c r="AG20" s="1145"/>
      <c r="AH20" s="1145">
        <f t="shared" si="2"/>
        <v>0</v>
      </c>
      <c r="AI20" s="1145"/>
      <c r="AJ20" s="1145">
        <f t="shared" si="3"/>
        <v>0</v>
      </c>
    </row>
    <row r="21" spans="1:36" ht="14.25" customHeight="1" x14ac:dyDescent="0.2">
      <c r="A21" s="958"/>
      <c r="B21" s="958"/>
      <c r="C21" s="1155" t="s">
        <v>41</v>
      </c>
      <c r="D21" s="1458">
        <f t="shared" si="4"/>
        <v>556.36101489965631</v>
      </c>
      <c r="E21" s="1458">
        <f t="shared" si="5"/>
        <v>298.59551604050012</v>
      </c>
      <c r="F21" s="1459">
        <v>39.611046276866418</v>
      </c>
      <c r="G21" s="1459">
        <v>0.94352127386081042</v>
      </c>
      <c r="H21" s="1459">
        <v>8.4654640284044707</v>
      </c>
      <c r="I21" s="1459">
        <v>118.29947537956576</v>
      </c>
      <c r="J21" s="1459">
        <v>0.61281577194305825</v>
      </c>
      <c r="K21" s="1459">
        <v>130.66319330985959</v>
      </c>
      <c r="L21" s="1458">
        <f t="shared" si="6"/>
        <v>257.7654988591562</v>
      </c>
      <c r="M21" s="1174">
        <v>67.093228223076011</v>
      </c>
      <c r="N21" s="1235">
        <v>190.67227063608019</v>
      </c>
      <c r="O21" s="1458">
        <f t="shared" si="7"/>
        <v>1954.2993897600038</v>
      </c>
      <c r="P21" s="1458">
        <f t="shared" si="8"/>
        <v>1472.5365000658378</v>
      </c>
      <c r="Q21" s="1459">
        <v>184.95673737709373</v>
      </c>
      <c r="R21" s="1459">
        <v>0.29252351373649171</v>
      </c>
      <c r="S21" s="1459">
        <v>800.67663615537253</v>
      </c>
      <c r="T21" s="1459">
        <v>292.71182878662103</v>
      </c>
      <c r="U21" s="1459">
        <v>5.8158612776712681</v>
      </c>
      <c r="V21" s="1459">
        <v>188.08291295534261</v>
      </c>
      <c r="W21" s="1458">
        <f t="shared" si="9"/>
        <v>481.76288969416601</v>
      </c>
      <c r="X21" s="1174">
        <v>247.88776711433613</v>
      </c>
      <c r="Y21" s="1217">
        <v>233.87512257982991</v>
      </c>
      <c r="Z21" s="173"/>
      <c r="AA21" s="1145">
        <f>+TableB2!L22/TableB2!$L$91</f>
        <v>6.4782772588043071E-3</v>
      </c>
      <c r="AB21" s="1145"/>
      <c r="AC21" s="1145">
        <f t="shared" si="10"/>
        <v>0</v>
      </c>
      <c r="AD21" s="1145">
        <f t="shared" si="11"/>
        <v>0</v>
      </c>
      <c r="AE21" s="1145">
        <f t="shared" si="12"/>
        <v>0</v>
      </c>
      <c r="AF21" s="1145"/>
      <c r="AG21" s="1145"/>
      <c r="AH21" s="1145">
        <f t="shared" si="2"/>
        <v>0</v>
      </c>
      <c r="AI21" s="1145"/>
      <c r="AJ21" s="1145">
        <f t="shared" si="3"/>
        <v>0</v>
      </c>
    </row>
    <row r="22" spans="1:36" ht="14.25" customHeight="1" x14ac:dyDescent="0.2">
      <c r="A22" s="958"/>
      <c r="B22" s="958"/>
      <c r="C22" s="1155" t="s">
        <v>42</v>
      </c>
      <c r="D22" s="1458">
        <f t="shared" si="4"/>
        <v>140.72843291877749</v>
      </c>
      <c r="E22" s="1458">
        <f t="shared" si="5"/>
        <v>130.14709240126379</v>
      </c>
      <c r="F22" s="1459">
        <v>29.111113167429259</v>
      </c>
      <c r="G22" s="1459">
        <v>0</v>
      </c>
      <c r="H22" s="1459">
        <v>4.2144535794574223</v>
      </c>
      <c r="I22" s="1459">
        <v>91.830725362914364</v>
      </c>
      <c r="J22" s="1459">
        <v>0.55453336571808187</v>
      </c>
      <c r="K22" s="1459">
        <v>4.436266925744655</v>
      </c>
      <c r="L22" s="1458">
        <f t="shared" si="6"/>
        <v>10.581340517513683</v>
      </c>
      <c r="M22" s="1174">
        <v>1.6587572702743387</v>
      </c>
      <c r="N22" s="1235">
        <v>8.9225832472393432</v>
      </c>
      <c r="O22" s="1458">
        <f t="shared" si="7"/>
        <v>318.17944892795748</v>
      </c>
      <c r="P22" s="1458">
        <f t="shared" si="8"/>
        <v>223.82272384818725</v>
      </c>
      <c r="Q22" s="1459">
        <v>11.23180671740659</v>
      </c>
      <c r="R22" s="1459">
        <v>0</v>
      </c>
      <c r="S22" s="1459">
        <v>71.094761354644206</v>
      </c>
      <c r="T22" s="1459">
        <v>97.6210701496762</v>
      </c>
      <c r="U22" s="1459">
        <v>0</v>
      </c>
      <c r="V22" s="1459">
        <v>43.87508562646024</v>
      </c>
      <c r="W22" s="1458">
        <f t="shared" si="9"/>
        <v>94.356725079770243</v>
      </c>
      <c r="X22" s="1174">
        <v>7.2680023504669835</v>
      </c>
      <c r="Y22" s="1217">
        <v>87.088722729303257</v>
      </c>
      <c r="Z22" s="173"/>
      <c r="AA22" s="1145">
        <f>+TableB2!L23/TableB2!$L$91</f>
        <v>2.5129516763681151E-4</v>
      </c>
      <c r="AB22" s="1145">
        <f>+AA22</f>
        <v>2.5129516763681151E-4</v>
      </c>
      <c r="AC22" s="1145">
        <f t="shared" si="10"/>
        <v>5.9471364883481386E-4</v>
      </c>
      <c r="AD22" s="1145">
        <f t="shared" si="11"/>
        <v>2.5129516763681151E-4</v>
      </c>
      <c r="AE22" s="1145">
        <f t="shared" si="12"/>
        <v>9.8162110387870036E-4</v>
      </c>
      <c r="AF22" s="1145"/>
      <c r="AG22" s="1145">
        <v>0</v>
      </c>
      <c r="AH22" s="1145">
        <f t="shared" si="2"/>
        <v>0</v>
      </c>
      <c r="AI22" s="1145">
        <v>0</v>
      </c>
      <c r="AJ22" s="1145">
        <f>+AI22/$AI$90</f>
        <v>0</v>
      </c>
    </row>
    <row r="23" spans="1:36" ht="14.25" customHeight="1" x14ac:dyDescent="0.2">
      <c r="A23" s="958"/>
      <c r="B23" s="958"/>
      <c r="C23" s="1155" t="s">
        <v>43</v>
      </c>
      <c r="D23" s="1458">
        <f t="shared" si="4"/>
        <v>6194.7229413235154</v>
      </c>
      <c r="E23" s="1458">
        <f t="shared" si="5"/>
        <v>5717.901055921735</v>
      </c>
      <c r="F23" s="1459">
        <v>308.21069255118482</v>
      </c>
      <c r="G23" s="1459">
        <v>0</v>
      </c>
      <c r="H23" s="1459">
        <v>0</v>
      </c>
      <c r="I23" s="1459">
        <v>1096.5664186493143</v>
      </c>
      <c r="J23" s="1459">
        <v>14.196898716680845</v>
      </c>
      <c r="K23" s="1459">
        <v>4298.9270460045545</v>
      </c>
      <c r="L23" s="1458">
        <f t="shared" si="6"/>
        <v>476.82188540178049</v>
      </c>
      <c r="M23" s="1174">
        <v>205.16458207807594</v>
      </c>
      <c r="N23" s="1235">
        <v>271.65730332370458</v>
      </c>
      <c r="O23" s="1458">
        <f t="shared" si="7"/>
        <v>51497.729497607492</v>
      </c>
      <c r="P23" s="1458">
        <f t="shared" si="8"/>
        <v>12972.594384673688</v>
      </c>
      <c r="Q23" s="1459">
        <v>1559.5928278831207</v>
      </c>
      <c r="R23" s="1459">
        <v>2.9252351373649175</v>
      </c>
      <c r="S23" s="1459">
        <v>0</v>
      </c>
      <c r="T23" s="1459">
        <v>955.28009918026225</v>
      </c>
      <c r="U23" s="1459">
        <v>3.2210923999410097</v>
      </c>
      <c r="V23" s="1459">
        <v>10451.575130072999</v>
      </c>
      <c r="W23" s="1458">
        <f t="shared" si="9"/>
        <v>38525.1351129338</v>
      </c>
      <c r="X23" s="1174">
        <v>3157.9101685192654</v>
      </c>
      <c r="Y23" s="1217">
        <v>35367.224944414535</v>
      </c>
      <c r="Z23" s="173"/>
      <c r="AA23" s="1145">
        <f>+TableB2!L24/TableB2!$L$91</f>
        <v>2.109084370193446E-2</v>
      </c>
      <c r="AB23" s="1145"/>
      <c r="AC23" s="1145">
        <f t="shared" si="10"/>
        <v>0</v>
      </c>
      <c r="AD23" s="1145">
        <f t="shared" si="11"/>
        <v>0</v>
      </c>
      <c r="AE23" s="1145">
        <f t="shared" si="12"/>
        <v>0</v>
      </c>
      <c r="AF23" s="1145"/>
      <c r="AG23" s="1145"/>
      <c r="AH23" s="1145">
        <f t="shared" si="2"/>
        <v>0</v>
      </c>
      <c r="AI23" s="1145"/>
      <c r="AJ23" s="1145">
        <f>+AI23/$AB$90</f>
        <v>0</v>
      </c>
    </row>
    <row r="24" spans="1:36" ht="14.25" customHeight="1" x14ac:dyDescent="0.2">
      <c r="A24" s="958"/>
      <c r="B24" s="958"/>
      <c r="C24" s="1155" t="s">
        <v>44</v>
      </c>
      <c r="D24" s="1458">
        <f t="shared" si="4"/>
        <v>59.524321498763051</v>
      </c>
      <c r="E24" s="1458">
        <f t="shared" si="5"/>
        <v>32.656615557168095</v>
      </c>
      <c r="F24" s="1459">
        <v>12.085468847908924</v>
      </c>
      <c r="G24" s="1459">
        <v>-0.24030159252125718</v>
      </c>
      <c r="H24" s="1459">
        <v>-1.2555550335885755</v>
      </c>
      <c r="I24" s="1459">
        <v>17.794790247568937</v>
      </c>
      <c r="J24" s="1459">
        <v>-1.1657537464180019</v>
      </c>
      <c r="K24" s="1459">
        <v>5.4379668342180683</v>
      </c>
      <c r="L24" s="1458">
        <f t="shared" si="6"/>
        <v>26.867705941594956</v>
      </c>
      <c r="M24" s="1174">
        <v>4.2118484413622932</v>
      </c>
      <c r="N24" s="1235">
        <v>22.655857500232663</v>
      </c>
      <c r="O24" s="1458">
        <f t="shared" si="7"/>
        <v>654.0377077141643</v>
      </c>
      <c r="P24" s="1458">
        <f t="shared" si="8"/>
        <v>258.58119178629136</v>
      </c>
      <c r="Q24" s="1459">
        <v>10.185097045183149</v>
      </c>
      <c r="R24" s="1459">
        <v>6.0721645951362957</v>
      </c>
      <c r="S24" s="1459">
        <v>156.0997016645729</v>
      </c>
      <c r="T24" s="1459">
        <v>15.540424223455346</v>
      </c>
      <c r="U24" s="1459">
        <v>29.273804298090038</v>
      </c>
      <c r="V24" s="1459">
        <v>41.4099999598536</v>
      </c>
      <c r="W24" s="1458">
        <f t="shared" si="9"/>
        <v>395.456515927873</v>
      </c>
      <c r="X24" s="1174">
        <v>30.460774097886521</v>
      </c>
      <c r="Y24" s="1217">
        <v>364.99574182998646</v>
      </c>
      <c r="Z24" s="173"/>
      <c r="AA24" s="1145">
        <f>+TableB2!L25/TableB2!$L$91</f>
        <v>5.8070446133108653E-4</v>
      </c>
      <c r="AB24" s="1145">
        <f>+AA24</f>
        <v>5.8070446133108653E-4</v>
      </c>
      <c r="AC24" s="1145">
        <f t="shared" si="10"/>
        <v>1.3742917237150876E-3</v>
      </c>
      <c r="AD24" s="1145">
        <f t="shared" si="11"/>
        <v>5.8070446133108653E-4</v>
      </c>
      <c r="AE24" s="1145">
        <f t="shared" si="12"/>
        <v>2.2683753122660719E-3</v>
      </c>
      <c r="AF24" s="1145"/>
      <c r="AG24" s="1145">
        <f>+AB24</f>
        <v>5.8070446133108653E-4</v>
      </c>
      <c r="AH24" s="1145">
        <f t="shared" si="2"/>
        <v>8.3149339972753335E-3</v>
      </c>
      <c r="AI24" s="1145">
        <f>+AD24</f>
        <v>5.8070446133108653E-4</v>
      </c>
      <c r="AJ24" s="1145">
        <f>+AI24/$AI$90</f>
        <v>8.3149339972753335E-3</v>
      </c>
    </row>
    <row r="25" spans="1:36" ht="14.25" customHeight="1" x14ac:dyDescent="0.2">
      <c r="A25" s="958"/>
      <c r="B25" s="958"/>
      <c r="C25" s="1155" t="s">
        <v>45</v>
      </c>
      <c r="D25" s="1458">
        <f t="shared" si="4"/>
        <v>5222.0979587386482</v>
      </c>
      <c r="E25" s="1458">
        <f t="shared" si="5"/>
        <v>4875.0141135647027</v>
      </c>
      <c r="F25" s="1459">
        <v>987.1113568325294</v>
      </c>
      <c r="G25" s="1459">
        <v>4.7176063693040513</v>
      </c>
      <c r="H25" s="1459">
        <v>51.473913460068566</v>
      </c>
      <c r="I25" s="1459">
        <v>2723.32253472005</v>
      </c>
      <c r="J25" s="1459">
        <v>9.0901006171553629</v>
      </c>
      <c r="K25" s="1459">
        <v>1099.2986015655956</v>
      </c>
      <c r="L25" s="1458">
        <f t="shared" si="6"/>
        <v>347.08384517394569</v>
      </c>
      <c r="M25" s="1174">
        <v>303.33698957193513</v>
      </c>
      <c r="N25" s="1235">
        <v>43.746855602010555</v>
      </c>
      <c r="O25" s="1458">
        <f t="shared" si="7"/>
        <v>18577.84591087994</v>
      </c>
      <c r="P25" s="1458">
        <f t="shared" si="8"/>
        <v>15518.596916443594</v>
      </c>
      <c r="Q25" s="1459">
        <v>1254.7276972064706</v>
      </c>
      <c r="R25" s="1459">
        <v>10.969631765118441</v>
      </c>
      <c r="S25" s="1459">
        <v>5906.7819871871416</v>
      </c>
      <c r="T25" s="1459">
        <v>6897.0566610918586</v>
      </c>
      <c r="U25" s="1459">
        <v>71.937730265349231</v>
      </c>
      <c r="V25" s="1459">
        <v>1377.1232089276559</v>
      </c>
      <c r="W25" s="1458">
        <f t="shared" si="9"/>
        <v>3059.2489944363456</v>
      </c>
      <c r="X25" s="1174">
        <v>2054.1755684924378</v>
      </c>
      <c r="Y25" s="1217">
        <v>1005.0734259439078</v>
      </c>
      <c r="Z25" s="173"/>
      <c r="AA25" s="1145">
        <f>+TableB2!L26/TableB2!$L$91</f>
        <v>1.0039610832351697E-2</v>
      </c>
      <c r="AB25" s="1145"/>
      <c r="AC25" s="1145">
        <f t="shared" si="10"/>
        <v>0</v>
      </c>
      <c r="AD25" s="1145">
        <f t="shared" si="11"/>
        <v>0</v>
      </c>
      <c r="AE25" s="1145">
        <f t="shared" si="12"/>
        <v>0</v>
      </c>
      <c r="AF25" s="1145"/>
      <c r="AG25" s="1145"/>
      <c r="AH25" s="1145">
        <f t="shared" si="2"/>
        <v>0</v>
      </c>
      <c r="AI25" s="1145"/>
      <c r="AJ25" s="1145">
        <f>+AI25/$AB$90</f>
        <v>0</v>
      </c>
    </row>
    <row r="26" spans="1:36" ht="14.25" customHeight="1" x14ac:dyDescent="0.2">
      <c r="A26" s="958"/>
      <c r="B26" s="958"/>
      <c r="C26" s="1155" t="s">
        <v>46</v>
      </c>
      <c r="D26" s="1458">
        <f t="shared" si="4"/>
        <v>591.05371167489784</v>
      </c>
      <c r="E26" s="1458">
        <f t="shared" si="5"/>
        <v>323.57967446745613</v>
      </c>
      <c r="F26" s="1459">
        <v>16.922723225356801</v>
      </c>
      <c r="G26" s="1459">
        <v>0</v>
      </c>
      <c r="H26" s="1459">
        <v>8.6507205052020772</v>
      </c>
      <c r="I26" s="1459">
        <v>72.089337543350652</v>
      </c>
      <c r="J26" s="1459">
        <v>0.77634671200531458</v>
      </c>
      <c r="K26" s="1459">
        <v>225.14054648154126</v>
      </c>
      <c r="L26" s="1458">
        <f t="shared" si="6"/>
        <v>267.47403720744171</v>
      </c>
      <c r="M26" s="1174">
        <v>41.929895658600728</v>
      </c>
      <c r="N26" s="1235">
        <v>225.54414154884097</v>
      </c>
      <c r="O26" s="1458">
        <f t="shared" si="7"/>
        <v>8376.8471014220413</v>
      </c>
      <c r="P26" s="1458">
        <f t="shared" si="8"/>
        <v>4439.9888119517927</v>
      </c>
      <c r="Q26" s="1459">
        <v>331.60572213295649</v>
      </c>
      <c r="R26" s="1459">
        <v>75.187342645947069</v>
      </c>
      <c r="S26" s="1459">
        <v>2276.1432189947805</v>
      </c>
      <c r="T26" s="1459">
        <v>831.35362966175853</v>
      </c>
      <c r="U26" s="1459">
        <v>1.6939754313131812</v>
      </c>
      <c r="V26" s="1459">
        <v>924.00492308503703</v>
      </c>
      <c r="W26" s="1458">
        <f t="shared" si="9"/>
        <v>3936.858289470249</v>
      </c>
      <c r="X26" s="1174">
        <v>303.2438363787569</v>
      </c>
      <c r="Y26" s="1217">
        <v>3633.6144530914921</v>
      </c>
      <c r="Z26" s="173"/>
      <c r="AA26" s="1145">
        <f>+TableB2!L27/TableB2!$L$91</f>
        <v>5.7810431241967775E-3</v>
      </c>
      <c r="AB26" s="1145">
        <f>+AA26</f>
        <v>5.7810431241967775E-3</v>
      </c>
      <c r="AC26" s="1145">
        <f t="shared" si="10"/>
        <v>1.3681382267690076E-2</v>
      </c>
      <c r="AD26" s="1145">
        <f t="shared" si="11"/>
        <v>5.7810431241967775E-3</v>
      </c>
      <c r="AE26" s="1145">
        <f t="shared" si="12"/>
        <v>2.2582184872516137E-2</v>
      </c>
      <c r="AF26" s="1145"/>
      <c r="AG26" s="1145"/>
      <c r="AH26" s="1145">
        <f t="shared" si="2"/>
        <v>0</v>
      </c>
      <c r="AI26" s="1145"/>
      <c r="AJ26" s="1145">
        <f t="shared" ref="AJ26:AJ88" si="13">+AI26/$AB$90</f>
        <v>0</v>
      </c>
    </row>
    <row r="27" spans="1:36" ht="14.25" customHeight="1" x14ac:dyDescent="0.2">
      <c r="A27" s="958" t="str">
        <f>+TableC1!A27</f>
        <v>Korea, Republic of</v>
      </c>
      <c r="B27" s="958" t="str">
        <f>+TableC1!B27</f>
        <v>South Korea</v>
      </c>
      <c r="C27" s="1155" t="s">
        <v>47</v>
      </c>
      <c r="D27" s="1458">
        <f t="shared" si="4"/>
        <v>280.37118617698968</v>
      </c>
      <c r="E27" s="1458">
        <f t="shared" si="5"/>
        <v>35.117605313850987</v>
      </c>
      <c r="F27" s="1459">
        <v>10.274510529680915</v>
      </c>
      <c r="G27" s="1459">
        <v>0</v>
      </c>
      <c r="H27" s="1459">
        <v>-5.1017069646063531</v>
      </c>
      <c r="I27" s="1459">
        <v>12.532454065228652</v>
      </c>
      <c r="J27" s="1459">
        <v>-0.33272001943084917</v>
      </c>
      <c r="K27" s="1459">
        <v>17.74506770297862</v>
      </c>
      <c r="L27" s="1458">
        <f t="shared" si="6"/>
        <v>245.25358086313872</v>
      </c>
      <c r="M27" s="1174">
        <v>38.446561628387819</v>
      </c>
      <c r="N27" s="1235">
        <v>206.8070192347509</v>
      </c>
      <c r="O27" s="1458">
        <f t="shared" si="7"/>
        <v>4787.971646101314</v>
      </c>
      <c r="P27" s="1458">
        <f t="shared" si="8"/>
        <v>1178.1686053131493</v>
      </c>
      <c r="Q27" s="1459">
        <v>125.47532647159935</v>
      </c>
      <c r="R27" s="1459">
        <v>29.951244602792077</v>
      </c>
      <c r="S27" s="1459">
        <v>291.34713992634727</v>
      </c>
      <c r="T27" s="1459">
        <v>252.24024899964724</v>
      </c>
      <c r="U27" s="1459">
        <v>0.10587346445707382</v>
      </c>
      <c r="V27" s="1459">
        <v>479.04877184830633</v>
      </c>
      <c r="W27" s="1458">
        <f t="shared" si="9"/>
        <v>3609.8030407881643</v>
      </c>
      <c r="X27" s="1174">
        <v>278.05179718765129</v>
      </c>
      <c r="Y27" s="1217">
        <v>3331.7512436005131</v>
      </c>
      <c r="Z27" s="173"/>
      <c r="AA27" s="1145">
        <f>+TableB2!L28/TableB2!$L$91</f>
        <v>5.3007818707797921E-3</v>
      </c>
      <c r="AB27" s="1145">
        <f>+AA27</f>
        <v>5.3007818707797921E-3</v>
      </c>
      <c r="AC27" s="1145">
        <f t="shared" si="10"/>
        <v>1.2544798842312032E-2</v>
      </c>
      <c r="AD27" s="1145">
        <f t="shared" si="11"/>
        <v>5.3007818707797921E-3</v>
      </c>
      <c r="AE27" s="1145">
        <f t="shared" si="12"/>
        <v>2.0706165583475537E-2</v>
      </c>
      <c r="AF27" s="1145"/>
      <c r="AG27" s="1145"/>
      <c r="AH27" s="1145">
        <f t="shared" si="2"/>
        <v>0</v>
      </c>
      <c r="AI27" s="1145"/>
      <c r="AJ27" s="1145">
        <f t="shared" si="13"/>
        <v>0</v>
      </c>
    </row>
    <row r="28" spans="1:36" ht="14.25" customHeight="1" x14ac:dyDescent="0.2">
      <c r="A28" s="958"/>
      <c r="B28" s="958"/>
      <c r="C28" s="1154" t="s">
        <v>48</v>
      </c>
      <c r="D28" s="1458">
        <f t="shared" si="4"/>
        <v>17.76611039837978</v>
      </c>
      <c r="E28" s="1458">
        <f t="shared" si="5"/>
        <v>14.141727213934441</v>
      </c>
      <c r="F28" s="1459">
        <v>0.71463227819088904</v>
      </c>
      <c r="G28" s="1459">
        <v>0</v>
      </c>
      <c r="H28" s="1459">
        <v>2.5299087900978883</v>
      </c>
      <c r="I28" s="1459">
        <v>4.3158835732488914</v>
      </c>
      <c r="J28" s="1459">
        <v>0.10213596199050969</v>
      </c>
      <c r="K28" s="1459">
        <v>6.4791666104062617</v>
      </c>
      <c r="L28" s="1458">
        <f t="shared" si="6"/>
        <v>3.6243831844453385</v>
      </c>
      <c r="M28" s="1174">
        <v>0.2099944545323193</v>
      </c>
      <c r="N28" s="1235">
        <v>3.4143887299130191</v>
      </c>
      <c r="O28" s="1458">
        <f t="shared" si="7"/>
        <v>192.92838271951794</v>
      </c>
      <c r="P28" s="1458">
        <f t="shared" si="8"/>
        <v>133.36870696829479</v>
      </c>
      <c r="Q28" s="1459">
        <v>10.031551857740677</v>
      </c>
      <c r="R28" s="1459">
        <v>0.8775705412094752</v>
      </c>
      <c r="S28" s="1459">
        <v>46.074742489759288</v>
      </c>
      <c r="T28" s="1459">
        <v>64.670164789866547</v>
      </c>
      <c r="U28" s="1459">
        <v>1.9684453555195063</v>
      </c>
      <c r="V28" s="1459">
        <v>9.7462319341992902</v>
      </c>
      <c r="W28" s="1458">
        <f t="shared" si="9"/>
        <v>59.559675751223146</v>
      </c>
      <c r="X28" s="1174">
        <v>15.339589549154462</v>
      </c>
      <c r="Y28" s="1217">
        <v>44.220086202068686</v>
      </c>
      <c r="Z28" s="173"/>
      <c r="AA28" s="1145">
        <f>+TableB2!L29/TableB2!$L$91</f>
        <v>3.9009029227811333E-4</v>
      </c>
      <c r="AB28" s="1145"/>
      <c r="AC28" s="1145">
        <f t="shared" si="10"/>
        <v>0</v>
      </c>
      <c r="AD28" s="1145">
        <f t="shared" si="11"/>
        <v>0</v>
      </c>
      <c r="AE28" s="1145">
        <f t="shared" si="12"/>
        <v>0</v>
      </c>
      <c r="AF28" s="1145"/>
      <c r="AG28" s="1145"/>
      <c r="AH28" s="1145">
        <f t="shared" si="2"/>
        <v>0</v>
      </c>
      <c r="AI28" s="1145"/>
      <c r="AJ28" s="1145">
        <f t="shared" si="13"/>
        <v>0</v>
      </c>
    </row>
    <row r="29" spans="1:36" ht="14.25" customHeight="1" x14ac:dyDescent="0.2">
      <c r="A29" s="958"/>
      <c r="B29" s="958"/>
      <c r="C29" s="1154" t="s">
        <v>49</v>
      </c>
      <c r="D29" s="1458">
        <f t="shared" si="4"/>
        <v>17109.125079017667</v>
      </c>
      <c r="E29" s="1458">
        <f t="shared" si="5"/>
        <v>6756.6740190209202</v>
      </c>
      <c r="F29" s="1459">
        <v>920.8547356116884</v>
      </c>
      <c r="G29" s="1459">
        <v>31.702314801723229</v>
      </c>
      <c r="H29" s="1459">
        <v>936.16355652045297</v>
      </c>
      <c r="I29" s="1459">
        <v>0</v>
      </c>
      <c r="J29" s="1459">
        <v>16.137481994500529</v>
      </c>
      <c r="K29" s="1459">
        <v>4851.8159300925554</v>
      </c>
      <c r="L29" s="1458">
        <f t="shared" si="6"/>
        <v>10352.451059996747</v>
      </c>
      <c r="M29" s="1174">
        <v>1288.3159785557789</v>
      </c>
      <c r="N29" s="1235">
        <v>9064.1350814409689</v>
      </c>
      <c r="O29" s="1458">
        <f t="shared" si="7"/>
        <v>16388.987318014475</v>
      </c>
      <c r="P29" s="1458">
        <f t="shared" si="8"/>
        <v>4153.0880766778746</v>
      </c>
      <c r="Q29" s="1459">
        <v>1890.3205531930087</v>
      </c>
      <c r="R29" s="1459">
        <v>38.028056785743921</v>
      </c>
      <c r="S29" s="1459">
        <v>1512.2754368305439</v>
      </c>
      <c r="T29" s="1459">
        <v>0</v>
      </c>
      <c r="U29" s="1459">
        <v>30.421428221665092</v>
      </c>
      <c r="V29" s="1459">
        <v>682.04260164691323</v>
      </c>
      <c r="W29" s="1458">
        <f t="shared" si="9"/>
        <v>12235.8992413366</v>
      </c>
      <c r="X29" s="1174">
        <v>6152.1980485142167</v>
      </c>
      <c r="Y29" s="1217">
        <v>6083.7011928223819</v>
      </c>
      <c r="Z29" s="173"/>
      <c r="AA29" s="1145">
        <f>+TableB2!L30/TableB2!$L$91</f>
        <v>0.10976103536720654</v>
      </c>
      <c r="AB29" s="1145"/>
      <c r="AC29" s="1145">
        <f t="shared" si="10"/>
        <v>0</v>
      </c>
      <c r="AD29" s="1145">
        <f t="shared" si="11"/>
        <v>0</v>
      </c>
      <c r="AE29" s="1145">
        <f t="shared" si="12"/>
        <v>0</v>
      </c>
      <c r="AF29" s="1145"/>
      <c r="AG29" s="1145"/>
      <c r="AH29" s="1145">
        <f t="shared" si="2"/>
        <v>0</v>
      </c>
      <c r="AI29" s="1145"/>
      <c r="AJ29" s="1145">
        <f t="shared" si="13"/>
        <v>0</v>
      </c>
    </row>
    <row r="30" spans="1:36" ht="14.25" customHeight="1" x14ac:dyDescent="0.2">
      <c r="A30" s="958"/>
      <c r="B30" s="958"/>
      <c r="C30" s="1154" t="s">
        <v>50</v>
      </c>
      <c r="D30" s="1458">
        <f t="shared" si="4"/>
        <v>3449.1832190551381</v>
      </c>
      <c r="E30" s="1458">
        <f t="shared" si="5"/>
        <v>2845.0393227413078</v>
      </c>
      <c r="F30" s="1459">
        <v>139.91465809536072</v>
      </c>
      <c r="G30" s="1459">
        <v>0</v>
      </c>
      <c r="H30" s="1459">
        <v>0</v>
      </c>
      <c r="I30" s="1459">
        <v>681.0778797749482</v>
      </c>
      <c r="J30" s="1459">
        <v>9.9816005829254735</v>
      </c>
      <c r="K30" s="1459">
        <v>2014.0651842880734</v>
      </c>
      <c r="L30" s="1458">
        <f t="shared" si="6"/>
        <v>604.14389631383017</v>
      </c>
      <c r="M30" s="1174">
        <v>94.707100545886604</v>
      </c>
      <c r="N30" s="1235">
        <v>509.43679576794352</v>
      </c>
      <c r="O30" s="1458">
        <f t="shared" si="7"/>
        <v>10279.774833264411</v>
      </c>
      <c r="P30" s="1458">
        <f t="shared" si="8"/>
        <v>1387.5887688975499</v>
      </c>
      <c r="Q30" s="1459">
        <v>311.17453086605497</v>
      </c>
      <c r="R30" s="1459">
        <v>0</v>
      </c>
      <c r="S30" s="1459">
        <v>405.86625835840192</v>
      </c>
      <c r="T30" s="1459">
        <v>98.565790183382745</v>
      </c>
      <c r="U30" s="1459">
        <v>0</v>
      </c>
      <c r="V30" s="1459">
        <v>571.98218948971044</v>
      </c>
      <c r="W30" s="1458">
        <f t="shared" si="9"/>
        <v>8892.1860643668624</v>
      </c>
      <c r="X30" s="1174">
        <v>684.93718028016031</v>
      </c>
      <c r="Y30" s="1217">
        <v>8207.2488840867027</v>
      </c>
      <c r="Z30" s="173"/>
      <c r="AA30" s="1145">
        <f>+TableB2!L31/TableB2!$L$91</f>
        <v>1.3057648339535167E-2</v>
      </c>
      <c r="AB30" s="1145">
        <f>+AA30</f>
        <v>1.3057648339535167E-2</v>
      </c>
      <c r="AC30" s="1145">
        <f t="shared" si="10"/>
        <v>3.0902152883536999E-2</v>
      </c>
      <c r="AD30" s="1145">
        <f t="shared" si="11"/>
        <v>1.3057648339535167E-2</v>
      </c>
      <c r="AE30" s="1145">
        <f t="shared" si="12"/>
        <v>5.1006405326660835E-2</v>
      </c>
      <c r="AF30" s="1145"/>
      <c r="AG30" s="1145"/>
      <c r="AH30" s="1145">
        <f t="shared" si="2"/>
        <v>0</v>
      </c>
      <c r="AI30" s="1145"/>
      <c r="AJ30" s="1145">
        <f t="shared" si="13"/>
        <v>0</v>
      </c>
    </row>
    <row r="31" spans="1:36" ht="14.25" customHeight="1" x14ac:dyDescent="0.2">
      <c r="A31" s="958"/>
      <c r="B31" s="958"/>
      <c r="C31" s="1154" t="s">
        <v>51</v>
      </c>
      <c r="D31" s="1458">
        <f t="shared" si="4"/>
        <v>12000.36595699908</v>
      </c>
      <c r="E31" s="1458">
        <f t="shared" si="5"/>
        <v>5261.0592968907586</v>
      </c>
      <c r="F31" s="1459">
        <v>803.450861337471</v>
      </c>
      <c r="G31" s="1459">
        <v>-17.455143566424994</v>
      </c>
      <c r="H31" s="1459">
        <v>3455.2715821683078</v>
      </c>
      <c r="I31" s="1459">
        <v>1024.0817073550061</v>
      </c>
      <c r="J31" s="1459">
        <v>-4.289710403601406</v>
      </c>
      <c r="K31" s="1459">
        <v>0</v>
      </c>
      <c r="L31" s="1458">
        <f t="shared" si="6"/>
        <v>6739.306660108321</v>
      </c>
      <c r="M31" s="1174">
        <v>4201.9890351917084</v>
      </c>
      <c r="N31" s="1235">
        <v>2537.3176249166122</v>
      </c>
      <c r="O31" s="1458">
        <f t="shared" si="7"/>
        <v>47186.186052590128</v>
      </c>
      <c r="P31" s="1458">
        <f t="shared" si="8"/>
        <v>11524.708560669696</v>
      </c>
      <c r="Q31" s="1459">
        <v>5377.0685387467802</v>
      </c>
      <c r="R31" s="1459">
        <v>30.714968942331634</v>
      </c>
      <c r="S31" s="1459">
        <v>4023.8608441056449</v>
      </c>
      <c r="T31" s="1459">
        <v>2065.5059738976665</v>
      </c>
      <c r="U31" s="1459">
        <v>27.558234977273084</v>
      </c>
      <c r="V31" s="1459">
        <v>0</v>
      </c>
      <c r="W31" s="1458">
        <f t="shared" si="9"/>
        <v>35661.477491920428</v>
      </c>
      <c r="X31" s="1174">
        <v>13879.056096214303</v>
      </c>
      <c r="Y31" s="1217">
        <v>21782.421395706126</v>
      </c>
      <c r="Z31" s="173"/>
      <c r="AA31" s="1145">
        <f>+TableB2!L32/TableB2!$L$91</f>
        <v>9.9513180149138972E-2</v>
      </c>
      <c r="AB31" s="1145"/>
      <c r="AC31" s="1145"/>
      <c r="AD31" s="1145"/>
      <c r="AE31" s="1145"/>
      <c r="AF31" s="1145"/>
      <c r="AG31" s="1145"/>
      <c r="AH31" s="1145">
        <f t="shared" si="2"/>
        <v>0</v>
      </c>
      <c r="AI31" s="1145"/>
      <c r="AJ31" s="1145">
        <f t="shared" si="13"/>
        <v>0</v>
      </c>
    </row>
    <row r="32" spans="1:36" ht="14.25" customHeight="1" x14ac:dyDescent="0.2">
      <c r="A32" s="958"/>
      <c r="B32" s="958"/>
      <c r="C32" s="1154" t="s">
        <v>52</v>
      </c>
      <c r="D32" s="1458">
        <f t="shared" si="4"/>
        <v>123.54867933139094</v>
      </c>
      <c r="E32" s="1458">
        <f t="shared" si="5"/>
        <v>55.341261972693815</v>
      </c>
      <c r="F32" s="1459">
        <v>12.087659446683428</v>
      </c>
      <c r="G32" s="1459">
        <v>0</v>
      </c>
      <c r="H32" s="1459">
        <v>0</v>
      </c>
      <c r="I32" s="1459">
        <v>21.072267897287112</v>
      </c>
      <c r="J32" s="1459">
        <v>0</v>
      </c>
      <c r="K32" s="1459">
        <v>22.181334628723278</v>
      </c>
      <c r="L32" s="1458">
        <f t="shared" si="6"/>
        <v>68.207417358697128</v>
      </c>
      <c r="M32" s="1174">
        <v>10.692364473396573</v>
      </c>
      <c r="N32" s="1235">
        <v>57.515052885300555</v>
      </c>
      <c r="O32" s="1458">
        <f t="shared" si="7"/>
        <v>1473.5395051629434</v>
      </c>
      <c r="P32" s="1458">
        <f t="shared" si="8"/>
        <v>469.61800595706507</v>
      </c>
      <c r="Q32" s="1459">
        <v>33.160572213295652</v>
      </c>
      <c r="R32" s="1459">
        <v>0</v>
      </c>
      <c r="S32" s="1459">
        <v>225.20073554098943</v>
      </c>
      <c r="T32" s="1459">
        <v>99.720448002357415</v>
      </c>
      <c r="U32" s="1459">
        <v>8.8933710143942015</v>
      </c>
      <c r="V32" s="1459">
        <v>102.64287918602845</v>
      </c>
      <c r="W32" s="1458">
        <f t="shared" si="9"/>
        <v>1003.9214992058783</v>
      </c>
      <c r="X32" s="1174">
        <v>77.328921809697334</v>
      </c>
      <c r="Y32" s="1217">
        <v>926.5925773961809</v>
      </c>
      <c r="Z32" s="173"/>
      <c r="AA32" s="1145">
        <f>+TableB2!L33/TableB2!$L$91</f>
        <v>1.4741992354005767E-3</v>
      </c>
      <c r="AB32" s="1145">
        <f>+AA32</f>
        <v>1.4741992354005767E-3</v>
      </c>
      <c r="AC32" s="1145">
        <f t="shared" si="10"/>
        <v>3.488831140842601E-3</v>
      </c>
      <c r="AD32" s="1145">
        <f t="shared" si="11"/>
        <v>1.4741992354005767E-3</v>
      </c>
      <c r="AE32" s="1145">
        <f t="shared" si="12"/>
        <v>5.7585869811969592E-3</v>
      </c>
      <c r="AF32" s="1145"/>
      <c r="AG32" s="1145"/>
      <c r="AH32" s="1145">
        <f t="shared" si="2"/>
        <v>0</v>
      </c>
      <c r="AI32" s="1145"/>
      <c r="AJ32" s="1145">
        <f t="shared" si="13"/>
        <v>0</v>
      </c>
    </row>
    <row r="33" spans="2:36" ht="14.25" customHeight="1" x14ac:dyDescent="0.2">
      <c r="B33" s="958"/>
      <c r="C33" s="1154" t="s">
        <v>53</v>
      </c>
      <c r="D33" s="1458">
        <f t="shared" si="4"/>
        <v>938.15598753661311</v>
      </c>
      <c r="E33" s="1458">
        <f t="shared" si="5"/>
        <v>786.63016891842494</v>
      </c>
      <c r="F33" s="1459">
        <v>108.99039601092892</v>
      </c>
      <c r="G33" s="1459">
        <v>0</v>
      </c>
      <c r="H33" s="1459">
        <v>0</v>
      </c>
      <c r="I33" s="1459">
        <v>447.73023948077929</v>
      </c>
      <c r="J33" s="1459">
        <v>3.6599202137393405</v>
      </c>
      <c r="K33" s="1459">
        <v>226.24961321297741</v>
      </c>
      <c r="L33" s="1458">
        <f t="shared" si="6"/>
        <v>151.52581861818814</v>
      </c>
      <c r="M33" s="1174">
        <v>23.753564385455508</v>
      </c>
      <c r="N33" s="1235">
        <v>127.77225423273264</v>
      </c>
      <c r="O33" s="1458">
        <f t="shared" si="7"/>
        <v>4529.6392076910888</v>
      </c>
      <c r="P33" s="1458">
        <f t="shared" si="8"/>
        <v>2299.3828384228773</v>
      </c>
      <c r="Q33" s="1459">
        <v>178.63921160065723</v>
      </c>
      <c r="R33" s="1459">
        <v>1.7670350798107419</v>
      </c>
      <c r="S33" s="1459">
        <v>1197.7043603211366</v>
      </c>
      <c r="T33" s="1459">
        <v>302.31041078609405</v>
      </c>
      <c r="U33" s="1459">
        <v>31.867912801579223</v>
      </c>
      <c r="V33" s="1459">
        <v>587.09390783359947</v>
      </c>
      <c r="W33" s="1458">
        <f t="shared" si="9"/>
        <v>2230.2563692682111</v>
      </c>
      <c r="X33" s="1174">
        <v>171.78964742875101</v>
      </c>
      <c r="Y33" s="1217">
        <v>2058.4667218394602</v>
      </c>
      <c r="Z33" s="173"/>
      <c r="AA33" s="1145">
        <f>+TableB2!L34/TableB2!$L$91</f>
        <v>3.2749993270621371E-3</v>
      </c>
      <c r="AB33" s="1145">
        <f>+AA33</f>
        <v>3.2749993270621371E-3</v>
      </c>
      <c r="AC33" s="1145">
        <f t="shared" si="10"/>
        <v>7.7505939252425667E-3</v>
      </c>
      <c r="AD33" s="1145">
        <f t="shared" si="11"/>
        <v>3.2749993270621371E-3</v>
      </c>
      <c r="AE33" s="1145">
        <f t="shared" si="12"/>
        <v>1.2792957719262596E-2</v>
      </c>
      <c r="AF33" s="1145"/>
      <c r="AG33" s="1145"/>
      <c r="AH33" s="1145">
        <f t="shared" si="2"/>
        <v>0</v>
      </c>
      <c r="AI33" s="1145"/>
      <c r="AJ33" s="1145">
        <f t="shared" si="13"/>
        <v>0</v>
      </c>
    </row>
    <row r="34" spans="2:36" ht="14.25" customHeight="1" x14ac:dyDescent="0.2">
      <c r="B34" s="958"/>
      <c r="C34" s="1154" t="s">
        <v>54</v>
      </c>
      <c r="D34" s="1458">
        <f t="shared" si="4"/>
        <v>442.36141832006865</v>
      </c>
      <c r="E34" s="1458">
        <f t="shared" si="5"/>
        <v>381.19119206515495</v>
      </c>
      <c r="F34" s="1459">
        <v>102.0903254558413</v>
      </c>
      <c r="G34" s="1459">
        <v>3.8684372228293222</v>
      </c>
      <c r="H34" s="1459">
        <v>39.894715536159005</v>
      </c>
      <c r="I34" s="1459">
        <v>180.38180062553059</v>
      </c>
      <c r="J34" s="1459">
        <v>2.0427192398101934</v>
      </c>
      <c r="K34" s="1459">
        <v>52.913193984984474</v>
      </c>
      <c r="L34" s="1458">
        <f t="shared" si="6"/>
        <v>61.170226254913729</v>
      </c>
      <c r="M34" s="1174">
        <v>50.713660769555112</v>
      </c>
      <c r="N34" s="1235">
        <v>10.45656548535862</v>
      </c>
      <c r="O34" s="1458">
        <f t="shared" si="7"/>
        <v>3432.1668824292838</v>
      </c>
      <c r="P34" s="1458">
        <f t="shared" si="8"/>
        <v>2303.2041929179222</v>
      </c>
      <c r="Q34" s="1459">
        <v>414.58522912068889</v>
      </c>
      <c r="R34" s="1459">
        <v>9.5070141964359802</v>
      </c>
      <c r="S34" s="1459">
        <v>828.32148164922808</v>
      </c>
      <c r="T34" s="1459">
        <v>423.03698321086983</v>
      </c>
      <c r="U34" s="1459">
        <v>15.031764533058048</v>
      </c>
      <c r="V34" s="1459">
        <v>612.7217202076414</v>
      </c>
      <c r="W34" s="1458">
        <f t="shared" si="9"/>
        <v>1128.9626895113613</v>
      </c>
      <c r="X34" s="1174">
        <v>1032.6611684490783</v>
      </c>
      <c r="Y34" s="1217">
        <v>96.301521062282916</v>
      </c>
      <c r="Z34" s="173"/>
      <c r="AA34" s="1145">
        <f>+TableB2!L35/TableB2!$L$91</f>
        <v>4.5646328096349172E-3</v>
      </c>
      <c r="AB34" s="1145"/>
      <c r="AC34" s="1145">
        <f t="shared" si="10"/>
        <v>0</v>
      </c>
      <c r="AD34" s="1145">
        <f t="shared" si="11"/>
        <v>0</v>
      </c>
      <c r="AE34" s="1145">
        <f t="shared" si="12"/>
        <v>0</v>
      </c>
      <c r="AF34" s="1145"/>
      <c r="AG34" s="1145"/>
      <c r="AH34" s="1145">
        <f t="shared" si="2"/>
        <v>0</v>
      </c>
      <c r="AI34" s="1145"/>
      <c r="AJ34" s="1145">
        <f t="shared" si="13"/>
        <v>0</v>
      </c>
    </row>
    <row r="35" spans="2:36" ht="14.25" customHeight="1" x14ac:dyDescent="0.2">
      <c r="B35" s="958"/>
      <c r="C35" s="1154" t="s">
        <v>55</v>
      </c>
      <c r="D35" s="1458">
        <f t="shared" si="4"/>
        <v>894.91470040201455</v>
      </c>
      <c r="E35" s="1458">
        <f t="shared" si="5"/>
        <v>827.97988505195212</v>
      </c>
      <c r="F35" s="1459">
        <v>30.014555684017335</v>
      </c>
      <c r="G35" s="1459">
        <v>0</v>
      </c>
      <c r="H35" s="1459">
        <v>27.24517158566956</v>
      </c>
      <c r="I35" s="1459">
        <v>180.824455350992</v>
      </c>
      <c r="J35" s="1459">
        <v>2.4512630877722321</v>
      </c>
      <c r="K35" s="1459">
        <v>587.44443934350102</v>
      </c>
      <c r="L35" s="1458">
        <f t="shared" si="6"/>
        <v>66.934815350062394</v>
      </c>
      <c r="M35" s="1174">
        <v>37.37901290675282</v>
      </c>
      <c r="N35" s="1235">
        <v>29.55580244330957</v>
      </c>
      <c r="O35" s="1458">
        <f t="shared" si="7"/>
        <v>1870.7999824690694</v>
      </c>
      <c r="P35" s="1458">
        <f t="shared" si="8"/>
        <v>1642.847958723275</v>
      </c>
      <c r="Q35" s="1459">
        <v>360.50889488755553</v>
      </c>
      <c r="R35" s="1459">
        <v>1.0969631765118439</v>
      </c>
      <c r="S35" s="1459">
        <v>531.39536338189043</v>
      </c>
      <c r="T35" s="1459">
        <v>596.9132807592589</v>
      </c>
      <c r="U35" s="1459">
        <v>6.3527100109947687</v>
      </c>
      <c r="V35" s="1459">
        <v>146.58074650706351</v>
      </c>
      <c r="W35" s="1458">
        <f t="shared" si="9"/>
        <v>227.95202374579438</v>
      </c>
      <c r="X35" s="1174">
        <v>200.43730344228499</v>
      </c>
      <c r="Y35" s="1217">
        <v>27.514720303509403</v>
      </c>
      <c r="Z35" s="173"/>
      <c r="AA35" s="1145">
        <f>+TableB2!L36/TableB2!$L$91</f>
        <v>3.4282296476492446E-3</v>
      </c>
      <c r="AB35" s="1145"/>
      <c r="AC35" s="1145">
        <f t="shared" si="10"/>
        <v>0</v>
      </c>
      <c r="AD35" s="1145">
        <f t="shared" si="11"/>
        <v>0</v>
      </c>
      <c r="AE35" s="1145">
        <f t="shared" si="12"/>
        <v>0</v>
      </c>
      <c r="AF35" s="1145"/>
      <c r="AG35" s="1145"/>
      <c r="AH35" s="1145">
        <f t="shared" si="2"/>
        <v>0</v>
      </c>
      <c r="AI35" s="1145"/>
      <c r="AJ35" s="1145">
        <f t="shared" si="13"/>
        <v>0</v>
      </c>
    </row>
    <row r="36" spans="2:36" ht="14.25" customHeight="1" x14ac:dyDescent="0.2">
      <c r="B36" s="958"/>
      <c r="C36" s="1154" t="s">
        <v>56</v>
      </c>
      <c r="D36" s="1458">
        <f t="shared" si="4"/>
        <v>128.17875605932639</v>
      </c>
      <c r="E36" s="1458">
        <f t="shared" si="5"/>
        <v>114.87534849397609</v>
      </c>
      <c r="F36" s="1459">
        <v>10.106942220128287</v>
      </c>
      <c r="G36" s="1459">
        <v>0</v>
      </c>
      <c r="H36" s="1459">
        <v>8.3681598441699379</v>
      </c>
      <c r="I36" s="1459">
        <v>39.838925291528227</v>
      </c>
      <c r="J36" s="1459">
        <v>0.40854384796203874</v>
      </c>
      <c r="K36" s="1459">
        <v>56.152777290187601</v>
      </c>
      <c r="L36" s="1458">
        <f t="shared" si="6"/>
        <v>13.303407565350287</v>
      </c>
      <c r="M36" s="1174">
        <v>2.0999445453231926</v>
      </c>
      <c r="N36" s="1235">
        <v>11.203463020027094</v>
      </c>
      <c r="O36" s="1458">
        <f t="shared" si="7"/>
        <v>539.41901370506821</v>
      </c>
      <c r="P36" s="1458">
        <f t="shared" si="8"/>
        <v>446.34948859564139</v>
      </c>
      <c r="Q36" s="1459">
        <v>115.20610336624058</v>
      </c>
      <c r="R36" s="1459">
        <v>0.58504702747298343</v>
      </c>
      <c r="S36" s="1459">
        <v>93.173368145957667</v>
      </c>
      <c r="T36" s="1459">
        <v>163.59034917233583</v>
      </c>
      <c r="U36" s="1459">
        <v>4.473739444362514</v>
      </c>
      <c r="V36" s="1459">
        <v>69.320881439271787</v>
      </c>
      <c r="W36" s="1458">
        <f t="shared" si="9"/>
        <v>93.06952510942682</v>
      </c>
      <c r="X36" s="1174">
        <v>83.242839286744896</v>
      </c>
      <c r="Y36" s="1217">
        <v>9.8266858226819291</v>
      </c>
      <c r="Z36" s="173"/>
      <c r="AA36" s="1145">
        <f>+TableB2!L37/TableB2!$L$91</f>
        <v>1.2829588931474523E-3</v>
      </c>
      <c r="AB36" s="1145"/>
      <c r="AC36" s="1145">
        <f t="shared" si="10"/>
        <v>0</v>
      </c>
      <c r="AD36" s="1145">
        <f t="shared" si="11"/>
        <v>0</v>
      </c>
      <c r="AE36" s="1145">
        <f t="shared" si="12"/>
        <v>0</v>
      </c>
      <c r="AF36" s="1145"/>
      <c r="AG36" s="1145"/>
      <c r="AH36" s="1145">
        <f t="shared" si="2"/>
        <v>0</v>
      </c>
      <c r="AI36" s="1145"/>
      <c r="AJ36" s="1145">
        <f t="shared" si="13"/>
        <v>0</v>
      </c>
    </row>
    <row r="37" spans="2:36" ht="14.25" customHeight="1" x14ac:dyDescent="0.2">
      <c r="B37" s="958"/>
      <c r="C37" s="1154" t="s">
        <v>57</v>
      </c>
      <c r="D37" s="1458">
        <f t="shared" si="4"/>
        <v>16.505340270789176</v>
      </c>
      <c r="E37" s="1458">
        <f t="shared" si="5"/>
        <v>11.543231860581718</v>
      </c>
      <c r="F37" s="1459">
        <v>1.2250839054700955</v>
      </c>
      <c r="G37" s="1459">
        <v>0.28305638215824308</v>
      </c>
      <c r="H37" s="1459">
        <v>0</v>
      </c>
      <c r="I37" s="1459">
        <v>8.8530945092284945</v>
      </c>
      <c r="J37" s="1459">
        <v>0.10213596199050969</v>
      </c>
      <c r="K37" s="1459">
        <v>1.0798611017343769</v>
      </c>
      <c r="L37" s="1458">
        <f t="shared" si="6"/>
        <v>4.9621084102074589</v>
      </c>
      <c r="M37" s="1174">
        <v>3.2549140452509491</v>
      </c>
      <c r="N37" s="1235">
        <v>1.7071943649565096</v>
      </c>
      <c r="O37" s="1458">
        <f t="shared" si="7"/>
        <v>219.68485105346269</v>
      </c>
      <c r="P37" s="1458">
        <f t="shared" si="8"/>
        <v>109.12148805185628</v>
      </c>
      <c r="Q37" s="1459">
        <v>28.762340092115846</v>
      </c>
      <c r="R37" s="1459">
        <v>0</v>
      </c>
      <c r="S37" s="1459">
        <v>42.183986457290729</v>
      </c>
      <c r="T37" s="1459">
        <v>21.884996544794095</v>
      </c>
      <c r="U37" s="1459">
        <v>8.9474788887250273E-2</v>
      </c>
      <c r="V37" s="1459">
        <v>16.200690168768357</v>
      </c>
      <c r="W37" s="1458">
        <f t="shared" si="9"/>
        <v>110.56336300160642</v>
      </c>
      <c r="X37" s="1174">
        <v>80.788504958880168</v>
      </c>
      <c r="Y37" s="1217">
        <v>29.774858042726247</v>
      </c>
      <c r="Z37" s="173"/>
      <c r="AA37" s="1145">
        <f>+TableB2!L38/TableB2!$L$91</f>
        <v>3.5018124427046114E-4</v>
      </c>
      <c r="AB37" s="1145"/>
      <c r="AC37" s="1145">
        <f t="shared" si="10"/>
        <v>0</v>
      </c>
      <c r="AD37" s="1145">
        <f t="shared" si="11"/>
        <v>0</v>
      </c>
      <c r="AE37" s="1145">
        <f t="shared" si="12"/>
        <v>0</v>
      </c>
      <c r="AF37" s="1145"/>
      <c r="AG37" s="1145"/>
      <c r="AH37" s="1145">
        <f t="shared" si="2"/>
        <v>0</v>
      </c>
      <c r="AI37" s="1145"/>
      <c r="AJ37" s="1145">
        <f t="shared" si="13"/>
        <v>0</v>
      </c>
    </row>
    <row r="38" spans="2:36" ht="14.25" customHeight="1" x14ac:dyDescent="0.2">
      <c r="B38" s="958"/>
      <c r="C38" s="1154" t="s">
        <v>58</v>
      </c>
      <c r="D38" s="1458">
        <f t="shared" si="4"/>
        <v>5726.3192608754562</v>
      </c>
      <c r="E38" s="1458">
        <f t="shared" si="5"/>
        <v>5441.4040765287955</v>
      </c>
      <c r="F38" s="1459">
        <v>135.78013285626892</v>
      </c>
      <c r="G38" s="1459">
        <v>0</v>
      </c>
      <c r="H38" s="1459">
        <v>166.39015504105339</v>
      </c>
      <c r="I38" s="1459">
        <v>986.23472832805419</v>
      </c>
      <c r="J38" s="1459">
        <v>6.3324296434115999</v>
      </c>
      <c r="K38" s="1459">
        <v>4146.6666306600073</v>
      </c>
      <c r="L38" s="1458">
        <f t="shared" si="6"/>
        <v>284.91518434666074</v>
      </c>
      <c r="M38" s="1174">
        <v>202.3296569418896</v>
      </c>
      <c r="N38" s="1235">
        <v>82.585527404771156</v>
      </c>
      <c r="O38" s="1458">
        <f t="shared" si="7"/>
        <v>9330.0292725115141</v>
      </c>
      <c r="P38" s="1458">
        <f t="shared" si="8"/>
        <v>6411.6763141052816</v>
      </c>
      <c r="Q38" s="1459">
        <v>803.30786360814011</v>
      </c>
      <c r="R38" s="1459">
        <v>9.5070141964359802</v>
      </c>
      <c r="S38" s="1459">
        <v>2208.5159900091285</v>
      </c>
      <c r="T38" s="1459">
        <v>2314.3383846119755</v>
      </c>
      <c r="U38" s="1459">
        <v>11.989621710891537</v>
      </c>
      <c r="V38" s="1459">
        <v>1064.0174399687107</v>
      </c>
      <c r="W38" s="1458">
        <f t="shared" si="9"/>
        <v>2918.3529584062317</v>
      </c>
      <c r="X38" s="1174">
        <v>1604.6233307718844</v>
      </c>
      <c r="Y38" s="1217">
        <v>1313.7296276343473</v>
      </c>
      <c r="Z38" s="173"/>
      <c r="AA38" s="1145">
        <f>+TableB2!L39/TableB2!$L$91</f>
        <v>1.4770745163787515E-2</v>
      </c>
      <c r="AB38" s="1145"/>
      <c r="AC38" s="1145">
        <f t="shared" si="10"/>
        <v>0</v>
      </c>
      <c r="AD38" s="1145">
        <f t="shared" si="11"/>
        <v>0</v>
      </c>
      <c r="AE38" s="1145">
        <f t="shared" si="12"/>
        <v>0</v>
      </c>
      <c r="AF38" s="1145"/>
      <c r="AG38" s="1145"/>
      <c r="AH38" s="1145">
        <f t="shared" si="2"/>
        <v>0</v>
      </c>
      <c r="AI38" s="1145"/>
      <c r="AJ38" s="1145">
        <f t="shared" si="13"/>
        <v>0</v>
      </c>
    </row>
    <row r="39" spans="2:36" s="25" customFormat="1" ht="14.25" customHeight="1" x14ac:dyDescent="0.2">
      <c r="B39" s="1115"/>
      <c r="C39" s="1080" t="s">
        <v>59</v>
      </c>
      <c r="D39" s="1458">
        <f t="shared" si="4"/>
        <v>1648.266141762793</v>
      </c>
      <c r="E39" s="1458">
        <f t="shared" si="5"/>
        <v>1503.1238455280195</v>
      </c>
      <c r="F39" s="1459">
        <v>215.20640606091345</v>
      </c>
      <c r="G39" s="1459">
        <v>0</v>
      </c>
      <c r="H39" s="1459">
        <v>91.174020627758509</v>
      </c>
      <c r="I39" s="1459">
        <v>421.73928968337242</v>
      </c>
      <c r="J39" s="1459">
        <v>3.9833025176298773</v>
      </c>
      <c r="K39" s="1459">
        <v>771.02082663834506</v>
      </c>
      <c r="L39" s="1458">
        <f t="shared" si="6"/>
        <v>145.14229623477362</v>
      </c>
      <c r="M39" s="1174">
        <v>57.328486087323164</v>
      </c>
      <c r="N39" s="1235">
        <v>87.813810147450454</v>
      </c>
      <c r="O39" s="1458">
        <f t="shared" si="7"/>
        <v>7305.7088181788185</v>
      </c>
      <c r="P39" s="1458">
        <f t="shared" si="8"/>
        <v>5490.7263791995392</v>
      </c>
      <c r="Q39" s="1459">
        <v>769.60811908604251</v>
      </c>
      <c r="R39" s="1459">
        <v>3.6565439217061466</v>
      </c>
      <c r="S39" s="1459">
        <v>2206.4682236762505</v>
      </c>
      <c r="T39" s="1459">
        <v>2081.2631714099184</v>
      </c>
      <c r="U39" s="1459">
        <v>107.45922145358757</v>
      </c>
      <c r="V39" s="1459">
        <v>322.27109965203351</v>
      </c>
      <c r="W39" s="1458">
        <f t="shared" si="9"/>
        <v>1814.9824389792793</v>
      </c>
      <c r="X39" s="1174">
        <v>656.02311305217256</v>
      </c>
      <c r="Y39" s="1217">
        <v>1158.9593259271069</v>
      </c>
      <c r="Z39" s="271"/>
      <c r="AA39" s="1145">
        <f>+TableB2!L40/TableB2!$L$91</f>
        <v>8.0149738798014902E-3</v>
      </c>
      <c r="AB39" s="1460"/>
      <c r="AC39" s="1145">
        <f t="shared" si="10"/>
        <v>0</v>
      </c>
      <c r="AD39" s="1145">
        <f t="shared" si="11"/>
        <v>0</v>
      </c>
      <c r="AE39" s="1145">
        <f t="shared" si="12"/>
        <v>0</v>
      </c>
      <c r="AF39" s="1460"/>
      <c r="AG39" s="1460"/>
      <c r="AH39" s="1145">
        <f t="shared" si="2"/>
        <v>0</v>
      </c>
      <c r="AI39" s="1460"/>
      <c r="AJ39" s="1145">
        <f t="shared" si="13"/>
        <v>0</v>
      </c>
    </row>
    <row r="40" spans="2:36" ht="14.25" customHeight="1" x14ac:dyDescent="0.2">
      <c r="B40" s="958"/>
      <c r="C40" s="1080" t="s">
        <v>60</v>
      </c>
      <c r="D40" s="1461"/>
      <c r="E40" s="1461">
        <f t="shared" si="5"/>
        <v>3875.3282091588685</v>
      </c>
      <c r="F40" s="1462">
        <v>100.73049538902858</v>
      </c>
      <c r="G40" s="1462">
        <v>4.5471735988882713</v>
      </c>
      <c r="H40" s="1462">
        <v>26.063068188749849</v>
      </c>
      <c r="I40" s="1462">
        <v>1274.3176744201521</v>
      </c>
      <c r="J40" s="1462">
        <v>5.3235203108935858</v>
      </c>
      <c r="K40" s="1462">
        <v>2464.3462772511562</v>
      </c>
      <c r="L40" s="1461"/>
      <c r="M40" s="1107"/>
      <c r="N40" s="1463"/>
      <c r="O40" s="1461"/>
      <c r="P40" s="1461">
        <f t="shared" si="8"/>
        <v>15669.548762968787</v>
      </c>
      <c r="Q40" s="1462">
        <v>1702.4209895954848</v>
      </c>
      <c r="R40" s="1462">
        <v>7.9516578591483382</v>
      </c>
      <c r="S40" s="1462">
        <v>2948.8168061869465</v>
      </c>
      <c r="T40" s="1462">
        <v>5758.5934499045552</v>
      </c>
      <c r="U40" s="1462">
        <v>32.820773981692888</v>
      </c>
      <c r="V40" s="1462">
        <v>5218.9450854409588</v>
      </c>
      <c r="W40" s="1461"/>
      <c r="X40" s="1107"/>
      <c r="Y40" s="1464"/>
      <c r="Z40" s="173"/>
      <c r="AA40" s="1145">
        <f>+TableB2!L41/TableB2!$L$91</f>
        <v>2.836941179799185E-2</v>
      </c>
      <c r="AB40" s="1145">
        <v>0</v>
      </c>
      <c r="AC40" s="1145">
        <f t="shared" si="10"/>
        <v>0</v>
      </c>
      <c r="AD40" s="1145">
        <f t="shared" si="11"/>
        <v>0</v>
      </c>
      <c r="AE40" s="1145">
        <f t="shared" si="12"/>
        <v>0</v>
      </c>
      <c r="AF40" s="1145"/>
      <c r="AG40" s="1145"/>
      <c r="AH40" s="1145">
        <f t="shared" si="2"/>
        <v>0</v>
      </c>
      <c r="AI40" s="1145"/>
      <c r="AJ40" s="1145">
        <f t="shared" si="13"/>
        <v>0</v>
      </c>
    </row>
    <row r="41" spans="2:36" ht="14.25" customHeight="1" x14ac:dyDescent="0.2">
      <c r="B41" s="958"/>
      <c r="C41" s="1154" t="s">
        <v>61</v>
      </c>
      <c r="D41" s="1458">
        <f t="shared" si="4"/>
        <v>420.68346087788996</v>
      </c>
      <c r="E41" s="1458">
        <f t="shared" si="5"/>
        <v>196.65362206669971</v>
      </c>
      <c r="F41" s="1459">
        <v>15.210304803743316</v>
      </c>
      <c r="G41" s="1459">
        <v>0</v>
      </c>
      <c r="H41" s="1459">
        <v>0</v>
      </c>
      <c r="I41" s="1459">
        <v>53.457016455223098</v>
      </c>
      <c r="J41" s="1459">
        <v>0.44362669257446552</v>
      </c>
      <c r="K41" s="1459">
        <v>127.54267411515883</v>
      </c>
      <c r="L41" s="1458">
        <f t="shared" si="6"/>
        <v>224.02983881119022</v>
      </c>
      <c r="M41" s="1174">
        <v>35.119475010881537</v>
      </c>
      <c r="N41" s="1235">
        <v>188.91036380030869</v>
      </c>
      <c r="O41" s="1458">
        <f t="shared" si="7"/>
        <v>4795.3296974397426</v>
      </c>
      <c r="P41" s="1458">
        <f t="shared" si="8"/>
        <v>1497.9116107321497</v>
      </c>
      <c r="Q41" s="1459">
        <v>165.00058915809205</v>
      </c>
      <c r="R41" s="1459">
        <v>0</v>
      </c>
      <c r="S41" s="1459">
        <v>546.43999103690305</v>
      </c>
      <c r="T41" s="1459">
        <v>227.78249701591113</v>
      </c>
      <c r="U41" s="1459">
        <v>22.551047929356724</v>
      </c>
      <c r="V41" s="1459">
        <v>536.13748559188684</v>
      </c>
      <c r="W41" s="1458">
        <f t="shared" si="9"/>
        <v>3297.4180867075929</v>
      </c>
      <c r="X41" s="1174">
        <v>253.98976474016348</v>
      </c>
      <c r="Y41" s="1217">
        <v>3043.4283219674294</v>
      </c>
      <c r="Z41" s="173"/>
      <c r="AA41" s="1145">
        <f>+TableB2!L42/TableB2!$L$91</f>
        <v>4.8420630757141404E-3</v>
      </c>
      <c r="AB41" s="1145">
        <f>+AA41</f>
        <v>4.8420630757141404E-3</v>
      </c>
      <c r="AC41" s="1145">
        <f t="shared" si="10"/>
        <v>1.1459197670717357E-2</v>
      </c>
      <c r="AD41" s="1145">
        <f t="shared" si="11"/>
        <v>4.8420630757141404E-3</v>
      </c>
      <c r="AE41" s="1145">
        <f t="shared" si="12"/>
        <v>1.8914296467102243E-2</v>
      </c>
      <c r="AF41" s="1145"/>
      <c r="AG41" s="1145"/>
      <c r="AH41" s="1145">
        <f t="shared" si="2"/>
        <v>0</v>
      </c>
      <c r="AI41" s="1145"/>
      <c r="AJ41" s="1145">
        <f t="shared" si="13"/>
        <v>0</v>
      </c>
    </row>
    <row r="42" spans="2:36" ht="14.25" customHeight="1" x14ac:dyDescent="0.2">
      <c r="B42" s="958"/>
      <c r="C42" s="1154" t="s">
        <v>62</v>
      </c>
      <c r="D42" s="1458">
        <f t="shared" si="4"/>
        <v>10522.1095401784</v>
      </c>
      <c r="E42" s="1458">
        <f t="shared" si="5"/>
        <v>8332.276390772091</v>
      </c>
      <c r="F42" s="1459">
        <v>687.06789031781193</v>
      </c>
      <c r="G42" s="1459">
        <v>47.176063693040518</v>
      </c>
      <c r="H42" s="1459">
        <v>401.28245578321884</v>
      </c>
      <c r="I42" s="1459">
        <v>3350.0109622920618</v>
      </c>
      <c r="J42" s="1459">
        <v>27.270301851466083</v>
      </c>
      <c r="K42" s="1459">
        <v>3819.4687168344908</v>
      </c>
      <c r="L42" s="1458">
        <f t="shared" si="6"/>
        <v>2189.8331494063091</v>
      </c>
      <c r="M42" s="1174">
        <v>234.66880293986679</v>
      </c>
      <c r="N42" s="1235">
        <v>1955.1643464664423</v>
      </c>
      <c r="O42" s="1458">
        <f t="shared" si="7"/>
        <v>53951.806668413716</v>
      </c>
      <c r="P42" s="1458">
        <f t="shared" si="8"/>
        <v>42559.720027960007</v>
      </c>
      <c r="Q42" s="1459">
        <v>4738.3408228046974</v>
      </c>
      <c r="R42" s="1459">
        <v>483.17571381425029</v>
      </c>
      <c r="S42" s="1459">
        <v>17336.389774146763</v>
      </c>
      <c r="T42" s="1459">
        <v>13377.094713022665</v>
      </c>
      <c r="U42" s="1459">
        <v>216.79741347380741</v>
      </c>
      <c r="V42" s="1459">
        <v>6407.9215906978234</v>
      </c>
      <c r="W42" s="1458">
        <f t="shared" si="9"/>
        <v>11392.086640453712</v>
      </c>
      <c r="X42" s="1174">
        <v>3756.3586887969445</v>
      </c>
      <c r="Y42" s="1217">
        <v>7635.7279516567669</v>
      </c>
      <c r="Z42" s="173"/>
      <c r="AA42" s="1145">
        <f>+TableB2!L43/TableB2!$L$91</f>
        <v>4.6915671169686653E-2</v>
      </c>
      <c r="AB42" s="1145"/>
      <c r="AC42" s="1145">
        <f t="shared" si="10"/>
        <v>0</v>
      </c>
      <c r="AD42" s="1145">
        <f t="shared" si="11"/>
        <v>0</v>
      </c>
      <c r="AE42" s="1145">
        <f t="shared" si="12"/>
        <v>0</v>
      </c>
      <c r="AF42" s="1145"/>
      <c r="AG42" s="1145"/>
      <c r="AH42" s="1145">
        <f t="shared" si="2"/>
        <v>0</v>
      </c>
      <c r="AI42" s="1145"/>
      <c r="AJ42" s="1145">
        <f t="shared" si="13"/>
        <v>0</v>
      </c>
    </row>
    <row r="43" spans="2:36" ht="14.25" customHeight="1" x14ac:dyDescent="0.2">
      <c r="B43" s="958"/>
      <c r="C43" s="1154" t="s">
        <v>63</v>
      </c>
      <c r="D43" s="1458">
        <f t="shared" si="4"/>
        <v>24228.91057942215</v>
      </c>
      <c r="E43" s="1458">
        <f t="shared" si="5"/>
        <v>16523.161438403422</v>
      </c>
      <c r="F43" s="1459">
        <v>1686.7321452892836</v>
      </c>
      <c r="G43" s="1459">
        <v>181.33241058981278</v>
      </c>
      <c r="H43" s="1459">
        <v>1051.0625413820526</v>
      </c>
      <c r="I43" s="1459">
        <v>9928.476286489682</v>
      </c>
      <c r="J43" s="1459">
        <v>95.490645576653719</v>
      </c>
      <c r="K43" s="1459">
        <v>3580.0674090759367</v>
      </c>
      <c r="L43" s="1458">
        <f t="shared" si="6"/>
        <v>7705.7491410187286</v>
      </c>
      <c r="M43" s="1174">
        <v>1207.9724104350496</v>
      </c>
      <c r="N43" s="1235">
        <v>6497.7767305836787</v>
      </c>
      <c r="O43" s="1458">
        <f t="shared" si="7"/>
        <v>125228.14873301311</v>
      </c>
      <c r="P43" s="1458">
        <f t="shared" si="8"/>
        <v>28674.090569862317</v>
      </c>
      <c r="Q43" s="1459">
        <v>4301.2471248278007</v>
      </c>
      <c r="R43" s="1459">
        <v>132.52763098580564</v>
      </c>
      <c r="S43" s="1459">
        <v>7713.2766725942729</v>
      </c>
      <c r="T43" s="1459">
        <v>4940.8857762852249</v>
      </c>
      <c r="U43" s="1459">
        <v>56.642303484534494</v>
      </c>
      <c r="V43" s="1459">
        <v>11529.51106168468</v>
      </c>
      <c r="W43" s="1458">
        <f t="shared" si="9"/>
        <v>96554.058163150796</v>
      </c>
      <c r="X43" s="1174">
        <v>13187.316839228566</v>
      </c>
      <c r="Y43" s="1217">
        <v>83366.741323922237</v>
      </c>
      <c r="Z43" s="173"/>
      <c r="AA43" s="1145">
        <f>+TableB2!L44/TableB2!$L$91</f>
        <v>0.16654800799945507</v>
      </c>
      <c r="AB43" s="1145">
        <f>+AA43</f>
        <v>0.16654800799945507</v>
      </c>
      <c r="AC43" s="1145">
        <f t="shared" si="10"/>
        <v>0.39415152497749978</v>
      </c>
      <c r="AD43" s="1145"/>
      <c r="AE43" s="1145">
        <f t="shared" si="12"/>
        <v>0</v>
      </c>
      <c r="AF43" s="1145"/>
      <c r="AG43" s="1145"/>
      <c r="AH43" s="1145">
        <f t="shared" si="2"/>
        <v>0</v>
      </c>
      <c r="AI43" s="1145"/>
      <c r="AJ43" s="1145">
        <f t="shared" si="13"/>
        <v>0</v>
      </c>
    </row>
    <row r="44" spans="2:36" ht="40" customHeight="1" x14ac:dyDescent="0.2">
      <c r="B44" s="958"/>
      <c r="C44" s="7" t="s">
        <v>64</v>
      </c>
      <c r="D44" s="1207">
        <f t="shared" si="4"/>
        <v>13964.933542450859</v>
      </c>
      <c r="E44" s="1207">
        <f>+SUM(E45:E51)</f>
        <v>8734.0796060250832</v>
      </c>
      <c r="F44" s="245">
        <f t="shared" ref="F44:Y44" si="14">+SUM(F45:F51)</f>
        <v>485.09990120524139</v>
      </c>
      <c r="G44" s="245">
        <f t="shared" si="14"/>
        <v>19.427034071080644</v>
      </c>
      <c r="H44" s="245">
        <f t="shared" si="14"/>
        <v>29.952115339208834</v>
      </c>
      <c r="I44" s="245">
        <f t="shared" si="14"/>
        <v>4366.8562223314439</v>
      </c>
      <c r="J44" s="245">
        <f t="shared" si="14"/>
        <v>21.182473360580122</v>
      </c>
      <c r="K44" s="245">
        <f t="shared" si="14"/>
        <v>3811.5618597175303</v>
      </c>
      <c r="L44" s="1207">
        <f t="shared" si="14"/>
        <v>5230.8539364257758</v>
      </c>
      <c r="M44" s="245">
        <f t="shared" si="14"/>
        <v>820.00167960081728</v>
      </c>
      <c r="N44" s="623">
        <f t="shared" si="14"/>
        <v>4410.8522568249591</v>
      </c>
      <c r="O44" s="1207">
        <f t="shared" si="7"/>
        <v>93593.971055222384</v>
      </c>
      <c r="P44" s="1207">
        <f t="shared" si="14"/>
        <v>16602.832417513313</v>
      </c>
      <c r="Q44" s="1459">
        <f t="shared" si="14"/>
        <v>893.11901975942669</v>
      </c>
      <c r="R44" s="1459">
        <f t="shared" si="14"/>
        <v>487.03948238973089</v>
      </c>
      <c r="S44" s="1459">
        <f t="shared" si="14"/>
        <v>9050.0526071147415</v>
      </c>
      <c r="T44" s="1459">
        <f t="shared" si="14"/>
        <v>1939.4382671714714</v>
      </c>
      <c r="U44" s="1459">
        <f t="shared" si="14"/>
        <v>116.22438341949167</v>
      </c>
      <c r="V44" s="1459">
        <f t="shared" si="14"/>
        <v>4116.9586576584525</v>
      </c>
      <c r="W44" s="1207">
        <f t="shared" si="14"/>
        <v>76991.138637709068</v>
      </c>
      <c r="X44" s="245">
        <f t="shared" si="14"/>
        <v>5930.3857367975688</v>
      </c>
      <c r="Y44" s="624">
        <f t="shared" si="14"/>
        <v>71060.752900911481</v>
      </c>
      <c r="Z44" s="173"/>
      <c r="AA44" s="1145"/>
      <c r="AB44" s="1145"/>
      <c r="AC44" s="1145">
        <f t="shared" si="10"/>
        <v>0</v>
      </c>
      <c r="AD44" s="1145"/>
      <c r="AE44" s="1145">
        <f t="shared" si="12"/>
        <v>0</v>
      </c>
      <c r="AF44" s="1145"/>
      <c r="AG44" s="1145"/>
      <c r="AH44" s="1145">
        <f t="shared" si="2"/>
        <v>0</v>
      </c>
      <c r="AI44" s="1145"/>
      <c r="AJ44" s="1145">
        <f t="shared" si="13"/>
        <v>0</v>
      </c>
    </row>
    <row r="45" spans="2:36" x14ac:dyDescent="0.2">
      <c r="B45" s="958"/>
      <c r="C45" s="1155" t="s">
        <v>65</v>
      </c>
      <c r="D45" s="1458">
        <f t="shared" si="4"/>
        <v>3809.2700049229679</v>
      </c>
      <c r="E45" s="1458">
        <f t="shared" si="5"/>
        <v>3212.7158560502662</v>
      </c>
      <c r="F45" s="1459">
        <v>258.2729901774693</v>
      </c>
      <c r="G45" s="1459">
        <v>0</v>
      </c>
      <c r="H45" s="1459">
        <v>34.491975347664699</v>
      </c>
      <c r="I45" s="1459">
        <v>804.84972700322407</v>
      </c>
      <c r="J45" s="1459">
        <v>4.5471735988882713</v>
      </c>
      <c r="K45" s="1459">
        <v>2110.5539899230198</v>
      </c>
      <c r="L45" s="1458">
        <f t="shared" si="6"/>
        <v>596.5541488727016</v>
      </c>
      <c r="M45" s="1174">
        <v>93.517312850586521</v>
      </c>
      <c r="N45" s="1235">
        <v>503.0368360221151</v>
      </c>
      <c r="O45" s="1458">
        <f t="shared" si="7"/>
        <v>11089.820136814431</v>
      </c>
      <c r="P45" s="1458">
        <f t="shared" si="8"/>
        <v>2309.3449526531826</v>
      </c>
      <c r="Q45" s="1459">
        <v>97.342324884190447</v>
      </c>
      <c r="R45" s="1459">
        <v>8.8351753990537102E-2</v>
      </c>
      <c r="S45" s="1459">
        <v>899.49011276394299</v>
      </c>
      <c r="T45" s="1459">
        <v>198.39120707837421</v>
      </c>
      <c r="U45" s="1459">
        <v>0</v>
      </c>
      <c r="V45" s="1459">
        <v>1114.0329561726844</v>
      </c>
      <c r="W45" s="1458">
        <f t="shared" si="9"/>
        <v>8780.4751841612488</v>
      </c>
      <c r="X45" s="1174">
        <v>676.33244183442957</v>
      </c>
      <c r="Y45" s="1217">
        <v>8104.1427423268187</v>
      </c>
      <c r="Z45" s="173"/>
      <c r="AA45" s="1145">
        <f>+TableB2!L46/TableB2!$L$91</f>
        <v>1.2893607531249549E-2</v>
      </c>
      <c r="AB45" s="1145">
        <f>+AA45</f>
        <v>1.2893607531249549E-2</v>
      </c>
      <c r="AC45" s="1145">
        <f t="shared" si="10"/>
        <v>3.0513934882487537E-2</v>
      </c>
      <c r="AD45" s="1145">
        <f t="shared" ref="AD45:AD51" si="15">+AB45</f>
        <v>1.2893607531249549E-2</v>
      </c>
      <c r="AE45" s="1145">
        <f t="shared" si="12"/>
        <v>5.0365621340144995E-2</v>
      </c>
      <c r="AF45" s="1145"/>
      <c r="AG45" s="1145">
        <f>+AF45</f>
        <v>0</v>
      </c>
      <c r="AH45" s="1145">
        <f t="shared" si="2"/>
        <v>0</v>
      </c>
      <c r="AI45" s="1145">
        <f>+AH45</f>
        <v>0</v>
      </c>
      <c r="AJ45" s="1145">
        <f t="shared" si="13"/>
        <v>0</v>
      </c>
    </row>
    <row r="46" spans="2:36" x14ac:dyDescent="0.2">
      <c r="B46" s="958" t="str">
        <f>+TableC1!B46</f>
        <v>China (except Hong Kong)</v>
      </c>
      <c r="C46" s="1154" t="s">
        <v>66</v>
      </c>
      <c r="D46" s="1458">
        <f t="shared" si="4"/>
        <v>4041.1775624844959</v>
      </c>
      <c r="E46" s="1458">
        <f t="shared" si="5"/>
        <v>413.2782856250634</v>
      </c>
      <c r="F46" s="1459">
        <v>54.495198005464459</v>
      </c>
      <c r="G46" s="1459">
        <v>0</v>
      </c>
      <c r="H46" s="1459">
        <v>0</v>
      </c>
      <c r="I46" s="1459">
        <v>237.56209387362628</v>
      </c>
      <c r="J46" s="1459">
        <v>2.5508534823031765</v>
      </c>
      <c r="K46" s="1459">
        <v>118.67014026366952</v>
      </c>
      <c r="L46" s="1458">
        <f t="shared" si="6"/>
        <v>3627.8992768594326</v>
      </c>
      <c r="M46" s="1174">
        <v>568.71851835343978</v>
      </c>
      <c r="N46" s="1235">
        <v>3059.1807585059928</v>
      </c>
      <c r="O46" s="1458">
        <f t="shared" si="7"/>
        <v>59410.508927950483</v>
      </c>
      <c r="P46" s="1458">
        <f t="shared" si="8"/>
        <v>6012.7081896670561</v>
      </c>
      <c r="Q46" s="1459">
        <v>334.81480976650124</v>
      </c>
      <c r="R46" s="1459">
        <v>61.404469023423282</v>
      </c>
      <c r="S46" s="1459">
        <v>3225.5208489592833</v>
      </c>
      <c r="T46" s="1459">
        <v>1147.3099964902804</v>
      </c>
      <c r="U46" s="1459">
        <v>0.84698771565659059</v>
      </c>
      <c r="V46" s="1459">
        <v>1242.811077711912</v>
      </c>
      <c r="W46" s="1458">
        <f t="shared" si="9"/>
        <v>53397.800738283426</v>
      </c>
      <c r="X46" s="1174">
        <v>4113.0649770592545</v>
      </c>
      <c r="Y46" s="1217">
        <v>49284.735761224169</v>
      </c>
      <c r="Z46" s="173"/>
      <c r="AA46" s="1145">
        <f>+TableB2!L47/TableB2!$L$91</f>
        <v>7.8411506360525254E-2</v>
      </c>
      <c r="AB46" s="1145">
        <f t="shared" ref="AB46:AB51" si="16">+AA46</f>
        <v>7.8411506360525254E-2</v>
      </c>
      <c r="AC46" s="1145">
        <f t="shared" si="10"/>
        <v>0.1855682045016418</v>
      </c>
      <c r="AD46" s="1145">
        <f t="shared" si="15"/>
        <v>7.8411506360525254E-2</v>
      </c>
      <c r="AE46" s="1145">
        <f t="shared" si="12"/>
        <v>0.30629474555457137</v>
      </c>
      <c r="AF46" s="1145"/>
      <c r="AG46" s="1145">
        <f t="shared" ref="AG46:AG51" si="17">+AF46</f>
        <v>0</v>
      </c>
      <c r="AH46" s="1145">
        <f t="shared" si="2"/>
        <v>0</v>
      </c>
      <c r="AI46" s="1145">
        <f>+AH46</f>
        <v>0</v>
      </c>
      <c r="AJ46" s="1145">
        <f t="shared" si="13"/>
        <v>0</v>
      </c>
    </row>
    <row r="47" spans="2:36" x14ac:dyDescent="0.2">
      <c r="B47" s="958"/>
      <c r="C47" s="1154" t="s">
        <v>67</v>
      </c>
      <c r="D47" s="1458">
        <f>+E47+L47</f>
        <v>122.7478946160933</v>
      </c>
      <c r="E47" s="1458">
        <f>SUM(F47:K47)</f>
        <v>67.342738295855114</v>
      </c>
      <c r="F47" s="1459">
        <v>24.92201203099863</v>
      </c>
      <c r="G47" s="1459">
        <v>-0.49553718231784677</v>
      </c>
      <c r="H47" s="1459">
        <v>-2.5891389110724861</v>
      </c>
      <c r="I47" s="1459">
        <v>36.69547141447832</v>
      </c>
      <c r="J47" s="1459">
        <v>-2.4039554657772357</v>
      </c>
      <c r="K47" s="1459">
        <v>11.213886409545735</v>
      </c>
      <c r="L47" s="1458">
        <f>SUM(M47:N47)</f>
        <v>55.405156320238191</v>
      </c>
      <c r="M47" s="1174">
        <v>8.6854501756906064</v>
      </c>
      <c r="N47" s="1235">
        <v>46.719706144547587</v>
      </c>
      <c r="O47" s="1458">
        <f>+P47+W47</f>
        <v>1348.7218266422033</v>
      </c>
      <c r="P47" s="1458">
        <f>SUM(Q47:V47)</f>
        <v>533.23240114122223</v>
      </c>
      <c r="Q47" s="1459">
        <v>21.003166223117791</v>
      </c>
      <c r="R47" s="1459">
        <v>12.521695351552248</v>
      </c>
      <c r="S47" s="1459">
        <v>321.90051473202885</v>
      </c>
      <c r="T47" s="1459">
        <v>32.046637522944643</v>
      </c>
      <c r="U47" s="1459">
        <v>60.366884569507704</v>
      </c>
      <c r="V47" s="1459">
        <v>85.393502742070993</v>
      </c>
      <c r="W47" s="1458">
        <f>SUM(X47:Y47)</f>
        <v>815.48942550098104</v>
      </c>
      <c r="X47" s="1174">
        <v>62.81459065383379</v>
      </c>
      <c r="Y47" s="1217">
        <v>752.67483484714728</v>
      </c>
      <c r="Z47" s="173"/>
      <c r="AA47" s="1145">
        <f>+TableB2!L48/TableB2!$L$91</f>
        <v>1.1974979004850091E-3</v>
      </c>
      <c r="AB47" s="1145">
        <f t="shared" si="16"/>
        <v>1.1974979004850091E-3</v>
      </c>
      <c r="AC47" s="1145">
        <f t="shared" si="10"/>
        <v>2.8339914076610565E-3</v>
      </c>
      <c r="AD47" s="1145">
        <f t="shared" si="15"/>
        <v>1.1974979004850091E-3</v>
      </c>
      <c r="AE47" s="1145">
        <f t="shared" si="12"/>
        <v>4.6777231015656291E-3</v>
      </c>
      <c r="AF47" s="1145"/>
      <c r="AG47" s="1145">
        <f>+AB47</f>
        <v>1.1974979004850091E-3</v>
      </c>
      <c r="AH47" s="1145">
        <f t="shared" si="2"/>
        <v>1.7146615305115801E-2</v>
      </c>
      <c r="AI47" s="1145">
        <f>+AD47</f>
        <v>1.1974979004850091E-3</v>
      </c>
      <c r="AJ47" s="1145">
        <f>+AI47/$AI$90</f>
        <v>1.7146615305115801E-2</v>
      </c>
    </row>
    <row r="48" spans="2:36" x14ac:dyDescent="0.2">
      <c r="B48" s="958"/>
      <c r="C48" s="1154" t="s">
        <v>68</v>
      </c>
      <c r="D48" s="1458">
        <f>+E48+L48</f>
        <v>92.481290464179892</v>
      </c>
      <c r="E48" s="1458">
        <f>SUM(F48:K48)</f>
        <v>50.737679537973037</v>
      </c>
      <c r="F48" s="1174">
        <v>18.776858379519517</v>
      </c>
      <c r="G48" s="1174">
        <v>-0.37334993188330917</v>
      </c>
      <c r="H48" s="1174">
        <v>-1.9507210973833797</v>
      </c>
      <c r="I48" s="1174">
        <v>27.647272983511058</v>
      </c>
      <c r="J48" s="1174">
        <v>-1.8111993235307939</v>
      </c>
      <c r="K48" s="1174">
        <v>8.4488185277399364</v>
      </c>
      <c r="L48" s="1458">
        <f>SUM(M48:N48)</f>
        <v>41.743610926206856</v>
      </c>
      <c r="M48" s="1174">
        <v>6.5438323241504559</v>
      </c>
      <c r="N48" s="1235">
        <v>35.199778602056398</v>
      </c>
      <c r="O48" s="1458">
        <f>+P48+W48</f>
        <v>1016.1602803468655</v>
      </c>
      <c r="P48" s="1458">
        <f>SUM(Q48:V48)</f>
        <v>401.75043921598933</v>
      </c>
      <c r="Q48" s="1174">
        <v>15.824303318787377</v>
      </c>
      <c r="R48" s="1174">
        <v>9.4341540319914206</v>
      </c>
      <c r="S48" s="1174">
        <v>242.52778507207654</v>
      </c>
      <c r="T48" s="1174">
        <v>24.144726900848703</v>
      </c>
      <c r="U48" s="1174">
        <v>45.481899333190732</v>
      </c>
      <c r="V48" s="1174">
        <v>64.337570559094573</v>
      </c>
      <c r="W48" s="1458">
        <f>SUM(X48:Y48)</f>
        <v>614.4098411308762</v>
      </c>
      <c r="X48" s="1174">
        <v>47.326061451518612</v>
      </c>
      <c r="Y48" s="1217">
        <v>567.08377967935758</v>
      </c>
      <c r="Z48" s="173"/>
      <c r="AA48" s="1145">
        <f>+TableB2!L49/TableB2!$L$91</f>
        <v>9.0222444557089721E-4</v>
      </c>
      <c r="AB48" s="1145">
        <f t="shared" si="16"/>
        <v>9.0222444557089721E-4</v>
      </c>
      <c r="AC48" s="1145">
        <f t="shared" si="10"/>
        <v>2.1351990057720286E-3</v>
      </c>
      <c r="AD48" s="1145">
        <f t="shared" si="15"/>
        <v>9.0222444557089721E-4</v>
      </c>
      <c r="AE48" s="1145">
        <f t="shared" si="12"/>
        <v>3.5243119258371179E-3</v>
      </c>
      <c r="AF48" s="1145"/>
      <c r="AG48" s="1145">
        <f>+AB48</f>
        <v>9.0222444557089721E-4</v>
      </c>
      <c r="AH48" s="1145">
        <f t="shared" si="2"/>
        <v>1.2918682764128343E-2</v>
      </c>
      <c r="AI48" s="1145">
        <f>+AD48</f>
        <v>9.0222444557089721E-4</v>
      </c>
      <c r="AJ48" s="1145">
        <f>+AI48/$AI$90</f>
        <v>1.2918682764128343E-2</v>
      </c>
    </row>
    <row r="49" spans="2:36" ht="14.25" customHeight="1" x14ac:dyDescent="0.2">
      <c r="B49" s="958"/>
      <c r="C49" s="1154" t="s">
        <v>69</v>
      </c>
      <c r="D49" s="1458">
        <f t="shared" si="4"/>
        <v>515.37473719177899</v>
      </c>
      <c r="E49" s="1458">
        <f t="shared" si="5"/>
        <v>67.579638165196272</v>
      </c>
      <c r="F49" s="1459">
        <v>13.900808363685945</v>
      </c>
      <c r="G49" s="1459">
        <v>0</v>
      </c>
      <c r="H49" s="1459">
        <v>0</v>
      </c>
      <c r="I49" s="1459">
        <v>28.835735017340259</v>
      </c>
      <c r="J49" s="1459">
        <v>0.44362669257446552</v>
      </c>
      <c r="K49" s="1459">
        <v>24.399468091595605</v>
      </c>
      <c r="L49" s="1458">
        <f t="shared" si="6"/>
        <v>447.7950990265827</v>
      </c>
      <c r="M49" s="1174">
        <v>70.197474022704895</v>
      </c>
      <c r="N49" s="1235">
        <v>377.59762500387779</v>
      </c>
      <c r="O49" s="1458">
        <f t="shared" si="7"/>
        <v>9419.1229823127996</v>
      </c>
      <c r="P49" s="1458">
        <f t="shared" si="8"/>
        <v>2828.1810501815835</v>
      </c>
      <c r="Q49" s="1459">
        <v>80.762038777542628</v>
      </c>
      <c r="R49" s="1459">
        <v>7.9516578591483382</v>
      </c>
      <c r="S49" s="1459">
        <v>2152.0303472549258</v>
      </c>
      <c r="T49" s="1459">
        <v>114.62603075639399</v>
      </c>
      <c r="U49" s="1459">
        <v>2.0115958246844023</v>
      </c>
      <c r="V49" s="1459">
        <v>470.79937970888864</v>
      </c>
      <c r="W49" s="1458">
        <f t="shared" si="9"/>
        <v>6590.9419321312162</v>
      </c>
      <c r="X49" s="1174">
        <v>507.67956829810873</v>
      </c>
      <c r="Y49" s="1217">
        <v>6083.2623638331079</v>
      </c>
      <c r="Z49" s="173"/>
      <c r="AA49" s="1145">
        <f>+TableB2!L50/TableB2!$L$91</f>
        <v>9.6784076888514429E-3</v>
      </c>
      <c r="AB49" s="1145">
        <f t="shared" si="16"/>
        <v>9.6784076888514429E-3</v>
      </c>
      <c r="AC49" s="1145">
        <f t="shared" si="10"/>
        <v>2.2904862061918128E-2</v>
      </c>
      <c r="AD49" s="1145">
        <f t="shared" si="15"/>
        <v>9.6784076888514429E-3</v>
      </c>
      <c r="AE49" s="1145">
        <f t="shared" si="12"/>
        <v>3.7806255204434536E-2</v>
      </c>
      <c r="AF49" s="1145"/>
      <c r="AG49" s="1145">
        <f t="shared" si="17"/>
        <v>0</v>
      </c>
      <c r="AH49" s="1145">
        <f t="shared" si="2"/>
        <v>0</v>
      </c>
      <c r="AI49" s="1145">
        <f t="shared" ref="AI49:AI51" si="18">+AH49</f>
        <v>0</v>
      </c>
      <c r="AJ49" s="1145">
        <f t="shared" si="13"/>
        <v>0</v>
      </c>
    </row>
    <row r="50" spans="2:36" ht="14.25" customHeight="1" x14ac:dyDescent="0.2">
      <c r="B50" s="958" t="str">
        <f>+TableC1!B50</f>
        <v>Russian Federation</v>
      </c>
      <c r="C50" s="1154" t="s">
        <v>70</v>
      </c>
      <c r="D50" s="1458">
        <f t="shared" si="4"/>
        <v>4903.359374222061</v>
      </c>
      <c r="E50" s="1458">
        <f t="shared" si="5"/>
        <v>4598.2515270886943</v>
      </c>
      <c r="F50" s="1459">
        <v>97.104197555023561</v>
      </c>
      <c r="G50" s="1459">
        <v>20.295921185281799</v>
      </c>
      <c r="H50" s="1459">
        <v>0</v>
      </c>
      <c r="I50" s="1459">
        <v>3130.2299428054289</v>
      </c>
      <c r="J50" s="1459">
        <v>16.414187625255224</v>
      </c>
      <c r="K50" s="1459">
        <v>1334.2072779177051</v>
      </c>
      <c r="L50" s="1458">
        <f t="shared" si="6"/>
        <v>305.10784713336648</v>
      </c>
      <c r="M50" s="1174">
        <v>47.829465351063334</v>
      </c>
      <c r="N50" s="1235">
        <v>257.27838178230314</v>
      </c>
      <c r="O50" s="1458">
        <f t="shared" si="7"/>
        <v>7512.2525759791333</v>
      </c>
      <c r="P50" s="1458">
        <f t="shared" si="8"/>
        <v>3021.4751917134577</v>
      </c>
      <c r="Q50" s="1459">
        <v>292.02697465257137</v>
      </c>
      <c r="R50" s="1459">
        <v>388.57101405038213</v>
      </c>
      <c r="S50" s="1459">
        <v>1301.7208435530733</v>
      </c>
      <c r="T50" s="1459">
        <v>156.29868113211597</v>
      </c>
      <c r="U50" s="1459">
        <v>6.6700282607956511</v>
      </c>
      <c r="V50" s="1459">
        <v>876.18765006451895</v>
      </c>
      <c r="W50" s="1458">
        <f t="shared" si="9"/>
        <v>4490.7773842656761</v>
      </c>
      <c r="X50" s="1174">
        <v>345.91048551837235</v>
      </c>
      <c r="Y50" s="1217">
        <v>4144.8668987473038</v>
      </c>
      <c r="Z50" s="173"/>
      <c r="AA50" s="1145">
        <f>+TableB2!L51/TableB2!$L$91</f>
        <v>6.5944404930818306E-3</v>
      </c>
      <c r="AB50" s="1145">
        <f t="shared" si="16"/>
        <v>6.5944404930818306E-3</v>
      </c>
      <c r="AC50" s="1145">
        <f t="shared" si="10"/>
        <v>1.5606363642188283E-2</v>
      </c>
      <c r="AD50" s="1145">
        <f t="shared" si="15"/>
        <v>6.5944404930818306E-3</v>
      </c>
      <c r="AE50" s="1145">
        <f t="shared" si="12"/>
        <v>2.5759516257936751E-2</v>
      </c>
      <c r="AF50" s="1145"/>
      <c r="AG50" s="1145">
        <f t="shared" si="17"/>
        <v>0</v>
      </c>
      <c r="AH50" s="1145">
        <f t="shared" si="2"/>
        <v>0</v>
      </c>
      <c r="AI50" s="1145">
        <f t="shared" si="18"/>
        <v>0</v>
      </c>
      <c r="AJ50" s="1145">
        <f t="shared" si="13"/>
        <v>0</v>
      </c>
    </row>
    <row r="51" spans="2:36" ht="14.25" customHeight="1" x14ac:dyDescent="0.2">
      <c r="B51" s="958"/>
      <c r="C51" s="1154" t="s">
        <v>71</v>
      </c>
      <c r="D51" s="1458">
        <f t="shared" si="4"/>
        <v>480.52267854928317</v>
      </c>
      <c r="E51" s="1458">
        <f t="shared" si="5"/>
        <v>324.17388126203565</v>
      </c>
      <c r="F51" s="1459">
        <v>17.627836693080003</v>
      </c>
      <c r="G51" s="1459">
        <v>0</v>
      </c>
      <c r="H51" s="1459">
        <v>0</v>
      </c>
      <c r="I51" s="1459">
        <v>101.03597923383451</v>
      </c>
      <c r="J51" s="1459">
        <v>1.441786750867013</v>
      </c>
      <c r="K51" s="1459">
        <v>204.06827858425413</v>
      </c>
      <c r="L51" s="1458">
        <f t="shared" si="6"/>
        <v>156.34879728724752</v>
      </c>
      <c r="M51" s="1174">
        <v>24.509626523181712</v>
      </c>
      <c r="N51" s="1235">
        <v>131.83917076406581</v>
      </c>
      <c r="O51" s="1458">
        <f t="shared" si="7"/>
        <v>3797.3843251764665</v>
      </c>
      <c r="P51" s="1458">
        <f t="shared" si="8"/>
        <v>1496.1401929408212</v>
      </c>
      <c r="Q51" s="1459">
        <v>51.34540213671584</v>
      </c>
      <c r="R51" s="1459">
        <v>7.0681403192429677</v>
      </c>
      <c r="S51" s="1459">
        <v>906.86215477941028</v>
      </c>
      <c r="T51" s="1459">
        <v>266.62098729051348</v>
      </c>
      <c r="U51" s="1459">
        <v>0.84698771565659059</v>
      </c>
      <c r="V51" s="1459">
        <v>263.39652069928212</v>
      </c>
      <c r="W51" s="1458">
        <f t="shared" si="9"/>
        <v>2301.2441322356453</v>
      </c>
      <c r="X51" s="1174">
        <v>177.25761198205154</v>
      </c>
      <c r="Y51" s="1217">
        <v>2123.9865202535939</v>
      </c>
      <c r="Z51" s="173"/>
      <c r="AA51" s="1145">
        <f>+TableB2!L52/TableB2!$L$91</f>
        <v>3.3792406506837243E-3</v>
      </c>
      <c r="AB51" s="1145">
        <f t="shared" si="16"/>
        <v>3.3792406506837243E-3</v>
      </c>
      <c r="AC51" s="1145">
        <f t="shared" si="10"/>
        <v>7.9972908216188725E-3</v>
      </c>
      <c r="AD51" s="1145">
        <f t="shared" si="15"/>
        <v>3.3792406506837243E-3</v>
      </c>
      <c r="AE51" s="1145">
        <f t="shared" si="12"/>
        <v>1.3200150122226298E-2</v>
      </c>
      <c r="AF51" s="1145"/>
      <c r="AG51" s="1145">
        <f t="shared" si="17"/>
        <v>0</v>
      </c>
      <c r="AH51" s="1145">
        <f t="shared" si="2"/>
        <v>0</v>
      </c>
      <c r="AI51" s="1145">
        <f t="shared" si="18"/>
        <v>0</v>
      </c>
      <c r="AJ51" s="1145">
        <f t="shared" si="13"/>
        <v>0</v>
      </c>
    </row>
    <row r="52" spans="2:36" ht="40" hidden="1" customHeight="1" x14ac:dyDescent="0.2">
      <c r="B52" s="958"/>
      <c r="C52" s="7" t="s">
        <v>72</v>
      </c>
      <c r="D52" s="299"/>
      <c r="E52" s="1206"/>
      <c r="F52" s="245"/>
      <c r="G52" s="245"/>
      <c r="H52" s="245"/>
      <c r="I52" s="13"/>
      <c r="J52" s="13"/>
      <c r="K52" s="13"/>
      <c r="L52" s="1207"/>
      <c r="M52" s="13"/>
      <c r="N52" s="632"/>
      <c r="O52" s="299"/>
      <c r="P52" s="1206"/>
      <c r="Q52" s="245"/>
      <c r="R52" s="245"/>
      <c r="S52" s="245"/>
      <c r="T52" s="13"/>
      <c r="U52" s="13"/>
      <c r="V52" s="13"/>
      <c r="W52" s="1207"/>
      <c r="X52" s="13"/>
      <c r="Y52" s="14"/>
      <c r="Z52" s="173"/>
      <c r="AA52" s="1145"/>
      <c r="AB52" s="1145"/>
      <c r="AC52" s="1145">
        <f t="shared" si="10"/>
        <v>0</v>
      </c>
      <c r="AD52" s="1145"/>
      <c r="AE52" s="1145">
        <f t="shared" si="12"/>
        <v>0</v>
      </c>
      <c r="AF52" s="1145"/>
      <c r="AG52" s="1145"/>
      <c r="AH52" s="1145">
        <f t="shared" si="2"/>
        <v>0</v>
      </c>
      <c r="AI52" s="1145"/>
      <c r="AJ52" s="1145">
        <f t="shared" si="13"/>
        <v>0</v>
      </c>
    </row>
    <row r="53" spans="2:36" ht="14.25" hidden="1" customHeight="1" x14ac:dyDescent="0.2">
      <c r="B53" s="958"/>
      <c r="C53" s="1154" t="s">
        <v>73</v>
      </c>
      <c r="D53" s="1465"/>
      <c r="E53" s="1206"/>
      <c r="F53" s="1159"/>
      <c r="G53" s="1159"/>
      <c r="H53" s="1159"/>
      <c r="I53" s="1174"/>
      <c r="J53" s="1174"/>
      <c r="K53" s="1174"/>
      <c r="L53" s="1204"/>
      <c r="M53" s="1174"/>
      <c r="N53" s="1235"/>
      <c r="O53" s="1465"/>
      <c r="P53" s="1206"/>
      <c r="Q53" s="1159"/>
      <c r="R53" s="1159"/>
      <c r="S53" s="1159"/>
      <c r="T53" s="1174"/>
      <c r="U53" s="1174"/>
      <c r="V53" s="1174"/>
      <c r="W53" s="1204"/>
      <c r="X53" s="1174"/>
      <c r="Y53" s="1217"/>
      <c r="Z53" s="173"/>
      <c r="AA53" s="1145"/>
      <c r="AB53" s="1145"/>
      <c r="AC53" s="1145">
        <f t="shared" si="10"/>
        <v>0</v>
      </c>
      <c r="AD53" s="1145"/>
      <c r="AE53" s="1145">
        <f t="shared" si="12"/>
        <v>0</v>
      </c>
      <c r="AF53" s="1145"/>
      <c r="AG53" s="1145"/>
      <c r="AH53" s="1145">
        <f t="shared" si="2"/>
        <v>0</v>
      </c>
      <c r="AI53" s="1145"/>
      <c r="AJ53" s="1145">
        <f t="shared" si="13"/>
        <v>0</v>
      </c>
    </row>
    <row r="54" spans="2:36" ht="14.25" hidden="1" customHeight="1" x14ac:dyDescent="0.2">
      <c r="B54" s="958"/>
      <c r="C54" s="1154" t="s">
        <v>74</v>
      </c>
      <c r="D54" s="1465"/>
      <c r="E54" s="1206"/>
      <c r="F54" s="1159"/>
      <c r="G54" s="1159"/>
      <c r="H54" s="1159"/>
      <c r="I54" s="1174"/>
      <c r="J54" s="1174"/>
      <c r="K54" s="1174"/>
      <c r="L54" s="1204"/>
      <c r="M54" s="1174"/>
      <c r="N54" s="1235"/>
      <c r="O54" s="1465"/>
      <c r="P54" s="1206"/>
      <c r="Q54" s="1159"/>
      <c r="R54" s="1159"/>
      <c r="S54" s="1159"/>
      <c r="T54" s="1174"/>
      <c r="U54" s="1174"/>
      <c r="V54" s="1174"/>
      <c r="W54" s="1204"/>
      <c r="X54" s="1174"/>
      <c r="Y54" s="1217"/>
      <c r="Z54" s="173"/>
      <c r="AA54" s="1145"/>
      <c r="AB54" s="1145"/>
      <c r="AC54" s="1145">
        <f t="shared" si="10"/>
        <v>0</v>
      </c>
      <c r="AD54" s="1145"/>
      <c r="AE54" s="1145">
        <f t="shared" si="12"/>
        <v>0</v>
      </c>
      <c r="AF54" s="1145"/>
      <c r="AG54" s="1145"/>
      <c r="AH54" s="1145">
        <f t="shared" si="2"/>
        <v>0</v>
      </c>
      <c r="AI54" s="1145"/>
      <c r="AJ54" s="1145">
        <f t="shared" si="13"/>
        <v>0</v>
      </c>
    </row>
    <row r="55" spans="2:36" ht="14.25" hidden="1" customHeight="1" x14ac:dyDescent="0.2">
      <c r="B55" s="958"/>
      <c r="C55" s="1154" t="str">
        <f>+TableA1!A56</f>
        <v>Antigua and Barbuda</v>
      </c>
      <c r="D55" s="1465"/>
      <c r="E55" s="1206"/>
      <c r="F55" s="1159"/>
      <c r="G55" s="1159"/>
      <c r="H55" s="1159"/>
      <c r="I55" s="1174"/>
      <c r="J55" s="1174"/>
      <c r="K55" s="1174"/>
      <c r="L55" s="1204"/>
      <c r="M55" s="1174"/>
      <c r="N55" s="1235"/>
      <c r="O55" s="1465"/>
      <c r="P55" s="1206"/>
      <c r="Q55" s="1159"/>
      <c r="R55" s="1159"/>
      <c r="S55" s="1159"/>
      <c r="T55" s="1174"/>
      <c r="U55" s="1174"/>
      <c r="V55" s="1174"/>
      <c r="W55" s="1204"/>
      <c r="X55" s="1174"/>
      <c r="Y55" s="1217"/>
      <c r="Z55" s="173"/>
      <c r="AA55" s="1145"/>
      <c r="AB55" s="1145"/>
      <c r="AC55" s="1145">
        <f t="shared" si="10"/>
        <v>0</v>
      </c>
      <c r="AD55" s="1145"/>
      <c r="AE55" s="1145">
        <f t="shared" si="12"/>
        <v>0</v>
      </c>
      <c r="AF55" s="1145"/>
      <c r="AG55" s="1145"/>
      <c r="AH55" s="1145">
        <f t="shared" si="2"/>
        <v>0</v>
      </c>
      <c r="AI55" s="1145"/>
      <c r="AJ55" s="1145">
        <f t="shared" si="13"/>
        <v>0</v>
      </c>
    </row>
    <row r="56" spans="2:36" ht="14.25" hidden="1" customHeight="1" x14ac:dyDescent="0.2">
      <c r="B56" s="958"/>
      <c r="C56" s="1154" t="s">
        <v>76</v>
      </c>
      <c r="D56" s="1465"/>
      <c r="E56" s="1206"/>
      <c r="F56" s="1159"/>
      <c r="G56" s="1159"/>
      <c r="H56" s="1159"/>
      <c r="I56" s="1174"/>
      <c r="J56" s="1174"/>
      <c r="K56" s="1174"/>
      <c r="L56" s="1204"/>
      <c r="M56" s="1174"/>
      <c r="N56" s="1235"/>
      <c r="O56" s="1465"/>
      <c r="P56" s="1206"/>
      <c r="Q56" s="1159"/>
      <c r="R56" s="1159"/>
      <c r="S56" s="1159"/>
      <c r="T56" s="1174"/>
      <c r="U56" s="1174"/>
      <c r="V56" s="1174"/>
      <c r="W56" s="1204"/>
      <c r="X56" s="1174"/>
      <c r="Y56" s="1217"/>
      <c r="Z56" s="173"/>
      <c r="AA56" s="1145"/>
      <c r="AB56" s="1145"/>
      <c r="AC56" s="1145">
        <f t="shared" si="10"/>
        <v>0</v>
      </c>
      <c r="AD56" s="1145"/>
      <c r="AE56" s="1145">
        <f t="shared" si="12"/>
        <v>0</v>
      </c>
      <c r="AF56" s="1145"/>
      <c r="AG56" s="1145"/>
      <c r="AH56" s="1145">
        <f t="shared" si="2"/>
        <v>0</v>
      </c>
      <c r="AI56" s="1145"/>
      <c r="AJ56" s="1145">
        <f t="shared" si="13"/>
        <v>0</v>
      </c>
    </row>
    <row r="57" spans="2:36" ht="14.25" hidden="1" customHeight="1" x14ac:dyDescent="0.2">
      <c r="B57" s="958"/>
      <c r="C57" s="1154" t="s">
        <v>152</v>
      </c>
      <c r="D57" s="1465"/>
      <c r="E57" s="1206"/>
      <c r="F57" s="1159"/>
      <c r="G57" s="1159"/>
      <c r="H57" s="1159"/>
      <c r="I57" s="1174"/>
      <c r="J57" s="1174"/>
      <c r="K57" s="1174"/>
      <c r="L57" s="1204"/>
      <c r="M57" s="1174"/>
      <c r="N57" s="1235"/>
      <c r="O57" s="1465"/>
      <c r="P57" s="1206"/>
      <c r="Q57" s="1159"/>
      <c r="R57" s="1159"/>
      <c r="S57" s="1159"/>
      <c r="T57" s="1174"/>
      <c r="U57" s="1174"/>
      <c r="V57" s="1174"/>
      <c r="W57" s="1204"/>
      <c r="X57" s="1174"/>
      <c r="Y57" s="1217"/>
      <c r="Z57" s="173"/>
      <c r="AA57" s="1145"/>
      <c r="AB57" s="1145"/>
      <c r="AC57" s="1145">
        <f t="shared" si="10"/>
        <v>0</v>
      </c>
      <c r="AD57" s="1145"/>
      <c r="AE57" s="1145">
        <f t="shared" si="12"/>
        <v>0</v>
      </c>
      <c r="AF57" s="1145"/>
      <c r="AG57" s="1145"/>
      <c r="AH57" s="1145">
        <f t="shared" si="2"/>
        <v>0</v>
      </c>
      <c r="AI57" s="1145"/>
      <c r="AJ57" s="1145">
        <f t="shared" si="13"/>
        <v>0</v>
      </c>
    </row>
    <row r="58" spans="2:36" ht="14.25" hidden="1" customHeight="1" x14ac:dyDescent="0.2">
      <c r="B58" s="958"/>
      <c r="C58" s="1154" t="s">
        <v>78</v>
      </c>
      <c r="D58" s="1465"/>
      <c r="E58" s="1206"/>
      <c r="F58" s="1159"/>
      <c r="G58" s="1159"/>
      <c r="H58" s="1159"/>
      <c r="I58" s="1174"/>
      <c r="J58" s="1174"/>
      <c r="K58" s="1174"/>
      <c r="L58" s="1204"/>
      <c r="M58" s="1174"/>
      <c r="N58" s="1235"/>
      <c r="O58" s="1465"/>
      <c r="P58" s="1206"/>
      <c r="Q58" s="1159"/>
      <c r="R58" s="1159"/>
      <c r="S58" s="1159"/>
      <c r="T58" s="1174"/>
      <c r="U58" s="1174"/>
      <c r="V58" s="1174"/>
      <c r="W58" s="1204"/>
      <c r="X58" s="1174"/>
      <c r="Y58" s="1217"/>
      <c r="Z58" s="173"/>
      <c r="AA58" s="1145"/>
      <c r="AB58" s="1145"/>
      <c r="AC58" s="1145">
        <f t="shared" si="10"/>
        <v>0</v>
      </c>
      <c r="AD58" s="1145"/>
      <c r="AE58" s="1145">
        <f t="shared" si="12"/>
        <v>0</v>
      </c>
      <c r="AF58" s="1145"/>
      <c r="AG58" s="1145"/>
      <c r="AH58" s="1145">
        <f t="shared" si="2"/>
        <v>0</v>
      </c>
      <c r="AI58" s="1145"/>
      <c r="AJ58" s="1145">
        <f t="shared" si="13"/>
        <v>0</v>
      </c>
    </row>
    <row r="59" spans="2:36" ht="14.25" hidden="1" customHeight="1" x14ac:dyDescent="0.2">
      <c r="B59" s="958"/>
      <c r="C59" s="1154" t="str">
        <f>+TableA1!A60</f>
        <v>Barbados</v>
      </c>
      <c r="D59" s="1465"/>
      <c r="E59" s="1206"/>
      <c r="F59" s="1159"/>
      <c r="G59" s="1159"/>
      <c r="H59" s="1159"/>
      <c r="I59" s="1174"/>
      <c r="J59" s="1174"/>
      <c r="K59" s="1174"/>
      <c r="L59" s="1204"/>
      <c r="M59" s="1174"/>
      <c r="N59" s="1235"/>
      <c r="O59" s="1465"/>
      <c r="P59" s="1206"/>
      <c r="Q59" s="1159"/>
      <c r="R59" s="1159"/>
      <c r="S59" s="1159"/>
      <c r="T59" s="1174"/>
      <c r="U59" s="1174"/>
      <c r="V59" s="1174"/>
      <c r="W59" s="1204"/>
      <c r="X59" s="1174"/>
      <c r="Y59" s="1217"/>
      <c r="Z59" s="173"/>
      <c r="AA59" s="1145"/>
      <c r="AB59" s="1145"/>
      <c r="AC59" s="1145">
        <f t="shared" si="10"/>
        <v>0</v>
      </c>
      <c r="AD59" s="1145"/>
      <c r="AE59" s="1145">
        <f t="shared" si="12"/>
        <v>0</v>
      </c>
      <c r="AF59" s="1145"/>
      <c r="AG59" s="1145"/>
      <c r="AH59" s="1145">
        <f t="shared" si="2"/>
        <v>0</v>
      </c>
      <c r="AI59" s="1145"/>
      <c r="AJ59" s="1145">
        <f t="shared" si="13"/>
        <v>0</v>
      </c>
    </row>
    <row r="60" spans="2:36" ht="14.25" hidden="1" customHeight="1" x14ac:dyDescent="0.2">
      <c r="B60" s="958"/>
      <c r="C60" s="1154" t="s">
        <v>80</v>
      </c>
      <c r="D60" s="1465"/>
      <c r="E60" s="1206"/>
      <c r="F60" s="1159"/>
      <c r="G60" s="1159"/>
      <c r="H60" s="1159"/>
      <c r="I60" s="1174"/>
      <c r="J60" s="1174"/>
      <c r="K60" s="1174"/>
      <c r="L60" s="1204"/>
      <c r="M60" s="1174"/>
      <c r="N60" s="1235"/>
      <c r="O60" s="1465"/>
      <c r="P60" s="1206"/>
      <c r="Q60" s="1159"/>
      <c r="R60" s="1159"/>
      <c r="S60" s="1159"/>
      <c r="T60" s="1174"/>
      <c r="U60" s="1174"/>
      <c r="V60" s="1174"/>
      <c r="W60" s="1204"/>
      <c r="X60" s="1174"/>
      <c r="Y60" s="1217"/>
      <c r="Z60" s="173"/>
      <c r="AA60" s="1145"/>
      <c r="AB60" s="1145"/>
      <c r="AC60" s="1145">
        <f t="shared" si="10"/>
        <v>0</v>
      </c>
      <c r="AD60" s="1145"/>
      <c r="AE60" s="1145">
        <f t="shared" si="12"/>
        <v>0</v>
      </c>
      <c r="AF60" s="1145"/>
      <c r="AG60" s="1145"/>
      <c r="AH60" s="1145">
        <f t="shared" si="2"/>
        <v>0</v>
      </c>
      <c r="AI60" s="1145"/>
      <c r="AJ60" s="1145">
        <f t="shared" si="13"/>
        <v>0</v>
      </c>
    </row>
    <row r="61" spans="2:36" ht="14.25" hidden="1" customHeight="1" x14ac:dyDescent="0.2">
      <c r="B61" s="958"/>
      <c r="C61" s="1154" t="s">
        <v>81</v>
      </c>
      <c r="D61" s="1465"/>
      <c r="E61" s="1206"/>
      <c r="F61" s="1159"/>
      <c r="G61" s="1159"/>
      <c r="H61" s="1159"/>
      <c r="I61" s="1174"/>
      <c r="J61" s="1174"/>
      <c r="K61" s="1174"/>
      <c r="L61" s="1204"/>
      <c r="M61" s="1174"/>
      <c r="N61" s="1235"/>
      <c r="O61" s="1465"/>
      <c r="P61" s="1206"/>
      <c r="Q61" s="1159"/>
      <c r="R61" s="1159"/>
      <c r="S61" s="1159"/>
      <c r="T61" s="1174"/>
      <c r="U61" s="1174"/>
      <c r="V61" s="1174"/>
      <c r="W61" s="1204"/>
      <c r="X61" s="1174"/>
      <c r="Y61" s="1217"/>
      <c r="Z61" s="173"/>
      <c r="AA61" s="1145"/>
      <c r="AB61" s="1145"/>
      <c r="AC61" s="1145">
        <f t="shared" si="10"/>
        <v>0</v>
      </c>
      <c r="AD61" s="1145"/>
      <c r="AE61" s="1145">
        <f t="shared" si="12"/>
        <v>0</v>
      </c>
      <c r="AF61" s="1145"/>
      <c r="AG61" s="1145"/>
      <c r="AH61" s="1145">
        <f t="shared" si="2"/>
        <v>0</v>
      </c>
      <c r="AI61" s="1145"/>
      <c r="AJ61" s="1145">
        <f t="shared" si="13"/>
        <v>0</v>
      </c>
    </row>
    <row r="62" spans="2:36" ht="14.25" hidden="1" customHeight="1" x14ac:dyDescent="0.2">
      <c r="B62" s="958"/>
      <c r="C62" s="1154" t="s">
        <v>82</v>
      </c>
      <c r="D62" s="1465"/>
      <c r="E62" s="1206"/>
      <c r="F62" s="1159"/>
      <c r="G62" s="1159"/>
      <c r="H62" s="1159"/>
      <c r="I62" s="1174"/>
      <c r="J62" s="1174"/>
      <c r="K62" s="1174"/>
      <c r="L62" s="1204"/>
      <c r="M62" s="1174"/>
      <c r="N62" s="1235"/>
      <c r="O62" s="1465"/>
      <c r="P62" s="1206"/>
      <c r="Q62" s="1159"/>
      <c r="R62" s="1159"/>
      <c r="S62" s="1159"/>
      <c r="T62" s="1174"/>
      <c r="U62" s="1174"/>
      <c r="V62" s="1174"/>
      <c r="W62" s="1204"/>
      <c r="X62" s="1174"/>
      <c r="Y62" s="1217"/>
      <c r="Z62" s="173"/>
      <c r="AA62" s="1145"/>
      <c r="AB62" s="1145"/>
      <c r="AC62" s="1145">
        <f t="shared" si="10"/>
        <v>0</v>
      </c>
      <c r="AD62" s="1145"/>
      <c r="AE62" s="1145">
        <f t="shared" si="12"/>
        <v>0</v>
      </c>
      <c r="AF62" s="1145"/>
      <c r="AG62" s="1145"/>
      <c r="AH62" s="1145">
        <f t="shared" si="2"/>
        <v>0</v>
      </c>
      <c r="AI62" s="1145"/>
      <c r="AJ62" s="1145">
        <f t="shared" si="13"/>
        <v>0</v>
      </c>
    </row>
    <row r="63" spans="2:36" ht="14.25" hidden="1" customHeight="1" x14ac:dyDescent="0.2">
      <c r="B63" s="958"/>
      <c r="C63" s="1154" t="s">
        <v>153</v>
      </c>
      <c r="D63" s="1465"/>
      <c r="E63" s="1206"/>
      <c r="F63" s="1159"/>
      <c r="G63" s="1159"/>
      <c r="H63" s="1159"/>
      <c r="I63" s="1174"/>
      <c r="J63" s="1174"/>
      <c r="K63" s="1174"/>
      <c r="L63" s="1204"/>
      <c r="M63" s="1174"/>
      <c r="N63" s="1235"/>
      <c r="O63" s="1465"/>
      <c r="P63" s="1206"/>
      <c r="Q63" s="1159"/>
      <c r="R63" s="1159"/>
      <c r="S63" s="1159"/>
      <c r="T63" s="1174"/>
      <c r="U63" s="1174"/>
      <c r="V63" s="1174"/>
      <c r="W63" s="1204"/>
      <c r="X63" s="1174"/>
      <c r="Y63" s="1217"/>
      <c r="Z63" s="173"/>
      <c r="AA63" s="1145"/>
      <c r="AB63" s="1145"/>
      <c r="AC63" s="1145">
        <f t="shared" si="10"/>
        <v>0</v>
      </c>
      <c r="AD63" s="1145"/>
      <c r="AE63" s="1145">
        <f t="shared" si="12"/>
        <v>0</v>
      </c>
      <c r="AF63" s="1145"/>
      <c r="AG63" s="1145"/>
      <c r="AH63" s="1145">
        <f t="shared" si="2"/>
        <v>0</v>
      </c>
      <c r="AI63" s="1145"/>
      <c r="AJ63" s="1145">
        <f t="shared" si="13"/>
        <v>0</v>
      </c>
    </row>
    <row r="64" spans="2:36" ht="14.25" hidden="1" customHeight="1" x14ac:dyDescent="0.2">
      <c r="B64" s="958"/>
      <c r="C64" s="113" t="s">
        <v>84</v>
      </c>
      <c r="D64" s="633"/>
      <c r="E64" s="1206"/>
      <c r="F64" s="1159"/>
      <c r="G64" s="1159"/>
      <c r="H64" s="1159"/>
      <c r="I64" s="1174"/>
      <c r="J64" s="1174"/>
      <c r="K64" s="1174"/>
      <c r="L64" s="1204"/>
      <c r="M64" s="1174"/>
      <c r="N64" s="1235"/>
      <c r="O64" s="633"/>
      <c r="P64" s="1206"/>
      <c r="Q64" s="1159"/>
      <c r="R64" s="1159"/>
      <c r="S64" s="1159"/>
      <c r="T64" s="1174"/>
      <c r="U64" s="1174"/>
      <c r="V64" s="1174"/>
      <c r="W64" s="1204"/>
      <c r="X64" s="1174"/>
      <c r="Y64" s="1217"/>
      <c r="Z64" s="173"/>
      <c r="AA64" s="1145"/>
      <c r="AB64" s="1145"/>
      <c r="AC64" s="1145">
        <f t="shared" si="10"/>
        <v>0</v>
      </c>
      <c r="AD64" s="1145"/>
      <c r="AE64" s="1145">
        <f t="shared" si="12"/>
        <v>0</v>
      </c>
      <c r="AF64" s="1145"/>
      <c r="AG64" s="1145"/>
      <c r="AH64" s="1145">
        <f t="shared" si="2"/>
        <v>0</v>
      </c>
      <c r="AI64" s="1145"/>
      <c r="AJ64" s="1145">
        <f t="shared" si="13"/>
        <v>0</v>
      </c>
    </row>
    <row r="65" spans="3:36" ht="14.25" hidden="1" customHeight="1" x14ac:dyDescent="0.2">
      <c r="C65" s="1154" t="s">
        <v>85</v>
      </c>
      <c r="D65" s="1465"/>
      <c r="E65" s="1206"/>
      <c r="F65" s="1159"/>
      <c r="G65" s="1159"/>
      <c r="H65" s="1159"/>
      <c r="I65" s="1174"/>
      <c r="J65" s="1174"/>
      <c r="K65" s="1174"/>
      <c r="L65" s="1204"/>
      <c r="M65" s="1174"/>
      <c r="N65" s="1235"/>
      <c r="O65" s="1465"/>
      <c r="P65" s="1206"/>
      <c r="Q65" s="1159"/>
      <c r="R65" s="1159"/>
      <c r="S65" s="1159"/>
      <c r="T65" s="1174"/>
      <c r="U65" s="1174"/>
      <c r="V65" s="1174"/>
      <c r="W65" s="1204"/>
      <c r="X65" s="1174"/>
      <c r="Y65" s="1217"/>
      <c r="Z65" s="173"/>
      <c r="AA65" s="1145"/>
      <c r="AB65" s="1145"/>
      <c r="AC65" s="1145">
        <f t="shared" si="10"/>
        <v>0</v>
      </c>
      <c r="AD65" s="1145"/>
      <c r="AE65" s="1145">
        <f t="shared" si="12"/>
        <v>0</v>
      </c>
      <c r="AF65" s="1145"/>
      <c r="AG65" s="1145"/>
      <c r="AH65" s="1145">
        <f t="shared" si="2"/>
        <v>0</v>
      </c>
      <c r="AI65" s="1145"/>
      <c r="AJ65" s="1145">
        <f t="shared" si="13"/>
        <v>0</v>
      </c>
    </row>
    <row r="66" spans="3:36" ht="14.25" hidden="1" customHeight="1" x14ac:dyDescent="0.2">
      <c r="C66" s="1154" t="str">
        <f>+TableA1!A67</f>
        <v>Cyprus</v>
      </c>
      <c r="D66" s="1465"/>
      <c r="E66" s="1206"/>
      <c r="F66" s="1159"/>
      <c r="G66" s="1159"/>
      <c r="H66" s="1159"/>
      <c r="I66" s="1174"/>
      <c r="J66" s="1174"/>
      <c r="K66" s="1174"/>
      <c r="L66" s="1204"/>
      <c r="M66" s="1174"/>
      <c r="N66" s="1235"/>
      <c r="O66" s="1465"/>
      <c r="P66" s="1206"/>
      <c r="Q66" s="1159"/>
      <c r="R66" s="1159"/>
      <c r="S66" s="1159"/>
      <c r="T66" s="1174"/>
      <c r="U66" s="1174"/>
      <c r="V66" s="1174"/>
      <c r="W66" s="1204"/>
      <c r="X66" s="1174"/>
      <c r="Y66" s="1217"/>
      <c r="Z66" s="173"/>
      <c r="AA66" s="1145"/>
      <c r="AB66" s="1145"/>
      <c r="AC66" s="1145">
        <f t="shared" si="10"/>
        <v>0</v>
      </c>
      <c r="AD66" s="1145"/>
      <c r="AE66" s="1145">
        <f t="shared" si="12"/>
        <v>0</v>
      </c>
      <c r="AF66" s="1145"/>
      <c r="AG66" s="1145"/>
      <c r="AH66" s="1145">
        <f t="shared" si="2"/>
        <v>0</v>
      </c>
      <c r="AI66" s="1145"/>
      <c r="AJ66" s="1145">
        <f t="shared" si="13"/>
        <v>0</v>
      </c>
    </row>
    <row r="67" spans="3:36" ht="14.25" hidden="1" customHeight="1" x14ac:dyDescent="0.2">
      <c r="C67" s="1154" t="s">
        <v>87</v>
      </c>
      <c r="D67" s="1465"/>
      <c r="E67" s="1206"/>
      <c r="F67" s="1159"/>
      <c r="G67" s="1159"/>
      <c r="H67" s="1159"/>
      <c r="I67" s="1174"/>
      <c r="J67" s="1174"/>
      <c r="K67" s="1174"/>
      <c r="L67" s="1204"/>
      <c r="M67" s="1174"/>
      <c r="N67" s="1235"/>
      <c r="O67" s="1465"/>
      <c r="P67" s="1206"/>
      <c r="Q67" s="1159"/>
      <c r="R67" s="1159"/>
      <c r="S67" s="1159"/>
      <c r="T67" s="1174"/>
      <c r="U67" s="1174"/>
      <c r="V67" s="1174"/>
      <c r="W67" s="1204"/>
      <c r="X67" s="1174"/>
      <c r="Y67" s="1217"/>
      <c r="Z67" s="173"/>
      <c r="AA67" s="1145"/>
      <c r="AB67" s="1145"/>
      <c r="AC67" s="1145">
        <f t="shared" si="10"/>
        <v>0</v>
      </c>
      <c r="AD67" s="1145"/>
      <c r="AE67" s="1145">
        <f t="shared" si="12"/>
        <v>0</v>
      </c>
      <c r="AF67" s="1145"/>
      <c r="AG67" s="1145"/>
      <c r="AH67" s="1145">
        <f t="shared" si="2"/>
        <v>0</v>
      </c>
      <c r="AI67" s="1145"/>
      <c r="AJ67" s="1145">
        <f t="shared" si="13"/>
        <v>0</v>
      </c>
    </row>
    <row r="68" spans="3:36" ht="14.25" hidden="1" customHeight="1" x14ac:dyDescent="0.2">
      <c r="C68" s="1154" t="str">
        <f>+TableA1!A69</f>
        <v>Grenada</v>
      </c>
      <c r="D68" s="1465"/>
      <c r="E68" s="1206"/>
      <c r="F68" s="1159"/>
      <c r="G68" s="1159"/>
      <c r="H68" s="1159"/>
      <c r="I68" s="1174"/>
      <c r="J68" s="1174"/>
      <c r="K68" s="1174"/>
      <c r="L68" s="1204"/>
      <c r="M68" s="1174"/>
      <c r="N68" s="1235"/>
      <c r="O68" s="1465"/>
      <c r="P68" s="1206"/>
      <c r="Q68" s="1159"/>
      <c r="R68" s="1159"/>
      <c r="S68" s="1159"/>
      <c r="T68" s="1174"/>
      <c r="U68" s="1174"/>
      <c r="V68" s="1174"/>
      <c r="W68" s="1204"/>
      <c r="X68" s="1174"/>
      <c r="Y68" s="1217"/>
      <c r="Z68" s="173"/>
      <c r="AA68" s="1145"/>
      <c r="AB68" s="1145"/>
      <c r="AC68" s="1145">
        <f t="shared" si="10"/>
        <v>0</v>
      </c>
      <c r="AD68" s="1145"/>
      <c r="AE68" s="1145">
        <f t="shared" si="12"/>
        <v>0</v>
      </c>
      <c r="AF68" s="1145"/>
      <c r="AG68" s="1145"/>
      <c r="AH68" s="1145">
        <f t="shared" si="2"/>
        <v>0</v>
      </c>
      <c r="AI68" s="1145"/>
      <c r="AJ68" s="1145">
        <f t="shared" si="13"/>
        <v>0</v>
      </c>
    </row>
    <row r="69" spans="3:36" ht="14.25" hidden="1" customHeight="1" x14ac:dyDescent="0.2">
      <c r="C69" s="1154" t="s">
        <v>89</v>
      </c>
      <c r="D69" s="1465"/>
      <c r="E69" s="1206"/>
      <c r="F69" s="1159"/>
      <c r="G69" s="1159"/>
      <c r="H69" s="1159"/>
      <c r="I69" s="1174"/>
      <c r="J69" s="1174"/>
      <c r="K69" s="1174"/>
      <c r="L69" s="1204"/>
      <c r="M69" s="1174"/>
      <c r="N69" s="1235"/>
      <c r="O69" s="1465"/>
      <c r="P69" s="1206"/>
      <c r="Q69" s="1159"/>
      <c r="R69" s="1159"/>
      <c r="S69" s="1159"/>
      <c r="T69" s="1174"/>
      <c r="U69" s="1174"/>
      <c r="V69" s="1174"/>
      <c r="W69" s="1204"/>
      <c r="X69" s="1174"/>
      <c r="Y69" s="1217"/>
      <c r="Z69" s="173"/>
      <c r="AA69" s="1145"/>
      <c r="AB69" s="1145"/>
      <c r="AC69" s="1145">
        <f t="shared" si="10"/>
        <v>0</v>
      </c>
      <c r="AD69" s="1145"/>
      <c r="AE69" s="1145">
        <f t="shared" si="12"/>
        <v>0</v>
      </c>
      <c r="AF69" s="1145"/>
      <c r="AG69" s="1145"/>
      <c r="AH69" s="1145">
        <f t="shared" si="2"/>
        <v>0</v>
      </c>
      <c r="AI69" s="1145"/>
      <c r="AJ69" s="1145">
        <f t="shared" si="13"/>
        <v>0</v>
      </c>
    </row>
    <row r="70" spans="3:36" ht="14.25" hidden="1" customHeight="1" x14ac:dyDescent="0.2">
      <c r="C70" s="1154" t="s">
        <v>154</v>
      </c>
      <c r="D70" s="1465"/>
      <c r="E70" s="1206"/>
      <c r="F70" s="1159"/>
      <c r="G70" s="1159"/>
      <c r="H70" s="1159"/>
      <c r="I70" s="1174"/>
      <c r="J70" s="1174"/>
      <c r="K70" s="1174"/>
      <c r="L70" s="1204"/>
      <c r="M70" s="1174"/>
      <c r="N70" s="1235"/>
      <c r="O70" s="1465"/>
      <c r="P70" s="1206"/>
      <c r="Q70" s="1159"/>
      <c r="R70" s="1159"/>
      <c r="S70" s="1159"/>
      <c r="T70" s="1174"/>
      <c r="U70" s="1174"/>
      <c r="V70" s="1174"/>
      <c r="W70" s="1204"/>
      <c r="X70" s="1174"/>
      <c r="Y70" s="1217"/>
      <c r="Z70" s="173"/>
      <c r="AA70" s="1145"/>
      <c r="AB70" s="1145"/>
      <c r="AC70" s="1145">
        <f t="shared" si="10"/>
        <v>0</v>
      </c>
      <c r="AD70" s="1145"/>
      <c r="AE70" s="1145">
        <f t="shared" si="12"/>
        <v>0</v>
      </c>
      <c r="AF70" s="1145"/>
      <c r="AG70" s="1145"/>
      <c r="AH70" s="1145">
        <f t="shared" si="2"/>
        <v>0</v>
      </c>
      <c r="AI70" s="1145"/>
      <c r="AJ70" s="1145">
        <f t="shared" si="13"/>
        <v>0</v>
      </c>
    </row>
    <row r="71" spans="3:36" ht="14.25" hidden="1" customHeight="1" x14ac:dyDescent="0.2">
      <c r="C71" s="1154" t="s">
        <v>91</v>
      </c>
      <c r="D71" s="1465"/>
      <c r="E71" s="1206"/>
      <c r="F71" s="1159"/>
      <c r="G71" s="1159"/>
      <c r="H71" s="1159"/>
      <c r="I71" s="1174"/>
      <c r="J71" s="1174"/>
      <c r="K71" s="1174"/>
      <c r="L71" s="1204"/>
      <c r="M71" s="1174"/>
      <c r="N71" s="1235"/>
      <c r="O71" s="1465"/>
      <c r="P71" s="1206"/>
      <c r="Q71" s="1159"/>
      <c r="R71" s="1159"/>
      <c r="S71" s="1159"/>
      <c r="T71" s="1174"/>
      <c r="U71" s="1174"/>
      <c r="V71" s="1174"/>
      <c r="W71" s="1204"/>
      <c r="X71" s="1174"/>
      <c r="Y71" s="1217"/>
      <c r="Z71" s="173"/>
      <c r="AA71" s="1145"/>
      <c r="AB71" s="1145"/>
      <c r="AC71" s="1145">
        <f t="shared" si="10"/>
        <v>0</v>
      </c>
      <c r="AD71" s="1145"/>
      <c r="AE71" s="1145">
        <f t="shared" si="12"/>
        <v>0</v>
      </c>
      <c r="AF71" s="1145"/>
      <c r="AG71" s="1145"/>
      <c r="AH71" s="1145">
        <f t="shared" si="2"/>
        <v>0</v>
      </c>
      <c r="AI71" s="1145"/>
      <c r="AJ71" s="1145">
        <f t="shared" si="13"/>
        <v>0</v>
      </c>
    </row>
    <row r="72" spans="3:36" ht="14.25" hidden="1" customHeight="1" x14ac:dyDescent="0.2">
      <c r="C72" s="1154" t="s">
        <v>92</v>
      </c>
      <c r="D72" s="1465"/>
      <c r="E72" s="1206"/>
      <c r="F72" s="1159"/>
      <c r="G72" s="1159"/>
      <c r="H72" s="1159"/>
      <c r="I72" s="1174"/>
      <c r="J72" s="1174"/>
      <c r="K72" s="1174"/>
      <c r="L72" s="1204"/>
      <c r="M72" s="1174"/>
      <c r="N72" s="1235"/>
      <c r="O72" s="1465"/>
      <c r="P72" s="1206"/>
      <c r="Q72" s="1159"/>
      <c r="R72" s="1159"/>
      <c r="S72" s="1159"/>
      <c r="T72" s="1174"/>
      <c r="U72" s="1174"/>
      <c r="V72" s="1174"/>
      <c r="W72" s="1204"/>
      <c r="X72" s="1174"/>
      <c r="Y72" s="1217"/>
      <c r="Z72" s="173"/>
      <c r="AA72" s="1145"/>
      <c r="AB72" s="1145"/>
      <c r="AC72" s="1145">
        <f t="shared" si="10"/>
        <v>0</v>
      </c>
      <c r="AD72" s="1145"/>
      <c r="AE72" s="1145">
        <f t="shared" si="12"/>
        <v>0</v>
      </c>
      <c r="AF72" s="1145"/>
      <c r="AG72" s="1145"/>
      <c r="AH72" s="1145">
        <f t="shared" si="2"/>
        <v>0</v>
      </c>
      <c r="AI72" s="1145"/>
      <c r="AJ72" s="1145">
        <f t="shared" si="13"/>
        <v>0</v>
      </c>
    </row>
    <row r="73" spans="3:36" ht="14.25" hidden="1" customHeight="1" x14ac:dyDescent="0.2">
      <c r="C73" s="1154" t="s">
        <v>93</v>
      </c>
      <c r="D73" s="1465"/>
      <c r="E73" s="1206"/>
      <c r="F73" s="1159"/>
      <c r="G73" s="1159"/>
      <c r="H73" s="1159"/>
      <c r="I73" s="1174"/>
      <c r="J73" s="1174"/>
      <c r="K73" s="1174"/>
      <c r="L73" s="1204"/>
      <c r="M73" s="1174"/>
      <c r="N73" s="1235"/>
      <c r="O73" s="1465"/>
      <c r="P73" s="1206"/>
      <c r="Q73" s="1159"/>
      <c r="R73" s="1159"/>
      <c r="S73" s="1159"/>
      <c r="T73" s="1174"/>
      <c r="U73" s="1174"/>
      <c r="V73" s="1174"/>
      <c r="W73" s="1204"/>
      <c r="X73" s="1174"/>
      <c r="Y73" s="1217"/>
      <c r="Z73" s="173"/>
      <c r="AA73" s="1145"/>
      <c r="AB73" s="1145"/>
      <c r="AC73" s="1145">
        <f t="shared" si="10"/>
        <v>0</v>
      </c>
      <c r="AD73" s="1145"/>
      <c r="AE73" s="1145">
        <f t="shared" si="12"/>
        <v>0</v>
      </c>
      <c r="AF73" s="1145"/>
      <c r="AG73" s="1145"/>
      <c r="AH73" s="1145">
        <f t="shared" ref="AH73:AH88" si="19">+AG73/$AG$90</f>
        <v>0</v>
      </c>
      <c r="AI73" s="1145"/>
      <c r="AJ73" s="1145">
        <f t="shared" si="13"/>
        <v>0</v>
      </c>
    </row>
    <row r="74" spans="3:36" ht="14.25" hidden="1" customHeight="1" x14ac:dyDescent="0.2">
      <c r="C74" s="1154" t="s">
        <v>94</v>
      </c>
      <c r="D74" s="1465"/>
      <c r="E74" s="1206"/>
      <c r="F74" s="1159"/>
      <c r="G74" s="1159"/>
      <c r="H74" s="1159"/>
      <c r="I74" s="1174"/>
      <c r="J74" s="1174"/>
      <c r="K74" s="1174"/>
      <c r="L74" s="1204"/>
      <c r="M74" s="1174"/>
      <c r="N74" s="1235"/>
      <c r="O74" s="1465"/>
      <c r="P74" s="1206"/>
      <c r="Q74" s="1159"/>
      <c r="R74" s="1159"/>
      <c r="S74" s="1159"/>
      <c r="T74" s="1174"/>
      <c r="U74" s="1174"/>
      <c r="V74" s="1174"/>
      <c r="W74" s="1204"/>
      <c r="X74" s="1174"/>
      <c r="Y74" s="1217"/>
      <c r="Z74" s="173"/>
      <c r="AA74" s="1145"/>
      <c r="AB74" s="1145"/>
      <c r="AC74" s="1145">
        <f t="shared" ref="AC74:AC90" si="20">+AB74/$AB$90</f>
        <v>0</v>
      </c>
      <c r="AD74" s="1145"/>
      <c r="AE74" s="1145">
        <f t="shared" ref="AE74:AE88" si="21">+AD74/$AD$90</f>
        <v>0</v>
      </c>
      <c r="AF74" s="1145"/>
      <c r="AG74" s="1145"/>
      <c r="AH74" s="1145">
        <f t="shared" si="19"/>
        <v>0</v>
      </c>
      <c r="AI74" s="1145"/>
      <c r="AJ74" s="1145">
        <f t="shared" si="13"/>
        <v>0</v>
      </c>
    </row>
    <row r="75" spans="3:36" ht="14.25" hidden="1" customHeight="1" x14ac:dyDescent="0.2">
      <c r="C75" s="1154" t="s">
        <v>95</v>
      </c>
      <c r="D75" s="1465"/>
      <c r="E75" s="1206"/>
      <c r="F75" s="1159"/>
      <c r="G75" s="1159"/>
      <c r="H75" s="1159"/>
      <c r="I75" s="1174"/>
      <c r="J75" s="1174"/>
      <c r="K75" s="1174"/>
      <c r="L75" s="1204"/>
      <c r="M75" s="1174"/>
      <c r="N75" s="1235"/>
      <c r="O75" s="1465"/>
      <c r="P75" s="1206"/>
      <c r="Q75" s="1159"/>
      <c r="R75" s="1159"/>
      <c r="S75" s="1159"/>
      <c r="T75" s="1174"/>
      <c r="U75" s="1174"/>
      <c r="V75" s="1174"/>
      <c r="W75" s="1204"/>
      <c r="X75" s="1174"/>
      <c r="Y75" s="1217"/>
      <c r="Z75" s="173"/>
      <c r="AA75" s="1145"/>
      <c r="AB75" s="1145"/>
      <c r="AC75" s="1145">
        <f t="shared" si="20"/>
        <v>0</v>
      </c>
      <c r="AD75" s="1145"/>
      <c r="AE75" s="1145">
        <f t="shared" si="21"/>
        <v>0</v>
      </c>
      <c r="AF75" s="1145"/>
      <c r="AG75" s="1145"/>
      <c r="AH75" s="1145">
        <f t="shared" si="19"/>
        <v>0</v>
      </c>
      <c r="AI75" s="1145"/>
      <c r="AJ75" s="1145">
        <f t="shared" si="13"/>
        <v>0</v>
      </c>
    </row>
    <row r="76" spans="3:36" ht="14.25" hidden="1" customHeight="1" x14ac:dyDescent="0.2">
      <c r="C76" s="1154" t="s">
        <v>96</v>
      </c>
      <c r="D76" s="1465"/>
      <c r="E76" s="1206"/>
      <c r="F76" s="1159"/>
      <c r="G76" s="1159"/>
      <c r="H76" s="1159"/>
      <c r="I76" s="1174"/>
      <c r="J76" s="1174"/>
      <c r="K76" s="1174"/>
      <c r="L76" s="1204"/>
      <c r="M76" s="1174"/>
      <c r="N76" s="634"/>
      <c r="O76" s="1465"/>
      <c r="P76" s="1206"/>
      <c r="Q76" s="1159"/>
      <c r="R76" s="1159"/>
      <c r="S76" s="1159"/>
      <c r="T76" s="1174"/>
      <c r="U76" s="1174"/>
      <c r="V76" s="1174"/>
      <c r="W76" s="1204"/>
      <c r="X76" s="1174"/>
      <c r="Y76" s="635"/>
      <c r="Z76" s="173"/>
      <c r="AA76" s="1145"/>
      <c r="AB76" s="1145"/>
      <c r="AC76" s="1145">
        <f t="shared" si="20"/>
        <v>0</v>
      </c>
      <c r="AD76" s="1145"/>
      <c r="AE76" s="1145">
        <f t="shared" si="21"/>
        <v>0</v>
      </c>
      <c r="AF76" s="1145"/>
      <c r="AG76" s="1145"/>
      <c r="AH76" s="1145">
        <f t="shared" si="19"/>
        <v>0</v>
      </c>
      <c r="AI76" s="1145"/>
      <c r="AJ76" s="1145">
        <f t="shared" si="13"/>
        <v>0</v>
      </c>
    </row>
    <row r="77" spans="3:36" ht="14.25" hidden="1" customHeight="1" x14ac:dyDescent="0.2">
      <c r="C77" s="1154" t="s">
        <v>97</v>
      </c>
      <c r="D77" s="1465"/>
      <c r="E77" s="1206"/>
      <c r="F77" s="1159"/>
      <c r="G77" s="1159"/>
      <c r="H77" s="1159"/>
      <c r="I77" s="1174"/>
      <c r="J77" s="1174"/>
      <c r="K77" s="1174"/>
      <c r="L77" s="1204"/>
      <c r="M77" s="1174"/>
      <c r="N77" s="1235"/>
      <c r="O77" s="1465"/>
      <c r="P77" s="1206"/>
      <c r="Q77" s="1159"/>
      <c r="R77" s="1159"/>
      <c r="S77" s="1159"/>
      <c r="T77" s="1174"/>
      <c r="U77" s="1174"/>
      <c r="V77" s="1174"/>
      <c r="W77" s="1204"/>
      <c r="X77" s="1174"/>
      <c r="Y77" s="1217"/>
      <c r="Z77" s="173"/>
      <c r="AA77" s="1145"/>
      <c r="AB77" s="1145"/>
      <c r="AC77" s="1145">
        <f t="shared" si="20"/>
        <v>0</v>
      </c>
      <c r="AD77" s="1145"/>
      <c r="AE77" s="1145">
        <f t="shared" si="21"/>
        <v>0</v>
      </c>
      <c r="AF77" s="1145"/>
      <c r="AG77" s="1145"/>
      <c r="AH77" s="1145">
        <f t="shared" si="19"/>
        <v>0</v>
      </c>
      <c r="AI77" s="1145"/>
      <c r="AJ77" s="1145">
        <f t="shared" si="13"/>
        <v>0</v>
      </c>
    </row>
    <row r="78" spans="3:36" ht="14.25" hidden="1" customHeight="1" x14ac:dyDescent="0.2">
      <c r="C78" s="1154" t="str">
        <f>+TableA1!A79</f>
        <v>Monaco</v>
      </c>
      <c r="D78" s="1465"/>
      <c r="E78" s="1206"/>
      <c r="F78" s="1159"/>
      <c r="G78" s="1159"/>
      <c r="H78" s="1159"/>
      <c r="I78" s="1174"/>
      <c r="J78" s="1174"/>
      <c r="K78" s="1174"/>
      <c r="L78" s="1204"/>
      <c r="M78" s="1174"/>
      <c r="N78" s="1235"/>
      <c r="O78" s="1465"/>
      <c r="P78" s="1206"/>
      <c r="Q78" s="1159"/>
      <c r="R78" s="1159"/>
      <c r="S78" s="1159"/>
      <c r="T78" s="1174"/>
      <c r="U78" s="1174"/>
      <c r="V78" s="1174"/>
      <c r="W78" s="1204"/>
      <c r="X78" s="1174"/>
      <c r="Y78" s="1217"/>
      <c r="Z78" s="173"/>
      <c r="AA78" s="1145"/>
      <c r="AB78" s="1145"/>
      <c r="AC78" s="1145">
        <f t="shared" si="20"/>
        <v>0</v>
      </c>
      <c r="AD78" s="1145"/>
      <c r="AE78" s="1145">
        <f t="shared" si="21"/>
        <v>0</v>
      </c>
      <c r="AF78" s="1145"/>
      <c r="AG78" s="1145"/>
      <c r="AH78" s="1145">
        <f t="shared" si="19"/>
        <v>0</v>
      </c>
      <c r="AI78" s="1145"/>
      <c r="AJ78" s="1145">
        <f t="shared" si="13"/>
        <v>0</v>
      </c>
    </row>
    <row r="79" spans="3:36" ht="14.25" hidden="1" customHeight="1" x14ac:dyDescent="0.2">
      <c r="C79" s="1154" t="s">
        <v>99</v>
      </c>
      <c r="D79" s="1465"/>
      <c r="E79" s="1206"/>
      <c r="F79" s="1159"/>
      <c r="G79" s="1159"/>
      <c r="H79" s="1159"/>
      <c r="I79" s="1174"/>
      <c r="J79" s="1174"/>
      <c r="K79" s="1174"/>
      <c r="L79" s="1204"/>
      <c r="M79" s="1174"/>
      <c r="N79" s="1235"/>
      <c r="O79" s="1465"/>
      <c r="P79" s="1206"/>
      <c r="Q79" s="1159"/>
      <c r="R79" s="1159"/>
      <c r="S79" s="1159"/>
      <c r="T79" s="1174"/>
      <c r="U79" s="1174"/>
      <c r="V79" s="1174"/>
      <c r="W79" s="1204"/>
      <c r="X79" s="1174"/>
      <c r="Y79" s="1217"/>
      <c r="Z79" s="173"/>
      <c r="AA79" s="1145"/>
      <c r="AB79" s="1145"/>
      <c r="AC79" s="1145">
        <f t="shared" si="20"/>
        <v>0</v>
      </c>
      <c r="AD79" s="1145"/>
      <c r="AE79" s="1145">
        <f t="shared" si="21"/>
        <v>0</v>
      </c>
      <c r="AF79" s="1145"/>
      <c r="AG79" s="1145"/>
      <c r="AH79" s="1145">
        <f t="shared" si="19"/>
        <v>0</v>
      </c>
      <c r="AI79" s="1145"/>
      <c r="AJ79" s="1145">
        <f t="shared" si="13"/>
        <v>0</v>
      </c>
    </row>
    <row r="80" spans="3:36" ht="14.25" hidden="1" customHeight="1" x14ac:dyDescent="0.2">
      <c r="C80" s="1154" t="s">
        <v>100</v>
      </c>
      <c r="D80" s="1465"/>
      <c r="E80" s="1206"/>
      <c r="F80" s="1159"/>
      <c r="G80" s="1159"/>
      <c r="H80" s="1159"/>
      <c r="I80" s="1174"/>
      <c r="J80" s="1174"/>
      <c r="K80" s="1174"/>
      <c r="L80" s="1204"/>
      <c r="M80" s="1174"/>
      <c r="N80" s="1235"/>
      <c r="O80" s="1465"/>
      <c r="P80" s="1206"/>
      <c r="Q80" s="1159"/>
      <c r="R80" s="1159"/>
      <c r="S80" s="1159"/>
      <c r="T80" s="1174"/>
      <c r="U80" s="1174"/>
      <c r="V80" s="1174"/>
      <c r="W80" s="1204"/>
      <c r="X80" s="1174"/>
      <c r="Y80" s="1217"/>
      <c r="Z80" s="173"/>
      <c r="AA80" s="1145"/>
      <c r="AB80" s="1145"/>
      <c r="AC80" s="1145">
        <f t="shared" si="20"/>
        <v>0</v>
      </c>
      <c r="AD80" s="1145"/>
      <c r="AE80" s="1145">
        <f t="shared" si="21"/>
        <v>0</v>
      </c>
      <c r="AF80" s="1145"/>
      <c r="AG80" s="1145"/>
      <c r="AH80" s="1145">
        <f t="shared" si="19"/>
        <v>0</v>
      </c>
      <c r="AI80" s="1145"/>
      <c r="AJ80" s="1145">
        <f t="shared" si="13"/>
        <v>0</v>
      </c>
    </row>
    <row r="81" spans="3:36" ht="14.25" hidden="1" customHeight="1" x14ac:dyDescent="0.2">
      <c r="C81" s="1154" t="str">
        <f>+TableA1!A82</f>
        <v>Seychelles</v>
      </c>
      <c r="D81" s="1465"/>
      <c r="E81" s="1206"/>
      <c r="F81" s="1159"/>
      <c r="G81" s="1159"/>
      <c r="H81" s="1159"/>
      <c r="I81" s="1174"/>
      <c r="J81" s="1174"/>
      <c r="K81" s="1174"/>
      <c r="L81" s="1204"/>
      <c r="M81" s="1174"/>
      <c r="N81" s="1235"/>
      <c r="O81" s="1465"/>
      <c r="P81" s="1206"/>
      <c r="Q81" s="1159"/>
      <c r="R81" s="1159"/>
      <c r="S81" s="1159"/>
      <c r="T81" s="1174"/>
      <c r="U81" s="1174"/>
      <c r="V81" s="1174"/>
      <c r="W81" s="1204"/>
      <c r="X81" s="1174"/>
      <c r="Y81" s="1217"/>
      <c r="Z81" s="173"/>
      <c r="AA81" s="1145"/>
      <c r="AB81" s="1145"/>
      <c r="AC81" s="1145">
        <f t="shared" si="20"/>
        <v>0</v>
      </c>
      <c r="AD81" s="1145"/>
      <c r="AE81" s="1145">
        <f t="shared" si="21"/>
        <v>0</v>
      </c>
      <c r="AF81" s="1145"/>
      <c r="AG81" s="1145"/>
      <c r="AH81" s="1145">
        <f t="shared" si="19"/>
        <v>0</v>
      </c>
      <c r="AI81" s="1145"/>
      <c r="AJ81" s="1145">
        <f t="shared" si="13"/>
        <v>0</v>
      </c>
    </row>
    <row r="82" spans="3:36" hidden="1" x14ac:dyDescent="0.2">
      <c r="C82" s="1154" t="s">
        <v>102</v>
      </c>
      <c r="D82" s="1465"/>
      <c r="E82" s="1206"/>
      <c r="F82" s="1159"/>
      <c r="G82" s="1159"/>
      <c r="H82" s="1159"/>
      <c r="I82" s="1174"/>
      <c r="J82" s="1174"/>
      <c r="K82" s="1174"/>
      <c r="L82" s="1204"/>
      <c r="M82" s="1174"/>
      <c r="N82" s="1235"/>
      <c r="O82" s="1465"/>
      <c r="P82" s="1206"/>
      <c r="Q82" s="1159"/>
      <c r="R82" s="1159"/>
      <c r="S82" s="1159"/>
      <c r="T82" s="1174"/>
      <c r="U82" s="1174"/>
      <c r="V82" s="1174"/>
      <c r="W82" s="1204"/>
      <c r="X82" s="1174"/>
      <c r="Y82" s="1217"/>
      <c r="Z82" s="173"/>
      <c r="AA82" s="1145"/>
      <c r="AB82" s="1145"/>
      <c r="AC82" s="1145">
        <f t="shared" si="20"/>
        <v>0</v>
      </c>
      <c r="AD82" s="1145"/>
      <c r="AE82" s="1145">
        <f t="shared" si="21"/>
        <v>0</v>
      </c>
      <c r="AF82" s="1145"/>
      <c r="AG82" s="1145"/>
      <c r="AH82" s="1145">
        <f t="shared" si="19"/>
        <v>0</v>
      </c>
      <c r="AI82" s="1145"/>
      <c r="AJ82" s="1145">
        <f t="shared" si="13"/>
        <v>0</v>
      </c>
    </row>
    <row r="83" spans="3:36" hidden="1" x14ac:dyDescent="0.2">
      <c r="C83" s="1154" t="str">
        <f>+TableA1!A84</f>
        <v>St. Kitts and Nevis</v>
      </c>
      <c r="D83" s="1465"/>
      <c r="E83" s="1206"/>
      <c r="F83" s="1159"/>
      <c r="G83" s="1159"/>
      <c r="H83" s="1159"/>
      <c r="I83" s="1174"/>
      <c r="J83" s="1174"/>
      <c r="K83" s="1174"/>
      <c r="L83" s="1204"/>
      <c r="M83" s="1174"/>
      <c r="N83" s="1235"/>
      <c r="O83" s="1465"/>
      <c r="P83" s="1206"/>
      <c r="Q83" s="1159"/>
      <c r="R83" s="1159"/>
      <c r="S83" s="1159"/>
      <c r="T83" s="1174"/>
      <c r="U83" s="1174"/>
      <c r="V83" s="1174"/>
      <c r="W83" s="1204"/>
      <c r="X83" s="1174"/>
      <c r="Y83" s="1217"/>
      <c r="Z83" s="173"/>
      <c r="AA83" s="1145"/>
      <c r="AB83" s="1145"/>
      <c r="AC83" s="1145">
        <f t="shared" si="20"/>
        <v>0</v>
      </c>
      <c r="AD83" s="1145"/>
      <c r="AE83" s="1145">
        <f t="shared" si="21"/>
        <v>0</v>
      </c>
      <c r="AF83" s="1145"/>
      <c r="AG83" s="1145"/>
      <c r="AH83" s="1145">
        <f t="shared" si="19"/>
        <v>0</v>
      </c>
      <c r="AI83" s="1145"/>
      <c r="AJ83" s="1145">
        <f t="shared" si="13"/>
        <v>0</v>
      </c>
    </row>
    <row r="84" spans="3:36" hidden="1" x14ac:dyDescent="0.2">
      <c r="C84" s="1154" t="str">
        <f>+TableA1!A85</f>
        <v>St. Lucia</v>
      </c>
      <c r="D84" s="1465"/>
      <c r="E84" s="1206"/>
      <c r="F84" s="1159"/>
      <c r="G84" s="1159"/>
      <c r="H84" s="1159"/>
      <c r="I84" s="1174"/>
      <c r="J84" s="1174"/>
      <c r="K84" s="1174"/>
      <c r="L84" s="1204"/>
      <c r="M84" s="1174"/>
      <c r="N84" s="1235"/>
      <c r="O84" s="1465"/>
      <c r="P84" s="1206"/>
      <c r="Q84" s="1159"/>
      <c r="R84" s="1159"/>
      <c r="S84" s="1159"/>
      <c r="T84" s="1174"/>
      <c r="U84" s="1174"/>
      <c r="V84" s="1174"/>
      <c r="W84" s="1204"/>
      <c r="X84" s="1174"/>
      <c r="Y84" s="1217"/>
      <c r="Z84" s="173"/>
      <c r="AA84" s="1145"/>
      <c r="AB84" s="1145"/>
      <c r="AC84" s="1145">
        <f t="shared" si="20"/>
        <v>0</v>
      </c>
      <c r="AD84" s="1145"/>
      <c r="AE84" s="1145">
        <f t="shared" si="21"/>
        <v>0</v>
      </c>
      <c r="AF84" s="1145"/>
      <c r="AG84" s="1145"/>
      <c r="AH84" s="1145">
        <f t="shared" si="19"/>
        <v>0</v>
      </c>
      <c r="AI84" s="1145"/>
      <c r="AJ84" s="1145">
        <f t="shared" si="13"/>
        <v>0</v>
      </c>
    </row>
    <row r="85" spans="3:36" hidden="1" x14ac:dyDescent="0.2">
      <c r="C85" s="1154" t="str">
        <f>+TableA1!A86</f>
        <v>St. Vincent and the Grenadines</v>
      </c>
      <c r="D85" s="1465"/>
      <c r="E85" s="1206"/>
      <c r="F85" s="1159"/>
      <c r="G85" s="1159"/>
      <c r="H85" s="1159"/>
      <c r="I85" s="1174"/>
      <c r="J85" s="1174"/>
      <c r="K85" s="1174"/>
      <c r="L85" s="1204"/>
      <c r="M85" s="1174"/>
      <c r="N85" s="1235"/>
      <c r="O85" s="1465"/>
      <c r="P85" s="1206"/>
      <c r="Q85" s="1159"/>
      <c r="R85" s="1159"/>
      <c r="S85" s="1159"/>
      <c r="T85" s="1174"/>
      <c r="U85" s="1174"/>
      <c r="V85" s="1174"/>
      <c r="W85" s="1204"/>
      <c r="X85" s="1174"/>
      <c r="Y85" s="1217"/>
      <c r="Z85" s="173"/>
      <c r="AA85" s="1145"/>
      <c r="AB85" s="1145"/>
      <c r="AC85" s="1145">
        <f t="shared" si="20"/>
        <v>0</v>
      </c>
      <c r="AD85" s="1145"/>
      <c r="AE85" s="1145">
        <f t="shared" si="21"/>
        <v>0</v>
      </c>
      <c r="AF85" s="1145"/>
      <c r="AG85" s="1145"/>
      <c r="AH85" s="1145">
        <f t="shared" si="19"/>
        <v>0</v>
      </c>
      <c r="AI85" s="1145"/>
      <c r="AJ85" s="1145">
        <f t="shared" si="13"/>
        <v>0</v>
      </c>
    </row>
    <row r="86" spans="3:36" hidden="1" x14ac:dyDescent="0.2">
      <c r="C86" s="1154" t="str">
        <f>+TableA1!A87</f>
        <v>Turks and Caicos</v>
      </c>
      <c r="D86" s="1465"/>
      <c r="E86" s="1206"/>
      <c r="F86" s="1159"/>
      <c r="G86" s="1159"/>
      <c r="H86" s="1159"/>
      <c r="I86" s="1174"/>
      <c r="J86" s="1174"/>
      <c r="K86" s="1174"/>
      <c r="L86" s="1204"/>
      <c r="M86" s="1174"/>
      <c r="N86" s="1235"/>
      <c r="O86" s="1465"/>
      <c r="P86" s="1206"/>
      <c r="Q86" s="1159"/>
      <c r="R86" s="1159"/>
      <c r="S86" s="1159"/>
      <c r="T86" s="1174"/>
      <c r="U86" s="1174"/>
      <c r="V86" s="1174"/>
      <c r="W86" s="1204"/>
      <c r="X86" s="1174"/>
      <c r="Y86" s="1217"/>
      <c r="Z86" s="173"/>
      <c r="AA86" s="1145"/>
      <c r="AB86" s="1145"/>
      <c r="AC86" s="1145">
        <f t="shared" si="20"/>
        <v>0</v>
      </c>
      <c r="AD86" s="1145"/>
      <c r="AE86" s="1145">
        <f t="shared" si="21"/>
        <v>0</v>
      </c>
      <c r="AF86" s="1145"/>
      <c r="AG86" s="1145"/>
      <c r="AH86" s="1145">
        <f t="shared" si="19"/>
        <v>0</v>
      </c>
      <c r="AI86" s="1145"/>
      <c r="AJ86" s="1145">
        <f t="shared" si="13"/>
        <v>0</v>
      </c>
    </row>
    <row r="87" spans="3:36" hidden="1" x14ac:dyDescent="0.2">
      <c r="C87" s="1154" t="str">
        <f>+TableA1!A88</f>
        <v>Panama</v>
      </c>
      <c r="D87" s="1465"/>
      <c r="E87" s="1206"/>
      <c r="F87" s="1159"/>
      <c r="G87" s="1159"/>
      <c r="H87" s="1159"/>
      <c r="I87" s="1174"/>
      <c r="J87" s="1174"/>
      <c r="K87" s="1174"/>
      <c r="L87" s="1204"/>
      <c r="M87" s="1174"/>
      <c r="N87" s="1235"/>
      <c r="O87" s="1465"/>
      <c r="P87" s="1206"/>
      <c r="Q87" s="1159"/>
      <c r="R87" s="1159"/>
      <c r="S87" s="1159"/>
      <c r="T87" s="1174"/>
      <c r="U87" s="1174"/>
      <c r="V87" s="1174"/>
      <c r="W87" s="1204"/>
      <c r="X87" s="1174"/>
      <c r="Y87" s="1217"/>
      <c r="Z87" s="173"/>
      <c r="AA87" s="1145"/>
      <c r="AB87" s="1145"/>
      <c r="AC87" s="1145">
        <f t="shared" si="20"/>
        <v>0</v>
      </c>
      <c r="AD87" s="1145"/>
      <c r="AE87" s="1145">
        <f t="shared" si="21"/>
        <v>0</v>
      </c>
      <c r="AF87" s="1145"/>
      <c r="AG87" s="1145"/>
      <c r="AH87" s="1145">
        <f t="shared" si="19"/>
        <v>0</v>
      </c>
      <c r="AI87" s="1145"/>
      <c r="AJ87" s="1145">
        <f t="shared" si="13"/>
        <v>0</v>
      </c>
    </row>
    <row r="88" spans="3:36" hidden="1" x14ac:dyDescent="0.2">
      <c r="C88" s="1154" t="s">
        <v>108</v>
      </c>
      <c r="D88" s="1465"/>
      <c r="E88" s="1206"/>
      <c r="F88" s="1159"/>
      <c r="G88" s="1159"/>
      <c r="H88" s="1159"/>
      <c r="I88" s="1174"/>
      <c r="J88" s="1174"/>
      <c r="K88" s="1174"/>
      <c r="L88" s="1204"/>
      <c r="M88" s="1174"/>
      <c r="N88" s="1235"/>
      <c r="O88" s="1465"/>
      <c r="P88" s="1206"/>
      <c r="Q88" s="1159"/>
      <c r="R88" s="1159"/>
      <c r="S88" s="1159"/>
      <c r="T88" s="1174"/>
      <c r="U88" s="1174"/>
      <c r="V88" s="1174"/>
      <c r="W88" s="1204"/>
      <c r="X88" s="1174"/>
      <c r="Y88" s="1217"/>
      <c r="Z88" s="173"/>
      <c r="AA88" s="1145"/>
      <c r="AB88" s="1145"/>
      <c r="AC88" s="1145">
        <f t="shared" si="20"/>
        <v>0</v>
      </c>
      <c r="AD88" s="1145"/>
      <c r="AE88" s="1145">
        <f t="shared" si="21"/>
        <v>0</v>
      </c>
      <c r="AF88" s="1145"/>
      <c r="AG88" s="1145"/>
      <c r="AH88" s="1145">
        <f t="shared" si="19"/>
        <v>0</v>
      </c>
      <c r="AI88" s="1145"/>
      <c r="AJ88" s="1145">
        <f t="shared" si="13"/>
        <v>0</v>
      </c>
    </row>
    <row r="89" spans="3:36" ht="40" customHeight="1" x14ac:dyDescent="0.2">
      <c r="C89" s="1871" t="s">
        <v>155</v>
      </c>
      <c r="D89" s="1468">
        <f>+E89+L89</f>
        <v>6883.9709665518621</v>
      </c>
      <c r="E89" s="1347">
        <f>SUM(F89:K89)</f>
        <v>3776.7283641538465</v>
      </c>
      <c r="F89" s="1348">
        <v>1397.6810582864161</v>
      </c>
      <c r="G89" s="1348">
        <v>-27.790811293277596</v>
      </c>
      <c r="H89" s="1348">
        <v>-145.20458495795557</v>
      </c>
      <c r="I89" s="1469">
        <v>2057.9624653544411</v>
      </c>
      <c r="J89" s="1469">
        <v>-134.81909146427398</v>
      </c>
      <c r="K89" s="1469">
        <v>628.8993282284963</v>
      </c>
      <c r="L89" s="1470">
        <f>SUM(M89:N89)</f>
        <v>3107.2426023980156</v>
      </c>
      <c r="M89" s="1471">
        <v>487.09908245585387</v>
      </c>
      <c r="N89" s="1472">
        <v>2620.1435199421617</v>
      </c>
      <c r="O89" s="1473">
        <f>+P89+W89</f>
        <v>75639.569393791957</v>
      </c>
      <c r="P89" s="1347">
        <f>SUM(Q89:V89)</f>
        <v>29904.84178455019</v>
      </c>
      <c r="Q89" s="1348">
        <v>1177.903596129373</v>
      </c>
      <c r="R89" s="1348">
        <v>702.24412012677942</v>
      </c>
      <c r="S89" s="1348">
        <v>18052.886401546933</v>
      </c>
      <c r="T89" s="1469">
        <v>1797.245671492265</v>
      </c>
      <c r="U89" s="1469">
        <v>3385.5071976378699</v>
      </c>
      <c r="V89" s="1469">
        <v>4789.0547976169664</v>
      </c>
      <c r="W89" s="1470">
        <f>SUM(X89:AC89)</f>
        <v>45734.72760924176</v>
      </c>
      <c r="X89" s="1471">
        <v>3522.7799196821306</v>
      </c>
      <c r="Y89" s="1474">
        <v>42211.654436496174</v>
      </c>
      <c r="Z89" s="173"/>
      <c r="AA89" s="1145">
        <f>+TableB2!L90/TableB2!$L$91</f>
        <v>6.7158306912131871E-2</v>
      </c>
      <c r="AB89" s="1145">
        <f>+AA89</f>
        <v>6.7158306912131871E-2</v>
      </c>
      <c r="AC89" s="1145">
        <f t="shared" si="20"/>
        <v>0.15893644962964881</v>
      </c>
      <c r="AD89" s="1145">
        <f>+AB89</f>
        <v>6.7158306912131871E-2</v>
      </c>
      <c r="AE89" s="1145">
        <f>+AD89/$AD$90</f>
        <v>0.26233696407958473</v>
      </c>
      <c r="AF89" s="1145"/>
      <c r="AG89" s="1145">
        <f>+AB89</f>
        <v>6.7158306912131871E-2</v>
      </c>
      <c r="AH89" s="1145">
        <f>+AG89/$AG$90</f>
        <v>0.96161976793348058</v>
      </c>
      <c r="AI89" s="1145">
        <f>+AD89</f>
        <v>6.7158306912131871E-2</v>
      </c>
      <c r="AJ89" s="1145">
        <f>+AI89/$AI$90</f>
        <v>0.96161976793348058</v>
      </c>
    </row>
    <row r="90" spans="3:36" ht="40" customHeight="1" x14ac:dyDescent="0.2">
      <c r="C90" s="636" t="s">
        <v>110</v>
      </c>
      <c r="D90" s="1476">
        <f t="shared" ref="D90:O90" si="22">SUMIF(D9:D89,"&gt;-999999")-D44</f>
        <v>141001.20463089287</v>
      </c>
      <c r="E90" s="304">
        <f t="shared" si="22"/>
        <v>102646.10771742737</v>
      </c>
      <c r="F90" s="244">
        <f t="shared" si="22"/>
        <v>10443.393706980482</v>
      </c>
      <c r="G90" s="245">
        <f t="shared" si="22"/>
        <v>277.571816785387</v>
      </c>
      <c r="H90" s="245">
        <f t="shared" si="22"/>
        <v>6842.5367306164044</v>
      </c>
      <c r="I90" s="245">
        <f t="shared" si="22"/>
        <v>38067.539216760371</v>
      </c>
      <c r="J90" s="245">
        <f t="shared" si="22"/>
        <v>143.84213647694267</v>
      </c>
      <c r="K90" s="245">
        <f t="shared" si="22"/>
        <v>46871.22410980775</v>
      </c>
      <c r="L90" s="304">
        <f t="shared" si="22"/>
        <v>42230.425122624416</v>
      </c>
      <c r="M90" s="244">
        <f t="shared" si="22"/>
        <v>10718.140182688408</v>
      </c>
      <c r="N90" s="623">
        <f t="shared" si="22"/>
        <v>31512.284939936006</v>
      </c>
      <c r="O90" s="1476">
        <f t="shared" si="22"/>
        <v>672629.63592404686</v>
      </c>
      <c r="P90" s="304">
        <f>SUMIF(P9:P89,"&gt;-999999")-P44</f>
        <v>280248.84358519281</v>
      </c>
      <c r="Q90" s="332">
        <f t="shared" ref="Q90:Y90" si="23">SUMIF(Q9:Q89,"&gt;-999999")-Q44</f>
        <v>37617.009072275105</v>
      </c>
      <c r="R90" s="245">
        <f t="shared" si="23"/>
        <v>2188.5531645511196</v>
      </c>
      <c r="S90" s="245">
        <f t="shared" si="23"/>
        <v>101295.26138194889</v>
      </c>
      <c r="T90" s="245">
        <f t="shared" si="23"/>
        <v>72702.47772259223</v>
      </c>
      <c r="U90" s="245">
        <f t="shared" si="23"/>
        <v>4514.2684050478274</v>
      </c>
      <c r="V90" s="623">
        <f t="shared" si="23"/>
        <v>61931.273838777634</v>
      </c>
      <c r="W90" s="245">
        <f t="shared" si="23"/>
        <v>408050.34110182303</v>
      </c>
      <c r="X90" s="332">
        <f t="shared" si="23"/>
        <v>74880.678752291526</v>
      </c>
      <c r="Y90" s="624">
        <f t="shared" si="23"/>
        <v>333169.36909646797</v>
      </c>
      <c r="Z90" s="173"/>
      <c r="AA90" s="1145">
        <f>+SUM(AA9:AA89)</f>
        <v>0.85846452450486399</v>
      </c>
      <c r="AB90" s="1145">
        <f>+SUM(AB9:AB89)</f>
        <v>0.42254817613343626</v>
      </c>
      <c r="AC90" s="1145">
        <f t="shared" si="20"/>
        <v>1</v>
      </c>
      <c r="AD90" s="1145">
        <f>+SUM(AD9:AD89)</f>
        <v>0.25600016813398119</v>
      </c>
      <c r="AE90" s="1145">
        <f>SUM(AE9:AE89)</f>
        <v>1</v>
      </c>
      <c r="AF90" s="1145"/>
      <c r="AG90" s="1145">
        <f>+SUM(AG9:AG89)</f>
        <v>6.9838733719518861E-2</v>
      </c>
      <c r="AH90" s="1145">
        <f>+AG90/$AB$90</f>
        <v>0.16527993176679698</v>
      </c>
      <c r="AI90" s="1145">
        <f>+SUM(AI9:AI89)</f>
        <v>6.9838733719518861E-2</v>
      </c>
      <c r="AJ90" s="1145">
        <f>+SUM(AJ9:AJ89)</f>
        <v>1</v>
      </c>
    </row>
    <row r="91" spans="3:36" ht="41.25" customHeight="1" thickBot="1" x14ac:dyDescent="0.25">
      <c r="C91" s="637" t="s">
        <v>639</v>
      </c>
      <c r="D91" s="626">
        <f>+E91+L91</f>
        <v>101353.57865552056</v>
      </c>
      <c r="E91" s="326">
        <f>+E89+E44+E8</f>
        <v>76779.604962492609</v>
      </c>
      <c r="F91" s="627">
        <f t="shared" ref="F91:Y91" si="24">+F89+F44+F8</f>
        <v>8310.1469220911113</v>
      </c>
      <c r="G91" s="628">
        <f t="shared" si="24"/>
        <v>258.77747195120048</v>
      </c>
      <c r="H91" s="628">
        <f t="shared" si="24"/>
        <v>2275.2873842019462</v>
      </c>
      <c r="I91" s="628">
        <f t="shared" si="24"/>
        <v>32091.896366895799</v>
      </c>
      <c r="J91" s="628">
        <f t="shared" si="24"/>
        <v>95.927920016006524</v>
      </c>
      <c r="K91" s="628">
        <f t="shared" si="24"/>
        <v>33747.568897336576</v>
      </c>
      <c r="L91" s="326">
        <f t="shared" si="24"/>
        <v>24573.973693027947</v>
      </c>
      <c r="M91" s="627">
        <f t="shared" si="24"/>
        <v>4967.022056411779</v>
      </c>
      <c r="N91" s="629">
        <f t="shared" si="24"/>
        <v>19606.95163661617</v>
      </c>
      <c r="O91" s="626">
        <f>+P91+W91</f>
        <v>544908.42770965945</v>
      </c>
      <c r="P91" s="326">
        <f t="shared" si="24"/>
        <v>228382.03507140695</v>
      </c>
      <c r="Q91" s="627">
        <f t="shared" si="24"/>
        <v>27087.6061628567</v>
      </c>
      <c r="R91" s="628">
        <f t="shared" si="24"/>
        <v>2100.157540414436</v>
      </c>
      <c r="S91" s="628">
        <f t="shared" si="24"/>
        <v>90845.886051695707</v>
      </c>
      <c r="T91" s="628">
        <f t="shared" si="24"/>
        <v>59824.476046700715</v>
      </c>
      <c r="U91" s="628">
        <f t="shared" si="24"/>
        <v>4414.8783881340205</v>
      </c>
      <c r="V91" s="629">
        <f t="shared" si="24"/>
        <v>44109.030881605388</v>
      </c>
      <c r="W91" s="628">
        <f t="shared" si="24"/>
        <v>316526.39263825252</v>
      </c>
      <c r="X91" s="627">
        <f t="shared" si="24"/>
        <v>47558.006375198274</v>
      </c>
      <c r="Y91" s="630">
        <f t="shared" si="24"/>
        <v>268968.09300999081</v>
      </c>
      <c r="Z91" s="958"/>
      <c r="AA91" s="958"/>
      <c r="AB91" s="958"/>
      <c r="AC91" s="958"/>
      <c r="AD91" s="958"/>
      <c r="AE91" s="958"/>
      <c r="AF91" s="958"/>
      <c r="AG91" s="958"/>
      <c r="AH91" s="958"/>
      <c r="AI91" s="958"/>
      <c r="AJ91" s="958"/>
    </row>
    <row r="92" spans="3:36" s="2" customFormat="1" ht="17" thickTop="1" x14ac:dyDescent="0.2">
      <c r="E92" s="958"/>
      <c r="F92" s="958"/>
      <c r="G92" s="958"/>
      <c r="H92" s="958"/>
      <c r="I92" s="958"/>
      <c r="J92" s="958"/>
      <c r="K92" s="958"/>
      <c r="L92" s="958"/>
      <c r="M92" s="958"/>
      <c r="N92" s="958"/>
      <c r="O92" s="958"/>
      <c r="P92" s="958"/>
      <c r="Q92" s="958"/>
      <c r="R92" s="958"/>
      <c r="S92" s="958"/>
      <c r="T92" s="958"/>
      <c r="U92" s="958"/>
      <c r="V92" s="958"/>
      <c r="W92" s="958"/>
      <c r="X92" s="958"/>
      <c r="Y92" s="958"/>
    </row>
    <row r="93" spans="3:36" s="2" customFormat="1" x14ac:dyDescent="0.2">
      <c r="C93" s="958"/>
      <c r="D93" s="958"/>
      <c r="E93" s="958"/>
      <c r="F93" s="958"/>
      <c r="G93" s="958"/>
      <c r="H93" s="958"/>
      <c r="I93" s="958"/>
      <c r="J93" s="958"/>
      <c r="K93" s="958"/>
      <c r="L93" s="958"/>
      <c r="M93" s="958"/>
      <c r="N93" s="958"/>
      <c r="O93" s="958"/>
      <c r="P93" s="958"/>
      <c r="Q93" s="958"/>
      <c r="R93" s="958"/>
      <c r="S93" s="958"/>
      <c r="T93" s="958"/>
      <c r="U93" s="958"/>
      <c r="V93" s="958"/>
      <c r="W93" s="958"/>
      <c r="X93" s="958"/>
      <c r="Y93" s="958"/>
    </row>
    <row r="94" spans="3:36" ht="17" thickBot="1" x14ac:dyDescent="0.25">
      <c r="C94" s="958"/>
      <c r="D94" s="958"/>
      <c r="E94" s="958"/>
      <c r="F94" s="958"/>
      <c r="G94" s="958"/>
      <c r="H94" s="958"/>
      <c r="I94" s="958"/>
      <c r="J94" s="958"/>
      <c r="K94" s="958"/>
      <c r="L94" s="958"/>
      <c r="M94" s="958"/>
      <c r="N94" s="958"/>
      <c r="O94" s="958"/>
      <c r="P94" s="958"/>
      <c r="Q94" s="958"/>
      <c r="R94" s="958"/>
      <c r="S94" s="958"/>
      <c r="T94" s="958"/>
      <c r="U94" s="958"/>
      <c r="V94" s="958"/>
      <c r="W94" s="958"/>
      <c r="X94" s="958"/>
      <c r="Y94" s="958"/>
      <c r="Z94" s="958"/>
      <c r="AA94" s="958"/>
      <c r="AB94" s="958"/>
      <c r="AC94" s="958"/>
      <c r="AD94" s="958"/>
      <c r="AE94" s="958"/>
      <c r="AF94" s="958"/>
      <c r="AG94" s="958"/>
      <c r="AH94" s="958"/>
      <c r="AI94" s="958"/>
      <c r="AJ94" s="958"/>
    </row>
    <row r="95" spans="3:36" ht="17" thickBot="1" x14ac:dyDescent="0.25">
      <c r="C95" s="1478" t="s">
        <v>642</v>
      </c>
      <c r="D95" s="1479">
        <f>D91/(D91+O91)</f>
        <v>0.15683047689213714</v>
      </c>
      <c r="E95" s="1479">
        <f>E91/(E91+P91)</f>
        <v>0.25160306830820339</v>
      </c>
      <c r="F95" s="1479">
        <f>F91/(F91+Q91)</f>
        <v>0.23476481408716404</v>
      </c>
      <c r="G95" s="1479">
        <f t="shared" ref="G95:L95" si="25">G91/(G91+R91)</f>
        <v>0.10970097548032401</v>
      </c>
      <c r="H95" s="1479">
        <f t="shared" si="25"/>
        <v>2.4433620198828342E-2</v>
      </c>
      <c r="I95" s="1479">
        <f t="shared" si="25"/>
        <v>0.3491423293174773</v>
      </c>
      <c r="J95" s="1479">
        <f t="shared" si="25"/>
        <v>2.1266246755637909E-2</v>
      </c>
      <c r="K95" s="1479">
        <f t="shared" si="25"/>
        <v>0.43345803686721435</v>
      </c>
      <c r="L95" s="1480">
        <f t="shared" si="25"/>
        <v>7.2043234539248283E-2</v>
      </c>
      <c r="M95" s="1480">
        <f t="shared" ref="M95" si="26">M91/(M91+X91)</f>
        <v>9.4564861833041455E-2</v>
      </c>
      <c r="N95" s="1480">
        <f t="shared" ref="N95" si="27">N91/(N91+Y91)</f>
        <v>6.7944030505573044E-2</v>
      </c>
      <c r="O95" s="958"/>
      <c r="P95" s="958"/>
      <c r="Q95" s="958"/>
      <c r="R95" s="958"/>
      <c r="S95" s="958"/>
      <c r="T95" s="958"/>
      <c r="U95" s="958"/>
      <c r="V95" s="958"/>
      <c r="W95" s="958"/>
      <c r="X95" s="958"/>
      <c r="Y95" s="958"/>
      <c r="Z95" s="958"/>
      <c r="AA95" s="958"/>
      <c r="AB95" s="958"/>
      <c r="AC95" s="958"/>
      <c r="AD95" s="958"/>
      <c r="AE95" s="958"/>
      <c r="AF95" s="958"/>
      <c r="AG95" s="958"/>
      <c r="AH95" s="958"/>
      <c r="AI95" s="958"/>
      <c r="AJ95" s="958"/>
    </row>
    <row r="99" spans="13:13" x14ac:dyDescent="0.2">
      <c r="M99" s="1022">
        <f>+M9+M13+M22++M12+M24+M26+M27+M30+M32+M33+M41+M43+M44+M89</f>
        <v>3064.5772955762327</v>
      </c>
    </row>
    <row r="100" spans="13:13" x14ac:dyDescent="0.2">
      <c r="M100" s="1481">
        <f>+M90-M99</f>
        <v>7653.5628871121753</v>
      </c>
    </row>
  </sheetData>
  <mergeCells count="13">
    <mergeCell ref="AI8:AJ8"/>
    <mergeCell ref="AB8:AC8"/>
    <mergeCell ref="AD8:AE8"/>
    <mergeCell ref="AG8:AH8"/>
    <mergeCell ref="C3:Y3"/>
    <mergeCell ref="E6:E7"/>
    <mergeCell ref="L6:L7"/>
    <mergeCell ref="P6:P7"/>
    <mergeCell ref="W6:W7"/>
    <mergeCell ref="D6:D7"/>
    <mergeCell ref="O6:O7"/>
    <mergeCell ref="D5:N5"/>
    <mergeCell ref="O5:Y5"/>
  </mergeCells>
  <pageMargins left="0.7" right="0.7" top="0.75" bottom="0.75" header="0.3" footer="0.3"/>
  <pageSetup scale="31" orientation="landscape" horizontalDpi="4294967292" verticalDpi="429496729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94"/>
  <sheetViews>
    <sheetView zoomScale="85" zoomScaleNormal="85" zoomScalePageLayoutView="85" workbookViewId="0">
      <pane xSplit="2" ySplit="7" topLeftCell="C86" activePane="bottomRight" state="frozen"/>
      <selection pane="topRight" activeCell="AR8" sqref="AR8"/>
      <selection pane="bottomLeft" activeCell="AR8" sqref="AR8"/>
      <selection pane="bottomRight" activeCell="G95" sqref="G95"/>
    </sheetView>
  </sheetViews>
  <sheetFormatPr baseColWidth="10" defaultColWidth="10.83203125" defaultRowHeight="16" x14ac:dyDescent="0.2"/>
  <cols>
    <col min="1" max="1" width="17.5" style="1" hidden="1" customWidth="1"/>
    <col min="2" max="2" width="19" style="1" customWidth="1"/>
    <col min="3" max="13" width="12.83203125" style="1" customWidth="1"/>
    <col min="14" max="16384" width="10.83203125" style="1"/>
  </cols>
  <sheetData>
    <row r="1" spans="2:14" ht="17" thickBot="1" x14ac:dyDescent="0.25">
      <c r="B1" s="958"/>
      <c r="C1" s="958"/>
      <c r="D1" s="958"/>
      <c r="E1" s="958"/>
      <c r="F1" s="958"/>
      <c r="G1" s="958"/>
      <c r="H1" s="958"/>
      <c r="I1" s="958"/>
      <c r="J1" s="958"/>
      <c r="K1" s="958"/>
      <c r="L1" s="958"/>
      <c r="M1" s="1115"/>
      <c r="N1" s="958"/>
    </row>
    <row r="2" spans="2:14" ht="17" hidden="1" thickBot="1" x14ac:dyDescent="0.25">
      <c r="B2" s="958"/>
      <c r="C2" s="958"/>
      <c r="D2" s="958"/>
      <c r="E2" s="958">
        <v>2</v>
      </c>
      <c r="F2" s="958">
        <v>3</v>
      </c>
      <c r="G2" s="958">
        <v>4</v>
      </c>
      <c r="H2" s="958">
        <v>5</v>
      </c>
      <c r="I2" s="958">
        <v>6</v>
      </c>
      <c r="J2" s="958">
        <v>7</v>
      </c>
      <c r="K2" s="958"/>
      <c r="L2" s="958">
        <v>8</v>
      </c>
      <c r="M2" s="958">
        <v>9</v>
      </c>
      <c r="N2" s="958"/>
    </row>
    <row r="3" spans="2:14" ht="32.25" customHeight="1" thickTop="1" x14ac:dyDescent="0.2">
      <c r="B3" s="1934" t="s">
        <v>643</v>
      </c>
      <c r="C3" s="1935"/>
      <c r="D3" s="1935"/>
      <c r="E3" s="1935"/>
      <c r="F3" s="1935"/>
      <c r="G3" s="1935"/>
      <c r="H3" s="1935"/>
      <c r="I3" s="1935"/>
      <c r="J3" s="1935"/>
      <c r="K3" s="1935"/>
      <c r="L3" s="1935"/>
      <c r="M3" s="1936"/>
      <c r="N3" s="958"/>
    </row>
    <row r="4" spans="2:14" ht="32.25" customHeight="1" x14ac:dyDescent="0.2">
      <c r="B4" s="4"/>
      <c r="C4" s="160" t="s">
        <v>1</v>
      </c>
      <c r="D4" s="160" t="s">
        <v>2</v>
      </c>
      <c r="E4" s="160" t="s">
        <v>3</v>
      </c>
      <c r="F4" s="160" t="s">
        <v>4</v>
      </c>
      <c r="G4" s="160" t="s">
        <v>5</v>
      </c>
      <c r="H4" s="160" t="s">
        <v>6</v>
      </c>
      <c r="I4" s="160" t="s">
        <v>7</v>
      </c>
      <c r="J4" s="160" t="s">
        <v>8</v>
      </c>
      <c r="K4" s="160" t="s">
        <v>9</v>
      </c>
      <c r="L4" s="160" t="s">
        <v>10</v>
      </c>
      <c r="M4" s="6" t="s">
        <v>12</v>
      </c>
      <c r="N4" s="958"/>
    </row>
    <row r="5" spans="2:14" ht="21" customHeight="1" x14ac:dyDescent="0.2">
      <c r="B5" s="1154"/>
      <c r="C5" s="2265" t="s">
        <v>644</v>
      </c>
      <c r="D5" s="2017"/>
      <c r="E5" s="2017"/>
      <c r="F5" s="2017"/>
      <c r="G5" s="2017"/>
      <c r="H5" s="2017"/>
      <c r="I5" s="2017"/>
      <c r="J5" s="2017"/>
      <c r="K5" s="2017"/>
      <c r="L5" s="2017"/>
      <c r="M5" s="2056"/>
      <c r="N5" s="958"/>
    </row>
    <row r="6" spans="2:14" ht="85" customHeight="1" x14ac:dyDescent="0.2">
      <c r="B6" s="1154"/>
      <c r="C6" s="2020" t="s">
        <v>627</v>
      </c>
      <c r="D6" s="2020" t="s">
        <v>628</v>
      </c>
      <c r="E6" s="1826" t="s">
        <v>31</v>
      </c>
      <c r="F6" s="1826" t="s">
        <v>86</v>
      </c>
      <c r="G6" s="1826" t="s">
        <v>43</v>
      </c>
      <c r="H6" s="1826" t="s">
        <v>49</v>
      </c>
      <c r="I6" s="1826" t="s">
        <v>96</v>
      </c>
      <c r="J6" s="1826" t="s">
        <v>51</v>
      </c>
      <c r="K6" s="2020" t="s">
        <v>629</v>
      </c>
      <c r="L6" s="1826" t="s">
        <v>60</v>
      </c>
      <c r="M6" s="1837" t="s">
        <v>630</v>
      </c>
      <c r="N6" s="173"/>
    </row>
    <row r="7" spans="2:14" ht="18" customHeight="1" x14ac:dyDescent="0.2">
      <c r="B7" s="1154"/>
      <c r="C7" s="2020"/>
      <c r="D7" s="2020"/>
      <c r="E7" s="1826"/>
      <c r="F7" s="1826"/>
      <c r="G7" s="1826"/>
      <c r="H7" s="1826"/>
      <c r="I7" s="1826"/>
      <c r="J7" s="1826"/>
      <c r="K7" s="2050"/>
      <c r="L7" s="1826"/>
      <c r="M7" s="1837"/>
      <c r="N7" s="173"/>
    </row>
    <row r="8" spans="2:14" ht="40" customHeight="1" x14ac:dyDescent="0.2">
      <c r="B8" s="8" t="s">
        <v>28</v>
      </c>
      <c r="C8" s="264">
        <f>SUMIF(C9:C43,"&gt;-999999999")-(C11+C23+C29+C31)-C40</f>
        <v>1751575.2520845423</v>
      </c>
      <c r="D8" s="264">
        <f t="shared" ref="D8:M8" si="0">SUMIF(D9:D43,"&gt;-999999999")-(D11+D23+D29+D31)-D40</f>
        <v>1054622.6474443628</v>
      </c>
      <c r="E8" s="258">
        <f t="shared" si="0"/>
        <v>128961.35844677093</v>
      </c>
      <c r="F8" s="258">
        <f t="shared" si="0"/>
        <v>3661.9613645212703</v>
      </c>
      <c r="G8" s="258">
        <f t="shared" si="0"/>
        <v>259313.02145023903</v>
      </c>
      <c r="H8" s="258">
        <f t="shared" si="0"/>
        <v>150579.65275902595</v>
      </c>
      <c r="I8" s="258">
        <f t="shared" si="0"/>
        <v>323.4562426734762</v>
      </c>
      <c r="J8" s="258">
        <f t="shared" si="0"/>
        <v>511783.19718113216</v>
      </c>
      <c r="K8" s="264">
        <f t="shared" si="0"/>
        <v>696952.60464017943</v>
      </c>
      <c r="L8" s="258">
        <f t="shared" si="0"/>
        <v>430943.28515948798</v>
      </c>
      <c r="M8" s="621">
        <f t="shared" si="0"/>
        <v>266009.3194806914</v>
      </c>
      <c r="N8" s="173"/>
    </row>
    <row r="9" spans="2:14" ht="14.25" customHeight="1" x14ac:dyDescent="0.2">
      <c r="B9" s="1155" t="s">
        <v>29</v>
      </c>
      <c r="C9" s="1458">
        <f t="shared" ref="C9:C43" si="1">+D9+K9</f>
        <v>5751.3045289728207</v>
      </c>
      <c r="D9" s="1458">
        <f>SUM(E9:J9)</f>
        <v>-510.18355296630523</v>
      </c>
      <c r="E9" s="1459">
        <v>-615.9062407435307</v>
      </c>
      <c r="F9" s="1459">
        <v>1.1876887982666315</v>
      </c>
      <c r="G9" s="1459">
        <v>104.53499897895882</v>
      </c>
      <c r="H9" s="1459">
        <v>0</v>
      </c>
      <c r="I9" s="1459">
        <v>0</v>
      </c>
      <c r="J9" s="1459">
        <v>0</v>
      </c>
      <c r="K9" s="1458">
        <f>+SUM(L9:M9)</f>
        <v>6261.4880819391255</v>
      </c>
      <c r="L9" s="1174">
        <v>0</v>
      </c>
      <c r="M9" s="1217">
        <v>6261.4880819391255</v>
      </c>
      <c r="N9" s="173"/>
    </row>
    <row r="10" spans="2:14" ht="14.25" customHeight="1" x14ac:dyDescent="0.2">
      <c r="B10" s="1155" t="s">
        <v>30</v>
      </c>
      <c r="C10" s="1458">
        <f t="shared" si="1"/>
        <v>7318.7924249048392</v>
      </c>
      <c r="D10" s="1458">
        <f t="shared" ref="D10:D73" si="2">SUM(E10:J10)</f>
        <v>1217.7256328869876</v>
      </c>
      <c r="E10" s="1459">
        <v>433.33276310420302</v>
      </c>
      <c r="F10" s="1459">
        <v>0</v>
      </c>
      <c r="G10" s="1459">
        <v>31.043161596114651</v>
      </c>
      <c r="H10" s="1459">
        <v>0</v>
      </c>
      <c r="I10" s="1459">
        <v>24.278676011084276</v>
      </c>
      <c r="J10" s="1459">
        <v>729.07103217558551</v>
      </c>
      <c r="K10" s="1458">
        <f t="shared" ref="K10:K73" si="3">+SUM(L10:M10)</f>
        <v>6101.0667920178512</v>
      </c>
      <c r="L10" s="1174">
        <v>5916.3417119005753</v>
      </c>
      <c r="M10" s="1217">
        <v>184.72508011727587</v>
      </c>
      <c r="N10" s="173"/>
    </row>
    <row r="11" spans="2:14" ht="14.25" customHeight="1" x14ac:dyDescent="0.2">
      <c r="B11" s="1155" t="s">
        <v>31</v>
      </c>
      <c r="C11" s="1458">
        <f t="shared" si="1"/>
        <v>77227.403659880831</v>
      </c>
      <c r="D11" s="1458">
        <f t="shared" si="2"/>
        <v>70582.422042409831</v>
      </c>
      <c r="E11" s="1459">
        <v>20788.002304599999</v>
      </c>
      <c r="F11" s="1459">
        <v>0</v>
      </c>
      <c r="G11" s="1459">
        <v>597.283169100387</v>
      </c>
      <c r="H11" s="1459">
        <v>2364.4478514807347</v>
      </c>
      <c r="I11" s="1459">
        <v>3.3023002324771502</v>
      </c>
      <c r="J11" s="1459">
        <v>46829.386416996225</v>
      </c>
      <c r="K11" s="1458">
        <f t="shared" si="3"/>
        <v>6644.981617471004</v>
      </c>
      <c r="L11" s="1174">
        <v>6082.885119108968</v>
      </c>
      <c r="M11" s="1217">
        <v>562.09649836203607</v>
      </c>
      <c r="N11" s="173"/>
    </row>
    <row r="12" spans="2:14" ht="14.25" customHeight="1" x14ac:dyDescent="0.2">
      <c r="B12" s="1155" t="s">
        <v>32</v>
      </c>
      <c r="C12" s="1458">
        <f t="shared" si="1"/>
        <v>53961.816978863833</v>
      </c>
      <c r="D12" s="1458">
        <f t="shared" si="2"/>
        <v>14156.0272973137</v>
      </c>
      <c r="E12" s="1459">
        <v>-745.27540271346413</v>
      </c>
      <c r="F12" s="1459">
        <v>0</v>
      </c>
      <c r="G12" s="1459">
        <v>512.79770691542603</v>
      </c>
      <c r="H12" s="1459">
        <v>12953.845602215399</v>
      </c>
      <c r="I12" s="1459">
        <v>0</v>
      </c>
      <c r="J12" s="1459">
        <v>1434.6593908963389</v>
      </c>
      <c r="K12" s="1458">
        <f t="shared" si="3"/>
        <v>39805.78968155013</v>
      </c>
      <c r="L12" s="1174">
        <v>32630.135823720724</v>
      </c>
      <c r="M12" s="1217">
        <v>7175.6538578294058</v>
      </c>
      <c r="N12" s="173"/>
    </row>
    <row r="13" spans="2:14" ht="14.25" customHeight="1" x14ac:dyDescent="0.2">
      <c r="B13" s="1155" t="s">
        <v>33</v>
      </c>
      <c r="C13" s="1458">
        <f t="shared" si="1"/>
        <v>-343.04542126512609</v>
      </c>
      <c r="D13" s="1458">
        <f t="shared" si="2"/>
        <v>-399.87876187403094</v>
      </c>
      <c r="E13" s="1459">
        <v>-395.96937972779762</v>
      </c>
      <c r="F13" s="1459">
        <v>0</v>
      </c>
      <c r="G13" s="1459">
        <v>-25.057090527813411</v>
      </c>
      <c r="H13" s="1459">
        <v>7.1182937871358636</v>
      </c>
      <c r="I13" s="1459">
        <v>0</v>
      </c>
      <c r="J13" s="1459">
        <v>14.029414594444203</v>
      </c>
      <c r="K13" s="1458">
        <f t="shared" si="3"/>
        <v>56.833340608904848</v>
      </c>
      <c r="L13" s="1174">
        <v>0</v>
      </c>
      <c r="M13" s="1217">
        <v>56.833340608904848</v>
      </c>
      <c r="N13" s="173"/>
    </row>
    <row r="14" spans="2:14" ht="14.25" customHeight="1" x14ac:dyDescent="0.2">
      <c r="B14" s="1155" t="s">
        <v>34</v>
      </c>
      <c r="C14" s="1458">
        <f t="shared" si="1"/>
        <v>1551.0008039169954</v>
      </c>
      <c r="D14" s="1458">
        <f t="shared" si="2"/>
        <v>1550.5597432151119</v>
      </c>
      <c r="E14" s="1459">
        <v>1547.5407387583773</v>
      </c>
      <c r="F14" s="1459">
        <v>0</v>
      </c>
      <c r="G14" s="1459">
        <v>3.0190044567345171</v>
      </c>
      <c r="H14" s="1459">
        <v>0</v>
      </c>
      <c r="I14" s="1459">
        <v>0</v>
      </c>
      <c r="J14" s="1459">
        <v>0</v>
      </c>
      <c r="K14" s="1458">
        <f t="shared" si="3"/>
        <v>0.44106070188354352</v>
      </c>
      <c r="L14" s="1174">
        <v>0</v>
      </c>
      <c r="M14" s="1217">
        <v>0.44106070188354352</v>
      </c>
      <c r="N14" s="173"/>
    </row>
    <row r="15" spans="2:14" ht="14.25" customHeight="1" x14ac:dyDescent="0.2">
      <c r="B15" s="1155" t="s">
        <v>35</v>
      </c>
      <c r="C15" s="1458">
        <f t="shared" si="1"/>
        <v>11938.815067608886</v>
      </c>
      <c r="D15" s="1458">
        <f t="shared" si="2"/>
        <v>6947.7556777800946</v>
      </c>
      <c r="E15" s="1459">
        <v>688.75809239170087</v>
      </c>
      <c r="F15" s="1459">
        <v>0.87803495095367745</v>
      </c>
      <c r="G15" s="1459">
        <v>311.37174497136255</v>
      </c>
      <c r="H15" s="1459">
        <v>0</v>
      </c>
      <c r="I15" s="1459">
        <v>2.6393183847410779</v>
      </c>
      <c r="J15" s="1459">
        <v>5944.1084870813365</v>
      </c>
      <c r="K15" s="1458">
        <f t="shared" si="3"/>
        <v>4991.0593898287916</v>
      </c>
      <c r="L15" s="1174">
        <v>2885.6897561444289</v>
      </c>
      <c r="M15" s="1217">
        <v>2105.3696336843623</v>
      </c>
      <c r="N15" s="173"/>
    </row>
    <row r="16" spans="2:14" ht="14.25" customHeight="1" x14ac:dyDescent="0.2">
      <c r="B16" s="1094" t="s">
        <v>36</v>
      </c>
      <c r="C16" s="1458">
        <f t="shared" si="1"/>
        <v>-13.320891907351287</v>
      </c>
      <c r="D16" s="1458">
        <f t="shared" si="2"/>
        <v>-13.320891907351287</v>
      </c>
      <c r="E16" s="1459">
        <v>-13.342167683968011</v>
      </c>
      <c r="F16" s="1459">
        <v>0</v>
      </c>
      <c r="G16" s="1459">
        <v>0</v>
      </c>
      <c r="H16" s="1459">
        <v>0</v>
      </c>
      <c r="I16" s="1459">
        <v>2.1275776616723623E-2</v>
      </c>
      <c r="J16" s="1459">
        <v>0</v>
      </c>
      <c r="K16" s="1458">
        <f t="shared" si="3"/>
        <v>0</v>
      </c>
      <c r="L16" s="1174">
        <v>0</v>
      </c>
      <c r="M16" s="1217">
        <v>0</v>
      </c>
      <c r="N16" s="173"/>
    </row>
    <row r="17" spans="1:14" ht="14.25" customHeight="1" x14ac:dyDescent="0.2">
      <c r="A17" s="958"/>
      <c r="B17" s="1155" t="s">
        <v>37</v>
      </c>
      <c r="C17" s="1458">
        <f t="shared" si="1"/>
        <v>7422.1405339289504</v>
      </c>
      <c r="D17" s="1458">
        <f t="shared" si="2"/>
        <v>6702.4478420130827</v>
      </c>
      <c r="E17" s="1459">
        <v>2869.2161758254474</v>
      </c>
      <c r="F17" s="1459">
        <v>1.2132012951053943</v>
      </c>
      <c r="G17" s="1459">
        <v>-53.71461390771826</v>
      </c>
      <c r="H17" s="1459">
        <v>0</v>
      </c>
      <c r="I17" s="1459">
        <v>0</v>
      </c>
      <c r="J17" s="1459">
        <v>3885.7330788002478</v>
      </c>
      <c r="K17" s="1458">
        <f t="shared" si="3"/>
        <v>719.69269191586739</v>
      </c>
      <c r="L17" s="1174">
        <v>341.72397790533307</v>
      </c>
      <c r="M17" s="1217">
        <v>377.96871401053431</v>
      </c>
      <c r="N17" s="173"/>
    </row>
    <row r="18" spans="1:14" ht="14.25" customHeight="1" x14ac:dyDescent="0.2">
      <c r="A18" s="958"/>
      <c r="B18" s="1094" t="s">
        <v>38</v>
      </c>
      <c r="C18" s="1458">
        <f t="shared" si="1"/>
        <v>211426.84952728514</v>
      </c>
      <c r="D18" s="1458">
        <f t="shared" si="2"/>
        <v>167111.73061028757</v>
      </c>
      <c r="E18" s="1459">
        <v>129603.05769863859</v>
      </c>
      <c r="F18" s="1459">
        <v>25.302012443013588</v>
      </c>
      <c r="G18" s="1459">
        <v>4380.8156204039342</v>
      </c>
      <c r="H18" s="1459">
        <v>-1059.5520526108169</v>
      </c>
      <c r="I18" s="1459">
        <v>56.370290984260471</v>
      </c>
      <c r="J18" s="1459">
        <v>34105.737040428598</v>
      </c>
      <c r="K18" s="1458">
        <f t="shared" si="3"/>
        <v>44315.118916997555</v>
      </c>
      <c r="L18" s="1174">
        <v>37780.597323555892</v>
      </c>
      <c r="M18" s="1217">
        <v>6534.5215934416628</v>
      </c>
      <c r="N18" s="173"/>
    </row>
    <row r="19" spans="1:14" ht="14.25" customHeight="1" x14ac:dyDescent="0.2">
      <c r="A19" s="958"/>
      <c r="B19" s="1155" t="s">
        <v>39</v>
      </c>
      <c r="C19" s="1458">
        <f t="shared" si="1"/>
        <v>117080.72903831323</v>
      </c>
      <c r="D19" s="1458">
        <f t="shared" si="2"/>
        <v>83334.884111057312</v>
      </c>
      <c r="E19" s="1459">
        <v>12670.048319309652</v>
      </c>
      <c r="F19" s="1459">
        <v>2248.4638879098088</v>
      </c>
      <c r="G19" s="1459">
        <v>867.31616177123362</v>
      </c>
      <c r="H19" s="1459">
        <v>3212.6818336911897</v>
      </c>
      <c r="I19" s="1459">
        <v>0</v>
      </c>
      <c r="J19" s="1459">
        <v>64336.373908375426</v>
      </c>
      <c r="K19" s="1458">
        <f t="shared" si="3"/>
        <v>33745.844927255923</v>
      </c>
      <c r="L19" s="1174">
        <v>28481.744770550868</v>
      </c>
      <c r="M19" s="1217">
        <v>5264.1001567050553</v>
      </c>
      <c r="N19" s="173"/>
    </row>
    <row r="20" spans="1:14" ht="14.25" customHeight="1" x14ac:dyDescent="0.2">
      <c r="A20" s="958"/>
      <c r="B20" s="1155" t="s">
        <v>40</v>
      </c>
      <c r="C20" s="1458">
        <f t="shared" si="1"/>
        <v>1443.8093338526871</v>
      </c>
      <c r="D20" s="1458">
        <f t="shared" si="2"/>
        <v>1441.1824464352067</v>
      </c>
      <c r="E20" s="1459">
        <v>1064.1392372357113</v>
      </c>
      <c r="F20" s="1459">
        <v>272.8383396111642</v>
      </c>
      <c r="G20" s="1459">
        <v>10.338372525366655</v>
      </c>
      <c r="H20" s="1459">
        <v>0</v>
      </c>
      <c r="I20" s="1459">
        <v>0</v>
      </c>
      <c r="J20" s="1459">
        <v>93.866497062964427</v>
      </c>
      <c r="K20" s="1458">
        <f t="shared" si="3"/>
        <v>2.6268874174804751</v>
      </c>
      <c r="L20" s="1174">
        <v>0</v>
      </c>
      <c r="M20" s="1217">
        <v>2.6268874174804751</v>
      </c>
      <c r="N20" s="173"/>
    </row>
    <row r="21" spans="1:14" ht="14.25" customHeight="1" x14ac:dyDescent="0.2">
      <c r="A21" s="958"/>
      <c r="B21" s="1155" t="s">
        <v>41</v>
      </c>
      <c r="C21" s="1458">
        <f t="shared" si="1"/>
        <v>1642.8486517275869</v>
      </c>
      <c r="D21" s="1458">
        <f t="shared" si="2"/>
        <v>1619.9802880579182</v>
      </c>
      <c r="E21" s="1459">
        <v>1273.275233362968</v>
      </c>
      <c r="F21" s="1459">
        <v>0</v>
      </c>
      <c r="G21" s="1459">
        <v>0</v>
      </c>
      <c r="H21" s="1459">
        <v>291.13022871400608</v>
      </c>
      <c r="I21" s="1459">
        <v>0</v>
      </c>
      <c r="J21" s="1459">
        <v>55.57482598094397</v>
      </c>
      <c r="K21" s="1458">
        <f t="shared" si="3"/>
        <v>22.868363669668724</v>
      </c>
      <c r="L21" s="1174">
        <v>0</v>
      </c>
      <c r="M21" s="1217">
        <v>22.868363669668724</v>
      </c>
      <c r="N21" s="173"/>
    </row>
    <row r="22" spans="1:14" ht="14.25" customHeight="1" x14ac:dyDescent="0.2">
      <c r="A22" s="958"/>
      <c r="B22" s="1155" t="s">
        <v>42</v>
      </c>
      <c r="C22" s="1458">
        <f t="shared" si="1"/>
        <v>45.011783060774256</v>
      </c>
      <c r="D22" s="1458">
        <f t="shared" si="2"/>
        <v>42.75702931559205</v>
      </c>
      <c r="E22" s="1459">
        <v>42.591284040911582</v>
      </c>
      <c r="F22" s="1459">
        <v>0.16574527468047132</v>
      </c>
      <c r="G22" s="1459">
        <v>0</v>
      </c>
      <c r="H22" s="1459">
        <v>0</v>
      </c>
      <c r="I22" s="1459">
        <v>0</v>
      </c>
      <c r="J22" s="1459">
        <v>0</v>
      </c>
      <c r="K22" s="1458">
        <f t="shared" si="3"/>
        <v>2.2547537451822066</v>
      </c>
      <c r="L22" s="1174">
        <v>0</v>
      </c>
      <c r="M22" s="1217">
        <v>2.2547537451822066</v>
      </c>
      <c r="N22" s="173"/>
    </row>
    <row r="23" spans="1:14" ht="14.25" customHeight="1" x14ac:dyDescent="0.2">
      <c r="A23" s="958"/>
      <c r="B23" s="1155" t="s">
        <v>43</v>
      </c>
      <c r="C23" s="1458">
        <f t="shared" si="1"/>
        <v>49321.082766263266</v>
      </c>
      <c r="D23" s="1458">
        <f t="shared" si="2"/>
        <v>49106.659561809574</v>
      </c>
      <c r="E23" s="1459">
        <v>-7702.2503961466</v>
      </c>
      <c r="F23" s="1459">
        <v>8.2617583142837301</v>
      </c>
      <c r="G23" s="1459">
        <v>15352.363185136815</v>
      </c>
      <c r="H23" s="1459">
        <v>19108.017977024119</v>
      </c>
      <c r="I23" s="1459">
        <v>0</v>
      </c>
      <c r="J23" s="1459">
        <v>22340.267037480953</v>
      </c>
      <c r="K23" s="1458">
        <f t="shared" si="3"/>
        <v>214.42320445369114</v>
      </c>
      <c r="L23" s="1174">
        <v>0</v>
      </c>
      <c r="M23" s="1217">
        <v>214.42320445369114</v>
      </c>
      <c r="N23" s="173"/>
    </row>
    <row r="24" spans="1:14" ht="14.25" customHeight="1" x14ac:dyDescent="0.2">
      <c r="A24" s="958"/>
      <c r="B24" s="1155" t="s">
        <v>44</v>
      </c>
      <c r="C24" s="1458">
        <f t="shared" si="1"/>
        <v>1754.4086298838288</v>
      </c>
      <c r="D24" s="1458">
        <f t="shared" si="2"/>
        <v>217.17041498534263</v>
      </c>
      <c r="E24" s="1459">
        <v>-127.480499936223</v>
      </c>
      <c r="F24" s="1459">
        <v>110.80752105681026</v>
      </c>
      <c r="G24" s="1459">
        <v>78.134790238010439</v>
      </c>
      <c r="H24" s="1459">
        <v>155.70860362674495</v>
      </c>
      <c r="I24" s="1459">
        <v>0</v>
      </c>
      <c r="J24" s="1459">
        <v>0</v>
      </c>
      <c r="K24" s="1458">
        <f t="shared" si="3"/>
        <v>1537.2382148984861</v>
      </c>
      <c r="L24" s="1174">
        <v>1311.7567452905103</v>
      </c>
      <c r="M24" s="1217">
        <v>225.4814696079759</v>
      </c>
      <c r="N24" s="173"/>
    </row>
    <row r="25" spans="1:14" ht="14.25" customHeight="1" x14ac:dyDescent="0.2">
      <c r="A25" s="958"/>
      <c r="B25" s="1155" t="s">
        <v>45</v>
      </c>
      <c r="C25" s="1458">
        <f t="shared" si="1"/>
        <v>12295.918666332425</v>
      </c>
      <c r="D25" s="1458">
        <f t="shared" si="2"/>
        <v>8279.2378085001892</v>
      </c>
      <c r="E25" s="1459">
        <v>831.62656857086438</v>
      </c>
      <c r="F25" s="1459">
        <v>11.048642862847675</v>
      </c>
      <c r="G25" s="1459">
        <v>2124.3154442421769</v>
      </c>
      <c r="H25" s="1459">
        <v>-597.17046177811812</v>
      </c>
      <c r="I25" s="1459">
        <v>84.314868692089362</v>
      </c>
      <c r="J25" s="1459">
        <v>5825.1027459103288</v>
      </c>
      <c r="K25" s="1458">
        <f t="shared" si="3"/>
        <v>4016.6808578322361</v>
      </c>
      <c r="L25" s="1174">
        <v>3552.28115846539</v>
      </c>
      <c r="M25" s="1217">
        <v>464.39969936684611</v>
      </c>
      <c r="N25" s="173"/>
    </row>
    <row r="26" spans="1:14" ht="14.25" customHeight="1" x14ac:dyDescent="0.2">
      <c r="A26" s="958"/>
      <c r="B26" s="1155" t="s">
        <v>46</v>
      </c>
      <c r="C26" s="1458">
        <f t="shared" si="1"/>
        <v>63379.8102207966</v>
      </c>
      <c r="D26" s="1458">
        <f t="shared" si="2"/>
        <v>27882.46846265455</v>
      </c>
      <c r="E26" s="1459">
        <v>13875.26778368908</v>
      </c>
      <c r="F26" s="1459">
        <v>0.10243480824884013</v>
      </c>
      <c r="G26" s="1459">
        <v>413.02631758289124</v>
      </c>
      <c r="H26" s="1459">
        <v>0</v>
      </c>
      <c r="I26" s="1459">
        <v>0</v>
      </c>
      <c r="J26" s="1459">
        <v>13594.07192657433</v>
      </c>
      <c r="K26" s="1458">
        <f t="shared" si="3"/>
        <v>35497.341758142051</v>
      </c>
      <c r="L26" s="1174">
        <v>10267.61553167849</v>
      </c>
      <c r="M26" s="1217">
        <v>25229.726226463565</v>
      </c>
      <c r="N26" s="173"/>
    </row>
    <row r="27" spans="1:14" ht="14.25" customHeight="1" x14ac:dyDescent="0.2">
      <c r="A27" s="958" t="s">
        <v>308</v>
      </c>
      <c r="B27" s="1155" t="s">
        <v>47</v>
      </c>
      <c r="C27" s="1458">
        <f t="shared" si="1"/>
        <v>5141.6799102938876</v>
      </c>
      <c r="D27" s="1458">
        <f t="shared" si="2"/>
        <v>2561.2355055777798</v>
      </c>
      <c r="E27" s="1459">
        <v>1072.8952116912624</v>
      </c>
      <c r="F27" s="1459">
        <v>4.5337791897297662E-2</v>
      </c>
      <c r="G27" s="1459">
        <v>0</v>
      </c>
      <c r="H27" s="1459">
        <v>0</v>
      </c>
      <c r="I27" s="1459">
        <v>0</v>
      </c>
      <c r="J27" s="1459">
        <v>1488.2949560946199</v>
      </c>
      <c r="K27" s="1458">
        <f t="shared" si="3"/>
        <v>2580.4444047161078</v>
      </c>
      <c r="L27" s="1174">
        <v>0</v>
      </c>
      <c r="M27" s="1217">
        <v>2580.4444047161078</v>
      </c>
      <c r="N27" s="173"/>
    </row>
    <row r="28" spans="1:14" ht="14.25" customHeight="1" x14ac:dyDescent="0.2">
      <c r="A28" s="958"/>
      <c r="B28" s="1154" t="s">
        <v>48</v>
      </c>
      <c r="C28" s="1458">
        <f t="shared" si="1"/>
        <v>-4.2620184009749282</v>
      </c>
      <c r="D28" s="1458">
        <f t="shared" si="2"/>
        <v>-4.5411252294764637</v>
      </c>
      <c r="E28" s="1459">
        <v>-5.8779063725395622</v>
      </c>
      <c r="F28" s="1459">
        <v>1.3367811430630989</v>
      </c>
      <c r="G28" s="1459">
        <v>0</v>
      </c>
      <c r="H28" s="1459">
        <v>0</v>
      </c>
      <c r="I28" s="1459">
        <v>0</v>
      </c>
      <c r="J28" s="1459">
        <v>0</v>
      </c>
      <c r="K28" s="1458">
        <f t="shared" si="3"/>
        <v>0.27910682850153545</v>
      </c>
      <c r="L28" s="1174">
        <v>0</v>
      </c>
      <c r="M28" s="1217">
        <v>0.27910682850153545</v>
      </c>
      <c r="N28" s="173"/>
    </row>
    <row r="29" spans="1:14" ht="14.25" customHeight="1" x14ac:dyDescent="0.2">
      <c r="A29" s="958"/>
      <c r="B29" s="1154" t="s">
        <v>49</v>
      </c>
      <c r="C29" s="1458">
        <f t="shared" si="1"/>
        <v>97895.943290237556</v>
      </c>
      <c r="D29" s="1458">
        <f t="shared" si="2"/>
        <v>73692.697455079891</v>
      </c>
      <c r="E29" s="1459">
        <v>34534.949480493509</v>
      </c>
      <c r="F29" s="1459">
        <v>0</v>
      </c>
      <c r="G29" s="1459">
        <v>7307.021577140571</v>
      </c>
      <c r="H29" s="1459">
        <v>11353.671380697848</v>
      </c>
      <c r="I29" s="1459">
        <v>0</v>
      </c>
      <c r="J29" s="1459">
        <v>20497.055016747963</v>
      </c>
      <c r="K29" s="1458">
        <f t="shared" si="3"/>
        <v>24203.245835157664</v>
      </c>
      <c r="L29" s="1174">
        <v>22456.171759956647</v>
      </c>
      <c r="M29" s="1217">
        <v>1747.074075201017</v>
      </c>
      <c r="N29" s="173"/>
    </row>
    <row r="30" spans="1:14" ht="14.25" customHeight="1" x14ac:dyDescent="0.2">
      <c r="A30" s="958"/>
      <c r="B30" s="1154" t="s">
        <v>50</v>
      </c>
      <c r="C30" s="1458">
        <f t="shared" si="1"/>
        <v>11941.637583040174</v>
      </c>
      <c r="D30" s="1458">
        <f t="shared" si="2"/>
        <v>9875.5786568872227</v>
      </c>
      <c r="E30" s="1459">
        <v>-2420.2689672782058</v>
      </c>
      <c r="F30" s="1459">
        <v>5.9972282742800352E-4</v>
      </c>
      <c r="G30" s="1459">
        <v>60.949648084594592</v>
      </c>
      <c r="H30" s="1459">
        <v>0</v>
      </c>
      <c r="I30" s="1459">
        <v>0</v>
      </c>
      <c r="J30" s="1459">
        <v>12234.897376358007</v>
      </c>
      <c r="K30" s="1458">
        <f t="shared" si="3"/>
        <v>2066.0589261529512</v>
      </c>
      <c r="L30" s="1174">
        <v>0</v>
      </c>
      <c r="M30" s="1217">
        <v>2066.0589261529512</v>
      </c>
      <c r="N30" s="173"/>
    </row>
    <row r="31" spans="1:14" ht="14.25" customHeight="1" x14ac:dyDescent="0.2">
      <c r="A31" s="958"/>
      <c r="B31" s="1154" t="s">
        <v>51</v>
      </c>
      <c r="C31" s="1458">
        <f t="shared" si="1"/>
        <v>159709.27141464892</v>
      </c>
      <c r="D31" s="1458">
        <f t="shared" si="2"/>
        <v>90747.933385031094</v>
      </c>
      <c r="E31" s="1459">
        <v>37015.66453731605</v>
      </c>
      <c r="F31" s="1459">
        <v>977.87459018250672</v>
      </c>
      <c r="G31" s="1459">
        <v>7241.864399864744</v>
      </c>
      <c r="H31" s="1459">
        <v>9152.7213614192351</v>
      </c>
      <c r="I31" s="1459">
        <v>40.864565927558992</v>
      </c>
      <c r="J31" s="1459">
        <v>36318.943930321002</v>
      </c>
      <c r="K31" s="1458">
        <f t="shared" si="3"/>
        <v>68961.338029617822</v>
      </c>
      <c r="L31" s="1174">
        <v>56497.637432704418</v>
      </c>
      <c r="M31" s="1217">
        <v>12463.700596913404</v>
      </c>
      <c r="N31" s="173"/>
    </row>
    <row r="32" spans="1:14" ht="14.25" customHeight="1" x14ac:dyDescent="0.2">
      <c r="A32" s="958"/>
      <c r="B32" s="1154" t="s">
        <v>52</v>
      </c>
      <c r="C32" s="1458">
        <f t="shared" si="1"/>
        <v>2181.5869325030612</v>
      </c>
      <c r="D32" s="1458">
        <f t="shared" si="2"/>
        <v>-356.38484814082602</v>
      </c>
      <c r="E32" s="1459">
        <v>-386.08379980683003</v>
      </c>
      <c r="F32" s="1459">
        <v>0.65770219700894816</v>
      </c>
      <c r="G32" s="1459">
        <v>29.041249468995034</v>
      </c>
      <c r="H32" s="1459">
        <v>0</v>
      </c>
      <c r="I32" s="1459">
        <v>0</v>
      </c>
      <c r="J32" s="1459">
        <v>0</v>
      </c>
      <c r="K32" s="1458">
        <f t="shared" si="3"/>
        <v>2537.9717806438871</v>
      </c>
      <c r="L32" s="1174">
        <v>0</v>
      </c>
      <c r="M32" s="1217">
        <v>2537.9717806438871</v>
      </c>
      <c r="N32" s="173"/>
    </row>
    <row r="33" spans="1:14" ht="14.25" customHeight="1" x14ac:dyDescent="0.2">
      <c r="A33" s="958"/>
      <c r="B33" s="1154" t="s">
        <v>53</v>
      </c>
      <c r="C33" s="1458">
        <f t="shared" si="1"/>
        <v>17841.830948986506</v>
      </c>
      <c r="D33" s="1458">
        <f t="shared" si="2"/>
        <v>12610.991648048961</v>
      </c>
      <c r="E33" s="1459">
        <v>12160.414384293175</v>
      </c>
      <c r="F33" s="1459">
        <v>0</v>
      </c>
      <c r="G33" s="1459">
        <v>115.11282002981895</v>
      </c>
      <c r="H33" s="1459">
        <v>0</v>
      </c>
      <c r="I33" s="1459">
        <v>0</v>
      </c>
      <c r="J33" s="1459">
        <v>335.46444372596585</v>
      </c>
      <c r="K33" s="1458">
        <f t="shared" si="3"/>
        <v>5230.839300937545</v>
      </c>
      <c r="L33" s="1174">
        <v>0</v>
      </c>
      <c r="M33" s="1217">
        <v>5230.839300937545</v>
      </c>
      <c r="N33" s="173"/>
    </row>
    <row r="34" spans="1:14" ht="14.25" customHeight="1" x14ac:dyDescent="0.2">
      <c r="A34" s="958"/>
      <c r="B34" s="1154" t="s">
        <v>54</v>
      </c>
      <c r="C34" s="1458">
        <f t="shared" si="1"/>
        <v>-8300.0134877695091</v>
      </c>
      <c r="D34" s="1458">
        <f t="shared" si="2"/>
        <v>-8306.0486783043289</v>
      </c>
      <c r="E34" s="1459">
        <v>-9819.6407950871999</v>
      </c>
      <c r="F34" s="1459">
        <v>0</v>
      </c>
      <c r="G34" s="1459">
        <v>-60.156873900061136</v>
      </c>
      <c r="H34" s="1459">
        <v>0</v>
      </c>
      <c r="I34" s="1459">
        <v>0</v>
      </c>
      <c r="J34" s="1459">
        <v>1573.7489906829326</v>
      </c>
      <c r="K34" s="1458">
        <f t="shared" si="3"/>
        <v>6.0351905348197761</v>
      </c>
      <c r="L34" s="1174">
        <v>0</v>
      </c>
      <c r="M34" s="1217">
        <v>6.0351905348197761</v>
      </c>
      <c r="N34" s="173"/>
    </row>
    <row r="35" spans="1:14" ht="14.25" customHeight="1" x14ac:dyDescent="0.2">
      <c r="A35" s="958"/>
      <c r="B35" s="1154" t="s">
        <v>55</v>
      </c>
      <c r="C35" s="1458">
        <f t="shared" si="1"/>
        <v>913.12167095701648</v>
      </c>
      <c r="D35" s="1458">
        <f t="shared" si="2"/>
        <v>10.430603019293073</v>
      </c>
      <c r="E35" s="1459">
        <v>-513.62600494397748</v>
      </c>
      <c r="F35" s="1459">
        <v>0.49172749178789138</v>
      </c>
      <c r="G35" s="1459">
        <v>167.70241013896438</v>
      </c>
      <c r="H35" s="1459">
        <v>0</v>
      </c>
      <c r="I35" s="1459">
        <v>0</v>
      </c>
      <c r="J35" s="1459">
        <v>355.86247033251828</v>
      </c>
      <c r="K35" s="1458">
        <f t="shared" si="3"/>
        <v>902.69106793772335</v>
      </c>
      <c r="L35" s="1174">
        <v>0</v>
      </c>
      <c r="M35" s="1217">
        <v>902.69106793772335</v>
      </c>
      <c r="N35" s="173"/>
    </row>
    <row r="36" spans="1:14" ht="14.25" customHeight="1" x14ac:dyDescent="0.2">
      <c r="A36" s="958" t="s">
        <v>336</v>
      </c>
      <c r="B36" s="1154" t="s">
        <v>56</v>
      </c>
      <c r="C36" s="1458">
        <f t="shared" si="1"/>
        <v>295.3660782125985</v>
      </c>
      <c r="D36" s="1458">
        <f t="shared" si="2"/>
        <v>283.7216173452324</v>
      </c>
      <c r="E36" s="1459">
        <v>264.54930876521507</v>
      </c>
      <c r="F36" s="1459">
        <v>0</v>
      </c>
      <c r="G36" s="1459">
        <v>0</v>
      </c>
      <c r="H36" s="1459">
        <v>0</v>
      </c>
      <c r="I36" s="1459">
        <v>0</v>
      </c>
      <c r="J36" s="1459">
        <v>19.172308580017337</v>
      </c>
      <c r="K36" s="1458">
        <f t="shared" si="3"/>
        <v>11.644460867366092</v>
      </c>
      <c r="L36" s="1174">
        <v>0</v>
      </c>
      <c r="M36" s="1217">
        <v>11.644460867366092</v>
      </c>
      <c r="N36" s="173"/>
    </row>
    <row r="37" spans="1:14" ht="14.25" customHeight="1" x14ac:dyDescent="0.2">
      <c r="A37" s="958"/>
      <c r="B37" s="1154" t="s">
        <v>57</v>
      </c>
      <c r="C37" s="1458">
        <f t="shared" si="1"/>
        <v>-23.17763931395919</v>
      </c>
      <c r="D37" s="1458">
        <f t="shared" si="2"/>
        <v>-24.905432023456282</v>
      </c>
      <c r="E37" s="1459">
        <v>-24.860545189177721</v>
      </c>
      <c r="F37" s="1459">
        <v>-4.4886834278559232E-2</v>
      </c>
      <c r="G37" s="1459">
        <v>0</v>
      </c>
      <c r="H37" s="1459">
        <v>0</v>
      </c>
      <c r="I37" s="1459">
        <v>0</v>
      </c>
      <c r="J37" s="1459">
        <v>0</v>
      </c>
      <c r="K37" s="1458">
        <f t="shared" si="3"/>
        <v>1.7277927094970913</v>
      </c>
      <c r="L37" s="1174">
        <v>0</v>
      </c>
      <c r="M37" s="1217">
        <v>1.7277927094970913</v>
      </c>
      <c r="N37" s="173"/>
    </row>
    <row r="38" spans="1:14" ht="14.25" customHeight="1" x14ac:dyDescent="0.2">
      <c r="A38" s="958"/>
      <c r="B38" s="1154" t="s">
        <v>58</v>
      </c>
      <c r="C38" s="1458">
        <f t="shared" si="1"/>
        <v>10181.739415194243</v>
      </c>
      <c r="D38" s="1458">
        <f t="shared" si="2"/>
        <v>3622.4207306510007</v>
      </c>
      <c r="E38" s="1459">
        <v>-3066.2105270970255</v>
      </c>
      <c r="F38" s="1459">
        <v>15.84816114101875</v>
      </c>
      <c r="G38" s="1459">
        <v>2307.3896754350289</v>
      </c>
      <c r="H38" s="1459">
        <v>-732.27055177521595</v>
      </c>
      <c r="I38" s="1459">
        <v>9.2651582362935549</v>
      </c>
      <c r="J38" s="1459">
        <v>5088.3988147109012</v>
      </c>
      <c r="K38" s="1458">
        <f t="shared" si="3"/>
        <v>6559.3186845432419</v>
      </c>
      <c r="L38" s="1174">
        <v>5567.2824289672672</v>
      </c>
      <c r="M38" s="1217">
        <v>992.03625557597479</v>
      </c>
      <c r="N38" s="173"/>
    </row>
    <row r="39" spans="1:14" s="25" customFormat="1" ht="14.25" customHeight="1" x14ac:dyDescent="0.2">
      <c r="A39" s="1115"/>
      <c r="B39" s="1080" t="s">
        <v>59</v>
      </c>
      <c r="C39" s="1458">
        <f t="shared" si="1"/>
        <v>31146.006388506787</v>
      </c>
      <c r="D39" s="1458">
        <f t="shared" si="2"/>
        <v>22127.550497897446</v>
      </c>
      <c r="E39" s="1459">
        <v>11741.65564652445</v>
      </c>
      <c r="F39" s="1459">
        <v>4.6620851891726627</v>
      </c>
      <c r="G39" s="1459">
        <v>537.47488592858201</v>
      </c>
      <c r="H39" s="1459">
        <v>209.25389308022665</v>
      </c>
      <c r="I39" s="1459">
        <v>0</v>
      </c>
      <c r="J39" s="1459">
        <v>9634.5039871750123</v>
      </c>
      <c r="K39" s="1458">
        <f t="shared" si="3"/>
        <v>9018.4558906093389</v>
      </c>
      <c r="L39" s="1174">
        <v>8735.6687563038304</v>
      </c>
      <c r="M39" s="1217">
        <v>282.78713430550852</v>
      </c>
      <c r="N39" s="271"/>
    </row>
    <row r="40" spans="1:14" ht="14.25" customHeight="1" x14ac:dyDescent="0.2">
      <c r="A40" s="958"/>
      <c r="B40" s="1154" t="s">
        <v>60</v>
      </c>
      <c r="C40" s="1458">
        <f t="shared" si="1"/>
        <v>55211.576234721724</v>
      </c>
      <c r="D40" s="1458">
        <f t="shared" si="2"/>
        <v>45774.956453113162</v>
      </c>
      <c r="E40" s="1459">
        <v>2080.9177681414535</v>
      </c>
      <c r="F40" s="1459">
        <v>8.1678915044821601</v>
      </c>
      <c r="G40" s="1459">
        <v>2200.5737200124231</v>
      </c>
      <c r="H40" s="1459">
        <v>3383.4501356892692</v>
      </c>
      <c r="I40" s="1459">
        <v>45.027409454487682</v>
      </c>
      <c r="J40" s="1459">
        <v>38056.819528311047</v>
      </c>
      <c r="K40" s="1458">
        <f t="shared" si="3"/>
        <v>9436.6197816085623</v>
      </c>
      <c r="L40" s="1174">
        <v>0</v>
      </c>
      <c r="M40" s="1217">
        <v>9436.6197816085623</v>
      </c>
      <c r="N40" s="173"/>
    </row>
    <row r="41" spans="1:14" ht="14.25" customHeight="1" x14ac:dyDescent="0.2">
      <c r="A41" s="958"/>
      <c r="B41" s="1154" t="s">
        <v>61</v>
      </c>
      <c r="C41" s="1458">
        <f t="shared" si="1"/>
        <v>1537.4335278325104</v>
      </c>
      <c r="D41" s="1458">
        <f t="shared" si="2"/>
        <v>1473.2650093428642</v>
      </c>
      <c r="E41" s="1459">
        <v>61.264790593573771</v>
      </c>
      <c r="F41" s="1459">
        <v>-1.9907452305176425E-2</v>
      </c>
      <c r="G41" s="1459">
        <v>0</v>
      </c>
      <c r="H41" s="1459">
        <v>0</v>
      </c>
      <c r="I41" s="1459">
        <v>11.699414270835703</v>
      </c>
      <c r="J41" s="1459">
        <v>1400.3207119307599</v>
      </c>
      <c r="K41" s="1458">
        <f t="shared" si="3"/>
        <v>64.168518489646203</v>
      </c>
      <c r="L41" s="1174">
        <v>0</v>
      </c>
      <c r="M41" s="1217">
        <v>64.168518489646203</v>
      </c>
      <c r="N41" s="173"/>
    </row>
    <row r="42" spans="1:14" ht="14.25" customHeight="1" x14ac:dyDescent="0.2">
      <c r="A42" s="958"/>
      <c r="B42" s="1154" t="s">
        <v>62</v>
      </c>
      <c r="C42" s="1458">
        <f t="shared" si="1"/>
        <v>178911.81455327503</v>
      </c>
      <c r="D42" s="1458">
        <f t="shared" si="2"/>
        <v>127425.76276870121</v>
      </c>
      <c r="E42" s="1459">
        <v>-7215.0931222393356</v>
      </c>
      <c r="F42" s="1459">
        <v>966.97625512017873</v>
      </c>
      <c r="G42" s="1459">
        <v>9845.1054887291903</v>
      </c>
      <c r="H42" s="1459">
        <v>29627.559175909941</v>
      </c>
      <c r="I42" s="1459">
        <v>125.68868391817556</v>
      </c>
      <c r="J42" s="1459">
        <v>94075.52628726307</v>
      </c>
      <c r="K42" s="1458">
        <f t="shared" si="3"/>
        <v>51486.051784573821</v>
      </c>
      <c r="L42" s="1174">
        <v>27117.231554607602</v>
      </c>
      <c r="M42" s="1217">
        <v>24368.820229966223</v>
      </c>
      <c r="N42" s="173"/>
    </row>
    <row r="43" spans="1:14" ht="14.25" customHeight="1" x14ac:dyDescent="0.2">
      <c r="A43" s="958"/>
      <c r="B43" s="1154" t="s">
        <v>63</v>
      </c>
      <c r="C43" s="1458">
        <f t="shared" si="1"/>
        <v>1003153.5983449486</v>
      </c>
      <c r="D43" s="1458">
        <f t="shared" si="2"/>
        <v>563743.02633283485</v>
      </c>
      <c r="E43" s="1459">
        <v>-35888.639431204974</v>
      </c>
      <c r="F43" s="1459">
        <v>0</v>
      </c>
      <c r="G43" s="1459">
        <v>237552.46052707723</v>
      </c>
      <c r="H43" s="1459">
        <v>106511.34819416545</v>
      </c>
      <c r="I43" s="1459">
        <v>9.1785563993794046</v>
      </c>
      <c r="J43" s="1459">
        <v>255558.67848639775</v>
      </c>
      <c r="K43" s="1458">
        <f t="shared" si="3"/>
        <v>439410.57201211381</v>
      </c>
      <c r="L43" s="1174">
        <v>266355.21562039707</v>
      </c>
      <c r="M43" s="1217">
        <v>173055.35639171675</v>
      </c>
      <c r="N43" s="173"/>
    </row>
    <row r="44" spans="1:14" ht="40" customHeight="1" x14ac:dyDescent="0.2">
      <c r="A44" s="958"/>
      <c r="B44" s="7" t="s">
        <v>64</v>
      </c>
      <c r="C44" s="1207">
        <f>+SUM(C45:C51)</f>
        <v>207789.78846278359</v>
      </c>
      <c r="D44" s="1207">
        <f t="shared" ref="D44:M44" si="4">+SUM(D45:D51)</f>
        <v>22170.092096658031</v>
      </c>
      <c r="E44" s="245">
        <f t="shared" si="4"/>
        <v>12356.026878230501</v>
      </c>
      <c r="F44" s="245">
        <f t="shared" si="4"/>
        <v>4051.7033510616852</v>
      </c>
      <c r="G44" s="245">
        <f t="shared" si="4"/>
        <v>-221.49061857383253</v>
      </c>
      <c r="H44" s="245">
        <f t="shared" si="4"/>
        <v>-605.76330637259639</v>
      </c>
      <c r="I44" s="245">
        <f t="shared" si="4"/>
        <v>0</v>
      </c>
      <c r="J44" s="245">
        <f t="shared" si="4"/>
        <v>6589.6157923122691</v>
      </c>
      <c r="K44" s="1207">
        <f t="shared" si="4"/>
        <v>185619.69636612563</v>
      </c>
      <c r="L44" s="245">
        <f t="shared" si="4"/>
        <v>0</v>
      </c>
      <c r="M44" s="624">
        <f t="shared" si="4"/>
        <v>185619.69636612563</v>
      </c>
      <c r="N44" s="173"/>
    </row>
    <row r="45" spans="1:14" x14ac:dyDescent="0.2">
      <c r="A45" s="958"/>
      <c r="B45" s="1155" t="s">
        <v>65</v>
      </c>
      <c r="C45" s="1458">
        <f t="shared" ref="C45:C51" si="5">+D45+K45</f>
        <v>22255.332501510988</v>
      </c>
      <c r="D45" s="1458">
        <f t="shared" si="2"/>
        <v>21280.177618859641</v>
      </c>
      <c r="E45" s="1459">
        <v>17705.220291142199</v>
      </c>
      <c r="F45" s="1459">
        <v>1.9262341254779852E-2</v>
      </c>
      <c r="G45" s="1459">
        <v>-166.6414552863763</v>
      </c>
      <c r="H45" s="1459">
        <v>1601.6293248446195</v>
      </c>
      <c r="I45" s="1459">
        <v>0</v>
      </c>
      <c r="J45" s="1459">
        <v>2139.950195817943</v>
      </c>
      <c r="K45" s="1458">
        <f t="shared" si="3"/>
        <v>975.15488265134627</v>
      </c>
      <c r="L45" s="1174">
        <v>0</v>
      </c>
      <c r="M45" s="1217">
        <v>975.15488265134627</v>
      </c>
      <c r="N45" s="173"/>
    </row>
    <row r="46" spans="1:14" x14ac:dyDescent="0.2">
      <c r="A46" s="329" t="s">
        <v>337</v>
      </c>
      <c r="B46" s="1154" t="s">
        <v>66</v>
      </c>
      <c r="C46" s="1458">
        <f t="shared" si="5"/>
        <v>149504.8853445545</v>
      </c>
      <c r="D46" s="1458">
        <f t="shared" si="2"/>
        <v>21.119639583179378</v>
      </c>
      <c r="E46" s="1459">
        <v>-3233.462590341649</v>
      </c>
      <c r="F46" s="1459">
        <v>43.26140806395388</v>
      </c>
      <c r="G46" s="1459">
        <v>-47.743435304795341</v>
      </c>
      <c r="H46" s="1459">
        <v>310.64859227388001</v>
      </c>
      <c r="I46" s="1459">
        <v>0</v>
      </c>
      <c r="J46" s="1459">
        <v>2948.4156648917897</v>
      </c>
      <c r="K46" s="1458">
        <f t="shared" si="3"/>
        <v>149483.76570497133</v>
      </c>
      <c r="L46" s="1174">
        <v>0</v>
      </c>
      <c r="M46" s="1217">
        <v>149483.76570497133</v>
      </c>
      <c r="N46" s="173"/>
    </row>
    <row r="47" spans="1:14" x14ac:dyDescent="0.2">
      <c r="A47" s="958"/>
      <c r="B47" s="1154" t="s">
        <v>67</v>
      </c>
      <c r="C47" s="1458">
        <f t="shared" si="5"/>
        <v>3281.1683549992799</v>
      </c>
      <c r="D47" s="1458">
        <f t="shared" si="2"/>
        <v>-9.6820721270468759</v>
      </c>
      <c r="E47" s="1459">
        <v>-9.7127999951406991</v>
      </c>
      <c r="F47" s="1459">
        <v>3.0727868093823073E-2</v>
      </c>
      <c r="G47" s="1459">
        <v>0</v>
      </c>
      <c r="H47" s="1459">
        <v>0</v>
      </c>
      <c r="I47" s="1459">
        <v>0</v>
      </c>
      <c r="J47" s="1459">
        <v>0</v>
      </c>
      <c r="K47" s="1458">
        <f t="shared" si="3"/>
        <v>3290.8504271263268</v>
      </c>
      <c r="L47" s="1174">
        <v>0</v>
      </c>
      <c r="M47" s="1217">
        <v>3290.8504271263268</v>
      </c>
      <c r="N47" s="173"/>
    </row>
    <row r="48" spans="1:14" x14ac:dyDescent="0.2">
      <c r="A48" s="958"/>
      <c r="B48" s="1154" t="s">
        <v>68</v>
      </c>
      <c r="C48" s="1458">
        <f t="shared" si="5"/>
        <v>391.54700629603752</v>
      </c>
      <c r="D48" s="1458">
        <f t="shared" si="2"/>
        <v>-4.8489462310344802</v>
      </c>
      <c r="E48" s="1174">
        <v>-4.8563999975702998</v>
      </c>
      <c r="F48" s="1174">
        <v>7.4537665358196262E-3</v>
      </c>
      <c r="G48" s="1174">
        <v>0</v>
      </c>
      <c r="H48" s="1174">
        <v>0</v>
      </c>
      <c r="I48" s="1174">
        <v>0</v>
      </c>
      <c r="J48" s="1174">
        <v>0</v>
      </c>
      <c r="K48" s="1458">
        <f t="shared" si="3"/>
        <v>396.39595252707198</v>
      </c>
      <c r="L48" s="1174">
        <v>0</v>
      </c>
      <c r="M48" s="1217">
        <v>396.39595252707198</v>
      </c>
      <c r="N48" s="173"/>
    </row>
    <row r="49" spans="1:14" ht="14.25" customHeight="1" x14ac:dyDescent="0.2">
      <c r="A49" s="958"/>
      <c r="B49" s="1154" t="s">
        <v>69</v>
      </c>
      <c r="C49" s="1458">
        <f t="shared" si="5"/>
        <v>15361.297585290473</v>
      </c>
      <c r="D49" s="1458">
        <f t="shared" si="2"/>
        <v>94.674979832904555</v>
      </c>
      <c r="E49" s="1459">
        <v>92.109593166567365</v>
      </c>
      <c r="F49" s="1459">
        <v>2.5653866663371852</v>
      </c>
      <c r="G49" s="1459">
        <v>0</v>
      </c>
      <c r="H49" s="1459">
        <v>0</v>
      </c>
      <c r="I49" s="1459">
        <v>0</v>
      </c>
      <c r="J49" s="1459">
        <v>0</v>
      </c>
      <c r="K49" s="1458">
        <f t="shared" si="3"/>
        <v>15266.622605457569</v>
      </c>
      <c r="L49" s="1174">
        <v>0</v>
      </c>
      <c r="M49" s="1217">
        <v>15266.622605457569</v>
      </c>
      <c r="N49" s="173"/>
    </row>
    <row r="50" spans="1:14" ht="14.25" customHeight="1" x14ac:dyDescent="0.2">
      <c r="A50" s="329" t="s">
        <v>338</v>
      </c>
      <c r="B50" s="1154" t="s">
        <v>70</v>
      </c>
      <c r="C50" s="1458">
        <f t="shared" si="5"/>
        <v>2479.6631017541658</v>
      </c>
      <c r="D50" s="1458">
        <f t="shared" si="2"/>
        <v>2357.9721290491707</v>
      </c>
      <c r="E50" s="1459">
        <v>-612.51301653476582</v>
      </c>
      <c r="F50" s="1459">
        <v>3992.3077904930865</v>
      </c>
      <c r="G50" s="1459">
        <v>-5.0313530205898207</v>
      </c>
      <c r="H50" s="1459">
        <v>-2518.0412234910959</v>
      </c>
      <c r="I50" s="1459">
        <v>0</v>
      </c>
      <c r="J50" s="1459">
        <v>1501.2499316025358</v>
      </c>
      <c r="K50" s="1458">
        <f t="shared" si="3"/>
        <v>121.69097270499515</v>
      </c>
      <c r="L50" s="1174">
        <v>0</v>
      </c>
      <c r="M50" s="1217">
        <v>121.69097270499515</v>
      </c>
      <c r="N50" s="173"/>
    </row>
    <row r="51" spans="1:14" ht="14.25" customHeight="1" x14ac:dyDescent="0.2">
      <c r="A51" s="958"/>
      <c r="B51" s="1154" t="s">
        <v>71</v>
      </c>
      <c r="C51" s="1458">
        <f t="shared" si="5"/>
        <v>14515.894568378182</v>
      </c>
      <c r="D51" s="1458">
        <f t="shared" si="2"/>
        <v>-1569.3212523087877</v>
      </c>
      <c r="E51" s="1459">
        <v>-1580.75819920914</v>
      </c>
      <c r="F51" s="1459">
        <v>13.511321862423356</v>
      </c>
      <c r="G51" s="1459">
        <v>-2.0743749620710741</v>
      </c>
      <c r="H51" s="1459">
        <v>0</v>
      </c>
      <c r="I51" s="1459">
        <v>0</v>
      </c>
      <c r="J51" s="1459">
        <v>0</v>
      </c>
      <c r="K51" s="1458">
        <f t="shared" si="3"/>
        <v>16085.21582068697</v>
      </c>
      <c r="L51" s="1174">
        <v>0</v>
      </c>
      <c r="M51" s="1217">
        <v>16085.21582068697</v>
      </c>
      <c r="N51" s="173"/>
    </row>
    <row r="52" spans="1:14" ht="40" customHeight="1" x14ac:dyDescent="0.2">
      <c r="A52" s="958"/>
      <c r="B52" s="7" t="s">
        <v>72</v>
      </c>
      <c r="C52" s="299">
        <f t="shared" ref="C52:C88" si="6">+D52+K52</f>
        <v>386836.76953536895</v>
      </c>
      <c r="D52" s="1206">
        <f>+SUM(D53:D88)</f>
        <v>93746.188854985419</v>
      </c>
      <c r="E52" s="245">
        <f t="shared" ref="E52:M52" si="7">+SUM(E53:E88)</f>
        <v>5117.7426292332102</v>
      </c>
      <c r="F52" s="245">
        <f t="shared" si="7"/>
        <v>2760.3769895008863</v>
      </c>
      <c r="G52" s="245">
        <f t="shared" si="7"/>
        <v>15204.420168688473</v>
      </c>
      <c r="H52" s="13">
        <f t="shared" si="7"/>
        <v>26842.336063761708</v>
      </c>
      <c r="I52" s="13">
        <f t="shared" si="7"/>
        <v>1156.0654949586703</v>
      </c>
      <c r="J52" s="13">
        <f t="shared" si="7"/>
        <v>42665.247508842469</v>
      </c>
      <c r="K52" s="1207">
        <f t="shared" si="7"/>
        <v>293090.58068038354</v>
      </c>
      <c r="L52" s="13">
        <f t="shared" si="7"/>
        <v>0</v>
      </c>
      <c r="M52" s="14">
        <f t="shared" si="7"/>
        <v>293090.58068038354</v>
      </c>
      <c r="N52" s="173"/>
    </row>
    <row r="53" spans="1:14" ht="14.25" customHeight="1" x14ac:dyDescent="0.2">
      <c r="A53" s="958"/>
      <c r="B53" s="1154" t="s">
        <v>73</v>
      </c>
      <c r="C53" s="1458">
        <f t="shared" si="6"/>
        <v>2.4230958874476558</v>
      </c>
      <c r="D53" s="1206">
        <f t="shared" si="2"/>
        <v>7.2045163267565493E-2</v>
      </c>
      <c r="E53" s="1159">
        <v>0</v>
      </c>
      <c r="F53" s="1159">
        <v>7.2045163267565493E-2</v>
      </c>
      <c r="G53" s="1159">
        <v>0</v>
      </c>
      <c r="H53" s="1174">
        <v>0</v>
      </c>
      <c r="I53" s="1174">
        <v>0</v>
      </c>
      <c r="J53" s="1174">
        <v>0</v>
      </c>
      <c r="K53" s="1204">
        <f t="shared" si="3"/>
        <v>2.3510507241800904</v>
      </c>
      <c r="L53" s="1174">
        <v>0</v>
      </c>
      <c r="M53" s="1217">
        <v>2.3510507241800904</v>
      </c>
      <c r="N53" s="173"/>
    </row>
    <row r="54" spans="1:14" ht="14.25" customHeight="1" x14ac:dyDescent="0.2">
      <c r="A54" s="958"/>
      <c r="B54" s="1154" t="s">
        <v>74</v>
      </c>
      <c r="C54" s="1458">
        <f t="shared" si="6"/>
        <v>213.58223370985496</v>
      </c>
      <c r="D54" s="1206">
        <f t="shared" si="2"/>
        <v>9.0370808639742266E-3</v>
      </c>
      <c r="E54" s="1159">
        <v>0</v>
      </c>
      <c r="F54" s="1159">
        <v>9.0370808639742266E-3</v>
      </c>
      <c r="G54" s="1159">
        <v>0</v>
      </c>
      <c r="H54" s="1174">
        <v>0</v>
      </c>
      <c r="I54" s="1174">
        <v>0</v>
      </c>
      <c r="J54" s="1174">
        <v>0</v>
      </c>
      <c r="K54" s="1204">
        <f t="shared" si="3"/>
        <v>213.57319662899098</v>
      </c>
      <c r="L54" s="1174">
        <v>0</v>
      </c>
      <c r="M54" s="1217">
        <v>213.57319662899098</v>
      </c>
      <c r="N54" s="173"/>
    </row>
    <row r="55" spans="1:14" ht="14.25" customHeight="1" x14ac:dyDescent="0.2">
      <c r="A55" s="958"/>
      <c r="B55" s="1154" t="str">
        <f>+TableA1!A56</f>
        <v>Antigua and Barbuda</v>
      </c>
      <c r="C55" s="1458">
        <f t="shared" si="6"/>
        <v>13.266053840261437</v>
      </c>
      <c r="D55" s="1206">
        <f t="shared" si="2"/>
        <v>2.7753790269925284E-2</v>
      </c>
      <c r="E55" s="1159">
        <v>0</v>
      </c>
      <c r="F55" s="1159">
        <v>2.7753790269925284E-2</v>
      </c>
      <c r="G55" s="1159">
        <v>0</v>
      </c>
      <c r="H55" s="1174">
        <v>0</v>
      </c>
      <c r="I55" s="1174">
        <v>0</v>
      </c>
      <c r="J55" s="1174">
        <v>0</v>
      </c>
      <c r="K55" s="1204">
        <f t="shared" si="3"/>
        <v>13.238300049991512</v>
      </c>
      <c r="L55" s="1174">
        <v>0</v>
      </c>
      <c r="M55" s="1217">
        <v>13.238300049991512</v>
      </c>
      <c r="N55" s="173"/>
    </row>
    <row r="56" spans="1:14" ht="14.25" customHeight="1" x14ac:dyDescent="0.2">
      <c r="A56" s="958"/>
      <c r="B56" s="1154" t="s">
        <v>76</v>
      </c>
      <c r="C56" s="1458">
        <f t="shared" si="6"/>
        <v>123.33728275211953</v>
      </c>
      <c r="D56" s="1206">
        <f t="shared" si="2"/>
        <v>0</v>
      </c>
      <c r="E56" s="1159">
        <v>0</v>
      </c>
      <c r="F56" s="1159">
        <v>0</v>
      </c>
      <c r="G56" s="1159">
        <v>0</v>
      </c>
      <c r="H56" s="1174">
        <v>0</v>
      </c>
      <c r="I56" s="1174">
        <v>0</v>
      </c>
      <c r="J56" s="1174">
        <v>0</v>
      </c>
      <c r="K56" s="1204">
        <f t="shared" si="3"/>
        <v>123.33728275211953</v>
      </c>
      <c r="L56" s="1174">
        <v>0</v>
      </c>
      <c r="M56" s="1217">
        <v>123.33728275211953</v>
      </c>
      <c r="N56" s="173"/>
    </row>
    <row r="57" spans="1:14" ht="14.25" customHeight="1" x14ac:dyDescent="0.2">
      <c r="A57" s="329" t="s">
        <v>77</v>
      </c>
      <c r="B57" s="1154" t="s">
        <v>152</v>
      </c>
      <c r="C57" s="1458">
        <f t="shared" si="6"/>
        <v>1544.8356546338973</v>
      </c>
      <c r="D57" s="1206">
        <f t="shared" si="2"/>
        <v>390.86531552018306</v>
      </c>
      <c r="E57" s="1159">
        <v>0</v>
      </c>
      <c r="F57" s="1159">
        <v>0</v>
      </c>
      <c r="G57" s="1159">
        <v>0</v>
      </c>
      <c r="H57" s="1174">
        <v>390.86531552018306</v>
      </c>
      <c r="I57" s="1174">
        <v>0</v>
      </c>
      <c r="J57" s="1174">
        <v>0</v>
      </c>
      <c r="K57" s="1204">
        <f t="shared" si="3"/>
        <v>1153.9703391137143</v>
      </c>
      <c r="L57" s="1174">
        <v>0</v>
      </c>
      <c r="M57" s="1217">
        <v>1153.9703391137143</v>
      </c>
      <c r="N57" s="173"/>
    </row>
    <row r="58" spans="1:14" ht="14.25" customHeight="1" x14ac:dyDescent="0.2">
      <c r="A58" s="329" t="s">
        <v>340</v>
      </c>
      <c r="B58" s="1154" t="s">
        <v>78</v>
      </c>
      <c r="C58" s="1458">
        <f t="shared" si="6"/>
        <v>811.20778638926799</v>
      </c>
      <c r="D58" s="1206">
        <f t="shared" si="2"/>
        <v>-192.90087561766276</v>
      </c>
      <c r="E58" s="1159">
        <v>-199.11239990038001</v>
      </c>
      <c r="F58" s="1159">
        <v>6.6724964965108207</v>
      </c>
      <c r="G58" s="1159">
        <v>-0.46097221379357206</v>
      </c>
      <c r="H58" s="1174">
        <v>0</v>
      </c>
      <c r="I58" s="1174">
        <v>0</v>
      </c>
      <c r="J58" s="1174">
        <v>0</v>
      </c>
      <c r="K58" s="1204">
        <f t="shared" si="3"/>
        <v>1004.1086620069308</v>
      </c>
      <c r="L58" s="1174">
        <v>0</v>
      </c>
      <c r="M58" s="1217">
        <v>1004.1086620069308</v>
      </c>
      <c r="N58" s="173"/>
    </row>
    <row r="59" spans="1:14" ht="14.25" customHeight="1" x14ac:dyDescent="0.2">
      <c r="A59" s="958"/>
      <c r="B59" s="1154" t="str">
        <f>+TableA1!A60</f>
        <v>Barbados</v>
      </c>
      <c r="C59" s="1458">
        <f t="shared" si="6"/>
        <v>216.25147493540092</v>
      </c>
      <c r="D59" s="1206">
        <f t="shared" si="2"/>
        <v>23.79012539556178</v>
      </c>
      <c r="E59" s="1159">
        <v>0</v>
      </c>
      <c r="F59" s="1159">
        <v>13.372153363827056</v>
      </c>
      <c r="G59" s="1159">
        <v>10.417972031734726</v>
      </c>
      <c r="H59" s="1174">
        <v>0</v>
      </c>
      <c r="I59" s="1174">
        <v>0</v>
      </c>
      <c r="J59" s="1174">
        <v>0</v>
      </c>
      <c r="K59" s="1204">
        <f t="shared" si="3"/>
        <v>192.46134953983915</v>
      </c>
      <c r="L59" s="1174">
        <v>0</v>
      </c>
      <c r="M59" s="1217">
        <v>192.46134953983915</v>
      </c>
      <c r="N59" s="173"/>
    </row>
    <row r="60" spans="1:14" ht="14.25" customHeight="1" x14ac:dyDescent="0.2">
      <c r="A60" s="958"/>
      <c r="B60" s="1154" t="s">
        <v>80</v>
      </c>
      <c r="C60" s="1458">
        <f t="shared" si="6"/>
        <v>5.266852257878341</v>
      </c>
      <c r="D60" s="1206">
        <f t="shared" si="2"/>
        <v>8.065746991227575E-2</v>
      </c>
      <c r="E60" s="1159">
        <v>0</v>
      </c>
      <c r="F60" s="1159">
        <v>0</v>
      </c>
      <c r="G60" s="1159">
        <v>0</v>
      </c>
      <c r="H60" s="1174">
        <v>0</v>
      </c>
      <c r="I60" s="1174">
        <v>8.065746991227575E-2</v>
      </c>
      <c r="J60" s="1174">
        <v>0</v>
      </c>
      <c r="K60" s="1204">
        <f t="shared" si="3"/>
        <v>5.1861947879660653</v>
      </c>
      <c r="L60" s="1174">
        <v>0</v>
      </c>
      <c r="M60" s="1217">
        <v>5.1861947879660653</v>
      </c>
      <c r="N60" s="173"/>
    </row>
    <row r="61" spans="1:14" ht="14.25" customHeight="1" x14ac:dyDescent="0.2">
      <c r="A61" s="958"/>
      <c r="B61" s="1154" t="s">
        <v>81</v>
      </c>
      <c r="C61" s="1458">
        <f t="shared" si="6"/>
        <v>69457.285062833456</v>
      </c>
      <c r="D61" s="1206">
        <f t="shared" si="2"/>
        <v>45189.249403021218</v>
      </c>
      <c r="E61" s="1159">
        <v>0</v>
      </c>
      <c r="F61" s="1159">
        <v>0</v>
      </c>
      <c r="G61" s="1159">
        <v>12238.812276219338</v>
      </c>
      <c r="H61" s="1174">
        <v>7295.2314096845521</v>
      </c>
      <c r="I61" s="1174">
        <v>0</v>
      </c>
      <c r="J61" s="1174">
        <v>25655.205717117329</v>
      </c>
      <c r="K61" s="1204">
        <f t="shared" si="3"/>
        <v>24268.035659812238</v>
      </c>
      <c r="L61" s="1174">
        <v>0</v>
      </c>
      <c r="M61" s="1217">
        <v>24268.035659812238</v>
      </c>
      <c r="N61" s="173"/>
    </row>
    <row r="62" spans="1:14" ht="14.25" customHeight="1" x14ac:dyDescent="0.2">
      <c r="A62" s="329" t="s">
        <v>645</v>
      </c>
      <c r="B62" s="1154" t="s">
        <v>82</v>
      </c>
      <c r="C62" s="1458">
        <f t="shared" si="6"/>
        <v>-5.3465463947633669</v>
      </c>
      <c r="D62" s="1206">
        <f t="shared" si="2"/>
        <v>0</v>
      </c>
      <c r="E62" s="1159">
        <v>0</v>
      </c>
      <c r="F62" s="1159">
        <v>0</v>
      </c>
      <c r="G62" s="1159">
        <v>0</v>
      </c>
      <c r="H62" s="1174">
        <v>0</v>
      </c>
      <c r="I62" s="1174">
        <v>0</v>
      </c>
      <c r="J62" s="1174">
        <v>0</v>
      </c>
      <c r="K62" s="1204">
        <f t="shared" si="3"/>
        <v>-5.3465463947633669</v>
      </c>
      <c r="L62" s="1174">
        <v>0</v>
      </c>
      <c r="M62" s="1217">
        <v>-5.3465463947633669</v>
      </c>
      <c r="N62" s="173"/>
    </row>
    <row r="63" spans="1:14" ht="14.25" customHeight="1" x14ac:dyDescent="0.2">
      <c r="A63" s="329" t="s">
        <v>372</v>
      </c>
      <c r="B63" s="1154" t="s">
        <v>153</v>
      </c>
      <c r="C63" s="1458">
        <f t="shared" si="6"/>
        <v>155035.98067250533</v>
      </c>
      <c r="D63" s="1206">
        <f t="shared" si="2"/>
        <v>5269.6923767666385</v>
      </c>
      <c r="E63" s="1159">
        <v>44.921699977526004</v>
      </c>
      <c r="F63" s="1159">
        <v>947.17370135434703</v>
      </c>
      <c r="G63" s="1159">
        <v>0</v>
      </c>
      <c r="H63" s="1174">
        <v>4206.9428079563804</v>
      </c>
      <c r="I63" s="1174">
        <v>0</v>
      </c>
      <c r="J63" s="1174">
        <v>70.654167478384963</v>
      </c>
      <c r="K63" s="1204">
        <f t="shared" si="3"/>
        <v>149766.28829573869</v>
      </c>
      <c r="L63" s="1174">
        <v>0</v>
      </c>
      <c r="M63" s="1217">
        <v>149766.28829573869</v>
      </c>
      <c r="N63" s="173"/>
    </row>
    <row r="64" spans="1:14" ht="14.25" customHeight="1" x14ac:dyDescent="0.2">
      <c r="A64" s="958"/>
      <c r="B64" s="113" t="s">
        <v>84</v>
      </c>
      <c r="C64" s="1458">
        <f t="shared" si="6"/>
        <v>56964.833106419734</v>
      </c>
      <c r="D64" s="1206">
        <f t="shared" si="2"/>
        <v>13256.949435024355</v>
      </c>
      <c r="E64" s="1159">
        <v>116.55359994169</v>
      </c>
      <c r="F64" s="1159">
        <v>0</v>
      </c>
      <c r="G64" s="1159">
        <v>1975.9573944261465</v>
      </c>
      <c r="H64" s="1174">
        <v>5047.5296945826385</v>
      </c>
      <c r="I64" s="1174">
        <v>0</v>
      </c>
      <c r="J64" s="1174">
        <v>6116.9087460738792</v>
      </c>
      <c r="K64" s="1204">
        <f t="shared" si="3"/>
        <v>43707.883671395379</v>
      </c>
      <c r="L64" s="1174">
        <v>0</v>
      </c>
      <c r="M64" s="1217">
        <v>43707.883671395379</v>
      </c>
      <c r="N64" s="173"/>
    </row>
    <row r="65" spans="1:14" ht="14.25" customHeight="1" x14ac:dyDescent="0.2">
      <c r="A65" s="958"/>
      <c r="B65" s="1154" t="s">
        <v>85</v>
      </c>
      <c r="C65" s="1458">
        <f t="shared" si="6"/>
        <v>115.53068522180237</v>
      </c>
      <c r="D65" s="1206">
        <f t="shared" si="2"/>
        <v>-15.625466992182631</v>
      </c>
      <c r="E65" s="1159">
        <v>-15.625466992182631</v>
      </c>
      <c r="F65" s="1159">
        <v>0</v>
      </c>
      <c r="G65" s="1159">
        <v>0</v>
      </c>
      <c r="H65" s="1174">
        <v>0</v>
      </c>
      <c r="I65" s="1174">
        <v>0</v>
      </c>
      <c r="J65" s="1174">
        <v>0</v>
      </c>
      <c r="K65" s="1204">
        <f t="shared" si="3"/>
        <v>131.156152213985</v>
      </c>
      <c r="L65" s="1174">
        <v>0</v>
      </c>
      <c r="M65" s="1217">
        <v>131.156152213985</v>
      </c>
      <c r="N65" s="173"/>
    </row>
    <row r="66" spans="1:14" ht="14.25" customHeight="1" x14ac:dyDescent="0.2">
      <c r="A66" s="958"/>
      <c r="B66" s="1154" t="str">
        <f>+TableA1!A67</f>
        <v>Cyprus</v>
      </c>
      <c r="C66" s="1458">
        <f t="shared" si="6"/>
        <v>7272.0437159187277</v>
      </c>
      <c r="D66" s="1206">
        <f t="shared" si="2"/>
        <v>6685.621793657202</v>
      </c>
      <c r="E66" s="1159">
        <v>511.86027526694767</v>
      </c>
      <c r="F66" s="1159">
        <v>1703.0350937789067</v>
      </c>
      <c r="G66" s="1159">
        <v>42.526332755038055</v>
      </c>
      <c r="H66" s="1174">
        <v>413.60010672989881</v>
      </c>
      <c r="I66" s="1174">
        <v>9.9983183989815156</v>
      </c>
      <c r="J66" s="1174">
        <v>4004.6016667274293</v>
      </c>
      <c r="K66" s="1204">
        <f t="shared" si="3"/>
        <v>586.42192226152565</v>
      </c>
      <c r="L66" s="1174">
        <v>0</v>
      </c>
      <c r="M66" s="1217">
        <v>586.42192226152565</v>
      </c>
      <c r="N66" s="173"/>
    </row>
    <row r="67" spans="1:14" ht="14.25" customHeight="1" x14ac:dyDescent="0.2">
      <c r="A67" s="958"/>
      <c r="B67" s="1154" t="s">
        <v>87</v>
      </c>
      <c r="C67" s="1458">
        <f t="shared" si="6"/>
        <v>3383.267548608057</v>
      </c>
      <c r="D67" s="1206">
        <f t="shared" si="2"/>
        <v>2893.9692759729851</v>
      </c>
      <c r="E67" s="1159">
        <v>-15.518602577421515</v>
      </c>
      <c r="F67" s="1159">
        <v>2.9005118065748583</v>
      </c>
      <c r="G67" s="1159">
        <v>664.33854490831129</v>
      </c>
      <c r="H67" s="1174">
        <v>2242.2488218355206</v>
      </c>
      <c r="I67" s="1174">
        <v>0</v>
      </c>
      <c r="J67" s="1174">
        <v>0</v>
      </c>
      <c r="K67" s="1204">
        <f t="shared" si="3"/>
        <v>489.29827263507195</v>
      </c>
      <c r="L67" s="1174">
        <v>0</v>
      </c>
      <c r="M67" s="1217">
        <v>489.29827263507195</v>
      </c>
      <c r="N67" s="173"/>
    </row>
    <row r="68" spans="1:14" ht="14.25" customHeight="1" x14ac:dyDescent="0.2">
      <c r="A68" s="958"/>
      <c r="B68" s="1154" t="str">
        <f>+TableA1!A69</f>
        <v>Grenada</v>
      </c>
      <c r="C68" s="1458">
        <f t="shared" si="6"/>
        <v>4.1725997786207163</v>
      </c>
      <c r="D68" s="1206">
        <f t="shared" si="2"/>
        <v>0.17023905159586764</v>
      </c>
      <c r="E68" s="1159">
        <v>0</v>
      </c>
      <c r="F68" s="1159">
        <v>0.17023905159586764</v>
      </c>
      <c r="G68" s="1159">
        <v>0</v>
      </c>
      <c r="H68" s="1174">
        <v>0</v>
      </c>
      <c r="I68" s="1174">
        <v>0</v>
      </c>
      <c r="J68" s="1174">
        <v>0</v>
      </c>
      <c r="K68" s="1204">
        <f t="shared" si="3"/>
        <v>4.0023607270248487</v>
      </c>
      <c r="L68" s="1174">
        <v>0</v>
      </c>
      <c r="M68" s="1217">
        <v>4.0023607270248487</v>
      </c>
      <c r="N68" s="173"/>
    </row>
    <row r="69" spans="1:14" ht="14.25" customHeight="1" x14ac:dyDescent="0.2">
      <c r="A69" s="958"/>
      <c r="B69" s="1154" t="s">
        <v>89</v>
      </c>
      <c r="C69" s="1458">
        <f t="shared" si="6"/>
        <v>956.28691439342447</v>
      </c>
      <c r="D69" s="1206">
        <f t="shared" si="2"/>
        <v>772.20380508388087</v>
      </c>
      <c r="E69" s="1159">
        <v>-47.349899976311001</v>
      </c>
      <c r="F69" s="1159">
        <v>36.061658076690634</v>
      </c>
      <c r="G69" s="1159">
        <v>0</v>
      </c>
      <c r="H69" s="1174">
        <v>783.49204698350127</v>
      </c>
      <c r="I69" s="1174">
        <v>0</v>
      </c>
      <c r="J69" s="1174">
        <v>0</v>
      </c>
      <c r="K69" s="1204">
        <f t="shared" si="3"/>
        <v>184.0831093095436</v>
      </c>
      <c r="L69" s="1174">
        <v>0</v>
      </c>
      <c r="M69" s="1217">
        <v>184.0831093095436</v>
      </c>
      <c r="N69" s="173"/>
    </row>
    <row r="70" spans="1:14" ht="14.25" customHeight="1" x14ac:dyDescent="0.2">
      <c r="A70" s="329" t="s">
        <v>90</v>
      </c>
      <c r="B70" s="1154" t="s">
        <v>154</v>
      </c>
      <c r="C70" s="1458">
        <f t="shared" si="6"/>
        <v>3266.3938197704301</v>
      </c>
      <c r="D70" s="1206">
        <f t="shared" si="2"/>
        <v>3039.5056282634091</v>
      </c>
      <c r="E70" s="1159">
        <v>1.8990497800651365</v>
      </c>
      <c r="F70" s="1159">
        <v>4.4517843408043891</v>
      </c>
      <c r="G70" s="1159">
        <v>0</v>
      </c>
      <c r="H70" s="1174">
        <v>2756.1113336412345</v>
      </c>
      <c r="I70" s="1174">
        <v>0</v>
      </c>
      <c r="J70" s="1174">
        <v>277.04346050130516</v>
      </c>
      <c r="K70" s="1204">
        <f t="shared" si="3"/>
        <v>226.88819150702102</v>
      </c>
      <c r="L70" s="1174">
        <v>0</v>
      </c>
      <c r="M70" s="1217">
        <v>226.88819150702102</v>
      </c>
      <c r="N70" s="173"/>
    </row>
    <row r="71" spans="1:14" ht="14.25" customHeight="1" x14ac:dyDescent="0.2">
      <c r="A71" s="329" t="s">
        <v>341</v>
      </c>
      <c r="B71" s="1154" t="s">
        <v>91</v>
      </c>
      <c r="C71" s="1458">
        <f t="shared" si="6"/>
        <v>44685.10692140615</v>
      </c>
      <c r="D71" s="1206">
        <f t="shared" si="2"/>
        <v>10281.541351931135</v>
      </c>
      <c r="E71" s="1159">
        <v>4273.6319978619003</v>
      </c>
      <c r="F71" s="1159">
        <v>10.313566947786425</v>
      </c>
      <c r="G71" s="1159">
        <v>59.234929472474008</v>
      </c>
      <c r="H71" s="1174">
        <v>1681.6892334032877</v>
      </c>
      <c r="I71" s="1174">
        <v>0</v>
      </c>
      <c r="J71" s="1174">
        <v>4256.6716242456878</v>
      </c>
      <c r="K71" s="1204">
        <f t="shared" si="3"/>
        <v>34403.565569475017</v>
      </c>
      <c r="L71" s="1174">
        <v>0</v>
      </c>
      <c r="M71" s="1217">
        <v>34403.565569475017</v>
      </c>
      <c r="N71" s="173"/>
    </row>
    <row r="72" spans="1:14" ht="14.25" customHeight="1" x14ac:dyDescent="0.2">
      <c r="A72" s="958"/>
      <c r="B72" s="1154" t="s">
        <v>92</v>
      </c>
      <c r="C72" s="1458">
        <f t="shared" si="6"/>
        <v>154.23105587659745</v>
      </c>
      <c r="D72" s="1206">
        <f t="shared" si="2"/>
        <v>5.1282404161474346</v>
      </c>
      <c r="E72" s="1159">
        <v>0</v>
      </c>
      <c r="F72" s="1159">
        <v>4.7011768660379651</v>
      </c>
      <c r="G72" s="1159">
        <v>0</v>
      </c>
      <c r="H72" s="1174">
        <v>0</v>
      </c>
      <c r="I72" s="1174">
        <v>0.42706355010946995</v>
      </c>
      <c r="J72" s="1174">
        <v>0</v>
      </c>
      <c r="K72" s="1204">
        <f t="shared" si="3"/>
        <v>149.10281546045002</v>
      </c>
      <c r="L72" s="1174">
        <v>0</v>
      </c>
      <c r="M72" s="1217">
        <v>149.10281546045002</v>
      </c>
      <c r="N72" s="173"/>
    </row>
    <row r="73" spans="1:14" ht="14.25" customHeight="1" x14ac:dyDescent="0.2">
      <c r="A73" s="958"/>
      <c r="B73" s="1154" t="s">
        <v>93</v>
      </c>
      <c r="C73" s="1458">
        <f t="shared" si="6"/>
        <v>216.85439044033095</v>
      </c>
      <c r="D73" s="1206">
        <f t="shared" si="2"/>
        <v>116.7561119437278</v>
      </c>
      <c r="E73" s="1159">
        <v>94.699799952622001</v>
      </c>
      <c r="F73" s="1159">
        <v>22.056311991105794</v>
      </c>
      <c r="G73" s="1159">
        <v>0</v>
      </c>
      <c r="H73" s="1174">
        <v>0</v>
      </c>
      <c r="I73" s="1174">
        <v>0</v>
      </c>
      <c r="J73" s="1174">
        <v>0</v>
      </c>
      <c r="K73" s="1204">
        <f t="shared" si="3"/>
        <v>100.09827849660314</v>
      </c>
      <c r="L73" s="1174">
        <v>0</v>
      </c>
      <c r="M73" s="1217">
        <v>100.09827849660314</v>
      </c>
      <c r="N73" s="173"/>
    </row>
    <row r="74" spans="1:14" ht="14.25" customHeight="1" x14ac:dyDescent="0.2">
      <c r="A74" s="958"/>
      <c r="B74" s="1154" t="s">
        <v>94</v>
      </c>
      <c r="C74" s="1458">
        <f t="shared" si="6"/>
        <v>968.79224367855647</v>
      </c>
      <c r="D74" s="1206">
        <f t="shared" ref="D74:D90" si="8">SUM(E74:J74)</f>
        <v>600.95805395320735</v>
      </c>
      <c r="E74" s="1159">
        <v>0</v>
      </c>
      <c r="F74" s="1159">
        <v>0</v>
      </c>
      <c r="G74" s="1159">
        <v>0</v>
      </c>
      <c r="H74" s="1174">
        <v>600.95805395320735</v>
      </c>
      <c r="I74" s="1174">
        <v>0</v>
      </c>
      <c r="J74" s="1174">
        <v>0</v>
      </c>
      <c r="K74" s="1204">
        <f t="shared" ref="K74:K90" si="9">+SUM(L74:M74)</f>
        <v>367.83418972534912</v>
      </c>
      <c r="L74" s="1174">
        <v>0</v>
      </c>
      <c r="M74" s="1217">
        <v>367.83418972534912</v>
      </c>
      <c r="N74" s="173"/>
    </row>
    <row r="75" spans="1:14" ht="14.25" customHeight="1" x14ac:dyDescent="0.2">
      <c r="A75" s="329" t="s">
        <v>342</v>
      </c>
      <c r="B75" s="1154" t="s">
        <v>95</v>
      </c>
      <c r="C75" s="1458">
        <f t="shared" si="6"/>
        <v>2669.583642106104</v>
      </c>
      <c r="D75" s="1206">
        <f>SUM(E75:J75)</f>
        <v>0.44800131878256805</v>
      </c>
      <c r="E75" s="1159">
        <v>0</v>
      </c>
      <c r="F75" s="1159">
        <v>0.44800131878256805</v>
      </c>
      <c r="G75" s="1159">
        <v>0</v>
      </c>
      <c r="H75" s="1174">
        <v>0</v>
      </c>
      <c r="I75" s="1174">
        <v>0</v>
      </c>
      <c r="J75" s="1174">
        <v>0</v>
      </c>
      <c r="K75" s="1204">
        <f>+SUM(L75:M75)</f>
        <v>2669.1356407873213</v>
      </c>
      <c r="L75" s="1174">
        <v>0</v>
      </c>
      <c r="M75" s="1217">
        <v>2669.1356407873213</v>
      </c>
      <c r="N75" s="173"/>
    </row>
    <row r="76" spans="1:14" ht="14.25" customHeight="1" x14ac:dyDescent="0.2">
      <c r="A76" s="958"/>
      <c r="B76" s="1154" t="s">
        <v>96</v>
      </c>
      <c r="C76" s="1458">
        <f t="shared" si="6"/>
        <v>2106.4968673421495</v>
      </c>
      <c r="D76" s="1206">
        <f t="shared" si="8"/>
        <v>2099.4714887082591</v>
      </c>
      <c r="E76" s="1159">
        <v>415.5509993243021</v>
      </c>
      <c r="F76" s="1159">
        <v>6.0878081894871046E-2</v>
      </c>
      <c r="G76" s="1159">
        <v>213.59369108922525</v>
      </c>
      <c r="H76" s="1174">
        <v>324.70646467316948</v>
      </c>
      <c r="I76" s="1174">
        <v>1145.5594555396672</v>
      </c>
      <c r="J76" s="1174">
        <v>0</v>
      </c>
      <c r="K76" s="1204">
        <f t="shared" si="9"/>
        <v>7.025378633890341</v>
      </c>
      <c r="L76" s="1174">
        <v>0</v>
      </c>
      <c r="M76" s="1482">
        <v>7.025378633890341</v>
      </c>
      <c r="N76" s="173"/>
    </row>
    <row r="77" spans="1:14" ht="14.25" customHeight="1" x14ac:dyDescent="0.2">
      <c r="A77" s="329" t="s">
        <v>373</v>
      </c>
      <c r="B77" s="1154" t="s">
        <v>97</v>
      </c>
      <c r="C77" s="1458">
        <f t="shared" si="6"/>
        <v>1071.704268069549</v>
      </c>
      <c r="D77" s="1206">
        <f t="shared" si="8"/>
        <v>322.6688292329535</v>
      </c>
      <c r="E77" s="1159">
        <v>322.95059983842998</v>
      </c>
      <c r="F77" s="1159">
        <v>-0.28177060547647398</v>
      </c>
      <c r="G77" s="1159">
        <v>0</v>
      </c>
      <c r="H77" s="1174">
        <v>0</v>
      </c>
      <c r="I77" s="1174">
        <v>0</v>
      </c>
      <c r="J77" s="1174">
        <v>0</v>
      </c>
      <c r="K77" s="1204">
        <f t="shared" si="9"/>
        <v>749.03543883659552</v>
      </c>
      <c r="L77" s="1174">
        <v>0</v>
      </c>
      <c r="M77" s="1217">
        <v>749.03543883659552</v>
      </c>
      <c r="N77" s="173"/>
    </row>
    <row r="78" spans="1:14" ht="14.25" customHeight="1" x14ac:dyDescent="0.2">
      <c r="A78" s="958"/>
      <c r="B78" s="1154" t="str">
        <f>+TableA1!A79</f>
        <v>Monaco</v>
      </c>
      <c r="C78" s="1458">
        <f t="shared" si="6"/>
        <v>2.2011967451673256</v>
      </c>
      <c r="D78" s="1206">
        <f t="shared" si="8"/>
        <v>0</v>
      </c>
      <c r="E78" s="1159">
        <v>0</v>
      </c>
      <c r="F78" s="1159">
        <v>0</v>
      </c>
      <c r="G78" s="1159">
        <v>0</v>
      </c>
      <c r="H78" s="1174">
        <v>0</v>
      </c>
      <c r="I78" s="1174">
        <v>0</v>
      </c>
      <c r="J78" s="1174">
        <v>0</v>
      </c>
      <c r="K78" s="1204">
        <f t="shared" si="9"/>
        <v>2.2011967451673256</v>
      </c>
      <c r="L78" s="1174">
        <v>0</v>
      </c>
      <c r="M78" s="1217">
        <v>2.2011967451673256</v>
      </c>
      <c r="N78" s="173"/>
    </row>
    <row r="79" spans="1:14" ht="14.25" customHeight="1" x14ac:dyDescent="0.2">
      <c r="A79" s="958"/>
      <c r="B79" s="1154" t="s">
        <v>99</v>
      </c>
      <c r="C79" s="1458">
        <f t="shared" si="6"/>
        <v>31.796067267748899</v>
      </c>
      <c r="D79" s="1206">
        <f t="shared" si="8"/>
        <v>0</v>
      </c>
      <c r="E79" s="1159">
        <v>0</v>
      </c>
      <c r="F79" s="1159">
        <v>0</v>
      </c>
      <c r="G79" s="1159">
        <v>0</v>
      </c>
      <c r="H79" s="1174">
        <v>0</v>
      </c>
      <c r="I79" s="1174">
        <v>0</v>
      </c>
      <c r="J79" s="1174">
        <v>0</v>
      </c>
      <c r="K79" s="1204">
        <f t="shared" si="9"/>
        <v>31.796067267748899</v>
      </c>
      <c r="L79" s="1174">
        <v>0</v>
      </c>
      <c r="M79" s="1217">
        <v>31.796067267748899</v>
      </c>
      <c r="N79" s="173"/>
    </row>
    <row r="80" spans="1:14" ht="14.25" customHeight="1" x14ac:dyDescent="0.2">
      <c r="A80" s="958"/>
      <c r="B80" s="1154" t="s">
        <v>100</v>
      </c>
      <c r="C80" s="1458">
        <f t="shared" si="6"/>
        <v>3155.0149882749065</v>
      </c>
      <c r="D80" s="1206">
        <f t="shared" si="8"/>
        <v>6.0673393508282949</v>
      </c>
      <c r="E80" s="1159">
        <v>-0.80130599959911608</v>
      </c>
      <c r="F80" s="1159">
        <v>6.8686453504274105</v>
      </c>
      <c r="G80" s="1159">
        <v>0</v>
      </c>
      <c r="H80" s="1174">
        <v>0</v>
      </c>
      <c r="I80" s="1174">
        <v>0</v>
      </c>
      <c r="J80" s="1174">
        <v>0</v>
      </c>
      <c r="K80" s="1204">
        <f t="shared" si="9"/>
        <v>3148.9476489240783</v>
      </c>
      <c r="L80" s="1174">
        <v>0</v>
      </c>
      <c r="M80" s="1217">
        <v>3148.9476489240783</v>
      </c>
      <c r="N80" s="173"/>
    </row>
    <row r="81" spans="1:14" ht="14.25" customHeight="1" x14ac:dyDescent="0.2">
      <c r="A81" s="958"/>
      <c r="B81" s="1154" t="str">
        <f>+TableA1!A82</f>
        <v>Seychelles</v>
      </c>
      <c r="C81" s="1458">
        <f t="shared" si="6"/>
        <v>149.47889266090402</v>
      </c>
      <c r="D81" s="1206">
        <f t="shared" si="8"/>
        <v>0.28278646073447922</v>
      </c>
      <c r="E81" s="1159">
        <v>0</v>
      </c>
      <c r="F81" s="1159">
        <v>0.28278646073447922</v>
      </c>
      <c r="G81" s="1159">
        <v>0</v>
      </c>
      <c r="H81" s="1174">
        <v>0</v>
      </c>
      <c r="I81" s="1174">
        <v>0</v>
      </c>
      <c r="J81" s="1174">
        <v>0</v>
      </c>
      <c r="K81" s="1204">
        <f t="shared" si="9"/>
        <v>149.19610620016954</v>
      </c>
      <c r="L81" s="1174">
        <v>0</v>
      </c>
      <c r="M81" s="1217">
        <v>149.19610620016954</v>
      </c>
      <c r="N81" s="173"/>
    </row>
    <row r="82" spans="1:14" x14ac:dyDescent="0.2">
      <c r="A82" s="958"/>
      <c r="B82" s="1154" t="s">
        <v>102</v>
      </c>
      <c r="C82" s="1458">
        <f t="shared" si="6"/>
        <v>30328.204654972891</v>
      </c>
      <c r="D82" s="1206">
        <f t="shared" si="8"/>
        <v>3019.45065550662</v>
      </c>
      <c r="E82" s="1159">
        <v>-365.44409981717001</v>
      </c>
      <c r="F82" s="1159">
        <v>1.7718538272047677</v>
      </c>
      <c r="G82" s="1159">
        <v>0</v>
      </c>
      <c r="H82" s="1174">
        <v>1098.9607747981333</v>
      </c>
      <c r="I82" s="1174">
        <v>0</v>
      </c>
      <c r="J82" s="1174">
        <v>2284.1621266984521</v>
      </c>
      <c r="K82" s="1204">
        <f t="shared" si="9"/>
        <v>27308.753999466273</v>
      </c>
      <c r="L82" s="1174">
        <v>0</v>
      </c>
      <c r="M82" s="1217">
        <v>27308.753999466273</v>
      </c>
      <c r="N82" s="173"/>
    </row>
    <row r="83" spans="1:14" x14ac:dyDescent="0.2">
      <c r="A83" s="958"/>
      <c r="B83" s="1154" t="str">
        <f>+TableA1!A84</f>
        <v>St. Kitts and Nevis</v>
      </c>
      <c r="C83" s="1458">
        <f t="shared" si="6"/>
        <v>-0.10058821358700398</v>
      </c>
      <c r="D83" s="1206">
        <f t="shared" si="8"/>
        <v>8.0949907943786027E-3</v>
      </c>
      <c r="E83" s="1159">
        <v>0</v>
      </c>
      <c r="F83" s="1159">
        <v>8.0949907943786027E-3</v>
      </c>
      <c r="G83" s="1159">
        <v>0</v>
      </c>
      <c r="H83" s="1174">
        <v>0</v>
      </c>
      <c r="I83" s="1174">
        <v>0</v>
      </c>
      <c r="J83" s="1174">
        <v>0</v>
      </c>
      <c r="K83" s="1204">
        <f t="shared" si="9"/>
        <v>-0.10868320438138258</v>
      </c>
      <c r="L83" s="1174">
        <v>0</v>
      </c>
      <c r="M83" s="1217">
        <v>-0.10868320438138258</v>
      </c>
      <c r="N83" s="173"/>
    </row>
    <row r="84" spans="1:14" x14ac:dyDescent="0.2">
      <c r="A84" s="958"/>
      <c r="B84" s="1154" t="str">
        <f>+TableA1!A85</f>
        <v>St. Lucia</v>
      </c>
      <c r="C84" s="1458">
        <f t="shared" si="6"/>
        <v>-39.267764691463398</v>
      </c>
      <c r="D84" s="1206">
        <f t="shared" si="8"/>
        <v>-1.1054972739637652</v>
      </c>
      <c r="E84" s="1159">
        <v>-1.2140999993926</v>
      </c>
      <c r="F84" s="1159">
        <v>0.10860272542883488</v>
      </c>
      <c r="G84" s="1159">
        <v>0</v>
      </c>
      <c r="H84" s="1174">
        <v>0</v>
      </c>
      <c r="I84" s="1174">
        <v>0</v>
      </c>
      <c r="J84" s="1174">
        <v>0</v>
      </c>
      <c r="K84" s="1204">
        <f t="shared" si="9"/>
        <v>-38.162267417499635</v>
      </c>
      <c r="L84" s="1174">
        <v>0</v>
      </c>
      <c r="M84" s="1217">
        <v>-38.162267417499635</v>
      </c>
      <c r="N84" s="173"/>
    </row>
    <row r="85" spans="1:14" x14ac:dyDescent="0.2">
      <c r="A85" s="958"/>
      <c r="B85" s="1154" t="str">
        <f>+TableA1!A86</f>
        <v>St. Vincent and the Grenadines</v>
      </c>
      <c r="C85" s="1458">
        <f t="shared" si="6"/>
        <v>9.3345135764596208</v>
      </c>
      <c r="D85" s="1206">
        <f t="shared" si="8"/>
        <v>3.2920241160652609E-3</v>
      </c>
      <c r="E85" s="1159">
        <v>0</v>
      </c>
      <c r="F85" s="1159">
        <v>3.2920241160652609E-3</v>
      </c>
      <c r="G85" s="1159">
        <v>0</v>
      </c>
      <c r="H85" s="1174">
        <v>0</v>
      </c>
      <c r="I85" s="1174">
        <v>0</v>
      </c>
      <c r="J85" s="1174">
        <v>0</v>
      </c>
      <c r="K85" s="1204">
        <f t="shared" si="9"/>
        <v>9.3312215523435551</v>
      </c>
      <c r="L85" s="1174">
        <v>0</v>
      </c>
      <c r="M85" s="1217">
        <v>9.3312215523435551</v>
      </c>
      <c r="N85" s="173"/>
    </row>
    <row r="86" spans="1:14" x14ac:dyDescent="0.2">
      <c r="A86" s="329" t="s">
        <v>374</v>
      </c>
      <c r="B86" s="1154" t="str">
        <f>+TableA1!A87</f>
        <v>Turks and Caicos</v>
      </c>
      <c r="C86" s="1458">
        <f t="shared" si="6"/>
        <v>1.3098229245816537</v>
      </c>
      <c r="D86" s="1206">
        <f t="shared" si="8"/>
        <v>1.2875289252840306E-2</v>
      </c>
      <c r="E86" s="1159">
        <v>0</v>
      </c>
      <c r="F86" s="1159">
        <v>1.2875289252840306E-2</v>
      </c>
      <c r="G86" s="1159">
        <v>0</v>
      </c>
      <c r="H86" s="1174">
        <v>0</v>
      </c>
      <c r="I86" s="1174">
        <v>0</v>
      </c>
      <c r="J86" s="1174">
        <v>0</v>
      </c>
      <c r="K86" s="1204">
        <f t="shared" si="9"/>
        <v>1.2969476353288134</v>
      </c>
      <c r="L86" s="1174">
        <v>0</v>
      </c>
      <c r="M86" s="1217">
        <v>1.2969476353288134</v>
      </c>
      <c r="N86" s="173"/>
    </row>
    <row r="87" spans="1:14" x14ac:dyDescent="0.2">
      <c r="A87" s="958"/>
      <c r="B87" s="1154" t="str">
        <f>+TableA1!A88</f>
        <v>Panama</v>
      </c>
      <c r="C87" s="1458">
        <f t="shared" si="6"/>
        <v>1877.8346026243687</v>
      </c>
      <c r="D87" s="1206">
        <f t="shared" si="8"/>
        <v>-19.183317518677327</v>
      </c>
      <c r="E87" s="1159">
        <v>-19.259517447815881</v>
      </c>
      <c r="F87" s="1159">
        <v>7.6199929138552142E-2</v>
      </c>
      <c r="G87" s="1159">
        <v>0</v>
      </c>
      <c r="H87" s="1174">
        <v>0</v>
      </c>
      <c r="I87" s="1174">
        <v>0</v>
      </c>
      <c r="J87" s="1174">
        <v>0</v>
      </c>
      <c r="K87" s="1204">
        <f t="shared" si="9"/>
        <v>1897.017920143046</v>
      </c>
      <c r="L87" s="1174">
        <v>0</v>
      </c>
      <c r="M87" s="1217">
        <v>1897.017920143046</v>
      </c>
      <c r="N87" s="173"/>
    </row>
    <row r="88" spans="1:14" x14ac:dyDescent="0.2">
      <c r="A88" s="958"/>
      <c r="B88" s="1154" t="s">
        <v>108</v>
      </c>
      <c r="C88" s="1458">
        <f t="shared" si="6"/>
        <v>67.575746846713315</v>
      </c>
      <c r="D88" s="1206">
        <f t="shared" si="8"/>
        <v>0</v>
      </c>
      <c r="E88" s="1159">
        <v>0</v>
      </c>
      <c r="F88" s="1159">
        <v>0</v>
      </c>
      <c r="G88" s="1159">
        <v>0</v>
      </c>
      <c r="H88" s="1174">
        <v>0</v>
      </c>
      <c r="I88" s="1174">
        <v>0</v>
      </c>
      <c r="J88" s="1174">
        <v>0</v>
      </c>
      <c r="K88" s="1204">
        <f t="shared" si="9"/>
        <v>67.575746846713315</v>
      </c>
      <c r="L88" s="1174">
        <v>0</v>
      </c>
      <c r="M88" s="1217">
        <v>67.575746846713315</v>
      </c>
      <c r="N88" s="173"/>
    </row>
    <row r="89" spans="1:14" ht="40" customHeight="1" x14ac:dyDescent="0.2">
      <c r="A89" s="958"/>
      <c r="B89" s="1467" t="s">
        <v>155</v>
      </c>
      <c r="C89" s="1468">
        <f>+C90-C52-C44-SUM(C9:C43)</f>
        <v>65442.279878934845</v>
      </c>
      <c r="D89" s="1347">
        <f t="shared" si="8"/>
        <v>8149.1365600186236</v>
      </c>
      <c r="E89" s="1348">
        <f>+E90-SUM(E53:E88,E45:E51,E9:E43)</f>
        <v>1695.0643598457973</v>
      </c>
      <c r="F89" s="1348">
        <f t="shared" ref="F89:M89" si="10">+F90-SUM(F53:F88,F45:F51,F9:F43)</f>
        <v>157.77461322254021</v>
      </c>
      <c r="G89" s="1348">
        <f t="shared" si="10"/>
        <v>52.206651127664372</v>
      </c>
      <c r="H89" s="1469">
        <f t="shared" si="10"/>
        <v>4894.8933912306093</v>
      </c>
      <c r="I89" s="1469">
        <f t="shared" si="10"/>
        <v>50.851350316125036</v>
      </c>
      <c r="J89" s="1469">
        <f t="shared" si="10"/>
        <v>1298.3461942758877</v>
      </c>
      <c r="K89" s="1470">
        <f t="shared" si="10"/>
        <v>57293.143318916205</v>
      </c>
      <c r="L89" s="1471">
        <f t="shared" si="10"/>
        <v>0</v>
      </c>
      <c r="M89" s="1474">
        <f t="shared" si="10"/>
        <v>57293.143318916089</v>
      </c>
      <c r="N89" s="173"/>
    </row>
    <row r="90" spans="1:14" ht="40" customHeight="1" x14ac:dyDescent="0.2">
      <c r="A90" s="958"/>
      <c r="B90" s="622" t="s">
        <v>110</v>
      </c>
      <c r="C90" s="1476">
        <f>+D90+K90</f>
        <v>2851009.3673273819</v>
      </c>
      <c r="D90" s="304">
        <f t="shared" si="8"/>
        <v>1508592.7338534682</v>
      </c>
      <c r="E90" s="244">
        <v>234847.47600848484</v>
      </c>
      <c r="F90" s="245">
        <v>11626.120558307652</v>
      </c>
      <c r="G90" s="245">
        <v>307047.26370273624</v>
      </c>
      <c r="H90" s="245">
        <v>227073.42761395685</v>
      </c>
      <c r="I90" s="245">
        <v>1619.5673635627952</v>
      </c>
      <c r="J90" s="245">
        <v>726378.87860641989</v>
      </c>
      <c r="K90" s="304">
        <f t="shared" si="9"/>
        <v>1342416.6334739137</v>
      </c>
      <c r="L90" s="244">
        <v>515979.979471258</v>
      </c>
      <c r="M90" s="624">
        <v>826436.65400265553</v>
      </c>
      <c r="N90" s="173"/>
    </row>
    <row r="91" spans="1:14" ht="39.75" customHeight="1" thickBot="1" x14ac:dyDescent="0.25">
      <c r="A91" s="958"/>
      <c r="B91" s="625" t="s">
        <v>639</v>
      </c>
      <c r="C91" s="626">
        <f>+D91+K91</f>
        <v>2024807.3204262606</v>
      </c>
      <c r="D91" s="326">
        <f>+D89+D44+D8</f>
        <v>1084941.8761010394</v>
      </c>
      <c r="E91" s="627">
        <f t="shared" ref="E91:M91" si="11">+E89+E44+E8</f>
        <v>143012.44968484723</v>
      </c>
      <c r="F91" s="628">
        <f t="shared" si="11"/>
        <v>7871.4393288054962</v>
      </c>
      <c r="G91" s="628">
        <f t="shared" si="11"/>
        <v>259143.73748279287</v>
      </c>
      <c r="H91" s="628">
        <f t="shared" si="11"/>
        <v>154868.78284388396</v>
      </c>
      <c r="I91" s="628">
        <f t="shared" si="11"/>
        <v>374.30759298960123</v>
      </c>
      <c r="J91" s="628">
        <f t="shared" si="11"/>
        <v>519671.1591677203</v>
      </c>
      <c r="K91" s="326">
        <f t="shared" si="11"/>
        <v>939865.44432522124</v>
      </c>
      <c r="L91" s="627">
        <f t="shared" si="11"/>
        <v>430943.28515948798</v>
      </c>
      <c r="M91" s="630">
        <f t="shared" si="11"/>
        <v>508922.15916573314</v>
      </c>
      <c r="N91" s="958"/>
    </row>
    <row r="92" spans="1:14" s="2" customFormat="1" ht="17" thickTop="1" x14ac:dyDescent="0.2">
      <c r="D92" s="958"/>
      <c r="E92" s="958"/>
      <c r="F92" s="958"/>
      <c r="G92" s="958"/>
      <c r="H92" s="958"/>
      <c r="I92" s="958"/>
      <c r="J92" s="958"/>
      <c r="K92" s="958"/>
      <c r="L92" s="958"/>
      <c r="M92" s="958"/>
    </row>
    <row r="94" spans="1:14" s="2" customFormat="1" x14ac:dyDescent="0.2">
      <c r="B94" s="958"/>
      <c r="C94" s="958"/>
      <c r="D94" s="958"/>
      <c r="E94" s="958"/>
      <c r="F94" s="958"/>
      <c r="G94" s="958"/>
      <c r="H94" s="958"/>
      <c r="I94" s="958"/>
      <c r="J94" s="958"/>
      <c r="K94" s="958"/>
      <c r="L94" s="958"/>
      <c r="M94" s="958"/>
    </row>
  </sheetData>
  <mergeCells count="5">
    <mergeCell ref="D6:D7"/>
    <mergeCell ref="K6:K7"/>
    <mergeCell ref="B3:M3"/>
    <mergeCell ref="C6:C7"/>
    <mergeCell ref="C5:M5"/>
  </mergeCells>
  <pageMargins left="0.7" right="0.7" top="0.75" bottom="0.75" header="0.3" footer="0.3"/>
  <pageSetup scale="47"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3:AC94"/>
  <sheetViews>
    <sheetView zoomScale="70" zoomScaleNormal="70" zoomScalePageLayoutView="70" workbookViewId="0">
      <pane xSplit="2" ySplit="9" topLeftCell="C22" activePane="bottomRight" state="frozen"/>
      <selection pane="topRight" activeCell="AR8" sqref="AR8"/>
      <selection pane="bottomLeft" activeCell="AR8" sqref="AR8"/>
      <selection pane="bottomRight" activeCell="J14" sqref="J14"/>
    </sheetView>
  </sheetViews>
  <sheetFormatPr baseColWidth="10" defaultColWidth="10.83203125" defaultRowHeight="16" x14ac:dyDescent="0.2"/>
  <cols>
    <col min="1" max="1" width="17.5" style="1" hidden="1" customWidth="1"/>
    <col min="2" max="2" width="19" style="1" customWidth="1"/>
    <col min="3" max="24" width="11.5" style="1" customWidth="1"/>
    <col min="25" max="26" width="10.83203125" style="1"/>
    <col min="27" max="27" width="13.6640625" style="1" customWidth="1"/>
    <col min="28" max="16384" width="10.83203125" style="1"/>
  </cols>
  <sheetData>
    <row r="3" spans="2:29" ht="17" thickBot="1" x14ac:dyDescent="0.25">
      <c r="B3" s="958"/>
      <c r="C3" s="958"/>
      <c r="D3" s="958"/>
      <c r="E3" s="958"/>
      <c r="F3" s="958"/>
      <c r="G3" s="958"/>
      <c r="H3" s="958"/>
      <c r="I3" s="958"/>
      <c r="J3" s="958"/>
      <c r="K3" s="958"/>
      <c r="L3" s="958"/>
      <c r="M3" s="1115"/>
      <c r="N3" s="958"/>
      <c r="O3" s="958"/>
      <c r="P3" s="958"/>
      <c r="Q3" s="958"/>
      <c r="R3" s="958"/>
      <c r="S3" s="958"/>
      <c r="T3" s="958"/>
      <c r="U3" s="958"/>
      <c r="V3" s="958"/>
      <c r="W3" s="958"/>
      <c r="X3" s="1115"/>
      <c r="Y3" s="958"/>
      <c r="Z3" s="958"/>
      <c r="AA3" s="958"/>
      <c r="AB3" s="958"/>
      <c r="AC3" s="958"/>
    </row>
    <row r="4" spans="2:29" hidden="1" x14ac:dyDescent="0.2">
      <c r="B4" s="958"/>
      <c r="C4" s="958"/>
      <c r="D4" s="958"/>
      <c r="E4" s="958">
        <v>2</v>
      </c>
      <c r="F4" s="958">
        <v>3</v>
      </c>
      <c r="G4" s="958">
        <v>4</v>
      </c>
      <c r="H4" s="958">
        <v>5</v>
      </c>
      <c r="I4" s="958">
        <v>6</v>
      </c>
      <c r="J4" s="958">
        <v>7</v>
      </c>
      <c r="K4" s="958"/>
      <c r="L4" s="958">
        <v>8</v>
      </c>
      <c r="M4" s="958">
        <v>9</v>
      </c>
      <c r="N4" s="958"/>
      <c r="O4" s="958"/>
      <c r="P4" s="958">
        <v>2</v>
      </c>
      <c r="Q4" s="958">
        <v>3</v>
      </c>
      <c r="R4" s="958">
        <v>4</v>
      </c>
      <c r="S4" s="958">
        <v>5</v>
      </c>
      <c r="T4" s="958">
        <v>6</v>
      </c>
      <c r="U4" s="958">
        <v>7</v>
      </c>
      <c r="V4" s="958"/>
      <c r="W4" s="958">
        <v>8</v>
      </c>
      <c r="X4" s="958">
        <v>9</v>
      </c>
      <c r="Y4" s="958"/>
      <c r="Z4" s="958"/>
      <c r="AA4" s="958"/>
      <c r="AB4" s="958"/>
      <c r="AC4" s="958"/>
    </row>
    <row r="5" spans="2:29" ht="32.25" customHeight="1" thickTop="1" x14ac:dyDescent="0.2">
      <c r="B5" s="1934" t="s">
        <v>646</v>
      </c>
      <c r="C5" s="1935"/>
      <c r="D5" s="1935"/>
      <c r="E5" s="1935"/>
      <c r="F5" s="1935"/>
      <c r="G5" s="1935"/>
      <c r="H5" s="1935"/>
      <c r="I5" s="1935"/>
      <c r="J5" s="1935"/>
      <c r="K5" s="1935"/>
      <c r="L5" s="1935"/>
      <c r="M5" s="1935"/>
      <c r="N5" s="1935"/>
      <c r="O5" s="1935"/>
      <c r="P5" s="1935"/>
      <c r="Q5" s="1935"/>
      <c r="R5" s="1935"/>
      <c r="S5" s="1935"/>
      <c r="T5" s="1935"/>
      <c r="U5" s="1935"/>
      <c r="V5" s="1935"/>
      <c r="W5" s="1935"/>
      <c r="X5" s="1936"/>
      <c r="Y5" s="958"/>
      <c r="Z5" s="958"/>
      <c r="AA5" s="958"/>
      <c r="AB5" s="958"/>
      <c r="AC5" s="958"/>
    </row>
    <row r="6" spans="2:29" ht="32.25" customHeight="1" x14ac:dyDescent="0.2">
      <c r="B6" s="4"/>
      <c r="C6" s="160" t="s">
        <v>1</v>
      </c>
      <c r="D6" s="160" t="s">
        <v>2</v>
      </c>
      <c r="E6" s="160" t="s">
        <v>3</v>
      </c>
      <c r="F6" s="160" t="s">
        <v>4</v>
      </c>
      <c r="G6" s="160" t="s">
        <v>5</v>
      </c>
      <c r="H6" s="160" t="s">
        <v>6</v>
      </c>
      <c r="I6" s="160" t="s">
        <v>7</v>
      </c>
      <c r="J6" s="160" t="s">
        <v>8</v>
      </c>
      <c r="K6" s="160" t="s">
        <v>9</v>
      </c>
      <c r="L6" s="160" t="s">
        <v>10</v>
      </c>
      <c r="M6" s="160" t="s">
        <v>11</v>
      </c>
      <c r="N6" s="160" t="s">
        <v>12</v>
      </c>
      <c r="O6" s="160" t="s">
        <v>13</v>
      </c>
      <c r="P6" s="160" t="s">
        <v>177</v>
      </c>
      <c r="Q6" s="160" t="s">
        <v>178</v>
      </c>
      <c r="R6" s="160" t="s">
        <v>179</v>
      </c>
      <c r="S6" s="160" t="s">
        <v>619</v>
      </c>
      <c r="T6" s="160" t="s">
        <v>620</v>
      </c>
      <c r="U6" s="160" t="s">
        <v>621</v>
      </c>
      <c r="V6" s="160" t="s">
        <v>622</v>
      </c>
      <c r="W6" s="160" t="s">
        <v>623</v>
      </c>
      <c r="X6" s="6" t="s">
        <v>624</v>
      </c>
      <c r="Y6" s="958"/>
      <c r="Z6" s="958"/>
      <c r="AA6" s="958"/>
      <c r="AB6" s="958"/>
      <c r="AC6" s="958"/>
    </row>
    <row r="7" spans="2:29" ht="21" customHeight="1" x14ac:dyDescent="0.2">
      <c r="B7" s="1154"/>
      <c r="C7" s="2098" t="s">
        <v>647</v>
      </c>
      <c r="D7" s="2099" t="s">
        <v>648</v>
      </c>
      <c r="E7" s="2099"/>
      <c r="F7" s="2099"/>
      <c r="G7" s="2099"/>
      <c r="H7" s="2099"/>
      <c r="I7" s="2099"/>
      <c r="J7" s="2099"/>
      <c r="K7" s="2099"/>
      <c r="L7" s="2099"/>
      <c r="M7" s="2100"/>
      <c r="N7" s="2099" t="s">
        <v>649</v>
      </c>
      <c r="O7" s="2099" t="s">
        <v>648</v>
      </c>
      <c r="P7" s="2099"/>
      <c r="Q7" s="2099"/>
      <c r="R7" s="2099"/>
      <c r="S7" s="2099"/>
      <c r="T7" s="2099"/>
      <c r="U7" s="2099"/>
      <c r="V7" s="2099"/>
      <c r="W7" s="2099"/>
      <c r="X7" s="2175"/>
      <c r="Y7" s="958"/>
      <c r="Z7" s="958"/>
      <c r="AA7" s="958"/>
      <c r="AB7" s="958"/>
      <c r="AC7" s="958"/>
    </row>
    <row r="8" spans="2:29" ht="85" customHeight="1" x14ac:dyDescent="0.2">
      <c r="B8" s="1154"/>
      <c r="C8" s="2020" t="s">
        <v>627</v>
      </c>
      <c r="D8" s="2020" t="s">
        <v>628</v>
      </c>
      <c r="E8" s="1826" t="s">
        <v>31</v>
      </c>
      <c r="F8" s="1826" t="s">
        <v>86</v>
      </c>
      <c r="G8" s="1826" t="s">
        <v>43</v>
      </c>
      <c r="H8" s="1828" t="s">
        <v>49</v>
      </c>
      <c r="I8" s="1826" t="s">
        <v>96</v>
      </c>
      <c r="J8" s="1828" t="s">
        <v>51</v>
      </c>
      <c r="K8" s="2020" t="s">
        <v>629</v>
      </c>
      <c r="L8" s="1828" t="s">
        <v>60</v>
      </c>
      <c r="M8" s="1843" t="s">
        <v>630</v>
      </c>
      <c r="N8" s="2020" t="s">
        <v>627</v>
      </c>
      <c r="O8" s="2020" t="s">
        <v>628</v>
      </c>
      <c r="P8" s="1826" t="s">
        <v>31</v>
      </c>
      <c r="Q8" s="1826" t="s">
        <v>86</v>
      </c>
      <c r="R8" s="1826" t="s">
        <v>43</v>
      </c>
      <c r="S8" s="1828" t="s">
        <v>49</v>
      </c>
      <c r="T8" s="1826" t="s">
        <v>96</v>
      </c>
      <c r="U8" s="1828" t="s">
        <v>51</v>
      </c>
      <c r="V8" s="2023" t="s">
        <v>629</v>
      </c>
      <c r="W8" s="1828" t="s">
        <v>60</v>
      </c>
      <c r="X8" s="1837" t="s">
        <v>630</v>
      </c>
      <c r="Y8" s="958"/>
      <c r="Z8" s="958"/>
      <c r="AA8" s="958"/>
      <c r="AB8" s="958"/>
      <c r="AC8" s="958"/>
    </row>
    <row r="9" spans="2:29" ht="17.25" customHeight="1" x14ac:dyDescent="0.2">
      <c r="B9" s="1154"/>
      <c r="C9" s="2020"/>
      <c r="D9" s="2020"/>
      <c r="E9" s="1826"/>
      <c r="F9" s="1826"/>
      <c r="G9" s="1826"/>
      <c r="H9" s="1826"/>
      <c r="I9" s="1826"/>
      <c r="J9" s="1826"/>
      <c r="K9" s="2050"/>
      <c r="L9" s="1826"/>
      <c r="M9" s="1843"/>
      <c r="N9" s="2020"/>
      <c r="O9" s="2020"/>
      <c r="P9" s="1826"/>
      <c r="Q9" s="1826"/>
      <c r="R9" s="1826"/>
      <c r="S9" s="1826"/>
      <c r="T9" s="1826"/>
      <c r="U9" s="1826"/>
      <c r="V9" s="2266"/>
      <c r="W9" s="1826"/>
      <c r="X9" s="1837"/>
      <c r="Y9" s="958"/>
      <c r="Z9" s="958"/>
      <c r="AA9" s="958"/>
      <c r="AB9" s="958"/>
      <c r="AC9" s="958"/>
    </row>
    <row r="10" spans="2:29" ht="40" customHeight="1" x14ac:dyDescent="0.2">
      <c r="B10" s="8" t="s">
        <v>28</v>
      </c>
      <c r="C10" s="264">
        <f>+SUM(C11:C45)</f>
        <v>435144.24979196116</v>
      </c>
      <c r="D10" s="264">
        <f t="shared" ref="D10:X10" si="0">+SUM(D11:D45)</f>
        <v>234793.02632222945</v>
      </c>
      <c r="E10" s="258">
        <f t="shared" si="0"/>
        <v>29994.00888902284</v>
      </c>
      <c r="F10" s="258">
        <f t="shared" si="0"/>
        <v>1123.6946548864801</v>
      </c>
      <c r="G10" s="258">
        <f t="shared" si="0"/>
        <v>63083.945394416514</v>
      </c>
      <c r="H10" s="258">
        <f t="shared" si="0"/>
        <v>77984.996457696223</v>
      </c>
      <c r="I10" s="258">
        <f t="shared" si="0"/>
        <v>1070.9409788799055</v>
      </c>
      <c r="J10" s="258">
        <f t="shared" si="0"/>
        <v>61535.439947327446</v>
      </c>
      <c r="K10" s="264">
        <f t="shared" si="0"/>
        <v>200351.22346973181</v>
      </c>
      <c r="L10" s="258">
        <f t="shared" si="0"/>
        <v>39838.908998594576</v>
      </c>
      <c r="M10" s="259">
        <f t="shared" si="0"/>
        <v>160512.3144711373</v>
      </c>
      <c r="N10" s="264">
        <f t="shared" si="0"/>
        <v>533274.90660975617</v>
      </c>
      <c r="O10" s="264">
        <f t="shared" si="0"/>
        <v>321084.57410271821</v>
      </c>
      <c r="P10" s="258">
        <f t="shared" si="0"/>
        <v>39262.86141581642</v>
      </c>
      <c r="Q10" s="258">
        <f t="shared" si="0"/>
        <v>1114.9004887740675</v>
      </c>
      <c r="R10" s="258">
        <f t="shared" si="0"/>
        <v>78949.00726189035</v>
      </c>
      <c r="S10" s="258">
        <f t="shared" si="0"/>
        <v>45844.647648928578</v>
      </c>
      <c r="T10" s="258">
        <f t="shared" si="0"/>
        <v>98.477697374840005</v>
      </c>
      <c r="U10" s="258">
        <f t="shared" si="0"/>
        <v>155814.67958993395</v>
      </c>
      <c r="V10" s="264">
        <f t="shared" si="0"/>
        <v>212190.33250703808</v>
      </c>
      <c r="W10" s="258">
        <f t="shared" si="0"/>
        <v>131202.60740954758</v>
      </c>
      <c r="X10" s="621">
        <f t="shared" si="0"/>
        <v>80987.725097490504</v>
      </c>
      <c r="Y10" s="958"/>
      <c r="Z10" s="958"/>
      <c r="AA10" s="958"/>
      <c r="AB10" s="958"/>
      <c r="AC10" s="958"/>
    </row>
    <row r="11" spans="2:29" ht="14.25" customHeight="1" x14ac:dyDescent="0.2">
      <c r="B11" s="1155" t="s">
        <v>29</v>
      </c>
      <c r="C11" s="1458">
        <f>1000*TableA7!$P$91*(TableC2!D9+TableC2!O9)/(TableC2!$D$91+TableC2!$O$91)</f>
        <v>12959.094629306808</v>
      </c>
      <c r="D11" s="1458">
        <f>1000*TableA7!$P$91*(TableC2!E9+TableC2!P9)/(TableC2!$D$91+TableC2!$O$91)</f>
        <v>4114.8978838800631</v>
      </c>
      <c r="E11" s="1459">
        <f>1000*TableA7!$P$91*(TableC2!F9+TableC2!Q9)/(TableC2!$D$91+TableC2!$O$91)</f>
        <v>261.22630325692518</v>
      </c>
      <c r="F11" s="1459">
        <f>1000*TableA7!$P$91*(TableC2!G9+TableC2!R9)/(TableC2!$D$91+TableC2!$O$91)</f>
        <v>1.6855537143936803</v>
      </c>
      <c r="G11" s="1459">
        <f>1000*TableA7!$P$91*(TableC2!H9+TableC2!S9)/(TableC2!$D$91+TableC2!$O$91)</f>
        <v>1860.1357561312632</v>
      </c>
      <c r="H11" s="1459">
        <f>1000*TableA7!$P$91*(TableC2!I9+TableC2!T9)/(TableC2!$D$91+TableC2!$O$91)</f>
        <v>640.56120056375551</v>
      </c>
      <c r="I11" s="1459">
        <f>1000*TableA7!$P$91*(TableC2!J9+TableC2!U9)/(TableC2!$D$91+TableC2!$O$91)</f>
        <v>10.627770509239408</v>
      </c>
      <c r="J11" s="1459">
        <f>1000*TableA7!$P$91*(TableC2!K9+TableC2!V9)/(TableC2!$D$91+TableC2!$O$91)</f>
        <v>1340.6612997044863</v>
      </c>
      <c r="K11" s="1458">
        <f>1000*TableA7!$P$91*(TableC2!L9+TableC2!W9)/(TableC2!$D$91+TableC2!$O$91)</f>
        <v>8844.1967454267451</v>
      </c>
      <c r="L11" s="1174">
        <f>1000*TableA7!$P$91*(TableC2!M9+TableC2!X9)/(TableC2!$D$91+TableC2!$O$91)</f>
        <v>726.10444662540408</v>
      </c>
      <c r="M11" s="1235">
        <f>1000*TableA7!$P$91*(TableC2!N9+TableC2!Y9)/(TableC2!$D$91+TableC2!$O$91)</f>
        <v>8118.0922988013408</v>
      </c>
      <c r="N11" s="1458">
        <f>1000*TableA7!$P$91*TableC3!C9/TableC3!$C$91</f>
        <v>1751.0103445011537</v>
      </c>
      <c r="O11" s="1458">
        <f>1000*TableA7!$P$91*TableC3!D9/TableC3!$C$91</f>
        <v>-155.32766076601789</v>
      </c>
      <c r="P11" s="1459">
        <f>1000*TableA7!$P$91*TableC3!E9/TableC3!$C$91</f>
        <v>-187.51540513146017</v>
      </c>
      <c r="Q11" s="1459">
        <f>1000*TableA7!$P$91*TableC3!F9/TableC3!$C$91</f>
        <v>0.36159715788592417</v>
      </c>
      <c r="R11" s="1459">
        <f>1000*TableA7!$P$91*TableC3!G9/TableC3!$C$91</f>
        <v>31.826147207556335</v>
      </c>
      <c r="S11" s="1459">
        <f>1000*TableA7!$P$91*TableC3!H9/TableC3!$C$91</f>
        <v>0</v>
      </c>
      <c r="T11" s="1459">
        <f>1000*TableA7!$P$91*TableC3!I9/TableC3!$C$91</f>
        <v>0</v>
      </c>
      <c r="U11" s="1459">
        <f>1000*TableA7!$P$91*TableC3!J9/TableC3!$C$91</f>
        <v>0</v>
      </c>
      <c r="V11" s="1458">
        <f>1000*TableA7!$P$91*TableC3!K9/TableC3!$C$91</f>
        <v>1906.3380052671716</v>
      </c>
      <c r="W11" s="1174">
        <f>1000*TableA7!$P$91*TableC3!L9/TableC3!$C$91</f>
        <v>0</v>
      </c>
      <c r="X11" s="1217">
        <f>1000*TableA7!$P$91*TableC3!M9/TableC3!$C$91</f>
        <v>1906.3380052671716</v>
      </c>
      <c r="Y11" s="958"/>
      <c r="Z11" s="958"/>
      <c r="AA11" s="958"/>
      <c r="AB11" s="958"/>
      <c r="AC11" s="958"/>
    </row>
    <row r="12" spans="2:29" ht="14.25" customHeight="1" x14ac:dyDescent="0.2">
      <c r="B12" s="1155" t="s">
        <v>30</v>
      </c>
      <c r="C12" s="1458">
        <f>1000*TableA7!$P$91*(TableC2!D10+TableC2!O10)/(TableC2!$D$91+TableC2!$O$91)</f>
        <v>3589.4388002507044</v>
      </c>
      <c r="D12" s="1458">
        <f>1000*TableA7!$P$91*(TableC2!E10+TableC2!P10)/(TableC2!$D$91+TableC2!$O$91)</f>
        <v>2075.6313277908025</v>
      </c>
      <c r="E12" s="1459">
        <f>1000*TableA7!$P$91*(TableC2!F10+TableC2!Q10)/(TableC2!$D$91+TableC2!$O$91)</f>
        <v>320.22850996040779</v>
      </c>
      <c r="F12" s="1459">
        <f>1000*TableA7!$P$91*(TableC2!G10+TableC2!R10)/(TableC2!$D$91+TableC2!$O$91)</f>
        <v>7.6734541214757375</v>
      </c>
      <c r="G12" s="1459">
        <f>1000*TableA7!$P$91*(TableC2!H10+TableC2!S10)/(TableC2!$D$91+TableC2!$O$91)</f>
        <v>751.32605153964062</v>
      </c>
      <c r="H12" s="1459">
        <f>1000*TableA7!$P$91*(TableC2!I10+TableC2!T10)/(TableC2!$D$91+TableC2!$O$91)</f>
        <v>629.46314143690859</v>
      </c>
      <c r="I12" s="1459">
        <f>1000*TableA7!$P$91*(TableC2!J10+TableC2!U10)/(TableC2!$D$91+TableC2!$O$91)</f>
        <v>35.723356797109524</v>
      </c>
      <c r="J12" s="1459">
        <f>1000*TableA7!$P$91*(TableC2!K10+TableC2!V10)/(TableC2!$D$91+TableC2!$O$91)</f>
        <v>331.21681393526001</v>
      </c>
      <c r="K12" s="1458">
        <f>1000*TableA7!$P$91*(TableC2!L10+TableC2!W10)/(TableC2!$D$91+TableC2!$O$91)</f>
        <v>1513.8074724599021</v>
      </c>
      <c r="L12" s="1174">
        <f>1000*TableA7!$P$91*(TableC2!M10+TableC2!X10)/(TableC2!$D$91+TableC2!$O$91)</f>
        <v>1176.0162222051465</v>
      </c>
      <c r="M12" s="1235">
        <f>1000*TableA7!$P$91*(TableC2!N10+TableC2!Y10)/(TableC2!$D$91+TableC2!$O$91)</f>
        <v>337.79125025475571</v>
      </c>
      <c r="N12" s="1458">
        <f>1000*TableA7!$P$91*TableC3!C10/TableC3!$C$91</f>
        <v>2228.2390335456394</v>
      </c>
      <c r="O12" s="1458">
        <f>1000*TableA7!$P$91*TableC3!D10/TableC3!$C$91</f>
        <v>370.74200630620197</v>
      </c>
      <c r="P12" s="1459">
        <f>1000*TableA7!$P$91*TableC3!E10/TableC3!$C$91</f>
        <v>131.93009463928408</v>
      </c>
      <c r="Q12" s="1459">
        <f>1000*TableA7!$P$91*TableC3!F10/TableC3!$C$91</f>
        <v>0</v>
      </c>
      <c r="R12" s="1459">
        <f>1000*TableA7!$P$91*TableC3!G10/TableC3!$C$91</f>
        <v>9.4512291614865696</v>
      </c>
      <c r="S12" s="1459">
        <f>1000*TableA7!$P$91*TableC3!H10/TableC3!$C$91</f>
        <v>0</v>
      </c>
      <c r="T12" s="1459">
        <f>1000*TableA7!$P$91*TableC3!I10/TableC3!$C$91</f>
        <v>7.3917513204249037</v>
      </c>
      <c r="U12" s="1459">
        <f>1000*TableA7!$P$91*TableC3!J10/TableC3!$C$91</f>
        <v>221.9689311850064</v>
      </c>
      <c r="V12" s="1458">
        <f>1000*TableA7!$P$91*TableC3!K10/TableC3!$C$91</f>
        <v>1857.4970272394371</v>
      </c>
      <c r="W12" s="1174">
        <f>1000*TableA7!$P$91*TableC3!L10/TableC3!$C$91</f>
        <v>1801.2566517655405</v>
      </c>
      <c r="X12" s="1217">
        <f>1000*TableA7!$P$91*TableC3!M10/TableC3!$C$91</f>
        <v>56.240375473896769</v>
      </c>
      <c r="Y12" s="958"/>
      <c r="Z12" s="958"/>
      <c r="AA12" s="958" t="s">
        <v>650</v>
      </c>
      <c r="AB12" s="958" t="s">
        <v>651</v>
      </c>
      <c r="AC12" s="958"/>
    </row>
    <row r="13" spans="2:29" ht="14.25" customHeight="1" x14ac:dyDescent="0.2">
      <c r="B13" s="1155" t="s">
        <v>31</v>
      </c>
      <c r="C13" s="1458"/>
      <c r="D13" s="1458"/>
      <c r="E13" s="1459"/>
      <c r="F13" s="1459"/>
      <c r="G13" s="1459"/>
      <c r="H13" s="1459"/>
      <c r="I13" s="1459"/>
      <c r="J13" s="1459"/>
      <c r="K13" s="1458"/>
      <c r="L13" s="1174"/>
      <c r="M13" s="1235"/>
      <c r="N13" s="1458"/>
      <c r="O13" s="1458"/>
      <c r="P13" s="1459"/>
      <c r="Q13" s="1459"/>
      <c r="R13" s="1459"/>
      <c r="S13" s="1459"/>
      <c r="T13" s="1459"/>
      <c r="U13" s="1459"/>
      <c r="V13" s="1458"/>
      <c r="W13" s="1174"/>
      <c r="X13" s="1217"/>
      <c r="Y13" s="958"/>
      <c r="Z13" s="958" t="s">
        <v>169</v>
      </c>
      <c r="AA13" s="1007">
        <f>+C12+C16+C17+C18+C19+C20+C21+C22+C23+C27+C37+C36+C38+C39+C40+C41+C44</f>
        <v>216002.97279864468</v>
      </c>
      <c r="AB13" s="1483">
        <f>+TableA2!F10+TableA2!F11+TableA2!F16+TableA2!F17+TableA2!F18+TableA2!F19+TableA2!F20+TableA2!F21+TableA2!F22+TableA2!F26+TableA2!F29+TableA2!F35+TableA2!F36+TableA2!F37+TableA2!F38+TableA2!F39+TableA2!F40+TableA2!F43+TableA2!F15</f>
        <v>2118.1107471611385</v>
      </c>
      <c r="AC13" s="1475">
        <f>+AA13/(AB13*1000)</f>
        <v>0.10197907408200878</v>
      </c>
    </row>
    <row r="14" spans="2:29" ht="14.25" customHeight="1" x14ac:dyDescent="0.2">
      <c r="B14" s="1155" t="s">
        <v>32</v>
      </c>
      <c r="C14" s="1458">
        <f>1000*TableA7!$P$91*(TableC2!D12+TableC2!O12)/(TableC2!$D$91+TableC2!$O$91)</f>
        <v>18916.079243072261</v>
      </c>
      <c r="D14" s="1458">
        <f>1000*TableA7!$P$91*(TableC2!E12+TableC2!P12)/(TableC2!$D$91+TableC2!$O$91)</f>
        <v>3337.0993099470156</v>
      </c>
      <c r="E14" s="1459">
        <f>1000*TableA7!$P$91*(TableC2!F12+TableC2!Q12)/(TableC2!$D$91+TableC2!$O$91)</f>
        <v>252.25359267293629</v>
      </c>
      <c r="F14" s="1459">
        <f>1000*TableA7!$P$91*(TableC2!G12+TableC2!R12)/(TableC2!$D$91+TableC2!$O$91)</f>
        <v>1.6855537143936803</v>
      </c>
      <c r="G14" s="1459">
        <f>1000*TableA7!$P$91*(TableC2!H12+TableC2!S12)/(TableC2!$D$91+TableC2!$O$91)</f>
        <v>612.04224147815762</v>
      </c>
      <c r="H14" s="1459">
        <f>1000*TableA7!$P$91*(TableC2!I12+TableC2!T12)/(TableC2!$D$91+TableC2!$O$91)</f>
        <v>1092.5125068656464</v>
      </c>
      <c r="I14" s="1459">
        <f>1000*TableA7!$P$91*(TableC2!J12+TableC2!U12)/(TableC2!$D$91+TableC2!$O$91)</f>
        <v>12.243633495189517</v>
      </c>
      <c r="J14" s="1459">
        <f>1000*TableA7!$P$91*(TableC2!K12+TableC2!V12)/(TableC2!$D$91+TableC2!$O$91)</f>
        <v>1366.3617817206923</v>
      </c>
      <c r="K14" s="1458">
        <f>1000*TableA7!$P$91*(TableC2!L12+TableC2!W12)/(TableC2!$D$91+TableC2!$O$91)</f>
        <v>15578.979933125243</v>
      </c>
      <c r="L14" s="1174">
        <f>1000*TableA7!$P$91*(TableC2!M12+TableC2!X12)/(TableC2!$D$91+TableC2!$O$91)</f>
        <v>1279.0270195175719</v>
      </c>
      <c r="M14" s="1235">
        <f>1000*TableA7!$P$91*(TableC2!N12+TableC2!Y12)/(TableC2!$D$91+TableC2!$O$91)</f>
        <v>14299.952913607669</v>
      </c>
      <c r="N14" s="1458">
        <f>1000*TableA7!$P$91*TableC3!C12/TableC3!$C$91</f>
        <v>16428.916128867204</v>
      </c>
      <c r="O14" s="1458">
        <f>1000*TableA7!$P$91*TableC3!D12/TableC3!$C$91</f>
        <v>4309.8657199889221</v>
      </c>
      <c r="P14" s="1459">
        <f>1000*TableA7!$P$91*TableC3!E12/TableC3!$C$91</f>
        <v>-226.90242415082275</v>
      </c>
      <c r="Q14" s="1459">
        <f>1000*TableA7!$P$91*TableC3!F12/TableC3!$C$91</f>
        <v>0</v>
      </c>
      <c r="R14" s="1459">
        <f>1000*TableA7!$P$91*TableC3!G12/TableC3!$C$91</f>
        <v>156.12355160851632</v>
      </c>
      <c r="S14" s="1459">
        <f>1000*TableA7!$P$91*TableC3!H12/TableC3!$C$91</f>
        <v>3943.8561349490888</v>
      </c>
      <c r="T14" s="1459">
        <f>1000*TableA7!$P$91*TableC3!I12/TableC3!$C$91</f>
        <v>0</v>
      </c>
      <c r="U14" s="1459">
        <f>1000*TableA7!$P$91*TableC3!J12/TableC3!$C$91</f>
        <v>436.78845758213981</v>
      </c>
      <c r="V14" s="1458">
        <f>1000*TableA7!$P$91*TableC3!K12/TableC3!$C$91</f>
        <v>12119.050408878278</v>
      </c>
      <c r="W14" s="1174">
        <f>1000*TableA7!$P$91*TableC3!L12/TableC3!$C$91</f>
        <v>9934.3905512193523</v>
      </c>
      <c r="X14" s="1217">
        <f>1000*TableA7!$P$91*TableC3!M12/TableC3!$C$91</f>
        <v>2184.6598576589258</v>
      </c>
      <c r="Y14" s="958"/>
      <c r="Z14" s="958" t="s">
        <v>652</v>
      </c>
      <c r="AA14" s="1484">
        <f>C45</f>
        <v>142565.30860350179</v>
      </c>
      <c r="AB14" s="1483">
        <f>+TableA2!F44</f>
        <v>1889.3969000000002</v>
      </c>
      <c r="AC14" s="1475">
        <f>+AA14/(AB14*1000)</f>
        <v>7.5455458090093075E-2</v>
      </c>
    </row>
    <row r="15" spans="2:29" ht="14.25" customHeight="1" x14ac:dyDescent="0.2">
      <c r="B15" s="1155" t="s">
        <v>33</v>
      </c>
      <c r="C15" s="1458">
        <f>1000*TableA7!$P$91*(TableC2!D13+TableC2!O13)/(TableC2!$D$91+TableC2!$O$91)</f>
        <v>5181.914374561401</v>
      </c>
      <c r="D15" s="1458">
        <f>1000*TableA7!$P$91*(TableC2!E13+TableC2!P13)/(TableC2!$D$91+TableC2!$O$91)</f>
        <v>1008.1594951876596</v>
      </c>
      <c r="E15" s="1459">
        <f>1000*TableA7!$P$91*(TableC2!F13+TableC2!Q13)/(TableC2!$D$91+TableC2!$O$91)</f>
        <v>42.807209501378431</v>
      </c>
      <c r="F15" s="1459">
        <f>1000*TableA7!$P$91*(TableC2!G13+TableC2!R13)/(TableC2!$D$91+TableC2!$O$91)</f>
        <v>0</v>
      </c>
      <c r="G15" s="1459">
        <f>1000*TableA7!$P$91*(TableC2!H13+TableC2!S13)/(TableC2!$D$91+TableC2!$O$91)</f>
        <v>248.53186177206933</v>
      </c>
      <c r="H15" s="1459">
        <f>1000*TableA7!$P$91*(TableC2!I13+TableC2!T13)/(TableC2!$D$91+TableC2!$O$91)</f>
        <v>266.78374649642797</v>
      </c>
      <c r="I15" s="1459">
        <f>1000*TableA7!$P$91*(TableC2!J13+TableC2!U13)/(TableC2!$D$91+TableC2!$O$91)</f>
        <v>36.746311614367301</v>
      </c>
      <c r="J15" s="1459">
        <f>1000*TableA7!$P$91*(TableC2!K13+TableC2!V13)/(TableC2!$D$91+TableC2!$O$91)</f>
        <v>413.29036580341619</v>
      </c>
      <c r="K15" s="1458">
        <f>1000*TableA7!$P$91*(TableC2!L13+TableC2!W13)/(TableC2!$D$91+TableC2!$O$91)</f>
        <v>4173.7548793737406</v>
      </c>
      <c r="L15" s="1174">
        <f>1000*TableA7!$P$91*(TableC2!M13+TableC2!X13)/(TableC2!$D$91+TableC2!$O$91)</f>
        <v>342.6633378101676</v>
      </c>
      <c r="M15" s="1235">
        <f>1000*TableA7!$P$91*(TableC2!N13+TableC2!Y13)/(TableC2!$D$91+TableC2!$O$91)</f>
        <v>3831.0915415635718</v>
      </c>
      <c r="N15" s="1458">
        <f>1000*TableA7!$P$91*TableC3!C13/TableC3!$C$91</f>
        <v>-104.44171026643102</v>
      </c>
      <c r="O15" s="1458">
        <f>1000*TableA7!$P$91*TableC3!D13/TableC3!$C$91</f>
        <v>-121.74487458635676</v>
      </c>
      <c r="P15" s="1459">
        <f>1000*TableA7!$P$91*TableC3!E13/TableC3!$C$91</f>
        <v>-120.55464573581018</v>
      </c>
      <c r="Q15" s="1459">
        <f>1000*TableA7!$P$91*TableC3!F13/TableC3!$C$91</f>
        <v>0</v>
      </c>
      <c r="R15" s="1459">
        <f>1000*TableA7!$P$91*TableC3!G13/TableC3!$C$91</f>
        <v>-7.6287430958101679</v>
      </c>
      <c r="S15" s="1459">
        <f>1000*TableA7!$P$91*TableC3!H13/TableC3!$C$91</f>
        <v>2.1671963280127837</v>
      </c>
      <c r="T15" s="1459">
        <f>1000*TableA7!$P$91*TableC3!I13/TableC3!$C$91</f>
        <v>0</v>
      </c>
      <c r="U15" s="1459">
        <f>1000*TableA7!$P$91*TableC3!J13/TableC3!$C$91</f>
        <v>4.271317917250796</v>
      </c>
      <c r="V15" s="1458">
        <f>1000*TableA7!$P$91*TableC3!K13/TableC3!$C$91</f>
        <v>17.303164319925749</v>
      </c>
      <c r="W15" s="1174">
        <f>1000*TableA7!$P$91*TableC3!L13/TableC3!$C$91</f>
        <v>0</v>
      </c>
      <c r="X15" s="1217">
        <f>1000*TableA7!$P$91*TableC3!M13/TableC3!$C$91</f>
        <v>17.303164319925749</v>
      </c>
      <c r="Y15" s="958"/>
      <c r="Z15" s="958"/>
      <c r="AA15" s="958"/>
      <c r="AB15" s="958"/>
      <c r="AC15" s="958"/>
    </row>
    <row r="16" spans="2:29" ht="14.25" customHeight="1" x14ac:dyDescent="0.2">
      <c r="B16" s="1155" t="s">
        <v>34</v>
      </c>
      <c r="C16" s="1458">
        <f>1000*TableA7!$P$91*(TableC2!D14+TableC2!O14)/(TableC2!$D$91+TableC2!$O$91)</f>
        <v>1760.6284926203614</v>
      </c>
      <c r="D16" s="1458">
        <f>1000*TableA7!$P$91*(TableC2!E14+TableC2!P14)/(TableC2!$D$91+TableC2!$O$91)</f>
        <v>1409.2647465167709</v>
      </c>
      <c r="E16" s="1459">
        <f>1000*TableA7!$P$91*(TableC2!F14+TableC2!Q14)/(TableC2!$D$91+TableC2!$O$91)</f>
        <v>273.86191821811997</v>
      </c>
      <c r="F16" s="1459">
        <f>1000*TableA7!$P$91*(TableC2!G14+TableC2!R14)/(TableC2!$D$91+TableC2!$O$91)</f>
        <v>15.443454198904847</v>
      </c>
      <c r="G16" s="1459">
        <f>1000*TableA7!$P$91*(TableC2!H14+TableC2!S14)/(TableC2!$D$91+TableC2!$O$91)</f>
        <v>265.74286886933061</v>
      </c>
      <c r="H16" s="1459">
        <f>1000*TableA7!$P$91*(TableC2!I14+TableC2!T14)/(TableC2!$D$91+TableC2!$O$91)</f>
        <v>348.44919289219524</v>
      </c>
      <c r="I16" s="1459">
        <f>1000*TableA7!$P$91*(TableC2!J14+TableC2!U14)/(TableC2!$D$91+TableC2!$O$91)</f>
        <v>5.1563606065816732</v>
      </c>
      <c r="J16" s="1459">
        <f>1000*TableA7!$P$91*(TableC2!K14+TableC2!V14)/(TableC2!$D$91+TableC2!$O$91)</f>
        <v>500.61095173163824</v>
      </c>
      <c r="K16" s="1458">
        <f>1000*TableA7!$P$91*(TableC2!L14+TableC2!W14)/(TableC2!$D$91+TableC2!$O$91)</f>
        <v>351.36374610359064</v>
      </c>
      <c r="L16" s="1174">
        <f>1000*TableA7!$P$91*(TableC2!M14+TableC2!X14)/(TableC2!$D$91+TableC2!$O$91)</f>
        <v>316.81274305999432</v>
      </c>
      <c r="M16" s="1235">
        <f>1000*TableA7!$P$91*(TableC2!N14+TableC2!Y14)/(TableC2!$D$91+TableC2!$O$91)</f>
        <v>34.551003043596332</v>
      </c>
      <c r="N16" s="1458">
        <f>1000*TableA7!$P$91*TableC3!C14/TableC3!$C$91</f>
        <v>472.20912026254814</v>
      </c>
      <c r="O16" s="1458">
        <f>1000*TableA7!$P$91*TableC3!D14/TableC3!$C$91</f>
        <v>472.0748373624408</v>
      </c>
      <c r="P16" s="1459">
        <f>1000*TableA7!$P$91*TableC3!E14/TableC3!$C$91</f>
        <v>471.15568797516579</v>
      </c>
      <c r="Q16" s="1459">
        <f>1000*TableA7!$P$91*TableC3!F14/TableC3!$C$91</f>
        <v>0</v>
      </c>
      <c r="R16" s="1459">
        <f>1000*TableA7!$P$91*TableC3!G14/TableC3!$C$91</f>
        <v>0.91914938727498685</v>
      </c>
      <c r="S16" s="1459">
        <f>1000*TableA7!$P$91*TableC3!H14/TableC3!$C$91</f>
        <v>0</v>
      </c>
      <c r="T16" s="1459">
        <f>1000*TableA7!$P$91*TableC3!I14/TableC3!$C$91</f>
        <v>0</v>
      </c>
      <c r="U16" s="1459">
        <f>1000*TableA7!$P$91*TableC3!J14/TableC3!$C$91</f>
        <v>0</v>
      </c>
      <c r="V16" s="1458">
        <f>1000*TableA7!$P$91*TableC3!K14/TableC3!$C$91</f>
        <v>0.134282900107353</v>
      </c>
      <c r="W16" s="1174">
        <f>1000*TableA7!$P$91*TableC3!L14/TableC3!$C$91</f>
        <v>0</v>
      </c>
      <c r="X16" s="1217">
        <f>1000*TableA7!$P$91*TableC3!M14/TableC3!$C$91</f>
        <v>0.134282900107353</v>
      </c>
      <c r="Y16" s="958"/>
      <c r="Z16" s="958"/>
      <c r="AA16" s="958"/>
      <c r="AB16" s="958"/>
      <c r="AC16" s="958"/>
    </row>
    <row r="17" spans="1:24" ht="14.25" customHeight="1" x14ac:dyDescent="0.2">
      <c r="A17" s="958"/>
      <c r="B17" s="1155" t="s">
        <v>35</v>
      </c>
      <c r="C17" s="1458">
        <f>1000*TableA7!$P$91*(TableC2!D15+TableC2!O15)/(TableC2!$D$91+TableC2!$O$91)</f>
        <v>2961.7661722785192</v>
      </c>
      <c r="D17" s="1458">
        <f>1000*TableA7!$P$91*(TableC2!E15+TableC2!P15)/(TableC2!$D$91+TableC2!$O$91)</f>
        <v>2331.5889402003227</v>
      </c>
      <c r="E17" s="1459">
        <f>1000*TableA7!$P$91*(TableC2!F15+TableC2!Q15)/(TableC2!$D$91+TableC2!$O$91)</f>
        <v>311.14042906841536</v>
      </c>
      <c r="F17" s="1459">
        <f>1000*TableA7!$P$91*(TableC2!G15+TableC2!R15)/(TableC2!$D$91+TableC2!$O$91)</f>
        <v>0.69758673831597617</v>
      </c>
      <c r="G17" s="1459">
        <f>1000*TableA7!$P$91*(TableC2!H15+TableC2!S15)/(TableC2!$D$91+TableC2!$O$91)</f>
        <v>1168.686206222787</v>
      </c>
      <c r="H17" s="1459">
        <f>1000*TableA7!$P$91*(TableC2!I15+TableC2!T15)/(TableC2!$D$91+TableC2!$O$91)</f>
        <v>452.68579058260491</v>
      </c>
      <c r="I17" s="1459">
        <f>1000*TableA7!$P$91*(TableC2!J15+TableC2!U15)/(TableC2!$D$91+TableC2!$O$91)</f>
        <v>12.362710740841502</v>
      </c>
      <c r="J17" s="1459">
        <f>1000*TableA7!$P$91*(TableC2!K15+TableC2!V15)/(TableC2!$D$91+TableC2!$O$91)</f>
        <v>386.0162168473571</v>
      </c>
      <c r="K17" s="1458">
        <f>1000*TableA7!$P$91*(TableC2!L15+TableC2!W15)/(TableC2!$D$91+TableC2!$O$91)</f>
        <v>630.17723207819733</v>
      </c>
      <c r="L17" s="1174">
        <f>1000*TableA7!$P$91*(TableC2!M15+TableC2!X15)/(TableC2!$D$91+TableC2!$O$91)</f>
        <v>366.70471853474584</v>
      </c>
      <c r="M17" s="1235">
        <f>1000*TableA7!$P$91*(TableC2!N15+TableC2!Y15)/(TableC2!$D$91+TableC2!$O$91)</f>
        <v>263.47251354345156</v>
      </c>
      <c r="N17" s="1458">
        <f>1000*TableA7!$P$91*TableC3!C15/TableC3!$C$91</f>
        <v>3634.8255563860771</v>
      </c>
      <c r="O17" s="1458">
        <f>1000*TableA7!$P$91*TableC3!D15/TableC3!$C$91</f>
        <v>2115.275239134718</v>
      </c>
      <c r="P17" s="1459">
        <f>1000*TableA7!$P$91*TableC3!E15/TableC3!$C$91</f>
        <v>209.69547666295188</v>
      </c>
      <c r="Q17" s="1459">
        <f>1000*TableA7!$P$91*TableC3!F15/TableC3!$C$91</f>
        <v>0.2673216614088838</v>
      </c>
      <c r="R17" s="1459">
        <f>1000*TableA7!$P$91*TableC3!G15/TableC3!$C$91</f>
        <v>94.798518089878641</v>
      </c>
      <c r="S17" s="1459">
        <f>1000*TableA7!$P$91*TableC3!H15/TableC3!$C$91</f>
        <v>0</v>
      </c>
      <c r="T17" s="1459">
        <f>1000*TableA7!$P$91*TableC3!I15/TableC3!$C$91</f>
        <v>0.80355226728693074</v>
      </c>
      <c r="U17" s="1459">
        <f>1000*TableA7!$P$91*TableC3!J15/TableC3!$C$91</f>
        <v>1809.7103704531917</v>
      </c>
      <c r="V17" s="1458">
        <f>1000*TableA7!$P$91*TableC3!K15/TableC3!$C$91</f>
        <v>1519.5503172513595</v>
      </c>
      <c r="W17" s="1174">
        <f>1000*TableA7!$P$91*TableC3!L15/TableC3!$C$91</f>
        <v>878.56113140514674</v>
      </c>
      <c r="X17" s="1217">
        <f>1000*TableA7!$P$91*TableC3!M15/TableC3!$C$91</f>
        <v>640.98918584621242</v>
      </c>
    </row>
    <row r="18" spans="1:24" ht="14.25" customHeight="1" x14ac:dyDescent="0.2">
      <c r="A18" s="958"/>
      <c r="B18" s="1094" t="s">
        <v>36</v>
      </c>
      <c r="C18" s="1458">
        <f>1000*TableA7!$P$91*(TableC2!D16+TableC2!O16)/(TableC2!$D$91+TableC2!$O$91)</f>
        <v>243.69349684162626</v>
      </c>
      <c r="D18" s="1458">
        <f>1000*TableA7!$P$91*(TableC2!E16+TableC2!P16)/(TableC2!$D$91+TableC2!$O$91)</f>
        <v>174.74220335809187</v>
      </c>
      <c r="E18" s="1459">
        <f>1000*TableA7!$P$91*(TableC2!F16+TableC2!Q16)/(TableC2!$D$91+TableC2!$O$91)</f>
        <v>30.031924019490372</v>
      </c>
      <c r="F18" s="1459">
        <f>1000*TableA7!$P$91*(TableC2!G16+TableC2!R16)/(TableC2!$D$91+TableC2!$O$91)</f>
        <v>0.97662143364236664</v>
      </c>
      <c r="G18" s="1459">
        <f>1000*TableA7!$P$91*(TableC2!H16+TableC2!S16)/(TableC2!$D$91+TableC2!$O$91)</f>
        <v>13.293757050742457</v>
      </c>
      <c r="H18" s="1459">
        <f>1000*TableA7!$P$91*(TableC2!I16+TableC2!T16)/(TableC2!$D$91+TableC2!$O$91)</f>
        <v>107.38215227672995</v>
      </c>
      <c r="I18" s="1459">
        <f>1000*TableA7!$P$91*(TableC2!J16+TableC2!U16)/(TableC2!$D$91+TableC2!$O$91)</f>
        <v>0.35347308353021395</v>
      </c>
      <c r="J18" s="1459">
        <f>1000*TableA7!$P$91*(TableC2!K16+TableC2!V16)/(TableC2!$D$91+TableC2!$O$91)</f>
        <v>22.70427549395653</v>
      </c>
      <c r="K18" s="1458">
        <f>1000*TableA7!$P$91*(TableC2!L16+TableC2!W16)/(TableC2!$D$91+TableC2!$O$91)</f>
        <v>68.951293483534371</v>
      </c>
      <c r="L18" s="1174">
        <f>1000*TableA7!$P$91*(TableC2!M16+TableC2!X16)/(TableC2!$D$91+TableC2!$O$91)</f>
        <v>42.81482193423912</v>
      </c>
      <c r="M18" s="1235">
        <f>1000*TableA7!$P$91*(TableC2!N16+TableC2!Y16)/(TableC2!$D$91+TableC2!$O$91)</f>
        <v>26.136471549295248</v>
      </c>
      <c r="N18" s="1458">
        <f>1000*TableA7!$P$91*TableC3!C16/TableC3!$C$91</f>
        <v>-4.0556050214784296</v>
      </c>
      <c r="O18" s="1458">
        <f>1000*TableA7!$P$91*TableC3!D16/TableC3!$C$91</f>
        <v>-4.0556050214784296</v>
      </c>
      <c r="P18" s="1459">
        <f>1000*TableA7!$P$91*TableC3!E16/TableC3!$C$91</f>
        <v>-4.0620825266697311</v>
      </c>
      <c r="Q18" s="1459">
        <f>1000*TableA7!$P$91*TableC3!F16/TableC3!$C$91</f>
        <v>0</v>
      </c>
      <c r="R18" s="1459">
        <f>1000*TableA7!$P$91*TableC3!G16/TableC3!$C$91</f>
        <v>0</v>
      </c>
      <c r="S18" s="1459">
        <f>1000*TableA7!$P$91*TableC3!H16/TableC3!$C$91</f>
        <v>0</v>
      </c>
      <c r="T18" s="1459">
        <f>1000*TableA7!$P$91*TableC3!I16/TableC3!$C$91</f>
        <v>6.4775051913017693E-3</v>
      </c>
      <c r="U18" s="1459">
        <f>1000*TableA7!$P$91*TableC3!J16/TableC3!$C$91</f>
        <v>0</v>
      </c>
      <c r="V18" s="1458">
        <f>1000*TableA7!$P$91*TableC3!K16/TableC3!$C$91</f>
        <v>0</v>
      </c>
      <c r="W18" s="1174">
        <f>1000*TableA7!$P$91*TableC3!L16/TableC3!$C$91</f>
        <v>0</v>
      </c>
      <c r="X18" s="1217">
        <f>1000*TableA7!$P$91*TableC3!M16/TableC3!$C$91</f>
        <v>0</v>
      </c>
    </row>
    <row r="19" spans="1:24" ht="14.25" customHeight="1" x14ac:dyDescent="0.2">
      <c r="A19" s="958"/>
      <c r="B19" s="1155" t="s">
        <v>37</v>
      </c>
      <c r="C19" s="1458">
        <f>1000*TableA7!$P$91*(TableC2!D17+TableC2!O17)/(TableC2!$D$91+TableC2!$O$91)</f>
        <v>2714.8693656359137</v>
      </c>
      <c r="D19" s="1458">
        <f>1000*TableA7!$P$91*(TableC2!E17+TableC2!P17)/(TableC2!$D$91+TableC2!$O$91)</f>
        <v>1744.7266135251398</v>
      </c>
      <c r="E19" s="1459">
        <f>1000*TableA7!$P$91*(TableC2!F17+TableC2!Q17)/(TableC2!$D$91+TableC2!$O$91)</f>
        <v>206.13347519312785</v>
      </c>
      <c r="F19" s="1459">
        <f>1000*TableA7!$P$91*(TableC2!G17+TableC2!R17)/(TableC2!$D$91+TableC2!$O$91)</f>
        <v>0.69758673831597617</v>
      </c>
      <c r="G19" s="1459">
        <f>1000*TableA7!$P$91*(TableC2!H17+TableC2!S17)/(TableC2!$D$91+TableC2!$O$91)</f>
        <v>787.0328390593545</v>
      </c>
      <c r="H19" s="1459">
        <f>1000*TableA7!$P$91*(TableC2!I17+TableC2!T17)/(TableC2!$D$91+TableC2!$O$91)</f>
        <v>501.01177269976017</v>
      </c>
      <c r="I19" s="1459">
        <f>1000*TableA7!$P$91*(TableC2!J17+TableC2!U17)/(TableC2!$D$91+TableC2!$O$91)</f>
        <v>3.2054124361883396</v>
      </c>
      <c r="J19" s="1459">
        <f>1000*TableA7!$P$91*(TableC2!K17+TableC2!V17)/(TableC2!$D$91+TableC2!$O$91)</f>
        <v>246.64552739839309</v>
      </c>
      <c r="K19" s="1458">
        <f>1000*TableA7!$P$91*(TableC2!L17+TableC2!W17)/(TableC2!$D$91+TableC2!$O$91)</f>
        <v>970.14275211077438</v>
      </c>
      <c r="L19" s="1174">
        <f>1000*TableA7!$P$91*(TableC2!M17+TableC2!X17)/(TableC2!$D$91+TableC2!$O$91)</f>
        <v>410.10248682518784</v>
      </c>
      <c r="M19" s="1235">
        <f>1000*TableA7!$P$91*(TableC2!N17+TableC2!Y17)/(TableC2!$D$91+TableC2!$O$91)</f>
        <v>560.04026528558654</v>
      </c>
      <c r="N19" s="1458">
        <f>1000*TableA7!$P$91*TableC3!C17/TableC3!$C$91</f>
        <v>2259.7038268067554</v>
      </c>
      <c r="O19" s="1458">
        <f>1000*TableA7!$P$91*TableC3!D17/TableC3!$C$91</f>
        <v>2040.5901731898716</v>
      </c>
      <c r="P19" s="1459">
        <f>1000*TableA7!$P$91*TableC3!E17/TableC3!$C$91</f>
        <v>873.54567631940154</v>
      </c>
      <c r="Q19" s="1459">
        <f>1000*TableA7!$P$91*TableC3!F17/TableC3!$C$91</f>
        <v>0.3693645514665776</v>
      </c>
      <c r="R19" s="1459">
        <f>1000*TableA7!$P$91*TableC3!G17/TableC3!$C$91</f>
        <v>-16.353654050048771</v>
      </c>
      <c r="S19" s="1459">
        <f>1000*TableA7!$P$91*TableC3!H17/TableC3!$C$91</f>
        <v>0</v>
      </c>
      <c r="T19" s="1459">
        <f>1000*TableA7!$P$91*TableC3!I17/TableC3!$C$91</f>
        <v>0</v>
      </c>
      <c r="U19" s="1459">
        <f>1000*TableA7!$P$91*TableC3!J17/TableC3!$C$91</f>
        <v>1183.0287863690523</v>
      </c>
      <c r="V19" s="1458">
        <f>1000*TableA7!$P$91*TableC3!K17/TableC3!$C$91</f>
        <v>219.11365361688377</v>
      </c>
      <c r="W19" s="1174">
        <f>1000*TableA7!$P$91*TableC3!L17/TableC3!$C$91</f>
        <v>104.03939093504913</v>
      </c>
      <c r="X19" s="1217">
        <f>1000*TableA7!$P$91*TableC3!M17/TableC3!$C$91</f>
        <v>115.07426268183465</v>
      </c>
    </row>
    <row r="20" spans="1:24" ht="14.25" customHeight="1" x14ac:dyDescent="0.2">
      <c r="A20" s="958"/>
      <c r="B20" s="1094" t="s">
        <v>38</v>
      </c>
      <c r="C20" s="1458">
        <f>1000*TableA7!$P$91*(TableC2!D18+TableC2!O18)/(TableC2!$D$91+TableC2!$O$91)</f>
        <v>32084.12988744217</v>
      </c>
      <c r="D20" s="1458">
        <f>1000*TableA7!$P$91*(TableC2!E18+TableC2!P18)/(TableC2!$D$91+TableC2!$O$91)</f>
        <v>24195.850308678233</v>
      </c>
      <c r="E20" s="1459">
        <f>1000*TableA7!$P$91*(TableC2!F18+TableC2!Q18)/(TableC2!$D$91+TableC2!$O$91)</f>
        <v>6196.7703325563807</v>
      </c>
      <c r="F20" s="1459">
        <f>1000*TableA7!$P$91*(TableC2!G18+TableC2!R18)/(TableC2!$D$91+TableC2!$O$91)</f>
        <v>15.137632221456686</v>
      </c>
      <c r="G20" s="1459">
        <f>1000*TableA7!$P$91*(TableC2!H18+TableC2!S18)/(TableC2!$D$91+TableC2!$O$91)</f>
        <v>5279.7309153941687</v>
      </c>
      <c r="H20" s="1459">
        <f>1000*TableA7!$P$91*(TableC2!I18+TableC2!T18)/(TableC2!$D$91+TableC2!$O$91)</f>
        <v>8875.620322386605</v>
      </c>
      <c r="I20" s="1459">
        <f>1000*TableA7!$P$91*(TableC2!J18+TableC2!U18)/(TableC2!$D$91+TableC2!$O$91)</f>
        <v>62.286956914059125</v>
      </c>
      <c r="J20" s="1459">
        <f>1000*TableA7!$P$91*(TableC2!K18+TableC2!V18)/(TableC2!$D$91+TableC2!$O$91)</f>
        <v>3766.3041492055581</v>
      </c>
      <c r="K20" s="1458">
        <f>1000*TableA7!$P$91*(TableC2!L18+TableC2!W18)/(TableC2!$D$91+TableC2!$O$91)</f>
        <v>7888.2795787639407</v>
      </c>
      <c r="L20" s="1174">
        <f>1000*TableA7!$P$91*(TableC2!M18+TableC2!X18)/(TableC2!$D$91+TableC2!$O$91)</f>
        <v>788.9927023153565</v>
      </c>
      <c r="M20" s="1235">
        <f>1000*TableA7!$P$91*(TableC2!N18+TableC2!Y18)/(TableC2!$D$91+TableC2!$O$91)</f>
        <v>7099.2868764485829</v>
      </c>
      <c r="N20" s="1458">
        <f>1000*TableA7!$P$91*TableC3!C18/TableC3!$C$91</f>
        <v>64369.848399191702</v>
      </c>
      <c r="O20" s="1458">
        <f>1000*TableA7!$P$91*TableC3!D18/TableC3!$C$91</f>
        <v>50877.912569579123</v>
      </c>
      <c r="P20" s="1459">
        <f>1000*TableA7!$P$91*TableC3!E18/TableC3!$C$91</f>
        <v>39458.229618355246</v>
      </c>
      <c r="Q20" s="1459">
        <f>1000*TableA7!$P$91*TableC3!F18/TableC3!$C$91</f>
        <v>7.7033106665152333</v>
      </c>
      <c r="R20" s="1459">
        <f>1000*TableA7!$P$91*TableC3!G18/TableC3!$C$91</f>
        <v>1333.7588767968678</v>
      </c>
      <c r="S20" s="1459">
        <f>1000*TableA7!$P$91*TableC3!H18/TableC3!$C$91</f>
        <v>-322.58535351636544</v>
      </c>
      <c r="T20" s="1459">
        <f>1000*TableA7!$P$91*TableC3!I18/TableC3!$C$91</f>
        <v>17.162186794099188</v>
      </c>
      <c r="U20" s="1459">
        <f>1000*TableA7!$P$91*TableC3!J18/TableC3!$C$91</f>
        <v>10383.64393048276</v>
      </c>
      <c r="V20" s="1458">
        <f>1000*TableA7!$P$91*TableC3!K18/TableC3!$C$91</f>
        <v>13491.935829612576</v>
      </c>
      <c r="W20" s="1174">
        <f>1000*TableA7!$P$91*TableC3!L18/TableC3!$C$91</f>
        <v>11502.471552622526</v>
      </c>
      <c r="X20" s="1217">
        <f>1000*TableA7!$P$91*TableC3!M18/TableC3!$C$91</f>
        <v>1989.4642769900502</v>
      </c>
    </row>
    <row r="21" spans="1:24" ht="14.25" customHeight="1" x14ac:dyDescent="0.2">
      <c r="A21" s="958"/>
      <c r="B21" s="1155" t="s">
        <v>39</v>
      </c>
      <c r="C21" s="1458">
        <f>1000*TableA7!$P$91*(TableC2!D19+TableC2!O19)/(TableC2!$D$91+TableC2!$O$91)</f>
        <v>54904.338589641877</v>
      </c>
      <c r="D21" s="1458">
        <f>1000*TableA7!$P$91*(TableC2!E19+TableC2!P19)/(TableC2!$D$91+TableC2!$O$91)</f>
        <v>41584.631730761779</v>
      </c>
      <c r="E21" s="1459">
        <f>1000*TableA7!$P$91*(TableC2!F19+TableC2!Q19)/(TableC2!$D$91+TableC2!$O$91)</f>
        <v>4372.9502037112106</v>
      </c>
      <c r="F21" s="1459">
        <f>1000*TableA7!$P$91*(TableC2!G19+TableC2!R19)/(TableC2!$D$91+TableC2!$O$91)</f>
        <v>82.244917745878652</v>
      </c>
      <c r="G21" s="1459">
        <f>1000*TableA7!$P$91*(TableC2!H19+TableC2!S19)/(TableC2!$D$91+TableC2!$O$91)</f>
        <v>9156.1770841158122</v>
      </c>
      <c r="H21" s="1459">
        <f>1000*TableA7!$P$91*(TableC2!I19+TableC2!T19)/(TableC2!$D$91+TableC2!$O$91)</f>
        <v>14838.644170783664</v>
      </c>
      <c r="I21" s="1459">
        <f>1000*TableA7!$P$91*(TableC2!J19+TableC2!U19)/(TableC2!$D$91+TableC2!$O$91)</f>
        <v>167.82735789126519</v>
      </c>
      <c r="J21" s="1459">
        <f>1000*TableA7!$P$91*(TableC2!K19+TableC2!V19)/(TableC2!$D$91+TableC2!$O$91)</f>
        <v>12966.787996513951</v>
      </c>
      <c r="K21" s="1458">
        <f>1000*TableA7!$P$91*(TableC2!L19+TableC2!W19)/(TableC2!$D$91+TableC2!$O$91)</f>
        <v>13319.706858880096</v>
      </c>
      <c r="L21" s="1174">
        <f>1000*TableA7!$P$91*(TableC2!M19+TableC2!X19)/(TableC2!$D$91+TableC2!$O$91)</f>
        <v>8387.4313532036431</v>
      </c>
      <c r="M21" s="1235">
        <f>1000*TableA7!$P$91*(TableC2!N19+TableC2!Y19)/(TableC2!$D$91+TableC2!$O$91)</f>
        <v>4932.2755056764536</v>
      </c>
      <c r="N21" s="1458">
        <f>1000*TableA7!$P$91*TableC3!C19/TableC3!$C$91</f>
        <v>35645.750743168814</v>
      </c>
      <c r="O21" s="1458">
        <f>1000*TableA7!$P$91*TableC3!D19/TableC3!$C$91</f>
        <v>25371.677573527384</v>
      </c>
      <c r="P21" s="1459">
        <f>1000*TableA7!$P$91*TableC3!E19/TableC3!$C$91</f>
        <v>3857.4527849602414</v>
      </c>
      <c r="Q21" s="1459">
        <f>1000*TableA7!$P$91*TableC3!F19/TableC3!$C$91</f>
        <v>684.55487048788189</v>
      </c>
      <c r="R21" s="1459">
        <f>1000*TableA7!$P$91*TableC3!G19/TableC3!$C$91</f>
        <v>264.05827818088108</v>
      </c>
      <c r="S21" s="1459">
        <f>1000*TableA7!$P$91*TableC3!H19/TableC3!$C$91</f>
        <v>978.11532949532545</v>
      </c>
      <c r="T21" s="1459">
        <f>1000*TableA7!$P$91*TableC3!I19/TableC3!$C$91</f>
        <v>0</v>
      </c>
      <c r="U21" s="1459">
        <f>1000*TableA7!$P$91*TableC3!J19/TableC3!$C$91</f>
        <v>19587.496310403054</v>
      </c>
      <c r="V21" s="1458">
        <f>1000*TableA7!$P$91*TableC3!K19/TableC3!$C$91</f>
        <v>10274.07316964143</v>
      </c>
      <c r="W21" s="1174">
        <f>1000*TableA7!$P$91*TableC3!L19/TableC3!$C$91</f>
        <v>8671.3943717362654</v>
      </c>
      <c r="X21" s="1217">
        <f>1000*TableA7!$P$91*TableC3!M19/TableC3!$C$91</f>
        <v>1602.6787979051658</v>
      </c>
    </row>
    <row r="22" spans="1:24" ht="14.25" customHeight="1" x14ac:dyDescent="0.2">
      <c r="A22" s="958"/>
      <c r="B22" s="1155" t="s">
        <v>40</v>
      </c>
      <c r="C22" s="1458">
        <f>1000*TableA7!$P$91*(TableC2!D20+TableC2!O20)/(TableC2!$D$91+TableC2!$O$91)</f>
        <v>1046.5124601954992</v>
      </c>
      <c r="D22" s="1458">
        <f>1000*TableA7!$P$91*(TableC2!E20+TableC2!P20)/(TableC2!$D$91+TableC2!$O$91)</f>
        <v>913.78755346575019</v>
      </c>
      <c r="E22" s="1459">
        <f>1000*TableA7!$P$91*(TableC2!F20+TableC2!Q20)/(TableC2!$D$91+TableC2!$O$91)</f>
        <v>186.4987150981276</v>
      </c>
      <c r="F22" s="1459">
        <f>1000*TableA7!$P$91*(TableC2!G20+TableC2!R20)/(TableC2!$D$91+TableC2!$O$91)</f>
        <v>40.460030822326623</v>
      </c>
      <c r="G22" s="1459">
        <f>1000*TableA7!$P$91*(TableC2!H20+TableC2!S20)/(TableC2!$D$91+TableC2!$O$91)</f>
        <v>266.63089808801556</v>
      </c>
      <c r="H22" s="1459">
        <f>1000*TableA7!$P$91*(TableC2!I20+TableC2!T20)/(TableC2!$D$91+TableC2!$O$91)</f>
        <v>211.45725478711961</v>
      </c>
      <c r="I22" s="1459">
        <f>1000*TableA7!$P$91*(TableC2!J20+TableC2!U20)/(TableC2!$D$91+TableC2!$O$91)</f>
        <v>4.4622993216025071</v>
      </c>
      <c r="J22" s="1459">
        <f>1000*TableA7!$P$91*(TableC2!K20+TableC2!V20)/(TableC2!$D$91+TableC2!$O$91)</f>
        <v>204.27835534855828</v>
      </c>
      <c r="K22" s="1458">
        <f>1000*TableA7!$P$91*(TableC2!L20+TableC2!W20)/(TableC2!$D$91+TableC2!$O$91)</f>
        <v>132.72490672974874</v>
      </c>
      <c r="L22" s="1174">
        <f>1000*TableA7!$P$91*(TableC2!M20+TableC2!X20)/(TableC2!$D$91+TableC2!$O$91)</f>
        <v>111.01567890592571</v>
      </c>
      <c r="M22" s="1235">
        <f>1000*TableA7!$P$91*(TableC2!N20+TableC2!Y20)/(TableC2!$D$91+TableC2!$O$91)</f>
        <v>21.709227823823035</v>
      </c>
      <c r="N22" s="1458">
        <f>1000*TableA7!$P$91*TableC3!C20/TableC3!$C$91</f>
        <v>439.57419857141463</v>
      </c>
      <c r="O22" s="1458">
        <f>1000*TableA7!$P$91*TableC3!D20/TableC3!$C$91</f>
        <v>438.77443096761675</v>
      </c>
      <c r="P22" s="1459">
        <f>1000*TableA7!$P$91*TableC3!E20/TableC3!$C$91</f>
        <v>323.98194235805585</v>
      </c>
      <c r="Q22" s="1459">
        <f>1000*TableA7!$P$91*TableC3!F20/TableC3!$C$91</f>
        <v>83.066850769070982</v>
      </c>
      <c r="R22" s="1459">
        <f>1000*TableA7!$P$91*TableC3!G20/TableC3!$C$91</f>
        <v>3.1475636781237593</v>
      </c>
      <c r="S22" s="1459">
        <f>1000*TableA7!$P$91*TableC3!H20/TableC3!$C$91</f>
        <v>0</v>
      </c>
      <c r="T22" s="1459">
        <f>1000*TableA7!$P$91*TableC3!I20/TableC3!$C$91</f>
        <v>0</v>
      </c>
      <c r="U22" s="1459">
        <f>1000*TableA7!$P$91*TableC3!J20/TableC3!$C$91</f>
        <v>28.5780741623662</v>
      </c>
      <c r="V22" s="1458">
        <f>1000*TableA7!$P$91*TableC3!K20/TableC3!$C$91</f>
        <v>0.79976760379783562</v>
      </c>
      <c r="W22" s="1174">
        <f>1000*TableA7!$P$91*TableC3!L20/TableC3!$C$91</f>
        <v>0</v>
      </c>
      <c r="X22" s="1217">
        <f>1000*TableA7!$P$91*TableC3!M20/TableC3!$C$91</f>
        <v>0.79976760379783562</v>
      </c>
    </row>
    <row r="23" spans="1:24" ht="14.25" customHeight="1" x14ac:dyDescent="0.2">
      <c r="A23" s="958"/>
      <c r="B23" s="1155" t="s">
        <v>41</v>
      </c>
      <c r="C23" s="1458">
        <f>1000*TableA7!$P$91*(TableC2!D21+TableC2!O21)/(TableC2!$D$91+TableC2!$O$91)</f>
        <v>2394.889053990079</v>
      </c>
      <c r="D23" s="1458">
        <f>1000*TableA7!$P$91*(TableC2!E21+TableC2!P21)/(TableC2!$D$91+TableC2!$O$91)</f>
        <v>1689.4617331249303</v>
      </c>
      <c r="E23" s="1459">
        <f>1000*TableA7!$P$91*(TableC2!F21+TableC2!Q21)/(TableC2!$D$91+TableC2!$O$91)</f>
        <v>214.21253386301217</v>
      </c>
      <c r="F23" s="1459">
        <f>1000*TableA7!$P$91*(TableC2!G21+TableC2!R21)/(TableC2!$D$91+TableC2!$O$91)</f>
        <v>1.1790483996020753</v>
      </c>
      <c r="G23" s="1459">
        <f>1000*TableA7!$P$91*(TableC2!H21+TableC2!S21)/(TableC2!$D$91+TableC2!$O$91)</f>
        <v>771.83101117785623</v>
      </c>
      <c r="H23" s="1459">
        <f>1000*TableA7!$P$91*(TableC2!I21+TableC2!T21)/(TableC2!$D$91+TableC2!$O$91)</f>
        <v>392.05878723658799</v>
      </c>
      <c r="I23" s="1459">
        <f>1000*TableA7!$P$91*(TableC2!J21+TableC2!U21)/(TableC2!$D$91+TableC2!$O$91)</f>
        <v>6.1322384617148691</v>
      </c>
      <c r="J23" s="1459">
        <f>1000*TableA7!$P$91*(TableC2!K21+TableC2!V21)/(TableC2!$D$91+TableC2!$O$91)</f>
        <v>304.04811398615692</v>
      </c>
      <c r="K23" s="1458">
        <f>1000*TableA7!$P$91*(TableC2!L21+TableC2!W21)/(TableC2!$D$91+TableC2!$O$91)</f>
        <v>705.42732086514832</v>
      </c>
      <c r="L23" s="1174">
        <f>1000*TableA7!$P$91*(TableC2!M21+TableC2!X21)/(TableC2!$D$91+TableC2!$O$91)</f>
        <v>300.45661952068173</v>
      </c>
      <c r="M23" s="1235">
        <f>1000*TableA7!$P$91*(TableC2!N21+TableC2!Y21)/(TableC2!$D$91+TableC2!$O$91)</f>
        <v>404.97070134446659</v>
      </c>
      <c r="N23" s="1458">
        <f>1000*TableA7!$P$91*TableC3!C21/TableC3!$C$91</f>
        <v>500.17260764638115</v>
      </c>
      <c r="O23" s="1458">
        <f>1000*TableA7!$P$91*TableC3!D21/TableC3!$C$91</f>
        <v>493.21023221560984</v>
      </c>
      <c r="P23" s="1459">
        <f>1000*TableA7!$P$91*TableC3!E21/TableC3!$C$91</f>
        <v>387.65433021051803</v>
      </c>
      <c r="Q23" s="1459">
        <f>1000*TableA7!$P$91*TableC3!F21/TableC3!$C$91</f>
        <v>0</v>
      </c>
      <c r="R23" s="1459">
        <f>1000*TableA7!$P$91*TableC3!G21/TableC3!$C$91</f>
        <v>0</v>
      </c>
      <c r="S23" s="1459">
        <f>1000*TableA7!$P$91*TableC3!H21/TableC3!$C$91</f>
        <v>88.635898083153037</v>
      </c>
      <c r="T23" s="1459">
        <f>1000*TableA7!$P$91*TableC3!I21/TableC3!$C$91</f>
        <v>0</v>
      </c>
      <c r="U23" s="1459">
        <f>1000*TableA7!$P$91*TableC3!J21/TableC3!$C$91</f>
        <v>16.920003921938775</v>
      </c>
      <c r="V23" s="1458">
        <f>1000*TableA7!$P$91*TableC3!K21/TableC3!$C$91</f>
        <v>6.9623754307713401</v>
      </c>
      <c r="W23" s="1174">
        <f>1000*TableA7!$P$91*TableC3!L21/TableC3!$C$91</f>
        <v>0</v>
      </c>
      <c r="X23" s="1217">
        <f>1000*TableA7!$P$91*TableC3!M21/TableC3!$C$91</f>
        <v>6.9623754307713401</v>
      </c>
    </row>
    <row r="24" spans="1:24" ht="14.25" customHeight="1" x14ac:dyDescent="0.2">
      <c r="A24" s="958"/>
      <c r="B24" s="1155" t="s">
        <v>42</v>
      </c>
      <c r="C24" s="1458">
        <f>1000*TableA7!$P$91*(TableC2!D22+TableC2!O22)/(TableC2!$D$91+TableC2!$O$91)</f>
        <v>437.74676216057213</v>
      </c>
      <c r="D24" s="1458">
        <f>1000*TableA7!$P$91*(TableC2!E22+TableC2!P22)/(TableC2!$D$91+TableC2!$O$91)</f>
        <v>337.64759136893497</v>
      </c>
      <c r="E24" s="1459">
        <f>1000*TableA7!$P$91*(TableC2!F22+TableC2!Q22)/(TableC2!$D$91+TableC2!$O$91)</f>
        <v>38.482630728901484</v>
      </c>
      <c r="F24" s="1459">
        <f>1000*TableA7!$P$91*(TableC2!G22+TableC2!R22)/(TableC2!$D$91+TableC2!$O$91)</f>
        <v>0</v>
      </c>
      <c r="G24" s="1459">
        <f>1000*TableA7!$P$91*(TableC2!H22+TableC2!S22)/(TableC2!$D$91+TableC2!$O$91)</f>
        <v>71.836563071426227</v>
      </c>
      <c r="H24" s="1459">
        <f>1000*TableA7!$P$91*(TableC2!I22+TableC2!T22)/(TableC2!$D$91+TableC2!$O$91)</f>
        <v>180.71581106301579</v>
      </c>
      <c r="I24" s="1459">
        <f>1000*TableA7!$P$91*(TableC2!J22+TableC2!U22)/(TableC2!$D$91+TableC2!$O$91)</f>
        <v>0.52896277217170617</v>
      </c>
      <c r="J24" s="1459">
        <f>1000*TableA7!$P$91*(TableC2!K22+TableC2!V22)/(TableC2!$D$91+TableC2!$O$91)</f>
        <v>46.083623733419749</v>
      </c>
      <c r="K24" s="1458">
        <f>1000*TableA7!$P$91*(TableC2!L22+TableC2!W22)/(TableC2!$D$91+TableC2!$O$91)</f>
        <v>100.09917079163714</v>
      </c>
      <c r="L24" s="1174">
        <f>1000*TableA7!$P$91*(TableC2!M22+TableC2!X22)/(TableC2!$D$91+TableC2!$O$91)</f>
        <v>8.5151296701204231</v>
      </c>
      <c r="M24" s="1235">
        <f>1000*TableA7!$P$91*(TableC2!N22+TableC2!Y22)/(TableC2!$D$91+TableC2!$O$91)</f>
        <v>91.584041121516719</v>
      </c>
      <c r="N24" s="1458">
        <f>1000*TableA7!$P$91*TableC3!C22/TableC3!$C$91</f>
        <v>13.704038338921695</v>
      </c>
      <c r="O24" s="1458">
        <f>1000*TableA7!$P$91*TableC3!D22/TableC3!$C$91</f>
        <v>13.017568493301837</v>
      </c>
      <c r="P24" s="1459">
        <f>1000*TableA7!$P$91*TableC3!E22/TableC3!$C$91</f>
        <v>12.967106604341575</v>
      </c>
      <c r="Q24" s="1459">
        <f>1000*TableA7!$P$91*TableC3!F22/TableC3!$C$91</f>
        <v>5.0461888960264087E-2</v>
      </c>
      <c r="R24" s="1459">
        <f>1000*TableA7!$P$91*TableC3!G22/TableC3!$C$91</f>
        <v>0</v>
      </c>
      <c r="S24" s="1459">
        <f>1000*TableA7!$P$91*TableC3!H22/TableC3!$C$91</f>
        <v>0</v>
      </c>
      <c r="T24" s="1459">
        <f>1000*TableA7!$P$91*TableC3!I22/TableC3!$C$91</f>
        <v>0</v>
      </c>
      <c r="U24" s="1459">
        <f>1000*TableA7!$P$91*TableC3!J22/TableC3!$C$91</f>
        <v>0</v>
      </c>
      <c r="V24" s="1458">
        <f>1000*TableA7!$P$91*TableC3!K22/TableC3!$C$91</f>
        <v>0.68646984561985802</v>
      </c>
      <c r="W24" s="1174">
        <f>1000*TableA7!$P$91*TableC3!L22/TableC3!$C$91</f>
        <v>0</v>
      </c>
      <c r="X24" s="1217">
        <f>1000*TableA7!$P$91*TableC3!M22/TableC3!$C$91</f>
        <v>0.68646984561985802</v>
      </c>
    </row>
    <row r="25" spans="1:24" ht="14.25" customHeight="1" x14ac:dyDescent="0.2">
      <c r="A25" s="958"/>
      <c r="B25" s="1155" t="s">
        <v>43</v>
      </c>
      <c r="C25" s="1458"/>
      <c r="D25" s="1458"/>
      <c r="E25" s="1459"/>
      <c r="F25" s="1459"/>
      <c r="G25" s="1459"/>
      <c r="H25" s="1459"/>
      <c r="I25" s="1459"/>
      <c r="J25" s="1459"/>
      <c r="K25" s="1458"/>
      <c r="L25" s="1174"/>
      <c r="M25" s="1235"/>
      <c r="N25" s="1458"/>
      <c r="O25" s="1458"/>
      <c r="P25" s="1459"/>
      <c r="Q25" s="1459"/>
      <c r="R25" s="1459"/>
      <c r="S25" s="1459"/>
      <c r="T25" s="1459"/>
      <c r="U25" s="1459"/>
      <c r="V25" s="1458"/>
      <c r="W25" s="1174"/>
      <c r="X25" s="1217"/>
    </row>
    <row r="26" spans="1:24" ht="14.25" customHeight="1" x14ac:dyDescent="0.2">
      <c r="A26" s="958"/>
      <c r="B26" s="1155" t="s">
        <v>44</v>
      </c>
      <c r="C26" s="1458">
        <f>1000*TableA7!$P$91*(TableC2!D24+TableC2!O24)/(TableC2!$D$91+TableC2!$O$91)</f>
        <v>680.65831999156558</v>
      </c>
      <c r="D26" s="1458">
        <f>1000*TableA7!$P$91*(TableC2!E24+TableC2!P24)/(TableC2!$D$91+TableC2!$O$91)</f>
        <v>277.80827531291379</v>
      </c>
      <c r="E26" s="1459">
        <f>1000*TableA7!$P$91*(TableC2!F24+TableC2!Q24)/(TableC2!$D$91+TableC2!$O$91)</f>
        <v>21.243627527061367</v>
      </c>
      <c r="F26" s="1459">
        <f>1000*TableA7!$P$91*(TableC2!G24+TableC2!R24)/(TableC2!$D$91+TableC2!$O$91)</f>
        <v>5.5629446513001266</v>
      </c>
      <c r="G26" s="1459">
        <f>1000*TableA7!$P$91*(TableC2!H24+TableC2!S24)/(TableC2!$D$91+TableC2!$O$91)</f>
        <v>147.70398702776717</v>
      </c>
      <c r="H26" s="1459">
        <f>1000*TableA7!$P$91*(TableC2!I24+TableC2!T24)/(TableC2!$D$91+TableC2!$O$91)</f>
        <v>31.798064007740578</v>
      </c>
      <c r="I26" s="1459">
        <f>1000*TableA7!$P$91*(TableC2!J24+TableC2!U24)/(TableC2!$D$91+TableC2!$O$91)</f>
        <v>26.811934609023446</v>
      </c>
      <c r="J26" s="1459">
        <f>1000*TableA7!$P$91*(TableC2!K24+TableC2!V24)/(TableC2!$D$91+TableC2!$O$91)</f>
        <v>44.687717490021086</v>
      </c>
      <c r="K26" s="1458">
        <f>1000*TableA7!$P$91*(TableC2!L24+TableC2!W24)/(TableC2!$D$91+TableC2!$O$91)</f>
        <v>402.85004467865184</v>
      </c>
      <c r="L26" s="1174">
        <f>1000*TableA7!$P$91*(TableC2!M24+TableC2!X24)/(TableC2!$D$91+TableC2!$O$91)</f>
        <v>33.073801633332806</v>
      </c>
      <c r="M26" s="1235">
        <f>1000*TableA7!$P$91*(TableC2!N24+TableC2!Y24)/(TableC2!$D$91+TableC2!$O$91)</f>
        <v>369.77624304531906</v>
      </c>
      <c r="N26" s="1458">
        <f>1000*TableA7!$P$91*TableC3!C24/TableC3!$C$91</f>
        <v>534.13754113231334</v>
      </c>
      <c r="O26" s="1458">
        <f>1000*TableA7!$P$91*TableC3!D24/TableC3!$C$91</f>
        <v>66.118502548996275</v>
      </c>
      <c r="P26" s="1459">
        <f>1000*TableA7!$P$91*TableC3!E24/TableC3!$C$91</f>
        <v>-38.812007429968595</v>
      </c>
      <c r="Q26" s="1459">
        <f>1000*TableA7!$P$91*TableC3!F24/TableC3!$C$91</f>
        <v>33.735844562147875</v>
      </c>
      <c r="R26" s="1459">
        <f>1000*TableA7!$P$91*TableC3!G24/TableC3!$C$91</f>
        <v>23.788485774482034</v>
      </c>
      <c r="S26" s="1459">
        <f>1000*TableA7!$P$91*TableC3!H24/TableC3!$C$91</f>
        <v>47.406179642334969</v>
      </c>
      <c r="T26" s="1459">
        <f>1000*TableA7!$P$91*TableC3!I24/TableC3!$C$91</f>
        <v>0</v>
      </c>
      <c r="U26" s="1459">
        <f>1000*TableA7!$P$91*TableC3!J24/TableC3!$C$91</f>
        <v>0</v>
      </c>
      <c r="V26" s="1458">
        <f>1000*TableA7!$P$91*TableC3!K24/TableC3!$C$91</f>
        <v>468.01903858331707</v>
      </c>
      <c r="W26" s="1174">
        <f>1000*TableA7!$P$91*TableC3!L24/TableC3!$C$91</f>
        <v>399.37019834403958</v>
      </c>
      <c r="X26" s="1217">
        <f>1000*TableA7!$P$91*TableC3!M24/TableC3!$C$91</f>
        <v>68.648840239277504</v>
      </c>
    </row>
    <row r="27" spans="1:24" ht="14.25" customHeight="1" x14ac:dyDescent="0.2">
      <c r="A27" s="958"/>
      <c r="B27" s="1155" t="s">
        <v>45</v>
      </c>
      <c r="C27" s="1458">
        <f>1000*TableA7!$P$91*(TableC2!D25+TableC2!O25)/(TableC2!$D$91+TableC2!$O$91)</f>
        <v>22702.482961511632</v>
      </c>
      <c r="D27" s="1458">
        <f>1000*TableA7!$P$91*(TableC2!E25+TableC2!P25)/(TableC2!$D$91+TableC2!$O$91)</f>
        <v>19453.222640725438</v>
      </c>
      <c r="E27" s="1459">
        <f>1000*TableA7!$P$91*(TableC2!F25+TableC2!Q25)/(TableC2!$D$91+TableC2!$O$91)</f>
        <v>2138.4635697288891</v>
      </c>
      <c r="F27" s="1459">
        <f>1000*TableA7!$P$91*(TableC2!G25+TableC2!R25)/(TableC2!$D$91+TableC2!$O$91)</f>
        <v>14.963869596118068</v>
      </c>
      <c r="G27" s="1459">
        <f>1000*TableA7!$P$91*(TableC2!H25+TableC2!S25)/(TableC2!$D$91+TableC2!$O$91)</f>
        <v>5683.5093311897463</v>
      </c>
      <c r="H27" s="1459">
        <f>1000*TableA7!$P$91*(TableC2!I25+TableC2!T25)/(TableC2!$D$91+TableC2!$O$91)</f>
        <v>9176.7651206524024</v>
      </c>
      <c r="I27" s="1459">
        <f>1000*TableA7!$P$91*(TableC2!J25+TableC2!U25)/(TableC2!$D$91+TableC2!$O$91)</f>
        <v>77.291482706668518</v>
      </c>
      <c r="J27" s="1459">
        <f>1000*TableA7!$P$91*(TableC2!K25+TableC2!V25)/(TableC2!$D$91+TableC2!$O$91)</f>
        <v>2362.2292668516202</v>
      </c>
      <c r="K27" s="1458">
        <f>1000*TableA7!$P$91*(TableC2!L25+TableC2!W25)/(TableC2!$D$91+TableC2!$O$91)</f>
        <v>3249.260320786188</v>
      </c>
      <c r="L27" s="1174">
        <f>1000*TableA7!$P$91*(TableC2!M25+TableC2!X25)/(TableC2!$D$91+TableC2!$O$91)</f>
        <v>2248.8031473606939</v>
      </c>
      <c r="M27" s="1235">
        <f>1000*TableA7!$P$91*(TableC2!N25+TableC2!Y25)/(TableC2!$D$91+TableC2!$O$91)</f>
        <v>1000.4571734254946</v>
      </c>
      <c r="N27" s="1458">
        <f>1000*TableA7!$P$91*TableC3!C25/TableC3!$C$91</f>
        <v>3743.5473415521265</v>
      </c>
      <c r="O27" s="1458">
        <f>1000*TableA7!$P$91*TableC3!D25/TableC3!$C$91</f>
        <v>2520.6509191503469</v>
      </c>
      <c r="P27" s="1459">
        <f>1000*TableA7!$P$91*TableC3!E25/TableC3!$C$91</f>
        <v>253.19242217028901</v>
      </c>
      <c r="Q27" s="1459">
        <f>1000*TableA7!$P$91*TableC3!F25/TableC3!$C$91</f>
        <v>3.3638086538603709</v>
      </c>
      <c r="R27" s="1459">
        <f>1000*TableA7!$P$91*TableC3!G25/TableC3!$C$91</f>
        <v>646.75732246714313</v>
      </c>
      <c r="S27" s="1459">
        <f>1000*TableA7!$P$91*TableC3!H25/TableC3!$C$91</f>
        <v>-181.81121356666679</v>
      </c>
      <c r="T27" s="1459">
        <f>1000*TableA7!$P$91*TableC3!I25/TableC3!$C$91</f>
        <v>25.670038255037881</v>
      </c>
      <c r="U27" s="1459">
        <f>1000*TableA7!$P$91*TableC3!J25/TableC3!$C$91</f>
        <v>1773.4785411706832</v>
      </c>
      <c r="V27" s="1458">
        <f>1000*TableA7!$P$91*TableC3!K25/TableC3!$C$91</f>
        <v>1222.8964224017795</v>
      </c>
      <c r="W27" s="1174">
        <f>1000*TableA7!$P$91*TableC3!L25/TableC3!$C$91</f>
        <v>1081.5078602976257</v>
      </c>
      <c r="X27" s="1217">
        <f>1000*TableA7!$P$91*TableC3!M25/TableC3!$C$91</f>
        <v>141.38856210415358</v>
      </c>
    </row>
    <row r="28" spans="1:24" ht="14.25" customHeight="1" x14ac:dyDescent="0.2">
      <c r="A28" s="958"/>
      <c r="B28" s="1155" t="s">
        <v>46</v>
      </c>
      <c r="C28" s="1458">
        <f>1000*TableA7!$P$91*(TableC2!D26+TableC2!O26)/(TableC2!$D$91+TableC2!$O$91)</f>
        <v>8554.3737634504905</v>
      </c>
      <c r="D28" s="1458">
        <f>1000*TableA7!$P$91*(TableC2!E26+TableC2!P26)/(TableC2!$D$91+TableC2!$O$91)</f>
        <v>4543.9112374116648</v>
      </c>
      <c r="E28" s="1459">
        <f>1000*TableA7!$P$91*(TableC2!F26+TableC2!Q26)/(TableC2!$D$91+TableC2!$O$91)</f>
        <v>332.45713249138208</v>
      </c>
      <c r="F28" s="1459">
        <f>1000*TableA7!$P$91*(TableC2!G26+TableC2!R26)/(TableC2!$D$91+TableC2!$O$91)</f>
        <v>71.720310547451106</v>
      </c>
      <c r="G28" s="1459">
        <f>1000*TableA7!$P$91*(TableC2!H26+TableC2!S26)/(TableC2!$D$91+TableC2!$O$91)</f>
        <v>2179.4377233081541</v>
      </c>
      <c r="H28" s="1459">
        <f>1000*TableA7!$P$91*(TableC2!I26+TableC2!T26)/(TableC2!$D$91+TableC2!$O$91)</f>
        <v>861.78348495408432</v>
      </c>
      <c r="I28" s="1459">
        <f>1000*TableA7!$P$91*(TableC2!J26+TableC2!U26)/(TableC2!$D$91+TableC2!$O$91)</f>
        <v>2.3564108669904944</v>
      </c>
      <c r="J28" s="1459">
        <f>1000*TableA7!$P$91*(TableC2!K26+TableC2!V26)/(TableC2!$D$91+TableC2!$O$91)</f>
        <v>1096.1561752436023</v>
      </c>
      <c r="K28" s="1458">
        <f>1000*TableA7!$P$91*(TableC2!L26+TableC2!W26)/(TableC2!$D$91+TableC2!$O$91)</f>
        <v>4010.4625260388257</v>
      </c>
      <c r="L28" s="1174">
        <f>1000*TableA7!$P$91*(TableC2!M26+TableC2!X26)/(TableC2!$D$91+TableC2!$O$91)</f>
        <v>329.2571114145689</v>
      </c>
      <c r="M28" s="1235">
        <f>1000*TableA7!$P$91*(TableC2!N26+TableC2!Y26)/(TableC2!$D$91+TableC2!$O$91)</f>
        <v>3681.2054146242567</v>
      </c>
      <c r="N28" s="1458">
        <f>1000*TableA7!$P$91*TableC3!C26/TableC3!$C$91</f>
        <v>19296.266224483075</v>
      </c>
      <c r="O28" s="1458">
        <f>1000*TableA7!$P$91*TableC3!D26/TableC3!$C$91</f>
        <v>8488.9420239159135</v>
      </c>
      <c r="P28" s="1459">
        <f>1000*TableA7!$P$91*TableC3!E26/TableC3!$C$91</f>
        <v>4224.3872324219246</v>
      </c>
      <c r="Q28" s="1459">
        <f>1000*TableA7!$P$91*TableC3!F26/TableC3!$C$91</f>
        <v>3.1186734762025468E-2</v>
      </c>
      <c r="R28" s="1459">
        <f>1000*TableA7!$P$91*TableC3!G26/TableC3!$C$91</f>
        <v>125.74770662822591</v>
      </c>
      <c r="S28" s="1459">
        <f>1000*TableA7!$P$91*TableC3!H26/TableC3!$C$91</f>
        <v>0</v>
      </c>
      <c r="T28" s="1459">
        <f>1000*TableA7!$P$91*TableC3!I26/TableC3!$C$91</f>
        <v>0</v>
      </c>
      <c r="U28" s="1459">
        <f>1000*TableA7!$P$91*TableC3!J26/TableC3!$C$91</f>
        <v>4138.7758981310008</v>
      </c>
      <c r="V28" s="1458">
        <f>1000*TableA7!$P$91*TableC3!K26/TableC3!$C$91</f>
        <v>10807.324200567164</v>
      </c>
      <c r="W28" s="1174">
        <f>1000*TableA7!$P$91*TableC3!L26/TableC3!$C$91</f>
        <v>3126.0213954521259</v>
      </c>
      <c r="X28" s="1217">
        <f>1000*TableA7!$P$91*TableC3!M26/TableC3!$C$91</f>
        <v>7681.3028051150395</v>
      </c>
    </row>
    <row r="29" spans="1:24" ht="14.25" customHeight="1" x14ac:dyDescent="0.2">
      <c r="A29" s="958" t="s">
        <v>308</v>
      </c>
      <c r="B29" s="1155" t="s">
        <v>47</v>
      </c>
      <c r="C29" s="1458">
        <f>1000*TableA7!$P$91*(TableC2!D27+TableC2!O27)/(TableC2!$D$91+TableC2!$O$91)</f>
        <v>4834.6318555725984</v>
      </c>
      <c r="D29" s="1458">
        <f>1000*TableA7!$P$91*(TableC2!E27+TableC2!P27)/(TableC2!$D$91+TableC2!$O$91)</f>
        <v>1157.3392641214625</v>
      </c>
      <c r="E29" s="1459">
        <f>1000*TableA7!$P$91*(TableC2!F27+TableC2!Q27)/(TableC2!$D$91+TableC2!$O$91)</f>
        <v>129.49015251601665</v>
      </c>
      <c r="F29" s="1459">
        <f>1000*TableA7!$P$91*(TableC2!G27+TableC2!R27)/(TableC2!$D$91+TableC2!$O$91)</f>
        <v>28.570135458972882</v>
      </c>
      <c r="G29" s="1459">
        <f>1000*TableA7!$P$91*(TableC2!H27+TableC2!S27)/(TableC2!$D$91+TableC2!$O$91)</f>
        <v>273.04610885742335</v>
      </c>
      <c r="H29" s="1459">
        <f>1000*TableA7!$P$91*(TableC2!I27+TableC2!T27)/(TableC2!$D$91+TableC2!$O$91)</f>
        <v>252.56352758364949</v>
      </c>
      <c r="I29" s="1459">
        <f>1000*TableA7!$P$91*(TableC2!J27+TableC2!U27)/(TableC2!$D$91+TableC2!$O$91)</f>
        <v>-0.2163862266811421</v>
      </c>
      <c r="J29" s="1459">
        <f>1000*TableA7!$P$91*(TableC2!K27+TableC2!V27)/(TableC2!$D$91+TableC2!$O$91)</f>
        <v>473.88572593208124</v>
      </c>
      <c r="K29" s="1458">
        <f>1000*TableA7!$P$91*(TableC2!L27+TableC2!W27)/(TableC2!$D$91+TableC2!$O$91)</f>
        <v>3677.2925914511356</v>
      </c>
      <c r="L29" s="1174">
        <f>1000*TableA7!$P$91*(TableC2!M27+TableC2!X27)/(TableC2!$D$91+TableC2!$O$91)</f>
        <v>301.90401446869765</v>
      </c>
      <c r="M29" s="1235">
        <f>1000*TableA7!$P$91*(TableC2!N27+TableC2!Y27)/(TableC2!$D$91+TableC2!$O$91)</f>
        <v>3375.3885769824374</v>
      </c>
      <c r="N29" s="1458">
        <f>1000*TableA7!$P$91*TableC3!C27/TableC3!$C$91</f>
        <v>1565.4074072558828</v>
      </c>
      <c r="O29" s="1458">
        <f>1000*TableA7!$P$91*TableC3!D27/TableC3!$C$91</f>
        <v>779.77958607093763</v>
      </c>
      <c r="P29" s="1459">
        <f>1000*TableA7!$P$91*TableC3!E27/TableC3!$C$91</f>
        <v>326.64773787811953</v>
      </c>
      <c r="Q29" s="1459">
        <f>1000*TableA7!$P$91*TableC3!F27/TableC3!$C$91</f>
        <v>1.3803293184891959E-2</v>
      </c>
      <c r="R29" s="1459">
        <f>1000*TableA7!$P$91*TableC3!G27/TableC3!$C$91</f>
        <v>0</v>
      </c>
      <c r="S29" s="1459">
        <f>1000*TableA7!$P$91*TableC3!H27/TableC3!$C$91</f>
        <v>0</v>
      </c>
      <c r="T29" s="1459">
        <f>1000*TableA7!$P$91*TableC3!I27/TableC3!$C$91</f>
        <v>0</v>
      </c>
      <c r="U29" s="1459">
        <f>1000*TableA7!$P$91*TableC3!J27/TableC3!$C$91</f>
        <v>453.11804489963311</v>
      </c>
      <c r="V29" s="1458">
        <f>1000*TableA7!$P$91*TableC3!K27/TableC3!$C$91</f>
        <v>785.62782118494545</v>
      </c>
      <c r="W29" s="1174">
        <f>1000*TableA7!$P$91*TableC3!L27/TableC3!$C$91</f>
        <v>0</v>
      </c>
      <c r="X29" s="1217">
        <f>1000*TableA7!$P$91*TableC3!M27/TableC3!$C$91</f>
        <v>785.62782118494545</v>
      </c>
    </row>
    <row r="30" spans="1:24" ht="14.25" customHeight="1" x14ac:dyDescent="0.2">
      <c r="A30" s="958"/>
      <c r="B30" s="1154" t="s">
        <v>48</v>
      </c>
      <c r="C30" s="1458">
        <f>1000*TableA7!$P$91*(TableC2!D28+TableC2!O28)/(TableC2!$D$91+TableC2!$O$91)</f>
        <v>200.97896727392819</v>
      </c>
      <c r="D30" s="1458">
        <f>1000*TableA7!$P$91*(TableC2!E28+TableC2!P28)/(TableC2!$D$91+TableC2!$O$91)</f>
        <v>140.70844607924323</v>
      </c>
      <c r="E30" s="1459">
        <f>1000*TableA7!$P$91*(TableC2!F28+TableC2!Q28)/(TableC2!$D$91+TableC2!$O$91)</f>
        <v>10.250657042879938</v>
      </c>
      <c r="F30" s="1459">
        <f>1000*TableA7!$P$91*(TableC2!G28+TableC2!R28)/(TableC2!$D$91+TableC2!$O$91)</f>
        <v>0.8371040859791713</v>
      </c>
      <c r="G30" s="1459">
        <f>1000*TableA7!$P$91*(TableC2!H28+TableC2!S28)/(TableC2!$D$91+TableC2!$O$91)</f>
        <v>46.363397896066367</v>
      </c>
      <c r="H30" s="1459">
        <f>1000*TableA7!$P$91*(TableC2!I28+TableC2!T28)/(TableC2!$D$91+TableC2!$O$91)</f>
        <v>65.804969798474758</v>
      </c>
      <c r="I30" s="1459">
        <f>1000*TableA7!$P$91*(TableC2!J28+TableC2!U28)/(TableC2!$D$91+TableC2!$O$91)</f>
        <v>1.9751028548097485</v>
      </c>
      <c r="J30" s="1459">
        <f>1000*TableA7!$P$91*(TableC2!K28+TableC2!V28)/(TableC2!$D$91+TableC2!$O$91)</f>
        <v>15.477214401033224</v>
      </c>
      <c r="K30" s="1458">
        <f>1000*TableA7!$P$91*(TableC2!L28+TableC2!W28)/(TableC2!$D$91+TableC2!$O$91)</f>
        <v>60.270521194684996</v>
      </c>
      <c r="L30" s="1174">
        <f>1000*TableA7!$P$91*(TableC2!M28+TableC2!X28)/(TableC2!$D$91+TableC2!$O$91)</f>
        <v>14.832562960491986</v>
      </c>
      <c r="M30" s="1235">
        <f>1000*TableA7!$P$91*(TableC2!N28+TableC2!Y28)/(TableC2!$D$91+TableC2!$O$91)</f>
        <v>45.437958234193026</v>
      </c>
      <c r="N30" s="1458">
        <f>1000*TableA7!$P$91*TableC3!C28/TableC3!$C$91</f>
        <v>-1.2975905328898003</v>
      </c>
      <c r="O30" s="1458">
        <f>1000*TableA7!$P$91*TableC3!D28/TableC3!$C$91</f>
        <v>-1.3825658530915257</v>
      </c>
      <c r="P30" s="1459">
        <f>1000*TableA7!$P$91*TableC3!E28/TableC3!$C$91</f>
        <v>-1.7895548410760678</v>
      </c>
      <c r="Q30" s="1459">
        <f>1000*TableA7!$P$91*TableC3!F28/TableC3!$C$91</f>
        <v>0.40698898798454225</v>
      </c>
      <c r="R30" s="1459">
        <f>1000*TableA7!$P$91*TableC3!G28/TableC3!$C$91</f>
        <v>0</v>
      </c>
      <c r="S30" s="1459">
        <f>1000*TableA7!$P$91*TableC3!H28/TableC3!$C$91</f>
        <v>0</v>
      </c>
      <c r="T30" s="1459">
        <f>1000*TableA7!$P$91*TableC3!I28/TableC3!$C$91</f>
        <v>0</v>
      </c>
      <c r="U30" s="1459">
        <f>1000*TableA7!$P$91*TableC3!J28/TableC3!$C$91</f>
        <v>0</v>
      </c>
      <c r="V30" s="1458">
        <f>1000*TableA7!$P$91*TableC3!K28/TableC3!$C$91</f>
        <v>8.4975320201725241E-2</v>
      </c>
      <c r="W30" s="1174">
        <f>1000*TableA7!$P$91*TableC3!L28/TableC3!$C$91</f>
        <v>0</v>
      </c>
      <c r="X30" s="1217">
        <f>1000*TableA7!$P$91*TableC3!M28/TableC3!$C$91</f>
        <v>8.4975320201725241E-2</v>
      </c>
    </row>
    <row r="31" spans="1:24" ht="14.25" customHeight="1" x14ac:dyDescent="0.2">
      <c r="A31" s="958"/>
      <c r="B31" s="1154" t="s">
        <v>49</v>
      </c>
      <c r="C31" s="1458"/>
      <c r="D31" s="1458"/>
      <c r="E31" s="1459"/>
      <c r="F31" s="1459"/>
      <c r="G31" s="1459"/>
      <c r="H31" s="1459"/>
      <c r="I31" s="1459"/>
      <c r="J31" s="1459"/>
      <c r="K31" s="1458"/>
      <c r="L31" s="1174"/>
      <c r="M31" s="1235"/>
      <c r="N31" s="1458"/>
      <c r="O31" s="1458"/>
      <c r="P31" s="1459"/>
      <c r="Q31" s="1459"/>
      <c r="R31" s="1459"/>
      <c r="S31" s="1459"/>
      <c r="T31" s="1459"/>
      <c r="U31" s="1459"/>
      <c r="V31" s="1458"/>
      <c r="W31" s="1174"/>
      <c r="X31" s="1217"/>
    </row>
    <row r="32" spans="1:24" ht="14.25" customHeight="1" x14ac:dyDescent="0.2">
      <c r="A32" s="958"/>
      <c r="B32" s="1154" t="s">
        <v>50</v>
      </c>
      <c r="C32" s="1458">
        <f>1000*TableA7!$P$91*(TableC2!D30+TableC2!O30)/(TableC2!$D$91+TableC2!$O$91)</f>
        <v>13095.889552074284</v>
      </c>
      <c r="D32" s="1458">
        <f>1000*TableA7!$P$91*(TableC2!E30+TableC2!P30)/(TableC2!$D$91+TableC2!$O$91)</f>
        <v>4037.4535191870855</v>
      </c>
      <c r="E32" s="1459">
        <f>1000*TableA7!$P$91*(TableC2!F30+TableC2!Q30)/(TableC2!$D$91+TableC2!$O$91)</f>
        <v>430.28860415050877</v>
      </c>
      <c r="F32" s="1459">
        <f>1000*TableA7!$P$91*(TableC2!G30+TableC2!R30)/(TableC2!$D$91+TableC2!$O$91)</f>
        <v>0</v>
      </c>
      <c r="G32" s="1459">
        <f>1000*TableA7!$P$91*(TableC2!H30+TableC2!S30)/(TableC2!$D$91+TableC2!$O$91)</f>
        <v>387.15098932633583</v>
      </c>
      <c r="H32" s="1459">
        <f>1000*TableA7!$P$91*(TableC2!I30+TableC2!T30)/(TableC2!$D$91+TableC2!$O$91)</f>
        <v>743.69280995968415</v>
      </c>
      <c r="I32" s="1459">
        <f>1000*TableA7!$P$91*(TableC2!J30+TableC2!U30)/(TableC2!$D$91+TableC2!$O$91)</f>
        <v>9.5213298990907109</v>
      </c>
      <c r="J32" s="1459">
        <f>1000*TableA7!$P$91*(TableC2!K30+TableC2!V30)/(TableC2!$D$91+TableC2!$O$91)</f>
        <v>2466.7997858514659</v>
      </c>
      <c r="K32" s="1458">
        <f>1000*TableA7!$P$91*(TableC2!L30+TableC2!W30)/(TableC2!$D$91+TableC2!$O$91)</f>
        <v>9058.436032887199</v>
      </c>
      <c r="L32" s="1174">
        <f>1000*TableA7!$P$91*(TableC2!M30+TableC2!X30)/(TableC2!$D$91+TableC2!$O$91)</f>
        <v>743.69339265912208</v>
      </c>
      <c r="M32" s="1235">
        <f>1000*TableA7!$P$91*(TableC2!N30+TableC2!Y30)/(TableC2!$D$91+TableC2!$O$91)</f>
        <v>8314.7426402280798</v>
      </c>
      <c r="N32" s="1458">
        <f>1000*TableA7!$P$91*TableC3!C30/TableC3!$C$91</f>
        <v>3635.6848838121946</v>
      </c>
      <c r="O32" s="1458">
        <f>1000*TableA7!$P$91*TableC3!D30/TableC3!$C$91</f>
        <v>3006.6640184036155</v>
      </c>
      <c r="P32" s="1459">
        <f>1000*TableA7!$P$91*TableC3!E30/TableC3!$C$91</f>
        <v>-736.86169404355144</v>
      </c>
      <c r="Q32" s="1459">
        <f>1000*TableA7!$P$91*TableC3!F30/TableC3!$C$91</f>
        <v>1.8258829268556664E-4</v>
      </c>
      <c r="R32" s="1459">
        <f>1000*TableA7!$P$91*TableC3!G30/TableC3!$C$91</f>
        <v>18.556392510985816</v>
      </c>
      <c r="S32" s="1459">
        <f>1000*TableA7!$P$91*TableC3!H30/TableC3!$C$91</f>
        <v>0</v>
      </c>
      <c r="T32" s="1459">
        <f>1000*TableA7!$P$91*TableC3!I30/TableC3!$C$91</f>
        <v>0</v>
      </c>
      <c r="U32" s="1459">
        <f>1000*TableA7!$P$91*TableC3!J30/TableC3!$C$91</f>
        <v>3724.969137347889</v>
      </c>
      <c r="V32" s="1458">
        <f>1000*TableA7!$P$91*TableC3!K30/TableC3!$C$91</f>
        <v>629.02086540857886</v>
      </c>
      <c r="W32" s="1174">
        <f>1000*TableA7!$P$91*TableC3!L30/TableC3!$C$91</f>
        <v>0</v>
      </c>
      <c r="X32" s="1217">
        <f>1000*TableA7!$P$91*TableC3!M30/TableC3!$C$91</f>
        <v>629.02086540857886</v>
      </c>
    </row>
    <row r="33" spans="1:24" ht="14.25" customHeight="1" x14ac:dyDescent="0.2">
      <c r="A33" s="958"/>
      <c r="B33" s="1154" t="s">
        <v>51</v>
      </c>
      <c r="C33" s="1458"/>
      <c r="D33" s="1458"/>
      <c r="E33" s="1459"/>
      <c r="F33" s="1459"/>
      <c r="G33" s="1459"/>
      <c r="H33" s="1459"/>
      <c r="I33" s="1459"/>
      <c r="J33" s="1459"/>
      <c r="K33" s="1458"/>
      <c r="L33" s="1174"/>
      <c r="M33" s="1235"/>
      <c r="N33" s="1458"/>
      <c r="O33" s="1458"/>
      <c r="P33" s="1459"/>
      <c r="Q33" s="1459"/>
      <c r="R33" s="1459"/>
      <c r="S33" s="1459"/>
      <c r="T33" s="1459"/>
      <c r="U33" s="1459"/>
      <c r="V33" s="1458"/>
      <c r="W33" s="1174"/>
      <c r="X33" s="1217"/>
    </row>
    <row r="34" spans="1:24" ht="14.25" customHeight="1" x14ac:dyDescent="0.2">
      <c r="A34" s="958"/>
      <c r="B34" s="1154" t="s">
        <v>52</v>
      </c>
      <c r="C34" s="1458">
        <f>1000*TableA7!$P$91*(TableC2!D32+TableC2!O32)/(TableC2!$D$91+TableC2!$O$91)</f>
        <v>1523.4433952929837</v>
      </c>
      <c r="D34" s="1458">
        <f>1000*TableA7!$P$91*(TableC2!E32+TableC2!P32)/(TableC2!$D$91+TableC2!$O$91)</f>
        <v>500.75239256662849</v>
      </c>
      <c r="E34" s="1459">
        <f>1000*TableA7!$P$91*(TableC2!F32+TableC2!Q32)/(TableC2!$D$91+TableC2!$O$91)</f>
        <v>43.161749201035775</v>
      </c>
      <c r="F34" s="1459">
        <f>1000*TableA7!$P$91*(TableC2!G32+TableC2!R32)/(TableC2!$D$91+TableC2!$O$91)</f>
        <v>0</v>
      </c>
      <c r="G34" s="1459">
        <f>1000*TableA7!$P$91*(TableC2!H32+TableC2!S32)/(TableC2!$D$91+TableC2!$O$91)</f>
        <v>214.81629912857156</v>
      </c>
      <c r="H34" s="1459">
        <f>1000*TableA7!$P$91*(TableC2!I32+TableC2!T32)/(TableC2!$D$91+TableC2!$O$91)</f>
        <v>115.22273286060243</v>
      </c>
      <c r="I34" s="1459">
        <f>1000*TableA7!$P$91*(TableC2!J32+TableC2!U32)/(TableC2!$D$91+TableC2!$O$91)</f>
        <v>8.4832806762380564</v>
      </c>
      <c r="J34" s="1459">
        <f>1000*TableA7!$P$91*(TableC2!K32+TableC2!V32)/(TableC2!$D$91+TableC2!$O$91)</f>
        <v>119.06833070018077</v>
      </c>
      <c r="K34" s="1458">
        <f>1000*TableA7!$P$91*(TableC2!L32+TableC2!W32)/(TableC2!$D$91+TableC2!$O$91)</f>
        <v>1022.6910027263549</v>
      </c>
      <c r="L34" s="1174">
        <f>1000*TableA7!$P$91*(TableC2!M32+TableC2!X32)/(TableC2!$D$91+TableC2!$O$91)</f>
        <v>83.962456509957349</v>
      </c>
      <c r="M34" s="1235">
        <f>1000*TableA7!$P$91*(TableC2!N32+TableC2!Y32)/(TableC2!$D$91+TableC2!$O$91)</f>
        <v>938.7285462163976</v>
      </c>
      <c r="N34" s="1458">
        <f>1000*TableA7!$P$91*TableC3!C32/TableC3!$C$91</f>
        <v>664.19388279612565</v>
      </c>
      <c r="O34" s="1458">
        <f>1000*TableA7!$P$91*TableC3!D32/TableC3!$C$91</f>
        <v>-108.5029583417853</v>
      </c>
      <c r="P34" s="1459">
        <f>1000*TableA7!$P$91*TableC3!E32/TableC3!$C$91</f>
        <v>-117.54493678789977</v>
      </c>
      <c r="Q34" s="1459">
        <f>1000*TableA7!$P$91*TableC3!F32/TableC3!$C$91</f>
        <v>0.20024037064326461</v>
      </c>
      <c r="R34" s="1459">
        <f>1000*TableA7!$P$91*TableC3!G32/TableC3!$C$91</f>
        <v>8.8417380754712003</v>
      </c>
      <c r="S34" s="1459">
        <f>1000*TableA7!$P$91*TableC3!H32/TableC3!$C$91</f>
        <v>0</v>
      </c>
      <c r="T34" s="1459">
        <f>1000*TableA7!$P$91*TableC3!I32/TableC3!$C$91</f>
        <v>0</v>
      </c>
      <c r="U34" s="1459">
        <f>1000*TableA7!$P$91*TableC3!J32/TableC3!$C$91</f>
        <v>0</v>
      </c>
      <c r="V34" s="1458">
        <f>1000*TableA7!$P$91*TableC3!K32/TableC3!$C$91</f>
        <v>772.69684113791095</v>
      </c>
      <c r="W34" s="1174">
        <f>1000*TableA7!$P$91*TableC3!L32/TableC3!$C$91</f>
        <v>0</v>
      </c>
      <c r="X34" s="1217">
        <f>1000*TableA7!$P$91*TableC3!M32/TableC3!$C$91</f>
        <v>772.69684113791095</v>
      </c>
    </row>
    <row r="35" spans="1:24" ht="14.25" customHeight="1" x14ac:dyDescent="0.2">
      <c r="A35" s="958"/>
      <c r="B35" s="1154" t="s">
        <v>53</v>
      </c>
      <c r="C35" s="1458">
        <f>1000*TableA7!$P$91*(TableC2!D33+TableC2!O33)/(TableC2!$D$91+TableC2!$O$91)</f>
        <v>5215.6647064681247</v>
      </c>
      <c r="D35" s="1458">
        <f>1000*TableA7!$P$91*(TableC2!E33+TableC2!P33)/(TableC2!$D$91+TableC2!$O$91)</f>
        <v>2943.7110483106339</v>
      </c>
      <c r="E35" s="1459">
        <f>1000*TableA7!$P$91*(TableC2!F33+TableC2!Q33)/(TableC2!$D$91+TableC2!$O$91)</f>
        <v>274.36645656815818</v>
      </c>
      <c r="F35" s="1459">
        <f>1000*TableA7!$P$91*(TableC2!G33+TableC2!R33)/(TableC2!$D$91+TableC2!$O$91)</f>
        <v>1.6855537143936803</v>
      </c>
      <c r="G35" s="1459">
        <f>1000*TableA7!$P$91*(TableC2!H33+TableC2!S33)/(TableC2!$D$91+TableC2!$O$91)</f>
        <v>1142.4759227196676</v>
      </c>
      <c r="H35" s="1459">
        <f>1000*TableA7!$P$91*(TableC2!I33+TableC2!T33)/(TableC2!$D$91+TableC2!$O$91)</f>
        <v>715.45484209571293</v>
      </c>
      <c r="I35" s="1459">
        <f>1000*TableA7!$P$91*(TableC2!J33+TableC2!U33)/(TableC2!$D$91+TableC2!$O$91)</f>
        <v>33.889576719519631</v>
      </c>
      <c r="J35" s="1459">
        <f>1000*TableA7!$P$91*(TableC2!K33+TableC2!V33)/(TableC2!$D$91+TableC2!$O$91)</f>
        <v>775.83869649318217</v>
      </c>
      <c r="K35" s="1458">
        <f>1000*TableA7!$P$91*(TableC2!L33+TableC2!W33)/(TableC2!$D$91+TableC2!$O$91)</f>
        <v>2271.9536581574898</v>
      </c>
      <c r="L35" s="1174">
        <f>1000*TableA7!$P$91*(TableC2!M33+TableC2!X33)/(TableC2!$D$91+TableC2!$O$91)</f>
        <v>186.52634051453447</v>
      </c>
      <c r="M35" s="1235">
        <f>1000*TableA7!$P$91*(TableC2!N33+TableC2!Y33)/(TableC2!$D$91+TableC2!$O$91)</f>
        <v>2085.4273176429556</v>
      </c>
      <c r="N35" s="1458">
        <f>1000*TableA7!$P$91*TableC3!C33/TableC3!$C$91</f>
        <v>5432.0250995465667</v>
      </c>
      <c r="O35" s="1458">
        <f>1000*TableA7!$P$91*TableC3!D33/TableC3!$C$91</f>
        <v>3839.4727176957904</v>
      </c>
      <c r="P35" s="1459">
        <f>1000*TableA7!$P$91*TableC3!E33/TableC3!$C$91</f>
        <v>3702.2924578331963</v>
      </c>
      <c r="Q35" s="1459">
        <f>1000*TableA7!$P$91*TableC3!F33/TableC3!$C$91</f>
        <v>0</v>
      </c>
      <c r="R35" s="1459">
        <f>1000*TableA7!$P$91*TableC3!G33/TableC3!$C$91</f>
        <v>35.046612058449234</v>
      </c>
      <c r="S35" s="1459">
        <f>1000*TableA7!$P$91*TableC3!H33/TableC3!$C$91</f>
        <v>0</v>
      </c>
      <c r="T35" s="1459">
        <f>1000*TableA7!$P$91*TableC3!I33/TableC3!$C$91</f>
        <v>0</v>
      </c>
      <c r="U35" s="1459">
        <f>1000*TableA7!$P$91*TableC3!J33/TableC3!$C$91</f>
        <v>102.13364780414452</v>
      </c>
      <c r="V35" s="1458">
        <f>1000*TableA7!$P$91*TableC3!K33/TableC3!$C$91</f>
        <v>1592.5523818507768</v>
      </c>
      <c r="W35" s="1174">
        <f>1000*TableA7!$P$91*TableC3!L33/TableC3!$C$91</f>
        <v>0</v>
      </c>
      <c r="X35" s="1217">
        <f>1000*TableA7!$P$91*TableC3!M33/TableC3!$C$91</f>
        <v>1592.5523818507768</v>
      </c>
    </row>
    <row r="36" spans="1:24" ht="14.25" customHeight="1" x14ac:dyDescent="0.2">
      <c r="A36" s="958"/>
      <c r="B36" s="1154" t="s">
        <v>54</v>
      </c>
      <c r="C36" s="1458">
        <f>1000*TableA7!$P$91*(TableC2!D34+TableC2!O34)/(TableC2!$D$91+TableC2!$O$91)</f>
        <v>3695.8663942036615</v>
      </c>
      <c r="D36" s="1458">
        <f>1000*TableA7!$P$91*(TableC2!E34+TableC2!P34)/(TableC2!$D$91+TableC2!$O$91)</f>
        <v>2560.6127822567601</v>
      </c>
      <c r="E36" s="1459">
        <f>1000*TableA7!$P$91*(TableC2!F34+TableC2!Q34)/(TableC2!$D$91+TableC2!$O$91)</f>
        <v>492.85065707137016</v>
      </c>
      <c r="F36" s="1459">
        <f>1000*TableA7!$P$91*(TableC2!G34+TableC2!R34)/(TableC2!$D$91+TableC2!$O$91)</f>
        <v>12.758683785637997</v>
      </c>
      <c r="G36" s="1459">
        <f>1000*TableA7!$P$91*(TableC2!H34+TableC2!S34)/(TableC2!$D$91+TableC2!$O$91)</f>
        <v>828.18108863991836</v>
      </c>
      <c r="H36" s="1459">
        <f>1000*TableA7!$P$91*(TableC2!I34+TableC2!T34)/(TableC2!$D$91+TableC2!$O$91)</f>
        <v>575.59399021059494</v>
      </c>
      <c r="I36" s="1459">
        <f>1000*TableA7!$P$91*(TableC2!J34+TableC2!U34)/(TableC2!$D$91+TableC2!$O$91)</f>
        <v>16.287146686298474</v>
      </c>
      <c r="J36" s="1459">
        <f>1000*TableA7!$P$91*(TableC2!K34+TableC2!V34)/(TableC2!$D$91+TableC2!$O$91)</f>
        <v>634.94121586293977</v>
      </c>
      <c r="K36" s="1458">
        <f>1000*TableA7!$P$91*(TableC2!L34+TableC2!W34)/(TableC2!$D$91+TableC2!$O$91)</f>
        <v>1135.2536119469016</v>
      </c>
      <c r="L36" s="1174">
        <f>1000*TableA7!$P$91*(TableC2!M34+TableC2!X34)/(TableC2!$D$91+TableC2!$O$91)</f>
        <v>1033.4183448501033</v>
      </c>
      <c r="M36" s="1235">
        <f>1000*TableA7!$P$91*(TableC2!N34+TableC2!Y34)/(TableC2!$D$91+TableC2!$O$91)</f>
        <v>101.8352670967983</v>
      </c>
      <c r="N36" s="1458">
        <f>1000*TableA7!$P$91*TableC3!C34/TableC3!$C$91</f>
        <v>-2526.9761674712031</v>
      </c>
      <c r="O36" s="1458">
        <f>1000*TableA7!$P$91*TableC3!D34/TableC3!$C$91</f>
        <v>-2528.8136081777884</v>
      </c>
      <c r="P36" s="1459">
        <f>1000*TableA7!$P$91*TableC3!E34/TableC3!$C$91</f>
        <v>-2989.6334866055354</v>
      </c>
      <c r="Q36" s="1459">
        <f>1000*TableA7!$P$91*TableC3!F34/TableC3!$C$91</f>
        <v>0</v>
      </c>
      <c r="R36" s="1459">
        <f>1000*TableA7!$P$91*TableC3!G34/TableC3!$C$91</f>
        <v>-18.31502887061891</v>
      </c>
      <c r="S36" s="1459">
        <f>1000*TableA7!$P$91*TableC3!H34/TableC3!$C$91</f>
        <v>0</v>
      </c>
      <c r="T36" s="1459">
        <f>1000*TableA7!$P$91*TableC3!I34/TableC3!$C$91</f>
        <v>0</v>
      </c>
      <c r="U36" s="1459">
        <f>1000*TableA7!$P$91*TableC3!J34/TableC3!$C$91</f>
        <v>479.13490729836593</v>
      </c>
      <c r="V36" s="1458">
        <f>1000*TableA7!$P$91*TableC3!K34/TableC3!$C$91</f>
        <v>1.8374407065856166</v>
      </c>
      <c r="W36" s="1174">
        <f>1000*TableA7!$P$91*TableC3!L34/TableC3!$C$91</f>
        <v>0</v>
      </c>
      <c r="X36" s="1217">
        <f>1000*TableA7!$P$91*TableC3!M34/TableC3!$C$91</f>
        <v>1.8374407065856166</v>
      </c>
    </row>
    <row r="37" spans="1:24" ht="14.25" customHeight="1" x14ac:dyDescent="0.2">
      <c r="A37" s="958"/>
      <c r="B37" s="1154" t="s">
        <v>55</v>
      </c>
      <c r="C37" s="1458">
        <f>1000*TableA7!$P$91*(TableC2!D35+TableC2!O35)/(TableC2!$D$91+TableC2!$O$91)</f>
        <v>2638.1822918681346</v>
      </c>
      <c r="D37" s="1458">
        <f>1000*TableA7!$P$91*(TableC2!E35+TableC2!P35)/(TableC2!$D$91+TableC2!$O$91)</f>
        <v>2356.8932486324625</v>
      </c>
      <c r="E37" s="1459">
        <f>1000*TableA7!$P$91*(TableC2!F35+TableC2!Q35)/(TableC2!$D$91+TableC2!$O$91)</f>
        <v>372.51566773606618</v>
      </c>
      <c r="F37" s="1459">
        <f>1000*TableA7!$P$91*(TableC2!G35+TableC2!R35)/(TableC2!$D$91+TableC2!$O$91)</f>
        <v>1.0463801074739643</v>
      </c>
      <c r="G37" s="1459">
        <f>1000*TableA7!$P$91*(TableC2!H35+TableC2!S35)/(TableC2!$D$91+TableC2!$O$91)</f>
        <v>532.88055199577332</v>
      </c>
      <c r="H37" s="1459">
        <f>1000*TableA7!$P$91*(TableC2!I35+TableC2!T35)/(TableC2!$D$91+TableC2!$O$91)</f>
        <v>741.87476236474674</v>
      </c>
      <c r="I37" s="1459">
        <f>1000*TableA7!$P$91*(TableC2!J35+TableC2!U35)/(TableC2!$D$91+TableC2!$O$91)</f>
        <v>8.3980050693946318</v>
      </c>
      <c r="J37" s="1459">
        <f>1000*TableA7!$P$91*(TableC2!K35+TableC2!V35)/(TableC2!$D$91+TableC2!$O$91)</f>
        <v>700.17788135900787</v>
      </c>
      <c r="K37" s="1458">
        <f>1000*TableA7!$P$91*(TableC2!L35+TableC2!W35)/(TableC2!$D$91+TableC2!$O$91)</f>
        <v>281.28904323567207</v>
      </c>
      <c r="L37" s="1174">
        <f>1000*TableA7!$P$91*(TableC2!M35+TableC2!X35)/(TableC2!$D$91+TableC2!$O$91)</f>
        <v>226.85015138945425</v>
      </c>
      <c r="M37" s="1235">
        <f>1000*TableA7!$P$91*(TableC2!N35+TableC2!Y35)/(TableC2!$D$91+TableC2!$O$91)</f>
        <v>54.438891846217764</v>
      </c>
      <c r="N37" s="1458">
        <f>1000*TableA7!$P$91*TableC3!C35/TableC3!$C$91</f>
        <v>278.00396998269787</v>
      </c>
      <c r="O37" s="1458">
        <f>1000*TableA7!$P$91*TableC3!D35/TableC3!$C$91</f>
        <v>3.1756436638261429</v>
      </c>
      <c r="P37" s="1459">
        <f>1000*TableA7!$P$91*TableC3!E35/TableC3!$C$91</f>
        <v>-156.37573064181512</v>
      </c>
      <c r="Q37" s="1459">
        <f>1000*TableA7!$P$91*TableC3!F35/TableC3!$C$91</f>
        <v>0.14970863053046879</v>
      </c>
      <c r="R37" s="1459">
        <f>1000*TableA7!$P$91*TableC3!G35/TableC3!$C$91</f>
        <v>51.057747589579861</v>
      </c>
      <c r="S37" s="1459">
        <f>1000*TableA7!$P$91*TableC3!H35/TableC3!$C$91</f>
        <v>0</v>
      </c>
      <c r="T37" s="1459">
        <f>1000*TableA7!$P$91*TableC3!I35/TableC3!$C$91</f>
        <v>0</v>
      </c>
      <c r="U37" s="1459">
        <f>1000*TableA7!$P$91*TableC3!J35/TableC3!$C$91</f>
        <v>108.34391808553094</v>
      </c>
      <c r="V37" s="1458">
        <f>1000*TableA7!$P$91*TableC3!K35/TableC3!$C$91</f>
        <v>274.82832631887175</v>
      </c>
      <c r="W37" s="1174">
        <f>1000*TableA7!$P$91*TableC3!L35/TableC3!$C$91</f>
        <v>0</v>
      </c>
      <c r="X37" s="1217">
        <f>1000*TableA7!$P$91*TableC3!M35/TableC3!$C$91</f>
        <v>274.82832631887175</v>
      </c>
    </row>
    <row r="38" spans="1:24" ht="14.25" customHeight="1" x14ac:dyDescent="0.2">
      <c r="A38" s="958" t="s">
        <v>336</v>
      </c>
      <c r="B38" s="1154" t="s">
        <v>56</v>
      </c>
      <c r="C38" s="1458">
        <f>1000*TableA7!$P$91*(TableC2!D36+TableC2!O36)/(TableC2!$D$91+TableC2!$O$91)</f>
        <v>636.81356041207425</v>
      </c>
      <c r="D38" s="1458">
        <f>1000*TableA7!$P$91*(TableC2!E36+TableC2!P36)/(TableC2!$D$91+TableC2!$O$91)</f>
        <v>535.34568700679756</v>
      </c>
      <c r="E38" s="1459">
        <f>1000*TableA7!$P$91*(TableC2!F36+TableC2!Q36)/(TableC2!$D$91+TableC2!$O$91)</f>
        <v>119.53462150435155</v>
      </c>
      <c r="F38" s="1459">
        <f>1000*TableA7!$P$91*(TableC2!G36+TableC2!R36)/(TableC2!$D$91+TableC2!$O$91)</f>
        <v>0.55806939065278094</v>
      </c>
      <c r="G38" s="1459">
        <f>1000*TableA7!$P$91*(TableC2!H36+TableC2!S36)/(TableC2!$D$91+TableC2!$O$91)</f>
        <v>96.859254026411776</v>
      </c>
      <c r="H38" s="1459">
        <f>1000*TableA7!$P$91*(TableC2!I36+TableC2!T36)/(TableC2!$D$91+TableC2!$O$91)</f>
        <v>194.0487617403175</v>
      </c>
      <c r="I38" s="1459">
        <f>1000*TableA7!$P$91*(TableC2!J36+TableC2!U36)/(TableC2!$D$91+TableC2!$O$91)</f>
        <v>4.6571518766799249</v>
      </c>
      <c r="J38" s="1459">
        <f>1000*TableA7!$P$91*(TableC2!K36+TableC2!V36)/(TableC2!$D$91+TableC2!$O$91)</f>
        <v>119.68782846838401</v>
      </c>
      <c r="K38" s="1458">
        <f>1000*TableA7!$P$91*(TableC2!L36+TableC2!W36)/(TableC2!$D$91+TableC2!$O$91)</f>
        <v>101.46787340527673</v>
      </c>
      <c r="L38" s="1174">
        <f>1000*TableA7!$P$91*(TableC2!M36+TableC2!X36)/(TableC2!$D$91+TableC2!$O$91)</f>
        <v>81.407464927208082</v>
      </c>
      <c r="M38" s="1235">
        <f>1000*TableA7!$P$91*(TableC2!N36+TableC2!Y36)/(TableC2!$D$91+TableC2!$O$91)</f>
        <v>20.06040847806867</v>
      </c>
      <c r="N38" s="1458">
        <f>1000*TableA7!$P$91*TableC3!C36/TableC3!$C$91</f>
        <v>89.925521376863429</v>
      </c>
      <c r="O38" s="1458">
        <f>1000*TableA7!$P$91*TableC3!D36/TableC3!$C$91</f>
        <v>86.38031327108807</v>
      </c>
      <c r="P38" s="1459">
        <f>1000*TableA7!$P$91*TableC3!E36/TableC3!$C$91</f>
        <v>80.543218315941559</v>
      </c>
      <c r="Q38" s="1459">
        <f>1000*TableA7!$P$91*TableC3!F36/TableC3!$C$91</f>
        <v>0</v>
      </c>
      <c r="R38" s="1459">
        <f>1000*TableA7!$P$91*TableC3!G36/TableC3!$C$91</f>
        <v>0</v>
      </c>
      <c r="S38" s="1459">
        <f>1000*TableA7!$P$91*TableC3!H36/TableC3!$C$91</f>
        <v>0</v>
      </c>
      <c r="T38" s="1459">
        <f>1000*TableA7!$P$91*TableC3!I36/TableC3!$C$91</f>
        <v>0</v>
      </c>
      <c r="U38" s="1459">
        <f>1000*TableA7!$P$91*TableC3!J36/TableC3!$C$91</f>
        <v>5.8370949551465188</v>
      </c>
      <c r="V38" s="1458">
        <f>1000*TableA7!$P$91*TableC3!K36/TableC3!$C$91</f>
        <v>3.5452081057753464</v>
      </c>
      <c r="W38" s="1174">
        <f>1000*TableA7!$P$91*TableC3!L36/TableC3!$C$91</f>
        <v>0</v>
      </c>
      <c r="X38" s="1217">
        <f>1000*TableA7!$P$91*TableC3!M36/TableC3!$C$91</f>
        <v>3.5452081057753464</v>
      </c>
    </row>
    <row r="39" spans="1:24" ht="14.25" customHeight="1" x14ac:dyDescent="0.2">
      <c r="A39" s="958"/>
      <c r="B39" s="1154" t="s">
        <v>57</v>
      </c>
      <c r="C39" s="1458">
        <f>1000*TableA7!$P$91*(TableC2!D37+TableC2!O37)/(TableC2!$D$91+TableC2!$O$91)</f>
        <v>225.29901009808276</v>
      </c>
      <c r="D39" s="1458">
        <f>1000*TableA7!$P$91*(TableC2!E37+TableC2!P37)/(TableC2!$D$91+TableC2!$O$91)</f>
        <v>115.10063901304477</v>
      </c>
      <c r="E39" s="1459">
        <f>1000*TableA7!$P$91*(TableC2!F37+TableC2!Q37)/(TableC2!$D$91+TableC2!$O$91)</f>
        <v>28.604646552711809</v>
      </c>
      <c r="F39" s="1459">
        <f>1000*TableA7!$P$91*(TableC2!G37+TableC2!R37)/(TableC2!$D$91+TableC2!$O$91)</f>
        <v>0.27000411128270535</v>
      </c>
      <c r="G39" s="1459">
        <f>1000*TableA7!$P$91*(TableC2!H37+TableC2!S37)/(TableC2!$D$91+TableC2!$O$91)</f>
        <v>40.238802202293925</v>
      </c>
      <c r="H39" s="1459">
        <f>1000*TableA7!$P$91*(TableC2!I37+TableC2!T37)/(TableC2!$D$91+TableC2!$O$91)</f>
        <v>29.320698916191361</v>
      </c>
      <c r="I39" s="1459">
        <f>1000*TableA7!$P$91*(TableC2!J37+TableC2!U37)/(TableC2!$D$91+TableC2!$O$91)</f>
        <v>0.18277521286921036</v>
      </c>
      <c r="J39" s="1459">
        <f>1000*TableA7!$P$91*(TableC2!K37+TableC2!V37)/(TableC2!$D$91+TableC2!$O$91)</f>
        <v>16.483712017695762</v>
      </c>
      <c r="K39" s="1458">
        <f>1000*TableA7!$P$91*(TableC2!L37+TableC2!W37)/(TableC2!$D$91+TableC2!$O$91)</f>
        <v>110.19837108503796</v>
      </c>
      <c r="L39" s="1174">
        <f>1000*TableA7!$P$91*(TableC2!M37+TableC2!X37)/(TableC2!$D$91+TableC2!$O$91)</f>
        <v>80.16801629536981</v>
      </c>
      <c r="M39" s="1235">
        <f>1000*TableA7!$P$91*(TableC2!N37+TableC2!Y37)/(TableC2!$D$91+TableC2!$O$91)</f>
        <v>30.030354789668166</v>
      </c>
      <c r="N39" s="1458">
        <f>1000*TableA7!$P$91*TableC3!C37/TableC3!$C$91</f>
        <v>-7.0565357816494352</v>
      </c>
      <c r="O39" s="1458">
        <f>1000*TableA7!$P$91*TableC3!D37/TableC3!$C$91</f>
        <v>-7.5825699869749208</v>
      </c>
      <c r="P39" s="1459">
        <f>1000*TableA7!$P$91*TableC3!E37/TableC3!$C$91</f>
        <v>-7.5689039898506643</v>
      </c>
      <c r="Q39" s="1459">
        <f>1000*TableA7!$P$91*TableC3!F37/TableC3!$C$91</f>
        <v>-1.3665997124256542E-2</v>
      </c>
      <c r="R39" s="1459">
        <f>1000*TableA7!$P$91*TableC3!G37/TableC3!$C$91</f>
        <v>0</v>
      </c>
      <c r="S39" s="1459">
        <f>1000*TableA7!$P$91*TableC3!H37/TableC3!$C$91</f>
        <v>0</v>
      </c>
      <c r="T39" s="1459">
        <f>1000*TableA7!$P$91*TableC3!I37/TableC3!$C$91</f>
        <v>0</v>
      </c>
      <c r="U39" s="1459">
        <f>1000*TableA7!$P$91*TableC3!J37/TableC3!$C$91</f>
        <v>0</v>
      </c>
      <c r="V39" s="1458">
        <f>1000*TableA7!$P$91*TableC3!K37/TableC3!$C$91</f>
        <v>0.52603420532548562</v>
      </c>
      <c r="W39" s="1174">
        <f>1000*TableA7!$P$91*TableC3!L37/TableC3!$C$91</f>
        <v>0</v>
      </c>
      <c r="X39" s="1217">
        <f>1000*TableA7!$P$91*TableC3!M37/TableC3!$C$91</f>
        <v>0.52603420532548562</v>
      </c>
    </row>
    <row r="40" spans="1:24" ht="14.25" customHeight="1" x14ac:dyDescent="0.2">
      <c r="A40" s="958"/>
      <c r="B40" s="1154" t="s">
        <v>58</v>
      </c>
      <c r="C40" s="1458">
        <f>1000*TableA7!$P$91*(TableC2!D38+TableC2!O38)/(TableC2!$D$91+TableC2!$O$91)</f>
        <v>14362.071520602967</v>
      </c>
      <c r="D40" s="1458">
        <f>1000*TableA7!$P$91*(TableC2!E38+TableC2!P38)/(TableC2!$D$91+TableC2!$O$91)</f>
        <v>11306.512195320996</v>
      </c>
      <c r="E40" s="1459">
        <f>1000*TableA7!$P$91*(TableC2!F38+TableC2!Q38)/(TableC2!$D$91+TableC2!$O$91)</f>
        <v>895.78485377474146</v>
      </c>
      <c r="F40" s="1459">
        <f>1000*TableA7!$P$91*(TableC2!G38+TableC2!R38)/(TableC2!$D$91+TableC2!$O$91)</f>
        <v>9.0686275981076907</v>
      </c>
      <c r="G40" s="1459">
        <f>1000*TableA7!$P$91*(TableC2!H38+TableC2!S38)/(TableC2!$D$91+TableC2!$O$91)</f>
        <v>2265.3946828007824</v>
      </c>
      <c r="H40" s="1459">
        <f>1000*TableA7!$P$91*(TableC2!I38+TableC2!T38)/(TableC2!$D$91+TableC2!$O$91)</f>
        <v>3148.3773772843465</v>
      </c>
      <c r="I40" s="1459">
        <f>1000*TableA7!$P$91*(TableC2!J38+TableC2!U38)/(TableC2!$D$91+TableC2!$O$91)</f>
        <v>17.477186541687171</v>
      </c>
      <c r="J40" s="1459">
        <f>1000*TableA7!$P$91*(TableC2!K38+TableC2!V38)/(TableC2!$D$91+TableC2!$O$91)</f>
        <v>4970.4094673213331</v>
      </c>
      <c r="K40" s="1458">
        <f>1000*TableA7!$P$91*(TableC2!L38+TableC2!W38)/(TableC2!$D$91+TableC2!$O$91)</f>
        <v>3055.5593252819704</v>
      </c>
      <c r="L40" s="1174">
        <f>1000*TableA7!$P$91*(TableC2!M38+TableC2!X38)/(TableC2!$D$91+TableC2!$O$91)</f>
        <v>1723.6309312557178</v>
      </c>
      <c r="M40" s="1235">
        <f>1000*TableA7!$P$91*(TableC2!N38+TableC2!Y38)/(TableC2!$D$91+TableC2!$O$91)</f>
        <v>1331.9283940262535</v>
      </c>
      <c r="N40" s="1458">
        <f>1000*TableA7!$P$91*TableC3!C38/TableC3!$C$91</f>
        <v>3099.8760283355009</v>
      </c>
      <c r="O40" s="1458">
        <f>1000*TableA7!$P$91*TableC3!D38/TableC3!$C$91</f>
        <v>1102.8621662359037</v>
      </c>
      <c r="P40" s="1459">
        <f>1000*TableA7!$P$91*TableC3!E38/TableC3!$C$91</f>
        <v>-933.52148618082663</v>
      </c>
      <c r="Q40" s="1459">
        <f>1000*TableA7!$P$91*TableC3!F38/TableC3!$C$91</f>
        <v>4.8250434244004845</v>
      </c>
      <c r="R40" s="1459">
        <f>1000*TableA7!$P$91*TableC3!G38/TableC3!$C$91</f>
        <v>702.49508961464846</v>
      </c>
      <c r="S40" s="1459">
        <f>1000*TableA7!$P$91*TableC3!H38/TableC3!$C$91</f>
        <v>-222.94303921357007</v>
      </c>
      <c r="T40" s="1459">
        <f>1000*TableA7!$P$91*TableC3!I38/TableC3!$C$91</f>
        <v>2.820818795711999</v>
      </c>
      <c r="U40" s="1459">
        <f>1000*TableA7!$P$91*TableC3!J38/TableC3!$C$91</f>
        <v>1549.1857397955398</v>
      </c>
      <c r="V40" s="1458">
        <f>1000*TableA7!$P$91*TableC3!K38/TableC3!$C$91</f>
        <v>1997.013862099597</v>
      </c>
      <c r="W40" s="1174">
        <f>1000*TableA7!$P$91*TableC3!L38/TableC3!$C$91</f>
        <v>1694.983994461209</v>
      </c>
      <c r="X40" s="1217">
        <f>1000*TableA7!$P$91*TableC3!M38/TableC3!$C$91</f>
        <v>302.02986763838794</v>
      </c>
    </row>
    <row r="41" spans="1:24" s="25" customFormat="1" ht="14.25" customHeight="1" x14ac:dyDescent="0.2">
      <c r="A41" s="1115"/>
      <c r="B41" s="1080" t="s">
        <v>59</v>
      </c>
      <c r="C41" s="1458">
        <f>1000*TableA7!$P$91*(TableC2!D39+TableC2!O39)/(TableC2!$D$91+TableC2!$O$91)</f>
        <v>8541.0900580049947</v>
      </c>
      <c r="D41" s="1458">
        <f>1000*TableA7!$P$91*(TableC2!E39+TableC2!P39)/(TableC2!$D$91+TableC2!$O$91)</f>
        <v>6671.350421331319</v>
      </c>
      <c r="E41" s="1459">
        <f>1000*TableA7!$P$91*(TableC2!F39+TableC2!Q39)/(TableC2!$D$91+TableC2!$O$91)</f>
        <v>939.40284480831576</v>
      </c>
      <c r="F41" s="1459">
        <f>1000*TableA7!$P$91*(TableC2!G39+TableC2!R39)/(TableC2!$D$91+TableC2!$O$91)</f>
        <v>3.4879336915798809</v>
      </c>
      <c r="G41" s="1459">
        <f>1000*TableA7!$P$91*(TableC2!H39+TableC2!S39)/(TableC2!$D$91+TableC2!$O$91)</f>
        <v>2191.6935682166823</v>
      </c>
      <c r="H41" s="1459">
        <f>1000*TableA7!$P$91*(TableC2!I39+TableC2!T39)/(TableC2!$D$91+TableC2!$O$91)</f>
        <v>2387.5842328405784</v>
      </c>
      <c r="I41" s="1459">
        <f>1000*TableA7!$P$91*(TableC2!J39+TableC2!U39)/(TableC2!$D$91+TableC2!$O$91)</f>
        <v>106.30369615594229</v>
      </c>
      <c r="J41" s="1459">
        <f>1000*TableA7!$P$91*(TableC2!K39+TableC2!V39)/(TableC2!$D$91+TableC2!$O$91)</f>
        <v>1042.8781456182198</v>
      </c>
      <c r="K41" s="1458">
        <f>1000*TableA7!$P$91*(TableC2!L39+TableC2!W39)/(TableC2!$D$91+TableC2!$O$91)</f>
        <v>1869.7396366736759</v>
      </c>
      <c r="L41" s="1174">
        <f>1000*TableA7!$P$91*(TableC2!M39+TableC2!X39)/(TableC2!$D$91+TableC2!$O$91)</f>
        <v>680.45759325108077</v>
      </c>
      <c r="M41" s="1235">
        <f>1000*TableA7!$P$91*(TableC2!N39+TableC2!Y39)/(TableC2!$D$91+TableC2!$O$91)</f>
        <v>1189.2820434225953</v>
      </c>
      <c r="N41" s="1458">
        <f>1000*TableA7!$P$91*TableC3!C39/TableC3!$C$91</f>
        <v>9482.5407177516772</v>
      </c>
      <c r="O41" s="1458">
        <f>1000*TableA7!$P$91*TableC3!D39/TableC3!$C$91</f>
        <v>6736.8315527555651</v>
      </c>
      <c r="P41" s="1459">
        <f>1000*TableA7!$P$91*TableC3!E39/TableC3!$C$91</f>
        <v>3574.7994902830601</v>
      </c>
      <c r="Q41" s="1459">
        <f>1000*TableA7!$P$91*TableC3!F39/TableC3!$C$91</f>
        <v>1.4193926529299816</v>
      </c>
      <c r="R41" s="1459">
        <f>1000*TableA7!$P$91*TableC3!G39/TableC3!$C$91</f>
        <v>163.63662894731274</v>
      </c>
      <c r="S41" s="1459">
        <f>1000*TableA7!$P$91*TableC3!H39/TableC3!$C$91</f>
        <v>63.708282106225916</v>
      </c>
      <c r="T41" s="1459">
        <f>1000*TableA7!$P$91*TableC3!I39/TableC3!$C$91</f>
        <v>0</v>
      </c>
      <c r="U41" s="1459">
        <f>1000*TableA7!$P$91*TableC3!J39/TableC3!$C$91</f>
        <v>2933.267758766036</v>
      </c>
      <c r="V41" s="1458">
        <f>1000*TableA7!$P$91*TableC3!K39/TableC3!$C$91</f>
        <v>2745.7091649961117</v>
      </c>
      <c r="W41" s="1174">
        <f>1000*TableA7!$P$91*TableC3!L39/TableC3!$C$91</f>
        <v>2659.61335925911</v>
      </c>
      <c r="X41" s="1217">
        <f>1000*TableA7!$P$91*TableC3!M39/TableC3!$C$91</f>
        <v>86.095805737001768</v>
      </c>
    </row>
    <row r="42" spans="1:24" ht="14.25" customHeight="1" x14ac:dyDescent="0.2">
      <c r="A42" s="958"/>
      <c r="B42" s="1154" t="s">
        <v>60</v>
      </c>
      <c r="C42" s="1458"/>
      <c r="D42" s="1458"/>
      <c r="E42" s="1459"/>
      <c r="F42" s="1459"/>
      <c r="G42" s="1459"/>
      <c r="H42" s="1459"/>
      <c r="I42" s="1459"/>
      <c r="J42" s="1459"/>
      <c r="K42" s="1458"/>
      <c r="L42" s="1174"/>
      <c r="M42" s="1235"/>
      <c r="N42" s="1458"/>
      <c r="O42" s="1458"/>
      <c r="P42" s="1459"/>
      <c r="Q42" s="1459"/>
      <c r="R42" s="1459"/>
      <c r="S42" s="1459"/>
      <c r="T42" s="1459"/>
      <c r="U42" s="1459"/>
      <c r="V42" s="1458"/>
      <c r="W42" s="1174"/>
      <c r="X42" s="1217"/>
    </row>
    <row r="43" spans="1:24" ht="14.25" customHeight="1" x14ac:dyDescent="0.2">
      <c r="A43" s="958"/>
      <c r="B43" s="1154" t="s">
        <v>61</v>
      </c>
      <c r="C43" s="1458">
        <f>1000*TableA7!$P$91*(TableC2!D41+TableC2!O41)/(TableC2!$D$91+TableC2!$O$91)</f>
        <v>4975.4928205897595</v>
      </c>
      <c r="D43" s="1458">
        <f>1000*TableA7!$P$91*(TableC2!E41+TableC2!P41)/(TableC2!$D$91+TableC2!$O$91)</f>
        <v>1616.4255905617979</v>
      </c>
      <c r="E43" s="1459">
        <f>1000*TableA7!$P$91*(TableC2!F41+TableC2!Q41)/(TableC2!$D$91+TableC2!$O$91)</f>
        <v>171.90102514779218</v>
      </c>
      <c r="F43" s="1459">
        <f>1000*TableA7!$P$91*(TableC2!G41+TableC2!R41)/(TableC2!$D$91+TableC2!$O$91)</f>
        <v>0</v>
      </c>
      <c r="G43" s="1459">
        <f>1000*TableA7!$P$91*(TableC2!H41+TableC2!S41)/(TableC2!$D$91+TableC2!$O$91)</f>
        <v>521.24259846847565</v>
      </c>
      <c r="H43" s="1459">
        <f>1000*TableA7!$P$91*(TableC2!I41+TableC2!T41)/(TableC2!$D$91+TableC2!$O$91)</f>
        <v>268.27102188390865</v>
      </c>
      <c r="I43" s="1459">
        <f>1000*TableA7!$P$91*(TableC2!J41+TableC2!U41)/(TableC2!$D$91+TableC2!$O$91)</f>
        <v>21.934346218198151</v>
      </c>
      <c r="J43" s="1459">
        <f>1000*TableA7!$P$91*(TableC2!K41+TableC2!V41)/(TableC2!$D$91+TableC2!$O$91)</f>
        <v>633.07659884342354</v>
      </c>
      <c r="K43" s="1458">
        <f>1000*TableA7!$P$91*(TableC2!L41+TableC2!W41)/(TableC2!$D$91+TableC2!$O$91)</f>
        <v>3359.0672300279607</v>
      </c>
      <c r="L43" s="1174">
        <f>1000*TableA7!$P$91*(TableC2!M41+TableC2!X41)/(TableC2!$D$91+TableC2!$O$91)</f>
        <v>275.77786004118281</v>
      </c>
      <c r="M43" s="1235">
        <f>1000*TableA7!$P$91*(TableC2!N41+TableC2!Y41)/(TableC2!$D$91+TableC2!$O$91)</f>
        <v>3083.2893699867777</v>
      </c>
      <c r="N43" s="1458">
        <f>1000*TableA7!$P$91*TableC3!C41/TableC3!$C$91</f>
        <v>468.07850247818971</v>
      </c>
      <c r="O43" s="1458">
        <f>1000*TableA7!$P$91*TableC3!D41/TableC3!$C$91</f>
        <v>448.54211049952477</v>
      </c>
      <c r="P43" s="1459">
        <f>1000*TableA7!$P$91*TableC3!E41/TableC3!$C$91</f>
        <v>18.652339055015045</v>
      </c>
      <c r="Q43" s="1459">
        <f>1000*TableA7!$P$91*TableC3!F41/TableC3!$C$91</f>
        <v>-6.0609127448260688E-3</v>
      </c>
      <c r="R43" s="1459">
        <f>1000*TableA7!$P$91*TableC3!G41/TableC3!$C$91</f>
        <v>0</v>
      </c>
      <c r="S43" s="1459">
        <f>1000*TableA7!$P$91*TableC3!H41/TableC3!$C$91</f>
        <v>0</v>
      </c>
      <c r="T43" s="1459">
        <f>1000*TableA7!$P$91*TableC3!I41/TableC3!$C$91</f>
        <v>3.5619389148389415</v>
      </c>
      <c r="U43" s="1459">
        <f>1000*TableA7!$P$91*TableC3!J41/TableC3!$C$91</f>
        <v>426.33389344241562</v>
      </c>
      <c r="V43" s="1458">
        <f>1000*TableA7!$P$91*TableC3!K41/TableC3!$C$91</f>
        <v>19.536391978664955</v>
      </c>
      <c r="W43" s="1174">
        <f>1000*TableA7!$P$91*TableC3!L41/TableC3!$C$91</f>
        <v>0</v>
      </c>
      <c r="X43" s="1217">
        <f>1000*TableA7!$P$91*TableC3!M41/TableC3!$C$91</f>
        <v>19.536391978664955</v>
      </c>
    </row>
    <row r="44" spans="1:24" ht="14.25" customHeight="1" x14ac:dyDescent="0.2">
      <c r="A44" s="958"/>
      <c r="B44" s="1154" t="s">
        <v>62</v>
      </c>
      <c r="C44" s="1458">
        <f>1000*TableA7!$P$91*(TableC2!D42+TableC2!O42)/(TableC2!$D$91+TableC2!$O$91)</f>
        <v>61500.90068304637</v>
      </c>
      <c r="D44" s="1458">
        <f>1000*TableA7!$P$91*(TableC2!E42+TableC2!P42)/(TableC2!$D$91+TableC2!$O$91)</f>
        <v>48545.269178069379</v>
      </c>
      <c r="E44" s="1459">
        <f>1000*TableA7!$P$91*(TableC2!F42+TableC2!Q42)/(TableC2!$D$91+TableC2!$O$91)</f>
        <v>5175.2327460793467</v>
      </c>
      <c r="F44" s="1459">
        <f>1000*TableA7!$P$91*(TableC2!G42+TableC2!R42)/(TableC2!$D$91+TableC2!$O$91)</f>
        <v>505.89624321914977</v>
      </c>
      <c r="G44" s="1459">
        <f>1000*TableA7!$P$91*(TableC2!H42+TableC2!S42)/(TableC2!$D$91+TableC2!$O$91)</f>
        <v>16919.754255845513</v>
      </c>
      <c r="H44" s="1459">
        <f>1000*TableA7!$P$91*(TableC2!I42+TableC2!T42)/(TableC2!$D$91+TableC2!$O$91)</f>
        <v>15955.786856875593</v>
      </c>
      <c r="I44" s="1459">
        <f>1000*TableA7!$P$91*(TableC2!J42+TableC2!U42)/(TableC2!$D$91+TableC2!$O$91)</f>
        <v>232.81328640864103</v>
      </c>
      <c r="J44" s="1459">
        <f>1000*TableA7!$P$91*(TableC2!K42+TableC2!V42)/(TableC2!$D$91+TableC2!$O$91)</f>
        <v>9755.7857896411315</v>
      </c>
      <c r="K44" s="1458">
        <f>1000*TableA7!$P$91*(TableC2!L42+TableC2!W42)/(TableC2!$D$91+TableC2!$O$91)</f>
        <v>12955.631504977</v>
      </c>
      <c r="L44" s="1174">
        <f>1000*TableA7!$P$91*(TableC2!M42+TableC2!X42)/(TableC2!$D$91+TableC2!$O$91)</f>
        <v>3806.9935847933366</v>
      </c>
      <c r="M44" s="1235">
        <f>1000*TableA7!$P$91*(TableC2!N42+TableC2!Y42)/(TableC2!$D$91+TableC2!$O$91)</f>
        <v>9148.6379201836626</v>
      </c>
      <c r="N44" s="1458">
        <f>1000*TableA7!$P$91*TableC3!C42/TableC3!$C$91</f>
        <v>54470.500815613676</v>
      </c>
      <c r="O44" s="1458">
        <f>1000*TableA7!$P$91*TableC3!D42/TableC3!$C$91</f>
        <v>38795.342454904843</v>
      </c>
      <c r="P44" s="1459">
        <f>1000*TableA7!$P$91*TableC3!E42/TableC3!$C$91</f>
        <v>-2196.6673178122555</v>
      </c>
      <c r="Q44" s="1459">
        <f>1000*TableA7!$P$91*TableC3!F42/TableC3!$C$91</f>
        <v>294.40023860201006</v>
      </c>
      <c r="R44" s="1459">
        <f>1000*TableA7!$P$91*TableC3!G42/TableC3!$C$91</f>
        <v>2997.3863262894815</v>
      </c>
      <c r="S44" s="1459">
        <f>1000*TableA7!$P$91*TableC3!H42/TableC3!$C$91</f>
        <v>9020.2426837244493</v>
      </c>
      <c r="T44" s="1459">
        <f>1000*TableA7!$P$91*TableC3!I42/TableC3!$C$91</f>
        <v>38.266481042478844</v>
      </c>
      <c r="U44" s="1459">
        <f>1000*TableA7!$P$91*TableC3!J42/TableC3!$C$91</f>
        <v>28641.714043058684</v>
      </c>
      <c r="V44" s="1458">
        <f>1000*TableA7!$P$91*TableC3!K42/TableC3!$C$91</f>
        <v>15675.158360708827</v>
      </c>
      <c r="W44" s="1174">
        <f>1000*TableA7!$P$91*TableC3!L42/TableC3!$C$91</f>
        <v>8255.9622303344386</v>
      </c>
      <c r="X44" s="1217">
        <f>1000*TableA7!$P$91*TableC3!M42/TableC3!$C$91</f>
        <v>7419.1961303743865</v>
      </c>
    </row>
    <row r="45" spans="1:24" ht="14.25" customHeight="1" x14ac:dyDescent="0.2">
      <c r="A45" s="958"/>
      <c r="B45" s="1154" t="s">
        <v>63</v>
      </c>
      <c r="C45" s="1458">
        <f>1000*TableA7!$P$91*(TableC2!D43+TableC2!O43)/(TableC2!$D$91+TableC2!$O$91)</f>
        <v>142565.30860350179</v>
      </c>
      <c r="D45" s="1458">
        <f>1000*TableA7!$P$91*(TableC2!E43+TableC2!P43)/(TableC2!$D$91+TableC2!$O$91)</f>
        <v>43113.120318516296</v>
      </c>
      <c r="E45" s="1459">
        <f>1000*TableA7!$P$91*(TableC2!F43+TableC2!Q43)/(TableC2!$D$91+TableC2!$O$91)</f>
        <v>5711.8620992737888</v>
      </c>
      <c r="F45" s="1459">
        <f>1000*TableA7!$P$91*(TableC2!G43+TableC2!R43)/(TableC2!$D$91+TableC2!$O$91)</f>
        <v>299.38735507967397</v>
      </c>
      <c r="G45" s="1459">
        <f>1000*TableA7!$P$91*(TableC2!H43+TableC2!S43)/(TableC2!$D$91+TableC2!$O$91)</f>
        <v>8360.1987787962989</v>
      </c>
      <c r="H45" s="1459">
        <f>1000*TableA7!$P$91*(TableC2!I43+TableC2!T43)/(TableC2!$D$91+TableC2!$O$91)</f>
        <v>14183.70735359657</v>
      </c>
      <c r="I45" s="1459">
        <f>1000*TableA7!$P$91*(TableC2!J43+TableC2!U43)/(TableC2!$D$91+TableC2!$O$91)</f>
        <v>145.1178079606745</v>
      </c>
      <c r="J45" s="1459">
        <f>1000*TableA7!$P$91*(TableC2!K43+TableC2!V43)/(TableC2!$D$91+TableC2!$O$91)</f>
        <v>14412.846923809282</v>
      </c>
      <c r="K45" s="1458">
        <f>1000*TableA7!$P$91*(TableC2!L43+TableC2!W43)/(TableC2!$D$91+TableC2!$O$91)</f>
        <v>99452.188284985503</v>
      </c>
      <c r="L45" s="1174">
        <f>1000*TableA7!$P$91*(TableC2!M43+TableC2!X43)/(TableC2!$D$91+TableC2!$O$91)</f>
        <v>13731.49494414153</v>
      </c>
      <c r="M45" s="1235">
        <f>1000*TableA7!$P$91*(TableC2!N43+TableC2!Y43)/(TableC2!$D$91+TableC2!$O$91)</f>
        <v>85720.693340843995</v>
      </c>
      <c r="N45" s="1458">
        <f>1000*TableA7!$P$91*TableC3!C43/TableC3!$C$91</f>
        <v>305414.59228542639</v>
      </c>
      <c r="O45" s="1458">
        <f>1000*TableA7!$P$91*TableC3!D43/TableC3!$C$91</f>
        <v>171634.08158557015</v>
      </c>
      <c r="P45" s="1459">
        <f>1000*TableA7!$P$91*TableC3!E43/TableC3!$C$91</f>
        <v>-10926.456524348805</v>
      </c>
      <c r="Q45" s="1459">
        <f>1000*TableA7!$P$91*TableC3!F43/TableC3!$C$91</f>
        <v>0</v>
      </c>
      <c r="R45" s="1459">
        <f>1000*TableA7!$P$91*TableC3!G43/TableC3!$C$91</f>
        <v>72323.907323840467</v>
      </c>
      <c r="S45" s="1459">
        <f>1000*TableA7!$P$91*TableC3!H43/TableC3!$C$91</f>
        <v>32427.855550896591</v>
      </c>
      <c r="T45" s="1459">
        <f>1000*TableA7!$P$91*TableC3!I43/TableC3!$C$91</f>
        <v>2.7944524797700123</v>
      </c>
      <c r="U45" s="1459">
        <f>1000*TableA7!$P$91*TableC3!J43/TableC3!$C$91</f>
        <v>77805.980782702114</v>
      </c>
      <c r="V45" s="1458">
        <f>1000*TableA7!$P$91*TableC3!K43/TableC3!$C$91</f>
        <v>133780.5106998563</v>
      </c>
      <c r="W45" s="1174">
        <f>1000*TableA7!$P$91*TableC3!L43/TableC3!$C$91</f>
        <v>81093.034721715158</v>
      </c>
      <c r="X45" s="1217">
        <f>1000*TableA7!$P$91*TableC3!M43/TableC3!$C$91</f>
        <v>52687.475978141149</v>
      </c>
    </row>
    <row r="46" spans="1:24" ht="40" customHeight="1" x14ac:dyDescent="0.2">
      <c r="A46" s="958"/>
      <c r="B46" s="7" t="s">
        <v>64</v>
      </c>
      <c r="C46" s="1207">
        <f>1000*TableA7!$P$91*(TableC2!D44+TableC2!O44)/(TableC2!$D$91+TableC2!$O$91)</f>
        <v>102599.15789568896</v>
      </c>
      <c r="D46" s="1207">
        <f>1000*TableA7!$P$91*(TableC2!E44+TableC2!P44)/(TableC2!$D$91+TableC2!$O$91)</f>
        <v>24168.578575766107</v>
      </c>
      <c r="E46" s="245">
        <f>1000*TableA7!$P$91*(TableC2!F44+TableC2!Q44)/(TableC2!$D$91+TableC2!$O$91)</f>
        <v>1314.6666118979697</v>
      </c>
      <c r="F46" s="245">
        <f>1000*TableA7!$P$91*(TableC2!G44+TableC2!R44)/(TableC2!$D$91+TableC2!$O$91)</f>
        <v>483.11237721889592</v>
      </c>
      <c r="G46" s="245">
        <f>1000*TableA7!$P$91*(TableC2!H44+TableC2!S44)/(TableC2!$D$91+TableC2!$O$91)</f>
        <v>8661.3083472477738</v>
      </c>
      <c r="H46" s="245">
        <f>1000*TableA7!$P$91*(TableC2!I44+TableC2!T44)/(TableC2!$D$91+TableC2!$O$91)</f>
        <v>6015.4991953982708</v>
      </c>
      <c r="I46" s="245">
        <f>1000*TableA7!$P$91*(TableC2!J44+TableC2!U44)/(TableC2!$D$91+TableC2!$O$91)</f>
        <v>131.07076394522778</v>
      </c>
      <c r="J46" s="245">
        <f>1000*TableA7!$P$91*(TableC2!K44+TableC2!V44)/(TableC2!$D$91+TableC2!$O$91)</f>
        <v>7562.9212800579689</v>
      </c>
      <c r="K46" s="1207">
        <f>1000*TableA7!$P$91*(TableC2!L44+TableC2!W44)/(TableC2!$D$91+TableC2!$O$91)</f>
        <v>78430.57931992285</v>
      </c>
      <c r="L46" s="245">
        <f>1000*TableA7!$P$91*(TableC2!M44+TableC2!X44)/(TableC2!$D$91+TableC2!$O$91)</f>
        <v>6439.1141485008411</v>
      </c>
      <c r="M46" s="623">
        <f>1000*TableA7!$P$91*(TableC2!N44+TableC2!Y44)/(TableC2!$D$91+TableC2!$O$91)</f>
        <v>71991.465171421994</v>
      </c>
      <c r="N46" s="1207">
        <f>1000*TableA7!$P$91*TableC3!C44/TableC3!$C$91</f>
        <v>63262.528917943157</v>
      </c>
      <c r="O46" s="1207">
        <f>1000*TableA7!$P$91*TableC3!D44/TableC3!$C$91</f>
        <v>6749.7835324544567</v>
      </c>
      <c r="P46" s="1459">
        <f>1000*TableA7!$P$91*TableC3!E44/TableC3!$C$91</f>
        <v>3761.8475550589555</v>
      </c>
      <c r="Q46" s="1459">
        <f>1000*TableA7!$P$91*TableC3!F44/TableC3!$C$91</f>
        <v>1233.5591768474981</v>
      </c>
      <c r="R46" s="1459">
        <f>1000*TableA7!$P$91*TableC3!G44/TableC3!$C$91</f>
        <v>-67.433807822032804</v>
      </c>
      <c r="S46" s="1459">
        <f>1000*TableA7!$P$91*TableC3!H44/TableC3!$C$91</f>
        <v>-184.42734347212144</v>
      </c>
      <c r="T46" s="1459">
        <f>1000*TableA7!$P$91*TableC3!I44/TableC3!$C$91</f>
        <v>0</v>
      </c>
      <c r="U46" s="1459">
        <f>1000*TableA7!$P$91*TableC3!J44/TableC3!$C$91</f>
        <v>2006.2379518421562</v>
      </c>
      <c r="V46" s="1207">
        <f>1000*TableA7!$P$91*TableC3!K44/TableC3!$C$91</f>
        <v>56512.745385488721</v>
      </c>
      <c r="W46" s="245">
        <f>1000*TableA7!$P$91*TableC3!L44/TableC3!$C$91</f>
        <v>0</v>
      </c>
      <c r="X46" s="624">
        <f>1000*TableA7!$P$91*TableC3!M44/TableC3!$C$91</f>
        <v>56512.745385488721</v>
      </c>
    </row>
    <row r="47" spans="1:24" x14ac:dyDescent="0.2">
      <c r="A47" s="958"/>
      <c r="B47" s="1155" t="s">
        <v>65</v>
      </c>
      <c r="C47" s="1458">
        <f>1000*TableA7!$P$91*(TableC2!D45+TableC2!O45)/(TableC2!$D$91+TableC2!$O$91)</f>
        <v>14212.064614009523</v>
      </c>
      <c r="D47" s="1458">
        <f>1000*TableA7!$P$91*(TableC2!E45+TableC2!P45)/(TableC2!$D$91+TableC2!$O$91)</f>
        <v>5267.4280287716601</v>
      </c>
      <c r="E47" s="1459">
        <f>1000*TableA7!$P$91*(TableC2!F45+TableC2!Q45)/(TableC2!$D$91+TableC2!$O$91)</f>
        <v>339.21721308535604</v>
      </c>
      <c r="F47" s="1459">
        <f>1000*TableA7!$P$91*(TableC2!G45+TableC2!R45)/(TableC2!$D$91+TableC2!$O$91)</f>
        <v>8.4277685719684026E-2</v>
      </c>
      <c r="G47" s="1459">
        <f>1000*TableA7!$P$91*(TableC2!H45+TableC2!S45)/(TableC2!$D$91+TableC2!$O$91)</f>
        <v>890.91438861660788</v>
      </c>
      <c r="H47" s="1459">
        <f>1000*TableA7!$P$91*(TableC2!I45+TableC2!T45)/(TableC2!$D$91+TableC2!$O$91)</f>
        <v>956.9795768028215</v>
      </c>
      <c r="I47" s="1459">
        <f>1000*TableA7!$P$91*(TableC2!J45+TableC2!U45)/(TableC2!$D$91+TableC2!$O$91)</f>
        <v>4.3374947318079906</v>
      </c>
      <c r="J47" s="1459">
        <f>1000*TableA7!$P$91*(TableC2!K45+TableC2!V45)/(TableC2!$D$91+TableC2!$O$91)</f>
        <v>3075.8950778493468</v>
      </c>
      <c r="K47" s="1458">
        <f>1000*TableA7!$P$91*(TableC2!L45+TableC2!W45)/(TableC2!$D$91+TableC2!$O$91)</f>
        <v>8944.636585237864</v>
      </c>
      <c r="L47" s="1174">
        <f>1000*TableA7!$P$91*(TableC2!M45+TableC2!X45)/(TableC2!$D$91+TableC2!$O$91)</f>
        <v>734.35051084179634</v>
      </c>
      <c r="M47" s="1235">
        <f>1000*TableA7!$P$91*(TableC2!N45+TableC2!Y45)/(TableC2!$D$91+TableC2!$O$91)</f>
        <v>8210.2860743960682</v>
      </c>
      <c r="N47" s="1458">
        <f>1000*TableA7!$P$91*TableC3!C45/TableC3!$C$91</f>
        <v>6775.7353543263644</v>
      </c>
      <c r="O47" s="1458">
        <f>1000*TableA7!$P$91*TableC3!D45/TableC3!$C$91</f>
        <v>6478.845096053381</v>
      </c>
      <c r="P47" s="1459">
        <f>1000*TableA7!$P$91*TableC3!E45/TableC3!$C$91</f>
        <v>5390.4333747736109</v>
      </c>
      <c r="Q47" s="1459">
        <f>1000*TableA7!$P$91*TableC3!F45/TableC3!$C$91</f>
        <v>5.8645058049907771E-3</v>
      </c>
      <c r="R47" s="1459">
        <f>1000*TableA7!$P$91*TableC3!G45/TableC3!$C$91</f>
        <v>-50.734735147346647</v>
      </c>
      <c r="S47" s="1459">
        <f>1000*TableA7!$P$91*TableC3!H45/TableC3!$C$91</f>
        <v>487.62319952482221</v>
      </c>
      <c r="T47" s="1459">
        <f>1000*TableA7!$P$91*TableC3!I45/TableC3!$C$91</f>
        <v>0</v>
      </c>
      <c r="U47" s="1459">
        <f>1000*TableA7!$P$91*TableC3!J45/TableC3!$C$91</f>
        <v>651.51739239648862</v>
      </c>
      <c r="V47" s="1458">
        <f>1000*TableA7!$P$91*TableC3!K45/TableC3!$C$91</f>
        <v>296.89025827298275</v>
      </c>
      <c r="W47" s="1174">
        <f>1000*TableA7!$P$91*TableC3!L45/TableC3!$C$91</f>
        <v>0</v>
      </c>
      <c r="X47" s="1217">
        <f>1000*TableA7!$P$91*TableC3!M45/TableC3!$C$91</f>
        <v>296.89025827298275</v>
      </c>
    </row>
    <row r="48" spans="1:24" x14ac:dyDescent="0.2">
      <c r="A48" s="329" t="s">
        <v>337</v>
      </c>
      <c r="B48" s="1154" t="s">
        <v>66</v>
      </c>
      <c r="C48" s="1458">
        <f>1000*TableA7!$P$91*(TableC2!D46+TableC2!O46)/(TableC2!$D$91+TableC2!$O$91)</f>
        <v>60525.807931300937</v>
      </c>
      <c r="D48" s="1458">
        <f>1000*TableA7!$P$91*(TableC2!E46+TableC2!P46)/(TableC2!$D$91+TableC2!$O$91)</f>
        <v>6129.6719549179952</v>
      </c>
      <c r="E48" s="1459">
        <f>1000*TableA7!$P$91*(TableC2!F46+TableC2!Q46)/(TableC2!$D$91+TableC2!$O$91)</f>
        <v>371.35817910358179</v>
      </c>
      <c r="F48" s="1459">
        <f>1000*TableA7!$P$91*(TableC2!G46+TableC2!R46)/(TableC2!$D$91+TableC2!$O$91)</f>
        <v>58.572991575180389</v>
      </c>
      <c r="G48" s="1459">
        <f>1000*TableA7!$P$91*(TableC2!H46+TableC2!S46)/(TableC2!$D$91+TableC2!$O$91)</f>
        <v>3076.7859166666258</v>
      </c>
      <c r="H48" s="1459">
        <f>1000*TableA7!$P$91*(TableC2!I46+TableC2!T46)/(TableC2!$D$91+TableC2!$O$91)</f>
        <v>1321.0129909379252</v>
      </c>
      <c r="I48" s="1459">
        <f>1000*TableA7!$P$91*(TableC2!J46+TableC2!U46)/(TableC2!$D$91+TableC2!$O$91)</f>
        <v>3.2411602449649015</v>
      </c>
      <c r="J48" s="1459">
        <f>1000*TableA7!$P$91*(TableC2!K46+TableC2!V46)/(TableC2!$D$91+TableC2!$O$91)</f>
        <v>1298.7007163897183</v>
      </c>
      <c r="K48" s="1458">
        <f>1000*TableA7!$P$91*(TableC2!L46+TableC2!W46)/(TableC2!$D$91+TableC2!$O$91)</f>
        <v>54396.135976382939</v>
      </c>
      <c r="L48" s="1174">
        <f>1000*TableA7!$P$91*(TableC2!M46+TableC2!X46)/(TableC2!$D$91+TableC2!$O$91)</f>
        <v>4465.8975086816627</v>
      </c>
      <c r="M48" s="1235">
        <f>1000*TableA7!$P$91*(TableC2!N46+TableC2!Y46)/(TableC2!$D$91+TableC2!$O$91)</f>
        <v>49930.238467701281</v>
      </c>
      <c r="N48" s="1458">
        <f>1000*TableA7!$P$91*TableC3!C46/TableC3!$C$91</f>
        <v>45517.429910554289</v>
      </c>
      <c r="O48" s="1458">
        <f>1000*TableA7!$P$91*TableC3!D46/TableC3!$C$91</f>
        <v>6.429968574258031</v>
      </c>
      <c r="P48" s="1459">
        <f>1000*TableA7!$P$91*TableC3!E46/TableC3!$C$91</f>
        <v>-984.44212364754083</v>
      </c>
      <c r="Q48" s="1459">
        <f>1000*TableA7!$P$91*TableC3!F46/TableC3!$C$91</f>
        <v>13.171128855386481</v>
      </c>
      <c r="R48" s="1459">
        <f>1000*TableA7!$P$91*TableC3!G46/TableC3!$C$91</f>
        <v>-14.535702061954456</v>
      </c>
      <c r="S48" s="1459">
        <f>1000*TableA7!$P$91*TableC3!H46/TableC3!$C$91</f>
        <v>94.578351022117403</v>
      </c>
      <c r="T48" s="1459">
        <f>1000*TableA7!$P$91*TableC3!I46/TableC3!$C$91</f>
        <v>0</v>
      </c>
      <c r="U48" s="1459">
        <f>1000*TableA7!$P$91*TableC3!J46/TableC3!$C$91</f>
        <v>897.65831440624947</v>
      </c>
      <c r="V48" s="1458">
        <f>1000*TableA7!$P$91*TableC3!K46/TableC3!$C$91</f>
        <v>45510.999941980044</v>
      </c>
      <c r="W48" s="1174">
        <f>1000*TableA7!$P$91*TableC3!L46/TableC3!$C$91</f>
        <v>0</v>
      </c>
      <c r="X48" s="1217">
        <f>1000*TableA7!$P$91*TableC3!M46/TableC3!$C$91</f>
        <v>45510.999941980044</v>
      </c>
    </row>
    <row r="49" spans="1:24" x14ac:dyDescent="0.2">
      <c r="A49" s="958"/>
      <c r="B49" s="1154" t="s">
        <v>67</v>
      </c>
      <c r="C49" s="1458">
        <f>1000*TableA7!$P$91*(TableC2!D47+TableC2!O47)/(TableC2!$D$91+TableC2!$O$91)</f>
        <v>1403.6174395306298</v>
      </c>
      <c r="D49" s="1458">
        <f>1000*TableA7!$P$91*(TableC2!E47+TableC2!P47)/(TableC2!$D$91+TableC2!$O$91)</f>
        <v>572.88147169047193</v>
      </c>
      <c r="E49" s="1459">
        <f>1000*TableA7!$P$91*(TableC2!F47+TableC2!Q47)/(TableC2!$D$91+TableC2!$O$91)</f>
        <v>43.807480493657621</v>
      </c>
      <c r="F49" s="1459">
        <f>1000*TableA7!$P$91*(TableC2!G47+TableC2!R47)/(TableC2!$D$91+TableC2!$O$91)</f>
        <v>11.471609026692352</v>
      </c>
      <c r="G49" s="1459">
        <f>1000*TableA7!$P$91*(TableC2!H47+TableC2!S47)/(TableC2!$D$91+TableC2!$O$91)</f>
        <v>304.58731788211873</v>
      </c>
      <c r="H49" s="1459">
        <f>1000*TableA7!$P$91*(TableC2!I47+TableC2!T47)/(TableC2!$D$91+TableC2!$O$91)</f>
        <v>65.572278886018694</v>
      </c>
      <c r="I49" s="1459">
        <f>1000*TableA7!$P$91*(TableC2!J47+TableC2!U47)/(TableC2!$D$91+TableC2!$O$91)</f>
        <v>55.29014764007659</v>
      </c>
      <c r="J49" s="1459">
        <f>1000*TableA7!$P$91*(TableC2!K47+TableC2!V47)/(TableC2!$D$91+TableC2!$O$91)</f>
        <v>92.152637761907911</v>
      </c>
      <c r="K49" s="1458">
        <f>1000*TableA7!$P$91*(TableC2!L47+TableC2!W47)/(TableC2!$D$91+TableC2!$O$91)</f>
        <v>830.73596784015785</v>
      </c>
      <c r="L49" s="1174">
        <f>1000*TableA7!$P$91*(TableC2!M47+TableC2!X47)/(TableC2!$D$91+TableC2!$O$91)</f>
        <v>68.203037266477253</v>
      </c>
      <c r="M49" s="1235">
        <f>1000*TableA7!$P$91*(TableC2!N47+TableC2!Y47)/(TableC2!$D$91+TableC2!$O$91)</f>
        <v>762.53293057368046</v>
      </c>
      <c r="N49" s="1458">
        <f>1000*TableA7!$P$91*TableC3!C47/TableC3!$C$91</f>
        <v>998.96635671275953</v>
      </c>
      <c r="O49" s="1458">
        <f>1000*TableA7!$P$91*TableC3!D47/TableC3!$C$91</f>
        <v>-2.9477500913507071</v>
      </c>
      <c r="P49" s="1459">
        <f>1000*TableA7!$P$91*TableC3!E47/TableC3!$C$91</f>
        <v>-2.9571053279975761</v>
      </c>
      <c r="Q49" s="1459">
        <f>1000*TableA7!$P$91*TableC3!F47/TableC3!$C$91</f>
        <v>9.355236646869167E-3</v>
      </c>
      <c r="R49" s="1459">
        <f>1000*TableA7!$P$91*TableC3!G47/TableC3!$C$91</f>
        <v>0</v>
      </c>
      <c r="S49" s="1459">
        <f>1000*TableA7!$P$91*TableC3!H47/TableC3!$C$91</f>
        <v>0</v>
      </c>
      <c r="T49" s="1459">
        <f>1000*TableA7!$P$91*TableC3!I47/TableC3!$C$91</f>
        <v>0</v>
      </c>
      <c r="U49" s="1459">
        <f>1000*TableA7!$P$91*TableC3!J47/TableC3!$C$91</f>
        <v>0</v>
      </c>
      <c r="V49" s="1458">
        <f>1000*TableA7!$P$91*TableC3!K47/TableC3!$C$91</f>
        <v>1001.9141068041104</v>
      </c>
      <c r="W49" s="1174">
        <f>1000*TableA7!$P$91*TableC3!L47/TableC3!$C$91</f>
        <v>0</v>
      </c>
      <c r="X49" s="1217">
        <f>1000*TableA7!$P$91*TableC3!M47/TableC3!$C$91</f>
        <v>1001.9141068041104</v>
      </c>
    </row>
    <row r="50" spans="1:24" x14ac:dyDescent="0.2">
      <c r="A50" s="958"/>
      <c r="B50" s="1154" t="s">
        <v>68</v>
      </c>
      <c r="C50" s="1458">
        <f>1000*TableA7!$P$91*(TableC2!D48+TableC2!O48)/(TableC2!$D$91+TableC2!$O$91)</f>
        <v>1057.5199886874607</v>
      </c>
      <c r="D50" s="1458">
        <f>1000*TableA7!$P$91*(TableC2!E48+TableC2!P48)/(TableC2!$D$91+TableC2!$O$91)</f>
        <v>431.62302661610892</v>
      </c>
      <c r="E50" s="1174">
        <f>1000*TableA7!$P$91*(TableC2!F48+TableC2!Q48)/(TableC2!$D$91+TableC2!$O$91)</f>
        <v>33.005635988372184</v>
      </c>
      <c r="F50" s="1174">
        <f>1000*TableA7!$P$91*(TableC2!G48+TableC2!R48)/(TableC2!$D$91+TableC2!$O$91)</f>
        <v>8.6429931023024587</v>
      </c>
      <c r="G50" s="1174">
        <f>1000*TableA7!$P$91*(TableC2!H48+TableC2!S48)/(TableC2!$D$91+TableC2!$O$91)</f>
        <v>229.48359566460999</v>
      </c>
      <c r="H50" s="1174">
        <f>1000*TableA7!$P$91*(TableC2!I48+TableC2!T48)/(TableC2!$D$91+TableC2!$O$91)</f>
        <v>49.403771763438748</v>
      </c>
      <c r="I50" s="1174">
        <f>1000*TableA7!$P$91*(TableC2!J48+TableC2!U48)/(TableC2!$D$91+TableC2!$O$91)</f>
        <v>41.656960550742639</v>
      </c>
      <c r="J50" s="1174">
        <f>1000*TableA7!$P$91*(TableC2!K48+TableC2!V48)/(TableC2!$D$91+TableC2!$O$91)</f>
        <v>69.430069546642926</v>
      </c>
      <c r="K50" s="1458">
        <f>1000*TableA7!$P$91*(TableC2!L48+TableC2!W48)/(TableC2!$D$91+TableC2!$O$91)</f>
        <v>625.89696207135182</v>
      </c>
      <c r="L50" s="1174">
        <f>1000*TableA7!$P$91*(TableC2!M48+TableC2!X48)/(TableC2!$D$91+TableC2!$O$91)</f>
        <v>51.385849995291089</v>
      </c>
      <c r="M50" s="1235">
        <f>1000*TableA7!$P$91*(TableC2!N48+TableC2!Y48)/(TableC2!$D$91+TableC2!$O$91)</f>
        <v>574.51111207606073</v>
      </c>
      <c r="N50" s="1458">
        <f>1000*TableA7!$P$91*TableC3!C48/TableC3!$C$91</f>
        <v>119.20823439778249</v>
      </c>
      <c r="O50" s="1458">
        <f>1000*TableA7!$P$91*TableC3!D48/TableC3!$C$91</f>
        <v>-1.4762833314944745</v>
      </c>
      <c r="P50" s="1174">
        <f>1000*TableA7!$P$91*TableC3!E48/TableC3!$C$91</f>
        <v>-1.4785526639987729</v>
      </c>
      <c r="Q50" s="1174">
        <f>1000*TableA7!$P$91*TableC3!F48/TableC3!$C$91</f>
        <v>2.2693325042984127E-3</v>
      </c>
      <c r="R50" s="1174">
        <f>1000*TableA7!$P$91*TableC3!G48/TableC3!$C$91</f>
        <v>0</v>
      </c>
      <c r="S50" s="1174">
        <f>1000*TableA7!$P$91*TableC3!H48/TableC3!$C$91</f>
        <v>0</v>
      </c>
      <c r="T50" s="1174">
        <f>1000*TableA7!$P$91*TableC3!I48/TableC3!$C$91</f>
        <v>0</v>
      </c>
      <c r="U50" s="1174">
        <f>1000*TableA7!$P$91*TableC3!J48/TableC3!$C$91</f>
        <v>0</v>
      </c>
      <c r="V50" s="1458">
        <f>1000*TableA7!$P$91*TableC3!K48/TableC3!$C$91</f>
        <v>120.68451772927695</v>
      </c>
      <c r="W50" s="1174">
        <f>1000*TableA7!$P$91*TableC3!L48/TableC3!$C$91</f>
        <v>0</v>
      </c>
      <c r="X50" s="1217">
        <f>1000*TableA7!$P$91*TableC3!M48/TableC3!$C$91</f>
        <v>120.68451772927695</v>
      </c>
    </row>
    <row r="51" spans="1:24" ht="14.25" customHeight="1" x14ac:dyDescent="0.2">
      <c r="A51" s="958"/>
      <c r="B51" s="1154" t="s">
        <v>69</v>
      </c>
      <c r="C51" s="1458">
        <f>1000*TableA7!$P$91*(TableC2!D49+TableC2!O49)/(TableC2!$D$91+TableC2!$O$91)</f>
        <v>9476.3990387445938</v>
      </c>
      <c r="D51" s="1458">
        <f>1000*TableA7!$P$91*(TableC2!E49+TableC2!P49)/(TableC2!$D$91+TableC2!$O$91)</f>
        <v>2762.2316274337295</v>
      </c>
      <c r="E51" s="1459">
        <f>1000*TableA7!$P$91*(TableC2!F49+TableC2!Q49)/(TableC2!$D$91+TableC2!$O$91)</f>
        <v>90.297762300830257</v>
      </c>
      <c r="F51" s="1459">
        <f>1000*TableA7!$P$91*(TableC2!G49+TableC2!R49)/(TableC2!$D$91+TableC2!$O$91)</f>
        <v>7.5849917147715615</v>
      </c>
      <c r="G51" s="1459">
        <f>1000*TableA7!$P$91*(TableC2!H49+TableC2!S49)/(TableC2!$D$91+TableC2!$O$91)</f>
        <v>2052.7961140941075</v>
      </c>
      <c r="H51" s="1459">
        <f>1000*TableA7!$P$91*(TableC2!I49+TableC2!T49)/(TableC2!$D$91+TableC2!$O$91)</f>
        <v>136.84646951055055</v>
      </c>
      <c r="I51" s="1459">
        <f>1000*TableA7!$P$91*(TableC2!J49+TableC2!U49)/(TableC2!$D$91+TableC2!$O$91)</f>
        <v>2.3420075135531158</v>
      </c>
      <c r="J51" s="1459">
        <f>1000*TableA7!$P$91*(TableC2!K49+TableC2!V49)/(TableC2!$D$91+TableC2!$O$91)</f>
        <v>472.36428229991668</v>
      </c>
      <c r="K51" s="1458">
        <f>1000*TableA7!$P$91*(TableC2!L49+TableC2!W49)/(TableC2!$D$91+TableC2!$O$91)</f>
        <v>6714.1674113108638</v>
      </c>
      <c r="L51" s="1174">
        <f>1000*TableA7!$P$91*(TableC2!M49+TableC2!X49)/(TableC2!$D$91+TableC2!$O$91)</f>
        <v>551.23002722221349</v>
      </c>
      <c r="M51" s="1235">
        <f>1000*TableA7!$P$91*(TableC2!N49+TableC2!Y49)/(TableC2!$D$91+TableC2!$O$91)</f>
        <v>6162.9373840886501</v>
      </c>
      <c r="N51" s="1458">
        <f>1000*TableA7!$P$91*TableC3!C49/TableC3!$C$91</f>
        <v>4676.8156409217545</v>
      </c>
      <c r="O51" s="1458">
        <f>1000*TableA7!$P$91*TableC3!D49/TableC3!$C$91</f>
        <v>28.82422035170195</v>
      </c>
      <c r="P51" s="1459">
        <f>1000*TableA7!$P$91*TableC3!E49/TableC3!$C$91</f>
        <v>28.043176926202097</v>
      </c>
      <c r="Q51" s="1459">
        <f>1000*TableA7!$P$91*TableC3!F49/TableC3!$C$91</f>
        <v>0.78104342549985128</v>
      </c>
      <c r="R51" s="1459">
        <f>1000*TableA7!$P$91*TableC3!G49/TableC3!$C$91</f>
        <v>0</v>
      </c>
      <c r="S51" s="1459">
        <f>1000*TableA7!$P$91*TableC3!H49/TableC3!$C$91</f>
        <v>0</v>
      </c>
      <c r="T51" s="1459">
        <f>1000*TableA7!$P$91*TableC3!I49/TableC3!$C$91</f>
        <v>0</v>
      </c>
      <c r="U51" s="1459">
        <f>1000*TableA7!$P$91*TableC3!J49/TableC3!$C$91</f>
        <v>0</v>
      </c>
      <c r="V51" s="1458">
        <f>1000*TableA7!$P$91*TableC3!K49/TableC3!$C$91</f>
        <v>4647.9914205700525</v>
      </c>
      <c r="W51" s="1174">
        <f>1000*TableA7!$P$91*TableC3!L49/TableC3!$C$91</f>
        <v>0</v>
      </c>
      <c r="X51" s="1217">
        <f>1000*TableA7!$P$91*TableC3!M49/TableC3!$C$91</f>
        <v>4647.9914205700525</v>
      </c>
    </row>
    <row r="52" spans="1:24" ht="14.25" customHeight="1" x14ac:dyDescent="0.2">
      <c r="A52" s="329" t="s">
        <v>338</v>
      </c>
      <c r="B52" s="1154" t="s">
        <v>70</v>
      </c>
      <c r="C52" s="1458">
        <f>1000*TableA7!$P$91*(TableC2!D50+TableC2!O50)/(TableC2!$D$91+TableC2!$O$91)</f>
        <v>11843.104349333909</v>
      </c>
      <c r="D52" s="1458">
        <f>1000*TableA7!$P$91*(TableC2!E50+TableC2!P50)/(TableC2!$D$91+TableC2!$O$91)</f>
        <v>7268.3665538305768</v>
      </c>
      <c r="E52" s="1459">
        <f>1000*TableA7!$P$91*(TableC2!F50+TableC2!Q50)/(TableC2!$D$91+TableC2!$O$91)</f>
        <v>371.1875899889485</v>
      </c>
      <c r="F52" s="1459">
        <f>1000*TableA7!$P$91*(TableC2!G50+TableC2!R50)/(TableC2!$D$91+TableC2!$O$91)</f>
        <v>390.01329925665482</v>
      </c>
      <c r="G52" s="1459">
        <f>1000*TableA7!$P$91*(TableC2!H50+TableC2!S50)/(TableC2!$D$91+TableC2!$O$91)</f>
        <v>1241.6960070705322</v>
      </c>
      <c r="H52" s="1459">
        <f>1000*TableA7!$P$91*(TableC2!I50+TableC2!T50)/(TableC2!$D$91+TableC2!$O$91)</f>
        <v>3134.9805065173923</v>
      </c>
      <c r="I52" s="1459">
        <f>1000*TableA7!$P$91*(TableC2!J50+TableC2!U50)/(TableC2!$D$91+TableC2!$O$91)</f>
        <v>22.019758563461046</v>
      </c>
      <c r="J52" s="1459">
        <f>1000*TableA7!$P$91*(TableC2!K50+TableC2!V50)/(TableC2!$D$91+TableC2!$O$91)</f>
        <v>2108.469392433587</v>
      </c>
      <c r="K52" s="1458">
        <f>1000*TableA7!$P$91*(TableC2!L50+TableC2!W50)/(TableC2!$D$91+TableC2!$O$91)</f>
        <v>4574.7377955033344</v>
      </c>
      <c r="L52" s="1174">
        <f>1000*TableA7!$P$91*(TableC2!M50+TableC2!X50)/(TableC2!$D$91+TableC2!$O$91)</f>
        <v>375.5838490564912</v>
      </c>
      <c r="M52" s="1235">
        <f>1000*TableA7!$P$91*(TableC2!N50+TableC2!Y50)/(TableC2!$D$91+TableC2!$O$91)</f>
        <v>4199.1539464468433</v>
      </c>
      <c r="N52" s="1458">
        <f>1000*TableA7!$P$91*TableC3!C50/TableC3!$C$91</f>
        <v>754.94450349072804</v>
      </c>
      <c r="O52" s="1458">
        <f>1000*TableA7!$P$91*TableC3!D50/TableC3!$C$91</f>
        <v>717.89514347763361</v>
      </c>
      <c r="P52" s="1459">
        <f>1000*TableA7!$P$91*TableC3!E50/TableC3!$C$91</f>
        <v>-186.48232286971802</v>
      </c>
      <c r="Q52" s="1459">
        <f>1000*TableA7!$P$91*TableC3!F50/TableC3!$C$91</f>
        <v>1215.4759332200499</v>
      </c>
      <c r="R52" s="1459">
        <f>1000*TableA7!$P$91*TableC3!G50/TableC3!$C$91</f>
        <v>-1.5318178930551871</v>
      </c>
      <c r="S52" s="1459">
        <f>1000*TableA7!$P$91*TableC3!H50/TableC3!$C$91</f>
        <v>-766.62889401906102</v>
      </c>
      <c r="T52" s="1459">
        <f>1000*TableA7!$P$91*TableC3!I50/TableC3!$C$91</f>
        <v>0</v>
      </c>
      <c r="U52" s="1459">
        <f>1000*TableA7!$P$91*TableC3!J50/TableC3!$C$91</f>
        <v>457.06224503941792</v>
      </c>
      <c r="V52" s="1458">
        <f>1000*TableA7!$P$91*TableC3!K50/TableC3!$C$91</f>
        <v>37.049360013094351</v>
      </c>
      <c r="W52" s="1174">
        <f>1000*TableA7!$P$91*TableC3!L50/TableC3!$C$91</f>
        <v>0</v>
      </c>
      <c r="X52" s="1217">
        <f>1000*TableA7!$P$91*TableC3!M50/TableC3!$C$91</f>
        <v>37.049360013094351</v>
      </c>
    </row>
    <row r="53" spans="1:24" ht="14.25" customHeight="1" x14ac:dyDescent="0.2">
      <c r="A53" s="958"/>
      <c r="B53" s="1154" t="s">
        <v>71</v>
      </c>
      <c r="C53" s="1458">
        <f>1000*TableA7!$P$91*(TableC2!D51+TableC2!O51)/(TableC2!$D$91+TableC2!$O$91)</f>
        <v>4080.6445340819</v>
      </c>
      <c r="D53" s="1458">
        <f>1000*TableA7!$P$91*(TableC2!E51+TableC2!P51)/(TableC2!$D$91+TableC2!$O$91)</f>
        <v>1736.3759125055637</v>
      </c>
      <c r="E53" s="1459">
        <f>1000*TableA7!$P$91*(TableC2!F51+TableC2!Q51)/(TableC2!$D$91+TableC2!$O$91)</f>
        <v>65.792750937223403</v>
      </c>
      <c r="F53" s="1459">
        <f>1000*TableA7!$P$91*(TableC2!G51+TableC2!R51)/(TableC2!$D$91+TableC2!$O$91)</f>
        <v>6.7422148575747212</v>
      </c>
      <c r="G53" s="1459">
        <f>1000*TableA7!$P$91*(TableC2!H51+TableC2!S51)/(TableC2!$D$91+TableC2!$O$91)</f>
        <v>865.04500725317155</v>
      </c>
      <c r="H53" s="1459">
        <f>1000*TableA7!$P$91*(TableC2!I51+TableC2!T51)/(TableC2!$D$91+TableC2!$O$91)</f>
        <v>350.70360098012389</v>
      </c>
      <c r="I53" s="1459">
        <f>1000*TableA7!$P$91*(TableC2!J51+TableC2!U51)/(TableC2!$D$91+TableC2!$O$91)</f>
        <v>2.1832347006214894</v>
      </c>
      <c r="J53" s="1459">
        <f>1000*TableA7!$P$91*(TableC2!K51+TableC2!V51)/(TableC2!$D$91+TableC2!$O$91)</f>
        <v>445.90910377684901</v>
      </c>
      <c r="K53" s="1458">
        <f>1000*TableA7!$P$91*(TableC2!L51+TableC2!W51)/(TableC2!$D$91+TableC2!$O$91)</f>
        <v>2344.268621576336</v>
      </c>
      <c r="L53" s="1174">
        <f>1000*TableA7!$P$91*(TableC2!M51+TableC2!X51)/(TableC2!$D$91+TableC2!$O$91)</f>
        <v>192.46336543690848</v>
      </c>
      <c r="M53" s="1235">
        <f>1000*TableA7!$P$91*(TableC2!N51+TableC2!Y51)/(TableC2!$D$91+TableC2!$O$91)</f>
        <v>2151.8052561394275</v>
      </c>
      <c r="N53" s="1458">
        <f>1000*TableA7!$P$91*TableC3!C51/TableC3!$C$91</f>
        <v>4419.4289175394879</v>
      </c>
      <c r="O53" s="1458">
        <f>1000*TableA7!$P$91*TableC3!D51/TableC3!$C$91</f>
        <v>-477.78686257967377</v>
      </c>
      <c r="P53" s="1459">
        <f>1000*TableA7!$P$91*TableC3!E51/TableC3!$C$91</f>
        <v>-481.26889213160285</v>
      </c>
      <c r="Q53" s="1459">
        <f>1000*TableA7!$P$91*TableC3!F51/TableC3!$C$91</f>
        <v>4.1135822716056518</v>
      </c>
      <c r="R53" s="1459">
        <f>1000*TableA7!$P$91*TableC3!G51/TableC3!$C$91</f>
        <v>-0.63155271967651427</v>
      </c>
      <c r="S53" s="1459">
        <f>1000*TableA7!$P$91*TableC3!H51/TableC3!$C$91</f>
        <v>0</v>
      </c>
      <c r="T53" s="1459">
        <f>1000*TableA7!$P$91*TableC3!I51/TableC3!$C$91</f>
        <v>0</v>
      </c>
      <c r="U53" s="1459">
        <f>1000*TableA7!$P$91*TableC3!J51/TableC3!$C$91</f>
        <v>0</v>
      </c>
      <c r="V53" s="1458">
        <f>1000*TableA7!$P$91*TableC3!K51/TableC3!$C$91</f>
        <v>4897.2157801191615</v>
      </c>
      <c r="W53" s="1174">
        <f>1000*TableA7!$P$91*TableC3!L51/TableC3!$C$91</f>
        <v>0</v>
      </c>
      <c r="X53" s="1217">
        <f>1000*TableA7!$P$91*TableC3!M51/TableC3!$C$91</f>
        <v>4897.2157801191615</v>
      </c>
    </row>
    <row r="54" spans="1:24" ht="40" hidden="1" customHeight="1" x14ac:dyDescent="0.2">
      <c r="A54" s="958"/>
      <c r="B54" s="7" t="s">
        <v>72</v>
      </c>
      <c r="C54" s="1458">
        <f>1000*TableA7!$P$91*(TableC2!D52+TableC2!O52)/(TableC2!$D$91+TableC2!$O$91)</f>
        <v>0</v>
      </c>
      <c r="D54" s="1206">
        <f>1000*TableA7!$P$91*(TableC2!E52+TableC2!P52)/(TableC2!$D$91+TableC2!$O$91)</f>
        <v>0</v>
      </c>
      <c r="E54" s="245">
        <f>1000*TableA7!$P$91*(TableC2!F52+TableC2!Q52)/(TableC2!$D$91+TableC2!$O$91)</f>
        <v>0</v>
      </c>
      <c r="F54" s="245">
        <f>1000*TableA7!$P$91*(TableC2!G52+TableC2!R52)/(TableC2!$D$91+TableC2!$O$91)</f>
        <v>0</v>
      </c>
      <c r="G54" s="245">
        <f>1000*TableA7!$P$91*(TableC2!H52+TableC2!S52)/(TableC2!$D$91+TableC2!$O$91)</f>
        <v>0</v>
      </c>
      <c r="H54" s="13">
        <f>1000*TableA7!$P$91*(TableC2!I52+TableC2!T52)/(TableC2!$D$91+TableC2!$O$91)</f>
        <v>0</v>
      </c>
      <c r="I54" s="13">
        <f>1000*TableA7!$P$91*(TableC2!J52+TableC2!U52)/(TableC2!$D$91+TableC2!$O$91)</f>
        <v>0</v>
      </c>
      <c r="J54" s="13">
        <f>1000*TableA7!$P$91*(TableC2!K52+TableC2!V52)/(TableC2!$D$91+TableC2!$O$91)</f>
        <v>0</v>
      </c>
      <c r="K54" s="1207">
        <f>1000*TableA7!$P$91*(TableC2!L52+TableC2!W52)/(TableC2!$D$91+TableC2!$O$91)</f>
        <v>0</v>
      </c>
      <c r="L54" s="13">
        <f>1000*TableA7!$P$91*(TableC2!M52+TableC2!X52)/(TableC2!$D$91+TableC2!$O$91)</f>
        <v>0</v>
      </c>
      <c r="M54" s="632">
        <f>1000*TableA7!$P$91*(TableC2!N52+TableC2!Y52)/(TableC2!$D$91+TableC2!$O$91)</f>
        <v>0</v>
      </c>
      <c r="N54" s="299">
        <f>1000*TableA7!$P$91*TableC3!C52/TableC3!$C$91</f>
        <v>117774.18178390477</v>
      </c>
      <c r="O54" s="1206">
        <f>1000*TableA7!$P$91*TableC3!D52/TableC3!$C$91</f>
        <v>28541.445791248236</v>
      </c>
      <c r="P54" s="245">
        <f>1000*TableA7!$P$91*TableC3!E52/TableC3!$C$91</f>
        <v>1558.1195951525021</v>
      </c>
      <c r="Q54" s="245">
        <f>1000*TableA7!$P$91*TableC3!F52/TableC3!$C$91</f>
        <v>840.4091000554713</v>
      </c>
      <c r="R54" s="245">
        <f>1000*TableA7!$P$91*TableC3!G52/TableC3!$C$91</f>
        <v>4629.0536109501336</v>
      </c>
      <c r="S54" s="13">
        <f>1000*TableA7!$P$91*TableC3!H52/TableC3!$C$91</f>
        <v>8172.2690706863887</v>
      </c>
      <c r="T54" s="13">
        <f>1000*TableA7!$P$91*TableC3!I52/TableC3!$C$91</f>
        <v>351.96930198982415</v>
      </c>
      <c r="U54" s="13">
        <f>1000*TableA7!$P$91*TableC3!J52/TableC3!$C$91</f>
        <v>12989.625112413916</v>
      </c>
      <c r="V54" s="1207">
        <f>1000*TableA7!$P$91*TableC3!K52/TableC3!$C$91</f>
        <v>89232.73599265654</v>
      </c>
      <c r="W54" s="13">
        <f>1000*TableA7!$P$91*TableC3!L52/TableC3!$C$91</f>
        <v>0</v>
      </c>
      <c r="X54" s="14">
        <f>1000*TableA7!$P$91*TableC3!M52/TableC3!$C$91</f>
        <v>89232.73599265654</v>
      </c>
    </row>
    <row r="55" spans="1:24" ht="14.25" hidden="1" customHeight="1" x14ac:dyDescent="0.2">
      <c r="A55" s="958"/>
      <c r="B55" s="1154" t="s">
        <v>73</v>
      </c>
      <c r="C55" s="1458">
        <f>1000*TableA7!$P$91*(TableC2!D53+TableC2!O53)/(TableC2!$D$91+TableC2!$O$91)</f>
        <v>0</v>
      </c>
      <c r="D55" s="1206">
        <f>1000*TableA7!$P$91*(TableC2!E53+TableC2!P53)/(TableC2!$D$91+TableC2!$O$91)</f>
        <v>0</v>
      </c>
      <c r="E55" s="1159">
        <f>1000*TableA7!$P$91*(TableC2!F53+TableC2!Q53)/(TableC2!$D$91+TableC2!$O$91)</f>
        <v>0</v>
      </c>
      <c r="F55" s="1159">
        <f>1000*TableA7!$P$91*(TableC2!G53+TableC2!R53)/(TableC2!$D$91+TableC2!$O$91)</f>
        <v>0</v>
      </c>
      <c r="G55" s="1159">
        <f>1000*TableA7!$P$91*(TableC2!H53+TableC2!S53)/(TableC2!$D$91+TableC2!$O$91)</f>
        <v>0</v>
      </c>
      <c r="H55" s="1174">
        <f>1000*TableA7!$P$91*(TableC2!I53+TableC2!T53)/(TableC2!$D$91+TableC2!$O$91)</f>
        <v>0</v>
      </c>
      <c r="I55" s="1174">
        <f>1000*TableA7!$P$91*(TableC2!J53+TableC2!U53)/(TableC2!$D$91+TableC2!$O$91)</f>
        <v>0</v>
      </c>
      <c r="J55" s="1174">
        <f>1000*TableA7!$P$91*(TableC2!K53+TableC2!V53)/(TableC2!$D$91+TableC2!$O$91)</f>
        <v>0</v>
      </c>
      <c r="K55" s="1204">
        <f>1000*TableA7!$P$91*(TableC2!L53+TableC2!W53)/(TableC2!$D$91+TableC2!$O$91)</f>
        <v>0</v>
      </c>
      <c r="L55" s="1174">
        <f>1000*TableA7!$P$91*(TableC2!M53+TableC2!X53)/(TableC2!$D$91+TableC2!$O$91)</f>
        <v>0</v>
      </c>
      <c r="M55" s="1235">
        <f>1000*TableA7!$P$91*(TableC2!N53+TableC2!Y53)/(TableC2!$D$91+TableC2!$O$91)</f>
        <v>0</v>
      </c>
      <c r="N55" s="1465">
        <f>1000*TableA7!$P$91*TableC3!C53/TableC3!$C$91</f>
        <v>0.73772236251187029</v>
      </c>
      <c r="O55" s="1206">
        <f>1000*TableA7!$P$91*TableC3!D53/TableC3!$C$91</f>
        <v>2.1934471652001422E-2</v>
      </c>
      <c r="P55" s="1159">
        <f>1000*TableA7!$P$91*TableC3!E53/TableC3!$C$91</f>
        <v>0</v>
      </c>
      <c r="Q55" s="1159">
        <f>1000*TableA7!$P$91*TableC3!F53/TableC3!$C$91</f>
        <v>2.1934471652001422E-2</v>
      </c>
      <c r="R55" s="1159">
        <f>1000*TableA7!$P$91*TableC3!G53/TableC3!$C$91</f>
        <v>0</v>
      </c>
      <c r="S55" s="1174">
        <f>1000*TableA7!$P$91*TableC3!H53/TableC3!$C$91</f>
        <v>0</v>
      </c>
      <c r="T55" s="1174">
        <f>1000*TableA7!$P$91*TableC3!I53/TableC3!$C$91</f>
        <v>0</v>
      </c>
      <c r="U55" s="1174">
        <f>1000*TableA7!$P$91*TableC3!J53/TableC3!$C$91</f>
        <v>0</v>
      </c>
      <c r="V55" s="1204">
        <f>1000*TableA7!$P$91*TableC3!K53/TableC3!$C$91</f>
        <v>0.71578789085986894</v>
      </c>
      <c r="W55" s="1174">
        <f>1000*TableA7!$P$91*TableC3!L53/TableC3!$C$91</f>
        <v>0</v>
      </c>
      <c r="X55" s="1217">
        <f>1000*TableA7!$P$91*TableC3!M53/TableC3!$C$91</f>
        <v>0.71578789085986894</v>
      </c>
    </row>
    <row r="56" spans="1:24" ht="14.25" hidden="1" customHeight="1" x14ac:dyDescent="0.2">
      <c r="A56" s="958"/>
      <c r="B56" s="1154" t="s">
        <v>74</v>
      </c>
      <c r="C56" s="1458">
        <f>1000*TableA7!$P$91*(TableC2!D54+TableC2!O54)/(TableC2!$D$91+TableC2!$O$91)</f>
        <v>0</v>
      </c>
      <c r="D56" s="1206">
        <f>1000*TableA7!$P$91*(TableC2!E54+TableC2!P54)/(TableC2!$D$91+TableC2!$O$91)</f>
        <v>0</v>
      </c>
      <c r="E56" s="1159">
        <f>1000*TableA7!$P$91*(TableC2!F54+TableC2!Q54)/(TableC2!$D$91+TableC2!$O$91)</f>
        <v>0</v>
      </c>
      <c r="F56" s="1159">
        <f>1000*TableA7!$P$91*(TableC2!G54+TableC2!R54)/(TableC2!$D$91+TableC2!$O$91)</f>
        <v>0</v>
      </c>
      <c r="G56" s="1159">
        <f>1000*TableA7!$P$91*(TableC2!H54+TableC2!S54)/(TableC2!$D$91+TableC2!$O$91)</f>
        <v>0</v>
      </c>
      <c r="H56" s="1174">
        <f>1000*TableA7!$P$91*(TableC2!I54+TableC2!T54)/(TableC2!$D$91+TableC2!$O$91)</f>
        <v>0</v>
      </c>
      <c r="I56" s="1174">
        <f>1000*TableA7!$P$91*(TableC2!J54+TableC2!U54)/(TableC2!$D$91+TableC2!$O$91)</f>
        <v>0</v>
      </c>
      <c r="J56" s="1174">
        <f>1000*TableA7!$P$91*(TableC2!K54+TableC2!V54)/(TableC2!$D$91+TableC2!$O$91)</f>
        <v>0</v>
      </c>
      <c r="K56" s="1204">
        <f>1000*TableA7!$P$91*(TableC2!L54+TableC2!W54)/(TableC2!$D$91+TableC2!$O$91)</f>
        <v>0</v>
      </c>
      <c r="L56" s="1174">
        <f>1000*TableA7!$P$91*(TableC2!M54+TableC2!X54)/(TableC2!$D$91+TableC2!$O$91)</f>
        <v>0</v>
      </c>
      <c r="M56" s="1235">
        <f>1000*TableA7!$P$91*(TableC2!N54+TableC2!Y54)/(TableC2!$D$91+TableC2!$O$91)</f>
        <v>0</v>
      </c>
      <c r="N56" s="1465">
        <f>1000*TableA7!$P$91*TableC3!C54/TableC3!$C$91</f>
        <v>65.026064737770454</v>
      </c>
      <c r="O56" s="1206">
        <f>1000*TableA7!$P$91*TableC3!D54/TableC3!$C$91</f>
        <v>2.751379621301057E-3</v>
      </c>
      <c r="P56" s="1159">
        <f>1000*TableA7!$P$91*TableC3!E54/TableC3!$C$91</f>
        <v>0</v>
      </c>
      <c r="Q56" s="1159">
        <f>1000*TableA7!$P$91*TableC3!F54/TableC3!$C$91</f>
        <v>2.751379621301057E-3</v>
      </c>
      <c r="R56" s="1159">
        <f>1000*TableA7!$P$91*TableC3!G54/TableC3!$C$91</f>
        <v>0</v>
      </c>
      <c r="S56" s="1174">
        <f>1000*TableA7!$P$91*TableC3!H54/TableC3!$C$91</f>
        <v>0</v>
      </c>
      <c r="T56" s="1174">
        <f>1000*TableA7!$P$91*TableC3!I54/TableC3!$C$91</f>
        <v>0</v>
      </c>
      <c r="U56" s="1174">
        <f>1000*TableA7!$P$91*TableC3!J54/TableC3!$C$91</f>
        <v>0</v>
      </c>
      <c r="V56" s="1204">
        <f>1000*TableA7!$P$91*TableC3!K54/TableC3!$C$91</f>
        <v>65.023313358149153</v>
      </c>
      <c r="W56" s="1174">
        <f>1000*TableA7!$P$91*TableC3!L54/TableC3!$C$91</f>
        <v>0</v>
      </c>
      <c r="X56" s="1217">
        <f>1000*TableA7!$P$91*TableC3!M54/TableC3!$C$91</f>
        <v>65.023313358149153</v>
      </c>
    </row>
    <row r="57" spans="1:24" ht="14.25" hidden="1" customHeight="1" x14ac:dyDescent="0.2">
      <c r="A57" s="958"/>
      <c r="B57" s="1154" t="str">
        <f>+TableA1!A56</f>
        <v>Antigua and Barbuda</v>
      </c>
      <c r="C57" s="1458">
        <f>1000*TableA7!$P$91*(TableC2!D55+TableC2!O55)/(TableC2!$D$91+TableC2!$O$91)</f>
        <v>0</v>
      </c>
      <c r="D57" s="1206">
        <f>1000*TableA7!$P$91*(TableC2!E55+TableC2!P55)/(TableC2!$D$91+TableC2!$O$91)</f>
        <v>0</v>
      </c>
      <c r="E57" s="1159">
        <f>1000*TableA7!$P$91*(TableC2!F55+TableC2!Q55)/(TableC2!$D$91+TableC2!$O$91)</f>
        <v>0</v>
      </c>
      <c r="F57" s="1159">
        <f>1000*TableA7!$P$91*(TableC2!G55+TableC2!R55)/(TableC2!$D$91+TableC2!$O$91)</f>
        <v>0</v>
      </c>
      <c r="G57" s="1159">
        <f>1000*TableA7!$P$91*(TableC2!H55+TableC2!S55)/(TableC2!$D$91+TableC2!$O$91)</f>
        <v>0</v>
      </c>
      <c r="H57" s="1174">
        <f>1000*TableA7!$P$91*(TableC2!I55+TableC2!T55)/(TableC2!$D$91+TableC2!$O$91)</f>
        <v>0</v>
      </c>
      <c r="I57" s="1174">
        <f>1000*TableA7!$P$91*(TableC2!J55+TableC2!U55)/(TableC2!$D$91+TableC2!$O$91)</f>
        <v>0</v>
      </c>
      <c r="J57" s="1174">
        <f>1000*TableA7!$P$91*(TableC2!K55+TableC2!V55)/(TableC2!$D$91+TableC2!$O$91)</f>
        <v>0</v>
      </c>
      <c r="K57" s="1204">
        <f>1000*TableA7!$P$91*(TableC2!L55+TableC2!W55)/(TableC2!$D$91+TableC2!$O$91)</f>
        <v>0</v>
      </c>
      <c r="L57" s="1174">
        <f>1000*TableA7!$P$91*(TableC2!M55+TableC2!X55)/(TableC2!$D$91+TableC2!$O$91)</f>
        <v>0</v>
      </c>
      <c r="M57" s="1235">
        <f>1000*TableA7!$P$91*(TableC2!N55+TableC2!Y55)/(TableC2!$D$91+TableC2!$O$91)</f>
        <v>0</v>
      </c>
      <c r="N57" s="1465">
        <f>1000*TableA7!$P$91*TableC3!C55/TableC3!$C$91</f>
        <v>4.0389093270906518</v>
      </c>
      <c r="O57" s="1206">
        <f>1000*TableA7!$P$91*TableC3!D55/TableC3!$C$91</f>
        <v>8.4497653735671804E-3</v>
      </c>
      <c r="P57" s="1159">
        <f>1000*TableA7!$P$91*TableC3!E55/TableC3!$C$91</f>
        <v>0</v>
      </c>
      <c r="Q57" s="1159">
        <f>1000*TableA7!$P$91*TableC3!F55/TableC3!$C$91</f>
        <v>8.4497653735671804E-3</v>
      </c>
      <c r="R57" s="1159">
        <f>1000*TableA7!$P$91*TableC3!G55/TableC3!$C$91</f>
        <v>0</v>
      </c>
      <c r="S57" s="1174">
        <f>1000*TableA7!$P$91*TableC3!H55/TableC3!$C$91</f>
        <v>0</v>
      </c>
      <c r="T57" s="1174">
        <f>1000*TableA7!$P$91*TableC3!I55/TableC3!$C$91</f>
        <v>0</v>
      </c>
      <c r="U57" s="1174">
        <f>1000*TableA7!$P$91*TableC3!J55/TableC3!$C$91</f>
        <v>0</v>
      </c>
      <c r="V57" s="1204">
        <f>1000*TableA7!$P$91*TableC3!K55/TableC3!$C$91</f>
        <v>4.030459561717084</v>
      </c>
      <c r="W57" s="1174">
        <f>1000*TableA7!$P$91*TableC3!L55/TableC3!$C$91</f>
        <v>0</v>
      </c>
      <c r="X57" s="1217">
        <f>1000*TableA7!$P$91*TableC3!M55/TableC3!$C$91</f>
        <v>4.030459561717084</v>
      </c>
    </row>
    <row r="58" spans="1:24" ht="14.25" hidden="1" customHeight="1" x14ac:dyDescent="0.2">
      <c r="A58" s="958"/>
      <c r="B58" s="1154" t="s">
        <v>76</v>
      </c>
      <c r="C58" s="1458">
        <f>1000*TableA7!$P$91*(TableC2!D56+TableC2!O56)/(TableC2!$D$91+TableC2!$O$91)</f>
        <v>0</v>
      </c>
      <c r="D58" s="1206">
        <f>1000*TableA7!$P$91*(TableC2!E56+TableC2!P56)/(TableC2!$D$91+TableC2!$O$91)</f>
        <v>0</v>
      </c>
      <c r="E58" s="1159">
        <f>1000*TableA7!$P$91*(TableC2!F56+TableC2!Q56)/(TableC2!$D$91+TableC2!$O$91)</f>
        <v>0</v>
      </c>
      <c r="F58" s="1159">
        <f>1000*TableA7!$P$91*(TableC2!G56+TableC2!R56)/(TableC2!$D$91+TableC2!$O$91)</f>
        <v>0</v>
      </c>
      <c r="G58" s="1159">
        <f>1000*TableA7!$P$91*(TableC2!H56+TableC2!S56)/(TableC2!$D$91+TableC2!$O$91)</f>
        <v>0</v>
      </c>
      <c r="H58" s="1174">
        <f>1000*TableA7!$P$91*(TableC2!I56+TableC2!T56)/(TableC2!$D$91+TableC2!$O$91)</f>
        <v>0</v>
      </c>
      <c r="I58" s="1174">
        <f>1000*TableA7!$P$91*(TableC2!J56+TableC2!U56)/(TableC2!$D$91+TableC2!$O$91)</f>
        <v>0</v>
      </c>
      <c r="J58" s="1174">
        <f>1000*TableA7!$P$91*(TableC2!K56+TableC2!V56)/(TableC2!$D$91+TableC2!$O$91)</f>
        <v>0</v>
      </c>
      <c r="K58" s="1204">
        <f>1000*TableA7!$P$91*(TableC2!L56+TableC2!W56)/(TableC2!$D$91+TableC2!$O$91)</f>
        <v>0</v>
      </c>
      <c r="L58" s="1174">
        <f>1000*TableA7!$P$91*(TableC2!M56+TableC2!X56)/(TableC2!$D$91+TableC2!$O$91)</f>
        <v>0</v>
      </c>
      <c r="M58" s="1235">
        <f>1000*TableA7!$P$91*(TableC2!N56+TableC2!Y56)/(TableC2!$D$91+TableC2!$O$91)</f>
        <v>0</v>
      </c>
      <c r="N58" s="1465">
        <f>1000*TableA7!$P$91*TableC3!C56/TableC3!$C$91</f>
        <v>37.550586458025059</v>
      </c>
      <c r="O58" s="1206">
        <f>1000*TableA7!$P$91*TableC3!D56/TableC3!$C$91</f>
        <v>0</v>
      </c>
      <c r="P58" s="1159">
        <f>1000*TableA7!$P$91*TableC3!E56/TableC3!$C$91</f>
        <v>0</v>
      </c>
      <c r="Q58" s="1159">
        <f>1000*TableA7!$P$91*TableC3!F56/TableC3!$C$91</f>
        <v>0</v>
      </c>
      <c r="R58" s="1159">
        <f>1000*TableA7!$P$91*TableC3!G56/TableC3!$C$91</f>
        <v>0</v>
      </c>
      <c r="S58" s="1174">
        <f>1000*TableA7!$P$91*TableC3!H56/TableC3!$C$91</f>
        <v>0</v>
      </c>
      <c r="T58" s="1174">
        <f>1000*TableA7!$P$91*TableC3!I56/TableC3!$C$91</f>
        <v>0</v>
      </c>
      <c r="U58" s="1174">
        <f>1000*TableA7!$P$91*TableC3!J56/TableC3!$C$91</f>
        <v>0</v>
      </c>
      <c r="V58" s="1204">
        <f>1000*TableA7!$P$91*TableC3!K56/TableC3!$C$91</f>
        <v>37.550586458025059</v>
      </c>
      <c r="W58" s="1174">
        <f>1000*TableA7!$P$91*TableC3!L56/TableC3!$C$91</f>
        <v>0</v>
      </c>
      <c r="X58" s="1217">
        <f>1000*TableA7!$P$91*TableC3!M56/TableC3!$C$91</f>
        <v>37.550586458025059</v>
      </c>
    </row>
    <row r="59" spans="1:24" ht="14.25" hidden="1" customHeight="1" x14ac:dyDescent="0.2">
      <c r="A59" s="329" t="s">
        <v>77</v>
      </c>
      <c r="B59" s="1154" t="s">
        <v>152</v>
      </c>
      <c r="C59" s="1458">
        <f>1000*TableA7!$P$91*(TableC2!D57+TableC2!O57)/(TableC2!$D$91+TableC2!$O$91)</f>
        <v>0</v>
      </c>
      <c r="D59" s="1206">
        <f>1000*TableA7!$P$91*(TableC2!E57+TableC2!P57)/(TableC2!$D$91+TableC2!$O$91)</f>
        <v>0</v>
      </c>
      <c r="E59" s="1159">
        <f>1000*TableA7!$P$91*(TableC2!F57+TableC2!Q57)/(TableC2!$D$91+TableC2!$O$91)</f>
        <v>0</v>
      </c>
      <c r="F59" s="1159">
        <f>1000*TableA7!$P$91*(TableC2!G57+TableC2!R57)/(TableC2!$D$91+TableC2!$O$91)</f>
        <v>0</v>
      </c>
      <c r="G59" s="1159">
        <f>1000*TableA7!$P$91*(TableC2!H57+TableC2!S57)/(TableC2!$D$91+TableC2!$O$91)</f>
        <v>0</v>
      </c>
      <c r="H59" s="1174">
        <f>1000*TableA7!$P$91*(TableC2!I57+TableC2!T57)/(TableC2!$D$91+TableC2!$O$91)</f>
        <v>0</v>
      </c>
      <c r="I59" s="1174">
        <f>1000*TableA7!$P$91*(TableC2!J57+TableC2!U57)/(TableC2!$D$91+TableC2!$O$91)</f>
        <v>0</v>
      </c>
      <c r="J59" s="1174">
        <f>1000*TableA7!$P$91*(TableC2!K57+TableC2!V57)/(TableC2!$D$91+TableC2!$O$91)</f>
        <v>0</v>
      </c>
      <c r="K59" s="1204">
        <f>1000*TableA7!$P$91*(TableC2!L57+TableC2!W57)/(TableC2!$D$91+TableC2!$O$91)</f>
        <v>0</v>
      </c>
      <c r="L59" s="1174">
        <f>1000*TableA7!$P$91*(TableC2!M57+TableC2!X57)/(TableC2!$D$91+TableC2!$O$91)</f>
        <v>0</v>
      </c>
      <c r="M59" s="1235">
        <f>1000*TableA7!$P$91*(TableC2!N57+TableC2!Y57)/(TableC2!$D$91+TableC2!$O$91)</f>
        <v>0</v>
      </c>
      <c r="N59" s="1465">
        <f>1000*TableA7!$P$91*TableC3!C57/TableC3!$C$91</f>
        <v>470.33211303475895</v>
      </c>
      <c r="O59" s="1206">
        <f>1000*TableA7!$P$91*TableC3!D57/TableC3!$C$91</f>
        <v>119.0006905971962</v>
      </c>
      <c r="P59" s="1159">
        <f>1000*TableA7!$P$91*TableC3!E57/TableC3!$C$91</f>
        <v>0</v>
      </c>
      <c r="Q59" s="1159">
        <f>1000*TableA7!$P$91*TableC3!F57/TableC3!$C$91</f>
        <v>0</v>
      </c>
      <c r="R59" s="1159">
        <f>1000*TableA7!$P$91*TableC3!G57/TableC3!$C$91</f>
        <v>0</v>
      </c>
      <c r="S59" s="1174">
        <f>1000*TableA7!$P$91*TableC3!H57/TableC3!$C$91</f>
        <v>119.0006905971962</v>
      </c>
      <c r="T59" s="1174">
        <f>1000*TableA7!$P$91*TableC3!I57/TableC3!$C$91</f>
        <v>0</v>
      </c>
      <c r="U59" s="1174">
        <f>1000*TableA7!$P$91*TableC3!J57/TableC3!$C$91</f>
        <v>0</v>
      </c>
      <c r="V59" s="1204">
        <f>1000*TableA7!$P$91*TableC3!K57/TableC3!$C$91</f>
        <v>351.33142243756276</v>
      </c>
      <c r="W59" s="1174">
        <f>1000*TableA7!$P$91*TableC3!L57/TableC3!$C$91</f>
        <v>0</v>
      </c>
      <c r="X59" s="1217">
        <f>1000*TableA7!$P$91*TableC3!M57/TableC3!$C$91</f>
        <v>351.33142243756276</v>
      </c>
    </row>
    <row r="60" spans="1:24" ht="14.25" hidden="1" customHeight="1" x14ac:dyDescent="0.2">
      <c r="A60" s="329" t="s">
        <v>340</v>
      </c>
      <c r="B60" s="1154" t="s">
        <v>78</v>
      </c>
      <c r="C60" s="1458">
        <f>1000*TableA7!$P$91*(TableC2!D58+TableC2!O58)/(TableC2!$D$91+TableC2!$O$91)</f>
        <v>0</v>
      </c>
      <c r="D60" s="1206">
        <f>1000*TableA7!$P$91*(TableC2!E58+TableC2!P58)/(TableC2!$D$91+TableC2!$O$91)</f>
        <v>0</v>
      </c>
      <c r="E60" s="1159">
        <f>1000*TableA7!$P$91*(TableC2!F58+TableC2!Q58)/(TableC2!$D$91+TableC2!$O$91)</f>
        <v>0</v>
      </c>
      <c r="F60" s="1159">
        <f>1000*TableA7!$P$91*(TableC2!G58+TableC2!R58)/(TableC2!$D$91+TableC2!$O$91)</f>
        <v>0</v>
      </c>
      <c r="G60" s="1159">
        <f>1000*TableA7!$P$91*(TableC2!H58+TableC2!S58)/(TableC2!$D$91+TableC2!$O$91)</f>
        <v>0</v>
      </c>
      <c r="H60" s="1174">
        <f>1000*TableA7!$P$91*(TableC2!I58+TableC2!T58)/(TableC2!$D$91+TableC2!$O$91)</f>
        <v>0</v>
      </c>
      <c r="I60" s="1174">
        <f>1000*TableA7!$P$91*(TableC2!J58+TableC2!U58)/(TableC2!$D$91+TableC2!$O$91)</f>
        <v>0</v>
      </c>
      <c r="J60" s="1174">
        <f>1000*TableA7!$P$91*(TableC2!K58+TableC2!V58)/(TableC2!$D$91+TableC2!$O$91)</f>
        <v>0</v>
      </c>
      <c r="K60" s="1204">
        <f>1000*TableA7!$P$91*(TableC2!L58+TableC2!W58)/(TableC2!$D$91+TableC2!$O$91)</f>
        <v>0</v>
      </c>
      <c r="L60" s="1174">
        <f>1000*TableA7!$P$91*(TableC2!M58+TableC2!X58)/(TableC2!$D$91+TableC2!$O$91)</f>
        <v>0</v>
      </c>
      <c r="M60" s="1235">
        <f>1000*TableA7!$P$91*(TableC2!N58+TableC2!Y58)/(TableC2!$D$91+TableC2!$O$91)</f>
        <v>0</v>
      </c>
      <c r="N60" s="1465">
        <f>1000*TableA7!$P$91*TableC3!C58/TableC3!$C$91</f>
        <v>246.9758327614029</v>
      </c>
      <c r="O60" s="1206">
        <f>1000*TableA7!$P$91*TableC3!D58/TableC3!$C$91</f>
        <v>-58.729532920452677</v>
      </c>
      <c r="P60" s="1159">
        <f>1000*TableA7!$P$91*TableC3!E58/TableC3!$C$91</f>
        <v>-60.620659223948998</v>
      </c>
      <c r="Q60" s="1159">
        <f>1000*TableA7!$P$91*TableC3!F58/TableC3!$C$91</f>
        <v>2.0314713523133228</v>
      </c>
      <c r="R60" s="1159">
        <f>1000*TableA7!$P$91*TableC3!G58/TableC3!$C$91</f>
        <v>-0.14034504881700322</v>
      </c>
      <c r="S60" s="1174">
        <f>1000*TableA7!$P$91*TableC3!H58/TableC3!$C$91</f>
        <v>0</v>
      </c>
      <c r="T60" s="1174">
        <f>1000*TableA7!$P$91*TableC3!I58/TableC3!$C$91</f>
        <v>0</v>
      </c>
      <c r="U60" s="1174">
        <f>1000*TableA7!$P$91*TableC3!J58/TableC3!$C$91</f>
        <v>0</v>
      </c>
      <c r="V60" s="1204">
        <f>1000*TableA7!$P$91*TableC3!K58/TableC3!$C$91</f>
        <v>305.7053656818556</v>
      </c>
      <c r="W60" s="1174">
        <f>1000*TableA7!$P$91*TableC3!L58/TableC3!$C$91</f>
        <v>0</v>
      </c>
      <c r="X60" s="1217">
        <f>1000*TableA7!$P$91*TableC3!M58/TableC3!$C$91</f>
        <v>305.7053656818556</v>
      </c>
    </row>
    <row r="61" spans="1:24" ht="14.25" hidden="1" customHeight="1" x14ac:dyDescent="0.2">
      <c r="A61" s="958"/>
      <c r="B61" s="1154" t="str">
        <f>+TableA1!A60</f>
        <v>Barbados</v>
      </c>
      <c r="C61" s="1458">
        <f>1000*TableA7!$P$91*(TableC2!D59+TableC2!O59)/(TableC2!$D$91+TableC2!$O$91)</f>
        <v>0</v>
      </c>
      <c r="D61" s="1206">
        <f>1000*TableA7!$P$91*(TableC2!E59+TableC2!P59)/(TableC2!$D$91+TableC2!$O$91)</f>
        <v>0</v>
      </c>
      <c r="E61" s="1159">
        <f>1000*TableA7!$P$91*(TableC2!F59+TableC2!Q59)/(TableC2!$D$91+TableC2!$O$91)</f>
        <v>0</v>
      </c>
      <c r="F61" s="1159">
        <f>1000*TableA7!$P$91*(TableC2!G59+TableC2!R59)/(TableC2!$D$91+TableC2!$O$91)</f>
        <v>0</v>
      </c>
      <c r="G61" s="1159">
        <f>1000*TableA7!$P$91*(TableC2!H59+TableC2!S59)/(TableC2!$D$91+TableC2!$O$91)</f>
        <v>0</v>
      </c>
      <c r="H61" s="1174">
        <f>1000*TableA7!$P$91*(TableC2!I59+TableC2!T59)/(TableC2!$D$91+TableC2!$O$91)</f>
        <v>0</v>
      </c>
      <c r="I61" s="1174">
        <f>1000*TableA7!$P$91*(TableC2!J59+TableC2!U59)/(TableC2!$D$91+TableC2!$O$91)</f>
        <v>0</v>
      </c>
      <c r="J61" s="1174">
        <f>1000*TableA7!$P$91*(TableC2!K59+TableC2!V59)/(TableC2!$D$91+TableC2!$O$91)</f>
        <v>0</v>
      </c>
      <c r="K61" s="1204">
        <f>1000*TableA7!$P$91*(TableC2!L59+TableC2!W59)/(TableC2!$D$91+TableC2!$O$91)</f>
        <v>0</v>
      </c>
      <c r="L61" s="1174">
        <f>1000*TableA7!$P$91*(TableC2!M59+TableC2!X59)/(TableC2!$D$91+TableC2!$O$91)</f>
        <v>0</v>
      </c>
      <c r="M61" s="1235">
        <f>1000*TableA7!$P$91*(TableC2!N59+TableC2!Y59)/(TableC2!$D$91+TableC2!$O$91)</f>
        <v>0</v>
      </c>
      <c r="N61" s="1465">
        <f>1000*TableA7!$P$91*TableC3!C59/TableC3!$C$91</f>
        <v>65.838727147551538</v>
      </c>
      <c r="O61" s="1206">
        <f>1000*TableA7!$P$91*TableC3!D59/TableC3!$C$91</f>
        <v>7.2430099040587832</v>
      </c>
      <c r="P61" s="1159">
        <f>1000*TableA7!$P$91*TableC3!E59/TableC3!$C$91</f>
        <v>0</v>
      </c>
      <c r="Q61" s="1159">
        <f>1000*TableA7!$P$91*TableC3!F59/TableC3!$C$91</f>
        <v>4.0712118007945124</v>
      </c>
      <c r="R61" s="1159">
        <f>1000*TableA7!$P$91*TableC3!G59/TableC3!$C$91</f>
        <v>3.1717981032642713</v>
      </c>
      <c r="S61" s="1174">
        <f>1000*TableA7!$P$91*TableC3!H59/TableC3!$C$91</f>
        <v>0</v>
      </c>
      <c r="T61" s="1174">
        <f>1000*TableA7!$P$91*TableC3!I59/TableC3!$C$91</f>
        <v>0</v>
      </c>
      <c r="U61" s="1174">
        <f>1000*TableA7!$P$91*TableC3!J59/TableC3!$C$91</f>
        <v>0</v>
      </c>
      <c r="V61" s="1204">
        <f>1000*TableA7!$P$91*TableC3!K59/TableC3!$C$91</f>
        <v>58.595717243492757</v>
      </c>
      <c r="W61" s="1174">
        <f>1000*TableA7!$P$91*TableC3!L59/TableC3!$C$91</f>
        <v>0</v>
      </c>
      <c r="X61" s="1217">
        <f>1000*TableA7!$P$91*TableC3!M59/TableC3!$C$91</f>
        <v>58.595717243492757</v>
      </c>
    </row>
    <row r="62" spans="1:24" ht="14.25" hidden="1" customHeight="1" x14ac:dyDescent="0.2">
      <c r="A62" s="958"/>
      <c r="B62" s="1154" t="s">
        <v>80</v>
      </c>
      <c r="C62" s="1458">
        <f>1000*TableA7!$P$91*(TableC2!D60+TableC2!O60)/(TableC2!$D$91+TableC2!$O$91)</f>
        <v>0</v>
      </c>
      <c r="D62" s="1206">
        <f>1000*TableA7!$P$91*(TableC2!E60+TableC2!P60)/(TableC2!$D$91+TableC2!$O$91)</f>
        <v>0</v>
      </c>
      <c r="E62" s="1159">
        <f>1000*TableA7!$P$91*(TableC2!F60+TableC2!Q60)/(TableC2!$D$91+TableC2!$O$91)</f>
        <v>0</v>
      </c>
      <c r="F62" s="1159">
        <f>1000*TableA7!$P$91*(TableC2!G60+TableC2!R60)/(TableC2!$D$91+TableC2!$O$91)</f>
        <v>0</v>
      </c>
      <c r="G62" s="1159">
        <f>1000*TableA7!$P$91*(TableC2!H60+TableC2!S60)/(TableC2!$D$91+TableC2!$O$91)</f>
        <v>0</v>
      </c>
      <c r="H62" s="1174">
        <f>1000*TableA7!$P$91*(TableC2!I60+TableC2!T60)/(TableC2!$D$91+TableC2!$O$91)</f>
        <v>0</v>
      </c>
      <c r="I62" s="1174">
        <f>1000*TableA7!$P$91*(TableC2!J60+TableC2!U60)/(TableC2!$D$91+TableC2!$O$91)</f>
        <v>0</v>
      </c>
      <c r="J62" s="1174">
        <f>1000*TableA7!$P$91*(TableC2!K60+TableC2!V60)/(TableC2!$D$91+TableC2!$O$91)</f>
        <v>0</v>
      </c>
      <c r="K62" s="1204">
        <f>1000*TableA7!$P$91*(TableC2!L60+TableC2!W60)/(TableC2!$D$91+TableC2!$O$91)</f>
        <v>0</v>
      </c>
      <c r="L62" s="1174">
        <f>1000*TableA7!$P$91*(TableC2!M60+TableC2!X60)/(TableC2!$D$91+TableC2!$O$91)</f>
        <v>0</v>
      </c>
      <c r="M62" s="1235">
        <f>1000*TableA7!$P$91*(TableC2!N60+TableC2!Y60)/(TableC2!$D$91+TableC2!$O$91)</f>
        <v>0</v>
      </c>
      <c r="N62" s="1465">
        <f>1000*TableA7!$P$91*TableC3!C60/TableC3!$C$91</f>
        <v>1.6035166873960216</v>
      </c>
      <c r="O62" s="1206">
        <f>1000*TableA7!$P$91*TableC3!D60/TableC3!$C$91</f>
        <v>2.4556526865550859E-2</v>
      </c>
      <c r="P62" s="1159">
        <f>1000*TableA7!$P$91*TableC3!E60/TableC3!$C$91</f>
        <v>0</v>
      </c>
      <c r="Q62" s="1159">
        <f>1000*TableA7!$P$91*TableC3!F60/TableC3!$C$91</f>
        <v>0</v>
      </c>
      <c r="R62" s="1159">
        <f>1000*TableA7!$P$91*TableC3!G60/TableC3!$C$91</f>
        <v>0</v>
      </c>
      <c r="S62" s="1174">
        <f>1000*TableA7!$P$91*TableC3!H60/TableC3!$C$91</f>
        <v>0</v>
      </c>
      <c r="T62" s="1174">
        <f>1000*TableA7!$P$91*TableC3!I60/TableC3!$C$91</f>
        <v>2.4556526865550859E-2</v>
      </c>
      <c r="U62" s="1174">
        <f>1000*TableA7!$P$91*TableC3!J60/TableC3!$C$91</f>
        <v>0</v>
      </c>
      <c r="V62" s="1204">
        <f>1000*TableA7!$P$91*TableC3!K60/TableC3!$C$91</f>
        <v>1.5789601605304706</v>
      </c>
      <c r="W62" s="1174">
        <f>1000*TableA7!$P$91*TableC3!L60/TableC3!$C$91</f>
        <v>0</v>
      </c>
      <c r="X62" s="1217">
        <f>1000*TableA7!$P$91*TableC3!M60/TableC3!$C$91</f>
        <v>1.5789601605304706</v>
      </c>
    </row>
    <row r="63" spans="1:24" ht="14.25" hidden="1" customHeight="1" x14ac:dyDescent="0.2">
      <c r="A63" s="958"/>
      <c r="B63" s="1154" t="s">
        <v>81</v>
      </c>
      <c r="C63" s="1458">
        <f>1000*TableA7!$P$91*(TableC2!D61+TableC2!O61)/(TableC2!$D$91+TableC2!$O$91)</f>
        <v>0</v>
      </c>
      <c r="D63" s="1206">
        <f>1000*TableA7!$P$91*(TableC2!E61+TableC2!P61)/(TableC2!$D$91+TableC2!$O$91)</f>
        <v>0</v>
      </c>
      <c r="E63" s="1159">
        <f>1000*TableA7!$P$91*(TableC2!F61+TableC2!Q61)/(TableC2!$D$91+TableC2!$O$91)</f>
        <v>0</v>
      </c>
      <c r="F63" s="1159">
        <f>1000*TableA7!$P$91*(TableC2!G61+TableC2!R61)/(TableC2!$D$91+TableC2!$O$91)</f>
        <v>0</v>
      </c>
      <c r="G63" s="1159">
        <f>1000*TableA7!$P$91*(TableC2!H61+TableC2!S61)/(TableC2!$D$91+TableC2!$O$91)</f>
        <v>0</v>
      </c>
      <c r="H63" s="1174">
        <f>1000*TableA7!$P$91*(TableC2!I61+TableC2!T61)/(TableC2!$D$91+TableC2!$O$91)</f>
        <v>0</v>
      </c>
      <c r="I63" s="1174">
        <f>1000*TableA7!$P$91*(TableC2!J61+TableC2!U61)/(TableC2!$D$91+TableC2!$O$91)</f>
        <v>0</v>
      </c>
      <c r="J63" s="1174">
        <f>1000*TableA7!$P$91*(TableC2!K61+TableC2!V61)/(TableC2!$D$91+TableC2!$O$91)</f>
        <v>0</v>
      </c>
      <c r="K63" s="1204">
        <f>1000*TableA7!$P$91*(TableC2!L61+TableC2!W61)/(TableC2!$D$91+TableC2!$O$91)</f>
        <v>0</v>
      </c>
      <c r="L63" s="1174">
        <f>1000*TableA7!$P$91*(TableC2!M61+TableC2!X61)/(TableC2!$D$91+TableC2!$O$91)</f>
        <v>0</v>
      </c>
      <c r="M63" s="1235">
        <f>1000*TableA7!$P$91*(TableC2!N61+TableC2!Y61)/(TableC2!$D$91+TableC2!$O$91)</f>
        <v>0</v>
      </c>
      <c r="N63" s="1465">
        <f>1000*TableA7!$P$91*TableC3!C61/TableC3!$C$91</f>
        <v>21146.580577208311</v>
      </c>
      <c r="O63" s="1206">
        <f>1000*TableA7!$P$91*TableC3!D61/TableC3!$C$91</f>
        <v>13758.068759239346</v>
      </c>
      <c r="P63" s="1159">
        <f>1000*TableA7!$P$91*TableC3!E61/TableC3!$C$91</f>
        <v>0</v>
      </c>
      <c r="Q63" s="1159">
        <f>1000*TableA7!$P$91*TableC3!F61/TableC3!$C$91</f>
        <v>0</v>
      </c>
      <c r="R63" s="1159">
        <f>1000*TableA7!$P$91*TableC3!G61/TableC3!$C$91</f>
        <v>3726.1610460914349</v>
      </c>
      <c r="S63" s="1174">
        <f>1000*TableA7!$P$91*TableC3!H61/TableC3!$C$91</f>
        <v>2221.0657772574627</v>
      </c>
      <c r="T63" s="1174">
        <f>1000*TableA7!$P$91*TableC3!I61/TableC3!$C$91</f>
        <v>0</v>
      </c>
      <c r="U63" s="1174">
        <f>1000*TableA7!$P$91*TableC3!J61/TableC3!$C$91</f>
        <v>7810.8419358904503</v>
      </c>
      <c r="V63" s="1204">
        <f>1000*TableA7!$P$91*TableC3!K61/TableC3!$C$91</f>
        <v>7388.5118179689634</v>
      </c>
      <c r="W63" s="1174">
        <f>1000*TableA7!$P$91*TableC3!L61/TableC3!$C$91</f>
        <v>0</v>
      </c>
      <c r="X63" s="1217">
        <f>1000*TableA7!$P$91*TableC3!M61/TableC3!$C$91</f>
        <v>7388.5118179689634</v>
      </c>
    </row>
    <row r="64" spans="1:24" ht="14.25" hidden="1" customHeight="1" x14ac:dyDescent="0.2">
      <c r="A64" s="329" t="s">
        <v>645</v>
      </c>
      <c r="B64" s="1154" t="s">
        <v>82</v>
      </c>
      <c r="C64" s="1458">
        <f>1000*TableA7!$P$91*(TableC2!D62+TableC2!O62)/(TableC2!$D$91+TableC2!$O$91)</f>
        <v>0</v>
      </c>
      <c r="D64" s="1206">
        <f>1000*TableA7!$P$91*(TableC2!E62+TableC2!P62)/(TableC2!$D$91+TableC2!$O$91)</f>
        <v>0</v>
      </c>
      <c r="E64" s="1159">
        <f>1000*TableA7!$P$91*(TableC2!F62+TableC2!Q62)/(TableC2!$D$91+TableC2!$O$91)</f>
        <v>0</v>
      </c>
      <c r="F64" s="1159">
        <f>1000*TableA7!$P$91*(TableC2!G62+TableC2!R62)/(TableC2!$D$91+TableC2!$O$91)</f>
        <v>0</v>
      </c>
      <c r="G64" s="1159">
        <f>1000*TableA7!$P$91*(TableC2!H62+TableC2!S62)/(TableC2!$D$91+TableC2!$O$91)</f>
        <v>0</v>
      </c>
      <c r="H64" s="1174">
        <f>1000*TableA7!$P$91*(TableC2!I62+TableC2!T62)/(TableC2!$D$91+TableC2!$O$91)</f>
        <v>0</v>
      </c>
      <c r="I64" s="1174">
        <f>1000*TableA7!$P$91*(TableC2!J62+TableC2!U62)/(TableC2!$D$91+TableC2!$O$91)</f>
        <v>0</v>
      </c>
      <c r="J64" s="1174">
        <f>1000*TableA7!$P$91*(TableC2!K62+TableC2!V62)/(TableC2!$D$91+TableC2!$O$91)</f>
        <v>0</v>
      </c>
      <c r="K64" s="1204">
        <f>1000*TableA7!$P$91*(TableC2!L62+TableC2!W62)/(TableC2!$D$91+TableC2!$O$91)</f>
        <v>0</v>
      </c>
      <c r="L64" s="1174">
        <f>1000*TableA7!$P$91*(TableC2!M62+TableC2!X62)/(TableC2!$D$91+TableC2!$O$91)</f>
        <v>0</v>
      </c>
      <c r="M64" s="1235">
        <f>1000*TableA7!$P$91*(TableC2!N62+TableC2!Y62)/(TableC2!$D$91+TableC2!$O$91)</f>
        <v>0</v>
      </c>
      <c r="N64" s="1465">
        <f>1000*TableA7!$P$91*TableC3!C62/TableC3!$C$91</f>
        <v>-1.627779923219963</v>
      </c>
      <c r="O64" s="1206">
        <f>1000*TableA7!$P$91*TableC3!D62/TableC3!$C$91</f>
        <v>0</v>
      </c>
      <c r="P64" s="1159">
        <f>1000*TableA7!$P$91*TableC3!E62/TableC3!$C$91</f>
        <v>0</v>
      </c>
      <c r="Q64" s="1159">
        <f>1000*TableA7!$P$91*TableC3!F62/TableC3!$C$91</f>
        <v>0</v>
      </c>
      <c r="R64" s="1159">
        <f>1000*TableA7!$P$91*TableC3!G62/TableC3!$C$91</f>
        <v>0</v>
      </c>
      <c r="S64" s="1174">
        <f>1000*TableA7!$P$91*TableC3!H62/TableC3!$C$91</f>
        <v>0</v>
      </c>
      <c r="T64" s="1174">
        <f>1000*TableA7!$P$91*TableC3!I62/TableC3!$C$91</f>
        <v>0</v>
      </c>
      <c r="U64" s="1174">
        <f>1000*TableA7!$P$91*TableC3!J62/TableC3!$C$91</f>
        <v>0</v>
      </c>
      <c r="V64" s="1204">
        <f>1000*TableA7!$P$91*TableC3!K62/TableC3!$C$91</f>
        <v>-1.627779923219963</v>
      </c>
      <c r="W64" s="1174">
        <f>1000*TableA7!$P$91*TableC3!L62/TableC3!$C$91</f>
        <v>0</v>
      </c>
      <c r="X64" s="1217">
        <f>1000*TableA7!$P$91*TableC3!M62/TableC3!$C$91</f>
        <v>-1.627779923219963</v>
      </c>
    </row>
    <row r="65" spans="1:24" ht="14.25" hidden="1" customHeight="1" x14ac:dyDescent="0.2">
      <c r="A65" s="329" t="s">
        <v>372</v>
      </c>
      <c r="B65" s="1154" t="s">
        <v>153</v>
      </c>
      <c r="C65" s="1458">
        <f>1000*TableA7!$P$91*(TableC2!D63+TableC2!O63)/(TableC2!$D$91+TableC2!$O$91)</f>
        <v>0</v>
      </c>
      <c r="D65" s="1206">
        <f>1000*TableA7!$P$91*(TableC2!E63+TableC2!P63)/(TableC2!$D$91+TableC2!$O$91)</f>
        <v>0</v>
      </c>
      <c r="E65" s="1159">
        <f>1000*TableA7!$P$91*(TableC2!F63+TableC2!Q63)/(TableC2!$D$91+TableC2!$O$91)</f>
        <v>0</v>
      </c>
      <c r="F65" s="1159">
        <f>1000*TableA7!$P$91*(TableC2!G63+TableC2!R63)/(TableC2!$D$91+TableC2!$O$91)</f>
        <v>0</v>
      </c>
      <c r="G65" s="1159">
        <f>1000*TableA7!$P$91*(TableC2!H63+TableC2!S63)/(TableC2!$D$91+TableC2!$O$91)</f>
        <v>0</v>
      </c>
      <c r="H65" s="1174">
        <f>1000*TableA7!$P$91*(TableC2!I63+TableC2!T63)/(TableC2!$D$91+TableC2!$O$91)</f>
        <v>0</v>
      </c>
      <c r="I65" s="1174">
        <f>1000*TableA7!$P$91*(TableC2!J63+TableC2!U63)/(TableC2!$D$91+TableC2!$O$91)</f>
        <v>0</v>
      </c>
      <c r="J65" s="1174">
        <f>1000*TableA7!$P$91*(TableC2!K63+TableC2!V63)/(TableC2!$D$91+TableC2!$O$91)</f>
        <v>0</v>
      </c>
      <c r="K65" s="1204">
        <f>1000*TableA7!$P$91*(TableC2!L63+TableC2!W63)/(TableC2!$D$91+TableC2!$O$91)</f>
        <v>0</v>
      </c>
      <c r="L65" s="1174">
        <f>1000*TableA7!$P$91*(TableC2!M63+TableC2!X63)/(TableC2!$D$91+TableC2!$O$91)</f>
        <v>0</v>
      </c>
      <c r="M65" s="1235">
        <f>1000*TableA7!$P$91*(TableC2!N63+TableC2!Y63)/(TableC2!$D$91+TableC2!$O$91)</f>
        <v>0</v>
      </c>
      <c r="N65" s="1465">
        <f>1000*TableA7!$P$91*TableC3!C63/TableC3!$C$91</f>
        <v>47201.396580528846</v>
      </c>
      <c r="O65" s="1206">
        <f>1000*TableA7!$P$91*TableC3!D63/TableC3!$C$91</f>
        <v>1604.3813742732282</v>
      </c>
      <c r="P65" s="1159">
        <f>1000*TableA7!$P$91*TableC3!E63/TableC3!$C$91</f>
        <v>13.676612141988873</v>
      </c>
      <c r="Q65" s="1159">
        <f>1000*TableA7!$P$91*TableC3!F63/TableC3!$C$91</f>
        <v>288.37126268587917</v>
      </c>
      <c r="R65" s="1159">
        <f>1000*TableA7!$P$91*TableC3!G63/TableC3!$C$91</f>
        <v>0</v>
      </c>
      <c r="S65" s="1174">
        <f>1000*TableA7!$P$91*TableC3!H63/TableC3!$C$91</f>
        <v>1280.8225226724321</v>
      </c>
      <c r="T65" s="1174">
        <f>1000*TableA7!$P$91*TableC3!I63/TableC3!$C$91</f>
        <v>0</v>
      </c>
      <c r="U65" s="1174">
        <f>1000*TableA7!$P$91*TableC3!J63/TableC3!$C$91</f>
        <v>21.510976772927847</v>
      </c>
      <c r="V65" s="1204">
        <f>1000*TableA7!$P$91*TableC3!K63/TableC3!$C$91</f>
        <v>45597.015206255623</v>
      </c>
      <c r="W65" s="1174">
        <f>1000*TableA7!$P$91*TableC3!L63/TableC3!$C$91</f>
        <v>0</v>
      </c>
      <c r="X65" s="1217">
        <f>1000*TableA7!$P$91*TableC3!M63/TableC3!$C$91</f>
        <v>45597.015206255623</v>
      </c>
    </row>
    <row r="66" spans="1:24" ht="14.25" hidden="1" customHeight="1" x14ac:dyDescent="0.2">
      <c r="A66" s="958"/>
      <c r="B66" s="113" t="s">
        <v>84</v>
      </c>
      <c r="C66" s="1458">
        <f>1000*TableA7!$P$91*(TableC2!D64+TableC2!O64)/(TableC2!$D$91+TableC2!$O$91)</f>
        <v>0</v>
      </c>
      <c r="D66" s="1206">
        <f>1000*TableA7!$P$91*(TableC2!E64+TableC2!P64)/(TableC2!$D$91+TableC2!$O$91)</f>
        <v>0</v>
      </c>
      <c r="E66" s="1159">
        <f>1000*TableA7!$P$91*(TableC2!F64+TableC2!Q64)/(TableC2!$D$91+TableC2!$O$91)</f>
        <v>0</v>
      </c>
      <c r="F66" s="1159">
        <f>1000*TableA7!$P$91*(TableC2!G64+TableC2!R64)/(TableC2!$D$91+TableC2!$O$91)</f>
        <v>0</v>
      </c>
      <c r="G66" s="1159">
        <f>1000*TableA7!$P$91*(TableC2!H64+TableC2!S64)/(TableC2!$D$91+TableC2!$O$91)</f>
        <v>0</v>
      </c>
      <c r="H66" s="1174">
        <f>1000*TableA7!$P$91*(TableC2!I64+TableC2!T64)/(TableC2!$D$91+TableC2!$O$91)</f>
        <v>0</v>
      </c>
      <c r="I66" s="1174">
        <f>1000*TableA7!$P$91*(TableC2!J64+TableC2!U64)/(TableC2!$D$91+TableC2!$O$91)</f>
        <v>0</v>
      </c>
      <c r="J66" s="1174">
        <f>1000*TableA7!$P$91*(TableC2!K64+TableC2!V64)/(TableC2!$D$91+TableC2!$O$91)</f>
        <v>0</v>
      </c>
      <c r="K66" s="1204">
        <f>1000*TableA7!$P$91*(TableC2!L64+TableC2!W64)/(TableC2!$D$91+TableC2!$O$91)</f>
        <v>0</v>
      </c>
      <c r="L66" s="1174">
        <f>1000*TableA7!$P$91*(TableC2!M64+TableC2!X64)/(TableC2!$D$91+TableC2!$O$91)</f>
        <v>0</v>
      </c>
      <c r="M66" s="1235">
        <f>1000*TableA7!$P$91*(TableC2!N64+TableC2!Y64)/(TableC2!$D$91+TableC2!$O$91)</f>
        <v>0</v>
      </c>
      <c r="N66" s="633">
        <f>1000*TableA7!$P$91*TableC3!C64/TableC3!$C$91</f>
        <v>17343.197797932866</v>
      </c>
      <c r="O66" s="1206">
        <f>1000*TableA7!$P$91*TableC3!D64/TableC3!$C$91</f>
        <v>4036.1374502633416</v>
      </c>
      <c r="P66" s="1159">
        <f>1000*TableA7!$P$91*TableC3!E64/TableC3!$C$91</f>
        <v>35.485263935971403</v>
      </c>
      <c r="Q66" s="1159">
        <f>1000*TableA7!$P$91*TableC3!F64/TableC3!$C$91</f>
        <v>0</v>
      </c>
      <c r="R66" s="1159">
        <f>1000*TableA7!$P$91*TableC3!G64/TableC3!$C$91</f>
        <v>601.58905175408415</v>
      </c>
      <c r="S66" s="1174">
        <f>1000*TableA7!$P$91*TableC3!H64/TableC3!$C$91</f>
        <v>1536.7429536841896</v>
      </c>
      <c r="T66" s="1174">
        <f>1000*TableA7!$P$91*TableC3!I64/TableC3!$C$91</f>
        <v>0</v>
      </c>
      <c r="U66" s="1174">
        <f>1000*TableA7!$P$91*TableC3!J64/TableC3!$C$91</f>
        <v>1862.3201808890965</v>
      </c>
      <c r="V66" s="1204">
        <f>1000*TableA7!$P$91*TableC3!K64/TableC3!$C$91</f>
        <v>13307.060347669525</v>
      </c>
      <c r="W66" s="1174">
        <f>1000*TableA7!$P$91*TableC3!L64/TableC3!$C$91</f>
        <v>0</v>
      </c>
      <c r="X66" s="1217">
        <f>1000*TableA7!$P$91*TableC3!M64/TableC3!$C$91</f>
        <v>13307.060347669525</v>
      </c>
    </row>
    <row r="67" spans="1:24" ht="14.25" hidden="1" customHeight="1" x14ac:dyDescent="0.2">
      <c r="A67" s="958"/>
      <c r="B67" s="1154" t="s">
        <v>85</v>
      </c>
      <c r="C67" s="1458">
        <f>1000*TableA7!$P$91*(TableC2!D65+TableC2!O65)/(TableC2!$D$91+TableC2!$O$91)</f>
        <v>0</v>
      </c>
      <c r="D67" s="1206">
        <f>1000*TableA7!$P$91*(TableC2!E65+TableC2!P65)/(TableC2!$D$91+TableC2!$O$91)</f>
        <v>0</v>
      </c>
      <c r="E67" s="1159">
        <f>1000*TableA7!$P$91*(TableC2!F65+TableC2!Q65)/(TableC2!$D$91+TableC2!$O$91)</f>
        <v>0</v>
      </c>
      <c r="F67" s="1159">
        <f>1000*TableA7!$P$91*(TableC2!G65+TableC2!R65)/(TableC2!$D$91+TableC2!$O$91)</f>
        <v>0</v>
      </c>
      <c r="G67" s="1159">
        <f>1000*TableA7!$P$91*(TableC2!H65+TableC2!S65)/(TableC2!$D$91+TableC2!$O$91)</f>
        <v>0</v>
      </c>
      <c r="H67" s="1174">
        <f>1000*TableA7!$P$91*(TableC2!I65+TableC2!T65)/(TableC2!$D$91+TableC2!$O$91)</f>
        <v>0</v>
      </c>
      <c r="I67" s="1174">
        <f>1000*TableA7!$P$91*(TableC2!J65+TableC2!U65)/(TableC2!$D$91+TableC2!$O$91)</f>
        <v>0</v>
      </c>
      <c r="J67" s="1174">
        <f>1000*TableA7!$P$91*(TableC2!K65+TableC2!V65)/(TableC2!$D$91+TableC2!$O$91)</f>
        <v>0</v>
      </c>
      <c r="K67" s="1204">
        <f>1000*TableA7!$P$91*(TableC2!L65+TableC2!W65)/(TableC2!$D$91+TableC2!$O$91)</f>
        <v>0</v>
      </c>
      <c r="L67" s="1174">
        <f>1000*TableA7!$P$91*(TableC2!M65+TableC2!X65)/(TableC2!$D$91+TableC2!$O$91)</f>
        <v>0</v>
      </c>
      <c r="M67" s="1235">
        <f>1000*TableA7!$P$91*(TableC2!N65+TableC2!Y65)/(TableC2!$D$91+TableC2!$O$91)</f>
        <v>0</v>
      </c>
      <c r="N67" s="1465">
        <f>1000*TableA7!$P$91*TableC3!C65/TableC3!$C$91</f>
        <v>35.17383298199519</v>
      </c>
      <c r="O67" s="1206">
        <f>1000*TableA7!$P$91*TableC3!D65/TableC3!$C$91</f>
        <v>-4.7572431964161108</v>
      </c>
      <c r="P67" s="1159">
        <f>1000*TableA7!$P$91*TableC3!E65/TableC3!$C$91</f>
        <v>-4.7572431964161108</v>
      </c>
      <c r="Q67" s="1159">
        <f>1000*TableA7!$P$91*TableC3!F65/TableC3!$C$91</f>
        <v>0</v>
      </c>
      <c r="R67" s="1159">
        <f>1000*TableA7!$P$91*TableC3!G65/TableC3!$C$91</f>
        <v>0</v>
      </c>
      <c r="S67" s="1174">
        <f>1000*TableA7!$P$91*TableC3!H65/TableC3!$C$91</f>
        <v>0</v>
      </c>
      <c r="T67" s="1174">
        <f>1000*TableA7!$P$91*TableC3!I65/TableC3!$C$91</f>
        <v>0</v>
      </c>
      <c r="U67" s="1174">
        <f>1000*TableA7!$P$91*TableC3!J65/TableC3!$C$91</f>
        <v>0</v>
      </c>
      <c r="V67" s="1204">
        <f>1000*TableA7!$P$91*TableC3!K65/TableC3!$C$91</f>
        <v>39.931076178411303</v>
      </c>
      <c r="W67" s="1174">
        <f>1000*TableA7!$P$91*TableC3!L65/TableC3!$C$91</f>
        <v>0</v>
      </c>
      <c r="X67" s="1217">
        <f>1000*TableA7!$P$91*TableC3!M65/TableC3!$C$91</f>
        <v>39.931076178411303</v>
      </c>
    </row>
    <row r="68" spans="1:24" ht="14.25" hidden="1" customHeight="1" x14ac:dyDescent="0.2">
      <c r="A68" s="958"/>
      <c r="B68" s="1154" t="str">
        <f>+TableA1!A67</f>
        <v>Cyprus</v>
      </c>
      <c r="C68" s="1458">
        <f>1000*TableA7!$P$91*(TableC2!D66+TableC2!O66)/(TableC2!$D$91+TableC2!$O$91)</f>
        <v>0</v>
      </c>
      <c r="D68" s="1206">
        <f>1000*TableA7!$P$91*(TableC2!E66+TableC2!P66)/(TableC2!$D$91+TableC2!$O$91)</f>
        <v>0</v>
      </c>
      <c r="E68" s="1159">
        <f>1000*TableA7!$P$91*(TableC2!F66+TableC2!Q66)/(TableC2!$D$91+TableC2!$O$91)</f>
        <v>0</v>
      </c>
      <c r="F68" s="1159">
        <f>1000*TableA7!$P$91*(TableC2!G66+TableC2!R66)/(TableC2!$D$91+TableC2!$O$91)</f>
        <v>0</v>
      </c>
      <c r="G68" s="1159">
        <f>1000*TableA7!$P$91*(TableC2!H66+TableC2!S66)/(TableC2!$D$91+TableC2!$O$91)</f>
        <v>0</v>
      </c>
      <c r="H68" s="1174">
        <f>1000*TableA7!$P$91*(TableC2!I66+TableC2!T66)/(TableC2!$D$91+TableC2!$O$91)</f>
        <v>0</v>
      </c>
      <c r="I68" s="1174">
        <f>1000*TableA7!$P$91*(TableC2!J66+TableC2!U66)/(TableC2!$D$91+TableC2!$O$91)</f>
        <v>0</v>
      </c>
      <c r="J68" s="1174">
        <f>1000*TableA7!$P$91*(TableC2!K66+TableC2!V66)/(TableC2!$D$91+TableC2!$O$91)</f>
        <v>0</v>
      </c>
      <c r="K68" s="1204">
        <f>1000*TableA7!$P$91*(TableC2!L66+TableC2!W66)/(TableC2!$D$91+TableC2!$O$91)</f>
        <v>0</v>
      </c>
      <c r="L68" s="1174">
        <f>1000*TableA7!$P$91*(TableC2!M66+TableC2!X66)/(TableC2!$D$91+TableC2!$O$91)</f>
        <v>0</v>
      </c>
      <c r="M68" s="1235">
        <f>1000*TableA7!$P$91*(TableC2!N66+TableC2!Y66)/(TableC2!$D$91+TableC2!$O$91)</f>
        <v>0</v>
      </c>
      <c r="N68" s="1465">
        <f>1000*TableA7!$P$91*TableC3!C66/TableC3!$C$91</f>
        <v>2214.006180353048</v>
      </c>
      <c r="O68" s="1206">
        <f>1000*TableA7!$P$91*TableC3!D66/TableC3!$C$91</f>
        <v>2035.4674076364563</v>
      </c>
      <c r="P68" s="1159">
        <f>1000*TableA7!$P$91*TableC3!E66/TableC3!$C$91</f>
        <v>155.83814635732864</v>
      </c>
      <c r="Q68" s="1159">
        <f>1000*TableA7!$P$91*TableC3!F66/TableC3!$C$91</f>
        <v>518.49663867267816</v>
      </c>
      <c r="R68" s="1159">
        <f>1000*TableA7!$P$91*TableC3!G66/TableC3!$C$91</f>
        <v>12.947331895337683</v>
      </c>
      <c r="S68" s="1174">
        <f>1000*TableA7!$P$91*TableC3!H66/TableC3!$C$91</f>
        <v>125.92239929610872</v>
      </c>
      <c r="T68" s="1174">
        <f>1000*TableA7!$P$91*TableC3!I66/TableC3!$C$91</f>
        <v>3.044032680940234</v>
      </c>
      <c r="U68" s="1174">
        <f>1000*TableA7!$P$91*TableC3!J66/TableC3!$C$91</f>
        <v>1219.2188587340631</v>
      </c>
      <c r="V68" s="1204">
        <f>1000*TableA7!$P$91*TableC3!K66/TableC3!$C$91</f>
        <v>178.53877271659169</v>
      </c>
      <c r="W68" s="1174">
        <f>1000*TableA7!$P$91*TableC3!L66/TableC3!$C$91</f>
        <v>0</v>
      </c>
      <c r="X68" s="1217">
        <f>1000*TableA7!$P$91*TableC3!M66/TableC3!$C$91</f>
        <v>178.53877271659169</v>
      </c>
    </row>
    <row r="69" spans="1:24" ht="14.25" hidden="1" customHeight="1" x14ac:dyDescent="0.2">
      <c r="A69" s="958"/>
      <c r="B69" s="1154" t="s">
        <v>87</v>
      </c>
      <c r="C69" s="1458">
        <f>1000*TableA7!$P$91*(TableC2!D67+TableC2!O67)/(TableC2!$D$91+TableC2!$O$91)</f>
        <v>0</v>
      </c>
      <c r="D69" s="1206">
        <f>1000*TableA7!$P$91*(TableC2!E67+TableC2!P67)/(TableC2!$D$91+TableC2!$O$91)</f>
        <v>0</v>
      </c>
      <c r="E69" s="1159">
        <f>1000*TableA7!$P$91*(TableC2!F67+TableC2!Q67)/(TableC2!$D$91+TableC2!$O$91)</f>
        <v>0</v>
      </c>
      <c r="F69" s="1159">
        <f>1000*TableA7!$P$91*(TableC2!G67+TableC2!R67)/(TableC2!$D$91+TableC2!$O$91)</f>
        <v>0</v>
      </c>
      <c r="G69" s="1159">
        <f>1000*TableA7!$P$91*(TableC2!H67+TableC2!S67)/(TableC2!$D$91+TableC2!$O$91)</f>
        <v>0</v>
      </c>
      <c r="H69" s="1174">
        <f>1000*TableA7!$P$91*(TableC2!I67+TableC2!T67)/(TableC2!$D$91+TableC2!$O$91)</f>
        <v>0</v>
      </c>
      <c r="I69" s="1174">
        <f>1000*TableA7!$P$91*(TableC2!J67+TableC2!U67)/(TableC2!$D$91+TableC2!$O$91)</f>
        <v>0</v>
      </c>
      <c r="J69" s="1174">
        <f>1000*TableA7!$P$91*(TableC2!K67+TableC2!V67)/(TableC2!$D$91+TableC2!$O$91)</f>
        <v>0</v>
      </c>
      <c r="K69" s="1204">
        <f>1000*TableA7!$P$91*(TableC2!L67+TableC2!W67)/(TableC2!$D$91+TableC2!$O$91)</f>
        <v>0</v>
      </c>
      <c r="L69" s="1174">
        <f>1000*TableA7!$P$91*(TableC2!M67+TableC2!X67)/(TableC2!$D$91+TableC2!$O$91)</f>
        <v>0</v>
      </c>
      <c r="M69" s="1235">
        <f>1000*TableA7!$P$91*(TableC2!N67+TableC2!Y67)/(TableC2!$D$91+TableC2!$O$91)</f>
        <v>0</v>
      </c>
      <c r="N69" s="1465">
        <f>1000*TableA7!$P$91*TableC3!C67/TableC3!$C$91</f>
        <v>1030.0509120990355</v>
      </c>
      <c r="O69" s="1206">
        <f>1000*TableA7!$P$91*TableC3!D67/TableC3!$C$91</f>
        <v>881.08186818656247</v>
      </c>
      <c r="P69" s="1159">
        <f>1000*TableA7!$P$91*TableC3!E67/TableC3!$C$91</f>
        <v>-4.7247078481723968</v>
      </c>
      <c r="Q69" s="1159">
        <f>1000*TableA7!$P$91*TableC3!F67/TableC3!$C$91</f>
        <v>0.88307377084193128</v>
      </c>
      <c r="R69" s="1159">
        <f>1000*TableA7!$P$91*TableC3!G67/TableC3!$C$91</f>
        <v>202.26083639376603</v>
      </c>
      <c r="S69" s="1174">
        <f>1000*TableA7!$P$91*TableC3!H67/TableC3!$C$91</f>
        <v>682.66266587012694</v>
      </c>
      <c r="T69" s="1174">
        <f>1000*TableA7!$P$91*TableC3!I67/TableC3!$C$91</f>
        <v>0</v>
      </c>
      <c r="U69" s="1174">
        <f>1000*TableA7!$P$91*TableC3!J67/TableC3!$C$91</f>
        <v>0</v>
      </c>
      <c r="V69" s="1204">
        <f>1000*TableA7!$P$91*TableC3!K67/TableC3!$C$91</f>
        <v>148.96904391247296</v>
      </c>
      <c r="W69" s="1174">
        <f>1000*TableA7!$P$91*TableC3!L67/TableC3!$C$91</f>
        <v>0</v>
      </c>
      <c r="X69" s="1217">
        <f>1000*TableA7!$P$91*TableC3!M67/TableC3!$C$91</f>
        <v>148.96904391247296</v>
      </c>
    </row>
    <row r="70" spans="1:24" ht="14.25" hidden="1" customHeight="1" x14ac:dyDescent="0.2">
      <c r="A70" s="958"/>
      <c r="B70" s="1154" t="str">
        <f>+TableA1!A69</f>
        <v>Grenada</v>
      </c>
      <c r="C70" s="1458">
        <f>1000*TableA7!$P$91*(TableC2!D68+TableC2!O68)/(TableC2!$D$91+TableC2!$O$91)</f>
        <v>0</v>
      </c>
      <c r="D70" s="1206">
        <f>1000*TableA7!$P$91*(TableC2!E68+TableC2!P68)/(TableC2!$D$91+TableC2!$O$91)</f>
        <v>0</v>
      </c>
      <c r="E70" s="1159">
        <f>1000*TableA7!$P$91*(TableC2!F68+TableC2!Q68)/(TableC2!$D$91+TableC2!$O$91)</f>
        <v>0</v>
      </c>
      <c r="F70" s="1159">
        <f>1000*TableA7!$P$91*(TableC2!G68+TableC2!R68)/(TableC2!$D$91+TableC2!$O$91)</f>
        <v>0</v>
      </c>
      <c r="G70" s="1159">
        <f>1000*TableA7!$P$91*(TableC2!H68+TableC2!S68)/(TableC2!$D$91+TableC2!$O$91)</f>
        <v>0</v>
      </c>
      <c r="H70" s="1174">
        <f>1000*TableA7!$P$91*(TableC2!I68+TableC2!T68)/(TableC2!$D$91+TableC2!$O$91)</f>
        <v>0</v>
      </c>
      <c r="I70" s="1174">
        <f>1000*TableA7!$P$91*(TableC2!J68+TableC2!U68)/(TableC2!$D$91+TableC2!$O$91)</f>
        <v>0</v>
      </c>
      <c r="J70" s="1174">
        <f>1000*TableA7!$P$91*(TableC2!K68+TableC2!V68)/(TableC2!$D$91+TableC2!$O$91)</f>
        <v>0</v>
      </c>
      <c r="K70" s="1204">
        <f>1000*TableA7!$P$91*(TableC2!L68+TableC2!W68)/(TableC2!$D$91+TableC2!$O$91)</f>
        <v>0</v>
      </c>
      <c r="L70" s="1174">
        <f>1000*TableA7!$P$91*(TableC2!M68+TableC2!X68)/(TableC2!$D$91+TableC2!$O$91)</f>
        <v>0</v>
      </c>
      <c r="M70" s="1235">
        <f>1000*TableA7!$P$91*(TableC2!N68+TableC2!Y68)/(TableC2!$D$91+TableC2!$O$91)</f>
        <v>0</v>
      </c>
      <c r="N70" s="1465">
        <f>1000*TableA7!$P$91*TableC3!C68/TableC3!$C$91</f>
        <v>1.2703666340431101</v>
      </c>
      <c r="O70" s="1206">
        <f>1000*TableA7!$P$91*TableC3!D68/TableC3!$C$91</f>
        <v>5.1830039407714794E-2</v>
      </c>
      <c r="P70" s="1159">
        <f>1000*TableA7!$P$91*TableC3!E68/TableC3!$C$91</f>
        <v>0</v>
      </c>
      <c r="Q70" s="1159">
        <f>1000*TableA7!$P$91*TableC3!F68/TableC3!$C$91</f>
        <v>5.1830039407714794E-2</v>
      </c>
      <c r="R70" s="1159">
        <f>1000*TableA7!$P$91*TableC3!G68/TableC3!$C$91</f>
        <v>0</v>
      </c>
      <c r="S70" s="1174">
        <f>1000*TableA7!$P$91*TableC3!H68/TableC3!$C$91</f>
        <v>0</v>
      </c>
      <c r="T70" s="1174">
        <f>1000*TableA7!$P$91*TableC3!I68/TableC3!$C$91</f>
        <v>0</v>
      </c>
      <c r="U70" s="1174">
        <f>1000*TableA7!$P$91*TableC3!J68/TableC3!$C$91</f>
        <v>0</v>
      </c>
      <c r="V70" s="1204">
        <f>1000*TableA7!$P$91*TableC3!K68/TableC3!$C$91</f>
        <v>1.2185365946353954</v>
      </c>
      <c r="W70" s="1174">
        <f>1000*TableA7!$P$91*TableC3!L68/TableC3!$C$91</f>
        <v>0</v>
      </c>
      <c r="X70" s="1217">
        <f>1000*TableA7!$P$91*TableC3!M68/TableC3!$C$91</f>
        <v>1.2185365946353954</v>
      </c>
    </row>
    <row r="71" spans="1:24" ht="14.25" hidden="1" customHeight="1" x14ac:dyDescent="0.2">
      <c r="A71" s="958"/>
      <c r="B71" s="1154" t="s">
        <v>89</v>
      </c>
      <c r="C71" s="1458">
        <f>1000*TableA7!$P$91*(TableC2!D69+TableC2!O69)/(TableC2!$D$91+TableC2!$O$91)</f>
        <v>0</v>
      </c>
      <c r="D71" s="1206">
        <f>1000*TableA7!$P$91*(TableC2!E69+TableC2!P69)/(TableC2!$D$91+TableC2!$O$91)</f>
        <v>0</v>
      </c>
      <c r="E71" s="1159">
        <f>1000*TableA7!$P$91*(TableC2!F69+TableC2!Q69)/(TableC2!$D$91+TableC2!$O$91)</f>
        <v>0</v>
      </c>
      <c r="F71" s="1159">
        <f>1000*TableA7!$P$91*(TableC2!G69+TableC2!R69)/(TableC2!$D$91+TableC2!$O$91)</f>
        <v>0</v>
      </c>
      <c r="G71" s="1159">
        <f>1000*TableA7!$P$91*(TableC2!H69+TableC2!S69)/(TableC2!$D$91+TableC2!$O$91)</f>
        <v>0</v>
      </c>
      <c r="H71" s="1174">
        <f>1000*TableA7!$P$91*(TableC2!I69+TableC2!T69)/(TableC2!$D$91+TableC2!$O$91)</f>
        <v>0</v>
      </c>
      <c r="I71" s="1174">
        <f>1000*TableA7!$P$91*(TableC2!J69+TableC2!U69)/(TableC2!$D$91+TableC2!$O$91)</f>
        <v>0</v>
      </c>
      <c r="J71" s="1174">
        <f>1000*TableA7!$P$91*(TableC2!K69+TableC2!V69)/(TableC2!$D$91+TableC2!$O$91)</f>
        <v>0</v>
      </c>
      <c r="K71" s="1204">
        <f>1000*TableA7!$P$91*(TableC2!L69+TableC2!W69)/(TableC2!$D$91+TableC2!$O$91)</f>
        <v>0</v>
      </c>
      <c r="L71" s="1174">
        <f>1000*TableA7!$P$91*(TableC2!M69+TableC2!X69)/(TableC2!$D$91+TableC2!$O$91)</f>
        <v>0</v>
      </c>
      <c r="M71" s="1235">
        <f>1000*TableA7!$P$91*(TableC2!N69+TableC2!Y69)/(TableC2!$D$91+TableC2!$O$91)</f>
        <v>0</v>
      </c>
      <c r="N71" s="1465">
        <f>1000*TableA7!$P$91*TableC3!C69/TableC3!$C$91</f>
        <v>291.14582108783492</v>
      </c>
      <c r="O71" s="1206">
        <f>1000*TableA7!$P$91*TableC3!D69/TableC3!$C$91</f>
        <v>235.10089649287249</v>
      </c>
      <c r="P71" s="1159">
        <f>1000*TableA7!$P$91*TableC3!E69/TableC3!$C$91</f>
        <v>-14.415888473988213</v>
      </c>
      <c r="Q71" s="1159">
        <f>1000*TableA7!$P$91*TableC3!F69/TableC3!$C$91</f>
        <v>10.979132823527676</v>
      </c>
      <c r="R71" s="1159">
        <f>1000*TableA7!$P$91*TableC3!G69/TableC3!$C$91</f>
        <v>0</v>
      </c>
      <c r="S71" s="1174">
        <f>1000*TableA7!$P$91*TableC3!H69/TableC3!$C$91</f>
        <v>238.53765214333305</v>
      </c>
      <c r="T71" s="1174">
        <f>1000*TableA7!$P$91*TableC3!I69/TableC3!$C$91</f>
        <v>0</v>
      </c>
      <c r="U71" s="1174">
        <f>1000*TableA7!$P$91*TableC3!J69/TableC3!$C$91</f>
        <v>0</v>
      </c>
      <c r="V71" s="1204">
        <f>1000*TableA7!$P$91*TableC3!K69/TableC3!$C$91</f>
        <v>56.044924594962403</v>
      </c>
      <c r="W71" s="1174">
        <f>1000*TableA7!$P$91*TableC3!L69/TableC3!$C$91</f>
        <v>0</v>
      </c>
      <c r="X71" s="1217">
        <f>1000*TableA7!$P$91*TableC3!M69/TableC3!$C$91</f>
        <v>56.044924594962403</v>
      </c>
    </row>
    <row r="72" spans="1:24" ht="14.25" hidden="1" customHeight="1" x14ac:dyDescent="0.2">
      <c r="A72" s="329" t="s">
        <v>90</v>
      </c>
      <c r="B72" s="1154" t="s">
        <v>154</v>
      </c>
      <c r="C72" s="1458">
        <f>1000*TableA7!$P$91*(TableC2!D70+TableC2!O70)/(TableC2!$D$91+TableC2!$O$91)</f>
        <v>0</v>
      </c>
      <c r="D72" s="1206">
        <f>1000*TableA7!$P$91*(TableC2!E70+TableC2!P70)/(TableC2!$D$91+TableC2!$O$91)</f>
        <v>0</v>
      </c>
      <c r="E72" s="1159">
        <f>1000*TableA7!$P$91*(TableC2!F70+TableC2!Q70)/(TableC2!$D$91+TableC2!$O$91)</f>
        <v>0</v>
      </c>
      <c r="F72" s="1159">
        <f>1000*TableA7!$P$91*(TableC2!G70+TableC2!R70)/(TableC2!$D$91+TableC2!$O$91)</f>
        <v>0</v>
      </c>
      <c r="G72" s="1159">
        <f>1000*TableA7!$P$91*(TableC2!H70+TableC2!S70)/(TableC2!$D$91+TableC2!$O$91)</f>
        <v>0</v>
      </c>
      <c r="H72" s="1174">
        <f>1000*TableA7!$P$91*(TableC2!I70+TableC2!T70)/(TableC2!$D$91+TableC2!$O$91)</f>
        <v>0</v>
      </c>
      <c r="I72" s="1174">
        <f>1000*TableA7!$P$91*(TableC2!J70+TableC2!U70)/(TableC2!$D$91+TableC2!$O$91)</f>
        <v>0</v>
      </c>
      <c r="J72" s="1174">
        <f>1000*TableA7!$P$91*(TableC2!K70+TableC2!V70)/(TableC2!$D$91+TableC2!$O$91)</f>
        <v>0</v>
      </c>
      <c r="K72" s="1204">
        <f>1000*TableA7!$P$91*(TableC2!L70+TableC2!W70)/(TableC2!$D$91+TableC2!$O$91)</f>
        <v>0</v>
      </c>
      <c r="L72" s="1174">
        <f>1000*TableA7!$P$91*(TableC2!M70+TableC2!X70)/(TableC2!$D$91+TableC2!$O$91)</f>
        <v>0</v>
      </c>
      <c r="M72" s="1235">
        <f>1000*TableA7!$P$91*(TableC2!N70+TableC2!Y70)/(TableC2!$D$91+TableC2!$O$91)</f>
        <v>0</v>
      </c>
      <c r="N72" s="1465">
        <f>1000*TableA7!$P$91*TableC3!C70/TableC3!$C$91</f>
        <v>994.46818349126033</v>
      </c>
      <c r="O72" s="1206">
        <f>1000*TableA7!$P$91*TableC3!D70/TableC3!$C$91</f>
        <v>925.39106048854103</v>
      </c>
      <c r="P72" s="1159">
        <f>1000*TableA7!$P$91*TableC3!E70/TableC3!$C$91</f>
        <v>0.57817418515492569</v>
      </c>
      <c r="Q72" s="1159">
        <f>1000*TableA7!$P$91*TableC3!F70/TableC3!$C$91</f>
        <v>1.3553656206114577</v>
      </c>
      <c r="R72" s="1159">
        <f>1000*TableA7!$P$91*TableC3!G70/TableC3!$C$91</f>
        <v>0</v>
      </c>
      <c r="S72" s="1174">
        <f>1000*TableA7!$P$91*TableC3!H70/TableC3!$C$91</f>
        <v>839.11040208204543</v>
      </c>
      <c r="T72" s="1174">
        <f>1000*TableA7!$P$91*TableC3!I70/TableC3!$C$91</f>
        <v>0</v>
      </c>
      <c r="U72" s="1174">
        <f>1000*TableA7!$P$91*TableC3!J70/TableC3!$C$91</f>
        <v>84.347118600729303</v>
      </c>
      <c r="V72" s="1204">
        <f>1000*TableA7!$P$91*TableC3!K70/TableC3!$C$91</f>
        <v>69.077123002719389</v>
      </c>
      <c r="W72" s="1174">
        <f>1000*TableA7!$P$91*TableC3!L70/TableC3!$C$91</f>
        <v>0</v>
      </c>
      <c r="X72" s="1217">
        <f>1000*TableA7!$P$91*TableC3!M70/TableC3!$C$91</f>
        <v>69.077123002719389</v>
      </c>
    </row>
    <row r="73" spans="1:24" ht="14.25" hidden="1" customHeight="1" x14ac:dyDescent="0.2">
      <c r="A73" s="329" t="s">
        <v>341</v>
      </c>
      <c r="B73" s="1154" t="s">
        <v>91</v>
      </c>
      <c r="C73" s="1458">
        <f>1000*TableA7!$P$91*(TableC2!D71+TableC2!O71)/(TableC2!$D$91+TableC2!$O$91)</f>
        <v>0</v>
      </c>
      <c r="D73" s="1206">
        <f>1000*TableA7!$P$91*(TableC2!E71+TableC2!P71)/(TableC2!$D$91+TableC2!$O$91)</f>
        <v>0</v>
      </c>
      <c r="E73" s="1159">
        <f>1000*TableA7!$P$91*(TableC2!F71+TableC2!Q71)/(TableC2!$D$91+TableC2!$O$91)</f>
        <v>0</v>
      </c>
      <c r="F73" s="1159">
        <f>1000*TableA7!$P$91*(TableC2!G71+TableC2!R71)/(TableC2!$D$91+TableC2!$O$91)</f>
        <v>0</v>
      </c>
      <c r="G73" s="1159">
        <f>1000*TableA7!$P$91*(TableC2!H71+TableC2!S71)/(TableC2!$D$91+TableC2!$O$91)</f>
        <v>0</v>
      </c>
      <c r="H73" s="1174">
        <f>1000*TableA7!$P$91*(TableC2!I71+TableC2!T71)/(TableC2!$D$91+TableC2!$O$91)</f>
        <v>0</v>
      </c>
      <c r="I73" s="1174">
        <f>1000*TableA7!$P$91*(TableC2!J71+TableC2!U71)/(TableC2!$D$91+TableC2!$O$91)</f>
        <v>0</v>
      </c>
      <c r="J73" s="1174">
        <f>1000*TableA7!$P$91*(TableC2!K71+TableC2!V71)/(TableC2!$D$91+TableC2!$O$91)</f>
        <v>0</v>
      </c>
      <c r="K73" s="1204">
        <f>1000*TableA7!$P$91*(TableC2!L71+TableC2!W71)/(TableC2!$D$91+TableC2!$O$91)</f>
        <v>0</v>
      </c>
      <c r="L73" s="1174">
        <f>1000*TableA7!$P$91*(TableC2!M71+TableC2!X71)/(TableC2!$D$91+TableC2!$O$91)</f>
        <v>0</v>
      </c>
      <c r="M73" s="1235">
        <f>1000*TableA7!$P$91*(TableC2!N71+TableC2!Y71)/(TableC2!$D$91+TableC2!$O$91)</f>
        <v>0</v>
      </c>
      <c r="N73" s="1465">
        <f>1000*TableA7!$P$91*TableC3!C71/TableC3!$C$91</f>
        <v>13604.580329620732</v>
      </c>
      <c r="O73" s="1206">
        <f>1000*TableA7!$P$91*TableC3!D71/TableC3!$C$91</f>
        <v>3130.2611736094477</v>
      </c>
      <c r="P73" s="1159">
        <f>1000*TableA7!$P$91*TableC3!E71/TableC3!$C$91</f>
        <v>1301.1263443189314</v>
      </c>
      <c r="Q73" s="1159">
        <f>1000*TableA7!$P$91*TableC3!F71/TableC3!$C$91</f>
        <v>3.140011509267894</v>
      </c>
      <c r="R73" s="1159">
        <f>1000*TableA7!$P$91*TableC3!G71/TableC3!$C$91</f>
        <v>18.034338772984906</v>
      </c>
      <c r="S73" s="1174">
        <f>1000*TableA7!$P$91*TableC3!H71/TableC3!$C$91</f>
        <v>511.99779616804352</v>
      </c>
      <c r="T73" s="1174">
        <f>1000*TableA7!$P$91*TableC3!I71/TableC3!$C$91</f>
        <v>0</v>
      </c>
      <c r="U73" s="1174">
        <f>1000*TableA7!$P$91*TableC3!J71/TableC3!$C$91</f>
        <v>1295.9626828402206</v>
      </c>
      <c r="V73" s="1204">
        <f>1000*TableA7!$P$91*TableC3!K71/TableC3!$C$91</f>
        <v>10474.319156011286</v>
      </c>
      <c r="W73" s="1174">
        <f>1000*TableA7!$P$91*TableC3!L71/TableC3!$C$91</f>
        <v>0</v>
      </c>
      <c r="X73" s="1217">
        <f>1000*TableA7!$P$91*TableC3!M71/TableC3!$C$91</f>
        <v>10474.319156011286</v>
      </c>
    </row>
    <row r="74" spans="1:24" ht="14.25" hidden="1" customHeight="1" x14ac:dyDescent="0.2">
      <c r="A74" s="958"/>
      <c r="B74" s="1154" t="s">
        <v>92</v>
      </c>
      <c r="C74" s="1458">
        <f>1000*TableA7!$P$91*(TableC2!D72+TableC2!O72)/(TableC2!$D$91+TableC2!$O$91)</f>
        <v>0</v>
      </c>
      <c r="D74" s="1206">
        <f>1000*TableA7!$P$91*(TableC2!E72+TableC2!P72)/(TableC2!$D$91+TableC2!$O$91)</f>
        <v>0</v>
      </c>
      <c r="E74" s="1159">
        <f>1000*TableA7!$P$91*(TableC2!F72+TableC2!Q72)/(TableC2!$D$91+TableC2!$O$91)</f>
        <v>0</v>
      </c>
      <c r="F74" s="1159">
        <f>1000*TableA7!$P$91*(TableC2!G72+TableC2!R72)/(TableC2!$D$91+TableC2!$O$91)</f>
        <v>0</v>
      </c>
      <c r="G74" s="1159">
        <f>1000*TableA7!$P$91*(TableC2!H72+TableC2!S72)/(TableC2!$D$91+TableC2!$O$91)</f>
        <v>0</v>
      </c>
      <c r="H74" s="1174">
        <f>1000*TableA7!$P$91*(TableC2!I72+TableC2!T72)/(TableC2!$D$91+TableC2!$O$91)</f>
        <v>0</v>
      </c>
      <c r="I74" s="1174">
        <f>1000*TableA7!$P$91*(TableC2!J72+TableC2!U72)/(TableC2!$D$91+TableC2!$O$91)</f>
        <v>0</v>
      </c>
      <c r="J74" s="1174">
        <f>1000*TableA7!$P$91*(TableC2!K72+TableC2!V72)/(TableC2!$D$91+TableC2!$O$91)</f>
        <v>0</v>
      </c>
      <c r="K74" s="1204">
        <f>1000*TableA7!$P$91*(TableC2!L72+TableC2!W72)/(TableC2!$D$91+TableC2!$O$91)</f>
        <v>0</v>
      </c>
      <c r="L74" s="1174">
        <f>1000*TableA7!$P$91*(TableC2!M72+TableC2!X72)/(TableC2!$D$91+TableC2!$O$91)</f>
        <v>0</v>
      </c>
      <c r="M74" s="1235">
        <f>1000*TableA7!$P$91*(TableC2!N72+TableC2!Y72)/(TableC2!$D$91+TableC2!$O$91)</f>
        <v>0</v>
      </c>
      <c r="N74" s="1465">
        <f>1000*TableA7!$P$91*TableC3!C72/TableC3!$C$91</f>
        <v>46.95633363227423</v>
      </c>
      <c r="O74" s="1206">
        <f>1000*TableA7!$P$91*TableC3!D72/TableC3!$C$91</f>
        <v>1.5613156932531289</v>
      </c>
      <c r="P74" s="1159">
        <f>1000*TableA7!$P$91*TableC3!E72/TableC3!$C$91</f>
        <v>0</v>
      </c>
      <c r="Q74" s="1159">
        <f>1000*TableA7!$P$91*TableC3!F72/TableC3!$C$91</f>
        <v>1.4312942885033053</v>
      </c>
      <c r="R74" s="1159">
        <f>1000*TableA7!$P$91*TableC3!G72/TableC3!$C$91</f>
        <v>0</v>
      </c>
      <c r="S74" s="1174">
        <f>1000*TableA7!$P$91*TableC3!H72/TableC3!$C$91</f>
        <v>0</v>
      </c>
      <c r="T74" s="1174">
        <f>1000*TableA7!$P$91*TableC3!I72/TableC3!$C$91</f>
        <v>0.1300214047498236</v>
      </c>
      <c r="U74" s="1174">
        <f>1000*TableA7!$P$91*TableC3!J72/TableC3!$C$91</f>
        <v>0</v>
      </c>
      <c r="V74" s="1204">
        <f>1000*TableA7!$P$91*TableC3!K72/TableC3!$C$91</f>
        <v>45.395017939021102</v>
      </c>
      <c r="W74" s="1174">
        <f>1000*TableA7!$P$91*TableC3!L72/TableC3!$C$91</f>
        <v>0</v>
      </c>
      <c r="X74" s="1217">
        <f>1000*TableA7!$P$91*TableC3!M72/TableC3!$C$91</f>
        <v>45.395017939021102</v>
      </c>
    </row>
    <row r="75" spans="1:24" ht="14.25" hidden="1" customHeight="1" x14ac:dyDescent="0.2">
      <c r="A75" s="958"/>
      <c r="B75" s="1154" t="s">
        <v>93</v>
      </c>
      <c r="C75" s="1458">
        <f>1000*TableA7!$P$91*(TableC2!D73+TableC2!O73)/(TableC2!$D$91+TableC2!$O$91)</f>
        <v>0</v>
      </c>
      <c r="D75" s="1206">
        <f>1000*TableA7!$P$91*(TableC2!E73+TableC2!P73)/(TableC2!$D$91+TableC2!$O$91)</f>
        <v>0</v>
      </c>
      <c r="E75" s="1159">
        <f>1000*TableA7!$P$91*(TableC2!F73+TableC2!Q73)/(TableC2!$D$91+TableC2!$O$91)</f>
        <v>0</v>
      </c>
      <c r="F75" s="1159">
        <f>1000*TableA7!$P$91*(TableC2!G73+TableC2!R73)/(TableC2!$D$91+TableC2!$O$91)</f>
        <v>0</v>
      </c>
      <c r="G75" s="1159">
        <f>1000*TableA7!$P$91*(TableC2!H73+TableC2!S73)/(TableC2!$D$91+TableC2!$O$91)</f>
        <v>0</v>
      </c>
      <c r="H75" s="1174">
        <f>1000*TableA7!$P$91*(TableC2!I73+TableC2!T73)/(TableC2!$D$91+TableC2!$O$91)</f>
        <v>0</v>
      </c>
      <c r="I75" s="1174">
        <f>1000*TableA7!$P$91*(TableC2!J73+TableC2!U73)/(TableC2!$D$91+TableC2!$O$91)</f>
        <v>0</v>
      </c>
      <c r="J75" s="1174">
        <f>1000*TableA7!$P$91*(TableC2!K73+TableC2!V73)/(TableC2!$D$91+TableC2!$O$91)</f>
        <v>0</v>
      </c>
      <c r="K75" s="1204">
        <f>1000*TableA7!$P$91*(TableC2!L73+TableC2!W73)/(TableC2!$D$91+TableC2!$O$91)</f>
        <v>0</v>
      </c>
      <c r="L75" s="1174">
        <f>1000*TableA7!$P$91*(TableC2!M73+TableC2!X73)/(TableC2!$D$91+TableC2!$O$91)</f>
        <v>0</v>
      </c>
      <c r="M75" s="1235">
        <f>1000*TableA7!$P$91*(TableC2!N73+TableC2!Y73)/(TableC2!$D$91+TableC2!$O$91)</f>
        <v>0</v>
      </c>
      <c r="N75" s="1465">
        <f>1000*TableA7!$P$91*TableC3!C73/TableC3!$C$91</f>
        <v>66.022287465158499</v>
      </c>
      <c r="O75" s="1206">
        <f>1000*TableA7!$P$91*TableC3!D73/TableC3!$C$91</f>
        <v>35.546919619245962</v>
      </c>
      <c r="P75" s="1159">
        <f>1000*TableA7!$P$91*TableC3!E73/TableC3!$C$91</f>
        <v>28.831776947976426</v>
      </c>
      <c r="Q75" s="1159">
        <f>1000*TableA7!$P$91*TableC3!F73/TableC3!$C$91</f>
        <v>6.7151426712695281</v>
      </c>
      <c r="R75" s="1159">
        <f>1000*TableA7!$P$91*TableC3!G73/TableC3!$C$91</f>
        <v>0</v>
      </c>
      <c r="S75" s="1174">
        <f>1000*TableA7!$P$91*TableC3!H73/TableC3!$C$91</f>
        <v>0</v>
      </c>
      <c r="T75" s="1174">
        <f>1000*TableA7!$P$91*TableC3!I73/TableC3!$C$91</f>
        <v>0</v>
      </c>
      <c r="U75" s="1174">
        <f>1000*TableA7!$P$91*TableC3!J73/TableC3!$C$91</f>
        <v>0</v>
      </c>
      <c r="V75" s="1204">
        <f>1000*TableA7!$P$91*TableC3!K73/TableC3!$C$91</f>
        <v>30.475367845912544</v>
      </c>
      <c r="W75" s="1174">
        <f>1000*TableA7!$P$91*TableC3!L73/TableC3!$C$91</f>
        <v>0</v>
      </c>
      <c r="X75" s="1217">
        <f>1000*TableA7!$P$91*TableC3!M73/TableC3!$C$91</f>
        <v>30.475367845912544</v>
      </c>
    </row>
    <row r="76" spans="1:24" ht="14.25" hidden="1" customHeight="1" x14ac:dyDescent="0.2">
      <c r="A76" s="958"/>
      <c r="B76" s="1154" t="s">
        <v>94</v>
      </c>
      <c r="C76" s="1458">
        <f>1000*TableA7!$P$91*(TableC2!D74+TableC2!O74)/(TableC2!$D$91+TableC2!$O$91)</f>
        <v>0</v>
      </c>
      <c r="D76" s="1206">
        <f>1000*TableA7!$P$91*(TableC2!E74+TableC2!P74)/(TableC2!$D$91+TableC2!$O$91)</f>
        <v>0</v>
      </c>
      <c r="E76" s="1159">
        <f>1000*TableA7!$P$91*(TableC2!F74+TableC2!Q74)/(TableC2!$D$91+TableC2!$O$91)</f>
        <v>0</v>
      </c>
      <c r="F76" s="1159">
        <f>1000*TableA7!$P$91*(TableC2!G74+TableC2!R74)/(TableC2!$D$91+TableC2!$O$91)</f>
        <v>0</v>
      </c>
      <c r="G76" s="1159">
        <f>1000*TableA7!$P$91*(TableC2!H74+TableC2!S74)/(TableC2!$D$91+TableC2!$O$91)</f>
        <v>0</v>
      </c>
      <c r="H76" s="1174">
        <f>1000*TableA7!$P$91*(TableC2!I74+TableC2!T74)/(TableC2!$D$91+TableC2!$O$91)</f>
        <v>0</v>
      </c>
      <c r="I76" s="1174">
        <f>1000*TableA7!$P$91*(TableC2!J74+TableC2!U74)/(TableC2!$D$91+TableC2!$O$91)</f>
        <v>0</v>
      </c>
      <c r="J76" s="1174">
        <f>1000*TableA7!$P$91*(TableC2!K74+TableC2!V74)/(TableC2!$D$91+TableC2!$O$91)</f>
        <v>0</v>
      </c>
      <c r="K76" s="1204">
        <f>1000*TableA7!$P$91*(TableC2!L74+TableC2!W74)/(TableC2!$D$91+TableC2!$O$91)</f>
        <v>0</v>
      </c>
      <c r="L76" s="1174">
        <f>1000*TableA7!$P$91*(TableC2!M74+TableC2!X74)/(TableC2!$D$91+TableC2!$O$91)</f>
        <v>0</v>
      </c>
      <c r="M76" s="1235">
        <f>1000*TableA7!$P$91*(TableC2!N74+TableC2!Y74)/(TableC2!$D$91+TableC2!$O$91)</f>
        <v>0</v>
      </c>
      <c r="N76" s="1465">
        <f>1000*TableA7!$P$91*TableC3!C74/TableC3!$C$91</f>
        <v>294.95312442733831</v>
      </c>
      <c r="O76" s="1206">
        <f>1000*TableA7!$P$91*TableC3!D74/TableC3!$C$91</f>
        <v>182.96436291668348</v>
      </c>
      <c r="P76" s="1159">
        <f>1000*TableA7!$P$91*TableC3!E74/TableC3!$C$91</f>
        <v>0</v>
      </c>
      <c r="Q76" s="1159">
        <f>1000*TableA7!$P$91*TableC3!F74/TableC3!$C$91</f>
        <v>0</v>
      </c>
      <c r="R76" s="1159">
        <f>1000*TableA7!$P$91*TableC3!G74/TableC3!$C$91</f>
        <v>0</v>
      </c>
      <c r="S76" s="1174">
        <f>1000*TableA7!$P$91*TableC3!H74/TableC3!$C$91</f>
        <v>182.96436291668348</v>
      </c>
      <c r="T76" s="1174">
        <f>1000*TableA7!$P$91*TableC3!I74/TableC3!$C$91</f>
        <v>0</v>
      </c>
      <c r="U76" s="1174">
        <f>1000*TableA7!$P$91*TableC3!J74/TableC3!$C$91</f>
        <v>0</v>
      </c>
      <c r="V76" s="1204">
        <f>1000*TableA7!$P$91*TableC3!K74/TableC3!$C$91</f>
        <v>111.98876151065484</v>
      </c>
      <c r="W76" s="1174">
        <f>1000*TableA7!$P$91*TableC3!L74/TableC3!$C$91</f>
        <v>0</v>
      </c>
      <c r="X76" s="1217">
        <f>1000*TableA7!$P$91*TableC3!M74/TableC3!$C$91</f>
        <v>111.98876151065484</v>
      </c>
    </row>
    <row r="77" spans="1:24" ht="14.25" hidden="1" customHeight="1" x14ac:dyDescent="0.2">
      <c r="A77" s="329" t="s">
        <v>342</v>
      </c>
      <c r="B77" s="1154" t="s">
        <v>95</v>
      </c>
      <c r="C77" s="1458">
        <f>1000*TableA7!$P$91*(TableC2!D75+TableC2!O75)/(TableC2!$D$91+TableC2!$O$91)</f>
        <v>0</v>
      </c>
      <c r="D77" s="1206">
        <f>1000*TableA7!$P$91*(TableC2!E75+TableC2!P75)/(TableC2!$D$91+TableC2!$O$91)</f>
        <v>0</v>
      </c>
      <c r="E77" s="1159">
        <f>1000*TableA7!$P$91*(TableC2!F75+TableC2!Q75)/(TableC2!$D$91+TableC2!$O$91)</f>
        <v>0</v>
      </c>
      <c r="F77" s="1159">
        <f>1000*TableA7!$P$91*(TableC2!G75+TableC2!R75)/(TableC2!$D$91+TableC2!$O$91)</f>
        <v>0</v>
      </c>
      <c r="G77" s="1159">
        <f>1000*TableA7!$P$91*(TableC2!H75+TableC2!S75)/(TableC2!$D$91+TableC2!$O$91)</f>
        <v>0</v>
      </c>
      <c r="H77" s="1174">
        <f>1000*TableA7!$P$91*(TableC2!I75+TableC2!T75)/(TableC2!$D$91+TableC2!$O$91)</f>
        <v>0</v>
      </c>
      <c r="I77" s="1174">
        <f>1000*TableA7!$P$91*(TableC2!J75+TableC2!U75)/(TableC2!$D$91+TableC2!$O$91)</f>
        <v>0</v>
      </c>
      <c r="J77" s="1174">
        <f>1000*TableA7!$P$91*(TableC2!K75+TableC2!V75)/(TableC2!$D$91+TableC2!$O$91)</f>
        <v>0</v>
      </c>
      <c r="K77" s="1204">
        <f>1000*TableA7!$P$91*(TableC2!L75+TableC2!W75)/(TableC2!$D$91+TableC2!$O$91)</f>
        <v>0</v>
      </c>
      <c r="L77" s="1174">
        <f>1000*TableA7!$P$91*(TableC2!M75+TableC2!X75)/(TableC2!$D$91+TableC2!$O$91)</f>
        <v>0</v>
      </c>
      <c r="M77" s="1235">
        <f>1000*TableA7!$P$91*(TableC2!N75+TableC2!Y75)/(TableC2!$D$91+TableC2!$O$91)</f>
        <v>0</v>
      </c>
      <c r="N77" s="1465">
        <f>1000*TableA7!$P$91*TableC3!C75/TableC3!$C$91</f>
        <v>812.76666003177377</v>
      </c>
      <c r="O77" s="1206">
        <f>1000*TableA7!$P$91*TableC3!D75/TableC3!$C$91</f>
        <v>0.13639600191341961</v>
      </c>
      <c r="P77" s="1159">
        <f>1000*TableA7!$P$91*TableC3!E75/TableC3!$C$91</f>
        <v>0</v>
      </c>
      <c r="Q77" s="1159">
        <f>1000*TableA7!$P$91*TableC3!F75/TableC3!$C$91</f>
        <v>0.13639600191341961</v>
      </c>
      <c r="R77" s="1159">
        <f>1000*TableA7!$P$91*TableC3!G75/TableC3!$C$91</f>
        <v>0</v>
      </c>
      <c r="S77" s="1174">
        <f>1000*TableA7!$P$91*TableC3!H75/TableC3!$C$91</f>
        <v>0</v>
      </c>
      <c r="T77" s="1174">
        <f>1000*TableA7!$P$91*TableC3!I75/TableC3!$C$91</f>
        <v>0</v>
      </c>
      <c r="U77" s="1174">
        <f>1000*TableA7!$P$91*TableC3!J75/TableC3!$C$91</f>
        <v>0</v>
      </c>
      <c r="V77" s="1204">
        <f>1000*TableA7!$P$91*TableC3!K75/TableC3!$C$91</f>
        <v>812.63026402986043</v>
      </c>
      <c r="W77" s="1174">
        <f>1000*TableA7!$P$91*TableC3!L75/TableC3!$C$91</f>
        <v>0</v>
      </c>
      <c r="X77" s="1217">
        <f>1000*TableA7!$P$91*TableC3!M75/TableC3!$C$91</f>
        <v>812.63026402986043</v>
      </c>
    </row>
    <row r="78" spans="1:24" ht="14.25" hidden="1" customHeight="1" x14ac:dyDescent="0.2">
      <c r="A78" s="958"/>
      <c r="B78" s="1154" t="s">
        <v>96</v>
      </c>
      <c r="C78" s="1458">
        <f>1000*TableA7!$P$91*(TableC2!D76+TableC2!O76)/(TableC2!$D$91+TableC2!$O$91)</f>
        <v>0</v>
      </c>
      <c r="D78" s="1206">
        <f>1000*TableA7!$P$91*(TableC2!E76+TableC2!P76)/(TableC2!$D$91+TableC2!$O$91)</f>
        <v>0</v>
      </c>
      <c r="E78" s="1159">
        <f>1000*TableA7!$P$91*(TableC2!F76+TableC2!Q76)/(TableC2!$D$91+TableC2!$O$91)</f>
        <v>0</v>
      </c>
      <c r="F78" s="1159">
        <f>1000*TableA7!$P$91*(TableC2!G76+TableC2!R76)/(TableC2!$D$91+TableC2!$O$91)</f>
        <v>0</v>
      </c>
      <c r="G78" s="1159">
        <f>1000*TableA7!$P$91*(TableC2!H76+TableC2!S76)/(TableC2!$D$91+TableC2!$O$91)</f>
        <v>0</v>
      </c>
      <c r="H78" s="1174">
        <f>1000*TableA7!$P$91*(TableC2!I76+TableC2!T76)/(TableC2!$D$91+TableC2!$O$91)</f>
        <v>0</v>
      </c>
      <c r="I78" s="1174">
        <f>1000*TableA7!$P$91*(TableC2!J76+TableC2!U76)/(TableC2!$D$91+TableC2!$O$91)</f>
        <v>0</v>
      </c>
      <c r="J78" s="1174">
        <f>1000*TableA7!$P$91*(TableC2!K76+TableC2!V76)/(TableC2!$D$91+TableC2!$O$91)</f>
        <v>0</v>
      </c>
      <c r="K78" s="1204">
        <f>1000*TableA7!$P$91*(TableC2!L76+TableC2!W76)/(TableC2!$D$91+TableC2!$O$91)</f>
        <v>0</v>
      </c>
      <c r="L78" s="1174">
        <f>1000*TableA7!$P$91*(TableC2!M76+TableC2!X76)/(TableC2!$D$91+TableC2!$O$91)</f>
        <v>0</v>
      </c>
      <c r="M78" s="634">
        <f>1000*TableA7!$P$91*(TableC2!N76+TableC2!Y76)/(TableC2!$D$91+TableC2!$O$91)</f>
        <v>0</v>
      </c>
      <c r="N78" s="1465">
        <f>1000*TableA7!$P$91*TableC3!C76/TableC3!$C$91</f>
        <v>641.33237716663587</v>
      </c>
      <c r="O78" s="1206">
        <f>1000*TableA7!$P$91*TableC3!D76/TableC3!$C$91</f>
        <v>639.19346927191225</v>
      </c>
      <c r="P78" s="1159">
        <f>1000*TableA7!$P$91*TableC3!E76/TableC3!$C$91</f>
        <v>126.51635725757681</v>
      </c>
      <c r="Q78" s="1159">
        <f>1000*TableA7!$P$91*TableC3!F76/TableC3!$C$91</f>
        <v>1.8534603864968E-2</v>
      </c>
      <c r="R78" s="1159">
        <f>1000*TableA7!$P$91*TableC3!G76/TableC3!$C$91</f>
        <v>65.029552988079089</v>
      </c>
      <c r="S78" s="1174">
        <f>1000*TableA7!$P$91*TableC3!H76/TableC3!$C$91</f>
        <v>98.858333045122791</v>
      </c>
      <c r="T78" s="1174">
        <f>1000*TableA7!$P$91*TableC3!I76/TableC3!$C$91</f>
        <v>348.77069137726852</v>
      </c>
      <c r="U78" s="1174">
        <f>1000*TableA7!$P$91*TableC3!J76/TableC3!$C$91</f>
        <v>0</v>
      </c>
      <c r="V78" s="1204">
        <f>1000*TableA7!$P$91*TableC3!K76/TableC3!$C$91</f>
        <v>2.1389078947235669</v>
      </c>
      <c r="W78" s="1174">
        <f>1000*TableA7!$P$91*TableC3!L76/TableC3!$C$91</f>
        <v>0</v>
      </c>
      <c r="X78" s="635">
        <f>1000*TableA7!$P$91*TableC3!M76/TableC3!$C$91</f>
        <v>2.1389078947235669</v>
      </c>
    </row>
    <row r="79" spans="1:24" ht="14.25" hidden="1" customHeight="1" x14ac:dyDescent="0.2">
      <c r="A79" s="329" t="s">
        <v>373</v>
      </c>
      <c r="B79" s="1154" t="s">
        <v>97</v>
      </c>
      <c r="C79" s="1458">
        <f>1000*TableA7!$P$91*(TableC2!D77+TableC2!O77)/(TableC2!$D$91+TableC2!$O$91)</f>
        <v>0</v>
      </c>
      <c r="D79" s="1206">
        <f>1000*TableA7!$P$91*(TableC2!E77+TableC2!P77)/(TableC2!$D$91+TableC2!$O$91)</f>
        <v>0</v>
      </c>
      <c r="E79" s="1159">
        <f>1000*TableA7!$P$91*(TableC2!F77+TableC2!Q77)/(TableC2!$D$91+TableC2!$O$91)</f>
        <v>0</v>
      </c>
      <c r="F79" s="1159">
        <f>1000*TableA7!$P$91*(TableC2!G77+TableC2!R77)/(TableC2!$D$91+TableC2!$O$91)</f>
        <v>0</v>
      </c>
      <c r="G79" s="1159">
        <f>1000*TableA7!$P$91*(TableC2!H77+TableC2!S77)/(TableC2!$D$91+TableC2!$O$91)</f>
        <v>0</v>
      </c>
      <c r="H79" s="1174">
        <f>1000*TableA7!$P$91*(TableC2!I77+TableC2!T77)/(TableC2!$D$91+TableC2!$O$91)</f>
        <v>0</v>
      </c>
      <c r="I79" s="1174">
        <f>1000*TableA7!$P$91*(TableC2!J77+TableC2!U77)/(TableC2!$D$91+TableC2!$O$91)</f>
        <v>0</v>
      </c>
      <c r="J79" s="1174">
        <f>1000*TableA7!$P$91*(TableC2!K77+TableC2!V77)/(TableC2!$D$91+TableC2!$O$91)</f>
        <v>0</v>
      </c>
      <c r="K79" s="1204">
        <f>1000*TableA7!$P$91*(TableC2!L77+TableC2!W77)/(TableC2!$D$91+TableC2!$O$91)</f>
        <v>0</v>
      </c>
      <c r="L79" s="1174">
        <f>1000*TableA7!$P$91*(TableC2!M77+TableC2!X77)/(TableC2!$D$91+TableC2!$O$91)</f>
        <v>0</v>
      </c>
      <c r="M79" s="1235">
        <f>1000*TableA7!$P$91*(TableC2!N77+TableC2!Y77)/(TableC2!$D$91+TableC2!$O$91)</f>
        <v>0</v>
      </c>
      <c r="N79" s="1465">
        <f>1000*TableA7!$P$91*TableC3!C77/TableC3!$C$91</f>
        <v>326.28514977470184</v>
      </c>
      <c r="O79" s="1206">
        <f>1000*TableA7!$P$91*TableC3!D77/TableC3!$C$91</f>
        <v>98.237965836923934</v>
      </c>
      <c r="P79" s="1159">
        <f>1000*TableA7!$P$91*TableC3!E77/TableC3!$C$91</f>
        <v>98.323752155919934</v>
      </c>
      <c r="Q79" s="1159">
        <f>1000*TableA7!$P$91*TableC3!F77/TableC3!$C$91</f>
        <v>-8.5786318996009983E-2</v>
      </c>
      <c r="R79" s="1159">
        <f>1000*TableA7!$P$91*TableC3!G77/TableC3!$C$91</f>
        <v>0</v>
      </c>
      <c r="S79" s="1174">
        <f>1000*TableA7!$P$91*TableC3!H77/TableC3!$C$91</f>
        <v>0</v>
      </c>
      <c r="T79" s="1174">
        <f>1000*TableA7!$P$91*TableC3!I77/TableC3!$C$91</f>
        <v>0</v>
      </c>
      <c r="U79" s="1174">
        <f>1000*TableA7!$P$91*TableC3!J77/TableC3!$C$91</f>
        <v>0</v>
      </c>
      <c r="V79" s="1204">
        <f>1000*TableA7!$P$91*TableC3!K77/TableC3!$C$91</f>
        <v>228.0471839377779</v>
      </c>
      <c r="W79" s="1174">
        <f>1000*TableA7!$P$91*TableC3!L77/TableC3!$C$91</f>
        <v>0</v>
      </c>
      <c r="X79" s="1217">
        <f>1000*TableA7!$P$91*TableC3!M77/TableC3!$C$91</f>
        <v>228.0471839377779</v>
      </c>
    </row>
    <row r="80" spans="1:24" ht="14.25" hidden="1" customHeight="1" x14ac:dyDescent="0.2">
      <c r="A80" s="958"/>
      <c r="B80" s="1154" t="str">
        <f>+TableA1!A79</f>
        <v>Monaco</v>
      </c>
      <c r="C80" s="1458">
        <f>1000*TableA7!$P$91*(TableC2!D78+TableC2!O78)/(TableC2!$D$91+TableC2!$O$91)</f>
        <v>0</v>
      </c>
      <c r="D80" s="1206">
        <f>1000*TableA7!$P$91*(TableC2!E78+TableC2!P78)/(TableC2!$D$91+TableC2!$O$91)</f>
        <v>0</v>
      </c>
      <c r="E80" s="1159">
        <f>1000*TableA7!$P$91*(TableC2!F78+TableC2!Q78)/(TableC2!$D$91+TableC2!$O$91)</f>
        <v>0</v>
      </c>
      <c r="F80" s="1159">
        <f>1000*TableA7!$P$91*(TableC2!G78+TableC2!R78)/(TableC2!$D$91+TableC2!$O$91)</f>
        <v>0</v>
      </c>
      <c r="G80" s="1159">
        <f>1000*TableA7!$P$91*(TableC2!H78+TableC2!S78)/(TableC2!$D$91+TableC2!$O$91)</f>
        <v>0</v>
      </c>
      <c r="H80" s="1174">
        <f>1000*TableA7!$P$91*(TableC2!I78+TableC2!T78)/(TableC2!$D$91+TableC2!$O$91)</f>
        <v>0</v>
      </c>
      <c r="I80" s="1174">
        <f>1000*TableA7!$P$91*(TableC2!J78+TableC2!U78)/(TableC2!$D$91+TableC2!$O$91)</f>
        <v>0</v>
      </c>
      <c r="J80" s="1174">
        <f>1000*TableA7!$P$91*(TableC2!K78+TableC2!V78)/(TableC2!$D$91+TableC2!$O$91)</f>
        <v>0</v>
      </c>
      <c r="K80" s="1204">
        <f>1000*TableA7!$P$91*(TableC2!L78+TableC2!W78)/(TableC2!$D$91+TableC2!$O$91)</f>
        <v>0</v>
      </c>
      <c r="L80" s="1174">
        <f>1000*TableA7!$P$91*(TableC2!M78+TableC2!X78)/(TableC2!$D$91+TableC2!$O$91)</f>
        <v>0</v>
      </c>
      <c r="M80" s="1235">
        <f>1000*TableA7!$P$91*(TableC2!N78+TableC2!Y78)/(TableC2!$D$91+TableC2!$O$91)</f>
        <v>0</v>
      </c>
      <c r="N80" s="1465">
        <f>1000*TableA7!$P$91*TableC3!C78/TableC3!$C$91</f>
        <v>0.6701641778232591</v>
      </c>
      <c r="O80" s="1206">
        <f>1000*TableA7!$P$91*TableC3!D78/TableC3!$C$91</f>
        <v>0</v>
      </c>
      <c r="P80" s="1159">
        <f>1000*TableA7!$P$91*TableC3!E78/TableC3!$C$91</f>
        <v>0</v>
      </c>
      <c r="Q80" s="1159">
        <f>1000*TableA7!$P$91*TableC3!F78/TableC3!$C$91</f>
        <v>0</v>
      </c>
      <c r="R80" s="1159">
        <f>1000*TableA7!$P$91*TableC3!G78/TableC3!$C$91</f>
        <v>0</v>
      </c>
      <c r="S80" s="1174">
        <f>1000*TableA7!$P$91*TableC3!H78/TableC3!$C$91</f>
        <v>0</v>
      </c>
      <c r="T80" s="1174">
        <f>1000*TableA7!$P$91*TableC3!I78/TableC3!$C$91</f>
        <v>0</v>
      </c>
      <c r="U80" s="1174">
        <f>1000*TableA7!$P$91*TableC3!J78/TableC3!$C$91</f>
        <v>0</v>
      </c>
      <c r="V80" s="1204">
        <f>1000*TableA7!$P$91*TableC3!K78/TableC3!$C$91</f>
        <v>0.6701641778232591</v>
      </c>
      <c r="W80" s="1174">
        <f>1000*TableA7!$P$91*TableC3!L78/TableC3!$C$91</f>
        <v>0</v>
      </c>
      <c r="X80" s="1217">
        <f>1000*TableA7!$P$91*TableC3!M78/TableC3!$C$91</f>
        <v>0.6701641778232591</v>
      </c>
    </row>
    <row r="81" spans="1:24" ht="14.25" hidden="1" customHeight="1" x14ac:dyDescent="0.2">
      <c r="A81" s="958"/>
      <c r="B81" s="1154" t="s">
        <v>99</v>
      </c>
      <c r="C81" s="1458">
        <f>1000*TableA7!$P$91*(TableC2!D79+TableC2!O79)/(TableC2!$D$91+TableC2!$O$91)</f>
        <v>0</v>
      </c>
      <c r="D81" s="1206">
        <f>1000*TableA7!$P$91*(TableC2!E79+TableC2!P79)/(TableC2!$D$91+TableC2!$O$91)</f>
        <v>0</v>
      </c>
      <c r="E81" s="1159">
        <f>1000*TableA7!$P$91*(TableC2!F79+TableC2!Q79)/(TableC2!$D$91+TableC2!$O$91)</f>
        <v>0</v>
      </c>
      <c r="F81" s="1159">
        <f>1000*TableA7!$P$91*(TableC2!G79+TableC2!R79)/(TableC2!$D$91+TableC2!$O$91)</f>
        <v>0</v>
      </c>
      <c r="G81" s="1159">
        <f>1000*TableA7!$P$91*(TableC2!H79+TableC2!S79)/(TableC2!$D$91+TableC2!$O$91)</f>
        <v>0</v>
      </c>
      <c r="H81" s="1174">
        <f>1000*TableA7!$P$91*(TableC2!I79+TableC2!T79)/(TableC2!$D$91+TableC2!$O$91)</f>
        <v>0</v>
      </c>
      <c r="I81" s="1174">
        <f>1000*TableA7!$P$91*(TableC2!J79+TableC2!U79)/(TableC2!$D$91+TableC2!$O$91)</f>
        <v>0</v>
      </c>
      <c r="J81" s="1174">
        <f>1000*TableA7!$P$91*(TableC2!K79+TableC2!V79)/(TableC2!$D$91+TableC2!$O$91)</f>
        <v>0</v>
      </c>
      <c r="K81" s="1204">
        <f>1000*TableA7!$P$91*(TableC2!L79+TableC2!W79)/(TableC2!$D$91+TableC2!$O$91)</f>
        <v>0</v>
      </c>
      <c r="L81" s="1174">
        <f>1000*TableA7!$P$91*(TableC2!M79+TableC2!X79)/(TableC2!$D$91+TableC2!$O$91)</f>
        <v>0</v>
      </c>
      <c r="M81" s="1235">
        <f>1000*TableA7!$P$91*(TableC2!N79+TableC2!Y79)/(TableC2!$D$91+TableC2!$O$91)</f>
        <v>0</v>
      </c>
      <c r="N81" s="1465">
        <f>1000*TableA7!$P$91*TableC3!C79/TableC3!$C$91</f>
        <v>9.6804546550809096</v>
      </c>
      <c r="O81" s="1206">
        <f>1000*TableA7!$P$91*TableC3!D79/TableC3!$C$91</f>
        <v>0</v>
      </c>
      <c r="P81" s="1159">
        <f>1000*TableA7!$P$91*TableC3!E79/TableC3!$C$91</f>
        <v>0</v>
      </c>
      <c r="Q81" s="1159">
        <f>1000*TableA7!$P$91*TableC3!F79/TableC3!$C$91</f>
        <v>0</v>
      </c>
      <c r="R81" s="1159">
        <f>1000*TableA7!$P$91*TableC3!G79/TableC3!$C$91</f>
        <v>0</v>
      </c>
      <c r="S81" s="1174">
        <f>1000*TableA7!$P$91*TableC3!H79/TableC3!$C$91</f>
        <v>0</v>
      </c>
      <c r="T81" s="1174">
        <f>1000*TableA7!$P$91*TableC3!I79/TableC3!$C$91</f>
        <v>0</v>
      </c>
      <c r="U81" s="1174">
        <f>1000*TableA7!$P$91*TableC3!J79/TableC3!$C$91</f>
        <v>0</v>
      </c>
      <c r="V81" s="1204">
        <f>1000*TableA7!$P$91*TableC3!K79/TableC3!$C$91</f>
        <v>9.6804546550809096</v>
      </c>
      <c r="W81" s="1174">
        <f>1000*TableA7!$P$91*TableC3!L79/TableC3!$C$91</f>
        <v>0</v>
      </c>
      <c r="X81" s="1217">
        <f>1000*TableA7!$P$91*TableC3!M79/TableC3!$C$91</f>
        <v>9.6804546550809096</v>
      </c>
    </row>
    <row r="82" spans="1:24" ht="14.25" hidden="1" customHeight="1" x14ac:dyDescent="0.2">
      <c r="A82" s="958"/>
      <c r="B82" s="1154" t="s">
        <v>100</v>
      </c>
      <c r="C82" s="1458">
        <f>1000*TableA7!$P$91*(TableC2!D80+TableC2!O80)/(TableC2!$D$91+TableC2!$O$91)</f>
        <v>0</v>
      </c>
      <c r="D82" s="1206">
        <f>1000*TableA7!$P$91*(TableC2!E80+TableC2!P80)/(TableC2!$D$91+TableC2!$O$91)</f>
        <v>0</v>
      </c>
      <c r="E82" s="1159">
        <f>1000*TableA7!$P$91*(TableC2!F80+TableC2!Q80)/(TableC2!$D$91+TableC2!$O$91)</f>
        <v>0</v>
      </c>
      <c r="F82" s="1159">
        <f>1000*TableA7!$P$91*(TableC2!G80+TableC2!R80)/(TableC2!$D$91+TableC2!$O$91)</f>
        <v>0</v>
      </c>
      <c r="G82" s="1159">
        <f>1000*TableA7!$P$91*(TableC2!H80+TableC2!S80)/(TableC2!$D$91+TableC2!$O$91)</f>
        <v>0</v>
      </c>
      <c r="H82" s="1174">
        <f>1000*TableA7!$P$91*(TableC2!I80+TableC2!T80)/(TableC2!$D$91+TableC2!$O$91)</f>
        <v>0</v>
      </c>
      <c r="I82" s="1174">
        <f>1000*TableA7!$P$91*(TableC2!J80+TableC2!U80)/(TableC2!$D$91+TableC2!$O$91)</f>
        <v>0</v>
      </c>
      <c r="J82" s="1174">
        <f>1000*TableA7!$P$91*(TableC2!K80+TableC2!V80)/(TableC2!$D$91+TableC2!$O$91)</f>
        <v>0</v>
      </c>
      <c r="K82" s="1204">
        <f>1000*TableA7!$P$91*(TableC2!L80+TableC2!W80)/(TableC2!$D$91+TableC2!$O$91)</f>
        <v>0</v>
      </c>
      <c r="L82" s="1174">
        <f>1000*TableA7!$P$91*(TableC2!M80+TableC2!X80)/(TableC2!$D$91+TableC2!$O$91)</f>
        <v>0</v>
      </c>
      <c r="M82" s="1235">
        <f>1000*TableA7!$P$91*(TableC2!N80+TableC2!Y80)/(TableC2!$D$91+TableC2!$O$91)</f>
        <v>0</v>
      </c>
      <c r="N82" s="1465">
        <f>1000*TableA7!$P$91*TableC3!C80/TableC3!$C$91</f>
        <v>960.55840091503774</v>
      </c>
      <c r="O82" s="1206">
        <f>1000*TableA7!$P$91*TableC3!D80/TableC3!$C$91</f>
        <v>1.8472285571699145</v>
      </c>
      <c r="P82" s="1159">
        <f>1000*TableA7!$P$91*TableC3!E80/TableC3!$C$91</f>
        <v>-0.24396118955980259</v>
      </c>
      <c r="Q82" s="1159">
        <f>1000*TableA7!$P$91*TableC3!F80/TableC3!$C$91</f>
        <v>2.0911897467297171</v>
      </c>
      <c r="R82" s="1159">
        <f>1000*TableA7!$P$91*TableC3!G80/TableC3!$C$91</f>
        <v>0</v>
      </c>
      <c r="S82" s="1174">
        <f>1000*TableA7!$P$91*TableC3!H80/TableC3!$C$91</f>
        <v>0</v>
      </c>
      <c r="T82" s="1174">
        <f>1000*TableA7!$P$91*TableC3!I80/TableC3!$C$91</f>
        <v>0</v>
      </c>
      <c r="U82" s="1174">
        <f>1000*TableA7!$P$91*TableC3!J80/TableC3!$C$91</f>
        <v>0</v>
      </c>
      <c r="V82" s="1204">
        <f>1000*TableA7!$P$91*TableC3!K80/TableC3!$C$91</f>
        <v>958.71117235786801</v>
      </c>
      <c r="W82" s="1174">
        <f>1000*TableA7!$P$91*TableC3!L80/TableC3!$C$91</f>
        <v>0</v>
      </c>
      <c r="X82" s="1217">
        <f>1000*TableA7!$P$91*TableC3!M80/TableC3!$C$91</f>
        <v>958.71117235786801</v>
      </c>
    </row>
    <row r="83" spans="1:24" ht="14.25" hidden="1" customHeight="1" x14ac:dyDescent="0.2">
      <c r="A83" s="958"/>
      <c r="B83" s="1154" t="str">
        <f>+TableA1!A82</f>
        <v>Seychelles</v>
      </c>
      <c r="C83" s="1458">
        <f>1000*TableA7!$P$91*(TableC2!D81+TableC2!O81)/(TableC2!$D$91+TableC2!$O$91)</f>
        <v>0</v>
      </c>
      <c r="D83" s="1206">
        <f>1000*TableA7!$P$91*(TableC2!E81+TableC2!P81)/(TableC2!$D$91+TableC2!$O$91)</f>
        <v>0</v>
      </c>
      <c r="E83" s="1159">
        <f>1000*TableA7!$P$91*(TableC2!F81+TableC2!Q81)/(TableC2!$D$91+TableC2!$O$91)</f>
        <v>0</v>
      </c>
      <c r="F83" s="1159">
        <f>1000*TableA7!$P$91*(TableC2!G81+TableC2!R81)/(TableC2!$D$91+TableC2!$O$91)</f>
        <v>0</v>
      </c>
      <c r="G83" s="1159">
        <f>1000*TableA7!$P$91*(TableC2!H81+TableC2!S81)/(TableC2!$D$91+TableC2!$O$91)</f>
        <v>0</v>
      </c>
      <c r="H83" s="1174">
        <f>1000*TableA7!$P$91*(TableC2!I81+TableC2!T81)/(TableC2!$D$91+TableC2!$O$91)</f>
        <v>0</v>
      </c>
      <c r="I83" s="1174">
        <f>1000*TableA7!$P$91*(TableC2!J81+TableC2!U81)/(TableC2!$D$91+TableC2!$O$91)</f>
        <v>0</v>
      </c>
      <c r="J83" s="1174">
        <f>1000*TableA7!$P$91*(TableC2!K81+TableC2!V81)/(TableC2!$D$91+TableC2!$O$91)</f>
        <v>0</v>
      </c>
      <c r="K83" s="1204">
        <f>1000*TableA7!$P$91*(TableC2!L81+TableC2!W81)/(TableC2!$D$91+TableC2!$O$91)</f>
        <v>0</v>
      </c>
      <c r="L83" s="1174">
        <f>1000*TableA7!$P$91*(TableC2!M81+TableC2!X81)/(TableC2!$D$91+TableC2!$O$91)</f>
        <v>0</v>
      </c>
      <c r="M83" s="1235">
        <f>1000*TableA7!$P$91*(TableC2!N81+TableC2!Y81)/(TableC2!$D$91+TableC2!$O$91)</f>
        <v>0</v>
      </c>
      <c r="N83" s="1465">
        <f>1000*TableA7!$P$91*TableC3!C81/TableC3!$C$91</f>
        <v>45.509516321954692</v>
      </c>
      <c r="O83" s="1206">
        <f>1000*TableA7!$P$91*TableC3!D81/TableC3!$C$91</f>
        <v>8.6095600665294286E-2</v>
      </c>
      <c r="P83" s="1159">
        <f>1000*TableA7!$P$91*TableC3!E81/TableC3!$C$91</f>
        <v>0</v>
      </c>
      <c r="Q83" s="1159">
        <f>1000*TableA7!$P$91*TableC3!F81/TableC3!$C$91</f>
        <v>8.6095600665294286E-2</v>
      </c>
      <c r="R83" s="1159">
        <f>1000*TableA7!$P$91*TableC3!G81/TableC3!$C$91</f>
        <v>0</v>
      </c>
      <c r="S83" s="1174">
        <f>1000*TableA7!$P$91*TableC3!H81/TableC3!$C$91</f>
        <v>0</v>
      </c>
      <c r="T83" s="1174">
        <f>1000*TableA7!$P$91*TableC3!I81/TableC3!$C$91</f>
        <v>0</v>
      </c>
      <c r="U83" s="1174">
        <f>1000*TableA7!$P$91*TableC3!J81/TableC3!$C$91</f>
        <v>0</v>
      </c>
      <c r="V83" s="1204">
        <f>1000*TableA7!$P$91*TableC3!K81/TableC3!$C$91</f>
        <v>45.423420721289389</v>
      </c>
      <c r="W83" s="1174">
        <f>1000*TableA7!$P$91*TableC3!L81/TableC3!$C$91</f>
        <v>0</v>
      </c>
      <c r="X83" s="1217">
        <f>1000*TableA7!$P$91*TableC3!M81/TableC3!$C$91</f>
        <v>45.423420721289389</v>
      </c>
    </row>
    <row r="84" spans="1:24" hidden="1" x14ac:dyDescent="0.2">
      <c r="A84" s="958"/>
      <c r="B84" s="1154" t="s">
        <v>102</v>
      </c>
      <c r="C84" s="1458">
        <f>1000*TableA7!$P$91*(TableC2!D82+TableC2!O82)/(TableC2!$D$91+TableC2!$O$91)</f>
        <v>0</v>
      </c>
      <c r="D84" s="1206">
        <f>1000*TableA7!$P$91*(TableC2!E82+TableC2!P82)/(TableC2!$D$91+TableC2!$O$91)</f>
        <v>0</v>
      </c>
      <c r="E84" s="1159">
        <f>1000*TableA7!$P$91*(TableC2!F82+TableC2!Q82)/(TableC2!$D$91+TableC2!$O$91)</f>
        <v>0</v>
      </c>
      <c r="F84" s="1159">
        <f>1000*TableA7!$P$91*(TableC2!G82+TableC2!R82)/(TableC2!$D$91+TableC2!$O$91)</f>
        <v>0</v>
      </c>
      <c r="G84" s="1159">
        <f>1000*TableA7!$P$91*(TableC2!H82+TableC2!S82)/(TableC2!$D$91+TableC2!$O$91)</f>
        <v>0</v>
      </c>
      <c r="H84" s="1174">
        <f>1000*TableA7!$P$91*(TableC2!I82+TableC2!T82)/(TableC2!$D$91+TableC2!$O$91)</f>
        <v>0</v>
      </c>
      <c r="I84" s="1174">
        <f>1000*TableA7!$P$91*(TableC2!J82+TableC2!U82)/(TableC2!$D$91+TableC2!$O$91)</f>
        <v>0</v>
      </c>
      <c r="J84" s="1174">
        <f>1000*TableA7!$P$91*(TableC2!K82+TableC2!V82)/(TableC2!$D$91+TableC2!$O$91)</f>
        <v>0</v>
      </c>
      <c r="K84" s="1204">
        <f>1000*TableA7!$P$91*(TableC2!L82+TableC2!W82)/(TableC2!$D$91+TableC2!$O$91)</f>
        <v>0</v>
      </c>
      <c r="L84" s="1174">
        <f>1000*TableA7!$P$91*(TableC2!M82+TableC2!X82)/(TableC2!$D$91+TableC2!$O$91)</f>
        <v>0</v>
      </c>
      <c r="M84" s="1235">
        <f>1000*TableA7!$P$91*(TableC2!N82+TableC2!Y82)/(TableC2!$D$91+TableC2!$O$91)</f>
        <v>0</v>
      </c>
      <c r="N84" s="1465">
        <f>1000*TableA7!$P$91*TableC3!C82/TableC3!$C$91</f>
        <v>9233.5573283388803</v>
      </c>
      <c r="O84" s="1206">
        <f>1000*TableA7!$P$91*TableC3!D82/TableC3!$C$91</f>
        <v>919.28523448351496</v>
      </c>
      <c r="P84" s="1159">
        <f>1000*TableA7!$P$91*TableC3!E82/TableC3!$C$91</f>
        <v>-111.26108796590918</v>
      </c>
      <c r="Q84" s="1159">
        <f>1000*TableA7!$P$91*TableC3!F82/TableC3!$C$91</f>
        <v>0.53944880935275707</v>
      </c>
      <c r="R84" s="1159">
        <f>1000*TableA7!$P$91*TableC3!G82/TableC3!$C$91</f>
        <v>0</v>
      </c>
      <c r="S84" s="1174">
        <f>1000*TableA7!$P$91*TableC3!H82/TableC3!$C$91</f>
        <v>334.58351495364332</v>
      </c>
      <c r="T84" s="1174">
        <f>1000*TableA7!$P$91*TableC3!I82/TableC3!$C$91</f>
        <v>0</v>
      </c>
      <c r="U84" s="1174">
        <f>1000*TableA7!$P$91*TableC3!J82/TableC3!$C$91</f>
        <v>695.42335868642806</v>
      </c>
      <c r="V84" s="1204">
        <f>1000*TableA7!$P$91*TableC3!K82/TableC3!$C$91</f>
        <v>8314.2720938553648</v>
      </c>
      <c r="W84" s="1174">
        <f>1000*TableA7!$P$91*TableC3!L82/TableC3!$C$91</f>
        <v>0</v>
      </c>
      <c r="X84" s="1217">
        <f>1000*TableA7!$P$91*TableC3!M82/TableC3!$C$91</f>
        <v>8314.2720938553648</v>
      </c>
    </row>
    <row r="85" spans="1:24" hidden="1" x14ac:dyDescent="0.2">
      <c r="A85" s="958"/>
      <c r="B85" s="1154" t="str">
        <f>+TableA1!A84</f>
        <v>St. Kitts and Nevis</v>
      </c>
      <c r="C85" s="1458">
        <f>1000*TableA7!$P$91*(TableC2!D83+TableC2!O83)/(TableC2!$D$91+TableC2!$O$91)</f>
        <v>0</v>
      </c>
      <c r="D85" s="1206">
        <f>1000*TableA7!$P$91*(TableC2!E83+TableC2!P83)/(TableC2!$D$91+TableC2!$O$91)</f>
        <v>0</v>
      </c>
      <c r="E85" s="1159">
        <f>1000*TableA7!$P$91*(TableC2!F83+TableC2!Q83)/(TableC2!$D$91+TableC2!$O$91)</f>
        <v>0</v>
      </c>
      <c r="F85" s="1159">
        <f>1000*TableA7!$P$91*(TableC2!G83+TableC2!R83)/(TableC2!$D$91+TableC2!$O$91)</f>
        <v>0</v>
      </c>
      <c r="G85" s="1159">
        <f>1000*TableA7!$P$91*(TableC2!H83+TableC2!S83)/(TableC2!$D$91+TableC2!$O$91)</f>
        <v>0</v>
      </c>
      <c r="H85" s="1174">
        <f>1000*TableA7!$P$91*(TableC2!I83+TableC2!T83)/(TableC2!$D$91+TableC2!$O$91)</f>
        <v>0</v>
      </c>
      <c r="I85" s="1174">
        <f>1000*TableA7!$P$91*(TableC2!J83+TableC2!U83)/(TableC2!$D$91+TableC2!$O$91)</f>
        <v>0</v>
      </c>
      <c r="J85" s="1174">
        <f>1000*TableA7!$P$91*(TableC2!K83+TableC2!V83)/(TableC2!$D$91+TableC2!$O$91)</f>
        <v>0</v>
      </c>
      <c r="K85" s="1204">
        <f>1000*TableA7!$P$91*(TableC2!L83+TableC2!W83)/(TableC2!$D$91+TableC2!$O$91)</f>
        <v>0</v>
      </c>
      <c r="L85" s="1174">
        <f>1000*TableA7!$P$91*(TableC2!M83+TableC2!X83)/(TableC2!$D$91+TableC2!$O$91)</f>
        <v>0</v>
      </c>
      <c r="M85" s="1235">
        <f>1000*TableA7!$P$91*(TableC2!N83+TableC2!Y83)/(TableC2!$D$91+TableC2!$O$91)</f>
        <v>0</v>
      </c>
      <c r="N85" s="1465">
        <f>1000*TableA7!$P$91*TableC3!C83/TableC3!$C$91</f>
        <v>-3.0624530771837317E-2</v>
      </c>
      <c r="O85" s="1206">
        <f>1000*TableA7!$P$91*TableC3!D83/TableC3!$C$91</f>
        <v>2.4645560930034922E-3</v>
      </c>
      <c r="P85" s="1159">
        <f>1000*TableA7!$P$91*TableC3!E83/TableC3!$C$91</f>
        <v>0</v>
      </c>
      <c r="Q85" s="1159">
        <f>1000*TableA7!$P$91*TableC3!F83/TableC3!$C$91</f>
        <v>2.4645560930034922E-3</v>
      </c>
      <c r="R85" s="1159">
        <f>1000*TableA7!$P$91*TableC3!G83/TableC3!$C$91</f>
        <v>0</v>
      </c>
      <c r="S85" s="1174">
        <f>1000*TableA7!$P$91*TableC3!H83/TableC3!$C$91</f>
        <v>0</v>
      </c>
      <c r="T85" s="1174">
        <f>1000*TableA7!$P$91*TableC3!I83/TableC3!$C$91</f>
        <v>0</v>
      </c>
      <c r="U85" s="1174">
        <f>1000*TableA7!$P$91*TableC3!J83/TableC3!$C$91</f>
        <v>0</v>
      </c>
      <c r="V85" s="1204">
        <f>1000*TableA7!$P$91*TableC3!K83/TableC3!$C$91</f>
        <v>-3.3089086864840807E-2</v>
      </c>
      <c r="W85" s="1174">
        <f>1000*TableA7!$P$91*TableC3!L83/TableC3!$C$91</f>
        <v>0</v>
      </c>
      <c r="X85" s="1217">
        <f>1000*TableA7!$P$91*TableC3!M83/TableC3!$C$91</f>
        <v>-3.3089086864840807E-2</v>
      </c>
    </row>
    <row r="86" spans="1:24" hidden="1" x14ac:dyDescent="0.2">
      <c r="A86" s="958"/>
      <c r="B86" s="1154" t="str">
        <f>+TableA1!A85</f>
        <v>St. Lucia</v>
      </c>
      <c r="C86" s="1458">
        <f>1000*TableA7!$P$91*(TableC2!D84+TableC2!O84)/(TableC2!$D$91+TableC2!$O$91)</f>
        <v>0</v>
      </c>
      <c r="D86" s="1206">
        <f>1000*TableA7!$P$91*(TableC2!E84+TableC2!P84)/(TableC2!$D$91+TableC2!$O$91)</f>
        <v>0</v>
      </c>
      <c r="E86" s="1159">
        <f>1000*TableA7!$P$91*(TableC2!F84+TableC2!Q84)/(TableC2!$D$91+TableC2!$O$91)</f>
        <v>0</v>
      </c>
      <c r="F86" s="1159">
        <f>1000*TableA7!$P$91*(TableC2!G84+TableC2!R84)/(TableC2!$D$91+TableC2!$O$91)</f>
        <v>0</v>
      </c>
      <c r="G86" s="1159">
        <f>1000*TableA7!$P$91*(TableC2!H84+TableC2!S84)/(TableC2!$D$91+TableC2!$O$91)</f>
        <v>0</v>
      </c>
      <c r="H86" s="1174">
        <f>1000*TableA7!$P$91*(TableC2!I84+TableC2!T84)/(TableC2!$D$91+TableC2!$O$91)</f>
        <v>0</v>
      </c>
      <c r="I86" s="1174">
        <f>1000*TableA7!$P$91*(TableC2!J84+TableC2!U84)/(TableC2!$D$91+TableC2!$O$91)</f>
        <v>0</v>
      </c>
      <c r="J86" s="1174">
        <f>1000*TableA7!$P$91*(TableC2!K84+TableC2!V84)/(TableC2!$D$91+TableC2!$O$91)</f>
        <v>0</v>
      </c>
      <c r="K86" s="1204">
        <f>1000*TableA7!$P$91*(TableC2!L84+TableC2!W84)/(TableC2!$D$91+TableC2!$O$91)</f>
        <v>0</v>
      </c>
      <c r="L86" s="1174">
        <f>1000*TableA7!$P$91*(TableC2!M84+TableC2!X84)/(TableC2!$D$91+TableC2!$O$91)</f>
        <v>0</v>
      </c>
      <c r="M86" s="1235">
        <f>1000*TableA7!$P$91*(TableC2!N84+TableC2!Y84)/(TableC2!$D$91+TableC2!$O$91)</f>
        <v>0</v>
      </c>
      <c r="N86" s="1465">
        <f>1000*TableA7!$P$91*TableC3!C84/TableC3!$C$91</f>
        <v>-11.955246298263701</v>
      </c>
      <c r="O86" s="1206">
        <f>1000*TableA7!$P$91*TableC3!D84/TableC3!$C$91</f>
        <v>-0.33657358131131687</v>
      </c>
      <c r="P86" s="1159">
        <f>1000*TableA7!$P$91*TableC3!E84/TableC3!$C$91</f>
        <v>-0.3696381659997009</v>
      </c>
      <c r="Q86" s="1159">
        <f>1000*TableA7!$P$91*TableC3!F84/TableC3!$C$91</f>
        <v>3.3064584688384017E-2</v>
      </c>
      <c r="R86" s="1159">
        <f>1000*TableA7!$P$91*TableC3!G84/TableC3!$C$91</f>
        <v>0</v>
      </c>
      <c r="S86" s="1174">
        <f>1000*TableA7!$P$91*TableC3!H84/TableC3!$C$91</f>
        <v>0</v>
      </c>
      <c r="T86" s="1174">
        <f>1000*TableA7!$P$91*TableC3!I84/TableC3!$C$91</f>
        <v>0</v>
      </c>
      <c r="U86" s="1174">
        <f>1000*TableA7!$P$91*TableC3!J84/TableC3!$C$91</f>
        <v>0</v>
      </c>
      <c r="V86" s="1204">
        <f>1000*TableA7!$P$91*TableC3!K84/TableC3!$C$91</f>
        <v>-11.618672716952382</v>
      </c>
      <c r="W86" s="1174">
        <f>1000*TableA7!$P$91*TableC3!L84/TableC3!$C$91</f>
        <v>0</v>
      </c>
      <c r="X86" s="1217">
        <f>1000*TableA7!$P$91*TableC3!M84/TableC3!$C$91</f>
        <v>-11.618672716952382</v>
      </c>
    </row>
    <row r="87" spans="1:24" hidden="1" x14ac:dyDescent="0.2">
      <c r="A87" s="958"/>
      <c r="B87" s="1154" t="str">
        <f>+TableA1!A86</f>
        <v>St. Vincent and the Grenadines</v>
      </c>
      <c r="C87" s="1458">
        <f>1000*TableA7!$P$91*(TableC2!D85+TableC2!O85)/(TableC2!$D$91+TableC2!$O$91)</f>
        <v>0</v>
      </c>
      <c r="D87" s="1206">
        <f>1000*TableA7!$P$91*(TableC2!E85+TableC2!P85)/(TableC2!$D$91+TableC2!$O$91)</f>
        <v>0</v>
      </c>
      <c r="E87" s="1159">
        <f>1000*TableA7!$P$91*(TableC2!F85+TableC2!Q85)/(TableC2!$D$91+TableC2!$O$91)</f>
        <v>0</v>
      </c>
      <c r="F87" s="1159">
        <f>1000*TableA7!$P$91*(TableC2!G85+TableC2!R85)/(TableC2!$D$91+TableC2!$O$91)</f>
        <v>0</v>
      </c>
      <c r="G87" s="1159">
        <f>1000*TableA7!$P$91*(TableC2!H85+TableC2!S85)/(TableC2!$D$91+TableC2!$O$91)</f>
        <v>0</v>
      </c>
      <c r="H87" s="1174">
        <f>1000*TableA7!$P$91*(TableC2!I85+TableC2!T85)/(TableC2!$D$91+TableC2!$O$91)</f>
        <v>0</v>
      </c>
      <c r="I87" s="1174">
        <f>1000*TableA7!$P$91*(TableC2!J85+TableC2!U85)/(TableC2!$D$91+TableC2!$O$91)</f>
        <v>0</v>
      </c>
      <c r="J87" s="1174">
        <f>1000*TableA7!$P$91*(TableC2!K85+TableC2!V85)/(TableC2!$D$91+TableC2!$O$91)</f>
        <v>0</v>
      </c>
      <c r="K87" s="1204">
        <f>1000*TableA7!$P$91*(TableC2!L85+TableC2!W85)/(TableC2!$D$91+TableC2!$O$91)</f>
        <v>0</v>
      </c>
      <c r="L87" s="1174">
        <f>1000*TableA7!$P$91*(TableC2!M85+TableC2!X85)/(TableC2!$D$91+TableC2!$O$91)</f>
        <v>0</v>
      </c>
      <c r="M87" s="1235">
        <f>1000*TableA7!$P$91*(TableC2!N85+TableC2!Y85)/(TableC2!$D$91+TableC2!$O$91)</f>
        <v>0</v>
      </c>
      <c r="N87" s="1465">
        <f>1000*TableA7!$P$91*TableC3!C85/TableC3!$C$91</f>
        <v>2.8419343387101836</v>
      </c>
      <c r="O87" s="1206">
        <f>1000*TableA7!$P$91*TableC3!D85/TableC3!$C$91</f>
        <v>1.0022714416423105E-3</v>
      </c>
      <c r="P87" s="1159">
        <f>1000*TableA7!$P$91*TableC3!E85/TableC3!$C$91</f>
        <v>0</v>
      </c>
      <c r="Q87" s="1159">
        <f>1000*TableA7!$P$91*TableC3!F85/TableC3!$C$91</f>
        <v>1.0022714416423105E-3</v>
      </c>
      <c r="R87" s="1159">
        <f>1000*TableA7!$P$91*TableC3!G85/TableC3!$C$91</f>
        <v>0</v>
      </c>
      <c r="S87" s="1174">
        <f>1000*TableA7!$P$91*TableC3!H85/TableC3!$C$91</f>
        <v>0</v>
      </c>
      <c r="T87" s="1174">
        <f>1000*TableA7!$P$91*TableC3!I85/TableC3!$C$91</f>
        <v>0</v>
      </c>
      <c r="U87" s="1174">
        <f>1000*TableA7!$P$91*TableC3!J85/TableC3!$C$91</f>
        <v>0</v>
      </c>
      <c r="V87" s="1204">
        <f>1000*TableA7!$P$91*TableC3!K85/TableC3!$C$91</f>
        <v>2.840932067268541</v>
      </c>
      <c r="W87" s="1174">
        <f>1000*TableA7!$P$91*TableC3!L85/TableC3!$C$91</f>
        <v>0</v>
      </c>
      <c r="X87" s="1217">
        <f>1000*TableA7!$P$91*TableC3!M85/TableC3!$C$91</f>
        <v>2.840932067268541</v>
      </c>
    </row>
    <row r="88" spans="1:24" hidden="1" x14ac:dyDescent="0.2">
      <c r="A88" s="329" t="s">
        <v>374</v>
      </c>
      <c r="B88" s="1154" t="str">
        <f>+TableA1!A87</f>
        <v>Turks and Caicos</v>
      </c>
      <c r="C88" s="1458">
        <f>1000*TableA7!$P$91*(TableC2!D86+TableC2!O86)/(TableC2!$D$91+TableC2!$O$91)</f>
        <v>0</v>
      </c>
      <c r="D88" s="1206">
        <f>1000*TableA7!$P$91*(TableC2!E86+TableC2!P86)/(TableC2!$D$91+TableC2!$O$91)</f>
        <v>0</v>
      </c>
      <c r="E88" s="1159">
        <f>1000*TableA7!$P$91*(TableC2!F86+TableC2!Q86)/(TableC2!$D$91+TableC2!$O$91)</f>
        <v>0</v>
      </c>
      <c r="F88" s="1159">
        <f>1000*TableA7!$P$91*(TableC2!G86+TableC2!R86)/(TableC2!$D$91+TableC2!$O$91)</f>
        <v>0</v>
      </c>
      <c r="G88" s="1159">
        <f>1000*TableA7!$P$91*(TableC2!H86+TableC2!S86)/(TableC2!$D$91+TableC2!$O$91)</f>
        <v>0</v>
      </c>
      <c r="H88" s="1174">
        <f>1000*TableA7!$P$91*(TableC2!I86+TableC2!T86)/(TableC2!$D$91+TableC2!$O$91)</f>
        <v>0</v>
      </c>
      <c r="I88" s="1174">
        <f>1000*TableA7!$P$91*(TableC2!J86+TableC2!U86)/(TableC2!$D$91+TableC2!$O$91)</f>
        <v>0</v>
      </c>
      <c r="J88" s="1174">
        <f>1000*TableA7!$P$91*(TableC2!K86+TableC2!V86)/(TableC2!$D$91+TableC2!$O$91)</f>
        <v>0</v>
      </c>
      <c r="K88" s="1204">
        <f>1000*TableA7!$P$91*(TableC2!L86+TableC2!W86)/(TableC2!$D$91+TableC2!$O$91)</f>
        <v>0</v>
      </c>
      <c r="L88" s="1174">
        <f>1000*TableA7!$P$91*(TableC2!M86+TableC2!X86)/(TableC2!$D$91+TableC2!$O$91)</f>
        <v>0</v>
      </c>
      <c r="M88" s="1235">
        <f>1000*TableA7!$P$91*(TableC2!N86+TableC2!Y86)/(TableC2!$D$91+TableC2!$O$91)</f>
        <v>0</v>
      </c>
      <c r="N88" s="1465">
        <f>1000*TableA7!$P$91*TableC3!C86/TableC3!$C$91</f>
        <v>0.39878143799435534</v>
      </c>
      <c r="O88" s="1206">
        <f>1000*TableA7!$P$91*TableC3!D86/TableC3!$C$91</f>
        <v>3.919939303612981E-3</v>
      </c>
      <c r="P88" s="1159">
        <f>1000*TableA7!$P$91*TableC3!E86/TableC3!$C$91</f>
        <v>0</v>
      </c>
      <c r="Q88" s="1159">
        <f>1000*TableA7!$P$91*TableC3!F86/TableC3!$C$91</f>
        <v>3.919939303612981E-3</v>
      </c>
      <c r="R88" s="1159">
        <f>1000*TableA7!$P$91*TableC3!G86/TableC3!$C$91</f>
        <v>0</v>
      </c>
      <c r="S88" s="1174">
        <f>1000*TableA7!$P$91*TableC3!H86/TableC3!$C$91</f>
        <v>0</v>
      </c>
      <c r="T88" s="1174">
        <f>1000*TableA7!$P$91*TableC3!I86/TableC3!$C$91</f>
        <v>0</v>
      </c>
      <c r="U88" s="1174">
        <f>1000*TableA7!$P$91*TableC3!J86/TableC3!$C$91</f>
        <v>0</v>
      </c>
      <c r="V88" s="1204">
        <f>1000*TableA7!$P$91*TableC3!K86/TableC3!$C$91</f>
        <v>0.39486149869074239</v>
      </c>
      <c r="W88" s="1174">
        <f>1000*TableA7!$P$91*TableC3!L86/TableC3!$C$91</f>
        <v>0</v>
      </c>
      <c r="X88" s="1217">
        <f>1000*TableA7!$P$91*TableC3!M86/TableC3!$C$91</f>
        <v>0.39486149869074239</v>
      </c>
    </row>
    <row r="89" spans="1:24" hidden="1" x14ac:dyDescent="0.2">
      <c r="A89" s="958"/>
      <c r="B89" s="1154" t="str">
        <f>+TableA1!A88</f>
        <v>Panama</v>
      </c>
      <c r="C89" s="1458">
        <f>1000*TableA7!$P$91*(TableC2!D87+TableC2!O87)/(TableC2!$D$91+TableC2!$O$91)</f>
        <v>0</v>
      </c>
      <c r="D89" s="1206">
        <f>1000*TableA7!$P$91*(TableC2!E87+TableC2!P87)/(TableC2!$D$91+TableC2!$O$91)</f>
        <v>0</v>
      </c>
      <c r="E89" s="1159">
        <f>1000*TableA7!$P$91*(TableC2!F87+TableC2!Q87)/(TableC2!$D$91+TableC2!$O$91)</f>
        <v>0</v>
      </c>
      <c r="F89" s="1159">
        <f>1000*TableA7!$P$91*(TableC2!G87+TableC2!R87)/(TableC2!$D$91+TableC2!$O$91)</f>
        <v>0</v>
      </c>
      <c r="G89" s="1159">
        <f>1000*TableA7!$P$91*(TableC2!H87+TableC2!S87)/(TableC2!$D$91+TableC2!$O$91)</f>
        <v>0</v>
      </c>
      <c r="H89" s="1174">
        <f>1000*TableA7!$P$91*(TableC2!I87+TableC2!T87)/(TableC2!$D$91+TableC2!$O$91)</f>
        <v>0</v>
      </c>
      <c r="I89" s="1174">
        <f>1000*TableA7!$P$91*(TableC2!J87+TableC2!U87)/(TableC2!$D$91+TableC2!$O$91)</f>
        <v>0</v>
      </c>
      <c r="J89" s="1174">
        <f>1000*TableA7!$P$91*(TableC2!K87+TableC2!V87)/(TableC2!$D$91+TableC2!$O$91)</f>
        <v>0</v>
      </c>
      <c r="K89" s="1204">
        <f>1000*TableA7!$P$91*(TableC2!L87+TableC2!W87)/(TableC2!$D$91+TableC2!$O$91)</f>
        <v>0</v>
      </c>
      <c r="L89" s="1174">
        <f>1000*TableA7!$P$91*(TableC2!M87+TableC2!X87)/(TableC2!$D$91+TableC2!$O$91)</f>
        <v>0</v>
      </c>
      <c r="M89" s="1235">
        <f>1000*TableA7!$P$91*(TableC2!N87+TableC2!Y87)/(TableC2!$D$91+TableC2!$O$91)</f>
        <v>0</v>
      </c>
      <c r="N89" s="1465">
        <f>1000*TableA7!$P$91*TableC3!C87/TableC3!$C$91</f>
        <v>571.71512965333045</v>
      </c>
      <c r="O89" s="1206">
        <f>1000*TableA7!$P$91*TableC3!D87/TableC3!$C$91</f>
        <v>-5.8404466756785327</v>
      </c>
      <c r="P89" s="1159">
        <f>1000*TableA7!$P$91*TableC3!E87/TableC3!$C$91</f>
        <v>-5.8636460843517675</v>
      </c>
      <c r="Q89" s="1159">
        <f>1000*TableA7!$P$91*TableC3!F87/TableC3!$C$91</f>
        <v>2.3199408673233588E-2</v>
      </c>
      <c r="R89" s="1159">
        <f>1000*TableA7!$P$91*TableC3!G87/TableC3!$C$91</f>
        <v>0</v>
      </c>
      <c r="S89" s="1174">
        <f>1000*TableA7!$P$91*TableC3!H87/TableC3!$C$91</f>
        <v>0</v>
      </c>
      <c r="T89" s="1174">
        <f>1000*TableA7!$P$91*TableC3!I87/TableC3!$C$91</f>
        <v>0</v>
      </c>
      <c r="U89" s="1174">
        <f>1000*TableA7!$P$91*TableC3!J87/TableC3!$C$91</f>
        <v>0</v>
      </c>
      <c r="V89" s="1204">
        <f>1000*TableA7!$P$91*TableC3!K87/TableC3!$C$91</f>
        <v>577.555576329009</v>
      </c>
      <c r="W89" s="1174">
        <f>1000*TableA7!$P$91*TableC3!L87/TableC3!$C$91</f>
        <v>0</v>
      </c>
      <c r="X89" s="1217">
        <f>1000*TableA7!$P$91*TableC3!M87/TableC3!$C$91</f>
        <v>577.555576329009</v>
      </c>
    </row>
    <row r="90" spans="1:24" hidden="1" x14ac:dyDescent="0.2">
      <c r="A90" s="958"/>
      <c r="B90" s="1154" t="s">
        <v>108</v>
      </c>
      <c r="C90" s="1458">
        <f>1000*TableA7!$P$91*(TableC2!D88+TableC2!O88)/(TableC2!$D$91+TableC2!$O$91)</f>
        <v>0</v>
      </c>
      <c r="D90" s="1206">
        <f>1000*TableA7!$P$91*(TableC2!E88+TableC2!P88)/(TableC2!$D$91+TableC2!$O$91)</f>
        <v>0</v>
      </c>
      <c r="E90" s="1159">
        <f>1000*TableA7!$P$91*(TableC2!F88+TableC2!Q88)/(TableC2!$D$91+TableC2!$O$91)</f>
        <v>0</v>
      </c>
      <c r="F90" s="1159">
        <f>1000*TableA7!$P$91*(TableC2!G88+TableC2!R88)/(TableC2!$D$91+TableC2!$O$91)</f>
        <v>0</v>
      </c>
      <c r="G90" s="1159">
        <f>1000*TableA7!$P$91*(TableC2!H88+TableC2!S88)/(TableC2!$D$91+TableC2!$O$91)</f>
        <v>0</v>
      </c>
      <c r="H90" s="1174">
        <f>1000*TableA7!$P$91*(TableC2!I88+TableC2!T88)/(TableC2!$D$91+TableC2!$O$91)</f>
        <v>0</v>
      </c>
      <c r="I90" s="1174">
        <f>1000*TableA7!$P$91*(TableC2!J88+TableC2!U88)/(TableC2!$D$91+TableC2!$O$91)</f>
        <v>0</v>
      </c>
      <c r="J90" s="1174">
        <f>1000*TableA7!$P$91*(TableC2!K88+TableC2!V88)/(TableC2!$D$91+TableC2!$O$91)</f>
        <v>0</v>
      </c>
      <c r="K90" s="1204">
        <f>1000*TableA7!$P$91*(TableC2!L88+TableC2!W88)/(TableC2!$D$91+TableC2!$O$91)</f>
        <v>0</v>
      </c>
      <c r="L90" s="1174">
        <f>1000*TableA7!$P$91*(TableC2!M88+TableC2!X88)/(TableC2!$D$91+TableC2!$O$91)</f>
        <v>0</v>
      </c>
      <c r="M90" s="1235">
        <f>1000*TableA7!$P$91*(TableC2!N88+TableC2!Y88)/(TableC2!$D$91+TableC2!$O$91)</f>
        <v>0</v>
      </c>
      <c r="N90" s="1465">
        <f>1000*TableA7!$P$91*TableC3!C88/TableC3!$C$91</f>
        <v>20.573737865888862</v>
      </c>
      <c r="O90" s="1206">
        <f>1000*TableA7!$P$91*TableC3!D88/TableC3!$C$91</f>
        <v>0</v>
      </c>
      <c r="P90" s="1159">
        <f>1000*TableA7!$P$91*TableC3!E88/TableC3!$C$91</f>
        <v>0</v>
      </c>
      <c r="Q90" s="1159">
        <f>1000*TableA7!$P$91*TableC3!F88/TableC3!$C$91</f>
        <v>0</v>
      </c>
      <c r="R90" s="1159">
        <f>1000*TableA7!$P$91*TableC3!G88/TableC3!$C$91</f>
        <v>0</v>
      </c>
      <c r="S90" s="1174">
        <f>1000*TableA7!$P$91*TableC3!H88/TableC3!$C$91</f>
        <v>0</v>
      </c>
      <c r="T90" s="1174">
        <f>1000*TableA7!$P$91*TableC3!I88/TableC3!$C$91</f>
        <v>0</v>
      </c>
      <c r="U90" s="1174">
        <f>1000*TableA7!$P$91*TableC3!J88/TableC3!$C$91</f>
        <v>0</v>
      </c>
      <c r="V90" s="1204">
        <f>1000*TableA7!$P$91*TableC3!K88/TableC3!$C$91</f>
        <v>20.573737865888862</v>
      </c>
      <c r="W90" s="1174">
        <f>1000*TableA7!$P$91*TableC3!L88/TableC3!$C$91</f>
        <v>0</v>
      </c>
      <c r="X90" s="1217">
        <f>1000*TableA7!$P$91*TableC3!M88/TableC3!$C$91</f>
        <v>20.573737865888862</v>
      </c>
    </row>
    <row r="91" spans="1:24" ht="40" customHeight="1" x14ac:dyDescent="0.2">
      <c r="A91" s="958"/>
      <c r="B91" s="1467" t="s">
        <v>155</v>
      </c>
      <c r="C91" s="1468">
        <f>1000*TableA7!$P$91*(TableC2!D89+TableC2!O89)/(TableC2!$D$91+TableC2!$O$91)</f>
        <v>78718.222161267098</v>
      </c>
      <c r="D91" s="1347">
        <f>1000*TableA7!$P$91*(TableC2!E89+TableC2!P89)/(TableC2!$D$91+TableC2!$O$91)</f>
        <v>32128.448563024544</v>
      </c>
      <c r="E91" s="1348">
        <f>1000*TableA7!$P$91*(TableC2!F89+TableC2!Q89)/(TableC2!$D$91+TableC2!$O$91)</f>
        <v>2456.8195224799219</v>
      </c>
      <c r="F91" s="1348">
        <f>1000*TableA7!$P$91*(TableC2!G89+TableC2!R89)/(TableC2!$D$91+TableC2!$O$91)</f>
        <v>643.35297746956837</v>
      </c>
      <c r="G91" s="1348">
        <f>1000*TableA7!$P$91*(TableC2!H89+TableC2!S89)/(TableC2!$D$91+TableC2!$O$91)</f>
        <v>17081.92437547115</v>
      </c>
      <c r="H91" s="1469">
        <f>1000*TableA7!$P$91*(TableC2!I89+TableC2!T89)/(TableC2!$D$91+TableC2!$O$91)</f>
        <v>3677.4371199912403</v>
      </c>
      <c r="I91" s="1469">
        <f>1000*TableA7!$P$91*(TableC2!J89+TableC2!U89)/(TableC2!$D$91+TableC2!$O$91)</f>
        <v>3100.7926635407334</v>
      </c>
      <c r="J91" s="1469">
        <f>1000*TableA7!$P$91*(TableC2!K89+TableC2!V89)/(TableC2!$D$91+TableC2!$O$91)</f>
        <v>5168.1219040719297</v>
      </c>
      <c r="K91" s="1470">
        <f>1000*TableA7!$P$91*(TableC2!L89+TableC2!W89)/(TableC2!$D$91+TableC2!$O$91)</f>
        <v>46589.773598242551</v>
      </c>
      <c r="L91" s="1471">
        <f>1000*TableA7!$P$91*(TableC2!M89+TableC2!X89)/(TableC2!$D$91+TableC2!$O$91)</f>
        <v>3824.9758160131223</v>
      </c>
      <c r="M91" s="1472">
        <f>1000*TableA7!$P$91*(TableC2!N89+TableC2!Y89)/(TableC2!$D$91+TableC2!$O$91)</f>
        <v>42764.518051625309</v>
      </c>
      <c r="N91" s="1473">
        <f>1000*TableA7!$P$91*TableC3!C89/TableC3!$C$91</f>
        <v>19924.194321217819</v>
      </c>
      <c r="O91" s="1347">
        <f>1000*TableA7!$P$91*TableC3!D89/TableC3!$C$91</f>
        <v>2481.041013123614</v>
      </c>
      <c r="P91" s="1348">
        <f>1000*TableA7!$P$91*TableC3!E89/TableC3!$C$91</f>
        <v>516.06991313591834</v>
      </c>
      <c r="Q91" s="1348">
        <f>1000*TableA7!$P$91*TableC3!F89/TableC3!$C$91</f>
        <v>48.035185488895884</v>
      </c>
      <c r="R91" s="1348">
        <f>1000*TableA7!$P$91*TableC3!G89/TableC3!$C$91</f>
        <v>15.894548048324211</v>
      </c>
      <c r="S91" s="1469">
        <f>1000*TableA7!$P$91*TableC3!H89/TableC3!$C$91</f>
        <v>1490.2721495788899</v>
      </c>
      <c r="T91" s="1469">
        <f>1000*TableA7!$P$91*TableC3!I89/TableC3!$C$91</f>
        <v>15.481920664578277</v>
      </c>
      <c r="U91" s="1469">
        <f>1000*TableA7!$P$91*TableC3!J89/TableC3!$C$91</f>
        <v>395.28729620700761</v>
      </c>
      <c r="V91" s="1470">
        <f>1000*TableA7!$P$91*TableC3!K89/TableC3!$C$91</f>
        <v>17443.153308094203</v>
      </c>
      <c r="W91" s="1471">
        <f>1000*TableA7!$P$91*TableC3!L89/TableC3!$C$91</f>
        <v>0</v>
      </c>
      <c r="X91" s="1474">
        <f>1000*TableA7!$P$91*TableC3!M89/TableC3!$C$91</f>
        <v>17443.15330809417</v>
      </c>
    </row>
    <row r="92" spans="1:24" ht="40" hidden="1" customHeight="1" x14ac:dyDescent="0.2">
      <c r="A92" s="958"/>
      <c r="B92" s="622"/>
      <c r="C92" s="1468"/>
      <c r="D92" s="304">
        <f>1000*TableA7!$P$91*(TableC2!E90+TableC2!P90)/(TableC2!$D$91+TableC2!$O$91)</f>
        <v>365238.93315114221</v>
      </c>
      <c r="E92" s="244">
        <f>1000*TableA7!$P$91*(TableC2!F90+TableC2!Q90)/(TableC2!$D$91+TableC2!$O$91)</f>
        <v>45844.245734219949</v>
      </c>
      <c r="F92" s="245">
        <f>1000*TableA7!$P$91*(TableC2!G90+TableC2!R90)/(TableC2!$D$91+TableC2!$O$91)</f>
        <v>2352.407244170844</v>
      </c>
      <c r="G92" s="245">
        <f>1000*TableA7!$P$91*(TableC2!H90+TableC2!S90)/(TableC2!$D$91+TableC2!$O$91)</f>
        <v>103151.35752398905</v>
      </c>
      <c r="H92" s="245">
        <f>1000*TableA7!$P$91*(TableC2!I90+TableC2!T90)/(TableC2!$D$91+TableC2!$O$91)</f>
        <v>105662.19970888982</v>
      </c>
      <c r="I92" s="245">
        <f>1000*TableA7!$P$91*(TableC2!J90+TableC2!U90)/(TableC2!$D$91+TableC2!$O$91)</f>
        <v>4443.316159951034</v>
      </c>
      <c r="J92" s="245">
        <f>1000*TableA7!$P$91*(TableC2!K90+TableC2!V90)/(TableC2!$D$91+TableC2!$O$91)</f>
        <v>103785.40677992148</v>
      </c>
      <c r="K92" s="304">
        <f>1000*TableA7!$P$91*(TableC2!L90+TableC2!W90)/(TableC2!$D$91+TableC2!$O$91)</f>
        <v>429517.45933133346</v>
      </c>
      <c r="L92" s="244">
        <f>1000*TableA7!$P$91*(TableC2!M90+TableC2!X90)/(TableC2!$D$91+TableC2!$O$91)</f>
        <v>81651.693762084658</v>
      </c>
      <c r="M92" s="623">
        <f>1000*TableA7!$P$91*(TableC2!N90+TableC2!Y90)/(TableC2!$D$91+TableC2!$O$91)</f>
        <v>347865.48583864461</v>
      </c>
      <c r="N92" s="1476">
        <f>1000*TableA7!$P$91*TableC3!C90/TableC3!$C$91</f>
        <v>868002.53217534442</v>
      </c>
      <c r="O92" s="304">
        <f>1000*TableA7!$P$91*TableC3!D90/TableC3!$C$91</f>
        <v>459297.79397170607</v>
      </c>
      <c r="P92" s="332">
        <f>1000*TableA7!$P$91*TableC3!E90/TableC3!$C$91</f>
        <v>71500.362708890883</v>
      </c>
      <c r="Q92" s="245">
        <f>1000*TableA7!$P$91*TableC3!F90/TableC3!$C$91</f>
        <v>3539.6243167895782</v>
      </c>
      <c r="R92" s="245">
        <f>1000*TableA7!$P$91*TableC3!G90/TableC3!$C$91</f>
        <v>93481.910458023936</v>
      </c>
      <c r="S92" s="245">
        <f>1000*TableA7!$P$91*TableC3!H90/TableC3!$C$91</f>
        <v>69133.518962590024</v>
      </c>
      <c r="T92" s="245">
        <f>1000*TableA7!$P$91*TableC3!I90/TableC3!$C$91</f>
        <v>493.08451550928419</v>
      </c>
      <c r="U92" s="623">
        <f>1000*TableA7!$P$91*TableC3!J90/TableC3!$C$91</f>
        <v>221149.29300990238</v>
      </c>
      <c r="V92" s="245">
        <f>1000*TableA7!$P$91*TableC3!K90/TableC3!$C$91</f>
        <v>408704.73820363841</v>
      </c>
      <c r="W92" s="332">
        <f>1000*TableA7!$P$91*TableC3!L90/TableC3!$C$91</f>
        <v>157092.40869758427</v>
      </c>
      <c r="X92" s="624">
        <f>1000*TableA7!$P$91*TableC3!M90/TableC3!$C$91</f>
        <v>251612.32950605408</v>
      </c>
    </row>
    <row r="93" spans="1:24" ht="40" customHeight="1" thickBot="1" x14ac:dyDescent="0.25">
      <c r="A93" s="958"/>
      <c r="B93" s="263" t="str">
        <f>+TableC3!B91</f>
        <v>Non-haven total</v>
      </c>
      <c r="C93" s="750">
        <f>1000*TableA7!$P$91*(TableC2!D91+TableC2!O91)/(TableC2!$D$91+TableC2!$O$91)</f>
        <v>616461.62984891725</v>
      </c>
      <c r="D93" s="326">
        <f>1000*TableA7!$P$91*(TableC2!E91+TableC2!P91)/(TableC2!$D$91+TableC2!$O$91)</f>
        <v>291090.05346102006</v>
      </c>
      <c r="E93" s="627">
        <f>1000*TableA7!$P$91*(TableC2!F91+TableC2!Q91)/(TableC2!$D$91+TableC2!$O$91)</f>
        <v>33765.495023400748</v>
      </c>
      <c r="F93" s="628">
        <f>1000*TableA7!$P$91*(TableC2!G91+TableC2!R91)/(TableC2!$D$91+TableC2!$O$91)</f>
        <v>2250.1600095749436</v>
      </c>
      <c r="G93" s="628">
        <f>1000*TableA7!$P$91*(TableC2!H91+TableC2!S91)/(TableC2!$D$91+TableC2!$O$91)</f>
        <v>88827.178117135452</v>
      </c>
      <c r="H93" s="628">
        <f>1000*TableA7!$P$91*(TableC2!I91+TableC2!T91)/(TableC2!$D$91+TableC2!$O$91)</f>
        <v>87677.932773085748</v>
      </c>
      <c r="I93" s="628">
        <f>1000*TableA7!$P$91*(TableC2!J91+TableC2!U91)/(TableC2!$D$91+TableC2!$O$91)</f>
        <v>4302.8044063658681</v>
      </c>
      <c r="J93" s="628">
        <f>1000*TableA7!$P$91*(TableC2!K91+TableC2!V91)/(TableC2!$D$91+TableC2!$O$91)</f>
        <v>74266.483131457338</v>
      </c>
      <c r="K93" s="326">
        <f>1000*TableA7!$P$91*(TableC2!L91+TableC2!W91)/(TableC2!$D$91+TableC2!$O$91)</f>
        <v>325371.57638789725</v>
      </c>
      <c r="L93" s="627">
        <f>1000*TableA7!$P$91*(TableC2!M91+TableC2!X91)/(TableC2!$D$91+TableC2!$O$91)</f>
        <v>50102.998963108526</v>
      </c>
      <c r="M93" s="629">
        <f>1000*TableA7!$P$91*(TableC2!N91+TableC2!Y91)/(TableC2!$D$91+TableC2!$O$91)</f>
        <v>275268.29769418464</v>
      </c>
      <c r="N93" s="626">
        <f>1000*TableA7!$P$91*TableC3!C91/TableC3!$C$91</f>
        <v>616461.62984891725</v>
      </c>
      <c r="O93" s="326">
        <f>1000*TableA7!$P$91*TableC3!D91/TableC3!$C$91</f>
        <v>330315.39864829625</v>
      </c>
      <c r="P93" s="627">
        <f>1000*TableA7!$P$91*TableC3!E91/TableC3!$C$91</f>
        <v>43540.778884011284</v>
      </c>
      <c r="Q93" s="628">
        <f>1000*TableA7!$P$91*TableC3!F91/TableC3!$C$91</f>
        <v>2396.4948511104612</v>
      </c>
      <c r="R93" s="628">
        <f>1000*TableA7!$P$91*TableC3!G91/TableC3!$C$91</f>
        <v>78897.468002116642</v>
      </c>
      <c r="S93" s="628">
        <f>1000*TableA7!$P$91*TableC3!H91/TableC3!$C$91</f>
        <v>47150.492455035346</v>
      </c>
      <c r="T93" s="628">
        <f>1000*TableA7!$P$91*TableC3!I91/TableC3!$C$91</f>
        <v>113.9596180394183</v>
      </c>
      <c r="U93" s="629">
        <f>1000*TableA7!$P$91*TableC3!J91/TableC3!$C$91</f>
        <v>158216.20483798312</v>
      </c>
      <c r="V93" s="628">
        <f>1000*TableA7!$P$91*TableC3!K91/TableC3!$C$91</f>
        <v>286146.23120062106</v>
      </c>
      <c r="W93" s="627">
        <f>1000*TableA7!$P$91*TableC3!L91/TableC3!$C$91</f>
        <v>131202.60740954758</v>
      </c>
      <c r="X93" s="630">
        <f>1000*TableA7!$P$91*TableC3!M91/TableC3!$C$91</f>
        <v>154943.62379107342</v>
      </c>
    </row>
    <row r="94" spans="1:24" s="2" customFormat="1" ht="17" thickTop="1" x14ac:dyDescent="0.2">
      <c r="D94" s="958"/>
      <c r="E94" s="958"/>
      <c r="F94" s="958"/>
      <c r="G94" s="958"/>
      <c r="H94" s="958"/>
      <c r="I94" s="958"/>
      <c r="J94" s="958"/>
      <c r="K94" s="958"/>
      <c r="L94" s="958"/>
      <c r="M94" s="958"/>
      <c r="O94" s="958"/>
      <c r="P94" s="958"/>
      <c r="Q94" s="958"/>
      <c r="R94" s="958"/>
      <c r="S94" s="958"/>
      <c r="T94" s="958"/>
      <c r="U94" s="958"/>
      <c r="V94" s="958"/>
      <c r="W94" s="958"/>
      <c r="X94" s="958"/>
    </row>
  </sheetData>
  <mergeCells count="9">
    <mergeCell ref="B5:X5"/>
    <mergeCell ref="C7:M7"/>
    <mergeCell ref="N7:X7"/>
    <mergeCell ref="D8:D9"/>
    <mergeCell ref="K8:K9"/>
    <mergeCell ref="O8:O9"/>
    <mergeCell ref="V8:V9"/>
    <mergeCell ref="C8:C9"/>
    <mergeCell ref="N8:N9"/>
  </mergeCells>
  <pageMargins left="0.7" right="0.7" top="0.75" bottom="0.75" header="0.3" footer="0.3"/>
  <pageSetup scale="35" orientation="landscape"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R97"/>
  <sheetViews>
    <sheetView workbookViewId="0">
      <pane xSplit="2" ySplit="10" topLeftCell="C43" activePane="bottomRight" state="frozen"/>
      <selection pane="topRight" activeCell="AR8" sqref="AR8"/>
      <selection pane="bottomLeft" activeCell="AR8" sqref="AR8"/>
      <selection pane="bottomRight" activeCell="I15" sqref="I15"/>
    </sheetView>
  </sheetViews>
  <sheetFormatPr baseColWidth="10" defaultColWidth="10.83203125" defaultRowHeight="16" x14ac:dyDescent="0.2"/>
  <cols>
    <col min="1" max="1" width="17.5" style="1" hidden="1" customWidth="1"/>
    <col min="2" max="2" width="19" style="1" customWidth="1"/>
    <col min="3" max="8" width="13" style="1" customWidth="1"/>
    <col min="9" max="11" width="19.6640625" style="1" customWidth="1"/>
    <col min="12" max="12" width="10.83203125" style="1"/>
    <col min="13" max="13" width="19.5" style="1" customWidth="1"/>
    <col min="14" max="14" width="13.6640625" style="1" customWidth="1"/>
    <col min="15" max="16384" width="10.83203125" style="1"/>
  </cols>
  <sheetData>
    <row r="2" spans="2:18" ht="17" thickBot="1" x14ac:dyDescent="0.25">
      <c r="B2" s="958"/>
      <c r="C2" s="958"/>
      <c r="D2" s="958"/>
      <c r="E2" s="958"/>
      <c r="F2" s="958"/>
      <c r="G2" s="958"/>
      <c r="H2" s="958"/>
      <c r="I2" s="958"/>
      <c r="J2" s="958"/>
      <c r="K2" s="958"/>
      <c r="L2" s="958"/>
      <c r="M2" s="958"/>
      <c r="N2" s="958"/>
      <c r="O2" s="958"/>
      <c r="P2" s="958"/>
      <c r="Q2" s="958"/>
      <c r="R2" s="958"/>
    </row>
    <row r="3" spans="2:18" ht="17" hidden="1" thickBot="1" x14ac:dyDescent="0.25">
      <c r="B3" s="958"/>
      <c r="C3" s="958"/>
      <c r="D3" s="958"/>
      <c r="E3" s="958"/>
      <c r="F3" s="958"/>
      <c r="G3" s="958"/>
      <c r="H3" s="958"/>
      <c r="I3" s="958"/>
      <c r="J3" s="958"/>
      <c r="K3" s="958"/>
      <c r="L3" s="958"/>
      <c r="M3" s="958"/>
      <c r="N3" s="958"/>
      <c r="O3" s="958"/>
      <c r="P3" s="958"/>
      <c r="Q3" s="958"/>
      <c r="R3" s="958"/>
    </row>
    <row r="4" spans="2:18" ht="32.25" customHeight="1" thickTop="1" x14ac:dyDescent="0.2">
      <c r="B4" s="1934" t="s">
        <v>653</v>
      </c>
      <c r="C4" s="1935"/>
      <c r="D4" s="1935"/>
      <c r="E4" s="1935"/>
      <c r="F4" s="1935"/>
      <c r="G4" s="1935"/>
      <c r="H4" s="1936"/>
      <c r="I4" s="620"/>
      <c r="J4" s="620"/>
      <c r="K4" s="620"/>
      <c r="L4" s="958"/>
      <c r="M4" s="958"/>
      <c r="N4" s="958"/>
      <c r="O4" s="958"/>
      <c r="P4" s="958"/>
      <c r="Q4" s="958"/>
      <c r="R4" s="958"/>
    </row>
    <row r="5" spans="2:18" ht="15" customHeight="1" x14ac:dyDescent="0.2">
      <c r="B5" s="4"/>
      <c r="C5" s="620"/>
      <c r="D5" s="620"/>
      <c r="E5" s="620"/>
      <c r="F5" s="620"/>
      <c r="G5" s="620"/>
      <c r="H5" s="5"/>
      <c r="I5" s="620"/>
      <c r="J5" s="620"/>
      <c r="K5" s="620"/>
      <c r="L5" s="958"/>
      <c r="M5" s="958"/>
      <c r="N5" s="958"/>
      <c r="O5" s="958"/>
      <c r="P5" s="958"/>
      <c r="Q5" s="958"/>
      <c r="R5" s="958"/>
    </row>
    <row r="6" spans="2:18" ht="13" customHeight="1" x14ac:dyDescent="0.2">
      <c r="B6" s="4"/>
      <c r="C6" s="160" t="s">
        <v>1</v>
      </c>
      <c r="D6" s="160" t="s">
        <v>2</v>
      </c>
      <c r="E6" s="160" t="s">
        <v>3</v>
      </c>
      <c r="F6" s="160" t="s">
        <v>4</v>
      </c>
      <c r="G6" s="160" t="s">
        <v>5</v>
      </c>
      <c r="H6" s="6" t="s">
        <v>6</v>
      </c>
      <c r="I6" s="620"/>
      <c r="J6" s="620"/>
      <c r="K6" s="620"/>
      <c r="L6" s="958"/>
      <c r="M6" s="958"/>
      <c r="N6" s="958"/>
      <c r="O6" s="958"/>
      <c r="P6" s="958"/>
      <c r="Q6" s="958"/>
      <c r="R6" s="958"/>
    </row>
    <row r="7" spans="2:18" ht="32.25" customHeight="1" x14ac:dyDescent="0.2">
      <c r="B7" s="4"/>
      <c r="C7" s="2268" t="s">
        <v>654</v>
      </c>
      <c r="D7" s="2269"/>
      <c r="E7" s="2269"/>
      <c r="F7" s="2269"/>
      <c r="G7" s="2269"/>
      <c r="H7" s="2270"/>
      <c r="I7" s="620"/>
      <c r="J7" s="620"/>
      <c r="K7" s="620"/>
      <c r="L7" s="958"/>
      <c r="M7" s="958"/>
      <c r="N7" s="958"/>
      <c r="O7" s="958"/>
      <c r="P7" s="958"/>
      <c r="Q7" s="958"/>
      <c r="R7" s="958"/>
    </row>
    <row r="8" spans="2:18" ht="21" customHeight="1" x14ac:dyDescent="0.2">
      <c r="B8" s="1154"/>
      <c r="C8" s="2098" t="s">
        <v>655</v>
      </c>
      <c r="D8" s="2099" t="s">
        <v>648</v>
      </c>
      <c r="E8" s="2099"/>
      <c r="F8" s="2267" t="s">
        <v>656</v>
      </c>
      <c r="G8" s="2099" t="s">
        <v>648</v>
      </c>
      <c r="H8" s="2175"/>
      <c r="I8" s="1041"/>
      <c r="J8" s="1041"/>
      <c r="K8" s="1041"/>
      <c r="L8" s="958"/>
      <c r="M8" s="958"/>
      <c r="N8" s="958"/>
      <c r="O8" s="958"/>
      <c r="P8" s="958"/>
      <c r="Q8" s="958"/>
      <c r="R8" s="958"/>
    </row>
    <row r="9" spans="2:18" ht="85" customHeight="1" x14ac:dyDescent="0.2">
      <c r="B9" s="1154"/>
      <c r="C9" s="2055" t="s">
        <v>627</v>
      </c>
      <c r="D9" s="1835" t="s">
        <v>628</v>
      </c>
      <c r="E9" s="1485" t="s">
        <v>629</v>
      </c>
      <c r="F9" s="2055" t="s">
        <v>627</v>
      </c>
      <c r="G9" s="1835" t="s">
        <v>628</v>
      </c>
      <c r="H9" s="1821" t="s">
        <v>629</v>
      </c>
      <c r="I9" s="1486"/>
      <c r="J9" s="1486"/>
      <c r="K9" s="1486"/>
      <c r="L9" s="958"/>
      <c r="M9" s="958"/>
      <c r="N9" s="958"/>
      <c r="O9" s="958"/>
      <c r="P9" s="958"/>
      <c r="Q9" s="958"/>
      <c r="R9" s="958"/>
    </row>
    <row r="10" spans="2:18" ht="33" customHeight="1" x14ac:dyDescent="0.2">
      <c r="B10" s="1154"/>
      <c r="C10" s="2011"/>
      <c r="D10" s="1842"/>
      <c r="E10" s="1487"/>
      <c r="F10" s="2011"/>
      <c r="G10" s="1842"/>
      <c r="H10" s="1862"/>
      <c r="I10" s="1486"/>
      <c r="J10" s="1486"/>
      <c r="K10" s="1486"/>
      <c r="L10" s="958"/>
      <c r="M10" s="958"/>
      <c r="N10" s="958"/>
      <c r="O10" s="958"/>
      <c r="P10" s="958"/>
      <c r="Q10" s="958"/>
      <c r="R10" s="958"/>
    </row>
    <row r="11" spans="2:18" ht="40" customHeight="1" x14ac:dyDescent="0.2">
      <c r="B11" s="8" t="s">
        <v>28</v>
      </c>
      <c r="C11" s="21">
        <f>+TableC4!C10/TableC4!$C$93</f>
        <v>0.70587402154876455</v>
      </c>
      <c r="D11" s="260">
        <f>+SUM(D12:D46)</f>
        <v>0.38087208506354664</v>
      </c>
      <c r="E11" s="426">
        <f>+SUM(E12:E46)</f>
        <v>0.32500193648521808</v>
      </c>
      <c r="F11" s="21">
        <f>+SUM(F12:F46)</f>
        <v>0.86505774372437672</v>
      </c>
      <c r="G11" s="260">
        <f>+SUM(G12:G46)</f>
        <v>0.52085086655175883</v>
      </c>
      <c r="H11" s="287">
        <f>+SUM(H12:H46)</f>
        <v>0.34420687717261789</v>
      </c>
      <c r="I11" s="246"/>
      <c r="J11" s="246"/>
      <c r="K11" s="246"/>
      <c r="L11" s="958"/>
      <c r="M11" s="958"/>
      <c r="N11" s="958"/>
      <c r="O11" s="958"/>
      <c r="P11" s="958"/>
      <c r="Q11" s="958"/>
      <c r="R11" s="958"/>
    </row>
    <row r="12" spans="2:18" x14ac:dyDescent="0.2">
      <c r="B12" s="1155" t="s">
        <v>29</v>
      </c>
      <c r="C12" s="119">
        <f>(TableC2!D9+TableC2!O9)/(TableC2!$D$91+TableC2!$O$91)</f>
        <v>2.1021737609983656E-2</v>
      </c>
      <c r="D12" s="1488">
        <f>(TableC2!E9+TableC2!P9)/(TableC2!$D$91+TableC2!$O$91)</f>
        <v>6.6750267731805852E-3</v>
      </c>
      <c r="E12" s="1489">
        <f>(TableC2!L9+TableC2!W9)/(TableC2!$D$91+TableC2!$O$91)</f>
        <v>1.4346710836803072E-2</v>
      </c>
      <c r="F12" s="119">
        <f>TableC3!C9/TableC3!$C$91</f>
        <v>2.8404206518584008E-3</v>
      </c>
      <c r="G12" s="1488">
        <f>TableC3!D9/TableC3!$C$91</f>
        <v>-2.5196647000411961E-4</v>
      </c>
      <c r="H12" s="1490">
        <f>TableC3!K9/TableC3!$C$91</f>
        <v>3.0923871218625203E-3</v>
      </c>
      <c r="I12" s="9"/>
      <c r="J12" s="958"/>
      <c r="K12" s="958"/>
      <c r="L12" s="958"/>
      <c r="M12" s="958"/>
      <c r="N12" s="958"/>
      <c r="O12" s="958"/>
      <c r="P12" s="958"/>
      <c r="Q12" s="958"/>
      <c r="R12" s="958"/>
    </row>
    <row r="13" spans="2:18" x14ac:dyDescent="0.2">
      <c r="B13" s="1155" t="s">
        <v>30</v>
      </c>
      <c r="C13" s="119">
        <f>(TableC2!D10+TableC2!O10)/(TableC2!$D$91+TableC2!$O$91)</f>
        <v>5.82264755250121E-3</v>
      </c>
      <c r="D13" s="1488">
        <f>(TableC2!E10+TableC2!P10)/(TableC2!$D$91+TableC2!$O$91)</f>
        <v>3.3670081433932872E-3</v>
      </c>
      <c r="E13" s="1489">
        <f>(TableC2!L10+TableC2!W10)/(TableC2!$D$91+TableC2!$O$91)</f>
        <v>2.4556394091079228E-3</v>
      </c>
      <c r="F13" s="119">
        <f>TableC3!C10/TableC3!$C$91</f>
        <v>3.6145624085180085E-3</v>
      </c>
      <c r="G13" s="1488">
        <f>TableC3!D10/TableC3!$C$91</f>
        <v>6.0140321530970813E-4</v>
      </c>
      <c r="H13" s="1490">
        <f>TableC3!K10/TableC3!$C$91</f>
        <v>3.0131591932083001E-3</v>
      </c>
      <c r="I13" s="9"/>
      <c r="J13" s="958"/>
      <c r="K13" s="958"/>
      <c r="L13" s="958"/>
      <c r="M13" s="958"/>
      <c r="N13" s="958"/>
      <c r="O13" s="958"/>
      <c r="P13" s="958"/>
      <c r="Q13" s="958"/>
      <c r="R13" s="958"/>
    </row>
    <row r="14" spans="2:18" x14ac:dyDescent="0.2">
      <c r="B14" s="1155" t="s">
        <v>31</v>
      </c>
      <c r="C14" s="119"/>
      <c r="D14" s="1488"/>
      <c r="E14" s="1489"/>
      <c r="F14" s="119"/>
      <c r="G14" s="1488"/>
      <c r="H14" s="1490"/>
      <c r="I14" s="9"/>
      <c r="J14" s="958"/>
      <c r="K14" s="958"/>
      <c r="L14" s="958"/>
      <c r="M14" s="958"/>
      <c r="N14" s="958"/>
      <c r="O14" s="958"/>
      <c r="P14" s="1081"/>
      <c r="Q14" s="958"/>
      <c r="R14" s="958"/>
    </row>
    <row r="15" spans="2:18" x14ac:dyDescent="0.2">
      <c r="B15" s="1155" t="s">
        <v>32</v>
      </c>
      <c r="C15" s="119">
        <f>(TableC2!D12+TableC2!O12)/(TableC2!$D$91+TableC2!$O$91)</f>
        <v>3.0684925593354808E-2</v>
      </c>
      <c r="D15" s="1488">
        <f>(TableC2!E12+TableC2!P12)/(TableC2!$D$91+TableC2!$O$91)</f>
        <v>5.4133122782757366E-3</v>
      </c>
      <c r="E15" s="1489">
        <f>(TableC2!L12+TableC2!W12)/(TableC2!$D$91+TableC2!$O$91)</f>
        <v>2.5271613315079069E-2</v>
      </c>
      <c r="F15" s="119">
        <f>TableC3!C12/TableC3!$C$91</f>
        <v>2.6650346645084155E-2</v>
      </c>
      <c r="G15" s="1488">
        <f>TableC3!D12/TableC3!$C$91</f>
        <v>6.9912959887628153E-3</v>
      </c>
      <c r="H15" s="1490">
        <f>TableC3!K12/TableC3!$C$91</f>
        <v>1.9659050656321338E-2</v>
      </c>
      <c r="I15" s="9"/>
      <c r="J15" s="958"/>
      <c r="K15" s="958"/>
      <c r="L15" s="958"/>
      <c r="M15" s="958"/>
      <c r="N15" s="958"/>
      <c r="O15" s="958"/>
      <c r="P15" s="1081"/>
      <c r="Q15" s="958"/>
      <c r="R15" s="958"/>
    </row>
    <row r="16" spans="2:18" x14ac:dyDescent="0.2">
      <c r="B16" s="1155" t="s">
        <v>33</v>
      </c>
      <c r="C16" s="119">
        <f>(TableC2!D13+TableC2!O13)/(TableC2!$D$91+TableC2!$O$91)</f>
        <v>8.4058992865969403E-3</v>
      </c>
      <c r="D16" s="1488">
        <f>(TableC2!E13+TableC2!P13)/(TableC2!$D$91+TableC2!$O$91)</f>
        <v>1.6353969920800094E-3</v>
      </c>
      <c r="E16" s="1489">
        <f>(TableC2!L13+TableC2!W13)/(TableC2!$D$91+TableC2!$O$91)</f>
        <v>6.7705022945169302E-3</v>
      </c>
      <c r="F16" s="119">
        <f>TableC3!C13/TableC3!$C$91</f>
        <v>-1.6942126680622059E-4</v>
      </c>
      <c r="G16" s="1488">
        <f>TableC3!D13/TableC3!$C$91</f>
        <v>-1.9748978475139494E-4</v>
      </c>
      <c r="H16" s="1490">
        <f>TableC3!K13/TableC3!$C$91</f>
        <v>2.8068517945174332E-5</v>
      </c>
      <c r="I16" s="9"/>
      <c r="J16" s="958"/>
      <c r="K16" s="958"/>
      <c r="L16" s="958"/>
      <c r="M16" s="958"/>
      <c r="N16" s="958"/>
      <c r="O16" s="958"/>
      <c r="P16" s="1023"/>
      <c r="Q16" s="958"/>
      <c r="R16" s="1023"/>
    </row>
    <row r="17" spans="1:11" x14ac:dyDescent="0.2">
      <c r="A17" s="958"/>
      <c r="B17" s="1155" t="s">
        <v>34</v>
      </c>
      <c r="C17" s="119">
        <f>(TableC2!D14+TableC2!O14)/(TableC2!$D$91+TableC2!$O$91)</f>
        <v>2.8560228364121493E-3</v>
      </c>
      <c r="D17" s="1488">
        <f>(TableC2!E14+TableC2!P14)/(TableC2!$D$91+TableC2!$O$91)</f>
        <v>2.2860542786128542E-3</v>
      </c>
      <c r="E17" s="1489">
        <f>(TableC2!L14+TableC2!W14)/(TableC2!$D$91+TableC2!$O$91)</f>
        <v>5.6996855779929581E-4</v>
      </c>
      <c r="F17" s="119">
        <f>TableC3!C14/TableC3!$C$91</f>
        <v>7.6599920805821666E-4</v>
      </c>
      <c r="G17" s="1488">
        <f>TableC3!D14/TableC3!$C$91</f>
        <v>7.6578137957773165E-4</v>
      </c>
      <c r="H17" s="1490">
        <f>TableC3!K14/TableC3!$C$91</f>
        <v>2.178284804850922E-7</v>
      </c>
      <c r="I17" s="9"/>
      <c r="J17" s="958"/>
      <c r="K17" s="958"/>
    </row>
    <row r="18" spans="1:11" x14ac:dyDescent="0.2">
      <c r="A18" s="958"/>
      <c r="B18" s="1155" t="s">
        <v>35</v>
      </c>
      <c r="C18" s="119">
        <f>(TableC2!D15+TableC2!O15)/(TableC2!$D$91+TableC2!$O$91)</f>
        <v>4.8044615088280365E-3</v>
      </c>
      <c r="D18" s="1488">
        <f>(TableC2!E15+TableC2!P15)/(TableC2!$D$91+TableC2!$O$91)</f>
        <v>3.7822125941102767E-3</v>
      </c>
      <c r="E18" s="1489">
        <f>(TableC2!L15+TableC2!W15)/(TableC2!$D$91+TableC2!$O$91)</f>
        <v>1.0222489147177602E-3</v>
      </c>
      <c r="F18" s="119">
        <f>TableC3!C15/TableC3!$C$91</f>
        <v>5.8962721771943895E-3</v>
      </c>
      <c r="G18" s="1488">
        <f>TableC3!D15/TableC3!$C$91</f>
        <v>3.43131694936655E-3</v>
      </c>
      <c r="H18" s="1490">
        <f>TableC3!K15/TableC3!$C$91</f>
        <v>2.4649552278278399E-3</v>
      </c>
      <c r="I18" s="9"/>
      <c r="J18" s="958"/>
      <c r="K18" s="958"/>
    </row>
    <row r="19" spans="1:11" x14ac:dyDescent="0.2">
      <c r="A19" s="958"/>
      <c r="B19" s="1094" t="s">
        <v>36</v>
      </c>
      <c r="C19" s="119">
        <f>(TableC2!D16+TableC2!O16)/(TableC2!$D$91+TableC2!$O$91)</f>
        <v>3.9531008102053458E-4</v>
      </c>
      <c r="D19" s="1488">
        <f>(TableC2!E16+TableC2!P16)/(TableC2!$D$91+TableC2!$O$91)</f>
        <v>2.8345998339088485E-4</v>
      </c>
      <c r="E19" s="1489">
        <f>(TableC2!L16+TableC2!W16)/(TableC2!$D$91+TableC2!$O$91)</f>
        <v>1.1185009762964971E-4</v>
      </c>
      <c r="F19" s="119">
        <f>TableC3!C16/TableC3!$C$91</f>
        <v>-6.5788442055548207E-6</v>
      </c>
      <c r="G19" s="1488">
        <f>TableC3!D16/TableC3!$C$91</f>
        <v>-6.5788442055548207E-6</v>
      </c>
      <c r="H19" s="1490">
        <f>TableC3!K16/TableC3!$C$91</f>
        <v>0</v>
      </c>
      <c r="I19" s="9"/>
      <c r="J19" s="9"/>
      <c r="K19" s="9"/>
    </row>
    <row r="20" spans="1:11" x14ac:dyDescent="0.2">
      <c r="A20" s="958"/>
      <c r="B20" s="1155" t="s">
        <v>37</v>
      </c>
      <c r="C20" s="119">
        <f>(TableC2!D17+TableC2!O17)/(TableC2!$D$91+TableC2!$O$91)</f>
        <v>4.4039551436498578E-3</v>
      </c>
      <c r="D20" s="1488">
        <f>(TableC2!E17+TableC2!P17)/(TableC2!$D$91+TableC2!$O$91)</f>
        <v>2.8302274286766856E-3</v>
      </c>
      <c r="E20" s="1489">
        <f>(TableC2!L17+TableC2!W17)/(TableC2!$D$91+TableC2!$O$91)</f>
        <v>1.5737277149731727E-3</v>
      </c>
      <c r="F20" s="119">
        <f>TableC3!C17/TableC3!$C$91</f>
        <v>3.6656033683078785E-3</v>
      </c>
      <c r="G20" s="1488">
        <f>TableC3!D17/TableC3!$C$91</f>
        <v>3.3101657497969189E-3</v>
      </c>
      <c r="H20" s="1490">
        <f>TableC3!K17/TableC3!$C$91</f>
        <v>3.5543761851095952E-4</v>
      </c>
      <c r="I20" s="9"/>
      <c r="J20" s="9"/>
      <c r="K20" s="9"/>
    </row>
    <row r="21" spans="1:11" x14ac:dyDescent="0.2">
      <c r="A21" s="958"/>
      <c r="B21" s="1094" t="s">
        <v>38</v>
      </c>
      <c r="C21" s="119">
        <f>(TableC2!D18+TableC2!O18)/(TableC2!$D$91+TableC2!$O$91)</f>
        <v>5.2045623496965038E-2</v>
      </c>
      <c r="D21" s="1488">
        <f>(TableC2!E18+TableC2!P18)/(TableC2!$D$91+TableC2!$O$91)</f>
        <v>3.9249564185540896E-2</v>
      </c>
      <c r="E21" s="1489">
        <f>(TableC2!L18+TableC2!W18)/(TableC2!$D$91+TableC2!$O$91)</f>
        <v>1.2796059311424142E-2</v>
      </c>
      <c r="F21" s="119">
        <f>TableC3!C18/TableC3!$C$91</f>
        <v>0.10441825619376749</v>
      </c>
      <c r="G21" s="1488">
        <f>TableC3!D18/TableC3!$C$91</f>
        <v>8.2532164381501433E-2</v>
      </c>
      <c r="H21" s="1490">
        <f>TableC3!K18/TableC3!$C$91</f>
        <v>2.1886091812266056E-2</v>
      </c>
      <c r="I21" s="9"/>
      <c r="J21" s="9"/>
      <c r="K21" s="9"/>
    </row>
    <row r="22" spans="1:11" x14ac:dyDescent="0.2">
      <c r="A22" s="958"/>
      <c r="B22" s="1155" t="s">
        <v>39</v>
      </c>
      <c r="C22" s="119">
        <f>(TableC2!D19+TableC2!O19)/(TableC2!$D$91+TableC2!$O$91)</f>
        <v>8.9063675549600485E-2</v>
      </c>
      <c r="D22" s="1488">
        <f>(TableC2!E19+TableC2!P19)/(TableC2!$D$91+TableC2!$O$91)</f>
        <v>6.7456966852832936E-2</v>
      </c>
      <c r="E22" s="1489">
        <f>(TableC2!L19+TableC2!W19)/(TableC2!$D$91+TableC2!$O$91)</f>
        <v>2.1606708696767545E-2</v>
      </c>
      <c r="F22" s="119">
        <f>TableC3!C19/TableC3!$C$91</f>
        <v>5.7823145865388073E-2</v>
      </c>
      <c r="G22" s="1488">
        <f>TableC3!D19/TableC3!$C$91</f>
        <v>4.1156945290732022E-2</v>
      </c>
      <c r="H22" s="1490">
        <f>TableC3!K19/TableC3!$C$91</f>
        <v>1.6666200574656051E-2</v>
      </c>
      <c r="I22" s="9"/>
      <c r="J22" s="9"/>
      <c r="K22" s="9"/>
    </row>
    <row r="23" spans="1:11" x14ac:dyDescent="0.2">
      <c r="A23" s="958"/>
      <c r="B23" s="1155" t="s">
        <v>40</v>
      </c>
      <c r="C23" s="119">
        <f>(TableC2!D20+TableC2!O20)/(TableC2!$D$91+TableC2!$O$91)</f>
        <v>1.6976116752829837E-3</v>
      </c>
      <c r="D23" s="1488">
        <f>(TableC2!E20+TableC2!P20)/(TableC2!$D$91+TableC2!$O$91)</f>
        <v>1.4823105108580754E-3</v>
      </c>
      <c r="E23" s="1489">
        <f>(TableC2!L20+TableC2!W20)/(TableC2!$D$91+TableC2!$O$91)</f>
        <v>2.1530116442490836E-4</v>
      </c>
      <c r="F23" s="119">
        <f>TableC3!C20/TableC3!$C$91</f>
        <v>7.1306011159063653E-4</v>
      </c>
      <c r="G23" s="1488">
        <f>TableC3!D20/TableC3!$C$91</f>
        <v>7.1176275979277384E-4</v>
      </c>
      <c r="H23" s="1490">
        <f>TableC3!K20/TableC3!$C$91</f>
        <v>1.2973517978626554E-6</v>
      </c>
      <c r="I23" s="9"/>
      <c r="J23" s="9"/>
      <c r="K23" s="9"/>
    </row>
    <row r="24" spans="1:11" x14ac:dyDescent="0.2">
      <c r="A24" s="958"/>
      <c r="B24" s="1155" t="s">
        <v>41</v>
      </c>
      <c r="C24" s="119">
        <f>(TableC2!D21+TableC2!O21)/(TableC2!$D$91+TableC2!$O$91)</f>
        <v>3.8848955685644531E-3</v>
      </c>
      <c r="D24" s="1488">
        <f>(TableC2!E21+TableC2!P21)/(TableC2!$D$91+TableC2!$O$91)</f>
        <v>2.7405788962712643E-3</v>
      </c>
      <c r="E24" s="1489">
        <f>(TableC2!L21+TableC2!W21)/(TableC2!$D$91+TableC2!$O$91)</f>
        <v>1.1443166722931886E-3</v>
      </c>
      <c r="F24" s="119">
        <f>TableC3!C21/TableC3!$C$91</f>
        <v>8.1136048608404672E-4</v>
      </c>
      <c r="G24" s="1488">
        <f>TableC3!D21/TableC3!$C$91</f>
        <v>8.00066392350301E-4</v>
      </c>
      <c r="H24" s="1490">
        <f>TableC3!K21/TableC3!$C$91</f>
        <v>1.1294093733745736E-5</v>
      </c>
      <c r="I24" s="9"/>
      <c r="J24" s="9"/>
      <c r="K24" s="9"/>
    </row>
    <row r="25" spans="1:11" x14ac:dyDescent="0.2">
      <c r="A25" s="958"/>
      <c r="B25" s="1155" t="s">
        <v>42</v>
      </c>
      <c r="C25" s="119">
        <f>(TableC2!D22+TableC2!O22)/(TableC2!$D$91+TableC2!$O$91)</f>
        <v>7.1009571555630366E-4</v>
      </c>
      <c r="D25" s="1488">
        <f>(TableC2!E22+TableC2!P22)/(TableC2!$D$91+TableC2!$O$91)</f>
        <v>5.4771874682887532E-4</v>
      </c>
      <c r="E25" s="1489">
        <f>(TableC2!L22+TableC2!W22)/(TableC2!$D$91+TableC2!$O$91)</f>
        <v>1.6237696872742832E-4</v>
      </c>
      <c r="F25" s="119">
        <f>TableC3!C22/TableC3!$C$91</f>
        <v>2.2230156226074102E-5</v>
      </c>
      <c r="G25" s="1488">
        <f>TableC3!D22/TableC3!$C$91</f>
        <v>2.1116591630353685E-5</v>
      </c>
      <c r="H25" s="1490">
        <f>TableC3!K22/TableC3!$C$91</f>
        <v>1.1135645957204155E-6</v>
      </c>
      <c r="I25" s="9"/>
      <c r="J25" s="9"/>
      <c r="K25" s="9"/>
    </row>
    <row r="26" spans="1:11" x14ac:dyDescent="0.2">
      <c r="A26" s="958"/>
      <c r="B26" s="1155" t="s">
        <v>43</v>
      </c>
      <c r="C26" s="119"/>
      <c r="D26" s="1488"/>
      <c r="E26" s="1489"/>
      <c r="F26" s="119"/>
      <c r="G26" s="1488"/>
      <c r="H26" s="1490"/>
      <c r="I26" s="9"/>
      <c r="J26" s="9"/>
      <c r="K26" s="9"/>
    </row>
    <row r="27" spans="1:11" x14ac:dyDescent="0.2">
      <c r="A27" s="958"/>
      <c r="B27" s="1155" t="s">
        <v>44</v>
      </c>
      <c r="C27" s="119">
        <f>(TableC2!D24+TableC2!O24)/(TableC2!$D$91+TableC2!$O$91)</f>
        <v>1.1041373656270896E-3</v>
      </c>
      <c r="D27" s="1488">
        <f>(TableC2!E24+TableC2!P24)/(TableC2!$D$91+TableC2!$O$91)</f>
        <v>4.5064974340900858E-4</v>
      </c>
      <c r="E27" s="1489">
        <f>(TableC2!L24+TableC2!W24)/(TableC2!$D$91+TableC2!$O$91)</f>
        <v>6.5348762221808122E-4</v>
      </c>
      <c r="F27" s="119">
        <f>TableC3!C24/TableC3!$C$91</f>
        <v>8.6645707578461952E-4</v>
      </c>
      <c r="G27" s="1488">
        <f>TableC3!D24/TableC3!$C$91</f>
        <v>1.0725485471853397E-4</v>
      </c>
      <c r="H27" s="1490">
        <f>TableC3!K24/TableC3!$C$91</f>
        <v>7.5920222106608552E-4</v>
      </c>
      <c r="I27" s="9"/>
      <c r="J27" s="9"/>
      <c r="K27" s="9"/>
    </row>
    <row r="28" spans="1:11" x14ac:dyDescent="0.2">
      <c r="A28" s="958"/>
      <c r="B28" s="1155" t="s">
        <v>45</v>
      </c>
      <c r="C28" s="119">
        <f>(TableC2!D25+TableC2!O25)/(TableC2!$D$91+TableC2!$O$91)</f>
        <v>3.682708195005676E-2</v>
      </c>
      <c r="D28" s="1488">
        <f>(TableC2!E25+TableC2!P25)/(TableC2!$D$91+TableC2!$O$91)</f>
        <v>3.1556258652291218E-2</v>
      </c>
      <c r="E28" s="1489">
        <f>(TableC2!L25+TableC2!W25)/(TableC2!$D$91+TableC2!$O$91)</f>
        <v>5.2708232977655379E-3</v>
      </c>
      <c r="F28" s="119">
        <f>TableC3!C25/TableC3!$C$91</f>
        <v>6.0726364144830826E-3</v>
      </c>
      <c r="G28" s="1488">
        <f>TableC3!D25/TableC3!$C$91</f>
        <v>4.0889015586713954E-3</v>
      </c>
      <c r="H28" s="1490">
        <f>TableC3!K25/TableC3!$C$91</f>
        <v>1.9837348558116867E-3</v>
      </c>
      <c r="I28" s="9"/>
      <c r="J28" s="9"/>
      <c r="K28" s="9"/>
    </row>
    <row r="29" spans="1:11" x14ac:dyDescent="0.2">
      <c r="A29" s="958"/>
      <c r="B29" s="1155" t="s">
        <v>46</v>
      </c>
      <c r="C29" s="119">
        <f>(TableC2!D26+TableC2!O26)/(TableC2!$D$91+TableC2!$O$91)</f>
        <v>1.3876571305089987E-2</v>
      </c>
      <c r="D29" s="1488">
        <f>(TableC2!E26+TableC2!P26)/(TableC2!$D$91+TableC2!$O$91)</f>
        <v>7.3709554940593605E-3</v>
      </c>
      <c r="E29" s="1489">
        <f>(TableC2!L26+TableC2!W26)/(TableC2!$D$91+TableC2!$O$91)</f>
        <v>6.5056158110306265E-3</v>
      </c>
      <c r="F29" s="119">
        <f>TableC3!C26/TableC3!$C$91</f>
        <v>3.1301650078711656E-2</v>
      </c>
      <c r="G29" s="1488">
        <f>TableC3!D26/TableC3!$C$91</f>
        <v>1.377043049053416E-2</v>
      </c>
      <c r="H29" s="1490">
        <f>TableC3!K26/TableC3!$C$91</f>
        <v>1.7531219588177497E-2</v>
      </c>
      <c r="I29" s="9"/>
      <c r="J29" s="9"/>
      <c r="K29" s="9"/>
    </row>
    <row r="30" spans="1:11" x14ac:dyDescent="0.2">
      <c r="A30" s="958" t="s">
        <v>308</v>
      </c>
      <c r="B30" s="1155" t="s">
        <v>47</v>
      </c>
      <c r="C30" s="119">
        <f>(TableC2!D27+TableC2!O27)/(TableC2!$D$91+TableC2!$O$91)</f>
        <v>7.8425511361631256E-3</v>
      </c>
      <c r="D30" s="1488">
        <f>(TableC2!E27+TableC2!P27)/(TableC2!$D$91+TableC2!$O$91)</f>
        <v>1.877390591860687E-3</v>
      </c>
      <c r="E30" s="1489">
        <f>(TableC2!L27+TableC2!W27)/(TableC2!$D$91+TableC2!$O$91)</f>
        <v>5.9651605443024379E-3</v>
      </c>
      <c r="F30" s="119">
        <f>TableC3!C27/TableC3!$C$91</f>
        <v>2.5393428097699022E-3</v>
      </c>
      <c r="G30" s="1488">
        <f>TableC3!D27/TableC3!$C$91</f>
        <v>1.2649280154906743E-3</v>
      </c>
      <c r="H30" s="1490">
        <f>TableC3!K27/TableC3!$C$91</f>
        <v>1.2744147942792281E-3</v>
      </c>
      <c r="I30" s="9"/>
      <c r="J30" s="9"/>
      <c r="K30" s="9"/>
    </row>
    <row r="31" spans="1:11" x14ac:dyDescent="0.2">
      <c r="A31" s="958"/>
      <c r="B31" s="1154" t="s">
        <v>48</v>
      </c>
      <c r="C31" s="119">
        <f>(TableC2!D28+TableC2!O28)/(TableC2!$D$91+TableC2!$O$91)</f>
        <v>3.2602023798818466E-4</v>
      </c>
      <c r="D31" s="1488">
        <f>(TableC2!E28+TableC2!P28)/(TableC2!$D$91+TableC2!$O$91)</f>
        <v>2.2825175041912686E-4</v>
      </c>
      <c r="E31" s="1489">
        <f>(TableC2!L28+TableC2!W28)/(TableC2!$D$91+TableC2!$O$91)</f>
        <v>9.7768487569057844E-5</v>
      </c>
      <c r="F31" s="119">
        <f>TableC3!C28/TableC3!$C$91</f>
        <v>-2.1049007270863145E-6</v>
      </c>
      <c r="G31" s="1488">
        <f>TableC3!D28/TableC3!$C$91</f>
        <v>-2.2427443755588904E-6</v>
      </c>
      <c r="H31" s="1490">
        <f>TableC3!K28/TableC3!$C$91</f>
        <v>1.3784364847257572E-7</v>
      </c>
      <c r="I31" s="9"/>
      <c r="J31" s="9"/>
      <c r="K31" s="9"/>
    </row>
    <row r="32" spans="1:11" x14ac:dyDescent="0.2">
      <c r="A32" s="958"/>
      <c r="B32" s="1154" t="s">
        <v>49</v>
      </c>
      <c r="C32" s="119"/>
      <c r="D32" s="1488"/>
      <c r="E32" s="1489"/>
      <c r="F32" s="119"/>
      <c r="G32" s="1488"/>
      <c r="H32" s="1490"/>
      <c r="I32" s="9"/>
      <c r="J32" s="9"/>
      <c r="K32" s="9"/>
    </row>
    <row r="33" spans="1:11" x14ac:dyDescent="0.2">
      <c r="A33" s="958"/>
      <c r="B33" s="1154" t="s">
        <v>50</v>
      </c>
      <c r="C33" s="119">
        <f>(TableC2!D30+TableC2!O30)/(TableC2!$D$91+TableC2!$O$91)</f>
        <v>2.1243640995602324E-2</v>
      </c>
      <c r="D33" s="1488">
        <f>(TableC2!E30+TableC2!P30)/(TableC2!$D$91+TableC2!$O$91)</f>
        <v>6.5493995468567708E-3</v>
      </c>
      <c r="E33" s="1489">
        <f>(TableC2!L30+TableC2!W30)/(TableC2!$D$91+TableC2!$O$91)</f>
        <v>1.4694241448745555E-2</v>
      </c>
      <c r="F33" s="119">
        <f>TableC3!C30/TableC3!$C$91</f>
        <v>5.8976661446118392E-3</v>
      </c>
      <c r="G33" s="1488">
        <f>TableC3!D30/TableC3!$C$91</f>
        <v>4.8772930427810907E-3</v>
      </c>
      <c r="H33" s="1490">
        <f>TableC3!K30/TableC3!$C$91</f>
        <v>1.0203731018307491E-3</v>
      </c>
      <c r="I33" s="9"/>
      <c r="J33" s="9"/>
      <c r="K33" s="9"/>
    </row>
    <row r="34" spans="1:11" x14ac:dyDescent="0.2">
      <c r="A34" s="958"/>
      <c r="B34" s="1154" t="s">
        <v>51</v>
      </c>
      <c r="C34" s="119"/>
      <c r="D34" s="1488"/>
      <c r="E34" s="1489"/>
      <c r="F34" s="119"/>
      <c r="G34" s="1488"/>
      <c r="H34" s="1490"/>
      <c r="I34" s="9"/>
      <c r="J34" s="9"/>
      <c r="K34" s="9"/>
    </row>
    <row r="35" spans="1:11" x14ac:dyDescent="0.2">
      <c r="A35" s="958"/>
      <c r="B35" s="1154" t="s">
        <v>52</v>
      </c>
      <c r="C35" s="119">
        <f>(TableC2!D32+TableC2!O32)/(TableC2!$D$91+TableC2!$O$91)</f>
        <v>2.4712704271089023E-3</v>
      </c>
      <c r="D35" s="1488">
        <f>(TableC2!E32+TableC2!P32)/(TableC2!$D$91+TableC2!$O$91)</f>
        <v>8.1230099055695185E-4</v>
      </c>
      <c r="E35" s="1489">
        <f>(TableC2!L32+TableC2!W32)/(TableC2!$D$91+TableC2!$O$91)</f>
        <v>1.6589694365519499E-3</v>
      </c>
      <c r="F35" s="119">
        <f>TableC3!C32/TableC3!$C$91</f>
        <v>1.077429398093936E-3</v>
      </c>
      <c r="G35" s="1488">
        <f>TableC3!D32/TableC3!$C$91</f>
        <v>-1.7600926495356614E-4</v>
      </c>
      <c r="H35" s="1490">
        <f>TableC3!K32/TableC3!$C$91</f>
        <v>1.2534386630475021E-3</v>
      </c>
      <c r="I35" s="9"/>
      <c r="J35" s="9"/>
      <c r="K35" s="9"/>
    </row>
    <row r="36" spans="1:11" x14ac:dyDescent="0.2">
      <c r="A36" s="958"/>
      <c r="B36" s="1154" t="s">
        <v>53</v>
      </c>
      <c r="C36" s="119">
        <f>(TableC2!D33+TableC2!O33)/(TableC2!$D$91+TableC2!$O$91)</f>
        <v>8.4606477579900353E-3</v>
      </c>
      <c r="D36" s="1488">
        <f>(TableC2!E33+TableC2!P33)/(TableC2!$D$91+TableC2!$O$91)</f>
        <v>4.7751731912853692E-3</v>
      </c>
      <c r="E36" s="1489">
        <f>(TableC2!L33+TableC2!W33)/(TableC2!$D$91+TableC2!$O$91)</f>
        <v>3.6854745667046647E-3</v>
      </c>
      <c r="F36" s="119">
        <f>TableC3!C33/TableC3!$C$91</f>
        <v>8.8116191446949432E-3</v>
      </c>
      <c r="G36" s="1488">
        <f>TableC3!D33/TableC3!$C$91</f>
        <v>6.2282428164049239E-3</v>
      </c>
      <c r="H36" s="1490">
        <f>TableC3!K33/TableC3!$C$91</f>
        <v>2.5833763282900189E-3</v>
      </c>
      <c r="I36" s="9"/>
      <c r="J36" s="9"/>
      <c r="K36" s="9"/>
    </row>
    <row r="37" spans="1:11" x14ac:dyDescent="0.2">
      <c r="A37" s="958"/>
      <c r="B37" s="1154" t="s">
        <v>54</v>
      </c>
      <c r="C37" s="119">
        <f>(TableC2!D34+TableC2!O34)/(TableC2!$D$91+TableC2!$O$91)</f>
        <v>5.9952902423293514E-3</v>
      </c>
      <c r="D37" s="1488">
        <f>(TableC2!E34+TableC2!P34)/(TableC2!$D$91+TableC2!$O$91)</f>
        <v>4.1537261335864752E-3</v>
      </c>
      <c r="E37" s="1489">
        <f>(TableC2!L34+TableC2!W34)/(TableC2!$D$91+TableC2!$O$91)</f>
        <v>1.8415641087428753E-3</v>
      </c>
      <c r="F37" s="119">
        <f>TableC3!C34/TableC3!$C$91</f>
        <v>-4.0991621296697991E-3</v>
      </c>
      <c r="G37" s="1488">
        <f>TableC3!D34/TableC3!$C$91</f>
        <v>-4.1021427542822925E-3</v>
      </c>
      <c r="H37" s="1490">
        <f>TableC3!K34/TableC3!$C$91</f>
        <v>2.9806246124936239E-6</v>
      </c>
      <c r="I37" s="9"/>
      <c r="J37" s="9"/>
      <c r="K37" s="9"/>
    </row>
    <row r="38" spans="1:11" x14ac:dyDescent="0.2">
      <c r="A38" s="958"/>
      <c r="B38" s="1154" t="s">
        <v>55</v>
      </c>
      <c r="C38" s="119">
        <f>(TableC2!D35+TableC2!O35)/(TableC2!$D$91+TableC2!$O$91)</f>
        <v>4.2795563651134329E-3</v>
      </c>
      <c r="D38" s="1488">
        <f>(TableC2!E35+TableC2!P35)/(TableC2!$D$91+TableC2!$O$91)</f>
        <v>3.8232602558087698E-3</v>
      </c>
      <c r="E38" s="1489">
        <f>(TableC2!L35+TableC2!W35)/(TableC2!$D$91+TableC2!$O$91)</f>
        <v>4.5629610930466268E-4</v>
      </c>
      <c r="F38" s="119">
        <f>TableC3!C35/TableC3!$C$91</f>
        <v>4.5096719166581585E-4</v>
      </c>
      <c r="G38" s="1488">
        <f>TableC3!D35/TableC3!$C$91</f>
        <v>5.1514052295589449E-6</v>
      </c>
      <c r="H38" s="1490">
        <f>TableC3!K35/TableC3!$C$91</f>
        <v>4.458157864362569E-4</v>
      </c>
      <c r="I38" s="9"/>
      <c r="J38" s="9"/>
      <c r="K38" s="9"/>
    </row>
    <row r="39" spans="1:11" x14ac:dyDescent="0.2">
      <c r="A39" s="958" t="s">
        <v>336</v>
      </c>
      <c r="B39" s="1154" t="s">
        <v>56</v>
      </c>
      <c r="C39" s="119">
        <f>(TableC2!D36+TableC2!O36)/(TableC2!$D$91+TableC2!$O$91)</f>
        <v>1.0330141075741322E-3</v>
      </c>
      <c r="D39" s="1488">
        <f>(TableC2!E36+TableC2!P36)/(TableC2!$D$91+TableC2!$O$91)</f>
        <v>8.6841688287720418E-4</v>
      </c>
      <c r="E39" s="1489">
        <f>(TableC2!L36+TableC2!W36)/(TableC2!$D$91+TableC2!$O$91)</f>
        <v>1.6459722469692808E-4</v>
      </c>
      <c r="F39" s="119">
        <f>TableC3!C36/TableC3!$C$91</f>
        <v>1.4587367164912179E-4</v>
      </c>
      <c r="G39" s="1488">
        <f>TableC3!D36/TableC3!$C$91</f>
        <v>1.4012277340320144E-4</v>
      </c>
      <c r="H39" s="1490">
        <f>TableC3!K36/TableC3!$C$91</f>
        <v>5.7508982459203629E-6</v>
      </c>
      <c r="I39" s="9"/>
      <c r="J39" s="9"/>
      <c r="K39" s="9"/>
    </row>
    <row r="40" spans="1:11" x14ac:dyDescent="0.2">
      <c r="A40" s="958"/>
      <c r="B40" s="1154" t="s">
        <v>57</v>
      </c>
      <c r="C40" s="119">
        <f>(TableC2!D37+TableC2!O37)/(TableC2!$D$91+TableC2!$O$91)</f>
        <v>3.654712624260153E-4</v>
      </c>
      <c r="D40" s="1488">
        <f>(TableC2!E37+TableC2!P37)/(TableC2!$D$91+TableC2!$O$91)</f>
        <v>1.8671176507977259E-4</v>
      </c>
      <c r="E40" s="1489">
        <f>(TableC2!L37+TableC2!W37)/(TableC2!$D$91+TableC2!$O$91)</f>
        <v>1.7875949734624271E-4</v>
      </c>
      <c r="F40" s="119">
        <f>TableC3!C37/TableC3!$C$91</f>
        <v>-1.1446836980557663E-5</v>
      </c>
      <c r="G40" s="1488">
        <f>TableC3!D37/TableC3!$C$91</f>
        <v>-1.2300149141209749E-5</v>
      </c>
      <c r="H40" s="1490">
        <f>TableC3!K37/TableC3!$C$91</f>
        <v>8.5331216065208515E-7</v>
      </c>
      <c r="I40" s="9"/>
      <c r="J40" s="9"/>
      <c r="K40" s="9"/>
    </row>
    <row r="41" spans="1:11" x14ac:dyDescent="0.2">
      <c r="A41" s="958"/>
      <c r="B41" s="1154" t="s">
        <v>58</v>
      </c>
      <c r="C41" s="119">
        <f>(TableC2!D38+TableC2!O38)/(TableC2!$D$91+TableC2!$O$91)</f>
        <v>2.3297591975226153E-2</v>
      </c>
      <c r="D41" s="1488">
        <f>(TableC2!E38+TableC2!P38)/(TableC2!$D$91+TableC2!$O$91)</f>
        <v>1.8340982873649415E-2</v>
      </c>
      <c r="E41" s="1489">
        <f>(TableC2!L38+TableC2!W38)/(TableC2!$D$91+TableC2!$O$91)</f>
        <v>4.9566091015767338E-3</v>
      </c>
      <c r="F41" s="119">
        <f>TableC3!C38/TableC3!$C$91</f>
        <v>5.0284979279168118E-3</v>
      </c>
      <c r="G41" s="1488">
        <f>TableC3!D38/TableC3!$C$91</f>
        <v>1.7890199695092034E-3</v>
      </c>
      <c r="H41" s="1490">
        <f>TableC3!K38/TableC3!$C$91</f>
        <v>3.2394779584076078E-3</v>
      </c>
      <c r="I41" s="9"/>
      <c r="J41" s="9"/>
      <c r="K41" s="9"/>
    </row>
    <row r="42" spans="1:11" s="25" customFormat="1" x14ac:dyDescent="0.2">
      <c r="A42" s="1115"/>
      <c r="B42" s="1080" t="s">
        <v>59</v>
      </c>
      <c r="C42" s="119">
        <f>(TableC2!D39+TableC2!O39)/(TableC2!$D$91+TableC2!$O$91)</f>
        <v>1.3855022996481142E-2</v>
      </c>
      <c r="D42" s="1488">
        <f>(TableC2!E39+TableC2!P39)/(TableC2!$D$91+TableC2!$O$91)</f>
        <v>1.0822004319987177E-2</v>
      </c>
      <c r="E42" s="1489">
        <f>(TableC2!L39+TableC2!W39)/(TableC2!$D$91+TableC2!$O$91)</f>
        <v>3.0330186764939652E-3</v>
      </c>
      <c r="F42" s="119">
        <f>TableC3!C39/TableC3!$C$91</f>
        <v>1.5382207518861577E-2</v>
      </c>
      <c r="G42" s="1488">
        <f>TableC3!D39/TableC3!$C$91</f>
        <v>1.0928225256139026E-2</v>
      </c>
      <c r="H42" s="1490">
        <f>TableC3!K39/TableC3!$C$91</f>
        <v>4.4539822627225499E-3</v>
      </c>
      <c r="I42" s="9"/>
      <c r="J42" s="9"/>
      <c r="K42" s="9"/>
    </row>
    <row r="43" spans="1:11" x14ac:dyDescent="0.2">
      <c r="A43" s="958"/>
      <c r="B43" s="1154" t="s">
        <v>60</v>
      </c>
      <c r="C43" s="119"/>
      <c r="D43" s="1488"/>
      <c r="E43" s="1489"/>
      <c r="F43" s="119"/>
      <c r="G43" s="1488"/>
      <c r="H43" s="1490"/>
      <c r="I43" s="9"/>
      <c r="J43" s="9"/>
      <c r="K43" s="9"/>
    </row>
    <row r="44" spans="1:11" x14ac:dyDescent="0.2">
      <c r="A44" s="958"/>
      <c r="B44" s="1154" t="s">
        <v>61</v>
      </c>
      <c r="C44" s="119">
        <f>(TableC2!D41+TableC2!O41)/(TableC2!$D$91+TableC2!$O$91)</f>
        <v>8.0710502968516559E-3</v>
      </c>
      <c r="D44" s="1488">
        <f>(TableC2!E41+TableC2!P41)/(TableC2!$D$91+TableC2!$O$91)</f>
        <v>2.6221025158661578E-3</v>
      </c>
      <c r="E44" s="1489">
        <f>(TableC2!L41+TableC2!W41)/(TableC2!$D$91+TableC2!$O$91)</f>
        <v>5.4489477809854976E-3</v>
      </c>
      <c r="F44" s="119">
        <f>TableC3!C41/TableC3!$C$91</f>
        <v>7.5929868107591164E-4</v>
      </c>
      <c r="G44" s="1488">
        <f>TableC3!D41/TableC3!$C$91</f>
        <v>7.2760750836909944E-4</v>
      </c>
      <c r="H44" s="1490">
        <f>TableC3!K41/TableC3!$C$91</f>
        <v>3.1691172706812175E-5</v>
      </c>
      <c r="I44" s="9"/>
      <c r="J44" s="9"/>
      <c r="K44" s="9"/>
    </row>
    <row r="45" spans="1:11" x14ac:dyDescent="0.2">
      <c r="A45" s="958"/>
      <c r="B45" s="1154" t="s">
        <v>62</v>
      </c>
      <c r="C45" s="119">
        <f>(TableC2!D42+TableC2!O42)/(TableC2!$D$91+TableC2!$O$91)</f>
        <v>9.9764361162460416E-2</v>
      </c>
      <c r="D45" s="1488">
        <f>(TableC2!E42+TableC2!P42)/(TableC2!$D$91+TableC2!$O$91)</f>
        <v>7.8748241297624449E-2</v>
      </c>
      <c r="E45" s="1489">
        <f>(TableC2!L42+TableC2!W42)/(TableC2!$D$91+TableC2!$O$91)</f>
        <v>2.1016119864835987E-2</v>
      </c>
      <c r="F45" s="119">
        <f>TableC3!C42/TableC3!$C$91</f>
        <v>8.8359920842053602E-2</v>
      </c>
      <c r="G45" s="1488">
        <f>TableC3!D42/TableC3!$C$91</f>
        <v>6.293229063488158E-2</v>
      </c>
      <c r="H45" s="1490">
        <f>TableC3!K42/TableC3!$C$91</f>
        <v>2.5427630207172022E-2</v>
      </c>
      <c r="I45" s="9"/>
      <c r="J45" s="9"/>
      <c r="K45" s="9"/>
    </row>
    <row r="46" spans="1:11" x14ac:dyDescent="0.2">
      <c r="A46" s="958"/>
      <c r="B46" s="1154" t="s">
        <v>63</v>
      </c>
      <c r="C46" s="119">
        <f>(TableC2!D43+TableC2!O43)/(TableC2!$D$91+TableC2!$O$91)</f>
        <v>0.23126388034635956</v>
      </c>
      <c r="D46" s="1488">
        <f>(TableC2!E43+TableC2!P43)/(TableC2!$D$91+TableC2!$O$91)</f>
        <v>6.993642139427636E-2</v>
      </c>
      <c r="E46" s="1489">
        <f>(TableC2!L43+TableC2!W43)/(TableC2!$D$91+TableC2!$O$91)</f>
        <v>0.1613274589520832</v>
      </c>
      <c r="F46" s="119">
        <f>TableC3!C43/TableC3!$C$91</f>
        <v>0.49543163353131575</v>
      </c>
      <c r="G46" s="1488">
        <f>TableC3!D43/TableC3!$C$91</f>
        <v>0.27841810953851953</v>
      </c>
      <c r="H46" s="1490">
        <f>TableC3!K43/TableC3!$C$91</f>
        <v>0.21701352399279628</v>
      </c>
      <c r="I46" s="9"/>
      <c r="J46" s="9"/>
      <c r="K46" s="9"/>
    </row>
    <row r="47" spans="1:11" ht="34" x14ac:dyDescent="0.2">
      <c r="A47" s="958"/>
      <c r="B47" s="7" t="s">
        <v>64</v>
      </c>
      <c r="C47" s="265">
        <f>(TableC2!D44+TableC2!O44)/(TableC2!$D$91+TableC2!$O$91)</f>
        <v>0.16643235025160288</v>
      </c>
      <c r="D47" s="266">
        <f>(TableC2!E44+TableC2!P44)/(TableC2!$D$91+TableC2!$O$91)</f>
        <v>3.9205325044625004E-2</v>
      </c>
      <c r="E47" s="427">
        <f>(TableC2!L44+TableC2!W44)/(TableC2!$D$91+TableC2!$O$91)</f>
        <v>0.12722702520697785</v>
      </c>
      <c r="F47" s="265">
        <f>TableC3!C44/TableC3!$C$91</f>
        <v>0.10262200574178083</v>
      </c>
      <c r="G47" s="266">
        <f>TableC3!D44/TableC3!$C$91</f>
        <v>1.0949235452186533E-2</v>
      </c>
      <c r="H47" s="684">
        <f>TableC3!K44/TableC3!$C$91</f>
        <v>9.1672770289594335E-2</v>
      </c>
      <c r="I47" s="266"/>
      <c r="J47" s="266"/>
      <c r="K47" s="266"/>
    </row>
    <row r="48" spans="1:11" x14ac:dyDescent="0.2">
      <c r="A48" s="958"/>
      <c r="B48" s="1155" t="s">
        <v>65</v>
      </c>
      <c r="C48" s="119">
        <f>(TableC2!D45+TableC2!O45)/(TableC2!$D$91+TableC2!$O$91)</f>
        <v>2.3054256625011073E-2</v>
      </c>
      <c r="D48" s="1488">
        <f>(TableC2!E45+TableC2!P45)/(TableC2!$D$91+TableC2!$O$91)</f>
        <v>8.5446161994909633E-3</v>
      </c>
      <c r="E48" s="1489">
        <f>(TableC2!L45+TableC2!W45)/(TableC2!$D$91+TableC2!$O$91)</f>
        <v>1.4509640425520109E-2</v>
      </c>
      <c r="F48" s="119">
        <f>TableC3!C45/TableC3!$C$91</f>
        <v>1.0991333484919354E-2</v>
      </c>
      <c r="G48" s="1488">
        <f>TableC3!D45/TableC3!$C$91</f>
        <v>1.0509729693381273E-2</v>
      </c>
      <c r="H48" s="1490">
        <f>TableC3!K45/TableC3!$C$91</f>
        <v>4.8160379153807954E-4</v>
      </c>
      <c r="I48" s="9"/>
      <c r="J48" s="9"/>
      <c r="K48" s="9"/>
    </row>
    <row r="49" spans="1:11" x14ac:dyDescent="0.2">
      <c r="A49" s="329" t="s">
        <v>337</v>
      </c>
      <c r="B49" s="1154" t="s">
        <v>66</v>
      </c>
      <c r="C49" s="119">
        <f>(TableC2!D46+TableC2!O46)/(TableC2!$D$91+TableC2!$O$91)</f>
        <v>9.8182603751241798E-2</v>
      </c>
      <c r="D49" s="1488">
        <f>(TableC2!E46+TableC2!P46)/(TableC2!$D$91+TableC2!$O$91)</f>
        <v>9.9433146494782784E-3</v>
      </c>
      <c r="E49" s="1489">
        <f>(TableC2!L46+TableC2!W46)/(TableC2!$D$91+TableC2!$O$91)</f>
        <v>8.8239289101763527E-2</v>
      </c>
      <c r="F49" s="119">
        <f>TableC3!C46/TableC3!$C$91</f>
        <v>7.3836598592048192E-2</v>
      </c>
      <c r="G49" s="1488">
        <f>TableC3!D46/TableC3!$C$91</f>
        <v>1.0430444107014237E-5</v>
      </c>
      <c r="H49" s="1490">
        <f>TableC3!K46/TableC3!$C$91</f>
        <v>7.3826168147941185E-2</v>
      </c>
      <c r="I49" s="9"/>
      <c r="J49" s="9"/>
      <c r="K49" s="9"/>
    </row>
    <row r="50" spans="1:11" x14ac:dyDescent="0.2">
      <c r="A50" s="958"/>
      <c r="B50" s="1154" t="s">
        <v>67</v>
      </c>
      <c r="C50" s="119">
        <f>(TableC2!D47+TableC2!O47)/(TableC2!$D$91+TableC2!$O$91)</f>
        <v>2.2768934375925862E-3</v>
      </c>
      <c r="D50" s="1488">
        <f>(TableC2!E47+TableC2!P47)/(TableC2!$D$91+TableC2!$O$91)</f>
        <v>9.293059680468256E-4</v>
      </c>
      <c r="E50" s="1489">
        <f>(TableC2!L47+TableC2!W47)/(TableC2!$D$91+TableC2!$O$91)</f>
        <v>1.3475874695457607E-3</v>
      </c>
      <c r="F50" s="119">
        <f>TableC3!C47/TableC3!$C$91</f>
        <v>1.6204842415862718E-3</v>
      </c>
      <c r="G50" s="1488">
        <f>TableC3!D47/TableC3!$C$91</f>
        <v>-4.78172516929098E-6</v>
      </c>
      <c r="H50" s="1490">
        <f>TableC3!K47/TableC3!$C$91</f>
        <v>1.6252659667555626E-3</v>
      </c>
      <c r="I50" s="9"/>
      <c r="J50" s="9"/>
      <c r="K50" s="9"/>
    </row>
    <row r="51" spans="1:11" x14ac:dyDescent="0.2">
      <c r="A51" s="958"/>
      <c r="B51" s="1154" t="s">
        <v>68</v>
      </c>
      <c r="C51" s="119">
        <f>(TableC2!D48+TableC2!O48)/(TableC2!$D$91+TableC2!$O$91)</f>
        <v>1.7154676584601677E-3</v>
      </c>
      <c r="D51" s="1488">
        <f>(TableC2!E48+TableC2!P48)/(TableC2!$D$91+TableC2!$O$91)</f>
        <v>7.0016203072021093E-4</v>
      </c>
      <c r="E51" s="1489">
        <f>(TableC2!L48+TableC2!W48)/(TableC2!$D$91+TableC2!$O$91)</f>
        <v>1.0153056277399568E-3</v>
      </c>
      <c r="F51" s="119">
        <f>TableC3!C48/TableC3!$C$91</f>
        <v>1.9337494602380704E-4</v>
      </c>
      <c r="G51" s="1488">
        <f>TableC3!D48/TableC3!$C$91</f>
        <v>-2.3947692119236731E-6</v>
      </c>
      <c r="H51" s="1490">
        <f>TableC3!K48/TableC3!$C$91</f>
        <v>1.9576971523573071E-4</v>
      </c>
      <c r="I51" s="9"/>
      <c r="J51" s="9"/>
      <c r="K51" s="9"/>
    </row>
    <row r="52" spans="1:11" x14ac:dyDescent="0.2">
      <c r="A52" s="958"/>
      <c r="B52" s="1154" t="s">
        <v>69</v>
      </c>
      <c r="C52" s="119">
        <f>(TableC2!D49+TableC2!O49)/(TableC2!$D$91+TableC2!$O$91)</f>
        <v>1.5372244726840623E-2</v>
      </c>
      <c r="D52" s="1488">
        <f>(TableC2!E49+TableC2!P49)/(TableC2!$D$91+TableC2!$O$91)</f>
        <v>4.4807843565392684E-3</v>
      </c>
      <c r="E52" s="1489">
        <f>(TableC2!L49+TableC2!W49)/(TableC2!$D$91+TableC2!$O$91)</f>
        <v>1.0891460370301352E-2</v>
      </c>
      <c r="F52" s="119">
        <f>TableC3!C49/TableC3!$C$91</f>
        <v>7.5865478311569054E-3</v>
      </c>
      <c r="G52" s="1488">
        <f>TableC3!D49/TableC3!$C$91</f>
        <v>4.6757525458261219E-5</v>
      </c>
      <c r="H52" s="1490">
        <f>TableC3!K49/TableC3!$C$91</f>
        <v>7.5397903056986446E-3</v>
      </c>
      <c r="I52" s="9"/>
      <c r="J52" s="9"/>
      <c r="K52" s="9"/>
    </row>
    <row r="53" spans="1:11" x14ac:dyDescent="0.2">
      <c r="A53" s="329" t="s">
        <v>338</v>
      </c>
      <c r="B53" s="1154" t="s">
        <v>70</v>
      </c>
      <c r="C53" s="119">
        <f>(TableC2!D50+TableC2!O50)/(TableC2!$D$91+TableC2!$O$91)</f>
        <v>1.9211421726663545E-2</v>
      </c>
      <c r="D53" s="1488">
        <f>(TableC2!E50+TableC2!P50)/(TableC2!$D$91+TableC2!$O$91)</f>
        <v>1.1790460593000592E-2</v>
      </c>
      <c r="E53" s="1489">
        <f>(TableC2!L50+TableC2!W50)/(TableC2!$D$91+TableC2!$O$91)</f>
        <v>7.4209611336629559E-3</v>
      </c>
      <c r="F53" s="119">
        <f>TableC3!C50/TableC3!$C$91</f>
        <v>1.224641513658766E-3</v>
      </c>
      <c r="G53" s="1488">
        <f>TableC3!D50/TableC3!$C$91</f>
        <v>1.1645414876082E-3</v>
      </c>
      <c r="H53" s="1490">
        <f>TableC3!K50/TableC3!$C$91</f>
        <v>6.0100026050566073E-5</v>
      </c>
      <c r="I53" s="9"/>
      <c r="J53" s="9"/>
      <c r="K53" s="9"/>
    </row>
    <row r="54" spans="1:11" x14ac:dyDescent="0.2">
      <c r="A54" s="958"/>
      <c r="B54" s="1154" t="s">
        <v>71</v>
      </c>
      <c r="C54" s="119">
        <f>(TableC2!D51+TableC2!O51)/(TableC2!$D$91+TableC2!$O$91)</f>
        <v>6.6194623257930692E-3</v>
      </c>
      <c r="D54" s="1488">
        <f>(TableC2!E51+TableC2!P51)/(TableC2!$D$91+TableC2!$O$91)</f>
        <v>2.8166812473488672E-3</v>
      </c>
      <c r="E54" s="1489">
        <f>(TableC2!L51+TableC2!W51)/(TableC2!$D$91+TableC2!$O$91)</f>
        <v>3.802781078444202E-3</v>
      </c>
      <c r="F54" s="119">
        <f>TableC3!C51/TableC3!$C$91</f>
        <v>7.1690251323875643E-3</v>
      </c>
      <c r="G54" s="1488">
        <f>TableC3!D51/TableC3!$C$91</f>
        <v>-7.7504720398700237E-4</v>
      </c>
      <c r="H54" s="1490">
        <f>TableC3!K51/TableC3!$C$91</f>
        <v>7.944072336374567E-3</v>
      </c>
      <c r="I54" s="9"/>
      <c r="J54" s="9"/>
      <c r="K54" s="9"/>
    </row>
    <row r="55" spans="1:11" ht="40" hidden="1" customHeight="1" x14ac:dyDescent="0.2">
      <c r="A55" s="958"/>
      <c r="B55" s="7" t="s">
        <v>72</v>
      </c>
      <c r="C55" s="157"/>
      <c r="D55" s="246"/>
      <c r="E55" s="427"/>
      <c r="F55" s="157"/>
      <c r="G55" s="246"/>
      <c r="H55" s="684"/>
      <c r="I55" s="266"/>
      <c r="J55" s="266"/>
      <c r="K55" s="266"/>
    </row>
    <row r="56" spans="1:11" ht="14.25" hidden="1" customHeight="1" x14ac:dyDescent="0.2">
      <c r="A56" s="958"/>
      <c r="B56" s="1154" t="s">
        <v>73</v>
      </c>
      <c r="C56" s="1491"/>
      <c r="D56" s="246"/>
      <c r="E56" s="1492"/>
      <c r="F56" s="1491"/>
      <c r="G56" s="246"/>
      <c r="H56" s="1164"/>
      <c r="I56" s="1184"/>
      <c r="J56" s="1184"/>
      <c r="K56" s="1184"/>
    </row>
    <row r="57" spans="1:11" ht="14.25" hidden="1" customHeight="1" x14ac:dyDescent="0.2">
      <c r="A57" s="958"/>
      <c r="B57" s="1154" t="s">
        <v>74</v>
      </c>
      <c r="C57" s="1491"/>
      <c r="D57" s="246"/>
      <c r="E57" s="1492"/>
      <c r="F57" s="1491"/>
      <c r="G57" s="246"/>
      <c r="H57" s="1164"/>
      <c r="I57" s="1184"/>
      <c r="J57" s="1184"/>
      <c r="K57" s="1184"/>
    </row>
    <row r="58" spans="1:11" ht="14.25" hidden="1" customHeight="1" x14ac:dyDescent="0.2">
      <c r="A58" s="958"/>
      <c r="B58" s="1154" t="str">
        <f>+TableA1!A56</f>
        <v>Antigua and Barbuda</v>
      </c>
      <c r="C58" s="1491"/>
      <c r="D58" s="246"/>
      <c r="E58" s="1492"/>
      <c r="F58" s="1491"/>
      <c r="G58" s="246"/>
      <c r="H58" s="1164"/>
      <c r="I58" s="1184"/>
      <c r="J58" s="1184"/>
      <c r="K58" s="1184"/>
    </row>
    <row r="59" spans="1:11" ht="14.25" hidden="1" customHeight="1" x14ac:dyDescent="0.2">
      <c r="A59" s="958"/>
      <c r="B59" s="1154" t="s">
        <v>76</v>
      </c>
      <c r="C59" s="1491"/>
      <c r="D59" s="246"/>
      <c r="E59" s="1492"/>
      <c r="F59" s="1491"/>
      <c r="G59" s="246"/>
      <c r="H59" s="1164"/>
      <c r="I59" s="1184"/>
      <c r="J59" s="1184"/>
      <c r="K59" s="1184"/>
    </row>
    <row r="60" spans="1:11" ht="14.25" hidden="1" customHeight="1" x14ac:dyDescent="0.2">
      <c r="A60" s="329" t="s">
        <v>77</v>
      </c>
      <c r="B60" s="1154" t="s">
        <v>152</v>
      </c>
      <c r="C60" s="1491"/>
      <c r="D60" s="246"/>
      <c r="E60" s="1492"/>
      <c r="F60" s="1491"/>
      <c r="G60" s="246"/>
      <c r="H60" s="1164"/>
      <c r="I60" s="1184"/>
      <c r="J60" s="1184"/>
      <c r="K60" s="1184"/>
    </row>
    <row r="61" spans="1:11" ht="14.25" hidden="1" customHeight="1" x14ac:dyDescent="0.2">
      <c r="A61" s="329" t="s">
        <v>340</v>
      </c>
      <c r="B61" s="1154" t="s">
        <v>78</v>
      </c>
      <c r="C61" s="1491"/>
      <c r="D61" s="246"/>
      <c r="E61" s="1492"/>
      <c r="F61" s="1491"/>
      <c r="G61" s="246"/>
      <c r="H61" s="1164"/>
      <c r="I61" s="1184"/>
      <c r="J61" s="1184"/>
      <c r="K61" s="1184"/>
    </row>
    <row r="62" spans="1:11" ht="14.25" hidden="1" customHeight="1" x14ac:dyDescent="0.2">
      <c r="A62" s="958"/>
      <c r="B62" s="1154" t="str">
        <f>+TableA1!A60</f>
        <v>Barbados</v>
      </c>
      <c r="C62" s="1491"/>
      <c r="D62" s="246"/>
      <c r="E62" s="1492"/>
      <c r="F62" s="1491"/>
      <c r="G62" s="246"/>
      <c r="H62" s="1164"/>
      <c r="I62" s="1184"/>
      <c r="J62" s="1184"/>
      <c r="K62" s="1184"/>
    </row>
    <row r="63" spans="1:11" ht="14.25" hidden="1" customHeight="1" x14ac:dyDescent="0.2">
      <c r="A63" s="958"/>
      <c r="B63" s="1154" t="s">
        <v>80</v>
      </c>
      <c r="C63" s="1491"/>
      <c r="D63" s="246"/>
      <c r="E63" s="1492"/>
      <c r="F63" s="1491"/>
      <c r="G63" s="246"/>
      <c r="H63" s="1164"/>
      <c r="I63" s="1184"/>
      <c r="J63" s="1184"/>
      <c r="K63" s="1184"/>
    </row>
    <row r="64" spans="1:11" ht="14.25" hidden="1" customHeight="1" x14ac:dyDescent="0.2">
      <c r="A64" s="958"/>
      <c r="B64" s="1154" t="s">
        <v>81</v>
      </c>
      <c r="C64" s="1491"/>
      <c r="D64" s="246"/>
      <c r="E64" s="1492"/>
      <c r="F64" s="1491"/>
      <c r="G64" s="246"/>
      <c r="H64" s="1164"/>
      <c r="I64" s="1184"/>
      <c r="J64" s="1184"/>
      <c r="K64" s="1184"/>
    </row>
    <row r="65" spans="1:11" ht="14.25" hidden="1" customHeight="1" x14ac:dyDescent="0.2">
      <c r="A65" s="329" t="s">
        <v>645</v>
      </c>
      <c r="B65" s="1154" t="s">
        <v>82</v>
      </c>
      <c r="C65" s="1491"/>
      <c r="D65" s="246"/>
      <c r="E65" s="1492"/>
      <c r="F65" s="1491"/>
      <c r="G65" s="246"/>
      <c r="H65" s="1164"/>
      <c r="I65" s="1184"/>
      <c r="J65" s="1184"/>
      <c r="K65" s="1184"/>
    </row>
    <row r="66" spans="1:11" ht="14.25" hidden="1" customHeight="1" x14ac:dyDescent="0.2">
      <c r="A66" s="329" t="s">
        <v>372</v>
      </c>
      <c r="B66" s="1154" t="s">
        <v>153</v>
      </c>
      <c r="C66" s="1491"/>
      <c r="D66" s="246"/>
      <c r="E66" s="1492"/>
      <c r="F66" s="1491"/>
      <c r="G66" s="246"/>
      <c r="H66" s="1164"/>
      <c r="I66" s="1184"/>
      <c r="J66" s="1184"/>
      <c r="K66" s="1184"/>
    </row>
    <row r="67" spans="1:11" ht="14.25" hidden="1" customHeight="1" x14ac:dyDescent="0.2">
      <c r="A67" s="958"/>
      <c r="B67" s="113" t="s">
        <v>84</v>
      </c>
      <c r="C67" s="638"/>
      <c r="D67" s="246"/>
      <c r="E67" s="1492"/>
      <c r="F67" s="638"/>
      <c r="G67" s="246"/>
      <c r="H67" s="1164"/>
      <c r="I67" s="1184"/>
      <c r="J67" s="1184"/>
      <c r="K67" s="1184"/>
    </row>
    <row r="68" spans="1:11" ht="14.25" hidden="1" customHeight="1" x14ac:dyDescent="0.2">
      <c r="A68" s="958"/>
      <c r="B68" s="1154" t="s">
        <v>85</v>
      </c>
      <c r="C68" s="1491"/>
      <c r="D68" s="246"/>
      <c r="E68" s="1492"/>
      <c r="F68" s="1491"/>
      <c r="G68" s="246"/>
      <c r="H68" s="1164"/>
      <c r="I68" s="1184"/>
      <c r="J68" s="1184"/>
      <c r="K68" s="1184"/>
    </row>
    <row r="69" spans="1:11" ht="14.25" hidden="1" customHeight="1" x14ac:dyDescent="0.2">
      <c r="A69" s="958"/>
      <c r="B69" s="1154" t="str">
        <f>+TableA1!A67</f>
        <v>Cyprus</v>
      </c>
      <c r="C69" s="1491"/>
      <c r="D69" s="246"/>
      <c r="E69" s="1492"/>
      <c r="F69" s="1491"/>
      <c r="G69" s="246"/>
      <c r="H69" s="1164"/>
      <c r="I69" s="1184"/>
      <c r="J69" s="1184"/>
      <c r="K69" s="1184"/>
    </row>
    <row r="70" spans="1:11" ht="14.25" hidden="1" customHeight="1" x14ac:dyDescent="0.2">
      <c r="A70" s="958"/>
      <c r="B70" s="1154" t="s">
        <v>87</v>
      </c>
      <c r="C70" s="1491"/>
      <c r="D70" s="246"/>
      <c r="E70" s="1492"/>
      <c r="F70" s="1491"/>
      <c r="G70" s="246"/>
      <c r="H70" s="1164"/>
      <c r="I70" s="1184"/>
      <c r="J70" s="1184"/>
      <c r="K70" s="1184"/>
    </row>
    <row r="71" spans="1:11" ht="14.25" hidden="1" customHeight="1" x14ac:dyDescent="0.2">
      <c r="A71" s="958"/>
      <c r="B71" s="1154" t="str">
        <f>+TableA1!A69</f>
        <v>Grenada</v>
      </c>
      <c r="C71" s="1491"/>
      <c r="D71" s="246"/>
      <c r="E71" s="1492"/>
      <c r="F71" s="1491"/>
      <c r="G71" s="246"/>
      <c r="H71" s="1164"/>
      <c r="I71" s="1184"/>
      <c r="J71" s="1184"/>
      <c r="K71" s="1184"/>
    </row>
    <row r="72" spans="1:11" ht="14.25" hidden="1" customHeight="1" x14ac:dyDescent="0.2">
      <c r="A72" s="958"/>
      <c r="B72" s="1154" t="s">
        <v>89</v>
      </c>
      <c r="C72" s="1491"/>
      <c r="D72" s="246"/>
      <c r="E72" s="1492"/>
      <c r="F72" s="1491"/>
      <c r="G72" s="246"/>
      <c r="H72" s="1164"/>
      <c r="I72" s="1184"/>
      <c r="J72" s="1184"/>
      <c r="K72" s="1184"/>
    </row>
    <row r="73" spans="1:11" ht="14.25" hidden="1" customHeight="1" x14ac:dyDescent="0.2">
      <c r="A73" s="329" t="s">
        <v>90</v>
      </c>
      <c r="B73" s="1154" t="s">
        <v>154</v>
      </c>
      <c r="C73" s="1491"/>
      <c r="D73" s="246"/>
      <c r="E73" s="1492"/>
      <c r="F73" s="1491"/>
      <c r="G73" s="246"/>
      <c r="H73" s="1164"/>
      <c r="I73" s="1184"/>
      <c r="J73" s="1184"/>
      <c r="K73" s="1184"/>
    </row>
    <row r="74" spans="1:11" ht="14.25" hidden="1" customHeight="1" x14ac:dyDescent="0.2">
      <c r="A74" s="329" t="s">
        <v>341</v>
      </c>
      <c r="B74" s="1154" t="s">
        <v>91</v>
      </c>
      <c r="C74" s="1491"/>
      <c r="D74" s="246"/>
      <c r="E74" s="1492"/>
      <c r="F74" s="1491"/>
      <c r="G74" s="246"/>
      <c r="H74" s="1164"/>
      <c r="I74" s="1184"/>
      <c r="J74" s="1184"/>
      <c r="K74" s="1184"/>
    </row>
    <row r="75" spans="1:11" ht="14.25" hidden="1" customHeight="1" x14ac:dyDescent="0.2">
      <c r="A75" s="958"/>
      <c r="B75" s="1154" t="s">
        <v>92</v>
      </c>
      <c r="C75" s="1491"/>
      <c r="D75" s="246"/>
      <c r="E75" s="1492"/>
      <c r="F75" s="1491"/>
      <c r="G75" s="246"/>
      <c r="H75" s="1164"/>
      <c r="I75" s="1184"/>
      <c r="J75" s="1184"/>
      <c r="K75" s="1184"/>
    </row>
    <row r="76" spans="1:11" ht="14.25" hidden="1" customHeight="1" x14ac:dyDescent="0.2">
      <c r="A76" s="958"/>
      <c r="B76" s="1154" t="s">
        <v>93</v>
      </c>
      <c r="C76" s="1491"/>
      <c r="D76" s="246"/>
      <c r="E76" s="1492"/>
      <c r="F76" s="1491"/>
      <c r="G76" s="246"/>
      <c r="H76" s="1164"/>
      <c r="I76" s="1184"/>
      <c r="J76" s="1184"/>
      <c r="K76" s="1493"/>
    </row>
    <row r="77" spans="1:11" ht="14.25" hidden="1" customHeight="1" x14ac:dyDescent="0.2">
      <c r="A77" s="958"/>
      <c r="B77" s="1154" t="s">
        <v>94</v>
      </c>
      <c r="C77" s="1491"/>
      <c r="D77" s="246"/>
      <c r="E77" s="1492"/>
      <c r="F77" s="1491"/>
      <c r="G77" s="246"/>
      <c r="H77" s="1164"/>
      <c r="I77" s="1184"/>
      <c r="J77" s="1184"/>
      <c r="K77" s="1184"/>
    </row>
    <row r="78" spans="1:11" ht="14.25" hidden="1" customHeight="1" x14ac:dyDescent="0.2">
      <c r="A78" s="329" t="s">
        <v>342</v>
      </c>
      <c r="B78" s="1154" t="s">
        <v>95</v>
      </c>
      <c r="C78" s="1491"/>
      <c r="D78" s="246"/>
      <c r="E78" s="1492"/>
      <c r="F78" s="1491"/>
      <c r="G78" s="246"/>
      <c r="H78" s="1164"/>
      <c r="I78" s="1184"/>
      <c r="J78" s="1184"/>
      <c r="K78" s="1184"/>
    </row>
    <row r="79" spans="1:11" ht="14.25" hidden="1" customHeight="1" x14ac:dyDescent="0.2">
      <c r="A79" s="958"/>
      <c r="B79" s="1154" t="s">
        <v>96</v>
      </c>
      <c r="C79" s="1491"/>
      <c r="D79" s="246"/>
      <c r="E79" s="1492"/>
      <c r="F79" s="1491"/>
      <c r="G79" s="246"/>
      <c r="H79" s="1164"/>
      <c r="I79" s="1184"/>
      <c r="J79" s="1184"/>
      <c r="K79" s="1184"/>
    </row>
    <row r="80" spans="1:11" ht="14.25" hidden="1" customHeight="1" x14ac:dyDescent="0.2">
      <c r="A80" s="329" t="s">
        <v>373</v>
      </c>
      <c r="B80" s="1154" t="s">
        <v>97</v>
      </c>
      <c r="C80" s="1491"/>
      <c r="D80" s="246"/>
      <c r="E80" s="1492"/>
      <c r="F80" s="1491"/>
      <c r="G80" s="246"/>
      <c r="H80" s="1164"/>
      <c r="I80" s="1184"/>
      <c r="J80" s="1184"/>
      <c r="K80" s="1184"/>
    </row>
    <row r="81" spans="1:11" ht="14.25" hidden="1" customHeight="1" x14ac:dyDescent="0.2">
      <c r="A81" s="958"/>
      <c r="B81" s="1154" t="str">
        <f>+TableA1!A79</f>
        <v>Monaco</v>
      </c>
      <c r="C81" s="1491"/>
      <c r="D81" s="246"/>
      <c r="E81" s="1492"/>
      <c r="F81" s="1491"/>
      <c r="G81" s="246"/>
      <c r="H81" s="1164"/>
      <c r="I81" s="1184"/>
      <c r="J81" s="1184"/>
      <c r="K81" s="1184"/>
    </row>
    <row r="82" spans="1:11" ht="14.25" hidden="1" customHeight="1" x14ac:dyDescent="0.2">
      <c r="A82" s="958"/>
      <c r="B82" s="1154" t="s">
        <v>99</v>
      </c>
      <c r="C82" s="1491"/>
      <c r="D82" s="246"/>
      <c r="E82" s="1492"/>
      <c r="F82" s="1491"/>
      <c r="G82" s="246"/>
      <c r="H82" s="1164"/>
      <c r="I82" s="1184"/>
      <c r="J82" s="1184"/>
      <c r="K82" s="1184"/>
    </row>
    <row r="83" spans="1:11" ht="14.25" hidden="1" customHeight="1" x14ac:dyDescent="0.2">
      <c r="A83" s="958"/>
      <c r="B83" s="1154" t="s">
        <v>100</v>
      </c>
      <c r="C83" s="1491"/>
      <c r="D83" s="246"/>
      <c r="E83" s="1492"/>
      <c r="F83" s="1491"/>
      <c r="G83" s="246"/>
      <c r="H83" s="1164"/>
      <c r="I83" s="1184"/>
      <c r="J83" s="1184"/>
      <c r="K83" s="1184"/>
    </row>
    <row r="84" spans="1:11" ht="14.25" hidden="1" customHeight="1" x14ac:dyDescent="0.2">
      <c r="A84" s="958"/>
      <c r="B84" s="1154" t="str">
        <f>+TableA1!A82</f>
        <v>Seychelles</v>
      </c>
      <c r="C84" s="1491"/>
      <c r="D84" s="246"/>
      <c r="E84" s="1492"/>
      <c r="F84" s="1491"/>
      <c r="G84" s="246"/>
      <c r="H84" s="1164"/>
      <c r="I84" s="1184"/>
      <c r="J84" s="1184"/>
      <c r="K84" s="1184"/>
    </row>
    <row r="85" spans="1:11" hidden="1" x14ac:dyDescent="0.2">
      <c r="A85" s="958"/>
      <c r="B85" s="1154" t="s">
        <v>102</v>
      </c>
      <c r="C85" s="1491"/>
      <c r="D85" s="246"/>
      <c r="E85" s="1492"/>
      <c r="F85" s="1491"/>
      <c r="G85" s="246"/>
      <c r="H85" s="1164"/>
      <c r="I85" s="1184"/>
      <c r="J85" s="1184"/>
      <c r="K85" s="1184"/>
    </row>
    <row r="86" spans="1:11" hidden="1" x14ac:dyDescent="0.2">
      <c r="A86" s="958"/>
      <c r="B86" s="1154" t="str">
        <f>+TableA1!A84</f>
        <v>St. Kitts and Nevis</v>
      </c>
      <c r="C86" s="1491"/>
      <c r="D86" s="246"/>
      <c r="E86" s="1492"/>
      <c r="F86" s="1491"/>
      <c r="G86" s="246"/>
      <c r="H86" s="1164"/>
      <c r="I86" s="1184"/>
      <c r="J86" s="1184"/>
      <c r="K86" s="1184"/>
    </row>
    <row r="87" spans="1:11" hidden="1" x14ac:dyDescent="0.2">
      <c r="A87" s="958"/>
      <c r="B87" s="1154" t="str">
        <f>+TableA1!A85</f>
        <v>St. Lucia</v>
      </c>
      <c r="C87" s="1491"/>
      <c r="D87" s="246"/>
      <c r="E87" s="1492"/>
      <c r="F87" s="1491"/>
      <c r="G87" s="246"/>
      <c r="H87" s="1164"/>
      <c r="I87" s="1184"/>
      <c r="J87" s="1184"/>
      <c r="K87" s="1184"/>
    </row>
    <row r="88" spans="1:11" hidden="1" x14ac:dyDescent="0.2">
      <c r="A88" s="958"/>
      <c r="B88" s="1154" t="str">
        <f>+TableA1!A86</f>
        <v>St. Vincent and the Grenadines</v>
      </c>
      <c r="C88" s="1491"/>
      <c r="D88" s="246"/>
      <c r="E88" s="1492"/>
      <c r="F88" s="1491"/>
      <c r="G88" s="246"/>
      <c r="H88" s="1164"/>
      <c r="I88" s="1184"/>
      <c r="J88" s="1184"/>
      <c r="K88" s="1184"/>
    </row>
    <row r="89" spans="1:11" hidden="1" x14ac:dyDescent="0.2">
      <c r="A89" s="329" t="s">
        <v>374</v>
      </c>
      <c r="B89" s="1154" t="str">
        <f>+TableA1!A87</f>
        <v>Turks and Caicos</v>
      </c>
      <c r="C89" s="1491"/>
      <c r="D89" s="246"/>
      <c r="E89" s="1492"/>
      <c r="F89" s="1491"/>
      <c r="G89" s="246"/>
      <c r="H89" s="1164"/>
      <c r="I89" s="1184"/>
      <c r="J89" s="1184"/>
      <c r="K89" s="1184"/>
    </row>
    <row r="90" spans="1:11" hidden="1" x14ac:dyDescent="0.2">
      <c r="A90" s="958"/>
      <c r="B90" s="1154" t="str">
        <f>+TableA1!A88</f>
        <v>Panama</v>
      </c>
      <c r="C90" s="1491"/>
      <c r="D90" s="246"/>
      <c r="E90" s="1492"/>
      <c r="F90" s="1491"/>
      <c r="G90" s="246"/>
      <c r="H90" s="1164"/>
      <c r="I90" s="1184"/>
      <c r="J90" s="1184"/>
      <c r="K90" s="1184"/>
    </row>
    <row r="91" spans="1:11" hidden="1" x14ac:dyDescent="0.2">
      <c r="A91" s="958"/>
      <c r="B91" s="1154" t="s">
        <v>108</v>
      </c>
      <c r="C91" s="1491"/>
      <c r="D91" s="246"/>
      <c r="E91" s="1492"/>
      <c r="F91" s="1491"/>
      <c r="G91" s="246"/>
      <c r="H91" s="1164"/>
      <c r="I91" s="1184"/>
      <c r="J91" s="1184"/>
      <c r="K91" s="1184"/>
    </row>
    <row r="92" spans="1:11" ht="40" customHeight="1" x14ac:dyDescent="0.2">
      <c r="A92" s="958"/>
      <c r="B92" s="1467" t="s">
        <v>155</v>
      </c>
      <c r="C92" s="1494">
        <f>(TableC2!D89+TableC2!O89)/(TableC2!$D$91+TableC2!$O$91)</f>
        <v>0.12769362819963248</v>
      </c>
      <c r="D92" s="1495">
        <f>(TableC2!E89+TableC2!P89)/(TableC2!$D$91+TableC2!$O$91)</f>
        <v>5.2117515523064435E-2</v>
      </c>
      <c r="E92" s="1496">
        <f>(TableC2!L89+TableC2!W89)/(TableC2!$D$91+TableC2!$O$91)</f>
        <v>7.5576112676568039E-2</v>
      </c>
      <c r="F92" s="1494">
        <f>TableC3!C89/TableC3!$C$91</f>
        <v>3.2320250533842396E-2</v>
      </c>
      <c r="G92" s="1495">
        <f>TableC3!D89/TableC3!$C$91</f>
        <v>4.0246479147966899E-3</v>
      </c>
      <c r="H92" s="1497">
        <f>TableC3!K89/TableC3!$C$91</f>
        <v>2.82956026190457E-2</v>
      </c>
      <c r="I92" s="266"/>
      <c r="J92" s="266"/>
      <c r="K92" s="266"/>
    </row>
    <row r="93" spans="1:11" ht="40" hidden="1" customHeight="1" x14ac:dyDescent="0.2">
      <c r="A93" s="958"/>
      <c r="B93" s="622"/>
      <c r="C93" s="265"/>
      <c r="D93" s="266"/>
      <c r="E93" s="266"/>
      <c r="F93" s="265"/>
      <c r="G93" s="266"/>
      <c r="H93" s="684"/>
      <c r="I93" s="266"/>
      <c r="J93" s="266"/>
      <c r="K93" s="266"/>
    </row>
    <row r="94" spans="1:11" ht="40" customHeight="1" thickBot="1" x14ac:dyDescent="0.25">
      <c r="A94" s="958"/>
      <c r="B94" s="263" t="str">
        <f>+TableC3!B91</f>
        <v>Non-haven total</v>
      </c>
      <c r="C94" s="282">
        <f>(TableC2!D91+TableC2!O91)/(TableC2!$D$91+TableC2!$O$91)</f>
        <v>1</v>
      </c>
      <c r="D94" s="289">
        <f>(TableC2!E91+TableC2!P91)/(TableC2!$D$91+TableC2!$O$91)</f>
        <v>0.47219492563123605</v>
      </c>
      <c r="E94" s="289">
        <f>(TableC2!L91+TableC2!W91)/(TableC2!$D$91+TableC2!$O$91)</f>
        <v>0.527805074368764</v>
      </c>
      <c r="F94" s="282">
        <f>TableC3!C91/TableC3!$C$91</f>
        <v>1</v>
      </c>
      <c r="G94" s="289">
        <f>TableC3!D91/TableC3!$C$91</f>
        <v>0.53582474991874207</v>
      </c>
      <c r="H94" s="685">
        <f>TableC3!K91/TableC3!$C$91</f>
        <v>0.46417525008125793</v>
      </c>
      <c r="I94" s="246"/>
      <c r="J94" s="246"/>
      <c r="K94" s="246"/>
    </row>
    <row r="95" spans="1:11" s="2" customFormat="1" ht="17" thickTop="1" x14ac:dyDescent="0.2">
      <c r="D95" s="958"/>
      <c r="E95" s="958"/>
      <c r="G95" s="958"/>
      <c r="H95" s="958"/>
      <c r="I95" s="958"/>
      <c r="J95" s="958"/>
      <c r="K95" s="958"/>
    </row>
    <row r="97" spans="2:11" s="2" customFormat="1" x14ac:dyDescent="0.2">
      <c r="B97" s="958"/>
      <c r="C97" s="958"/>
      <c r="D97" s="958"/>
      <c r="E97" s="958"/>
      <c r="F97" s="958"/>
      <c r="G97" s="958"/>
      <c r="H97" s="958"/>
      <c r="I97" s="958"/>
      <c r="J97" s="958"/>
      <c r="K97" s="958"/>
    </row>
  </sheetData>
  <mergeCells count="6">
    <mergeCell ref="B4:H4"/>
    <mergeCell ref="C8:E8"/>
    <mergeCell ref="F8:H8"/>
    <mergeCell ref="C9:C10"/>
    <mergeCell ref="F9:F10"/>
    <mergeCell ref="C7:H7"/>
  </mergeCells>
  <pageMargins left="0.7" right="0.7" top="0.75" bottom="0.75" header="0.3" footer="0.3"/>
  <pageSetup scale="69"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3:S98"/>
  <sheetViews>
    <sheetView zoomScaleNormal="100" zoomScalePageLayoutView="70" workbookViewId="0">
      <pane xSplit="2" ySplit="11" topLeftCell="C13" activePane="bottomRight" state="frozen"/>
      <selection pane="topRight" activeCell="AR8" sqref="AR8"/>
      <selection pane="bottomLeft" activeCell="AR8" sqref="AR8"/>
      <selection pane="bottomRight" activeCell="D13" sqref="D13"/>
    </sheetView>
  </sheetViews>
  <sheetFormatPr baseColWidth="10" defaultColWidth="10.83203125" defaultRowHeight="16" x14ac:dyDescent="0.2"/>
  <cols>
    <col min="1" max="1" width="17.5" style="1" hidden="1" customWidth="1"/>
    <col min="2" max="2" width="19" style="1" customWidth="1"/>
    <col min="3" max="9" width="12.83203125" style="1" customWidth="1"/>
    <col min="10" max="12" width="19.6640625" style="1" customWidth="1"/>
    <col min="13" max="13" width="10.83203125" style="1"/>
    <col min="14" max="14" width="19.5" style="1" customWidth="1"/>
    <col min="15" max="15" width="13.6640625" style="1" customWidth="1"/>
    <col min="16" max="16384" width="10.83203125" style="1"/>
  </cols>
  <sheetData>
    <row r="3" spans="2:17" ht="17" thickBot="1" x14ac:dyDescent="0.25">
      <c r="B3" s="958"/>
      <c r="C3" s="958"/>
      <c r="D3" s="958"/>
      <c r="E3" s="958"/>
      <c r="F3" s="958"/>
      <c r="G3" s="958"/>
      <c r="H3" s="958"/>
      <c r="I3" s="958"/>
      <c r="J3" s="958"/>
      <c r="K3" s="958"/>
      <c r="L3" s="958"/>
      <c r="M3" s="958"/>
      <c r="N3" s="958"/>
      <c r="O3" s="958"/>
      <c r="P3" s="958"/>
      <c r="Q3" s="958"/>
    </row>
    <row r="4" spans="2:17" ht="17" hidden="1" thickBot="1" x14ac:dyDescent="0.25">
      <c r="B4" s="958"/>
      <c r="C4" s="958"/>
      <c r="D4" s="958"/>
      <c r="E4" s="958"/>
      <c r="F4" s="958"/>
      <c r="G4" s="958"/>
      <c r="H4" s="958"/>
      <c r="I4" s="958"/>
      <c r="J4" s="958"/>
      <c r="K4" s="958"/>
      <c r="L4" s="958"/>
      <c r="M4" s="958"/>
      <c r="N4" s="958"/>
      <c r="O4" s="958"/>
      <c r="P4" s="958"/>
      <c r="Q4" s="958"/>
    </row>
    <row r="5" spans="2:17" ht="32.25" customHeight="1" x14ac:dyDescent="0.2">
      <c r="B5" s="2073" t="s">
        <v>657</v>
      </c>
      <c r="C5" s="2074"/>
      <c r="D5" s="2074"/>
      <c r="E5" s="2074"/>
      <c r="F5" s="2074"/>
      <c r="G5" s="2074"/>
      <c r="H5" s="2074"/>
      <c r="I5" s="2075"/>
      <c r="J5" s="620"/>
      <c r="K5" s="620"/>
      <c r="L5" s="620"/>
      <c r="M5" s="958"/>
      <c r="N5" s="958"/>
      <c r="O5" s="958"/>
      <c r="P5" s="958"/>
      <c r="Q5" s="958"/>
    </row>
    <row r="6" spans="2:17" ht="21" customHeight="1" x14ac:dyDescent="0.2">
      <c r="B6" s="118"/>
      <c r="C6" s="620"/>
      <c r="D6" s="620"/>
      <c r="E6" s="620"/>
      <c r="F6" s="620"/>
      <c r="G6" s="620"/>
      <c r="H6" s="620"/>
      <c r="I6" s="686"/>
      <c r="J6" s="620"/>
      <c r="K6" s="620"/>
      <c r="L6" s="620"/>
      <c r="M6" s="958"/>
      <c r="N6" s="958"/>
      <c r="O6" s="958"/>
      <c r="P6" s="958"/>
      <c r="Q6" s="958"/>
    </row>
    <row r="7" spans="2:17" ht="16.5" customHeight="1" x14ac:dyDescent="0.2">
      <c r="B7" s="118"/>
      <c r="C7" s="160" t="s">
        <v>1</v>
      </c>
      <c r="D7" s="160" t="s">
        <v>2</v>
      </c>
      <c r="E7" s="160" t="s">
        <v>3</v>
      </c>
      <c r="F7" s="160" t="s">
        <v>4</v>
      </c>
      <c r="G7" s="160" t="s">
        <v>5</v>
      </c>
      <c r="H7" s="160" t="s">
        <v>6</v>
      </c>
      <c r="I7" s="793" t="s">
        <v>7</v>
      </c>
      <c r="J7" s="620"/>
      <c r="K7" s="620"/>
      <c r="L7" s="620"/>
      <c r="M7" s="958"/>
      <c r="N7" s="958"/>
      <c r="O7" s="958"/>
      <c r="P7" s="958"/>
      <c r="Q7" s="958"/>
    </row>
    <row r="8" spans="2:17" ht="32.25" customHeight="1" x14ac:dyDescent="0.2">
      <c r="B8" s="118"/>
      <c r="C8" s="2274" t="s">
        <v>658</v>
      </c>
      <c r="D8" s="2271" t="s">
        <v>659</v>
      </c>
      <c r="E8" s="2269"/>
      <c r="F8" s="2269"/>
      <c r="G8" s="2269"/>
      <c r="H8" s="2269"/>
      <c r="I8" s="2272"/>
      <c r="J8" s="620"/>
      <c r="K8" s="620"/>
      <c r="L8" s="620"/>
      <c r="M8" s="958"/>
      <c r="N8" s="958"/>
      <c r="O8" s="958"/>
      <c r="P8" s="958"/>
      <c r="Q8" s="958"/>
    </row>
    <row r="9" spans="2:17" ht="21" customHeight="1" x14ac:dyDescent="0.2">
      <c r="B9" s="959"/>
      <c r="C9" s="2275"/>
      <c r="D9" s="2099" t="s">
        <v>655</v>
      </c>
      <c r="E9" s="2099"/>
      <c r="F9" s="2099"/>
      <c r="G9" s="2098" t="s">
        <v>656</v>
      </c>
      <c r="H9" s="2099" t="s">
        <v>648</v>
      </c>
      <c r="I9" s="2100"/>
      <c r="J9" s="1041"/>
      <c r="K9" s="1041"/>
      <c r="L9" s="1041"/>
      <c r="M9" s="958"/>
      <c r="N9" s="958"/>
      <c r="O9" s="958"/>
      <c r="P9" s="958"/>
      <c r="Q9" s="958"/>
    </row>
    <row r="10" spans="2:17" ht="85" customHeight="1" x14ac:dyDescent="0.2">
      <c r="B10" s="959"/>
      <c r="C10" s="2275"/>
      <c r="D10" s="2273" t="s">
        <v>627</v>
      </c>
      <c r="E10" s="1835" t="s">
        <v>628</v>
      </c>
      <c r="F10" s="1485" t="s">
        <v>629</v>
      </c>
      <c r="G10" s="2055" t="s">
        <v>627</v>
      </c>
      <c r="H10" s="1835" t="s">
        <v>628</v>
      </c>
      <c r="I10" s="1851" t="s">
        <v>629</v>
      </c>
      <c r="J10" s="1486"/>
      <c r="K10" s="1486"/>
      <c r="L10" s="1486"/>
      <c r="M10" s="958"/>
      <c r="N10" s="958"/>
      <c r="O10" s="958"/>
      <c r="P10" s="958"/>
      <c r="Q10" s="958"/>
    </row>
    <row r="11" spans="2:17" ht="21" customHeight="1" x14ac:dyDescent="0.2">
      <c r="B11" s="959"/>
      <c r="C11" s="2276"/>
      <c r="D11" s="2088"/>
      <c r="E11" s="1853"/>
      <c r="F11" s="1498"/>
      <c r="G11" s="2011"/>
      <c r="H11" s="1853"/>
      <c r="I11" s="1852"/>
      <c r="J11" s="1486"/>
      <c r="K11" s="1486"/>
      <c r="L11" s="1486"/>
      <c r="M11" s="958"/>
      <c r="N11" s="958"/>
      <c r="O11" s="958"/>
      <c r="P11" s="958"/>
      <c r="Q11" s="958"/>
    </row>
    <row r="12" spans="2:17" ht="40" customHeight="1" x14ac:dyDescent="0.2">
      <c r="B12" s="107" t="s">
        <v>28</v>
      </c>
      <c r="C12" s="640">
        <f>+SUM(C13:C47)</f>
        <v>5813.7273350245077</v>
      </c>
      <c r="D12" s="21">
        <f>TableC4!C10/(C12*1000)</f>
        <v>7.4847722419050605E-2</v>
      </c>
      <c r="E12" s="1499">
        <f>+TableC4!D10/(TableC4c!$C12*1000)</f>
        <v>4.0385971476118374E-2</v>
      </c>
      <c r="F12" s="1500">
        <f>+D12-E12</f>
        <v>3.4461750942932232E-2</v>
      </c>
      <c r="G12" s="21">
        <f>TableC4!N10/(C12*1000)</f>
        <v>9.1726851962435241E-2</v>
      </c>
      <c r="H12" s="1499">
        <f>+TableC4!O10/(TableC4c!$C12*1000)</f>
        <v>5.5228695052201772E-2</v>
      </c>
      <c r="I12" s="1501">
        <f>+G12-H12</f>
        <v>3.6498156910233469E-2</v>
      </c>
      <c r="J12" s="246"/>
      <c r="K12" s="246"/>
      <c r="L12" s="246"/>
      <c r="M12" s="958"/>
      <c r="N12" s="958"/>
      <c r="O12" s="958"/>
      <c r="P12" s="958"/>
      <c r="Q12" s="958"/>
    </row>
    <row r="13" spans="2:17" ht="14.25" customHeight="1" x14ac:dyDescent="0.2">
      <c r="B13" s="937" t="s">
        <v>29</v>
      </c>
      <c r="C13" s="1502">
        <f>+TableA2!F10</f>
        <v>178.84741076861815</v>
      </c>
      <c r="D13" s="119">
        <f>TableC4!C11/(C13*1000)</f>
        <v>7.2458944603187428E-2</v>
      </c>
      <c r="E13" s="1488">
        <f>+TableC4!D11/(TableC4c!$C13*1000)</f>
        <v>2.3007869480445912E-2</v>
      </c>
      <c r="F13" s="1489">
        <f t="shared" ref="F13:F76" si="0">+D13-E13</f>
        <v>4.9451075122741515E-2</v>
      </c>
      <c r="G13" s="119">
        <f>TableC4!N11/(C13*1000)</f>
        <v>9.7905266672633235E-3</v>
      </c>
      <c r="H13" s="1488">
        <f>+TableC4!O11/(TableC4c!$C13*1000)</f>
        <v>-8.6849264464315527E-4</v>
      </c>
      <c r="I13" s="1503">
        <f t="shared" ref="I13:I76" si="1">+G13-H13</f>
        <v>1.0659019311906479E-2</v>
      </c>
      <c r="J13" s="9"/>
      <c r="K13" s="246"/>
      <c r="L13" s="246"/>
      <c r="M13" s="958"/>
      <c r="N13" s="958"/>
      <c r="O13" s="958"/>
      <c r="P13" s="958"/>
      <c r="Q13" s="958"/>
    </row>
    <row r="14" spans="2:17" ht="14.25" customHeight="1" x14ac:dyDescent="0.2">
      <c r="B14" s="937" t="s">
        <v>30</v>
      </c>
      <c r="C14" s="1502">
        <f>+TableA2!F11</f>
        <v>47.957043627358011</v>
      </c>
      <c r="D14" s="119">
        <f>TableC4!C12/(C14*1000)</f>
        <v>7.4846957375892961E-2</v>
      </c>
      <c r="E14" s="1488">
        <f>+TableC4!D12/(TableC4c!$C14*1000)</f>
        <v>4.3281052600304973E-2</v>
      </c>
      <c r="F14" s="1489">
        <f t="shared" si="0"/>
        <v>3.1565904775587988E-2</v>
      </c>
      <c r="G14" s="119">
        <f>TableC4!N12/(C14*1000)</f>
        <v>4.6463227609687303E-2</v>
      </c>
      <c r="H14" s="1488">
        <f>+TableC4!O12/(TableC4c!$C14*1000)</f>
        <v>7.7307101994649454E-3</v>
      </c>
      <c r="I14" s="1503">
        <f t="shared" si="1"/>
        <v>3.8732517410222357E-2</v>
      </c>
      <c r="J14" s="9"/>
      <c r="K14" s="246"/>
      <c r="L14" s="246"/>
      <c r="M14" s="958"/>
      <c r="N14" s="958"/>
      <c r="O14" s="958"/>
      <c r="P14" s="958"/>
      <c r="Q14" s="958"/>
    </row>
    <row r="15" spans="2:17" ht="14.25" customHeight="1" x14ac:dyDescent="0.2">
      <c r="B15" s="937" t="s">
        <v>31</v>
      </c>
      <c r="C15" s="1502"/>
      <c r="D15" s="119"/>
      <c r="E15" s="1488"/>
      <c r="F15" s="1489"/>
      <c r="G15" s="119"/>
      <c r="H15" s="1488"/>
      <c r="I15" s="1503"/>
      <c r="J15" s="9"/>
      <c r="K15" s="246"/>
      <c r="L15" s="246"/>
      <c r="M15" s="958"/>
      <c r="N15" s="958"/>
      <c r="O15" s="958"/>
      <c r="P15" s="958"/>
      <c r="Q15" s="1081"/>
    </row>
    <row r="16" spans="2:17" ht="14.25" customHeight="1" x14ac:dyDescent="0.2">
      <c r="B16" s="937" t="s">
        <v>32</v>
      </c>
      <c r="C16" s="1502">
        <f>+TableA2!F13</f>
        <v>142.9569900038934</v>
      </c>
      <c r="D16" s="119">
        <f>TableC4!C14/(C16*1000)</f>
        <v>0.13232007222981604</v>
      </c>
      <c r="E16" s="1488">
        <f>+TableC4!D14/(TableC4c!$C16*1000)</f>
        <v>2.3343379780562886E-2</v>
      </c>
      <c r="F16" s="1489">
        <f t="shared" si="0"/>
        <v>0.10897669244925315</v>
      </c>
      <c r="G16" s="119">
        <f>TableC4!N14/(C16*1000)</f>
        <v>0.11492209040229349</v>
      </c>
      <c r="H16" s="1488">
        <f>+TableC4!O14/(TableC4c!$C16*1000)</f>
        <v>3.0147988705354976E-2</v>
      </c>
      <c r="I16" s="1503">
        <f t="shared" si="1"/>
        <v>8.4774101696938525E-2</v>
      </c>
      <c r="J16" s="9"/>
      <c r="K16" s="246"/>
      <c r="L16" s="246"/>
      <c r="M16" s="958"/>
      <c r="N16" s="958"/>
      <c r="O16" s="958"/>
      <c r="P16" s="958"/>
      <c r="Q16" s="1081"/>
    </row>
    <row r="17" spans="1:19" ht="14.25" customHeight="1" x14ac:dyDescent="0.2">
      <c r="A17" s="958"/>
      <c r="B17" s="937" t="s">
        <v>33</v>
      </c>
      <c r="C17" s="1502">
        <f>+TableA2!F14</f>
        <v>67.542484958596845</v>
      </c>
      <c r="D17" s="119">
        <f>TableC4!C15/(C17*1000)</f>
        <v>7.6720813244254851E-2</v>
      </c>
      <c r="E17" s="1488">
        <f>+TableC4!D15/(TableC4c!$C17*1000)</f>
        <v>1.4926301509422632E-2</v>
      </c>
      <c r="F17" s="1489">
        <f t="shared" si="0"/>
        <v>6.1794511734832219E-2</v>
      </c>
      <c r="G17" s="119">
        <f>TableC4!N15/(C17*1000)</f>
        <v>-1.5463113376781026E-3</v>
      </c>
      <c r="H17" s="1488">
        <f>+TableC4!O15/(TableC4c!$C17*1000)</f>
        <v>-1.8024932701393155E-3</v>
      </c>
      <c r="I17" s="1503">
        <f t="shared" si="1"/>
        <v>2.5618193246121292E-4</v>
      </c>
      <c r="J17" s="9"/>
      <c r="K17" s="246"/>
      <c r="L17" s="246"/>
      <c r="M17" s="958"/>
      <c r="N17" s="958"/>
      <c r="O17" s="958"/>
      <c r="P17" s="958"/>
      <c r="Q17" s="1023"/>
      <c r="R17" s="958"/>
      <c r="S17" s="1023"/>
    </row>
    <row r="18" spans="1:19" ht="14.25" customHeight="1" x14ac:dyDescent="0.2">
      <c r="A18" s="958"/>
      <c r="B18" s="937" t="s">
        <v>34</v>
      </c>
      <c r="C18" s="1502">
        <f>+TableA2!F15</f>
        <v>33.577437877940952</v>
      </c>
      <c r="D18" s="119">
        <f>TableC4!C16/(C18*1000)</f>
        <v>5.2434867097975471E-2</v>
      </c>
      <c r="E18" s="1488">
        <f>+TableC4!D16/(TableC4c!$C18*1000)</f>
        <v>4.1970586071506132E-2</v>
      </c>
      <c r="F18" s="1489">
        <f t="shared" si="0"/>
        <v>1.0464281026469339E-2</v>
      </c>
      <c r="G18" s="119">
        <f>TableC4!N16/(C18*1000)</f>
        <v>1.4063286245338298E-2</v>
      </c>
      <c r="H18" s="1488">
        <f>+TableC4!O16/(TableC4c!$C18*1000)</f>
        <v>1.4059287045024221E-2</v>
      </c>
      <c r="I18" s="1503">
        <f t="shared" si="1"/>
        <v>3.9992003140771476E-6</v>
      </c>
      <c r="J18" s="9"/>
      <c r="K18" s="246"/>
      <c r="L18" s="246"/>
      <c r="M18" s="958"/>
      <c r="N18" s="958"/>
      <c r="O18" s="958"/>
      <c r="P18" s="958"/>
      <c r="Q18" s="958"/>
      <c r="R18" s="958"/>
      <c r="S18" s="958"/>
    </row>
    <row r="19" spans="1:19" ht="14.25" customHeight="1" x14ac:dyDescent="0.2">
      <c r="A19" s="958"/>
      <c r="B19" s="937" t="s">
        <v>35</v>
      </c>
      <c r="C19" s="1502">
        <f>+TableA2!F16</f>
        <v>51.69259919912686</v>
      </c>
      <c r="D19" s="119">
        <f>TableC4!C17/(C19*1000)</f>
        <v>5.7295748679020701E-2</v>
      </c>
      <c r="E19" s="1488">
        <f>+TableC4!D17/(TableC4c!$C19*1000)</f>
        <v>4.5104888829805748E-2</v>
      </c>
      <c r="F19" s="1489">
        <f t="shared" si="0"/>
        <v>1.2190859849214954E-2</v>
      </c>
      <c r="G19" s="119">
        <f>TableC4!N17/(C19*1000)</f>
        <v>7.0316169291163688E-2</v>
      </c>
      <c r="H19" s="1488">
        <f>+TableC4!O17/(TableC4c!$C19*1000)</f>
        <v>4.0920272377606565E-2</v>
      </c>
      <c r="I19" s="1503">
        <f t="shared" si="1"/>
        <v>2.9395896913557124E-2</v>
      </c>
      <c r="J19" s="9"/>
      <c r="K19" s="246"/>
      <c r="L19" s="246"/>
      <c r="M19" s="958"/>
      <c r="N19" s="958"/>
      <c r="O19" s="958"/>
      <c r="P19" s="958"/>
      <c r="Q19" s="958"/>
      <c r="R19" s="958"/>
      <c r="S19" s="958"/>
    </row>
    <row r="20" spans="1:19" ht="14.25" customHeight="1" x14ac:dyDescent="0.2">
      <c r="A20" s="958"/>
      <c r="B20" s="1504" t="s">
        <v>36</v>
      </c>
      <c r="C20" s="1502">
        <f>+TableA2!F17</f>
        <v>4.0797019715879275</v>
      </c>
      <c r="D20" s="119">
        <f>TableC4!C18/(C20*1000)</f>
        <v>5.9733161524731265E-2</v>
      </c>
      <c r="E20" s="1488">
        <f>+TableC4!D18/(TableC4c!$C20*1000)</f>
        <v>4.2832100132568655E-2</v>
      </c>
      <c r="F20" s="1489">
        <f t="shared" si="0"/>
        <v>1.690106139216261E-2</v>
      </c>
      <c r="G20" s="119">
        <f>TableC4!N18/(C20*1000)</f>
        <v>-9.9409345332641583E-4</v>
      </c>
      <c r="H20" s="1488">
        <f>+TableC4!O18/(TableC4c!$C20*1000)</f>
        <v>-9.9409345332641583E-4</v>
      </c>
      <c r="I20" s="1503">
        <f t="shared" si="1"/>
        <v>0</v>
      </c>
      <c r="J20" s="9"/>
      <c r="K20" s="246"/>
      <c r="L20" s="246"/>
      <c r="M20" s="958"/>
      <c r="N20" s="958"/>
      <c r="O20" s="958"/>
      <c r="P20" s="958"/>
      <c r="Q20" s="958"/>
      <c r="R20" s="958"/>
      <c r="S20" s="958"/>
    </row>
    <row r="21" spans="1:19" ht="14.25" customHeight="1" x14ac:dyDescent="0.2">
      <c r="A21" s="958"/>
      <c r="B21" s="937" t="s">
        <v>37</v>
      </c>
      <c r="C21" s="1502">
        <f>+TableA2!F18</f>
        <v>25.094852932206081</v>
      </c>
      <c r="D21" s="119">
        <f>TableC4!C19/(C21*1000)</f>
        <v>0.10818431066203703</v>
      </c>
      <c r="E21" s="1488">
        <f>+TableC4!D19/(TableC4c!$C21*1000)</f>
        <v>6.9525277483734646E-2</v>
      </c>
      <c r="F21" s="1489">
        <f t="shared" si="0"/>
        <v>3.8659033178302382E-2</v>
      </c>
      <c r="G21" s="119">
        <f>TableC4!N19/(C21*1000)</f>
        <v>9.0046506066856047E-2</v>
      </c>
      <c r="H21" s="1488">
        <f>+TableC4!O19/(TableC4c!$C21*1000)</f>
        <v>8.1315087946621567E-2</v>
      </c>
      <c r="I21" s="1503">
        <f t="shared" si="1"/>
        <v>8.7314181202344798E-3</v>
      </c>
      <c r="J21" s="9"/>
      <c r="K21" s="246"/>
      <c r="L21" s="246"/>
      <c r="M21" s="958"/>
      <c r="N21" s="958"/>
      <c r="O21" s="958"/>
      <c r="P21" s="958"/>
      <c r="Q21" s="958"/>
      <c r="R21" s="958"/>
      <c r="S21" s="958"/>
    </row>
    <row r="22" spans="1:19" ht="14.25" customHeight="1" x14ac:dyDescent="0.2">
      <c r="A22" s="958"/>
      <c r="B22" s="1504" t="s">
        <v>38</v>
      </c>
      <c r="C22" s="1502">
        <f>+TableA2!F19</f>
        <v>187.65852722592464</v>
      </c>
      <c r="D22" s="119">
        <f>TableC4!C20/(C22*1000)</f>
        <v>0.17097080725149064</v>
      </c>
      <c r="E22" s="1488">
        <f>+TableC4!D20/(TableC4c!$C22*1000)</f>
        <v>0.12893552276230175</v>
      </c>
      <c r="F22" s="1489">
        <f t="shared" si="0"/>
        <v>4.203528448918889E-2</v>
      </c>
      <c r="G22" s="119">
        <f>TableC4!N20/(C22*1000)</f>
        <v>0.34301584559328852</v>
      </c>
      <c r="H22" s="1488">
        <f>+TableC4!O20/(TableC4c!$C22*1000)</f>
        <v>0.27111964119981879</v>
      </c>
      <c r="I22" s="1503">
        <f t="shared" si="1"/>
        <v>7.189620439346972E-2</v>
      </c>
      <c r="J22" s="9"/>
      <c r="K22" s="9"/>
      <c r="L22" s="9"/>
      <c r="M22" s="958"/>
      <c r="N22" s="958"/>
      <c r="O22" s="958"/>
      <c r="P22" s="958"/>
      <c r="Q22" s="958"/>
      <c r="R22" s="958"/>
      <c r="S22" s="958"/>
    </row>
    <row r="23" spans="1:19" ht="14.25" customHeight="1" x14ac:dyDescent="0.2">
      <c r="A23" s="958"/>
      <c r="B23" s="937" t="s">
        <v>39</v>
      </c>
      <c r="C23" s="1502">
        <f>+TableA2!F20</f>
        <v>553.04943443142031</v>
      </c>
      <c r="D23" s="119">
        <f>TableC4!C21/(C23*1000)</f>
        <v>9.9275643679281572E-2</v>
      </c>
      <c r="E23" s="1488">
        <f>+TableC4!D21/(TableC4c!$C23*1000)</f>
        <v>7.519152745091251E-2</v>
      </c>
      <c r="F23" s="1489">
        <f t="shared" si="0"/>
        <v>2.4084116228369062E-2</v>
      </c>
      <c r="G23" s="119">
        <f>TableC4!N21/(C23*1000)</f>
        <v>6.4453100435434924E-2</v>
      </c>
      <c r="H23" s="1488">
        <f>+TableC4!O21/(TableC4c!$C23*1000)</f>
        <v>4.5875966946085985E-2</v>
      </c>
      <c r="I23" s="1503">
        <f t="shared" si="1"/>
        <v>1.8577133489348939E-2</v>
      </c>
      <c r="J23" s="9"/>
      <c r="K23" s="9"/>
      <c r="L23" s="9"/>
      <c r="M23" s="958"/>
      <c r="N23" s="958"/>
      <c r="O23" s="958"/>
      <c r="P23" s="958"/>
      <c r="Q23" s="958"/>
      <c r="R23" s="958"/>
      <c r="S23" s="958"/>
    </row>
    <row r="24" spans="1:19" ht="14.25" customHeight="1" x14ac:dyDescent="0.2">
      <c r="A24" s="958"/>
      <c r="B24" s="937" t="s">
        <v>40</v>
      </c>
      <c r="C24" s="1502">
        <f>+TableA2!F21</f>
        <v>22.607784095761257</v>
      </c>
      <c r="D24" s="119">
        <f>TableC4!C22/(C24*1000)</f>
        <v>4.6289917479869699E-2</v>
      </c>
      <c r="E24" s="1488">
        <f>+TableC4!D22/(TableC4c!$C24*1000)</f>
        <v>4.0419156056832502E-2</v>
      </c>
      <c r="F24" s="1489">
        <f t="shared" si="0"/>
        <v>5.8707614230371977E-3</v>
      </c>
      <c r="G24" s="119">
        <f>TableC4!N22/(C24*1000)</f>
        <v>1.9443488875755435E-2</v>
      </c>
      <c r="H24" s="1488">
        <f>+TableC4!O22/(TableC4c!$C24*1000)</f>
        <v>1.9408113113123845E-2</v>
      </c>
      <c r="I24" s="1503">
        <f t="shared" si="1"/>
        <v>3.5375762631590507E-5</v>
      </c>
      <c r="J24" s="9"/>
      <c r="K24" s="9"/>
      <c r="L24" s="9"/>
      <c r="M24" s="958"/>
      <c r="N24" s="958"/>
      <c r="O24" s="958"/>
      <c r="P24" s="958"/>
      <c r="Q24" s="958"/>
      <c r="R24" s="958"/>
      <c r="S24" s="958"/>
    </row>
    <row r="25" spans="1:19" ht="14.25" customHeight="1" x14ac:dyDescent="0.2">
      <c r="A25" s="958"/>
      <c r="B25" s="937" t="s">
        <v>41</v>
      </c>
      <c r="C25" s="1502">
        <f>+TableA2!F22</f>
        <v>20.668289583202817</v>
      </c>
      <c r="D25" s="119">
        <f>TableC4!C23/(C25*1000)</f>
        <v>0.11587262914762006</v>
      </c>
      <c r="E25" s="1488">
        <f>+TableC4!D23/(TableC4c!$C25*1000)</f>
        <v>8.1741729344549194E-2</v>
      </c>
      <c r="F25" s="1489">
        <f t="shared" si="0"/>
        <v>3.4130899803070866E-2</v>
      </c>
      <c r="G25" s="119">
        <f>TableC4!N23/(C25*1000)</f>
        <v>2.4199999987075511E-2</v>
      </c>
      <c r="H25" s="1488">
        <f>+TableC4!O23/(TableC4c!$C25*1000)</f>
        <v>2.3863137306555027E-2</v>
      </c>
      <c r="I25" s="1503">
        <f t="shared" si="1"/>
        <v>3.3686268052048399E-4</v>
      </c>
      <c r="J25" s="9"/>
      <c r="K25" s="9"/>
      <c r="L25" s="9"/>
      <c r="M25" s="958"/>
      <c r="N25" s="958"/>
      <c r="O25" s="958"/>
      <c r="P25" s="958"/>
      <c r="Q25" s="958"/>
      <c r="R25" s="958"/>
      <c r="S25" s="958"/>
    </row>
    <row r="26" spans="1:19" ht="14.25" customHeight="1" x14ac:dyDescent="0.2">
      <c r="A26" s="958"/>
      <c r="B26" s="937" t="s">
        <v>42</v>
      </c>
      <c r="C26" s="1502">
        <f>+TableA2!F23</f>
        <v>2.1489969781260903</v>
      </c>
      <c r="D26" s="119">
        <f>TableC4!C24/(C26*1000)</f>
        <v>0.20369817483051286</v>
      </c>
      <c r="E26" s="1488">
        <f>+TableC4!D24/(TableC4c!$C26*1000)</f>
        <v>0.15711869062903999</v>
      </c>
      <c r="F26" s="1489">
        <f t="shared" si="0"/>
        <v>4.657948420147287E-2</v>
      </c>
      <c r="G26" s="119">
        <f>TableC4!N24/(C26*1000)</f>
        <v>6.3769463049089615E-3</v>
      </c>
      <c r="H26" s="1488">
        <f>+TableC4!O24/(TableC4c!$C26*1000)</f>
        <v>6.0575089801443386E-3</v>
      </c>
      <c r="I26" s="1503">
        <f t="shared" si="1"/>
        <v>3.1943732476462285E-4</v>
      </c>
      <c r="J26" s="9"/>
      <c r="K26" s="9"/>
      <c r="L26" s="9"/>
      <c r="M26" s="958"/>
      <c r="N26" s="958"/>
      <c r="O26" s="958"/>
      <c r="P26" s="958"/>
      <c r="Q26" s="958"/>
      <c r="R26" s="958"/>
      <c r="S26" s="958"/>
    </row>
    <row r="27" spans="1:19" ht="14.25" customHeight="1" x14ac:dyDescent="0.2">
      <c r="A27" s="958"/>
      <c r="B27" s="937" t="s">
        <v>43</v>
      </c>
      <c r="C27" s="1502"/>
      <c r="D27" s="119"/>
      <c r="E27" s="1488"/>
      <c r="F27" s="1489"/>
      <c r="G27" s="119"/>
      <c r="H27" s="1488"/>
      <c r="I27" s="1503"/>
      <c r="J27" s="9"/>
      <c r="K27" s="9"/>
      <c r="L27" s="9"/>
      <c r="M27" s="958"/>
      <c r="N27" s="958"/>
      <c r="O27" s="958"/>
      <c r="P27" s="958"/>
      <c r="Q27" s="958"/>
      <c r="R27" s="958"/>
      <c r="S27" s="958"/>
    </row>
    <row r="28" spans="1:19" ht="14.25" customHeight="1" x14ac:dyDescent="0.2">
      <c r="A28" s="958"/>
      <c r="B28" s="937" t="s">
        <v>44</v>
      </c>
      <c r="C28" s="1502">
        <f>+TableA2!F25</f>
        <v>53.821062621875072</v>
      </c>
      <c r="D28" s="119">
        <f>TableC4!C26/(C28*1000)</f>
        <v>1.264669047457488E-2</v>
      </c>
      <c r="E28" s="1488">
        <f>+TableC4!D26/(TableC4c!$C28*1000)</f>
        <v>5.1617017907037979E-3</v>
      </c>
      <c r="F28" s="1489">
        <f t="shared" si="0"/>
        <v>7.4849886838710819E-3</v>
      </c>
      <c r="G28" s="119">
        <f>TableC4!N26/(C28*1000)</f>
        <v>9.9243217266992076E-3</v>
      </c>
      <c r="H28" s="1488">
        <f>+TableC4!O26/(TableC4c!$C28*1000)</f>
        <v>1.2284874977946463E-3</v>
      </c>
      <c r="I28" s="1503">
        <f t="shared" si="1"/>
        <v>8.6958342289045615E-3</v>
      </c>
      <c r="J28" s="9"/>
      <c r="K28" s="9"/>
      <c r="L28" s="9"/>
      <c r="M28" s="958"/>
      <c r="N28" s="958"/>
      <c r="O28" s="958"/>
      <c r="P28" s="958"/>
      <c r="Q28" s="958"/>
      <c r="R28" s="958"/>
      <c r="S28" s="958"/>
    </row>
    <row r="29" spans="1:19" ht="14.25" customHeight="1" x14ac:dyDescent="0.2">
      <c r="A29" s="958"/>
      <c r="B29" s="937" t="s">
        <v>45</v>
      </c>
      <c r="C29" s="1502">
        <f>+TableA2!F26</f>
        <v>211.89440797463348</v>
      </c>
      <c r="D29" s="119">
        <f>TableC4!C27/(C29*1000)</f>
        <v>0.10714054787245454</v>
      </c>
      <c r="E29" s="1488">
        <f>+TableC4!D27/(TableC4c!$C29*1000)</f>
        <v>9.1806210586993134E-2</v>
      </c>
      <c r="F29" s="1489">
        <f t="shared" si="0"/>
        <v>1.5334337285461408E-2</v>
      </c>
      <c r="G29" s="119">
        <f>TableC4!N27/(C29*1000)</f>
        <v>1.7667041699374521E-2</v>
      </c>
      <c r="H29" s="1488">
        <f>+TableC4!O27/(TableC4c!$C29*1000)</f>
        <v>1.1895787827737774E-2</v>
      </c>
      <c r="I29" s="1503">
        <f t="shared" si="1"/>
        <v>5.7712538716367476E-3</v>
      </c>
      <c r="J29" s="9"/>
      <c r="K29" s="9"/>
      <c r="L29" s="9"/>
      <c r="M29" s="958"/>
      <c r="N29" s="958"/>
      <c r="O29" s="958"/>
      <c r="P29" s="958"/>
      <c r="Q29" s="958"/>
      <c r="R29" s="958"/>
      <c r="S29" s="958"/>
    </row>
    <row r="30" spans="1:19" ht="14.25" customHeight="1" x14ac:dyDescent="0.2">
      <c r="A30" s="958"/>
      <c r="B30" s="937" t="s">
        <v>46</v>
      </c>
      <c r="C30" s="1502">
        <f>+TableA2!F27</f>
        <v>634.13536380108962</v>
      </c>
      <c r="D30" s="119">
        <f>TableC4!C28/(C30*1000)</f>
        <v>1.3489822917577826E-2</v>
      </c>
      <c r="E30" s="1488">
        <f>+TableC4!D28/(TableC4c!$C30*1000)</f>
        <v>7.1655225316167069E-3</v>
      </c>
      <c r="F30" s="1489">
        <f t="shared" si="0"/>
        <v>6.3243003859611195E-3</v>
      </c>
      <c r="G30" s="119">
        <f>TableC4!N28/(C30*1000)</f>
        <v>3.042925426650038E-2</v>
      </c>
      <c r="H30" s="1488">
        <f>+TableC4!O28/(TableC4c!$C30*1000)</f>
        <v>1.3386640311355755E-2</v>
      </c>
      <c r="I30" s="1503">
        <f t="shared" si="1"/>
        <v>1.7042613955144625E-2</v>
      </c>
      <c r="J30" s="9"/>
      <c r="K30" s="9"/>
      <c r="L30" s="9"/>
      <c r="M30" s="958"/>
      <c r="N30" s="958"/>
      <c r="O30" s="958"/>
      <c r="P30" s="958"/>
      <c r="Q30" s="958"/>
      <c r="R30" s="958"/>
      <c r="S30" s="958"/>
    </row>
    <row r="31" spans="1:19" ht="14.25" customHeight="1" x14ac:dyDescent="0.2">
      <c r="A31" s="958" t="s">
        <v>308</v>
      </c>
      <c r="B31" s="937" t="s">
        <v>47</v>
      </c>
      <c r="C31" s="1502">
        <f>+TableA2!F28</f>
        <v>248.21706968304588</v>
      </c>
      <c r="D31" s="119">
        <f>TableC4!C29/(C31*1000)</f>
        <v>1.9477435060151389E-2</v>
      </c>
      <c r="E31" s="1488">
        <f>+TableC4!D29/(TableC4c!$C31*1000)</f>
        <v>4.6626094877330387E-3</v>
      </c>
      <c r="F31" s="1489">
        <f t="shared" si="0"/>
        <v>1.4814825572418349E-2</v>
      </c>
      <c r="G31" s="119">
        <f>TableC4!N29/(C31*1000)</f>
        <v>6.3066065893646554E-3</v>
      </c>
      <c r="H31" s="1488">
        <f>+TableC4!O29/(TableC4c!$C31*1000)</f>
        <v>3.1415228093162819E-3</v>
      </c>
      <c r="I31" s="1503">
        <f t="shared" si="1"/>
        <v>3.1650837800483735E-3</v>
      </c>
      <c r="J31" s="9"/>
      <c r="K31" s="9"/>
      <c r="L31" s="9"/>
      <c r="M31" s="958"/>
      <c r="N31" s="958"/>
      <c r="O31" s="958"/>
      <c r="P31" s="958"/>
      <c r="Q31" s="958"/>
      <c r="R31" s="958"/>
      <c r="S31" s="958"/>
    </row>
    <row r="32" spans="1:19" ht="14.25" customHeight="1" x14ac:dyDescent="0.2">
      <c r="A32" s="958"/>
      <c r="B32" s="959" t="s">
        <v>48</v>
      </c>
      <c r="C32" s="1502">
        <f>+TableA2!F29</f>
        <v>4.1858751479217755</v>
      </c>
      <c r="D32" s="119">
        <f>TableC4!C30/(C32*1000)</f>
        <v>4.8013607709659296E-2</v>
      </c>
      <c r="E32" s="1488">
        <f>+TableC4!D30/(TableC4c!$C32*1000)</f>
        <v>3.3615060437027819E-2</v>
      </c>
      <c r="F32" s="1489">
        <f t="shared" si="0"/>
        <v>1.4398547272631478E-2</v>
      </c>
      <c r="G32" s="119">
        <f>TableC4!N30/(C32*1000)</f>
        <v>-3.099926507683906E-4</v>
      </c>
      <c r="H32" s="1488">
        <f>+TableC4!O30/(TableC4c!$C32*1000)</f>
        <v>-3.302931416332255E-4</v>
      </c>
      <c r="I32" s="1503">
        <f t="shared" si="1"/>
        <v>2.0300490864834896E-5</v>
      </c>
      <c r="J32" s="9"/>
      <c r="K32" s="9"/>
      <c r="L32" s="9"/>
      <c r="M32" s="958"/>
      <c r="N32" s="958"/>
      <c r="O32" s="958"/>
      <c r="P32" s="958"/>
      <c r="Q32" s="958"/>
      <c r="R32" s="958"/>
      <c r="S32" s="958"/>
    </row>
    <row r="33" spans="1:12" ht="14.25" customHeight="1" x14ac:dyDescent="0.2">
      <c r="A33" s="958"/>
      <c r="B33" s="959" t="s">
        <v>49</v>
      </c>
      <c r="C33" s="1214"/>
      <c r="D33" s="119"/>
      <c r="E33" s="1488"/>
      <c r="F33" s="1489"/>
      <c r="G33" s="119"/>
      <c r="H33" s="1488"/>
      <c r="I33" s="1503"/>
      <c r="J33" s="9"/>
      <c r="K33" s="9"/>
      <c r="L33" s="9"/>
    </row>
    <row r="34" spans="1:12" ht="14.25" customHeight="1" x14ac:dyDescent="0.2">
      <c r="A34" s="958"/>
      <c r="B34" s="959" t="s">
        <v>50</v>
      </c>
      <c r="C34" s="1502">
        <f>+TableA2!F31</f>
        <v>325.04468785135941</v>
      </c>
      <c r="D34" s="119">
        <f>TableC4!C32/(C34*1000)</f>
        <v>4.0289504925128755E-2</v>
      </c>
      <c r="E34" s="1488">
        <f>+TableC4!D32/(TableC4c!$C34*1000)</f>
        <v>1.2421225973191057E-2</v>
      </c>
      <c r="F34" s="1489">
        <f t="shared" si="0"/>
        <v>2.7868278951937699E-2</v>
      </c>
      <c r="G34" s="119">
        <f>TableC4!N32/(C34*1000)</f>
        <v>1.1185184744427409E-2</v>
      </c>
      <c r="H34" s="1488">
        <f>+TableC4!O32/(TableC4c!$C34*1000)</f>
        <v>9.2500020175027165E-3</v>
      </c>
      <c r="I34" s="1503">
        <f t="shared" si="1"/>
        <v>1.9351827269246929E-3</v>
      </c>
      <c r="J34" s="9"/>
      <c r="K34" s="9"/>
      <c r="L34" s="9"/>
    </row>
    <row r="35" spans="1:12" ht="14.25" customHeight="1" x14ac:dyDescent="0.2">
      <c r="A35" s="958"/>
      <c r="B35" s="959" t="s">
        <v>51</v>
      </c>
      <c r="C35" s="1214"/>
      <c r="D35" s="119"/>
      <c r="E35" s="1488"/>
      <c r="F35" s="1489"/>
      <c r="G35" s="119"/>
      <c r="H35" s="1488"/>
      <c r="I35" s="1503"/>
      <c r="J35" s="9"/>
      <c r="K35" s="9"/>
      <c r="L35" s="9"/>
    </row>
    <row r="36" spans="1:12" ht="14.25" customHeight="1" x14ac:dyDescent="0.2">
      <c r="A36" s="958"/>
      <c r="B36" s="959" t="s">
        <v>52</v>
      </c>
      <c r="C36" s="1502">
        <f>+TableA2!F33</f>
        <v>43.62366684525152</v>
      </c>
      <c r="D36" s="119">
        <f>TableC4!C34/(C36*1000)</f>
        <v>3.4922405782557731E-2</v>
      </c>
      <c r="E36" s="1488">
        <f>+TableC4!D34/(TableC4c!$C36*1000)</f>
        <v>1.1478915661605733E-2</v>
      </c>
      <c r="F36" s="1489">
        <f t="shared" si="0"/>
        <v>2.3443490120951996E-2</v>
      </c>
      <c r="G36" s="119">
        <f>TableC4!N34/(C36*1000)</f>
        <v>1.5225539960963272E-2</v>
      </c>
      <c r="H36" s="1488">
        <f>+TableC4!O34/(TableC4c!$C36*1000)</f>
        <v>-2.4872498390995749E-3</v>
      </c>
      <c r="I36" s="1503">
        <f t="shared" si="1"/>
        <v>1.7712789800062849E-2</v>
      </c>
      <c r="J36" s="9"/>
      <c r="K36" s="9"/>
      <c r="L36" s="9"/>
    </row>
    <row r="37" spans="1:12" ht="14.25" customHeight="1" x14ac:dyDescent="0.2">
      <c r="A37" s="958"/>
      <c r="B37" s="959" t="s">
        <v>53</v>
      </c>
      <c r="C37" s="1502">
        <f>+TableA2!F34</f>
        <v>76.129871814410606</v>
      </c>
      <c r="D37" s="119">
        <f>TableC4!C35/(C37*1000)</f>
        <v>6.851009442368261E-2</v>
      </c>
      <c r="E37" s="1488">
        <f>+TableC4!D35/(TableC4c!$C37*1000)</f>
        <v>3.8666964466810248E-2</v>
      </c>
      <c r="F37" s="1489">
        <f t="shared" si="0"/>
        <v>2.9843129956872362E-2</v>
      </c>
      <c r="G37" s="119">
        <f>TableC4!N35/(C37*1000)</f>
        <v>7.1352085194478679E-2</v>
      </c>
      <c r="H37" s="1488">
        <f>+TableC4!O35/(TableC4c!$C37*1000)</f>
        <v>5.0433195619397027E-2</v>
      </c>
      <c r="I37" s="1503">
        <f t="shared" si="1"/>
        <v>2.0918889575081652E-2</v>
      </c>
      <c r="J37" s="9"/>
      <c r="K37" s="9"/>
      <c r="L37" s="9"/>
    </row>
    <row r="38" spans="1:12" ht="14.25" customHeight="1" x14ac:dyDescent="0.2">
      <c r="A38" s="958"/>
      <c r="B38" s="959" t="s">
        <v>54</v>
      </c>
      <c r="C38" s="1502">
        <f>+TableA2!F35</f>
        <v>87.784586815227485</v>
      </c>
      <c r="D38" s="119">
        <f>TableC4!C36/(C38*1000)</f>
        <v>4.2101541150758842E-2</v>
      </c>
      <c r="E38" s="1488">
        <f>+TableC4!D36/(TableC4c!$C38*1000)</f>
        <v>2.9169275326731796E-2</v>
      </c>
      <c r="F38" s="1489">
        <f t="shared" si="0"/>
        <v>1.2932265824027046E-2</v>
      </c>
      <c r="G38" s="119">
        <f>TableC4!N36/(C38*1000)</f>
        <v>-2.8786103109308743E-2</v>
      </c>
      <c r="H38" s="1488">
        <f>+TableC4!O36/(TableC4c!$C38*1000)</f>
        <v>-2.8807034354453781E-2</v>
      </c>
      <c r="I38" s="1503">
        <f t="shared" si="1"/>
        <v>2.0931245145038024E-5</v>
      </c>
      <c r="J38" s="9"/>
      <c r="K38" s="9"/>
      <c r="L38" s="9"/>
    </row>
    <row r="39" spans="1:12" ht="14.25" customHeight="1" x14ac:dyDescent="0.2">
      <c r="A39" s="958"/>
      <c r="B39" s="959" t="s">
        <v>55</v>
      </c>
      <c r="C39" s="1502">
        <f>+TableA2!F36</f>
        <v>26.618072907828797</v>
      </c>
      <c r="D39" s="119">
        <f>TableC4!C37/(C39*1000)</f>
        <v>9.9112445179763697E-2</v>
      </c>
      <c r="E39" s="1488">
        <f>+TableC4!D37/(TableC4c!$C39*1000)</f>
        <v>8.8544849087826449E-2</v>
      </c>
      <c r="F39" s="1489">
        <f t="shared" si="0"/>
        <v>1.0567596091937248E-2</v>
      </c>
      <c r="G39" s="119">
        <f>TableC4!N37/(C39*1000)</f>
        <v>1.0444180949738572E-2</v>
      </c>
      <c r="H39" s="1488">
        <f>+TableC4!O37/(TableC4c!$C39*1000)</f>
        <v>1.1930404108601477E-4</v>
      </c>
      <c r="I39" s="1503">
        <f t="shared" si="1"/>
        <v>1.0324876908652556E-2</v>
      </c>
      <c r="J39" s="9"/>
      <c r="K39" s="9"/>
      <c r="L39" s="9"/>
    </row>
    <row r="40" spans="1:12" ht="14.25" customHeight="1" x14ac:dyDescent="0.2">
      <c r="A40" s="958" t="s">
        <v>336</v>
      </c>
      <c r="B40" s="959" t="s">
        <v>56</v>
      </c>
      <c r="C40" s="1502">
        <f>+TableA2!F37</f>
        <v>11.604550057172386</v>
      </c>
      <c r="D40" s="119">
        <f>TableC4!C38/(C40*1000)</f>
        <v>5.4876195740004671E-2</v>
      </c>
      <c r="E40" s="1488">
        <f>+TableC4!D38/(TableC4c!$C40*1000)</f>
        <v>4.6132394997591329E-2</v>
      </c>
      <c r="F40" s="1489">
        <f t="shared" si="0"/>
        <v>8.7438007424133421E-3</v>
      </c>
      <c r="G40" s="119">
        <f>TableC4!N38/(C40*1000)</f>
        <v>7.749160539083845E-3</v>
      </c>
      <c r="H40" s="1488">
        <f>+TableC4!O38/(TableC4c!$C40*1000)</f>
        <v>7.4436589825125771E-3</v>
      </c>
      <c r="I40" s="1503">
        <f t="shared" si="1"/>
        <v>3.0550155657126793E-4</v>
      </c>
      <c r="J40" s="9"/>
      <c r="K40" s="9"/>
      <c r="L40" s="9"/>
    </row>
    <row r="41" spans="1:12" ht="14.25" customHeight="1" x14ac:dyDescent="0.2">
      <c r="A41" s="958"/>
      <c r="B41" s="959" t="s">
        <v>57</v>
      </c>
      <c r="C41" s="1502">
        <f>+TableA2!F38</f>
        <v>3.417758487410429</v>
      </c>
      <c r="D41" s="119">
        <f>TableC4!C39/(C41*1000)</f>
        <v>6.5920108435978911E-2</v>
      </c>
      <c r="E41" s="1488">
        <f>+TableC4!D39/(TableC4c!$C41*1000)</f>
        <v>3.3677230101842086E-2</v>
      </c>
      <c r="F41" s="1489">
        <f t="shared" si="0"/>
        <v>3.2242878334136825E-2</v>
      </c>
      <c r="G41" s="119">
        <f>TableC4!N39/(C41*1000)</f>
        <v>-2.0646677662107243E-3</v>
      </c>
      <c r="H41" s="1488">
        <f>+TableC4!O39/(TableC4c!$C41*1000)</f>
        <v>-2.2185798133208911E-3</v>
      </c>
      <c r="I41" s="1503">
        <f t="shared" si="1"/>
        <v>1.5391204711016687E-4</v>
      </c>
      <c r="J41" s="9"/>
      <c r="K41" s="9"/>
      <c r="L41" s="9"/>
    </row>
    <row r="42" spans="1:12" ht="14.25" customHeight="1" x14ac:dyDescent="0.2">
      <c r="A42" s="958"/>
      <c r="B42" s="959" t="s">
        <v>58</v>
      </c>
      <c r="C42" s="1502">
        <f>+TableA2!F39</f>
        <v>158.95366208289389</v>
      </c>
      <c r="D42" s="119">
        <f>TableC4!C40/(C42*1000)</f>
        <v>9.0353825966671894E-2</v>
      </c>
      <c r="E42" s="1488">
        <f>+TableC4!D40/(TableC4c!$C42*1000)</f>
        <v>7.1130869507269878E-2</v>
      </c>
      <c r="F42" s="1489">
        <f t="shared" si="0"/>
        <v>1.9222956459402016E-2</v>
      </c>
      <c r="G42" s="119">
        <f>TableC4!N40/(C42*1000)</f>
        <v>1.9501759114671571E-2</v>
      </c>
      <c r="H42" s="1488">
        <f>+TableC4!O40/(TableC4c!$C42*1000)</f>
        <v>6.9382620808117286E-3</v>
      </c>
      <c r="I42" s="1503">
        <f t="shared" si="1"/>
        <v>1.2563497033859842E-2</v>
      </c>
      <c r="J42" s="9"/>
      <c r="K42" s="9"/>
      <c r="L42" s="9"/>
    </row>
    <row r="43" spans="1:12" s="25" customFormat="1" ht="14.25" customHeight="1" x14ac:dyDescent="0.2">
      <c r="A43" s="1115"/>
      <c r="B43" s="1237" t="s">
        <v>59</v>
      </c>
      <c r="C43" s="1502">
        <f>+TableA2!F40</f>
        <v>63.367762356160583</v>
      </c>
      <c r="D43" s="119">
        <f>TableC4!C41/(C43*1000)</f>
        <v>0.13478604483458828</v>
      </c>
      <c r="E43" s="1488">
        <f>+TableC4!D41/(TableC4c!$C43*1000)</f>
        <v>0.10527988007269021</v>
      </c>
      <c r="F43" s="1489">
        <f t="shared" si="0"/>
        <v>2.9506164761898074E-2</v>
      </c>
      <c r="G43" s="119">
        <f>TableC4!N41/(C43*1000)</f>
        <v>0.14964297878240906</v>
      </c>
      <c r="H43" s="1488">
        <f>+TableC4!O41/(TableC4c!$C43*1000)</f>
        <v>0.10631323092791226</v>
      </c>
      <c r="I43" s="1503">
        <f t="shared" si="1"/>
        <v>4.3329747854496808E-2</v>
      </c>
      <c r="J43" s="9"/>
      <c r="K43" s="9"/>
      <c r="L43" s="9"/>
    </row>
    <row r="44" spans="1:12" ht="14.25" customHeight="1" x14ac:dyDescent="0.2">
      <c r="A44" s="958"/>
      <c r="B44" s="959" t="s">
        <v>60</v>
      </c>
      <c r="C44" s="1214"/>
      <c r="D44" s="119"/>
      <c r="E44" s="1488"/>
      <c r="F44" s="1489"/>
      <c r="G44" s="119"/>
      <c r="H44" s="1488"/>
      <c r="I44" s="1503"/>
      <c r="J44" s="9"/>
      <c r="K44" s="9"/>
      <c r="L44" s="9"/>
    </row>
    <row r="45" spans="1:12" ht="14.25" customHeight="1" x14ac:dyDescent="0.2">
      <c r="A45" s="958"/>
      <c r="B45" s="959" t="s">
        <v>61</v>
      </c>
      <c r="C45" s="1502">
        <f>+TableA2!F42</f>
        <v>212.59949330572061</v>
      </c>
      <c r="D45" s="119">
        <f>TableC4!C43/(C45*1000)</f>
        <v>2.3403126429068864E-2</v>
      </c>
      <c r="E45" s="1488">
        <f>+TableC4!D43/(TableC4c!$C45*1000)</f>
        <v>7.6031488383528668E-3</v>
      </c>
      <c r="F45" s="1489">
        <f t="shared" si="0"/>
        <v>1.5799977590715997E-2</v>
      </c>
      <c r="G45" s="119">
        <f>TableC4!N43/(C45*1000)</f>
        <v>2.2016915242835844E-3</v>
      </c>
      <c r="H45" s="1488">
        <f>+TableC4!O43/(TableC4c!$C45*1000)</f>
        <v>2.1097985866528656E-3</v>
      </c>
      <c r="I45" s="1503">
        <f t="shared" si="1"/>
        <v>9.1892937630718829E-5</v>
      </c>
      <c r="J45" s="9"/>
      <c r="K45" s="9"/>
      <c r="L45" s="9"/>
    </row>
    <row r="46" spans="1:12" ht="14.25" customHeight="1" x14ac:dyDescent="0.2">
      <c r="A46" s="958"/>
      <c r="B46" s="959" t="s">
        <v>62</v>
      </c>
      <c r="C46" s="1502">
        <f>+TableA2!F43</f>
        <v>425.05098961874262</v>
      </c>
      <c r="D46" s="119">
        <f>TableC4!C44/(C46*1000)</f>
        <v>0.14469064226438044</v>
      </c>
      <c r="E46" s="1488">
        <f>+TableC4!D44/(TableC4c!$C46*1000)</f>
        <v>0.11421046030645161</v>
      </c>
      <c r="F46" s="1489">
        <f t="shared" si="0"/>
        <v>3.0480181957928829E-2</v>
      </c>
      <c r="G46" s="119">
        <f>TableC4!N44/(C46*1000)</f>
        <v>0.12815050934117811</v>
      </c>
      <c r="H46" s="1488">
        <f>+TableC4!O44/(TableC4c!$C46*1000)</f>
        <v>9.1272208281888839E-2</v>
      </c>
      <c r="I46" s="1503">
        <f t="shared" si="1"/>
        <v>3.687830105928927E-2</v>
      </c>
      <c r="J46" s="9"/>
      <c r="K46" s="9"/>
      <c r="L46" s="9"/>
    </row>
    <row r="47" spans="1:12" ht="14.25" customHeight="1" x14ac:dyDescent="0.2">
      <c r="A47" s="958"/>
      <c r="B47" s="959" t="s">
        <v>63</v>
      </c>
      <c r="C47" s="1502">
        <f>+TableA2!F44</f>
        <v>1889.3969000000002</v>
      </c>
      <c r="D47" s="119">
        <f>TableC4!C45/(C47*1000)</f>
        <v>7.5455458090093075E-2</v>
      </c>
      <c r="E47" s="1488">
        <f>+TableC4!D45/(TableC4c!$C47*1000)</f>
        <v>2.2818456153133465E-2</v>
      </c>
      <c r="F47" s="1489">
        <f t="shared" si="0"/>
        <v>5.263700193695961E-2</v>
      </c>
      <c r="G47" s="119">
        <f>TableC4!N45/(C47*1000)</f>
        <v>0.1616466038900701</v>
      </c>
      <c r="H47" s="1488">
        <f>+TableC4!O45/(TableC4c!$C47*1000)</f>
        <v>9.0840670684687874E-2</v>
      </c>
      <c r="I47" s="1503">
        <f t="shared" si="1"/>
        <v>7.0805933205382227E-2</v>
      </c>
      <c r="J47" s="9"/>
      <c r="K47" s="9"/>
      <c r="L47" s="9"/>
    </row>
    <row r="48" spans="1:12" ht="40" customHeight="1" x14ac:dyDescent="0.2">
      <c r="A48" s="958"/>
      <c r="B48" s="1816" t="s">
        <v>64</v>
      </c>
      <c r="C48" s="1505">
        <f>SUM(C49:C55)</f>
        <v>3157.101545061153</v>
      </c>
      <c r="D48" s="265">
        <f>TableC4!C46/(C48*1000)</f>
        <v>3.2497896070587624E-2</v>
      </c>
      <c r="E48" s="266">
        <f>+TableC4!D46/(TableC4c!$C48*1000)</f>
        <v>7.6553060555098369E-3</v>
      </c>
      <c r="F48" s="427">
        <f t="shared" si="0"/>
        <v>2.4842590015077787E-2</v>
      </c>
      <c r="G48" s="265">
        <f>TableC4!N46/(C48*1000)</f>
        <v>2.0038167292055778E-2</v>
      </c>
      <c r="H48" s="266">
        <f>+TableC4!O46/(TableC4c!$C48*1000)</f>
        <v>2.1379684612975328E-3</v>
      </c>
      <c r="I48" s="641">
        <f t="shared" si="1"/>
        <v>1.7900198830758246E-2</v>
      </c>
      <c r="J48" s="266"/>
      <c r="K48" s="266"/>
      <c r="L48" s="266"/>
    </row>
    <row r="49" spans="1:12" x14ac:dyDescent="0.2">
      <c r="A49" s="958"/>
      <c r="B49" s="937" t="s">
        <v>65</v>
      </c>
      <c r="C49" s="1502">
        <f>+TableA2!F46</f>
        <v>274.33569999999997</v>
      </c>
      <c r="D49" s="119">
        <f>TableC4!C47/(C49*1000)</f>
        <v>5.180537791475745E-2</v>
      </c>
      <c r="E49" s="1488">
        <f>+TableC4!D47/(TableC4c!$C49*1000)</f>
        <v>1.9200665566937374E-2</v>
      </c>
      <c r="F49" s="1489">
        <f t="shared" si="0"/>
        <v>3.2604712347820072E-2</v>
      </c>
      <c r="G49" s="119">
        <f>TableC4!N47/(C49*1000)</f>
        <v>2.4698700731717985E-2</v>
      </c>
      <c r="H49" s="1488">
        <f>+TableC4!O47/(TableC4c!$C49*1000)</f>
        <v>2.3616485554207426E-2</v>
      </c>
      <c r="I49" s="1503">
        <f t="shared" si="1"/>
        <v>1.0822151775105593E-3</v>
      </c>
      <c r="J49" s="9"/>
      <c r="K49" s="9"/>
      <c r="L49" s="9"/>
    </row>
    <row r="50" spans="1:12" x14ac:dyDescent="0.2">
      <c r="A50" s="329" t="s">
        <v>337</v>
      </c>
      <c r="B50" s="959" t="s">
        <v>66</v>
      </c>
      <c r="C50" s="1502">
        <f>+TableA2!F47</f>
        <v>2068.7040725409047</v>
      </c>
      <c r="D50" s="119">
        <f>TableC4!C48/(C50*1000)</f>
        <v>2.9257837664987803E-2</v>
      </c>
      <c r="E50" s="1488">
        <f>+TableC4!D48/(TableC4c!$C50*1000)</f>
        <v>2.9630492037409535E-3</v>
      </c>
      <c r="F50" s="1489">
        <f t="shared" si="0"/>
        <v>2.6294788461246849E-2</v>
      </c>
      <c r="G50" s="119">
        <f>TableC4!N48/(C50*1000)</f>
        <v>2.2002871514941763E-2</v>
      </c>
      <c r="H50" s="1488">
        <f>+TableC4!O48/(TableC4c!$C50*1000)</f>
        <v>3.1082109131057896E-6</v>
      </c>
      <c r="I50" s="1503">
        <f t="shared" si="1"/>
        <v>2.1999763304028658E-2</v>
      </c>
      <c r="J50" s="9"/>
      <c r="K50" s="9"/>
      <c r="L50" s="9"/>
    </row>
    <row r="51" spans="1:12" x14ac:dyDescent="0.2">
      <c r="A51" s="958"/>
      <c r="B51" s="959" t="s">
        <v>67</v>
      </c>
      <c r="C51" s="1502">
        <f>+TableA2!F48</f>
        <v>58.600733808963028</v>
      </c>
      <c r="D51" s="119">
        <f>TableC4!C49/(C51*1000)</f>
        <v>2.3952216095217999E-2</v>
      </c>
      <c r="E51" s="1488">
        <f>+TableC4!D49/(TableC4c!$C51*1000)</f>
        <v>9.7760119106708055E-3</v>
      </c>
      <c r="F51" s="1489">
        <f t="shared" si="0"/>
        <v>1.4176204184547193E-2</v>
      </c>
      <c r="G51" s="119">
        <f>TableC4!N49/(C51*1000)</f>
        <v>1.7046993984228348E-2</v>
      </c>
      <c r="H51" s="1488">
        <f>+TableC4!O49/(TableC4c!$C51*1000)</f>
        <v>-5.0302272680753466E-5</v>
      </c>
      <c r="I51" s="1503">
        <f t="shared" si="1"/>
        <v>1.7097296256909103E-2</v>
      </c>
      <c r="J51" s="9"/>
      <c r="K51" s="9"/>
      <c r="L51" s="9"/>
    </row>
    <row r="52" spans="1:12" x14ac:dyDescent="0.2">
      <c r="A52" s="958"/>
      <c r="B52" s="959" t="s">
        <v>68</v>
      </c>
      <c r="C52" s="1502">
        <f>+TableA2!F49</f>
        <v>13.202740172271037</v>
      </c>
      <c r="D52" s="119">
        <f>TableC4!C50/(C52*1000)</f>
        <v>8.0098523101174837E-2</v>
      </c>
      <c r="E52" s="1488">
        <f>+TableC4!D50/(TableC4c!$C52*1000)</f>
        <v>3.2691927659276532E-2</v>
      </c>
      <c r="F52" s="1489">
        <f t="shared" si="0"/>
        <v>4.7406595441898305E-2</v>
      </c>
      <c r="G52" s="119">
        <f>TableC4!N50/(C52*1000)</f>
        <v>9.0290525180635427E-3</v>
      </c>
      <c r="H52" s="1488">
        <f>+TableC4!O50/(TableC4c!$C52*1000)</f>
        <v>-1.1181643448494339E-4</v>
      </c>
      <c r="I52" s="1503">
        <f t="shared" si="1"/>
        <v>9.1408689525484862E-3</v>
      </c>
      <c r="J52" s="9"/>
      <c r="K52" s="9"/>
      <c r="L52" s="9"/>
    </row>
    <row r="53" spans="1:12" ht="14.25" customHeight="1" x14ac:dyDescent="0.2">
      <c r="A53" s="958"/>
      <c r="B53" s="959" t="s">
        <v>69</v>
      </c>
      <c r="C53" s="1502">
        <f>+TableA2!F50</f>
        <v>376.12710693199818</v>
      </c>
      <c r="D53" s="119">
        <f>TableC4!C51/(C53*1000)</f>
        <v>2.5194671865162534E-2</v>
      </c>
      <c r="E53" s="1488">
        <f>+TableC4!D51/(TableC4c!$C53*1000)</f>
        <v>7.3438781106864677E-3</v>
      </c>
      <c r="F53" s="1489">
        <f t="shared" si="0"/>
        <v>1.7850793754476065E-2</v>
      </c>
      <c r="G53" s="119">
        <f>TableC4!N51/(C53*1000)</f>
        <v>1.2434136106460677E-2</v>
      </c>
      <c r="H53" s="1488">
        <f>+TableC4!O51/(TableC4c!$C53*1000)</f>
        <v>7.6634254273285382E-5</v>
      </c>
      <c r="I53" s="1503">
        <f t="shared" si="1"/>
        <v>1.2357501852187392E-2</v>
      </c>
      <c r="J53" s="9"/>
      <c r="K53" s="9"/>
      <c r="L53" s="9"/>
    </row>
    <row r="54" spans="1:12" ht="14.25" customHeight="1" x14ac:dyDescent="0.2">
      <c r="A54" s="329" t="s">
        <v>338</v>
      </c>
      <c r="B54" s="959" t="s">
        <v>70</v>
      </c>
      <c r="C54" s="1502">
        <f>+TableA2!F51</f>
        <v>289.6640115913587</v>
      </c>
      <c r="D54" s="119">
        <f>TableC4!C52/(C54*1000)</f>
        <v>4.0885660197378881E-2</v>
      </c>
      <c r="E54" s="1488">
        <f>+TableC4!D52/(TableC4c!$C54*1000)</f>
        <v>2.5092404520325327E-2</v>
      </c>
      <c r="F54" s="1489">
        <f t="shared" si="0"/>
        <v>1.5793255677053555E-2</v>
      </c>
      <c r="G54" s="119">
        <f>TableC4!N52/(C54*1000)</f>
        <v>2.6062764902799189E-3</v>
      </c>
      <c r="H54" s="1488">
        <f>+TableC4!O52/(TableC4c!$C54*1000)</f>
        <v>2.4783718886362683E-3</v>
      </c>
      <c r="I54" s="1503">
        <f t="shared" si="1"/>
        <v>1.2790460164365056E-4</v>
      </c>
      <c r="J54" s="9"/>
      <c r="K54" s="9"/>
      <c r="L54" s="9"/>
    </row>
    <row r="55" spans="1:12" ht="14.25" customHeight="1" x14ac:dyDescent="0.2">
      <c r="A55" s="958"/>
      <c r="B55" s="959" t="s">
        <v>71</v>
      </c>
      <c r="C55" s="1502">
        <f>+TableA2!F52</f>
        <v>76.467180015656993</v>
      </c>
      <c r="D55" s="119">
        <f>TableC4!C53/(C55*1000)</f>
        <v>5.3364653087067809E-2</v>
      </c>
      <c r="E55" s="1488">
        <f>+TableC4!D53/(TableC4c!$C55*1000)</f>
        <v>2.2707466290113394E-2</v>
      </c>
      <c r="F55" s="1489">
        <f t="shared" si="0"/>
        <v>3.0657186796954415E-2</v>
      </c>
      <c r="G55" s="119">
        <f>TableC4!N53/(C55*1000)</f>
        <v>5.7795107870260029E-2</v>
      </c>
      <c r="H55" s="1488">
        <f>+TableC4!O53/(TableC4c!$C55*1000)</f>
        <v>-6.2482605280048875E-3</v>
      </c>
      <c r="I55" s="1503">
        <f t="shared" si="1"/>
        <v>6.404336839826491E-2</v>
      </c>
      <c r="J55" s="9"/>
      <c r="K55" s="9"/>
      <c r="L55" s="9"/>
    </row>
    <row r="56" spans="1:12" ht="40" hidden="1" customHeight="1" x14ac:dyDescent="0.2">
      <c r="A56" s="958"/>
      <c r="B56" s="1816" t="s">
        <v>72</v>
      </c>
      <c r="C56" s="299"/>
      <c r="D56" s="157" t="e">
        <f>TableC4!C54/(C56*1000)</f>
        <v>#DIV/0!</v>
      </c>
      <c r="E56" s="1506" t="e">
        <f>+TableC4!D54/(TableC4c!$C56*1000)</f>
        <v>#DIV/0!</v>
      </c>
      <c r="F56" s="1507" t="e">
        <f t="shared" si="0"/>
        <v>#DIV/0!</v>
      </c>
      <c r="G56" s="157" t="e">
        <f>TableC4!N54/(C56*1000)</f>
        <v>#DIV/0!</v>
      </c>
      <c r="H56" s="1506" t="e">
        <f>+TableC4!O54/(TableC4c!$C56*1000)</f>
        <v>#DIV/0!</v>
      </c>
      <c r="I56" s="1508" t="e">
        <f t="shared" si="1"/>
        <v>#DIV/0!</v>
      </c>
      <c r="J56" s="266"/>
      <c r="K56" s="266"/>
      <c r="L56" s="266"/>
    </row>
    <row r="57" spans="1:12" ht="14.25" hidden="1" customHeight="1" x14ac:dyDescent="0.2">
      <c r="A57" s="958"/>
      <c r="B57" s="959" t="s">
        <v>73</v>
      </c>
      <c r="C57" s="1214"/>
      <c r="D57" s="1491" t="e">
        <f>TableC4!C55/(C57*1000)</f>
        <v>#DIV/0!</v>
      </c>
      <c r="E57" s="1506" t="e">
        <f>+TableC4!D55/(TableC4c!$C57*1000)</f>
        <v>#DIV/0!</v>
      </c>
      <c r="F57" s="1489" t="e">
        <f t="shared" si="0"/>
        <v>#DIV/0!</v>
      </c>
      <c r="G57" s="1491" t="e">
        <f>TableC4!N55/(C57*1000)</f>
        <v>#DIV/0!</v>
      </c>
      <c r="H57" s="1506" t="e">
        <f>+TableC4!O55/(TableC4c!$C57*1000)</f>
        <v>#DIV/0!</v>
      </c>
      <c r="I57" s="1503" t="e">
        <f t="shared" si="1"/>
        <v>#DIV/0!</v>
      </c>
      <c r="J57" s="1184"/>
      <c r="K57" s="1184"/>
      <c r="L57" s="1184"/>
    </row>
    <row r="58" spans="1:12" ht="14.25" hidden="1" customHeight="1" x14ac:dyDescent="0.2">
      <c r="A58" s="958"/>
      <c r="B58" s="959" t="s">
        <v>74</v>
      </c>
      <c r="C58" s="1214"/>
      <c r="D58" s="1491" t="e">
        <f>TableC4!C56/(C58*1000)</f>
        <v>#DIV/0!</v>
      </c>
      <c r="E58" s="1506" t="e">
        <f>+TableC4!D56/(TableC4c!$C58*1000)</f>
        <v>#DIV/0!</v>
      </c>
      <c r="F58" s="1489" t="e">
        <f t="shared" si="0"/>
        <v>#DIV/0!</v>
      </c>
      <c r="G58" s="1491" t="e">
        <f>TableC4!N56/(C58*1000)</f>
        <v>#DIV/0!</v>
      </c>
      <c r="H58" s="1506" t="e">
        <f>+TableC4!O56/(TableC4c!$C58*1000)</f>
        <v>#DIV/0!</v>
      </c>
      <c r="I58" s="1503" t="e">
        <f t="shared" si="1"/>
        <v>#DIV/0!</v>
      </c>
      <c r="J58" s="1184"/>
      <c r="K58" s="1184"/>
      <c r="L58" s="1184"/>
    </row>
    <row r="59" spans="1:12" ht="14.25" hidden="1" customHeight="1" x14ac:dyDescent="0.2">
      <c r="A59" s="958"/>
      <c r="B59" s="959" t="str">
        <f>+TableA1!A56</f>
        <v>Antigua and Barbuda</v>
      </c>
      <c r="C59" s="1214"/>
      <c r="D59" s="1491" t="e">
        <f>TableC4!C57/(C59*1000)</f>
        <v>#DIV/0!</v>
      </c>
      <c r="E59" s="1506" t="e">
        <f>+TableC4!D57/(TableC4c!$C59*1000)</f>
        <v>#DIV/0!</v>
      </c>
      <c r="F59" s="1489" t="e">
        <f t="shared" si="0"/>
        <v>#DIV/0!</v>
      </c>
      <c r="G59" s="1491" t="e">
        <f>TableC4!N57/(C59*1000)</f>
        <v>#DIV/0!</v>
      </c>
      <c r="H59" s="1506" t="e">
        <f>+TableC4!O57/(TableC4c!$C59*1000)</f>
        <v>#DIV/0!</v>
      </c>
      <c r="I59" s="1503" t="e">
        <f t="shared" si="1"/>
        <v>#DIV/0!</v>
      </c>
      <c r="J59" s="1184"/>
      <c r="K59" s="1184"/>
      <c r="L59" s="1184"/>
    </row>
    <row r="60" spans="1:12" ht="14.25" hidden="1" customHeight="1" x14ac:dyDescent="0.2">
      <c r="A60" s="958"/>
      <c r="B60" s="959" t="s">
        <v>76</v>
      </c>
      <c r="C60" s="1214"/>
      <c r="D60" s="1491" t="e">
        <f>TableC4!C58/(C60*1000)</f>
        <v>#DIV/0!</v>
      </c>
      <c r="E60" s="1506" t="e">
        <f>+TableC4!D58/(TableC4c!$C60*1000)</f>
        <v>#DIV/0!</v>
      </c>
      <c r="F60" s="1489" t="e">
        <f t="shared" si="0"/>
        <v>#DIV/0!</v>
      </c>
      <c r="G60" s="1491" t="e">
        <f>TableC4!N58/(C60*1000)</f>
        <v>#DIV/0!</v>
      </c>
      <c r="H60" s="1506" t="e">
        <f>+TableC4!O58/(TableC4c!$C60*1000)</f>
        <v>#DIV/0!</v>
      </c>
      <c r="I60" s="1503" t="e">
        <f t="shared" si="1"/>
        <v>#DIV/0!</v>
      </c>
      <c r="J60" s="1184"/>
      <c r="K60" s="1184"/>
      <c r="L60" s="1184"/>
    </row>
    <row r="61" spans="1:12" ht="14.25" hidden="1" customHeight="1" x14ac:dyDescent="0.2">
      <c r="A61" s="329" t="s">
        <v>77</v>
      </c>
      <c r="B61" s="959" t="s">
        <v>152</v>
      </c>
      <c r="C61" s="1214"/>
      <c r="D61" s="1491" t="e">
        <f>TableC4!C59/(C61*1000)</f>
        <v>#DIV/0!</v>
      </c>
      <c r="E61" s="1506" t="e">
        <f>+TableC4!D59/(TableC4c!$C61*1000)</f>
        <v>#DIV/0!</v>
      </c>
      <c r="F61" s="1489" t="e">
        <f t="shared" si="0"/>
        <v>#DIV/0!</v>
      </c>
      <c r="G61" s="1491" t="e">
        <f>TableC4!N59/(C61*1000)</f>
        <v>#DIV/0!</v>
      </c>
      <c r="H61" s="1506" t="e">
        <f>+TableC4!O59/(TableC4c!$C61*1000)</f>
        <v>#DIV/0!</v>
      </c>
      <c r="I61" s="1503" t="e">
        <f t="shared" si="1"/>
        <v>#DIV/0!</v>
      </c>
      <c r="J61" s="1184"/>
      <c r="K61" s="1184"/>
      <c r="L61" s="1184"/>
    </row>
    <row r="62" spans="1:12" ht="14.25" hidden="1" customHeight="1" x14ac:dyDescent="0.2">
      <c r="A62" s="329" t="s">
        <v>340</v>
      </c>
      <c r="B62" s="959" t="s">
        <v>78</v>
      </c>
      <c r="C62" s="1214"/>
      <c r="D62" s="1491" t="e">
        <f>TableC4!C60/(C62*1000)</f>
        <v>#DIV/0!</v>
      </c>
      <c r="E62" s="1506" t="e">
        <f>+TableC4!D60/(TableC4c!$C62*1000)</f>
        <v>#DIV/0!</v>
      </c>
      <c r="F62" s="1489" t="e">
        <f t="shared" si="0"/>
        <v>#DIV/0!</v>
      </c>
      <c r="G62" s="1491" t="e">
        <f>TableC4!N60/(C62*1000)</f>
        <v>#DIV/0!</v>
      </c>
      <c r="H62" s="1506" t="e">
        <f>+TableC4!O60/(TableC4c!$C62*1000)</f>
        <v>#DIV/0!</v>
      </c>
      <c r="I62" s="1503" t="e">
        <f t="shared" si="1"/>
        <v>#DIV/0!</v>
      </c>
      <c r="J62" s="1184"/>
      <c r="K62" s="1184"/>
      <c r="L62" s="1184"/>
    </row>
    <row r="63" spans="1:12" ht="14.25" hidden="1" customHeight="1" x14ac:dyDescent="0.2">
      <c r="A63" s="958"/>
      <c r="B63" s="959" t="str">
        <f>+TableA1!A60</f>
        <v>Barbados</v>
      </c>
      <c r="C63" s="1214"/>
      <c r="D63" s="1491" t="e">
        <f>TableC4!C61/(C63*1000)</f>
        <v>#DIV/0!</v>
      </c>
      <c r="E63" s="1506" t="e">
        <f>+TableC4!D61/(TableC4c!$C63*1000)</f>
        <v>#DIV/0!</v>
      </c>
      <c r="F63" s="1489" t="e">
        <f t="shared" si="0"/>
        <v>#DIV/0!</v>
      </c>
      <c r="G63" s="1491" t="e">
        <f>TableC4!N61/(C63*1000)</f>
        <v>#DIV/0!</v>
      </c>
      <c r="H63" s="1506" t="e">
        <f>+TableC4!O61/(TableC4c!$C63*1000)</f>
        <v>#DIV/0!</v>
      </c>
      <c r="I63" s="1503" t="e">
        <f t="shared" si="1"/>
        <v>#DIV/0!</v>
      </c>
      <c r="J63" s="1184"/>
      <c r="K63" s="1184"/>
      <c r="L63" s="1184"/>
    </row>
    <row r="64" spans="1:12" ht="14.25" hidden="1" customHeight="1" x14ac:dyDescent="0.2">
      <c r="A64" s="958"/>
      <c r="B64" s="959" t="s">
        <v>80</v>
      </c>
      <c r="C64" s="1214"/>
      <c r="D64" s="1491" t="e">
        <f>TableC4!C62/(C64*1000)</f>
        <v>#DIV/0!</v>
      </c>
      <c r="E64" s="1506" t="e">
        <f>+TableC4!D62/(TableC4c!$C64*1000)</f>
        <v>#DIV/0!</v>
      </c>
      <c r="F64" s="1489" t="e">
        <f t="shared" si="0"/>
        <v>#DIV/0!</v>
      </c>
      <c r="G64" s="1491" t="e">
        <f>TableC4!N62/(C64*1000)</f>
        <v>#DIV/0!</v>
      </c>
      <c r="H64" s="1506" t="e">
        <f>+TableC4!O62/(TableC4c!$C64*1000)</f>
        <v>#DIV/0!</v>
      </c>
      <c r="I64" s="1503" t="e">
        <f t="shared" si="1"/>
        <v>#DIV/0!</v>
      </c>
      <c r="J64" s="1184"/>
      <c r="K64" s="1184"/>
      <c r="L64" s="1184"/>
    </row>
    <row r="65" spans="1:12" ht="14.25" hidden="1" customHeight="1" x14ac:dyDescent="0.2">
      <c r="A65" s="958"/>
      <c r="B65" s="959" t="s">
        <v>81</v>
      </c>
      <c r="C65" s="1214"/>
      <c r="D65" s="1491" t="e">
        <f>TableC4!C63/(C65*1000)</f>
        <v>#DIV/0!</v>
      </c>
      <c r="E65" s="1506" t="e">
        <f>+TableC4!D63/(TableC4c!$C65*1000)</f>
        <v>#DIV/0!</v>
      </c>
      <c r="F65" s="1489" t="e">
        <f t="shared" si="0"/>
        <v>#DIV/0!</v>
      </c>
      <c r="G65" s="1491" t="e">
        <f>TableC4!N63/(C65*1000)</f>
        <v>#DIV/0!</v>
      </c>
      <c r="H65" s="1506" t="e">
        <f>+TableC4!O63/(TableC4c!$C65*1000)</f>
        <v>#DIV/0!</v>
      </c>
      <c r="I65" s="1503" t="e">
        <f t="shared" si="1"/>
        <v>#DIV/0!</v>
      </c>
      <c r="J65" s="1184"/>
      <c r="K65" s="1184"/>
      <c r="L65" s="1184"/>
    </row>
    <row r="66" spans="1:12" ht="14.25" hidden="1" customHeight="1" x14ac:dyDescent="0.2">
      <c r="A66" s="329" t="s">
        <v>645</v>
      </c>
      <c r="B66" s="959" t="s">
        <v>82</v>
      </c>
      <c r="C66" s="1214"/>
      <c r="D66" s="1491" t="e">
        <f>TableC4!C64/(C66*1000)</f>
        <v>#DIV/0!</v>
      </c>
      <c r="E66" s="1506" t="e">
        <f>+TableC4!D64/(TableC4c!$C66*1000)</f>
        <v>#DIV/0!</v>
      </c>
      <c r="F66" s="1489" t="e">
        <f t="shared" si="0"/>
        <v>#DIV/0!</v>
      </c>
      <c r="G66" s="1491" t="e">
        <f>TableC4!N64/(C66*1000)</f>
        <v>#DIV/0!</v>
      </c>
      <c r="H66" s="1506" t="e">
        <f>+TableC4!O64/(TableC4c!$C66*1000)</f>
        <v>#DIV/0!</v>
      </c>
      <c r="I66" s="1503" t="e">
        <f t="shared" si="1"/>
        <v>#DIV/0!</v>
      </c>
      <c r="J66" s="1184"/>
      <c r="K66" s="1184"/>
      <c r="L66" s="1184"/>
    </row>
    <row r="67" spans="1:12" ht="14.25" hidden="1" customHeight="1" x14ac:dyDescent="0.2">
      <c r="A67" s="329" t="s">
        <v>372</v>
      </c>
      <c r="B67" s="959" t="s">
        <v>153</v>
      </c>
      <c r="C67" s="1214"/>
      <c r="D67" s="1491" t="e">
        <f>TableC4!C65/(C67*1000)</f>
        <v>#DIV/0!</v>
      </c>
      <c r="E67" s="1506" t="e">
        <f>+TableC4!D65/(TableC4c!$C67*1000)</f>
        <v>#DIV/0!</v>
      </c>
      <c r="F67" s="1489" t="e">
        <f t="shared" si="0"/>
        <v>#DIV/0!</v>
      </c>
      <c r="G67" s="1491" t="e">
        <f>TableC4!N65/(C67*1000)</f>
        <v>#DIV/0!</v>
      </c>
      <c r="H67" s="1506" t="e">
        <f>+TableC4!O65/(TableC4c!$C67*1000)</f>
        <v>#DIV/0!</v>
      </c>
      <c r="I67" s="1503" t="e">
        <f t="shared" si="1"/>
        <v>#DIV/0!</v>
      </c>
      <c r="J67" s="1184"/>
      <c r="K67" s="1184"/>
      <c r="L67" s="1184"/>
    </row>
    <row r="68" spans="1:12" ht="14.25" hidden="1" customHeight="1" x14ac:dyDescent="0.2">
      <c r="A68" s="958"/>
      <c r="B68" s="123" t="s">
        <v>84</v>
      </c>
      <c r="C68" s="643"/>
      <c r="D68" s="638" t="e">
        <f>TableC4!C66/(C68*1000)</f>
        <v>#DIV/0!</v>
      </c>
      <c r="E68" s="1506" t="e">
        <f>+TableC4!D66/(TableC4c!$C68*1000)</f>
        <v>#DIV/0!</v>
      </c>
      <c r="F68" s="1489" t="e">
        <f t="shared" si="0"/>
        <v>#DIV/0!</v>
      </c>
      <c r="G68" s="638" t="e">
        <f>TableC4!N66/(C68*1000)</f>
        <v>#DIV/0!</v>
      </c>
      <c r="H68" s="1506" t="e">
        <f>+TableC4!O66/(TableC4c!$C68*1000)</f>
        <v>#DIV/0!</v>
      </c>
      <c r="I68" s="1503" t="e">
        <f t="shared" si="1"/>
        <v>#DIV/0!</v>
      </c>
      <c r="J68" s="1184"/>
      <c r="K68" s="1184"/>
      <c r="L68" s="1184"/>
    </row>
    <row r="69" spans="1:12" ht="14.25" hidden="1" customHeight="1" x14ac:dyDescent="0.2">
      <c r="A69" s="958"/>
      <c r="B69" s="959" t="s">
        <v>85</v>
      </c>
      <c r="C69" s="1214"/>
      <c r="D69" s="1491" t="e">
        <f>TableC4!C67/(C69*1000)</f>
        <v>#DIV/0!</v>
      </c>
      <c r="E69" s="1506" t="e">
        <f>+TableC4!D67/(TableC4c!$C69*1000)</f>
        <v>#DIV/0!</v>
      </c>
      <c r="F69" s="1489" t="e">
        <f t="shared" si="0"/>
        <v>#DIV/0!</v>
      </c>
      <c r="G69" s="1491" t="e">
        <f>TableC4!N67/(C69*1000)</f>
        <v>#DIV/0!</v>
      </c>
      <c r="H69" s="1506" t="e">
        <f>+TableC4!O67/(TableC4c!$C69*1000)</f>
        <v>#DIV/0!</v>
      </c>
      <c r="I69" s="1503" t="e">
        <f t="shared" si="1"/>
        <v>#DIV/0!</v>
      </c>
      <c r="J69" s="1184"/>
      <c r="K69" s="1184"/>
      <c r="L69" s="1184"/>
    </row>
    <row r="70" spans="1:12" ht="14.25" hidden="1" customHeight="1" x14ac:dyDescent="0.2">
      <c r="A70" s="958"/>
      <c r="B70" s="959" t="str">
        <f>+TableA1!A67</f>
        <v>Cyprus</v>
      </c>
      <c r="C70" s="1214"/>
      <c r="D70" s="1491" t="e">
        <f>TableC4!C68/(C70*1000)</f>
        <v>#DIV/0!</v>
      </c>
      <c r="E70" s="1506" t="e">
        <f>+TableC4!D68/(TableC4c!$C70*1000)</f>
        <v>#DIV/0!</v>
      </c>
      <c r="F70" s="1489" t="e">
        <f t="shared" si="0"/>
        <v>#DIV/0!</v>
      </c>
      <c r="G70" s="1491" t="e">
        <f>TableC4!N68/(C70*1000)</f>
        <v>#DIV/0!</v>
      </c>
      <c r="H70" s="1506" t="e">
        <f>+TableC4!O68/(TableC4c!$C70*1000)</f>
        <v>#DIV/0!</v>
      </c>
      <c r="I70" s="1503" t="e">
        <f t="shared" si="1"/>
        <v>#DIV/0!</v>
      </c>
      <c r="J70" s="1184"/>
      <c r="K70" s="1184"/>
      <c r="L70" s="1184"/>
    </row>
    <row r="71" spans="1:12" ht="14.25" hidden="1" customHeight="1" x14ac:dyDescent="0.2">
      <c r="A71" s="958"/>
      <c r="B71" s="959" t="s">
        <v>87</v>
      </c>
      <c r="C71" s="1214"/>
      <c r="D71" s="1491" t="e">
        <f>TableC4!C69/(C71*1000)</f>
        <v>#DIV/0!</v>
      </c>
      <c r="E71" s="1506" t="e">
        <f>+TableC4!D69/(TableC4c!$C71*1000)</f>
        <v>#DIV/0!</v>
      </c>
      <c r="F71" s="1489" t="e">
        <f t="shared" si="0"/>
        <v>#DIV/0!</v>
      </c>
      <c r="G71" s="1491" t="e">
        <f>TableC4!N69/(C71*1000)</f>
        <v>#DIV/0!</v>
      </c>
      <c r="H71" s="1506" t="e">
        <f>+TableC4!O69/(TableC4c!$C71*1000)</f>
        <v>#DIV/0!</v>
      </c>
      <c r="I71" s="1503" t="e">
        <f t="shared" si="1"/>
        <v>#DIV/0!</v>
      </c>
      <c r="J71" s="1184"/>
      <c r="K71" s="1184"/>
      <c r="L71" s="1184"/>
    </row>
    <row r="72" spans="1:12" ht="14.25" hidden="1" customHeight="1" x14ac:dyDescent="0.2">
      <c r="A72" s="958"/>
      <c r="B72" s="959" t="str">
        <f>+TableA1!A69</f>
        <v>Grenada</v>
      </c>
      <c r="C72" s="1214"/>
      <c r="D72" s="1491" t="e">
        <f>TableC4!C70/(C72*1000)</f>
        <v>#DIV/0!</v>
      </c>
      <c r="E72" s="1506" t="e">
        <f>+TableC4!D70/(TableC4c!$C72*1000)</f>
        <v>#DIV/0!</v>
      </c>
      <c r="F72" s="1489" t="e">
        <f t="shared" si="0"/>
        <v>#DIV/0!</v>
      </c>
      <c r="G72" s="1491" t="e">
        <f>TableC4!N70/(C72*1000)</f>
        <v>#DIV/0!</v>
      </c>
      <c r="H72" s="1506" t="e">
        <f>+TableC4!O70/(TableC4c!$C72*1000)</f>
        <v>#DIV/0!</v>
      </c>
      <c r="I72" s="1503" t="e">
        <f t="shared" si="1"/>
        <v>#DIV/0!</v>
      </c>
      <c r="J72" s="1184"/>
      <c r="K72" s="1184"/>
      <c r="L72" s="1184"/>
    </row>
    <row r="73" spans="1:12" ht="14.25" hidden="1" customHeight="1" x14ac:dyDescent="0.2">
      <c r="A73" s="958"/>
      <c r="B73" s="959" t="s">
        <v>89</v>
      </c>
      <c r="C73" s="1214"/>
      <c r="D73" s="1491" t="e">
        <f>TableC4!C71/(C73*1000)</f>
        <v>#DIV/0!</v>
      </c>
      <c r="E73" s="1506" t="e">
        <f>+TableC4!D71/(TableC4c!$C73*1000)</f>
        <v>#DIV/0!</v>
      </c>
      <c r="F73" s="1489" t="e">
        <f t="shared" si="0"/>
        <v>#DIV/0!</v>
      </c>
      <c r="G73" s="1491" t="e">
        <f>TableC4!N71/(C73*1000)</f>
        <v>#DIV/0!</v>
      </c>
      <c r="H73" s="1506" t="e">
        <f>+TableC4!O71/(TableC4c!$C73*1000)</f>
        <v>#DIV/0!</v>
      </c>
      <c r="I73" s="1503" t="e">
        <f t="shared" si="1"/>
        <v>#DIV/0!</v>
      </c>
      <c r="J73" s="1184"/>
      <c r="K73" s="1184"/>
      <c r="L73" s="1184"/>
    </row>
    <row r="74" spans="1:12" ht="14.25" hidden="1" customHeight="1" x14ac:dyDescent="0.2">
      <c r="A74" s="329" t="s">
        <v>90</v>
      </c>
      <c r="B74" s="959" t="s">
        <v>154</v>
      </c>
      <c r="C74" s="1214"/>
      <c r="D74" s="1491" t="e">
        <f>TableC4!C72/(C74*1000)</f>
        <v>#DIV/0!</v>
      </c>
      <c r="E74" s="1506" t="e">
        <f>+TableC4!D72/(TableC4c!$C74*1000)</f>
        <v>#DIV/0!</v>
      </c>
      <c r="F74" s="1489" t="e">
        <f t="shared" si="0"/>
        <v>#DIV/0!</v>
      </c>
      <c r="G74" s="1491" t="e">
        <f>TableC4!N72/(C74*1000)</f>
        <v>#DIV/0!</v>
      </c>
      <c r="H74" s="1506" t="e">
        <f>+TableC4!O72/(TableC4c!$C74*1000)</f>
        <v>#DIV/0!</v>
      </c>
      <c r="I74" s="1503" t="e">
        <f t="shared" si="1"/>
        <v>#DIV/0!</v>
      </c>
      <c r="J74" s="1184"/>
      <c r="K74" s="1184"/>
      <c r="L74"/>
    </row>
    <row r="75" spans="1:12" ht="14.25" hidden="1" customHeight="1" x14ac:dyDescent="0.2">
      <c r="A75" s="329" t="s">
        <v>341</v>
      </c>
      <c r="B75" s="959" t="s">
        <v>91</v>
      </c>
      <c r="C75" s="1214"/>
      <c r="D75" s="1491" t="e">
        <f>TableC4!C73/(C75*1000)</f>
        <v>#DIV/0!</v>
      </c>
      <c r="E75" s="1506" t="e">
        <f>+TableC4!D73/(TableC4c!$C75*1000)</f>
        <v>#DIV/0!</v>
      </c>
      <c r="F75" s="1489" t="e">
        <f t="shared" si="0"/>
        <v>#DIV/0!</v>
      </c>
      <c r="G75" s="1491" t="e">
        <f>TableC4!N73/(C75*1000)</f>
        <v>#DIV/0!</v>
      </c>
      <c r="H75" s="1506" t="e">
        <f>+TableC4!O73/(TableC4c!$C75*1000)</f>
        <v>#DIV/0!</v>
      </c>
      <c r="I75" s="1503" t="e">
        <f t="shared" si="1"/>
        <v>#DIV/0!</v>
      </c>
      <c r="J75" s="1184"/>
      <c r="K75" s="1184"/>
      <c r="L75"/>
    </row>
    <row r="76" spans="1:12" ht="14.25" hidden="1" customHeight="1" x14ac:dyDescent="0.2">
      <c r="A76" s="958"/>
      <c r="B76" s="959" t="s">
        <v>92</v>
      </c>
      <c r="C76" s="1214"/>
      <c r="D76" s="1491" t="e">
        <f>TableC4!C74/(C76*1000)</f>
        <v>#DIV/0!</v>
      </c>
      <c r="E76" s="1506" t="e">
        <f>+TableC4!D74/(TableC4c!$C76*1000)</f>
        <v>#DIV/0!</v>
      </c>
      <c r="F76" s="1489" t="e">
        <f t="shared" si="0"/>
        <v>#DIV/0!</v>
      </c>
      <c r="G76" s="1491" t="e">
        <f>TableC4!N74/(C76*1000)</f>
        <v>#DIV/0!</v>
      </c>
      <c r="H76" s="1506" t="e">
        <f>+TableC4!O74/(TableC4c!$C76*1000)</f>
        <v>#DIV/0!</v>
      </c>
      <c r="I76" s="1503" t="e">
        <f t="shared" si="1"/>
        <v>#DIV/0!</v>
      </c>
      <c r="J76" s="1184"/>
      <c r="K76" s="1184"/>
      <c r="L76"/>
    </row>
    <row r="77" spans="1:12" ht="14.25" hidden="1" customHeight="1" x14ac:dyDescent="0.2">
      <c r="A77" s="958"/>
      <c r="B77" s="959" t="s">
        <v>93</v>
      </c>
      <c r="C77" s="1214"/>
      <c r="D77" s="1491" t="e">
        <f>TableC4!C75/(C77*1000)</f>
        <v>#DIV/0!</v>
      </c>
      <c r="E77" s="1506" t="e">
        <f>+TableC4!D75/(TableC4c!$C77*1000)</f>
        <v>#DIV/0!</v>
      </c>
      <c r="F77" s="1489" t="e">
        <f t="shared" ref="F77:F95" si="2">+D77-E77</f>
        <v>#DIV/0!</v>
      </c>
      <c r="G77" s="1491" t="e">
        <f>TableC4!N75/(C77*1000)</f>
        <v>#DIV/0!</v>
      </c>
      <c r="H77" s="1506" t="e">
        <f>+TableC4!O75/(TableC4c!$C77*1000)</f>
        <v>#DIV/0!</v>
      </c>
      <c r="I77" s="1503" t="e">
        <f t="shared" ref="I77:I95" si="3">+G77-H77</f>
        <v>#DIV/0!</v>
      </c>
      <c r="J77" s="1184"/>
      <c r="K77" s="1184"/>
      <c r="L77"/>
    </row>
    <row r="78" spans="1:12" ht="14.25" hidden="1" customHeight="1" x14ac:dyDescent="0.2">
      <c r="A78" s="958"/>
      <c r="B78" s="959" t="s">
        <v>94</v>
      </c>
      <c r="C78" s="1214"/>
      <c r="D78" s="1491" t="e">
        <f>TableC4!C76/(C78*1000)</f>
        <v>#DIV/0!</v>
      </c>
      <c r="E78" s="1506" t="e">
        <f>+TableC4!D76/(TableC4c!$C78*1000)</f>
        <v>#DIV/0!</v>
      </c>
      <c r="F78" s="1489" t="e">
        <f t="shared" si="2"/>
        <v>#DIV/0!</v>
      </c>
      <c r="G78" s="1491" t="e">
        <f>TableC4!N76/(C78*1000)</f>
        <v>#DIV/0!</v>
      </c>
      <c r="H78" s="1506" t="e">
        <f>+TableC4!O76/(TableC4c!$C78*1000)</f>
        <v>#DIV/0!</v>
      </c>
      <c r="I78" s="1503" t="e">
        <f t="shared" si="3"/>
        <v>#DIV/0!</v>
      </c>
      <c r="J78" s="1184"/>
      <c r="K78" s="1184"/>
      <c r="L78"/>
    </row>
    <row r="79" spans="1:12" ht="14.25" hidden="1" customHeight="1" x14ac:dyDescent="0.2">
      <c r="A79" s="329" t="s">
        <v>342</v>
      </c>
      <c r="B79" s="959" t="s">
        <v>95</v>
      </c>
      <c r="C79" s="1214"/>
      <c r="D79" s="1491" t="e">
        <f>TableC4!C77/(C79*1000)</f>
        <v>#DIV/0!</v>
      </c>
      <c r="E79" s="1506" t="e">
        <f>+TableC4!D77/(TableC4c!$C79*1000)</f>
        <v>#DIV/0!</v>
      </c>
      <c r="F79" s="1489" t="e">
        <f t="shared" si="2"/>
        <v>#DIV/0!</v>
      </c>
      <c r="G79" s="1491" t="e">
        <f>TableC4!N77/(C79*1000)</f>
        <v>#DIV/0!</v>
      </c>
      <c r="H79" s="1506" t="e">
        <f>+TableC4!O77/(TableC4c!$C79*1000)</f>
        <v>#DIV/0!</v>
      </c>
      <c r="I79" s="1503" t="e">
        <f t="shared" si="3"/>
        <v>#DIV/0!</v>
      </c>
      <c r="J79" s="1184"/>
      <c r="K79" s="1184"/>
      <c r="L79"/>
    </row>
    <row r="80" spans="1:12" ht="14.25" hidden="1" customHeight="1" x14ac:dyDescent="0.2">
      <c r="A80" s="958"/>
      <c r="B80" s="959" t="s">
        <v>96</v>
      </c>
      <c r="C80" s="1214"/>
      <c r="D80" s="1491" t="e">
        <f>TableC4!C78/(C80*1000)</f>
        <v>#DIV/0!</v>
      </c>
      <c r="E80" s="1506" t="e">
        <f>+TableC4!D78/(TableC4c!$C80*1000)</f>
        <v>#DIV/0!</v>
      </c>
      <c r="F80" s="1489" t="e">
        <f t="shared" si="2"/>
        <v>#DIV/0!</v>
      </c>
      <c r="G80" s="1491" t="e">
        <f>TableC4!N78/(C80*1000)</f>
        <v>#DIV/0!</v>
      </c>
      <c r="H80" s="1506" t="e">
        <f>+TableC4!O78/(TableC4c!$C80*1000)</f>
        <v>#DIV/0!</v>
      </c>
      <c r="I80" s="1503" t="e">
        <f t="shared" si="3"/>
        <v>#DIV/0!</v>
      </c>
      <c r="J80" s="1184"/>
      <c r="K80" s="1184"/>
      <c r="L80" s="1184"/>
    </row>
    <row r="81" spans="1:12" ht="14.25" hidden="1" customHeight="1" x14ac:dyDescent="0.2">
      <c r="A81" s="329" t="s">
        <v>373</v>
      </c>
      <c r="B81" s="959" t="s">
        <v>97</v>
      </c>
      <c r="C81" s="1214"/>
      <c r="D81" s="1491" t="e">
        <f>TableC4!C79/(C81*1000)</f>
        <v>#DIV/0!</v>
      </c>
      <c r="E81" s="1506" t="e">
        <f>+TableC4!D79/(TableC4c!$C81*1000)</f>
        <v>#DIV/0!</v>
      </c>
      <c r="F81" s="1489" t="e">
        <f t="shared" si="2"/>
        <v>#DIV/0!</v>
      </c>
      <c r="G81" s="1491" t="e">
        <f>TableC4!N79/(C81*1000)</f>
        <v>#DIV/0!</v>
      </c>
      <c r="H81" s="1506" t="e">
        <f>+TableC4!O79/(TableC4c!$C81*1000)</f>
        <v>#DIV/0!</v>
      </c>
      <c r="I81" s="1503" t="e">
        <f t="shared" si="3"/>
        <v>#DIV/0!</v>
      </c>
      <c r="J81" s="1184"/>
      <c r="K81" s="1184"/>
      <c r="L81" s="1184"/>
    </row>
    <row r="82" spans="1:12" ht="14.25" hidden="1" customHeight="1" x14ac:dyDescent="0.2">
      <c r="A82" s="958"/>
      <c r="B82" s="959" t="str">
        <f>+TableA1!A79</f>
        <v>Monaco</v>
      </c>
      <c r="C82" s="1214"/>
      <c r="D82" s="1491" t="e">
        <f>TableC4!C80/(C82*1000)</f>
        <v>#DIV/0!</v>
      </c>
      <c r="E82" s="1506" t="e">
        <f>+TableC4!D80/(TableC4c!$C82*1000)</f>
        <v>#DIV/0!</v>
      </c>
      <c r="F82" s="1489" t="e">
        <f t="shared" si="2"/>
        <v>#DIV/0!</v>
      </c>
      <c r="G82" s="1491" t="e">
        <f>TableC4!N80/(C82*1000)</f>
        <v>#DIV/0!</v>
      </c>
      <c r="H82" s="1506" t="e">
        <f>+TableC4!O80/(TableC4c!$C82*1000)</f>
        <v>#DIV/0!</v>
      </c>
      <c r="I82" s="1503" t="e">
        <f t="shared" si="3"/>
        <v>#DIV/0!</v>
      </c>
      <c r="J82" s="1184"/>
      <c r="K82" s="1184"/>
      <c r="L82" s="1184"/>
    </row>
    <row r="83" spans="1:12" ht="14.25" hidden="1" customHeight="1" x14ac:dyDescent="0.2">
      <c r="A83" s="958"/>
      <c r="B83" s="959" t="s">
        <v>99</v>
      </c>
      <c r="C83" s="1214"/>
      <c r="D83" s="1491" t="e">
        <f>TableC4!C81/(C83*1000)</f>
        <v>#DIV/0!</v>
      </c>
      <c r="E83" s="1506" t="e">
        <f>+TableC4!D81/(TableC4c!$C83*1000)</f>
        <v>#DIV/0!</v>
      </c>
      <c r="F83" s="1489" t="e">
        <f t="shared" si="2"/>
        <v>#DIV/0!</v>
      </c>
      <c r="G83" s="1491" t="e">
        <f>TableC4!N81/(C83*1000)</f>
        <v>#DIV/0!</v>
      </c>
      <c r="H83" s="1506" t="e">
        <f>+TableC4!O81/(TableC4c!$C83*1000)</f>
        <v>#DIV/0!</v>
      </c>
      <c r="I83" s="1503" t="e">
        <f t="shared" si="3"/>
        <v>#DIV/0!</v>
      </c>
      <c r="J83" s="1184"/>
      <c r="K83" s="1184"/>
      <c r="L83" s="1184"/>
    </row>
    <row r="84" spans="1:12" ht="14.25" hidden="1" customHeight="1" x14ac:dyDescent="0.2">
      <c r="A84" s="958"/>
      <c r="B84" s="959" t="s">
        <v>100</v>
      </c>
      <c r="C84" s="1214"/>
      <c r="D84" s="1491" t="e">
        <f>TableC4!C82/(C84*1000)</f>
        <v>#DIV/0!</v>
      </c>
      <c r="E84" s="1506" t="e">
        <f>+TableC4!D82/(TableC4c!$C84*1000)</f>
        <v>#DIV/0!</v>
      </c>
      <c r="F84" s="1489" t="e">
        <f t="shared" si="2"/>
        <v>#DIV/0!</v>
      </c>
      <c r="G84" s="1491" t="e">
        <f>TableC4!N82/(C84*1000)</f>
        <v>#DIV/0!</v>
      </c>
      <c r="H84" s="1506" t="e">
        <f>+TableC4!O82/(TableC4c!$C84*1000)</f>
        <v>#DIV/0!</v>
      </c>
      <c r="I84" s="1503" t="e">
        <f t="shared" si="3"/>
        <v>#DIV/0!</v>
      </c>
      <c r="J84" s="1184"/>
      <c r="K84" s="1184"/>
      <c r="L84" s="1184"/>
    </row>
    <row r="85" spans="1:12" ht="14.25" hidden="1" customHeight="1" x14ac:dyDescent="0.2">
      <c r="A85" s="958"/>
      <c r="B85" s="959" t="str">
        <f>+TableA1!A82</f>
        <v>Seychelles</v>
      </c>
      <c r="C85" s="1214"/>
      <c r="D85" s="1491" t="e">
        <f>TableC4!C83/(C85*1000)</f>
        <v>#DIV/0!</v>
      </c>
      <c r="E85" s="1506" t="e">
        <f>+TableC4!D83/(TableC4c!$C85*1000)</f>
        <v>#DIV/0!</v>
      </c>
      <c r="F85" s="1489" t="e">
        <f t="shared" si="2"/>
        <v>#DIV/0!</v>
      </c>
      <c r="G85" s="1491" t="e">
        <f>TableC4!N83/(C85*1000)</f>
        <v>#DIV/0!</v>
      </c>
      <c r="H85" s="1506" t="e">
        <f>+TableC4!O83/(TableC4c!$C85*1000)</f>
        <v>#DIV/0!</v>
      </c>
      <c r="I85" s="1503" t="e">
        <f t="shared" si="3"/>
        <v>#DIV/0!</v>
      </c>
      <c r="J85" s="1184"/>
      <c r="K85" s="1184"/>
      <c r="L85" s="1184"/>
    </row>
    <row r="86" spans="1:12" hidden="1" x14ac:dyDescent="0.2">
      <c r="A86" s="958"/>
      <c r="B86" s="959" t="s">
        <v>102</v>
      </c>
      <c r="C86" s="1214"/>
      <c r="D86" s="1491" t="e">
        <f>TableC4!C84/(C86*1000)</f>
        <v>#DIV/0!</v>
      </c>
      <c r="E86" s="1506" t="e">
        <f>+TableC4!D84/(TableC4c!$C86*1000)</f>
        <v>#DIV/0!</v>
      </c>
      <c r="F86" s="1489" t="e">
        <f t="shared" si="2"/>
        <v>#DIV/0!</v>
      </c>
      <c r="G86" s="1491" t="e">
        <f>TableC4!N84/(C86*1000)</f>
        <v>#DIV/0!</v>
      </c>
      <c r="H86" s="1506" t="e">
        <f>+TableC4!O84/(TableC4c!$C86*1000)</f>
        <v>#DIV/0!</v>
      </c>
      <c r="I86" s="1503" t="e">
        <f t="shared" si="3"/>
        <v>#DIV/0!</v>
      </c>
      <c r="J86" s="1184"/>
      <c r="K86" s="1184"/>
      <c r="L86" s="1184"/>
    </row>
    <row r="87" spans="1:12" hidden="1" x14ac:dyDescent="0.2">
      <c r="A87" s="958"/>
      <c r="B87" s="959" t="str">
        <f>+TableA1!A84</f>
        <v>St. Kitts and Nevis</v>
      </c>
      <c r="C87" s="1214"/>
      <c r="D87" s="1491" t="e">
        <f>TableC4!C85/(C87*1000)</f>
        <v>#DIV/0!</v>
      </c>
      <c r="E87" s="1506" t="e">
        <f>+TableC4!D85/(TableC4c!$C87*1000)</f>
        <v>#DIV/0!</v>
      </c>
      <c r="F87" s="1489" t="e">
        <f t="shared" si="2"/>
        <v>#DIV/0!</v>
      </c>
      <c r="G87" s="1491" t="e">
        <f>TableC4!N85/(C87*1000)</f>
        <v>#DIV/0!</v>
      </c>
      <c r="H87" s="1506" t="e">
        <f>+TableC4!O85/(TableC4c!$C87*1000)</f>
        <v>#DIV/0!</v>
      </c>
      <c r="I87" s="1503" t="e">
        <f t="shared" si="3"/>
        <v>#DIV/0!</v>
      </c>
      <c r="J87" s="1184"/>
      <c r="K87" s="1184"/>
      <c r="L87" s="1184"/>
    </row>
    <row r="88" spans="1:12" hidden="1" x14ac:dyDescent="0.2">
      <c r="A88" s="958"/>
      <c r="B88" s="959" t="str">
        <f>+TableA1!A85</f>
        <v>St. Lucia</v>
      </c>
      <c r="C88" s="1214"/>
      <c r="D88" s="1491" t="e">
        <f>TableC4!C86/(C88*1000)</f>
        <v>#DIV/0!</v>
      </c>
      <c r="E88" s="1506" t="e">
        <f>+TableC4!D86/(TableC4c!$C88*1000)</f>
        <v>#DIV/0!</v>
      </c>
      <c r="F88" s="1489" t="e">
        <f t="shared" si="2"/>
        <v>#DIV/0!</v>
      </c>
      <c r="G88" s="1491" t="e">
        <f>TableC4!N86/(C88*1000)</f>
        <v>#DIV/0!</v>
      </c>
      <c r="H88" s="1506" t="e">
        <f>+TableC4!O86/(TableC4c!$C88*1000)</f>
        <v>#DIV/0!</v>
      </c>
      <c r="I88" s="1503" t="e">
        <f t="shared" si="3"/>
        <v>#DIV/0!</v>
      </c>
      <c r="J88" s="1184"/>
      <c r="K88" s="1184"/>
      <c r="L88" s="1184"/>
    </row>
    <row r="89" spans="1:12" hidden="1" x14ac:dyDescent="0.2">
      <c r="A89" s="958"/>
      <c r="B89" s="959" t="str">
        <f>+TableA1!A86</f>
        <v>St. Vincent and the Grenadines</v>
      </c>
      <c r="C89" s="1214"/>
      <c r="D89" s="1491" t="e">
        <f>TableC4!C87/(C89*1000)</f>
        <v>#DIV/0!</v>
      </c>
      <c r="E89" s="1506" t="e">
        <f>+TableC4!D87/(TableC4c!$C89*1000)</f>
        <v>#DIV/0!</v>
      </c>
      <c r="F89" s="1489" t="e">
        <f t="shared" si="2"/>
        <v>#DIV/0!</v>
      </c>
      <c r="G89" s="1491" t="e">
        <f>TableC4!N87/(C89*1000)</f>
        <v>#DIV/0!</v>
      </c>
      <c r="H89" s="1506" t="e">
        <f>+TableC4!O87/(TableC4c!$C89*1000)</f>
        <v>#DIV/0!</v>
      </c>
      <c r="I89" s="1503" t="e">
        <f t="shared" si="3"/>
        <v>#DIV/0!</v>
      </c>
      <c r="J89" s="1184"/>
      <c r="K89" s="1184"/>
      <c r="L89" s="1184"/>
    </row>
    <row r="90" spans="1:12" hidden="1" x14ac:dyDescent="0.2">
      <c r="A90" s="329" t="s">
        <v>374</v>
      </c>
      <c r="B90" s="959" t="str">
        <f>+TableA1!A87</f>
        <v>Turks and Caicos</v>
      </c>
      <c r="C90" s="1214"/>
      <c r="D90" s="1491" t="e">
        <f>TableC4!C88/(C90*1000)</f>
        <v>#DIV/0!</v>
      </c>
      <c r="E90" s="1506" t="e">
        <f>+TableC4!D88/(TableC4c!$C90*1000)</f>
        <v>#DIV/0!</v>
      </c>
      <c r="F90" s="1489" t="e">
        <f t="shared" si="2"/>
        <v>#DIV/0!</v>
      </c>
      <c r="G90" s="1491" t="e">
        <f>TableC4!N88/(C90*1000)</f>
        <v>#DIV/0!</v>
      </c>
      <c r="H90" s="1506" t="e">
        <f>+TableC4!O88/(TableC4c!$C90*1000)</f>
        <v>#DIV/0!</v>
      </c>
      <c r="I90" s="1503" t="e">
        <f t="shared" si="3"/>
        <v>#DIV/0!</v>
      </c>
      <c r="J90" s="1184"/>
      <c r="K90" s="1184"/>
      <c r="L90" s="1184"/>
    </row>
    <row r="91" spans="1:12" hidden="1" x14ac:dyDescent="0.2">
      <c r="A91" s="958"/>
      <c r="B91" s="959" t="str">
        <f>+TableA1!A88</f>
        <v>Panama</v>
      </c>
      <c r="C91" s="1214"/>
      <c r="D91" s="1491" t="e">
        <f>TableC4!C89/(C91*1000)</f>
        <v>#DIV/0!</v>
      </c>
      <c r="E91" s="1506" t="e">
        <f>+TableC4!D89/(TableC4c!$C91*1000)</f>
        <v>#DIV/0!</v>
      </c>
      <c r="F91" s="1489" t="e">
        <f t="shared" si="2"/>
        <v>#DIV/0!</v>
      </c>
      <c r="G91" s="1491" t="e">
        <f>TableC4!N89/(C91*1000)</f>
        <v>#DIV/0!</v>
      </c>
      <c r="H91" s="1506" t="e">
        <f>+TableC4!O89/(TableC4c!$C91*1000)</f>
        <v>#DIV/0!</v>
      </c>
      <c r="I91" s="1503" t="e">
        <f t="shared" si="3"/>
        <v>#DIV/0!</v>
      </c>
      <c r="J91" s="1184"/>
      <c r="K91" s="1184"/>
      <c r="L91" s="1184"/>
    </row>
    <row r="92" spans="1:12" hidden="1" x14ac:dyDescent="0.2">
      <c r="A92" s="958"/>
      <c r="B92" s="959" t="s">
        <v>108</v>
      </c>
      <c r="C92" s="1214"/>
      <c r="D92" s="1491" t="e">
        <f>TableC4!C90/(C92*1000)</f>
        <v>#DIV/0!</v>
      </c>
      <c r="E92" s="1506" t="e">
        <f>+TableC4!D90/(TableC4c!$C92*1000)</f>
        <v>#DIV/0!</v>
      </c>
      <c r="F92" s="1489" t="e">
        <f t="shared" si="2"/>
        <v>#DIV/0!</v>
      </c>
      <c r="G92" s="1491" t="e">
        <f>TableC4!N90/(C92*1000)</f>
        <v>#DIV/0!</v>
      </c>
      <c r="H92" s="1506" t="e">
        <f>+TableC4!O90/(TableC4c!$C92*1000)</f>
        <v>#DIV/0!</v>
      </c>
      <c r="I92" s="1503" t="e">
        <f t="shared" si="3"/>
        <v>#DIV/0!</v>
      </c>
      <c r="J92" s="1184"/>
      <c r="K92" s="1184"/>
      <c r="L92" s="1184"/>
    </row>
    <row r="93" spans="1:12" ht="40" customHeight="1" x14ac:dyDescent="0.2">
      <c r="A93" s="958"/>
      <c r="B93" s="1509" t="s">
        <v>155</v>
      </c>
      <c r="C93" s="1510">
        <f>+TableA2!F90</f>
        <v>1423.1461018568671</v>
      </c>
      <c r="D93" s="1494">
        <f>TableC4!C91/(C93*1000)</f>
        <v>5.5312818591540636E-2</v>
      </c>
      <c r="E93" s="1495">
        <f>+TableC4!D91/(TableC4c!$C93*1000)</f>
        <v>2.2575650188764569E-2</v>
      </c>
      <c r="F93" s="1496">
        <f t="shared" si="2"/>
        <v>3.2737168402776066E-2</v>
      </c>
      <c r="G93" s="1494">
        <f>TableC4!N91/(C93*1000)</f>
        <v>1.40001046239887E-2</v>
      </c>
      <c r="H93" s="1495">
        <f>+TableC4!O91/(TableC4c!$C93*1000)</f>
        <v>1.7433494775318189E-3</v>
      </c>
      <c r="I93" s="1511">
        <f t="shared" si="3"/>
        <v>1.2256755146456881E-2</v>
      </c>
      <c r="J93" s="266"/>
      <c r="K93" s="266"/>
      <c r="L93" s="266"/>
    </row>
    <row r="94" spans="1:12" ht="40" hidden="1" customHeight="1" x14ac:dyDescent="0.2">
      <c r="A94" s="958"/>
      <c r="B94" s="310"/>
      <c r="C94" s="304"/>
      <c r="D94" s="265" t="e">
        <f>TableC4!C92/(C94*1000)</f>
        <v>#DIV/0!</v>
      </c>
      <c r="E94" s="266" t="e">
        <f>+TableC4!D92/(TableC4c!$C94*1000)</f>
        <v>#DIV/0!</v>
      </c>
      <c r="F94" s="266" t="e">
        <f t="shared" si="2"/>
        <v>#DIV/0!</v>
      </c>
      <c r="G94" s="265" t="e">
        <f>TableC4!N92/(C94*1000)</f>
        <v>#DIV/0!</v>
      </c>
      <c r="H94" s="266" t="e">
        <f>+TableC4!O92/(TableC4c!$C94*1000)</f>
        <v>#DIV/0!</v>
      </c>
      <c r="I94" s="641" t="e">
        <f t="shared" si="3"/>
        <v>#DIV/0!</v>
      </c>
      <c r="J94" s="266"/>
      <c r="K94" s="266"/>
      <c r="L94" s="266"/>
    </row>
    <row r="95" spans="1:12" ht="40" customHeight="1" thickBot="1" x14ac:dyDescent="0.25">
      <c r="A95" s="958"/>
      <c r="B95" s="330" t="str">
        <f>+TableC3!B91</f>
        <v>Non-haven total</v>
      </c>
      <c r="C95" s="619">
        <f>+C93+C12+C48</f>
        <v>10393.974981942527</v>
      </c>
      <c r="D95" s="524">
        <f>TableC4!C93/(C95*1000)</f>
        <v>5.9309516418877016E-2</v>
      </c>
      <c r="E95" s="424">
        <f>+TableC4!D93/(TableC4c!$C95*1000)</f>
        <v>2.8005652694636209E-2</v>
      </c>
      <c r="F95" s="424">
        <f t="shared" si="2"/>
        <v>3.1303863724240807E-2</v>
      </c>
      <c r="G95" s="524">
        <f>TableC4!N93/(C95*1000)</f>
        <v>5.9309516418877016E-2</v>
      </c>
      <c r="H95" s="424">
        <f>+TableC4!O93/(TableC4c!$C95*1000)</f>
        <v>3.1779506802946306E-2</v>
      </c>
      <c r="I95" s="428">
        <f t="shared" si="3"/>
        <v>2.753000961593071E-2</v>
      </c>
      <c r="J95" s="246"/>
      <c r="K95" s="246"/>
      <c r="L95" s="246"/>
    </row>
    <row r="96" spans="1:12" s="2" customFormat="1" x14ac:dyDescent="0.2">
      <c r="E96" s="958"/>
      <c r="F96" s="958"/>
      <c r="H96" s="958"/>
      <c r="I96" s="958"/>
      <c r="J96" s="958"/>
      <c r="K96" s="958"/>
      <c r="L96" s="958"/>
    </row>
    <row r="98" spans="2:12" s="2" customFormat="1" x14ac:dyDescent="0.2">
      <c r="B98" s="958"/>
      <c r="C98" s="958"/>
      <c r="D98" s="958"/>
      <c r="E98" s="958"/>
      <c r="F98" s="958"/>
      <c r="G98" s="958"/>
      <c r="H98" s="958"/>
      <c r="I98" s="958"/>
      <c r="J98" s="958"/>
      <c r="K98" s="958"/>
      <c r="L98" s="958"/>
    </row>
  </sheetData>
  <mergeCells count="7">
    <mergeCell ref="G9:I9"/>
    <mergeCell ref="B5:I5"/>
    <mergeCell ref="D8:I8"/>
    <mergeCell ref="D10:D11"/>
    <mergeCell ref="G10:G11"/>
    <mergeCell ref="D9:F9"/>
    <mergeCell ref="C8:C11"/>
  </mergeCells>
  <pageMargins left="0.7" right="0.7" top="0.75" bottom="0.75" header="0.3" footer="0.3"/>
  <pageSetup scale="72"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V95"/>
  <sheetViews>
    <sheetView workbookViewId="0">
      <pane xSplit="2" ySplit="9" topLeftCell="C14" activePane="bottomRight" state="frozen"/>
      <selection pane="topRight" activeCell="AR8" sqref="AR8"/>
      <selection pane="bottomLeft" activeCell="AR8" sqref="AR8"/>
      <selection pane="bottomRight" activeCell="D20" sqref="D20"/>
    </sheetView>
  </sheetViews>
  <sheetFormatPr baseColWidth="10" defaultColWidth="10.83203125" defaultRowHeight="16" x14ac:dyDescent="0.2"/>
  <cols>
    <col min="1" max="1" width="17.5" style="1" hidden="1" customWidth="1"/>
    <col min="2" max="2" width="19" style="1" customWidth="1"/>
    <col min="3" max="16" width="11.83203125" style="1" customWidth="1"/>
    <col min="17" max="22" width="19.6640625" style="1" customWidth="1"/>
    <col min="23" max="16384" width="10.83203125" style="1"/>
  </cols>
  <sheetData>
    <row r="2" spans="2:22" ht="17" thickBot="1" x14ac:dyDescent="0.25">
      <c r="B2" s="958"/>
      <c r="C2" s="958"/>
      <c r="D2" s="958"/>
      <c r="E2" s="958"/>
      <c r="F2" s="958"/>
      <c r="G2" s="958"/>
      <c r="H2" s="958"/>
      <c r="I2" s="958"/>
      <c r="J2" s="958"/>
      <c r="K2" s="958"/>
      <c r="L2" s="958"/>
      <c r="M2" s="958"/>
      <c r="N2" s="958"/>
      <c r="O2" s="958"/>
      <c r="P2" s="958"/>
      <c r="Q2" s="958"/>
      <c r="R2" s="958"/>
      <c r="S2" s="958"/>
      <c r="T2" s="958"/>
      <c r="U2" s="958"/>
      <c r="V2" s="958"/>
    </row>
    <row r="3" spans="2:22" ht="15.75" hidden="1" customHeight="1" thickBot="1" x14ac:dyDescent="0.25">
      <c r="B3" s="958"/>
      <c r="C3" s="958"/>
      <c r="D3" s="958"/>
      <c r="E3" s="958"/>
      <c r="F3" s="958"/>
      <c r="G3" s="958"/>
      <c r="H3" s="958"/>
      <c r="I3" s="958"/>
      <c r="J3" s="958"/>
      <c r="K3" s="958"/>
      <c r="L3" s="958"/>
      <c r="M3" s="958"/>
      <c r="N3" s="958"/>
      <c r="O3" s="958"/>
      <c r="P3" s="958"/>
      <c r="Q3" s="958"/>
      <c r="R3" s="958"/>
      <c r="S3" s="958"/>
      <c r="T3" s="958"/>
      <c r="U3" s="958"/>
      <c r="V3" s="958"/>
    </row>
    <row r="4" spans="2:22" ht="32.25" customHeight="1" thickTop="1" x14ac:dyDescent="0.2">
      <c r="B4" s="1934" t="s">
        <v>660</v>
      </c>
      <c r="C4" s="1935"/>
      <c r="D4" s="1935"/>
      <c r="E4" s="1935"/>
      <c r="F4" s="1935"/>
      <c r="G4" s="1935"/>
      <c r="H4" s="1935"/>
      <c r="I4" s="1935"/>
      <c r="J4" s="1935"/>
      <c r="K4" s="1935"/>
      <c r="L4" s="1935"/>
      <c r="M4" s="1935"/>
      <c r="N4" s="1935"/>
      <c r="O4" s="1935"/>
      <c r="P4" s="1936"/>
      <c r="Q4" s="620"/>
      <c r="R4" s="620"/>
      <c r="S4" s="620"/>
      <c r="T4" s="620"/>
      <c r="U4" s="620"/>
      <c r="V4" s="620"/>
    </row>
    <row r="5" spans="2:22" ht="20" x14ac:dyDescent="0.2">
      <c r="B5" s="4"/>
      <c r="C5" s="160" t="s">
        <v>1</v>
      </c>
      <c r="D5" s="160" t="s">
        <v>2</v>
      </c>
      <c r="E5" s="160" t="s">
        <v>3</v>
      </c>
      <c r="F5" s="160" t="s">
        <v>4</v>
      </c>
      <c r="G5" s="160" t="s">
        <v>5</v>
      </c>
      <c r="H5" s="160" t="s">
        <v>6</v>
      </c>
      <c r="I5" s="160" t="s">
        <v>7</v>
      </c>
      <c r="J5" s="160" t="s">
        <v>8</v>
      </c>
      <c r="K5" s="160" t="s">
        <v>9</v>
      </c>
      <c r="L5" s="160" t="s">
        <v>10</v>
      </c>
      <c r="M5" s="160" t="s">
        <v>11</v>
      </c>
      <c r="N5" s="160" t="s">
        <v>12</v>
      </c>
      <c r="O5" s="160" t="s">
        <v>13</v>
      </c>
      <c r="P5" s="6" t="s">
        <v>177</v>
      </c>
      <c r="Q5" s="620"/>
      <c r="R5" s="620"/>
      <c r="S5" s="620"/>
      <c r="T5" s="620"/>
      <c r="U5" s="620"/>
      <c r="V5" s="620"/>
    </row>
    <row r="6" spans="2:22" ht="26.25" customHeight="1" x14ac:dyDescent="0.2">
      <c r="B6" s="4"/>
      <c r="C6" s="2278" t="s">
        <v>661</v>
      </c>
      <c r="D6" s="2281" t="s">
        <v>662</v>
      </c>
      <c r="E6" s="2098" t="s">
        <v>663</v>
      </c>
      <c r="F6" s="2099"/>
      <c r="G6" s="2099"/>
      <c r="H6" s="2099"/>
      <c r="I6" s="2099"/>
      <c r="J6" s="2100"/>
      <c r="K6" s="2099" t="s">
        <v>664</v>
      </c>
      <c r="L6" s="2099"/>
      <c r="M6" s="2099"/>
      <c r="N6" s="2099"/>
      <c r="O6" s="2099"/>
      <c r="P6" s="2175"/>
      <c r="Q6" s="620"/>
      <c r="R6" s="620"/>
      <c r="S6" s="620"/>
      <c r="T6" s="620"/>
      <c r="U6" s="620"/>
      <c r="V6" s="620"/>
    </row>
    <row r="7" spans="2:22" ht="21" customHeight="1" x14ac:dyDescent="0.2">
      <c r="B7" s="1154"/>
      <c r="C7" s="2279"/>
      <c r="D7" s="2282"/>
      <c r="E7" s="2150" t="s">
        <v>655</v>
      </c>
      <c r="F7" s="2017"/>
      <c r="G7" s="2017"/>
      <c r="H7" s="2277" t="s">
        <v>656</v>
      </c>
      <c r="I7" s="2017" t="s">
        <v>648</v>
      </c>
      <c r="J7" s="2018"/>
      <c r="K7" s="2277" t="s">
        <v>655</v>
      </c>
      <c r="L7" s="2017"/>
      <c r="M7" s="2017"/>
      <c r="N7" s="2277" t="s">
        <v>656</v>
      </c>
      <c r="O7" s="2017" t="s">
        <v>648</v>
      </c>
      <c r="P7" s="2056"/>
      <c r="Q7" s="1041"/>
      <c r="R7" s="1041"/>
      <c r="S7" s="1041"/>
      <c r="T7" s="1041"/>
      <c r="U7" s="1041"/>
      <c r="V7" s="1041"/>
    </row>
    <row r="8" spans="2:22" ht="85" customHeight="1" x14ac:dyDescent="0.2">
      <c r="B8" s="1154"/>
      <c r="C8" s="2279"/>
      <c r="D8" s="2282"/>
      <c r="E8" s="2055" t="s">
        <v>627</v>
      </c>
      <c r="F8" s="1835" t="s">
        <v>628</v>
      </c>
      <c r="G8" s="1485" t="s">
        <v>629</v>
      </c>
      <c r="H8" s="2055" t="s">
        <v>627</v>
      </c>
      <c r="I8" s="1835" t="s">
        <v>628</v>
      </c>
      <c r="J8" s="1851" t="s">
        <v>629</v>
      </c>
      <c r="K8" s="2055" t="s">
        <v>627</v>
      </c>
      <c r="L8" s="1835" t="s">
        <v>628</v>
      </c>
      <c r="M8" s="1485" t="s">
        <v>629</v>
      </c>
      <c r="N8" s="2055" t="s">
        <v>627</v>
      </c>
      <c r="O8" s="1835" t="s">
        <v>628</v>
      </c>
      <c r="P8" s="1821" t="s">
        <v>629</v>
      </c>
      <c r="Q8" s="1486"/>
      <c r="R8" s="1486"/>
      <c r="S8" s="1486"/>
      <c r="T8" s="1486"/>
      <c r="U8" s="1486"/>
      <c r="V8" s="1486"/>
    </row>
    <row r="9" spans="2:22" ht="13.5" customHeight="1" x14ac:dyDescent="0.2">
      <c r="B9" s="1154"/>
      <c r="C9" s="2280"/>
      <c r="D9" s="2283"/>
      <c r="E9" s="2011"/>
      <c r="F9" s="1842"/>
      <c r="G9" s="1487"/>
      <c r="H9" s="2011"/>
      <c r="I9" s="1842"/>
      <c r="J9" s="1512"/>
      <c r="K9" s="2011"/>
      <c r="L9" s="1842"/>
      <c r="M9" s="1487"/>
      <c r="N9" s="2011"/>
      <c r="O9" s="1842"/>
      <c r="P9" s="1862"/>
      <c r="Q9" s="1486"/>
      <c r="R9" s="1486"/>
      <c r="S9" s="1486"/>
      <c r="T9" s="1486"/>
      <c r="U9" s="1486"/>
      <c r="V9" s="1486"/>
    </row>
    <row r="10" spans="2:22" ht="40" customHeight="1" x14ac:dyDescent="0.2">
      <c r="B10" s="8" t="s">
        <v>28</v>
      </c>
      <c r="C10" s="647">
        <f>+SUM(C11:C45)</f>
        <v>1127.4155729148408</v>
      </c>
      <c r="D10" s="649"/>
      <c r="E10" s="644">
        <f>F10+G10</f>
        <v>135.29200400789469</v>
      </c>
      <c r="F10" s="646">
        <f>+SUM(F11:F45)</f>
        <v>68.314903681171444</v>
      </c>
      <c r="G10" s="429">
        <f>+SUM(G11:G45)</f>
        <v>66.977100326723246</v>
      </c>
      <c r="H10" s="644">
        <f>I10+J10</f>
        <v>185.69430920450685</v>
      </c>
      <c r="I10" s="646">
        <f>+SUM(I11:I45)</f>
        <v>110.45333930824007</v>
      </c>
      <c r="J10" s="431">
        <f>+SUM(J11:J45)</f>
        <v>75.240969896266762</v>
      </c>
      <c r="K10" s="21">
        <f t="shared" ref="K10:P10" si="0">+E10/$C10</f>
        <v>0.12000189394058862</v>
      </c>
      <c r="L10" s="260">
        <f t="shared" si="0"/>
        <v>6.059425230800107E-2</v>
      </c>
      <c r="M10" s="426">
        <f t="shared" si="0"/>
        <v>5.9407641632587556E-2</v>
      </c>
      <c r="N10" s="21">
        <f t="shared" si="0"/>
        <v>0.1647079512343522</v>
      </c>
      <c r="O10" s="426">
        <f t="shared" si="0"/>
        <v>9.7970386396803083E-2</v>
      </c>
      <c r="P10" s="287">
        <f t="shared" si="0"/>
        <v>6.6737564837549113E-2</v>
      </c>
      <c r="Q10" s="246"/>
      <c r="R10" s="246"/>
      <c r="S10" s="246"/>
      <c r="T10" s="246"/>
      <c r="U10" s="246"/>
      <c r="V10" s="246"/>
    </row>
    <row r="11" spans="2:22" x14ac:dyDescent="0.2">
      <c r="B11" s="1155" t="s">
        <v>29</v>
      </c>
      <c r="C11" s="1502">
        <f>+TableA3!H10</f>
        <v>53.085816886912227</v>
      </c>
      <c r="D11" s="1513">
        <v>0.3</v>
      </c>
      <c r="E11" s="1514">
        <f>D11*TableC4!C11/(1000)</f>
        <v>3.8877283887920422</v>
      </c>
      <c r="F11" s="1515">
        <f>+D11*TableC4!D11/(1000)</f>
        <v>1.2344693651640188</v>
      </c>
      <c r="G11" s="1516">
        <f>+E11-F11</f>
        <v>2.6532590236280233</v>
      </c>
      <c r="H11" s="1514">
        <f>D11*TableC4!N11/(1000)</f>
        <v>0.52530310335034602</v>
      </c>
      <c r="I11" s="1515">
        <f>+D11*TableC4!O11/(1000)</f>
        <v>-4.6598298229805366E-2</v>
      </c>
      <c r="J11" s="1517">
        <f>+H11-I11</f>
        <v>0.57190140158015135</v>
      </c>
      <c r="K11" s="1183">
        <f t="shared" ref="K11:K53" si="1">+E11/$C11</f>
        <v>7.3234785047652198E-2</v>
      </c>
      <c r="L11" s="1184">
        <f t="shared" ref="L11:L53" si="2">+F11/$C11</f>
        <v>2.3254221891202825E-2</v>
      </c>
      <c r="M11" s="1492">
        <f t="shared" ref="M11:M53" si="3">+G11/$C11</f>
        <v>4.9980563156449373E-2</v>
      </c>
      <c r="N11" s="1183">
        <f t="shared" ref="N11:N53" si="4">+H11/$C11</f>
        <v>9.8953568797743082E-3</v>
      </c>
      <c r="O11" s="1492">
        <f t="shared" ref="O11:O53" si="5">+I11/$C11</f>
        <v>-8.7779186536910401E-4</v>
      </c>
      <c r="P11" s="1164">
        <f t="shared" ref="P11:P53" si="6">+J11/$C11</f>
        <v>1.077314874514341E-2</v>
      </c>
      <c r="Q11" s="9"/>
      <c r="R11" s="9"/>
      <c r="S11" s="9"/>
      <c r="T11" s="9"/>
      <c r="U11" s="9"/>
      <c r="V11" s="9"/>
    </row>
    <row r="12" spans="2:22" x14ac:dyDescent="0.2">
      <c r="B12" s="1155" t="s">
        <v>30</v>
      </c>
      <c r="C12" s="1502">
        <f>+TableA3!H11</f>
        <v>8.4946481984874556</v>
      </c>
      <c r="D12" s="1513">
        <v>0.25</v>
      </c>
      <c r="E12" s="1514">
        <f>D12*TableC4!C12/(1000)</f>
        <v>0.89735970006267607</v>
      </c>
      <c r="F12" s="1515">
        <f>+D12*TableC4!D12/(1000)</f>
        <v>0.51890783194770063</v>
      </c>
      <c r="G12" s="1516">
        <f t="shared" ref="G12:G45" si="7">+E12-F12</f>
        <v>0.37845186811497544</v>
      </c>
      <c r="H12" s="1514">
        <f>D12*TableC4!N12/(1000)</f>
        <v>0.55705975838640986</v>
      </c>
      <c r="I12" s="1515">
        <f>+D12*TableC4!O12/(1000)</f>
        <v>9.2685501576550491E-2</v>
      </c>
      <c r="J12" s="1517">
        <f t="shared" ref="J12:J45" si="8">+H12-I12</f>
        <v>0.46437425680985939</v>
      </c>
      <c r="K12" s="1183">
        <f t="shared" si="1"/>
        <v>0.10563824176055445</v>
      </c>
      <c r="L12" s="1184">
        <f t="shared" si="2"/>
        <v>6.1086441701034375E-2</v>
      </c>
      <c r="M12" s="1492">
        <f t="shared" si="3"/>
        <v>4.4551800059520065E-2</v>
      </c>
      <c r="N12" s="1183">
        <f t="shared" si="4"/>
        <v>6.5577731457507463E-2</v>
      </c>
      <c r="O12" s="1492">
        <f t="shared" si="5"/>
        <v>1.0911046509619307E-2</v>
      </c>
      <c r="P12" s="1164">
        <f t="shared" si="6"/>
        <v>5.466668494788815E-2</v>
      </c>
      <c r="Q12" s="9"/>
      <c r="R12" s="9"/>
      <c r="S12" s="9"/>
      <c r="T12" s="9"/>
      <c r="U12" s="9"/>
      <c r="V12" s="9"/>
    </row>
    <row r="13" spans="2:22" x14ac:dyDescent="0.2">
      <c r="B13" s="1155" t="s">
        <v>31</v>
      </c>
      <c r="C13" s="1502"/>
      <c r="D13" s="1518"/>
      <c r="E13" s="1514"/>
      <c r="F13" s="1515"/>
      <c r="G13" s="1516"/>
      <c r="H13" s="1514"/>
      <c r="I13" s="1515"/>
      <c r="J13" s="1517"/>
      <c r="K13" s="1183"/>
      <c r="L13" s="1184"/>
      <c r="M13" s="1492"/>
      <c r="N13" s="1183"/>
      <c r="O13" s="1492"/>
      <c r="P13" s="1164"/>
      <c r="Q13" s="958"/>
      <c r="R13" s="958"/>
      <c r="S13" s="958"/>
      <c r="T13" s="1519"/>
      <c r="U13" s="1519"/>
      <c r="V13" s="1519"/>
    </row>
    <row r="14" spans="2:22" x14ac:dyDescent="0.2">
      <c r="B14" s="1155" t="s">
        <v>32</v>
      </c>
      <c r="C14" s="1502">
        <f>+TableA3!H13</f>
        <v>49.479398763816377</v>
      </c>
      <c r="D14" s="1513">
        <v>0.26500000000000001</v>
      </c>
      <c r="E14" s="1514">
        <f>D14*TableC4!C14/(1000)</f>
        <v>5.0127609994141498</v>
      </c>
      <c r="F14" s="1515">
        <f>+D14*TableC4!D14/(1000)</f>
        <v>0.88433131713595925</v>
      </c>
      <c r="G14" s="1516">
        <f t="shared" si="7"/>
        <v>4.1284296822781901</v>
      </c>
      <c r="H14" s="1514">
        <f>D14*TableC4!N14/(1000)</f>
        <v>4.35366277414981</v>
      </c>
      <c r="I14" s="1515">
        <f>+D14*TableC4!O14/(1000)</f>
        <v>1.1421144157970644</v>
      </c>
      <c r="J14" s="1517">
        <f t="shared" si="8"/>
        <v>3.2115483583527453</v>
      </c>
      <c r="K14" s="1183">
        <f t="shared" si="1"/>
        <v>0.10131006286761744</v>
      </c>
      <c r="L14" s="1184">
        <f t="shared" si="2"/>
        <v>1.78727175194105E-2</v>
      </c>
      <c r="M14" s="1492">
        <f t="shared" si="3"/>
        <v>8.3437345348206932E-2</v>
      </c>
      <c r="N14" s="1183">
        <f t="shared" si="4"/>
        <v>8.7989403325846094E-2</v>
      </c>
      <c r="O14" s="1492">
        <f t="shared" si="5"/>
        <v>2.3082625180002741E-2</v>
      </c>
      <c r="P14" s="1164">
        <f t="shared" si="6"/>
        <v>6.490677814584335E-2</v>
      </c>
      <c r="Q14" s="958"/>
      <c r="R14" s="958"/>
      <c r="S14" s="958"/>
      <c r="T14" s="1519"/>
      <c r="U14" s="1519"/>
      <c r="V14" s="1519"/>
    </row>
    <row r="15" spans="2:22" x14ac:dyDescent="0.2">
      <c r="B15" s="1155" t="s">
        <v>33</v>
      </c>
      <c r="C15" s="1502">
        <f>+TableA3!H14</f>
        <v>10.455405560058267</v>
      </c>
      <c r="D15" s="1513">
        <v>0.24</v>
      </c>
      <c r="E15" s="1514">
        <f>D15*TableC4!C15/(1000)</f>
        <v>1.2436594498947362</v>
      </c>
      <c r="F15" s="1515">
        <f>+D15*TableC4!D15/(1000)</f>
        <v>0.24195827884503829</v>
      </c>
      <c r="G15" s="1516">
        <f t="shared" si="7"/>
        <v>1.0017011710496979</v>
      </c>
      <c r="H15" s="1514">
        <f>D15*TableC4!N15/(1000)</f>
        <v>-2.5066010463943442E-2</v>
      </c>
      <c r="I15" s="1515">
        <f>+D15*TableC4!O15/(1000)</f>
        <v>-2.9218769900725621E-2</v>
      </c>
      <c r="J15" s="1517">
        <f t="shared" si="8"/>
        <v>4.1527594367821788E-3</v>
      </c>
      <c r="K15" s="1183">
        <f t="shared" si="1"/>
        <v>0.11894894394587266</v>
      </c>
      <c r="L15" s="1184">
        <f t="shared" si="2"/>
        <v>2.3141931458820413E-2</v>
      </c>
      <c r="M15" s="1492">
        <f t="shared" si="3"/>
        <v>9.5807012487052243E-2</v>
      </c>
      <c r="N15" s="1183">
        <f t="shared" si="4"/>
        <v>-2.3974211540583944E-3</v>
      </c>
      <c r="O15" s="1492">
        <f t="shared" si="5"/>
        <v>-2.7946089449028305E-3</v>
      </c>
      <c r="P15" s="1164">
        <f t="shared" si="6"/>
        <v>3.9718779084443623E-4</v>
      </c>
      <c r="Q15" s="958"/>
      <c r="R15" s="958"/>
      <c r="S15" s="958"/>
      <c r="T15" s="1520"/>
      <c r="U15" s="1520"/>
      <c r="V15" s="1520"/>
    </row>
    <row r="16" spans="2:22" x14ac:dyDescent="0.2">
      <c r="B16" s="1155" t="s">
        <v>34</v>
      </c>
      <c r="C16" s="1502">
        <f>+TableA3!H15</f>
        <v>6.7113169165099862</v>
      </c>
      <c r="D16" s="1513">
        <v>0.19</v>
      </c>
      <c r="E16" s="1514">
        <f>D16*TableC4!C16/(1000)</f>
        <v>0.33451941359786869</v>
      </c>
      <c r="F16" s="1515">
        <f>+D16*TableC4!D16/(1000)</f>
        <v>0.2677603018381865</v>
      </c>
      <c r="G16" s="1516">
        <f t="shared" si="7"/>
        <v>6.6759111759682188E-2</v>
      </c>
      <c r="H16" s="1514">
        <f>D16*TableC4!N16/(1000)</f>
        <v>8.971973284988416E-2</v>
      </c>
      <c r="I16" s="1515">
        <f>+D16*TableC4!O16/(1000)</f>
        <v>8.9694219098863756E-2</v>
      </c>
      <c r="J16" s="1517">
        <f t="shared" si="8"/>
        <v>2.551375102040343E-5</v>
      </c>
      <c r="K16" s="1183">
        <f t="shared" si="1"/>
        <v>4.9844079449585167E-2</v>
      </c>
      <c r="L16" s="1184">
        <f t="shared" si="2"/>
        <v>3.9896834729930622E-2</v>
      </c>
      <c r="M16" s="1492">
        <f t="shared" si="3"/>
        <v>9.9472447196545452E-3</v>
      </c>
      <c r="N16" s="1183">
        <f t="shared" si="4"/>
        <v>1.336842440403487E-2</v>
      </c>
      <c r="O16" s="1492">
        <f t="shared" si="5"/>
        <v>1.3364622802748895E-2</v>
      </c>
      <c r="P16" s="1164">
        <f t="shared" si="6"/>
        <v>3.801601285976981E-6</v>
      </c>
      <c r="Q16" s="958"/>
      <c r="R16" s="958"/>
      <c r="S16" s="958"/>
      <c r="T16" s="1520"/>
      <c r="U16" s="1520"/>
      <c r="V16" s="1520"/>
    </row>
    <row r="17" spans="1:22" x14ac:dyDescent="0.2">
      <c r="A17" s="958"/>
      <c r="B17" s="1155" t="s">
        <v>35</v>
      </c>
      <c r="C17" s="1502">
        <f>+TableA3!H16</f>
        <v>7.7284100389615968</v>
      </c>
      <c r="D17" s="1513">
        <v>0.22</v>
      </c>
      <c r="E17" s="1514">
        <f>D17*TableC4!C17/(1000)</f>
        <v>0.65158855790127423</v>
      </c>
      <c r="F17" s="1515">
        <f>+D17*TableC4!D17/(1000)</f>
        <v>0.512949566844071</v>
      </c>
      <c r="G17" s="1516">
        <f t="shared" si="7"/>
        <v>0.13863899105720323</v>
      </c>
      <c r="H17" s="1514">
        <f>D17*TableC4!N17/(1000)</f>
        <v>0.79966162240493699</v>
      </c>
      <c r="I17" s="1515">
        <f>+D17*TableC4!O17/(1000)</f>
        <v>0.46536055260963799</v>
      </c>
      <c r="J17" s="1517">
        <f t="shared" si="8"/>
        <v>0.334301069795299</v>
      </c>
      <c r="K17" s="1183">
        <f t="shared" si="1"/>
        <v>8.4310816146709378E-2</v>
      </c>
      <c r="L17" s="1184">
        <f t="shared" si="2"/>
        <v>6.6371939927891282E-2</v>
      </c>
      <c r="M17" s="1492">
        <f t="shared" si="3"/>
        <v>1.7938876218818098E-2</v>
      </c>
      <c r="N17" s="1183">
        <f t="shared" si="4"/>
        <v>0.1034703927940631</v>
      </c>
      <c r="O17" s="1492">
        <f t="shared" si="5"/>
        <v>6.0214267910682011E-2</v>
      </c>
      <c r="P17" s="1164">
        <f t="shared" si="6"/>
        <v>4.3256124883381097E-2</v>
      </c>
      <c r="Q17" s="9"/>
      <c r="R17" s="9"/>
      <c r="S17" s="9"/>
      <c r="T17" s="9"/>
      <c r="U17" s="9"/>
      <c r="V17" s="9"/>
    </row>
    <row r="18" spans="1:22" x14ac:dyDescent="0.2">
      <c r="A18" s="958"/>
      <c r="B18" s="1094" t="s">
        <v>36</v>
      </c>
      <c r="C18" s="1502">
        <f>+TableA3!H17</f>
        <v>0.47056592348104992</v>
      </c>
      <c r="D18" s="1513">
        <v>0.2</v>
      </c>
      <c r="E18" s="1514">
        <f>D18*TableC4!C18/(1000)</f>
        <v>4.8738699368325256E-2</v>
      </c>
      <c r="F18" s="1515">
        <f>+D18*TableC4!D18/(1000)</f>
        <v>3.4948440671618376E-2</v>
      </c>
      <c r="G18" s="1516">
        <f t="shared" si="7"/>
        <v>1.3790258696706879E-2</v>
      </c>
      <c r="H18" s="1514">
        <f>D18*TableC4!N18/(1000)</f>
        <v>-8.1112100429568603E-4</v>
      </c>
      <c r="I18" s="1515">
        <f>+D18*TableC4!O18/(1000)</f>
        <v>-8.1112100429568603E-4</v>
      </c>
      <c r="J18" s="1517">
        <f t="shared" si="8"/>
        <v>0</v>
      </c>
      <c r="K18" s="1183">
        <f t="shared" si="1"/>
        <v>0.10357464690128163</v>
      </c>
      <c r="L18" s="1184">
        <f t="shared" si="2"/>
        <v>7.4268957711779104E-2</v>
      </c>
      <c r="M18" s="1492">
        <f t="shared" si="3"/>
        <v>2.9305689189502531E-2</v>
      </c>
      <c r="N18" s="1183">
        <f t="shared" si="4"/>
        <v>-1.7237138598888591E-3</v>
      </c>
      <c r="O18" s="1492">
        <f t="shared" si="5"/>
        <v>-1.7237138598888591E-3</v>
      </c>
      <c r="P18" s="1164">
        <f t="shared" si="6"/>
        <v>0</v>
      </c>
      <c r="Q18" s="9"/>
      <c r="R18" s="9"/>
      <c r="S18" s="9"/>
      <c r="T18" s="9"/>
      <c r="U18" s="9"/>
      <c r="V18" s="9"/>
    </row>
    <row r="19" spans="1:22" x14ac:dyDescent="0.2">
      <c r="A19" s="958"/>
      <c r="B19" s="1155" t="s">
        <v>37</v>
      </c>
      <c r="C19" s="1502">
        <f>+TableA3!H18</f>
        <v>5.0429264278402366</v>
      </c>
      <c r="D19" s="1513">
        <v>0.2</v>
      </c>
      <c r="E19" s="1514">
        <f>D19*TableC4!C19/(1000)</f>
        <v>0.5429738731271827</v>
      </c>
      <c r="F19" s="1515">
        <f>+D19*TableC4!D19/(1000)</f>
        <v>0.34894532270502798</v>
      </c>
      <c r="G19" s="1516">
        <f t="shared" si="7"/>
        <v>0.19402855042215472</v>
      </c>
      <c r="H19" s="1514">
        <f>D19*TableC4!N19/(1000)</f>
        <v>0.45194076536135114</v>
      </c>
      <c r="I19" s="1515">
        <f>+D19*TableC4!O19/(1000)</f>
        <v>0.40811803463797436</v>
      </c>
      <c r="J19" s="1517">
        <f t="shared" si="8"/>
        <v>4.3822730723376779E-2</v>
      </c>
      <c r="K19" s="1183">
        <f t="shared" si="1"/>
        <v>0.10767039354958928</v>
      </c>
      <c r="L19" s="1184">
        <f t="shared" si="2"/>
        <v>6.9195005657552849E-2</v>
      </c>
      <c r="M19" s="1492">
        <f t="shared" si="3"/>
        <v>3.8475387892036424E-2</v>
      </c>
      <c r="N19" s="1183">
        <f t="shared" si="4"/>
        <v>8.9618750506916756E-2</v>
      </c>
      <c r="O19" s="1492">
        <f t="shared" si="5"/>
        <v>8.0928809983206798E-2</v>
      </c>
      <c r="P19" s="1164">
        <f t="shared" si="6"/>
        <v>8.6899405237099592E-3</v>
      </c>
      <c r="Q19" s="9"/>
      <c r="R19" s="9"/>
      <c r="S19" s="9"/>
      <c r="T19" s="9"/>
      <c r="U19" s="9"/>
      <c r="V19" s="9"/>
    </row>
    <row r="20" spans="1:22" x14ac:dyDescent="0.2">
      <c r="A20" s="958"/>
      <c r="B20" s="1094" t="s">
        <v>38</v>
      </c>
      <c r="C20" s="1502">
        <f>+TableA3!H19</f>
        <v>50.926955756000886</v>
      </c>
      <c r="D20" s="1890">
        <v>0.33329999999999999</v>
      </c>
      <c r="E20" s="1514">
        <f>D20*TableC4!C20/(1000)</f>
        <v>10.693640491484475</v>
      </c>
      <c r="F20" s="1515">
        <f>+D20*TableC4!D20/(1000)</f>
        <v>8.0644769078824545</v>
      </c>
      <c r="G20" s="1516">
        <f t="shared" si="7"/>
        <v>2.6291635836020202</v>
      </c>
      <c r="H20" s="1514">
        <f>D20*TableC4!N20/(1000)</f>
        <v>21.454470471450595</v>
      </c>
      <c r="I20" s="1515">
        <f>+D20*TableC4!O20/(1000)</f>
        <v>16.957608259440718</v>
      </c>
      <c r="J20" s="1517">
        <f t="shared" si="8"/>
        <v>4.4968622120098765</v>
      </c>
      <c r="K20" s="1183">
        <f t="shared" si="1"/>
        <v>0.20997996704769475</v>
      </c>
      <c r="L20" s="1184">
        <f t="shared" si="2"/>
        <v>0.15835379885105721</v>
      </c>
      <c r="M20" s="1492">
        <f t="shared" si="3"/>
        <v>5.162616819663754E-2</v>
      </c>
      <c r="N20" s="1183">
        <f t="shared" si="4"/>
        <v>0.42127926464409854</v>
      </c>
      <c r="O20" s="1492">
        <f t="shared" si="5"/>
        <v>0.33297902864422735</v>
      </c>
      <c r="P20" s="1164">
        <f t="shared" si="6"/>
        <v>8.8300235999871191E-2</v>
      </c>
      <c r="Q20" s="9"/>
      <c r="R20" s="9"/>
      <c r="S20" s="9"/>
      <c r="T20" s="9"/>
      <c r="U20" s="9"/>
      <c r="V20" s="9"/>
    </row>
    <row r="21" spans="1:22" x14ac:dyDescent="0.2">
      <c r="A21" s="958"/>
      <c r="B21" s="1155" t="s">
        <v>39</v>
      </c>
      <c r="C21" s="1502">
        <f>+TableA3!H20</f>
        <v>58.451143946880144</v>
      </c>
      <c r="D21" s="1513">
        <v>0.29719999999999996</v>
      </c>
      <c r="E21" s="1514">
        <f>D21*TableC4!C21/(1000)</f>
        <v>16.317569428841562</v>
      </c>
      <c r="F21" s="1515">
        <f>+D21*TableC4!D21/(1000)</f>
        <v>12.3589525503824</v>
      </c>
      <c r="G21" s="1516">
        <f t="shared" si="7"/>
        <v>3.9586168784591624</v>
      </c>
      <c r="H21" s="1514">
        <f>D21*TableC4!N21/(1000)</f>
        <v>10.59391712086977</v>
      </c>
      <c r="I21" s="1515">
        <f>+D21*TableC4!O21/(1000)</f>
        <v>7.540462574852338</v>
      </c>
      <c r="J21" s="1517">
        <f t="shared" si="8"/>
        <v>3.0534545460174325</v>
      </c>
      <c r="K21" s="1183">
        <f t="shared" si="1"/>
        <v>0.27916595513803488</v>
      </c>
      <c r="L21" s="1184">
        <f t="shared" si="2"/>
        <v>0.21144073008415543</v>
      </c>
      <c r="M21" s="1492">
        <f t="shared" si="3"/>
        <v>6.772522505387947E-2</v>
      </c>
      <c r="N21" s="1183">
        <f t="shared" si="4"/>
        <v>0.18124396556716535</v>
      </c>
      <c r="O21" s="1492">
        <f t="shared" si="5"/>
        <v>0.12900453379843241</v>
      </c>
      <c r="P21" s="1164">
        <f t="shared" si="6"/>
        <v>5.2239431768732934E-2</v>
      </c>
      <c r="Q21" s="9"/>
      <c r="R21" s="9"/>
      <c r="S21" s="9"/>
      <c r="T21" s="9"/>
      <c r="U21" s="9"/>
      <c r="V21" s="9"/>
    </row>
    <row r="22" spans="1:22" x14ac:dyDescent="0.2">
      <c r="A22" s="958"/>
      <c r="B22" s="1155" t="s">
        <v>40</v>
      </c>
      <c r="C22" s="1502">
        <f>+TableA3!H21</f>
        <v>4.2144535794574223</v>
      </c>
      <c r="D22" s="1513">
        <v>0.28999999999999998</v>
      </c>
      <c r="E22" s="1514">
        <f>D22*TableC4!C22/(1000)</f>
        <v>0.30348861345669476</v>
      </c>
      <c r="F22" s="1515">
        <f>+D22*TableC4!D22/(1000)</f>
        <v>0.26499839050506757</v>
      </c>
      <c r="G22" s="1516">
        <f t="shared" si="7"/>
        <v>3.8490222951627184E-2</v>
      </c>
      <c r="H22" s="1514">
        <f>D22*TableC4!N22/(1000)</f>
        <v>0.12747651758571021</v>
      </c>
      <c r="I22" s="1515">
        <f>+D22*TableC4!O22/(1000)</f>
        <v>0.12724458498060884</v>
      </c>
      <c r="J22" s="1517">
        <f t="shared" si="8"/>
        <v>2.3193260510137592E-4</v>
      </c>
      <c r="K22" s="1183">
        <f t="shared" si="1"/>
        <v>7.2011378873881565E-2</v>
      </c>
      <c r="L22" s="1184">
        <f t="shared" si="2"/>
        <v>6.2878469416949662E-2</v>
      </c>
      <c r="M22" s="1492">
        <f t="shared" si="3"/>
        <v>9.1329094569318984E-3</v>
      </c>
      <c r="N22" s="1183">
        <f t="shared" si="4"/>
        <v>3.0247460360477339E-2</v>
      </c>
      <c r="O22" s="1492">
        <f t="shared" si="5"/>
        <v>3.0192427697113364E-2</v>
      </c>
      <c r="P22" s="1164">
        <f t="shared" si="6"/>
        <v>5.503266336397408E-5</v>
      </c>
      <c r="Q22" s="9"/>
      <c r="R22" s="9"/>
      <c r="S22" s="9"/>
      <c r="T22" s="9"/>
      <c r="U22" s="9"/>
      <c r="V22" s="9"/>
    </row>
    <row r="23" spans="1:22" x14ac:dyDescent="0.2">
      <c r="A23" s="958"/>
      <c r="B23" s="1155" t="s">
        <v>41</v>
      </c>
      <c r="C23" s="1502">
        <f>+TableA3!H22</f>
        <v>2.1963860274046167</v>
      </c>
      <c r="D23" s="1513">
        <v>0.19</v>
      </c>
      <c r="E23" s="1514">
        <f>D23*TableC4!C23/(1000)</f>
        <v>0.45502892025811503</v>
      </c>
      <c r="F23" s="1515">
        <f>+D23*TableC4!D23/(1000)</f>
        <v>0.32099772929373677</v>
      </c>
      <c r="G23" s="1516">
        <f t="shared" si="7"/>
        <v>0.13403119096437827</v>
      </c>
      <c r="H23" s="1514">
        <f>D23*TableC4!N23/(1000)</f>
        <v>9.5032795452812416E-2</v>
      </c>
      <c r="I23" s="1515">
        <f>+D23*TableC4!O23/(1000)</f>
        <v>9.3709944120965866E-2</v>
      </c>
      <c r="J23" s="1517">
        <f t="shared" si="8"/>
        <v>1.3228513318465501E-3</v>
      </c>
      <c r="K23" s="1183">
        <f t="shared" si="1"/>
        <v>0.20717165133116644</v>
      </c>
      <c r="L23" s="1184">
        <f t="shared" si="2"/>
        <v>0.14614813848230823</v>
      </c>
      <c r="M23" s="1492">
        <f t="shared" si="3"/>
        <v>6.1023512848858208E-2</v>
      </c>
      <c r="N23" s="1183">
        <f t="shared" si="4"/>
        <v>4.3267801865006832E-2</v>
      </c>
      <c r="O23" s="1492">
        <f t="shared" si="5"/>
        <v>4.26655164218556E-2</v>
      </c>
      <c r="P23" s="1164">
        <f t="shared" si="6"/>
        <v>6.0228544315122582E-4</v>
      </c>
      <c r="Q23" s="9"/>
      <c r="R23" s="9"/>
      <c r="S23" s="9"/>
      <c r="T23" s="9"/>
      <c r="U23" s="9"/>
      <c r="V23" s="9"/>
    </row>
    <row r="24" spans="1:22" x14ac:dyDescent="0.2">
      <c r="A24" s="958"/>
      <c r="B24" s="1155" t="s">
        <v>42</v>
      </c>
      <c r="C24" s="1502">
        <f>+TableA3!H23</f>
        <v>0.3983029700639128</v>
      </c>
      <c r="D24" s="1513">
        <v>0.2</v>
      </c>
      <c r="E24" s="1514">
        <f>D24*TableC4!C24/(1000)</f>
        <v>8.7549352432114438E-2</v>
      </c>
      <c r="F24" s="1515">
        <f>+D24*TableC4!D24/(1000)</f>
        <v>6.752951827378699E-2</v>
      </c>
      <c r="G24" s="1516">
        <f t="shared" si="7"/>
        <v>2.0019834158327449E-2</v>
      </c>
      <c r="H24" s="1514">
        <f>D24*TableC4!N24/(1000)</f>
        <v>2.7408076677843392E-3</v>
      </c>
      <c r="I24" s="1515">
        <f>+D24*TableC4!O24/(1000)</f>
        <v>2.6035136986603678E-3</v>
      </c>
      <c r="J24" s="1517">
        <f t="shared" si="8"/>
        <v>1.3729396912397131E-4</v>
      </c>
      <c r="K24" s="1183">
        <f t="shared" si="1"/>
        <v>0.21980592416387462</v>
      </c>
      <c r="L24" s="1184">
        <f t="shared" si="2"/>
        <v>0.16954309495344969</v>
      </c>
      <c r="M24" s="1492">
        <f t="shared" si="3"/>
        <v>5.0262829210424943E-2</v>
      </c>
      <c r="N24" s="1183">
        <f t="shared" si="4"/>
        <v>6.8812132315873558E-3</v>
      </c>
      <c r="O24" s="1492">
        <f t="shared" si="5"/>
        <v>6.536515904570335E-3</v>
      </c>
      <c r="P24" s="1164">
        <f t="shared" si="6"/>
        <v>3.4469732701702108E-4</v>
      </c>
      <c r="Q24" s="9"/>
      <c r="R24" s="9"/>
      <c r="S24" s="9"/>
      <c r="T24" s="9"/>
      <c r="U24" s="9"/>
      <c r="V24" s="9"/>
    </row>
    <row r="25" spans="1:22" x14ac:dyDescent="0.2">
      <c r="A25" s="958"/>
      <c r="B25" s="1155" t="s">
        <v>43</v>
      </c>
      <c r="C25" s="1502"/>
      <c r="D25" s="1518"/>
      <c r="E25" s="1514"/>
      <c r="F25" s="1515"/>
      <c r="G25" s="1516"/>
      <c r="H25" s="1514"/>
      <c r="I25" s="1515"/>
      <c r="J25" s="1517"/>
      <c r="K25" s="1183"/>
      <c r="L25" s="1184"/>
      <c r="M25" s="1492"/>
      <c r="N25" s="1183"/>
      <c r="O25" s="1492"/>
      <c r="P25" s="1164"/>
      <c r="Q25" s="9"/>
      <c r="R25" s="9"/>
      <c r="S25" s="9"/>
      <c r="T25" s="9"/>
      <c r="U25" s="9"/>
      <c r="V25" s="9"/>
    </row>
    <row r="26" spans="1:22" x14ac:dyDescent="0.2">
      <c r="A26" s="958"/>
      <c r="B26" s="1155" t="s">
        <v>44</v>
      </c>
      <c r="C26" s="1502">
        <f>+TableA3!H25</f>
        <v>8.9214020772181364</v>
      </c>
      <c r="D26" s="1513">
        <v>0.25</v>
      </c>
      <c r="E26" s="1514">
        <f>D26*TableC4!C26/(1000)</f>
        <v>0.17016457999789139</v>
      </c>
      <c r="F26" s="1515">
        <f>+D26*TableC4!D26/(1000)</f>
        <v>6.945206882822845E-2</v>
      </c>
      <c r="G26" s="1516">
        <f t="shared" si="7"/>
        <v>0.10071251116966294</v>
      </c>
      <c r="H26" s="1514">
        <f>D26*TableC4!N26/(1000)</f>
        <v>0.13353438528307834</v>
      </c>
      <c r="I26" s="1515">
        <f>+D26*TableC4!O26/(1000)</f>
        <v>1.6529625637249069E-2</v>
      </c>
      <c r="J26" s="1517">
        <f t="shared" si="8"/>
        <v>0.11700475964582928</v>
      </c>
      <c r="K26" s="1183">
        <f t="shared" si="1"/>
        <v>1.9073748557127242E-2</v>
      </c>
      <c r="L26" s="1184">
        <f t="shared" si="2"/>
        <v>7.7848827154178585E-3</v>
      </c>
      <c r="M26" s="1492">
        <f t="shared" si="3"/>
        <v>1.1288865841709381E-2</v>
      </c>
      <c r="N26" s="1183">
        <f t="shared" si="4"/>
        <v>1.4967869862526913E-2</v>
      </c>
      <c r="O26" s="1492">
        <f t="shared" si="5"/>
        <v>1.8528058139492937E-3</v>
      </c>
      <c r="P26" s="1164">
        <f t="shared" si="6"/>
        <v>1.311506404857762E-2</v>
      </c>
      <c r="Q26" s="9"/>
      <c r="R26" s="9"/>
      <c r="S26" s="9"/>
      <c r="T26" s="9"/>
      <c r="U26" s="9"/>
      <c r="V26" s="9"/>
    </row>
    <row r="27" spans="1:22" x14ac:dyDescent="0.2">
      <c r="A27" s="958"/>
      <c r="B27" s="1155" t="s">
        <v>45</v>
      </c>
      <c r="C27" s="1502">
        <f>+TableA3!H26</f>
        <v>37.286823510883821</v>
      </c>
      <c r="D27" s="1513">
        <v>0.314</v>
      </c>
      <c r="E27" s="1514">
        <f>D27*TableC4!C27/(1000)</f>
        <v>7.128579649914653</v>
      </c>
      <c r="F27" s="1515">
        <f>+D27*TableC4!D27/(1000)</f>
        <v>6.1083119091877878</v>
      </c>
      <c r="G27" s="1516">
        <f t="shared" si="7"/>
        <v>1.0202677407268652</v>
      </c>
      <c r="H27" s="1514">
        <f>D27*TableC4!N27/(1000)</f>
        <v>1.1754738652473677</v>
      </c>
      <c r="I27" s="1515">
        <f>+D27*TableC4!O27/(1000)</f>
        <v>0.79148438861320891</v>
      </c>
      <c r="J27" s="1517">
        <f t="shared" si="8"/>
        <v>0.38398947663415883</v>
      </c>
      <c r="K27" s="1183">
        <f t="shared" si="1"/>
        <v>0.19118227241411057</v>
      </c>
      <c r="L27" s="1184">
        <f t="shared" si="2"/>
        <v>0.16381958381101583</v>
      </c>
      <c r="M27" s="1492">
        <f t="shared" si="3"/>
        <v>2.7362688603094727E-2</v>
      </c>
      <c r="N27" s="1183">
        <f t="shared" si="4"/>
        <v>3.1525181138164084E-2</v>
      </c>
      <c r="O27" s="1492">
        <f t="shared" si="5"/>
        <v>2.1226919165752454E-2</v>
      </c>
      <c r="P27" s="1164">
        <f t="shared" si="6"/>
        <v>1.0298261972411632E-2</v>
      </c>
      <c r="Q27" s="9"/>
      <c r="R27" s="9"/>
      <c r="S27" s="9"/>
      <c r="T27" s="9"/>
      <c r="U27" s="9"/>
      <c r="V27" s="9"/>
    </row>
    <row r="28" spans="1:22" x14ac:dyDescent="0.2">
      <c r="A28" s="958"/>
      <c r="B28" s="1155" t="s">
        <v>46</v>
      </c>
      <c r="C28" s="1502">
        <f>+TableA3!H27</f>
        <v>166.10688689066282</v>
      </c>
      <c r="D28" s="1513">
        <v>0.33860000000000001</v>
      </c>
      <c r="E28" s="1514">
        <f>D28*TableC4!C28/(1000)</f>
        <v>2.8965109563043363</v>
      </c>
      <c r="F28" s="1515">
        <f>+D28*TableC4!D28/(1000)</f>
        <v>1.5385683449875898</v>
      </c>
      <c r="G28" s="1516">
        <f t="shared" si="7"/>
        <v>1.3579426113167465</v>
      </c>
      <c r="H28" s="1514">
        <f>D28*TableC4!N28/(1000)</f>
        <v>6.53371574360997</v>
      </c>
      <c r="I28" s="1515">
        <f>+D28*TableC4!O28/(1000)</f>
        <v>2.8743557692979285</v>
      </c>
      <c r="J28" s="1517">
        <f t="shared" si="8"/>
        <v>3.6593599743120415</v>
      </c>
      <c r="K28" s="1183">
        <f t="shared" si="1"/>
        <v>1.7437633144078594E-2</v>
      </c>
      <c r="L28" s="1184">
        <f t="shared" si="2"/>
        <v>9.2625198978072924E-3</v>
      </c>
      <c r="M28" s="1492">
        <f t="shared" si="3"/>
        <v>8.1751132462713014E-3</v>
      </c>
      <c r="N28" s="1183">
        <f t="shared" si="4"/>
        <v>3.9334406091847851E-2</v>
      </c>
      <c r="O28" s="1492">
        <f t="shared" si="5"/>
        <v>1.7304254044505252E-2</v>
      </c>
      <c r="P28" s="1164">
        <f t="shared" si="6"/>
        <v>2.2030152047342603E-2</v>
      </c>
      <c r="Q28" s="9"/>
      <c r="R28" s="9"/>
      <c r="S28" s="9"/>
      <c r="T28" s="9"/>
      <c r="U28" s="9"/>
      <c r="V28" s="9"/>
    </row>
    <row r="29" spans="1:22" x14ac:dyDescent="0.2">
      <c r="A29" s="958" t="s">
        <v>637</v>
      </c>
      <c r="B29" s="1155" t="s">
        <v>47</v>
      </c>
      <c r="C29" s="1502">
        <f>+TableA3!H28</f>
        <v>45.573671217315002</v>
      </c>
      <c r="D29" s="1513">
        <v>0.24199999999999999</v>
      </c>
      <c r="E29" s="1514">
        <f>D29*TableC4!C29/(1000)</f>
        <v>1.1699809090485687</v>
      </c>
      <c r="F29" s="1515">
        <f>+D29*TableC4!D29/(1000)</f>
        <v>0.28007610191739396</v>
      </c>
      <c r="G29" s="1516">
        <f t="shared" si="7"/>
        <v>0.8899048071311747</v>
      </c>
      <c r="H29" s="1514">
        <f>D29*TableC4!N29/(1000)</f>
        <v>0.37882859255592366</v>
      </c>
      <c r="I29" s="1515">
        <f>+D29*TableC4!O29/(1000)</f>
        <v>0.1887066598291669</v>
      </c>
      <c r="J29" s="1517">
        <f t="shared" si="8"/>
        <v>0.19012193272675676</v>
      </c>
      <c r="K29" s="1183">
        <f t="shared" si="1"/>
        <v>2.5672298890945015E-2</v>
      </c>
      <c r="L29" s="1184">
        <f t="shared" si="2"/>
        <v>6.1455681413478801E-3</v>
      </c>
      <c r="M29" s="1492">
        <f t="shared" si="3"/>
        <v>1.9526730749597133E-2</v>
      </c>
      <c r="N29" s="1183">
        <f t="shared" si="4"/>
        <v>8.3124440589722268E-3</v>
      </c>
      <c r="O29" s="1492">
        <f t="shared" si="5"/>
        <v>4.1406947210667275E-3</v>
      </c>
      <c r="P29" s="1164">
        <f t="shared" si="6"/>
        <v>4.1717493379054994E-3</v>
      </c>
      <c r="Q29" s="9"/>
      <c r="R29" s="9"/>
      <c r="S29" s="9"/>
      <c r="T29" s="9"/>
      <c r="U29" s="9"/>
      <c r="V29" s="9"/>
    </row>
    <row r="30" spans="1:22" x14ac:dyDescent="0.2">
      <c r="A30" s="958"/>
      <c r="B30" s="1154" t="s">
        <v>48</v>
      </c>
      <c r="C30" s="1502">
        <f>+TableA3!H29</f>
        <v>0.43100773130418485</v>
      </c>
      <c r="D30" s="1513">
        <v>0.15</v>
      </c>
      <c r="E30" s="1514">
        <f>D30*TableC4!C30/(1000)</f>
        <v>3.0146845091089225E-2</v>
      </c>
      <c r="F30" s="1515">
        <f>+D30*TableC4!D30/(1000)</f>
        <v>2.1106266911886482E-2</v>
      </c>
      <c r="G30" s="1516">
        <f t="shared" si="7"/>
        <v>9.0405781792027434E-3</v>
      </c>
      <c r="H30" s="1514">
        <f>D30*TableC4!N30/(1000)</f>
        <v>-1.9463857993347002E-4</v>
      </c>
      <c r="I30" s="1515">
        <f>+D30*TableC4!O30/(1000)</f>
        <v>-2.0738487796372884E-4</v>
      </c>
      <c r="J30" s="1517">
        <f t="shared" si="8"/>
        <v>1.2746298030258814E-5</v>
      </c>
      <c r="K30" s="1183">
        <f t="shared" si="1"/>
        <v>6.9945021635384561E-2</v>
      </c>
      <c r="L30" s="1184">
        <f t="shared" si="2"/>
        <v>4.896957845285304E-2</v>
      </c>
      <c r="M30" s="1492">
        <f t="shared" si="3"/>
        <v>2.0975443182531524E-2</v>
      </c>
      <c r="N30" s="1183">
        <f t="shared" si="4"/>
        <v>-4.5158953261583914E-4</v>
      </c>
      <c r="O30" s="1492">
        <f t="shared" si="5"/>
        <v>-4.8116277946152759E-4</v>
      </c>
      <c r="P30" s="1164">
        <f t="shared" si="6"/>
        <v>2.9573246845688437E-5</v>
      </c>
      <c r="Q30" s="9"/>
      <c r="R30" s="9"/>
      <c r="S30" s="9"/>
      <c r="T30" s="9"/>
      <c r="U30" s="9"/>
      <c r="V30" s="9"/>
    </row>
    <row r="31" spans="1:22" x14ac:dyDescent="0.2">
      <c r="A31" s="958"/>
      <c r="B31" s="1154" t="s">
        <v>49</v>
      </c>
      <c r="C31" s="1214"/>
      <c r="D31" s="1867"/>
      <c r="E31" s="1514"/>
      <c r="F31" s="1515"/>
      <c r="G31" s="1516"/>
      <c r="H31" s="1514"/>
      <c r="I31" s="1515"/>
      <c r="J31" s="1517"/>
      <c r="K31" s="1183"/>
      <c r="L31" s="1184"/>
      <c r="M31" s="1492"/>
      <c r="N31" s="1183"/>
      <c r="O31" s="1492"/>
      <c r="P31" s="1164"/>
      <c r="Q31" s="9"/>
      <c r="R31" s="9"/>
      <c r="S31" s="9"/>
      <c r="T31" s="9"/>
      <c r="U31" s="9"/>
      <c r="V31" s="9"/>
    </row>
    <row r="32" spans="1:22" x14ac:dyDescent="0.2">
      <c r="A32" s="958"/>
      <c r="B32" s="1154" t="s">
        <v>50</v>
      </c>
      <c r="C32" s="1502">
        <f>+TableA3!H31</f>
        <v>37.382194532689283</v>
      </c>
      <c r="D32" s="1513">
        <v>0.3</v>
      </c>
      <c r="E32" s="1514">
        <f>D32*TableC4!C32/(1000)</f>
        <v>3.9287668656222849</v>
      </c>
      <c r="F32" s="1515">
        <f>+D32*TableC4!D32/(1000)</f>
        <v>1.2112360557561255</v>
      </c>
      <c r="G32" s="1516">
        <f t="shared" si="7"/>
        <v>2.7175308098661595</v>
      </c>
      <c r="H32" s="1514">
        <f>D32*TableC4!N32/(1000)</f>
        <v>1.0907054651436583</v>
      </c>
      <c r="I32" s="1515">
        <f>+D32*TableC4!O32/(1000)</f>
        <v>0.90199920552108459</v>
      </c>
      <c r="J32" s="1517">
        <f t="shared" si="8"/>
        <v>0.1887062596225737</v>
      </c>
      <c r="K32" s="1183">
        <f t="shared" si="1"/>
        <v>0.10509727731973387</v>
      </c>
      <c r="L32" s="1184">
        <f t="shared" si="2"/>
        <v>3.2401416527243911E-2</v>
      </c>
      <c r="M32" s="1492">
        <f t="shared" si="3"/>
        <v>7.2695860792489964E-2</v>
      </c>
      <c r="N32" s="1183">
        <f t="shared" si="4"/>
        <v>2.9177138441936E-2</v>
      </c>
      <c r="O32" s="1492">
        <f t="shared" si="5"/>
        <v>2.4129113252896944E-2</v>
      </c>
      <c r="P32" s="1164">
        <f t="shared" si="6"/>
        <v>5.048025189039059E-3</v>
      </c>
      <c r="Q32" s="9"/>
      <c r="R32" s="9"/>
      <c r="S32" s="9"/>
      <c r="T32" s="9"/>
      <c r="U32" s="9"/>
      <c r="V32" s="9"/>
    </row>
    <row r="33" spans="1:22" x14ac:dyDescent="0.2">
      <c r="A33" s="958"/>
      <c r="B33" s="1154" t="s">
        <v>51</v>
      </c>
      <c r="C33" s="1214"/>
      <c r="D33" s="1867"/>
      <c r="E33" s="1514"/>
      <c r="F33" s="1515"/>
      <c r="G33" s="1516"/>
      <c r="H33" s="1514"/>
      <c r="I33" s="1515"/>
      <c r="J33" s="1517"/>
      <c r="K33" s="1183"/>
      <c r="L33" s="1184"/>
      <c r="M33" s="1492"/>
      <c r="N33" s="1183"/>
      <c r="O33" s="1492"/>
      <c r="P33" s="1164"/>
      <c r="Q33" s="9"/>
      <c r="R33" s="9"/>
      <c r="S33" s="9"/>
      <c r="T33" s="9"/>
      <c r="U33" s="9"/>
      <c r="V33" s="9"/>
    </row>
    <row r="34" spans="1:22" x14ac:dyDescent="0.2">
      <c r="A34" s="958"/>
      <c r="B34" s="1154" t="s">
        <v>52</v>
      </c>
      <c r="C34" s="1502">
        <f>+TableA3!H33</f>
        <v>7.9548109276661032</v>
      </c>
      <c r="D34" s="1513">
        <v>0.28000000000000003</v>
      </c>
      <c r="E34" s="1514">
        <f>D34*TableC4!C34/(1000)</f>
        <v>0.42656415068203546</v>
      </c>
      <c r="F34" s="1515">
        <f>+D34*TableC4!D34/(1000)</f>
        <v>0.14021066991865599</v>
      </c>
      <c r="G34" s="1516">
        <f t="shared" si="7"/>
        <v>0.28635348076337946</v>
      </c>
      <c r="H34" s="1514">
        <f>D34*TableC4!N34/(1000)</f>
        <v>0.1859742871829152</v>
      </c>
      <c r="I34" s="1515">
        <f>+D34*TableC4!O34/(1000)</f>
        <v>-3.038082833569989E-2</v>
      </c>
      <c r="J34" s="1517">
        <f t="shared" si="8"/>
        <v>0.21635511551861508</v>
      </c>
      <c r="K34" s="1183">
        <f t="shared" si="1"/>
        <v>5.3623417899033209E-2</v>
      </c>
      <c r="L34" s="1184">
        <f t="shared" si="2"/>
        <v>1.7625895975857345E-2</v>
      </c>
      <c r="M34" s="1492">
        <f t="shared" si="3"/>
        <v>3.599752192317586E-2</v>
      </c>
      <c r="N34" s="1183">
        <f t="shared" si="4"/>
        <v>2.337884443439299E-2</v>
      </c>
      <c r="O34" s="1492">
        <f t="shared" si="5"/>
        <v>-3.8191766733308712E-3</v>
      </c>
      <c r="P34" s="1164">
        <f t="shared" si="6"/>
        <v>2.7198021107723857E-2</v>
      </c>
      <c r="Q34" s="9"/>
      <c r="R34" s="9"/>
      <c r="S34" s="9"/>
      <c r="T34" s="9"/>
      <c r="U34" s="9"/>
      <c r="V34" s="9"/>
    </row>
    <row r="35" spans="1:22" x14ac:dyDescent="0.2">
      <c r="A35" s="958"/>
      <c r="B35" s="1154" t="s">
        <v>53</v>
      </c>
      <c r="C35" s="1502">
        <f>+TableA3!H34</f>
        <v>16.980179105913855</v>
      </c>
      <c r="D35" s="1513">
        <v>0.27</v>
      </c>
      <c r="E35" s="1514">
        <f>D35*TableC4!C35/(1000)</f>
        <v>1.4082294707463936</v>
      </c>
      <c r="F35" s="1515">
        <f>+D35*TableC4!D35/(1000)</f>
        <v>0.79480198304387129</v>
      </c>
      <c r="G35" s="1516">
        <f t="shared" si="7"/>
        <v>0.61342748770252231</v>
      </c>
      <c r="H35" s="1514">
        <f>D35*TableC4!N35/(1000)</f>
        <v>1.4666467768775731</v>
      </c>
      <c r="I35" s="1515">
        <f>+D35*TableC4!O35/(1000)</f>
        <v>1.0366576337778635</v>
      </c>
      <c r="J35" s="1517">
        <f t="shared" si="8"/>
        <v>0.42998914309970959</v>
      </c>
      <c r="K35" s="1183">
        <f t="shared" si="1"/>
        <v>8.2933723016851785E-2</v>
      </c>
      <c r="L35" s="1184">
        <f t="shared" si="2"/>
        <v>4.6807632480570106E-2</v>
      </c>
      <c r="M35" s="1492">
        <f t="shared" si="3"/>
        <v>3.6126090536281671E-2</v>
      </c>
      <c r="N35" s="1183">
        <f t="shared" si="4"/>
        <v>8.6374046335398746E-2</v>
      </c>
      <c r="O35" s="1492">
        <f t="shared" si="5"/>
        <v>6.1051042354247985E-2</v>
      </c>
      <c r="P35" s="1164">
        <f t="shared" si="6"/>
        <v>2.5323003981150765E-2</v>
      </c>
      <c r="Q35" s="9"/>
      <c r="R35" s="9"/>
      <c r="S35" s="9"/>
      <c r="T35" s="9"/>
      <c r="U35" s="9"/>
      <c r="V35" s="9"/>
    </row>
    <row r="36" spans="1:22" x14ac:dyDescent="0.2">
      <c r="A36" s="958"/>
      <c r="B36" s="1154" t="s">
        <v>54</v>
      </c>
      <c r="C36" s="1502">
        <f>+TableA3!H35</f>
        <v>8.7820665870805144</v>
      </c>
      <c r="D36" s="1513">
        <v>0.19</v>
      </c>
      <c r="E36" s="1514">
        <f>D36*TableC4!C36/(1000)</f>
        <v>0.70221461489869563</v>
      </c>
      <c r="F36" s="1515">
        <f>+D36*TableC4!D36/(1000)</f>
        <v>0.48651642862878441</v>
      </c>
      <c r="G36" s="1516">
        <f t="shared" si="7"/>
        <v>0.21569818626991122</v>
      </c>
      <c r="H36" s="1514">
        <f>D36*TableC4!N36/(1000)</f>
        <v>-0.48012547181952858</v>
      </c>
      <c r="I36" s="1515">
        <f>+D36*TableC4!O36/(1000)</f>
        <v>-0.48047458555377975</v>
      </c>
      <c r="J36" s="1517">
        <f t="shared" si="8"/>
        <v>3.4911373425117187E-4</v>
      </c>
      <c r="K36" s="1183">
        <f t="shared" si="1"/>
        <v>7.996006497283209E-2</v>
      </c>
      <c r="L36" s="1184">
        <f t="shared" si="2"/>
        <v>5.5398854450102793E-2</v>
      </c>
      <c r="M36" s="1492">
        <f t="shared" si="3"/>
        <v>2.4561210522729287E-2</v>
      </c>
      <c r="N36" s="1183">
        <f t="shared" si="4"/>
        <v>-5.4671126329860834E-2</v>
      </c>
      <c r="O36" s="1492">
        <f t="shared" si="5"/>
        <v>-5.4710879357327602E-2</v>
      </c>
      <c r="P36" s="1164">
        <f t="shared" si="6"/>
        <v>3.975302746676512E-5</v>
      </c>
      <c r="Q36" s="9"/>
      <c r="R36" s="9"/>
      <c r="S36" s="9"/>
      <c r="T36" s="9"/>
      <c r="U36" s="9"/>
      <c r="V36" s="9"/>
    </row>
    <row r="37" spans="1:22" x14ac:dyDescent="0.2">
      <c r="A37" s="958"/>
      <c r="B37" s="1154" t="s">
        <v>55</v>
      </c>
      <c r="C37" s="1502">
        <f>+TableA3!H36</f>
        <v>6.2258326041219583</v>
      </c>
      <c r="D37" s="1513">
        <v>0.21</v>
      </c>
      <c r="E37" s="1514">
        <f>D37*TableC4!C37/(1000)</f>
        <v>0.55401828129230823</v>
      </c>
      <c r="F37" s="1515">
        <f>+D37*TableC4!D37/(1000)</f>
        <v>0.49494758221281709</v>
      </c>
      <c r="G37" s="1516">
        <f t="shared" si="7"/>
        <v>5.907069907949114E-2</v>
      </c>
      <c r="H37" s="1514">
        <f>D37*TableC4!N37/(1000)</f>
        <v>5.8380833696366548E-2</v>
      </c>
      <c r="I37" s="1515">
        <f>+D37*TableC4!O37/(1000)</f>
        <v>6.6688516940348992E-4</v>
      </c>
      <c r="J37" s="1517">
        <f t="shared" si="8"/>
        <v>5.7713948526963058E-2</v>
      </c>
      <c r="K37" s="1183">
        <f t="shared" si="1"/>
        <v>8.8987018527531159E-2</v>
      </c>
      <c r="L37" s="1184">
        <f t="shared" si="2"/>
        <v>7.9499018634893184E-2</v>
      </c>
      <c r="M37" s="1492">
        <f t="shared" si="3"/>
        <v>9.4879998926379744E-3</v>
      </c>
      <c r="N37" s="1183">
        <f t="shared" si="4"/>
        <v>9.3771929649560694E-3</v>
      </c>
      <c r="O37" s="1492">
        <f t="shared" si="5"/>
        <v>1.0711582077583695E-4</v>
      </c>
      <c r="P37" s="1164">
        <f t="shared" si="6"/>
        <v>9.2700771441802318E-3</v>
      </c>
      <c r="Q37" s="9"/>
      <c r="R37" s="9"/>
      <c r="S37" s="9"/>
      <c r="T37" s="9"/>
      <c r="U37" s="9"/>
      <c r="V37" s="9"/>
    </row>
    <row r="38" spans="1:22" x14ac:dyDescent="0.2">
      <c r="A38" s="958" t="s">
        <v>336</v>
      </c>
      <c r="B38" s="1154" t="s">
        <v>56</v>
      </c>
      <c r="C38" s="1502">
        <f>+TableA3!H37</f>
        <v>2.9169999999999998</v>
      </c>
      <c r="D38" s="1513">
        <v>0.22</v>
      </c>
      <c r="E38" s="1514">
        <f>D38*TableC4!C38/(1000)</f>
        <v>0.14009898329065634</v>
      </c>
      <c r="F38" s="1515">
        <f>+D38*TableC4!D38/(1000)</f>
        <v>0.11777605114149546</v>
      </c>
      <c r="G38" s="1516">
        <f t="shared" si="7"/>
        <v>2.2322932149160882E-2</v>
      </c>
      <c r="H38" s="1514">
        <f>D38*TableC4!N38/(1000)</f>
        <v>1.9783614702909954E-2</v>
      </c>
      <c r="I38" s="1515">
        <f>+D38*TableC4!O38/(1000)</f>
        <v>1.9003668919639376E-2</v>
      </c>
      <c r="J38" s="1517">
        <f t="shared" si="8"/>
        <v>7.7994578327057751E-4</v>
      </c>
      <c r="K38" s="1183">
        <f t="shared" si="1"/>
        <v>4.8028448162720727E-2</v>
      </c>
      <c r="L38" s="1184">
        <f t="shared" si="2"/>
        <v>4.0375746020396112E-2</v>
      </c>
      <c r="M38" s="1492">
        <f t="shared" si="3"/>
        <v>7.6527021423246086E-3</v>
      </c>
      <c r="N38" s="1183">
        <f t="shared" si="4"/>
        <v>6.7821785063112636E-3</v>
      </c>
      <c r="O38" s="1492">
        <f t="shared" si="5"/>
        <v>6.5147990811242297E-3</v>
      </c>
      <c r="P38" s="1164">
        <f t="shared" si="6"/>
        <v>2.6737942518703379E-4</v>
      </c>
      <c r="Q38" s="9"/>
      <c r="R38" s="9"/>
      <c r="S38" s="9"/>
      <c r="T38" s="9"/>
      <c r="U38" s="9"/>
      <c r="V38" s="9"/>
    </row>
    <row r="39" spans="1:22" x14ac:dyDescent="0.2">
      <c r="A39" s="958"/>
      <c r="B39" s="1154" t="s">
        <v>57</v>
      </c>
      <c r="C39" s="1502">
        <f>+TableA3!H38</f>
        <v>0.62991330425360359</v>
      </c>
      <c r="D39" s="1513">
        <v>0.17</v>
      </c>
      <c r="E39" s="1514">
        <f>D39*TableC4!C39/(1000)</f>
        <v>3.8300831716674075E-2</v>
      </c>
      <c r="F39" s="1515">
        <f>+D39*TableC4!D39/(1000)</f>
        <v>1.9567108632217611E-2</v>
      </c>
      <c r="G39" s="1516">
        <f t="shared" si="7"/>
        <v>1.8733723084456463E-2</v>
      </c>
      <c r="H39" s="1514">
        <f>D39*TableC4!N39/(1000)</f>
        <v>-1.1996110828804041E-3</v>
      </c>
      <c r="I39" s="1515">
        <f>+D39*TableC4!O39/(1000)</f>
        <v>-1.2890368977857367E-3</v>
      </c>
      <c r="J39" s="1517">
        <f t="shared" si="8"/>
        <v>8.9425814905332631E-5</v>
      </c>
      <c r="K39" s="1183">
        <f t="shared" si="1"/>
        <v>6.0803338265822897E-2</v>
      </c>
      <c r="L39" s="1184">
        <f t="shared" si="2"/>
        <v>3.1063177265962107E-2</v>
      </c>
      <c r="M39" s="1492">
        <f t="shared" si="3"/>
        <v>2.9740160999860786E-2</v>
      </c>
      <c r="N39" s="1183">
        <f t="shared" si="4"/>
        <v>-1.9044066457714311E-3</v>
      </c>
      <c r="O39" s="1492">
        <f t="shared" si="5"/>
        <v>-2.0463719198837074E-3</v>
      </c>
      <c r="P39" s="1164">
        <f t="shared" si="6"/>
        <v>1.4196527411227644E-4</v>
      </c>
      <c r="Q39" s="9"/>
      <c r="R39" s="9"/>
      <c r="S39" s="9"/>
      <c r="T39" s="9"/>
      <c r="U39" s="9"/>
      <c r="V39" s="9"/>
    </row>
    <row r="40" spans="1:22" x14ac:dyDescent="0.2">
      <c r="A40" s="958"/>
      <c r="B40" s="1154" t="s">
        <v>58</v>
      </c>
      <c r="C40" s="1502">
        <f>+TableA3!H39</f>
        <v>28.380403234482216</v>
      </c>
      <c r="D40" s="1513">
        <v>0.28000000000000003</v>
      </c>
      <c r="E40" s="1514">
        <f>D40*TableC4!C40/(1000)</f>
        <v>4.0213800257688312</v>
      </c>
      <c r="F40" s="1515">
        <f>+D40*TableC4!D40/(1000)</f>
        <v>3.1658234146898794</v>
      </c>
      <c r="G40" s="1516">
        <f t="shared" si="7"/>
        <v>0.85555661107895187</v>
      </c>
      <c r="H40" s="1514">
        <f>D40*TableC4!N40/(1000)</f>
        <v>0.86796528793394034</v>
      </c>
      <c r="I40" s="1515">
        <f>+D40*TableC4!O40/(1000)</f>
        <v>0.30880140654605304</v>
      </c>
      <c r="J40" s="1517">
        <f t="shared" si="8"/>
        <v>0.55916388138788731</v>
      </c>
      <c r="K40" s="1183">
        <f t="shared" si="1"/>
        <v>0.14169566205750209</v>
      </c>
      <c r="L40" s="1184">
        <f t="shared" si="2"/>
        <v>0.11154962769674115</v>
      </c>
      <c r="M40" s="1492">
        <f t="shared" si="3"/>
        <v>3.0146034360760941E-2</v>
      </c>
      <c r="N40" s="1183">
        <f t="shared" si="4"/>
        <v>3.0583261300507588E-2</v>
      </c>
      <c r="O40" s="1492">
        <f t="shared" si="5"/>
        <v>1.0880797006113678E-2</v>
      </c>
      <c r="P40" s="1164">
        <f t="shared" si="6"/>
        <v>1.9702464294393911E-2</v>
      </c>
      <c r="Q40" s="9"/>
      <c r="R40" s="9"/>
      <c r="S40" s="9"/>
      <c r="T40" s="9"/>
      <c r="U40" s="9"/>
      <c r="V40" s="9"/>
    </row>
    <row r="41" spans="1:22" s="25" customFormat="1" x14ac:dyDescent="0.2">
      <c r="A41" s="1115"/>
      <c r="B41" s="1080" t="s">
        <v>59</v>
      </c>
      <c r="C41" s="1502">
        <f>+TableA3!H40</f>
        <v>14.727097286125488</v>
      </c>
      <c r="D41" s="1513">
        <v>0.22</v>
      </c>
      <c r="E41" s="1514">
        <f>D41*TableC4!C41/(1000)</f>
        <v>1.8790398127610988</v>
      </c>
      <c r="F41" s="1515">
        <f>+D41*TableC4!D41/(1000)</f>
        <v>1.4676970926928903</v>
      </c>
      <c r="G41" s="1516">
        <f t="shared" si="7"/>
        <v>0.41134272006820849</v>
      </c>
      <c r="H41" s="1514">
        <f>D41*TableC4!N41/(1000)</f>
        <v>2.086158957905369</v>
      </c>
      <c r="I41" s="1515">
        <f>+D41*TableC4!O41/(1000)</f>
        <v>1.4821029416062244</v>
      </c>
      <c r="J41" s="1517">
        <f t="shared" si="8"/>
        <v>0.60405601629914463</v>
      </c>
      <c r="K41" s="1183">
        <f t="shared" si="1"/>
        <v>0.12759064303400486</v>
      </c>
      <c r="L41" s="1184">
        <f t="shared" si="2"/>
        <v>9.9659631777921295E-2</v>
      </c>
      <c r="M41" s="1492">
        <f t="shared" si="3"/>
        <v>2.7931011256083549E-2</v>
      </c>
      <c r="N41" s="1183">
        <f t="shared" si="4"/>
        <v>0.14165445622952158</v>
      </c>
      <c r="O41" s="1492">
        <f t="shared" si="5"/>
        <v>0.10063781835694974</v>
      </c>
      <c r="P41" s="1164">
        <f t="shared" si="6"/>
        <v>4.1016637872571836E-2</v>
      </c>
      <c r="Q41" s="9"/>
      <c r="R41" s="9"/>
      <c r="S41" s="9"/>
      <c r="T41" s="9"/>
      <c r="U41" s="9"/>
      <c r="V41" s="9"/>
    </row>
    <row r="42" spans="1:22" x14ac:dyDescent="0.2">
      <c r="A42" s="958"/>
      <c r="B42" s="1154" t="s">
        <v>60</v>
      </c>
      <c r="C42" s="1214"/>
      <c r="D42" s="1513"/>
      <c r="E42" s="1514">
        <f>D42*TableC4!C42/(1000)</f>
        <v>0</v>
      </c>
      <c r="F42" s="1515">
        <f>+D42*TableC4!D42/(1000)</f>
        <v>0</v>
      </c>
      <c r="G42" s="1516">
        <f t="shared" si="7"/>
        <v>0</v>
      </c>
      <c r="H42" s="1514">
        <f>D42*TableC4!N42/(1000)</f>
        <v>0</v>
      </c>
      <c r="I42" s="1515">
        <f>+D42*TableC4!O42/(1000)</f>
        <v>0</v>
      </c>
      <c r="J42" s="1517">
        <f t="shared" si="8"/>
        <v>0</v>
      </c>
      <c r="K42" s="1183"/>
      <c r="L42" s="1184"/>
      <c r="M42" s="1492"/>
      <c r="N42" s="1183"/>
      <c r="O42" s="1492"/>
      <c r="P42" s="1164"/>
      <c r="Q42" s="9"/>
      <c r="R42" s="9"/>
      <c r="S42" s="9"/>
      <c r="T42" s="9"/>
      <c r="U42" s="9"/>
      <c r="V42" s="9"/>
    </row>
    <row r="43" spans="1:22" x14ac:dyDescent="0.2">
      <c r="A43" s="958"/>
      <c r="B43" s="1154" t="s">
        <v>61</v>
      </c>
      <c r="C43" s="1502">
        <f>+TableA3!H42</f>
        <v>12.275014163556076</v>
      </c>
      <c r="D43" s="1513">
        <v>0.2</v>
      </c>
      <c r="E43" s="1514">
        <f>D43*TableC4!C43/(1000)</f>
        <v>0.99509856411795194</v>
      </c>
      <c r="F43" s="1515">
        <f>+D43*TableC4!D43/(1000)</f>
        <v>0.3232851181123596</v>
      </c>
      <c r="G43" s="1516">
        <f t="shared" si="7"/>
        <v>0.67181344600559234</v>
      </c>
      <c r="H43" s="1514">
        <f>D43*TableC4!N43/(1000)</f>
        <v>9.3615700495637957E-2</v>
      </c>
      <c r="I43" s="1515">
        <f>+D43*TableC4!O43/(1000)</f>
        <v>8.9708422099904969E-2</v>
      </c>
      <c r="J43" s="1517">
        <f t="shared" si="8"/>
        <v>3.9072783957329882E-3</v>
      </c>
      <c r="K43" s="1183">
        <f t="shared" si="1"/>
        <v>8.1066999260363509E-2</v>
      </c>
      <c r="L43" s="1184">
        <f t="shared" si="2"/>
        <v>2.6336842777108762E-2</v>
      </c>
      <c r="M43" s="1492">
        <f t="shared" si="3"/>
        <v>5.4730156483254744E-2</v>
      </c>
      <c r="N43" s="1183">
        <f t="shared" si="4"/>
        <v>7.6265248453707248E-3</v>
      </c>
      <c r="O43" s="1492">
        <f t="shared" si="5"/>
        <v>7.3082133270562684E-3</v>
      </c>
      <c r="P43" s="1164">
        <f t="shared" si="6"/>
        <v>3.1831151831445613E-4</v>
      </c>
      <c r="Q43" s="9"/>
      <c r="R43" s="9"/>
      <c r="S43" s="9"/>
      <c r="T43" s="9"/>
      <c r="U43" s="9"/>
      <c r="V43" s="9"/>
    </row>
    <row r="44" spans="1:22" x14ac:dyDescent="0.2">
      <c r="A44" s="958"/>
      <c r="B44" s="1154" t="s">
        <v>62</v>
      </c>
      <c r="C44" s="1502">
        <f>+TableA3!H43</f>
        <v>70.19379874569357</v>
      </c>
      <c r="D44" s="1513">
        <v>0.2</v>
      </c>
      <c r="E44" s="1514">
        <f>D44*TableC4!C44/(1000)</f>
        <v>12.300180136609274</v>
      </c>
      <c r="F44" s="1515">
        <f>+D44*TableC4!D44/(1000)</f>
        <v>9.7090538356138776</v>
      </c>
      <c r="G44" s="1516">
        <f t="shared" si="7"/>
        <v>2.5911263009953966</v>
      </c>
      <c r="H44" s="1514">
        <f>D44*TableC4!N44/(1000)</f>
        <v>10.894100163122735</v>
      </c>
      <c r="I44" s="1515">
        <f>+D44*TableC4!O44/(1000)</f>
        <v>7.7590684909809688</v>
      </c>
      <c r="J44" s="1517">
        <f t="shared" si="8"/>
        <v>3.1350316721417659</v>
      </c>
      <c r="K44" s="1183">
        <f t="shared" si="1"/>
        <v>0.17523172069902965</v>
      </c>
      <c r="L44" s="1184">
        <f t="shared" si="2"/>
        <v>0.13831782876987453</v>
      </c>
      <c r="M44" s="1492">
        <f t="shared" si="3"/>
        <v>3.6913891929155118E-2</v>
      </c>
      <c r="N44" s="1183">
        <f t="shared" si="4"/>
        <v>0.15520032193429473</v>
      </c>
      <c r="O44" s="1492">
        <f t="shared" si="5"/>
        <v>0.11053780575534092</v>
      </c>
      <c r="P44" s="1164">
        <f t="shared" si="6"/>
        <v>4.4662516178953796E-2</v>
      </c>
      <c r="Q44" s="9"/>
      <c r="R44" s="9"/>
      <c r="S44" s="9"/>
      <c r="T44" s="9"/>
      <c r="U44" s="9"/>
      <c r="V44" s="9"/>
    </row>
    <row r="45" spans="1:22" x14ac:dyDescent="0.2">
      <c r="A45" s="958"/>
      <c r="B45" s="1154" t="s">
        <v>63</v>
      </c>
      <c r="C45" s="1502">
        <f>+TableA3!H44</f>
        <v>404.99173999999999</v>
      </c>
      <c r="D45" s="1513">
        <v>0.4</v>
      </c>
      <c r="E45" s="1514">
        <f>D45*TableC4!C45/(1000)</f>
        <v>57.026123441400721</v>
      </c>
      <c r="F45" s="1515">
        <f>+D45*TableC4!D45/(1000)</f>
        <v>17.245248127406519</v>
      </c>
      <c r="G45" s="1516">
        <f t="shared" si="7"/>
        <v>39.780875313994201</v>
      </c>
      <c r="H45" s="1514">
        <f>D45*TableC4!N45/(1000)</f>
        <v>122.16583691417057</v>
      </c>
      <c r="I45" s="1515">
        <f>+D45*TableC4!O45/(1000)</f>
        <v>68.65363263422806</v>
      </c>
      <c r="J45" s="1517">
        <f t="shared" si="8"/>
        <v>53.512204279942509</v>
      </c>
      <c r="K45" s="1183">
        <f t="shared" si="1"/>
        <v>0.14080811485538131</v>
      </c>
      <c r="L45" s="1184">
        <f t="shared" si="2"/>
        <v>4.2581728030814947E-2</v>
      </c>
      <c r="M45" s="1492">
        <f t="shared" si="3"/>
        <v>9.8226386824566359E-2</v>
      </c>
      <c r="N45" s="1183">
        <f t="shared" si="4"/>
        <v>0.30165019393770987</v>
      </c>
      <c r="O45" s="1492">
        <f t="shared" si="5"/>
        <v>0.1695185996490399</v>
      </c>
      <c r="P45" s="1164">
        <f t="shared" si="6"/>
        <v>0.13213159428866997</v>
      </c>
      <c r="Q45" s="9"/>
      <c r="R45" s="9"/>
      <c r="S45" s="9"/>
      <c r="T45" s="9"/>
      <c r="U45" s="9"/>
      <c r="V45" s="9"/>
    </row>
    <row r="46" spans="1:22" ht="34" x14ac:dyDescent="0.2">
      <c r="A46" s="958"/>
      <c r="B46" s="7" t="s">
        <v>64</v>
      </c>
      <c r="C46" s="648">
        <f>SUM(C47:C53)</f>
        <v>592.19769080783021</v>
      </c>
      <c r="D46" s="650"/>
      <c r="E46" s="522">
        <f>F46+G46</f>
        <v>27.422697354796586</v>
      </c>
      <c r="F46" s="691">
        <f>SUM(F47:F53)</f>
        <v>6.4919177269418009</v>
      </c>
      <c r="G46" s="751">
        <f>SUM(G47:G53)</f>
        <v>20.930779627854786</v>
      </c>
      <c r="H46" s="522">
        <f>I46+J46</f>
        <v>16.975686448539282</v>
      </c>
      <c r="I46" s="691">
        <f>SUM(I47:I53)</f>
        <v>2.2230097721163702</v>
      </c>
      <c r="J46" s="751">
        <f>SUM(J47:J53)</f>
        <v>14.752676676422912</v>
      </c>
      <c r="K46" s="265">
        <f t="shared" si="1"/>
        <v>4.630666039475545E-2</v>
      </c>
      <c r="L46" s="266">
        <f t="shared" si="2"/>
        <v>1.0962416483059956E-2</v>
      </c>
      <c r="M46" s="427">
        <f t="shared" si="3"/>
        <v>3.5344243911695501E-2</v>
      </c>
      <c r="N46" s="265">
        <f t="shared" si="4"/>
        <v>2.8665573527283373E-2</v>
      </c>
      <c r="O46" s="427">
        <f t="shared" si="5"/>
        <v>3.7538305309564994E-3</v>
      </c>
      <c r="P46" s="684">
        <f t="shared" si="6"/>
        <v>2.4911742996326872E-2</v>
      </c>
      <c r="Q46" s="266"/>
      <c r="R46" s="266"/>
      <c r="S46" s="266"/>
      <c r="T46" s="266"/>
      <c r="U46" s="266"/>
      <c r="V46" s="266"/>
    </row>
    <row r="47" spans="1:22" x14ac:dyDescent="0.2">
      <c r="A47" s="958"/>
      <c r="B47" s="1155" t="s">
        <v>65</v>
      </c>
      <c r="C47" s="1502">
        <f>+TableA3!G46</f>
        <v>53.528694639071517</v>
      </c>
      <c r="D47" s="1513">
        <v>0.34</v>
      </c>
      <c r="E47" s="1514">
        <f>D47*TableC4!C47/(1000)</f>
        <v>4.8321019687632383</v>
      </c>
      <c r="F47" s="1515">
        <f>+D47*TableC4!D47/(1000)</f>
        <v>1.7909255297823645</v>
      </c>
      <c r="G47" s="1516">
        <f t="shared" ref="G47" si="9">+E47-F47</f>
        <v>3.041176438980874</v>
      </c>
      <c r="H47" s="1514">
        <f>D47*TableC4!N47/(1000)</f>
        <v>2.303750020470964</v>
      </c>
      <c r="I47" s="1515">
        <f>+D47*TableC4!O47/(1000)</f>
        <v>2.2028073326581499</v>
      </c>
      <c r="J47" s="1517">
        <f t="shared" ref="J47" si="10">+H47-I47</f>
        <v>0.10094268781281412</v>
      </c>
      <c r="K47" s="1183">
        <f>+E47/$C47</f>
        <v>9.0271246129663765E-2</v>
      </c>
      <c r="L47" s="1184">
        <f t="shared" si="2"/>
        <v>3.3457298778870971E-2</v>
      </c>
      <c r="M47" s="1492">
        <f t="shared" si="3"/>
        <v>5.6813947350792801E-2</v>
      </c>
      <c r="N47" s="1183">
        <f t="shared" si="4"/>
        <v>4.3037664863761073E-2</v>
      </c>
      <c r="O47" s="1492">
        <f t="shared" si="5"/>
        <v>4.115189708082817E-2</v>
      </c>
      <c r="P47" s="1164">
        <f t="shared" si="6"/>
        <v>1.8857677829329004E-3</v>
      </c>
      <c r="Q47" s="9"/>
      <c r="R47" s="9"/>
      <c r="S47" s="9"/>
      <c r="T47" s="9"/>
      <c r="U47" s="9"/>
      <c r="V47" s="9"/>
    </row>
    <row r="48" spans="1:22" x14ac:dyDescent="0.2">
      <c r="A48" s="329" t="s">
        <v>337</v>
      </c>
      <c r="B48" s="1154" t="s">
        <v>66</v>
      </c>
      <c r="C48" s="1502">
        <f>+TableA3!G47</f>
        <v>421.94464956064348</v>
      </c>
      <c r="D48" s="1513">
        <v>0.25</v>
      </c>
      <c r="E48" s="1514">
        <f>D48*TableC4!C48/(1000)</f>
        <v>15.131451982825235</v>
      </c>
      <c r="F48" s="1515">
        <f>+D48*TableC4!D48/(1000)</f>
        <v>1.5324179887294989</v>
      </c>
      <c r="G48" s="1516">
        <f t="shared" ref="G48:G91" si="11">+E48-F48</f>
        <v>13.599033994095736</v>
      </c>
      <c r="H48" s="1514">
        <f>D48*TableC4!N48/(1000)</f>
        <v>11.379357477638573</v>
      </c>
      <c r="I48" s="1515">
        <f>+D48*TableC4!O48/(1000)</f>
        <v>1.6074921435645078E-3</v>
      </c>
      <c r="J48" s="1517">
        <f t="shared" ref="J48:J91" si="12">+H48-I48</f>
        <v>11.377749985495008</v>
      </c>
      <c r="K48" s="1183">
        <f t="shared" si="1"/>
        <v>3.5861224922702772E-2</v>
      </c>
      <c r="L48" s="1184">
        <f t="shared" si="2"/>
        <v>3.6317986027910375E-3</v>
      </c>
      <c r="M48" s="1492">
        <f t="shared" si="3"/>
        <v>3.2229426319911735E-2</v>
      </c>
      <c r="N48" s="1183">
        <f t="shared" si="4"/>
        <v>2.6968839371437719E-2</v>
      </c>
      <c r="O48" s="1492">
        <f t="shared" si="5"/>
        <v>3.8097227805550664E-6</v>
      </c>
      <c r="P48" s="1164">
        <f t="shared" si="6"/>
        <v>2.6965029648657164E-2</v>
      </c>
      <c r="Q48" s="9"/>
      <c r="R48" s="9"/>
      <c r="S48" s="9"/>
      <c r="T48" s="9"/>
      <c r="U48" s="9"/>
      <c r="V48" s="9"/>
    </row>
    <row r="49" spans="1:22" x14ac:dyDescent="0.2">
      <c r="A49" s="958"/>
      <c r="B49" s="1154" t="s">
        <v>67</v>
      </c>
      <c r="C49" s="1502">
        <f>+TableA3!G48</f>
        <v>17.029186059832139</v>
      </c>
      <c r="D49" s="1513">
        <v>0.25</v>
      </c>
      <c r="E49" s="1514">
        <f>D49*TableC4!C49/(1000)</f>
        <v>0.35090435988265745</v>
      </c>
      <c r="F49" s="1515">
        <f>+D49*TableC4!D49/(1000)</f>
        <v>0.14322036792261797</v>
      </c>
      <c r="G49" s="1516">
        <f t="shared" si="11"/>
        <v>0.20768399196003948</v>
      </c>
      <c r="H49" s="1514">
        <f>D49*TableC4!N49/(1000)</f>
        <v>0.24974158917818989</v>
      </c>
      <c r="I49" s="1515">
        <f>+D49*TableC4!O49/(1000)</f>
        <v>-7.3693752283767681E-4</v>
      </c>
      <c r="J49" s="1517">
        <f t="shared" si="12"/>
        <v>0.25047852670102755</v>
      </c>
      <c r="K49" s="1183">
        <f t="shared" si="1"/>
        <v>2.060605590013246E-2</v>
      </c>
      <c r="L49" s="1184">
        <f t="shared" si="2"/>
        <v>8.4102885140494923E-3</v>
      </c>
      <c r="M49" s="1492">
        <f t="shared" si="3"/>
        <v>1.2195767386082966E-2</v>
      </c>
      <c r="N49" s="1183">
        <f t="shared" si="4"/>
        <v>1.4665503583126138E-2</v>
      </c>
      <c r="O49" s="1492">
        <f t="shared" si="5"/>
        <v>-4.3274970409533538E-5</v>
      </c>
      <c r="P49" s="1164">
        <f t="shared" si="6"/>
        <v>1.4708778553535669E-2</v>
      </c>
      <c r="Q49" s="9"/>
      <c r="R49" s="9"/>
      <c r="S49" s="9"/>
      <c r="T49" s="9"/>
      <c r="U49" s="9"/>
      <c r="V49" s="9"/>
    </row>
    <row r="50" spans="1:22" x14ac:dyDescent="0.2">
      <c r="A50" s="958"/>
      <c r="B50" s="1154" t="s">
        <v>68</v>
      </c>
      <c r="C50" s="1502">
        <f>+TableA3!G49</f>
        <v>1.5394204107008198</v>
      </c>
      <c r="D50" s="1513">
        <v>0.3</v>
      </c>
      <c r="E50" s="1514">
        <f>D50*TableC4!C50/(1000)</f>
        <v>0.31725599660623816</v>
      </c>
      <c r="F50" s="1515">
        <f>+D50*TableC4!D50/(1000)</f>
        <v>0.12948690798483267</v>
      </c>
      <c r="G50" s="1516">
        <f t="shared" si="11"/>
        <v>0.18776908862140548</v>
      </c>
      <c r="H50" s="1514">
        <f>D50*TableC4!N50/(1000)</f>
        <v>3.5762470319334744E-2</v>
      </c>
      <c r="I50" s="1515">
        <f>+D50*TableC4!O50/(1000)</f>
        <v>-4.4288499944834239E-4</v>
      </c>
      <c r="J50" s="1517">
        <f t="shared" si="12"/>
        <v>3.6205355318783085E-2</v>
      </c>
      <c r="K50" s="1183">
        <f t="shared" si="1"/>
        <v>0.20608794998489571</v>
      </c>
      <c r="L50" s="1184">
        <f t="shared" si="2"/>
        <v>8.4114064673134911E-2</v>
      </c>
      <c r="M50" s="1492">
        <f t="shared" si="3"/>
        <v>0.12197388531176079</v>
      </c>
      <c r="N50" s="1183">
        <f t="shared" si="4"/>
        <v>2.3231126514071557E-2</v>
      </c>
      <c r="O50" s="1492">
        <f t="shared" si="5"/>
        <v>-2.8769593826985794E-4</v>
      </c>
      <c r="P50" s="1164">
        <f t="shared" si="6"/>
        <v>2.3518822452341416E-2</v>
      </c>
      <c r="Q50" s="9"/>
      <c r="R50" s="9"/>
      <c r="S50" s="9"/>
      <c r="T50" s="9"/>
      <c r="U50" s="9"/>
      <c r="V50" s="9"/>
    </row>
    <row r="51" spans="1:22" x14ac:dyDescent="0.2">
      <c r="A51" s="958"/>
      <c r="B51" s="1154" t="s">
        <v>69</v>
      </c>
      <c r="C51" s="1502">
        <f>+TableA3!G50</f>
        <v>37.377974500000001</v>
      </c>
      <c r="D51" s="1513">
        <v>0.34610000000000002</v>
      </c>
      <c r="E51" s="1514">
        <f>D51*TableC4!C51/(1000)</f>
        <v>3.2797817073095037</v>
      </c>
      <c r="F51" s="1515">
        <f>+D51*TableC4!D51/(1000)</f>
        <v>0.95600836625481389</v>
      </c>
      <c r="G51" s="1516">
        <f t="shared" si="11"/>
        <v>2.3237733410546899</v>
      </c>
      <c r="H51" s="1514">
        <f>D51*TableC4!N51/(1000)</f>
        <v>1.6186458933230192</v>
      </c>
      <c r="I51" s="1515">
        <f>+D51*TableC4!O51/(1000)</f>
        <v>9.9760626637240453E-3</v>
      </c>
      <c r="J51" s="1517">
        <f t="shared" si="12"/>
        <v>1.6086698306592953</v>
      </c>
      <c r="K51" s="1183">
        <f t="shared" si="1"/>
        <v>8.7746373397239688E-2</v>
      </c>
      <c r="L51" s="1184">
        <f t="shared" si="2"/>
        <v>2.5576783628412338E-2</v>
      </c>
      <c r="M51" s="1492">
        <f t="shared" si="3"/>
        <v>6.216958976882736E-2</v>
      </c>
      <c r="N51" s="1183">
        <f t="shared" si="4"/>
        <v>4.3304804901159615E-2</v>
      </c>
      <c r="O51" s="1492">
        <f t="shared" si="5"/>
        <v>2.6689682352167173E-4</v>
      </c>
      <c r="P51" s="1164">
        <f t="shared" si="6"/>
        <v>4.3037908077637944E-2</v>
      </c>
      <c r="Q51" s="9"/>
      <c r="R51" s="9"/>
      <c r="S51" s="9"/>
      <c r="T51" s="9"/>
      <c r="U51" s="9"/>
      <c r="V51" s="9"/>
    </row>
    <row r="52" spans="1:22" x14ac:dyDescent="0.2">
      <c r="A52" s="329" t="s">
        <v>338</v>
      </c>
      <c r="B52" s="1154" t="s">
        <v>70</v>
      </c>
      <c r="C52" s="1502">
        <f>+TableA3!G51</f>
        <v>41.990935943542297</v>
      </c>
      <c r="D52" s="1513">
        <v>0.2</v>
      </c>
      <c r="E52" s="1514">
        <f>D52*TableC4!C52/(1000)</f>
        <v>2.3686208698667821</v>
      </c>
      <c r="F52" s="1515">
        <f>+D52*TableC4!D52/(1000)</f>
        <v>1.4536733107661155</v>
      </c>
      <c r="G52" s="1516">
        <f t="shared" si="11"/>
        <v>0.91494755910066661</v>
      </c>
      <c r="H52" s="1514">
        <f>D52*TableC4!N52/(1000)</f>
        <v>0.15098890069814561</v>
      </c>
      <c r="I52" s="1515">
        <f>+D52*TableC4!O52/(1000)</f>
        <v>0.14357902869552672</v>
      </c>
      <c r="J52" s="1517">
        <f t="shared" si="12"/>
        <v>7.4098720026188891E-3</v>
      </c>
      <c r="K52" s="1183">
        <f t="shared" si="1"/>
        <v>5.640790843651218E-2</v>
      </c>
      <c r="L52" s="1184">
        <f t="shared" si="2"/>
        <v>3.4618740404372267E-2</v>
      </c>
      <c r="M52" s="1492">
        <f t="shared" si="3"/>
        <v>2.1789168032139913E-2</v>
      </c>
      <c r="N52" s="1183">
        <f t="shared" si="4"/>
        <v>3.5957498280379694E-3</v>
      </c>
      <c r="O52" s="1492">
        <f t="shared" si="5"/>
        <v>3.4192862214019655E-3</v>
      </c>
      <c r="P52" s="1164">
        <f t="shared" si="6"/>
        <v>1.7646360663600398E-4</v>
      </c>
      <c r="Q52" s="9"/>
      <c r="R52" s="9"/>
      <c r="S52" s="9"/>
      <c r="T52" s="9"/>
      <c r="U52" s="9"/>
      <c r="V52" s="9"/>
    </row>
    <row r="53" spans="1:22" x14ac:dyDescent="0.2">
      <c r="A53" s="958"/>
      <c r="B53" s="1154" t="s">
        <v>71</v>
      </c>
      <c r="C53" s="1502">
        <f>+TableA3!G52</f>
        <v>18.786829694039877</v>
      </c>
      <c r="D53" s="1513">
        <v>0.28000000000000003</v>
      </c>
      <c r="E53" s="1514">
        <f>D53*TableC4!C53/(1000)</f>
        <v>1.1425804695429322</v>
      </c>
      <c r="F53" s="1515">
        <f>+D53*TableC4!D53/(1000)</f>
        <v>0.48618525550155789</v>
      </c>
      <c r="G53" s="1516">
        <f t="shared" si="11"/>
        <v>0.65639521404137435</v>
      </c>
      <c r="H53" s="1514">
        <f>D53*TableC4!N53/(1000)</f>
        <v>1.2374400969110568</v>
      </c>
      <c r="I53" s="1515">
        <f>+D53*TableC4!O53/(1000)</f>
        <v>-0.13378032152230868</v>
      </c>
      <c r="J53" s="1517">
        <f t="shared" si="12"/>
        <v>1.3712204184333654</v>
      </c>
      <c r="K53" s="1183">
        <f t="shared" si="1"/>
        <v>6.0818162944512984E-2</v>
      </c>
      <c r="L53" s="1184">
        <f t="shared" si="2"/>
        <v>2.5879047365602096E-2</v>
      </c>
      <c r="M53" s="1492">
        <f t="shared" si="3"/>
        <v>3.4939115578910891E-2</v>
      </c>
      <c r="N53" s="1183">
        <f t="shared" si="4"/>
        <v>6.5867425055949419E-2</v>
      </c>
      <c r="O53" s="1492">
        <f t="shared" si="5"/>
        <v>-7.1209631268840685E-3</v>
      </c>
      <c r="P53" s="1164">
        <f t="shared" si="6"/>
        <v>7.2988388182833486E-2</v>
      </c>
      <c r="Q53" s="9"/>
      <c r="R53" s="9"/>
      <c r="S53" s="9"/>
      <c r="T53" s="9"/>
      <c r="U53" s="9"/>
      <c r="V53" s="9"/>
    </row>
    <row r="54" spans="1:22" ht="40" hidden="1" customHeight="1" x14ac:dyDescent="0.2">
      <c r="A54" s="958"/>
      <c r="B54" s="7" t="s">
        <v>72</v>
      </c>
      <c r="C54" s="299"/>
      <c r="D54" s="1865"/>
      <c r="E54" s="1514">
        <f>D54*TableC4!C54/(1000)</f>
        <v>0</v>
      </c>
      <c r="F54" s="1515">
        <f>+D54*TableC4!D54/(1000)</f>
        <v>0</v>
      </c>
      <c r="G54" s="1516">
        <f t="shared" si="11"/>
        <v>0</v>
      </c>
      <c r="H54" s="1514">
        <f>D54*TableC4!N54/(1000)</f>
        <v>0</v>
      </c>
      <c r="I54" s="1515">
        <f>+D54*TableC4!O54/(1000)</f>
        <v>0</v>
      </c>
      <c r="J54" s="1517">
        <f t="shared" si="12"/>
        <v>0</v>
      </c>
      <c r="K54" s="1185"/>
      <c r="L54" s="1161"/>
      <c r="M54" s="1521"/>
      <c r="N54" s="1185"/>
      <c r="O54" s="1522"/>
      <c r="P54" s="1436"/>
      <c r="Q54" s="266"/>
      <c r="R54" s="266"/>
      <c r="S54" s="266"/>
      <c r="T54" s="266"/>
      <c r="U54" s="266"/>
      <c r="V54" s="266"/>
    </row>
    <row r="55" spans="1:22" ht="14.25" hidden="1" customHeight="1" x14ac:dyDescent="0.2">
      <c r="A55" s="958"/>
      <c r="B55" s="1154" t="s">
        <v>73</v>
      </c>
      <c r="C55" s="1214"/>
      <c r="D55" s="1867"/>
      <c r="E55" s="1514">
        <f>D55*TableC4!C55/(1000)</f>
        <v>0</v>
      </c>
      <c r="F55" s="1515">
        <f>+D55*TableC4!D55/(1000)</f>
        <v>0</v>
      </c>
      <c r="G55" s="1516">
        <f t="shared" si="11"/>
        <v>0</v>
      </c>
      <c r="H55" s="1514">
        <f>D55*TableC4!N55/(1000)</f>
        <v>0</v>
      </c>
      <c r="I55" s="1515">
        <f>+D55*TableC4!O55/(1000)</f>
        <v>0</v>
      </c>
      <c r="J55" s="1517">
        <f t="shared" si="12"/>
        <v>0</v>
      </c>
      <c r="K55" s="1491"/>
      <c r="L55" s="1161"/>
      <c r="M55" s="1492"/>
      <c r="N55" s="1491"/>
      <c r="O55" s="1522"/>
      <c r="P55" s="1164"/>
      <c r="Q55" s="1184"/>
      <c r="R55" s="1184"/>
      <c r="S55" s="1184"/>
      <c r="T55" s="1184"/>
      <c r="U55" s="1184"/>
      <c r="V55" s="1184"/>
    </row>
    <row r="56" spans="1:22" ht="14.25" hidden="1" customHeight="1" x14ac:dyDescent="0.2">
      <c r="A56" s="958"/>
      <c r="B56" s="1154" t="s">
        <v>74</v>
      </c>
      <c r="C56" s="1214"/>
      <c r="D56" s="1867"/>
      <c r="E56" s="1514">
        <f>D56*TableC4!C56/(1000)</f>
        <v>0</v>
      </c>
      <c r="F56" s="1515">
        <f>+D56*TableC4!D56/(1000)</f>
        <v>0</v>
      </c>
      <c r="G56" s="1516">
        <f t="shared" si="11"/>
        <v>0</v>
      </c>
      <c r="H56" s="1514">
        <f>D56*TableC4!N56/(1000)</f>
        <v>0</v>
      </c>
      <c r="I56" s="1515">
        <f>+D56*TableC4!O56/(1000)</f>
        <v>0</v>
      </c>
      <c r="J56" s="1517">
        <f t="shared" si="12"/>
        <v>0</v>
      </c>
      <c r="K56" s="1491"/>
      <c r="L56" s="1161"/>
      <c r="M56" s="1492"/>
      <c r="N56" s="1491"/>
      <c r="O56" s="1522"/>
      <c r="P56" s="1164"/>
      <c r="Q56" s="1184"/>
      <c r="R56" s="1184"/>
      <c r="S56" s="1184"/>
      <c r="T56" s="1184"/>
      <c r="U56" s="1184"/>
      <c r="V56" s="1184"/>
    </row>
    <row r="57" spans="1:22" ht="14.25" hidden="1" customHeight="1" x14ac:dyDescent="0.2">
      <c r="A57" s="958"/>
      <c r="B57" s="1154" t="str">
        <f>+TableA1!A56</f>
        <v>Antigua and Barbuda</v>
      </c>
      <c r="C57" s="1214"/>
      <c r="D57" s="1867"/>
      <c r="E57" s="1514">
        <f>D57*TableC4!C57/(1000)</f>
        <v>0</v>
      </c>
      <c r="F57" s="1515">
        <f>+D57*TableC4!D57/(1000)</f>
        <v>0</v>
      </c>
      <c r="G57" s="1516">
        <f t="shared" si="11"/>
        <v>0</v>
      </c>
      <c r="H57" s="1514">
        <f>D57*TableC4!N57/(1000)</f>
        <v>0</v>
      </c>
      <c r="I57" s="1515">
        <f>+D57*TableC4!O57/(1000)</f>
        <v>0</v>
      </c>
      <c r="J57" s="1517">
        <f t="shared" si="12"/>
        <v>0</v>
      </c>
      <c r="K57" s="1491"/>
      <c r="L57" s="1161"/>
      <c r="M57" s="1492"/>
      <c r="N57" s="1491"/>
      <c r="O57" s="1522"/>
      <c r="P57" s="1164"/>
      <c r="Q57" s="1184"/>
      <c r="R57" s="1184"/>
      <c r="S57" s="1184"/>
      <c r="T57" s="1184"/>
      <c r="U57" s="1184"/>
      <c r="V57" s="1184"/>
    </row>
    <row r="58" spans="1:22" ht="14.25" hidden="1" customHeight="1" x14ac:dyDescent="0.2">
      <c r="A58" s="958"/>
      <c r="B58" s="1154" t="s">
        <v>76</v>
      </c>
      <c r="C58" s="1214"/>
      <c r="D58" s="1867"/>
      <c r="E58" s="1514">
        <f>D58*TableC4!C58/(1000)</f>
        <v>0</v>
      </c>
      <c r="F58" s="1515">
        <f>+D58*TableC4!D58/(1000)</f>
        <v>0</v>
      </c>
      <c r="G58" s="1516">
        <f t="shared" si="11"/>
        <v>0</v>
      </c>
      <c r="H58" s="1514">
        <f>D58*TableC4!N58/(1000)</f>
        <v>0</v>
      </c>
      <c r="I58" s="1515">
        <f>+D58*TableC4!O58/(1000)</f>
        <v>0</v>
      </c>
      <c r="J58" s="1517">
        <f t="shared" si="12"/>
        <v>0</v>
      </c>
      <c r="K58" s="1491"/>
      <c r="L58" s="1161"/>
      <c r="M58" s="1492"/>
      <c r="N58" s="1491"/>
      <c r="O58" s="1522"/>
      <c r="P58" s="1164"/>
      <c r="Q58" s="1184"/>
      <c r="R58" s="1184"/>
      <c r="S58" s="1184"/>
      <c r="T58" s="1184"/>
      <c r="U58" s="1184"/>
      <c r="V58" s="1184"/>
    </row>
    <row r="59" spans="1:22" ht="14.25" hidden="1" customHeight="1" x14ac:dyDescent="0.2">
      <c r="A59" s="329" t="s">
        <v>77</v>
      </c>
      <c r="B59" s="1154" t="s">
        <v>152</v>
      </c>
      <c r="C59" s="1214"/>
      <c r="D59" s="1867"/>
      <c r="E59" s="1514">
        <f>D59*TableC4!C59/(1000)</f>
        <v>0</v>
      </c>
      <c r="F59" s="1515">
        <f>+D59*TableC4!D59/(1000)</f>
        <v>0</v>
      </c>
      <c r="G59" s="1516">
        <f t="shared" si="11"/>
        <v>0</v>
      </c>
      <c r="H59" s="1514">
        <f>D59*TableC4!N59/(1000)</f>
        <v>0</v>
      </c>
      <c r="I59" s="1515">
        <f>+D59*TableC4!O59/(1000)</f>
        <v>0</v>
      </c>
      <c r="J59" s="1517">
        <f t="shared" si="12"/>
        <v>0</v>
      </c>
      <c r="K59" s="1491"/>
      <c r="L59" s="1161"/>
      <c r="M59" s="1492"/>
      <c r="N59" s="1491"/>
      <c r="O59" s="1522"/>
      <c r="P59" s="1164"/>
      <c r="Q59" s="1184"/>
      <c r="R59" s="1184"/>
      <c r="S59" s="1184"/>
      <c r="T59" s="1184"/>
      <c r="U59" s="1184"/>
      <c r="V59" s="1184"/>
    </row>
    <row r="60" spans="1:22" ht="14.25" hidden="1" customHeight="1" x14ac:dyDescent="0.2">
      <c r="A60" s="329" t="s">
        <v>340</v>
      </c>
      <c r="B60" s="1154" t="s">
        <v>78</v>
      </c>
      <c r="C60" s="1214"/>
      <c r="D60" s="1867"/>
      <c r="E60" s="1514">
        <f>D60*TableC4!C60/(1000)</f>
        <v>0</v>
      </c>
      <c r="F60" s="1515">
        <f>+D60*TableC4!D60/(1000)</f>
        <v>0</v>
      </c>
      <c r="G60" s="1516">
        <f t="shared" si="11"/>
        <v>0</v>
      </c>
      <c r="H60" s="1514">
        <f>D60*TableC4!N60/(1000)</f>
        <v>0</v>
      </c>
      <c r="I60" s="1515">
        <f>+D60*TableC4!O60/(1000)</f>
        <v>0</v>
      </c>
      <c r="J60" s="1517">
        <f t="shared" si="12"/>
        <v>0</v>
      </c>
      <c r="K60" s="1491"/>
      <c r="L60" s="1161"/>
      <c r="M60" s="1492"/>
      <c r="N60" s="1491"/>
      <c r="O60" s="1522"/>
      <c r="P60" s="1164"/>
      <c r="Q60" s="1184"/>
      <c r="R60" s="1184"/>
      <c r="S60" s="1184"/>
      <c r="T60" s="1184"/>
      <c r="U60" s="1184"/>
      <c r="V60" s="1184"/>
    </row>
    <row r="61" spans="1:22" ht="14.25" hidden="1" customHeight="1" x14ac:dyDescent="0.2">
      <c r="A61" s="958"/>
      <c r="B61" s="1154" t="str">
        <f>+TableA1!A60</f>
        <v>Barbados</v>
      </c>
      <c r="C61" s="1214"/>
      <c r="D61" s="1867"/>
      <c r="E61" s="1514">
        <f>D61*TableC4!C61/(1000)</f>
        <v>0</v>
      </c>
      <c r="F61" s="1515">
        <f>+D61*TableC4!D61/(1000)</f>
        <v>0</v>
      </c>
      <c r="G61" s="1516">
        <f t="shared" si="11"/>
        <v>0</v>
      </c>
      <c r="H61" s="1514">
        <f>D61*TableC4!N61/(1000)</f>
        <v>0</v>
      </c>
      <c r="I61" s="1515">
        <f>+D61*TableC4!O61/(1000)</f>
        <v>0</v>
      </c>
      <c r="J61" s="1517">
        <f t="shared" si="12"/>
        <v>0</v>
      </c>
      <c r="K61" s="1491"/>
      <c r="L61" s="1161"/>
      <c r="M61" s="1492"/>
      <c r="N61" s="1491"/>
      <c r="O61" s="1522"/>
      <c r="P61" s="1164"/>
      <c r="Q61" s="1184"/>
      <c r="R61" s="1184"/>
      <c r="S61" s="1184"/>
      <c r="T61" s="1184"/>
      <c r="U61" s="1184"/>
      <c r="V61" s="1184"/>
    </row>
    <row r="62" spans="1:22" ht="14.25" hidden="1" customHeight="1" x14ac:dyDescent="0.2">
      <c r="A62" s="958"/>
      <c r="B62" s="1154" t="s">
        <v>80</v>
      </c>
      <c r="C62" s="1214"/>
      <c r="D62" s="1867"/>
      <c r="E62" s="1514">
        <f>D62*TableC4!C62/(1000)</f>
        <v>0</v>
      </c>
      <c r="F62" s="1515">
        <f>+D62*TableC4!D62/(1000)</f>
        <v>0</v>
      </c>
      <c r="G62" s="1516">
        <f t="shared" si="11"/>
        <v>0</v>
      </c>
      <c r="H62" s="1514">
        <f>D62*TableC4!N62/(1000)</f>
        <v>0</v>
      </c>
      <c r="I62" s="1515">
        <f>+D62*TableC4!O62/(1000)</f>
        <v>0</v>
      </c>
      <c r="J62" s="1517">
        <f t="shared" si="12"/>
        <v>0</v>
      </c>
      <c r="K62" s="1491"/>
      <c r="L62" s="1161"/>
      <c r="M62" s="1492"/>
      <c r="N62" s="1491"/>
      <c r="O62" s="1522"/>
      <c r="P62" s="1164"/>
      <c r="Q62" s="1184"/>
      <c r="R62" s="1184"/>
      <c r="S62" s="1184"/>
      <c r="T62" s="1184"/>
      <c r="U62" s="1184"/>
      <c r="V62" s="1184"/>
    </row>
    <row r="63" spans="1:22" ht="14.25" hidden="1" customHeight="1" x14ac:dyDescent="0.2">
      <c r="A63" s="958"/>
      <c r="B63" s="1154" t="s">
        <v>81</v>
      </c>
      <c r="C63" s="1214"/>
      <c r="D63" s="1867"/>
      <c r="E63" s="1514">
        <f>D63*TableC4!C63/(1000)</f>
        <v>0</v>
      </c>
      <c r="F63" s="1515">
        <f>+D63*TableC4!D63/(1000)</f>
        <v>0</v>
      </c>
      <c r="G63" s="1516">
        <f t="shared" si="11"/>
        <v>0</v>
      </c>
      <c r="H63" s="1514">
        <f>D63*TableC4!N63/(1000)</f>
        <v>0</v>
      </c>
      <c r="I63" s="1515">
        <f>+D63*TableC4!O63/(1000)</f>
        <v>0</v>
      </c>
      <c r="J63" s="1517">
        <f t="shared" si="12"/>
        <v>0</v>
      </c>
      <c r="K63" s="1491"/>
      <c r="L63" s="1161"/>
      <c r="M63" s="1492"/>
      <c r="N63" s="1491"/>
      <c r="O63" s="1522"/>
      <c r="P63" s="1164"/>
      <c r="Q63" s="1184"/>
      <c r="R63" s="1184"/>
      <c r="S63" s="1184"/>
      <c r="T63" s="1184"/>
      <c r="U63" s="1184"/>
      <c r="V63" s="1184"/>
    </row>
    <row r="64" spans="1:22" ht="14.25" hidden="1" customHeight="1" x14ac:dyDescent="0.2">
      <c r="A64" s="329" t="s">
        <v>645</v>
      </c>
      <c r="B64" s="1154" t="s">
        <v>82</v>
      </c>
      <c r="C64" s="1214"/>
      <c r="D64" s="1867"/>
      <c r="E64" s="1514">
        <f>D64*TableC4!C64/(1000)</f>
        <v>0</v>
      </c>
      <c r="F64" s="1515">
        <f>+D64*TableC4!D64/(1000)</f>
        <v>0</v>
      </c>
      <c r="G64" s="1516">
        <f t="shared" si="11"/>
        <v>0</v>
      </c>
      <c r="H64" s="1514">
        <f>D64*TableC4!N64/(1000)</f>
        <v>0</v>
      </c>
      <c r="I64" s="1515">
        <f>+D64*TableC4!O64/(1000)</f>
        <v>0</v>
      </c>
      <c r="J64" s="1517">
        <f t="shared" si="12"/>
        <v>0</v>
      </c>
      <c r="K64" s="1491"/>
      <c r="L64" s="1161"/>
      <c r="M64" s="1492"/>
      <c r="N64" s="1491"/>
      <c r="O64" s="1522"/>
      <c r="P64" s="1164"/>
      <c r="Q64" s="1184"/>
      <c r="R64" s="1184"/>
      <c r="S64" s="1184"/>
      <c r="T64" s="1184"/>
      <c r="U64" s="1184"/>
      <c r="V64" s="1184"/>
    </row>
    <row r="65" spans="1:22" ht="14.25" hidden="1" customHeight="1" x14ac:dyDescent="0.2">
      <c r="A65" s="329" t="s">
        <v>372</v>
      </c>
      <c r="B65" s="1154" t="s">
        <v>153</v>
      </c>
      <c r="C65" s="1214"/>
      <c r="D65" s="1867"/>
      <c r="E65" s="1514">
        <f>D65*TableC4!C65/(1000)</f>
        <v>0</v>
      </c>
      <c r="F65" s="1515">
        <f>+D65*TableC4!D65/(1000)</f>
        <v>0</v>
      </c>
      <c r="G65" s="1516">
        <f t="shared" si="11"/>
        <v>0</v>
      </c>
      <c r="H65" s="1514">
        <f>D65*TableC4!N65/(1000)</f>
        <v>0</v>
      </c>
      <c r="I65" s="1515">
        <f>+D65*TableC4!O65/(1000)</f>
        <v>0</v>
      </c>
      <c r="J65" s="1517">
        <f t="shared" si="12"/>
        <v>0</v>
      </c>
      <c r="K65" s="1491"/>
      <c r="L65" s="1161"/>
      <c r="M65" s="1492"/>
      <c r="N65" s="1491"/>
      <c r="O65" s="1522"/>
      <c r="P65" s="1164"/>
      <c r="Q65" s="1184"/>
      <c r="R65" s="1184"/>
      <c r="S65" s="1184"/>
      <c r="T65" s="1184"/>
      <c r="U65" s="1184"/>
      <c r="V65" s="1184"/>
    </row>
    <row r="66" spans="1:22" ht="14.25" hidden="1" customHeight="1" x14ac:dyDescent="0.2">
      <c r="A66" s="958"/>
      <c r="B66" s="113" t="s">
        <v>84</v>
      </c>
      <c r="C66" s="643"/>
      <c r="D66" s="651"/>
      <c r="E66" s="1514">
        <f>D66*TableC4!C66/(1000)</f>
        <v>0</v>
      </c>
      <c r="F66" s="1515">
        <f>+D66*TableC4!D66/(1000)</f>
        <v>0</v>
      </c>
      <c r="G66" s="1516">
        <f t="shared" si="11"/>
        <v>0</v>
      </c>
      <c r="H66" s="1514">
        <f>D66*TableC4!N66/(1000)</f>
        <v>0</v>
      </c>
      <c r="I66" s="1515">
        <f>+D66*TableC4!O66/(1000)</f>
        <v>0</v>
      </c>
      <c r="J66" s="1517">
        <f t="shared" si="12"/>
        <v>0</v>
      </c>
      <c r="K66" s="638"/>
      <c r="L66" s="1161"/>
      <c r="M66" s="1492"/>
      <c r="N66" s="638"/>
      <c r="O66" s="1522"/>
      <c r="P66" s="1164"/>
      <c r="Q66" s="1184"/>
      <c r="R66" s="1184"/>
      <c r="S66" s="1184"/>
      <c r="T66" s="1184"/>
      <c r="U66" s="1184"/>
      <c r="V66" s="1184"/>
    </row>
    <row r="67" spans="1:22" ht="14.25" hidden="1" customHeight="1" x14ac:dyDescent="0.2">
      <c r="A67" s="958"/>
      <c r="B67" s="1154" t="s">
        <v>85</v>
      </c>
      <c r="C67" s="1214"/>
      <c r="D67" s="1867"/>
      <c r="E67" s="1514">
        <f>D67*TableC4!C67/(1000)</f>
        <v>0</v>
      </c>
      <c r="F67" s="1515">
        <f>+D67*TableC4!D67/(1000)</f>
        <v>0</v>
      </c>
      <c r="G67" s="1516">
        <f t="shared" si="11"/>
        <v>0</v>
      </c>
      <c r="H67" s="1514">
        <f>D67*TableC4!N67/(1000)</f>
        <v>0</v>
      </c>
      <c r="I67" s="1515">
        <f>+D67*TableC4!O67/(1000)</f>
        <v>0</v>
      </c>
      <c r="J67" s="1517">
        <f t="shared" si="12"/>
        <v>0</v>
      </c>
      <c r="K67" s="1491"/>
      <c r="L67" s="1161"/>
      <c r="M67" s="1492"/>
      <c r="N67" s="1491"/>
      <c r="O67" s="1522"/>
      <c r="P67" s="1164"/>
      <c r="Q67" s="1184"/>
      <c r="R67" s="1184"/>
      <c r="S67" s="1184"/>
      <c r="T67" s="1184"/>
      <c r="U67" s="1184"/>
      <c r="V67" s="1184"/>
    </row>
    <row r="68" spans="1:22" ht="14.25" hidden="1" customHeight="1" x14ac:dyDescent="0.2">
      <c r="A68" s="958"/>
      <c r="B68" s="1154" t="str">
        <f>+TableA1!A67</f>
        <v>Cyprus</v>
      </c>
      <c r="C68" s="1214"/>
      <c r="D68" s="1867"/>
      <c r="E68" s="1514">
        <f>D68*TableC4!C68/(1000)</f>
        <v>0</v>
      </c>
      <c r="F68" s="1515">
        <f>+D68*TableC4!D68/(1000)</f>
        <v>0</v>
      </c>
      <c r="G68" s="1516">
        <f t="shared" si="11"/>
        <v>0</v>
      </c>
      <c r="H68" s="1514">
        <f>D68*TableC4!N68/(1000)</f>
        <v>0</v>
      </c>
      <c r="I68" s="1515">
        <f>+D68*TableC4!O68/(1000)</f>
        <v>0</v>
      </c>
      <c r="J68" s="1517">
        <f t="shared" si="12"/>
        <v>0</v>
      </c>
      <c r="K68" s="1491"/>
      <c r="L68" s="1161"/>
      <c r="M68" s="1492"/>
      <c r="N68" s="1491"/>
      <c r="O68" s="1522"/>
      <c r="P68" s="1164"/>
      <c r="Q68" s="1184"/>
      <c r="R68" s="1184"/>
      <c r="S68" s="1184"/>
      <c r="T68" s="1184"/>
      <c r="U68" s="1184"/>
      <c r="V68" s="1184"/>
    </row>
    <row r="69" spans="1:22" ht="14.25" hidden="1" customHeight="1" x14ac:dyDescent="0.2">
      <c r="A69" s="958"/>
      <c r="B69" s="1154" t="s">
        <v>87</v>
      </c>
      <c r="C69" s="1214"/>
      <c r="D69" s="1867"/>
      <c r="E69" s="1514">
        <f>D69*TableC4!C69/(1000)</f>
        <v>0</v>
      </c>
      <c r="F69" s="1515">
        <f>+D69*TableC4!D69/(1000)</f>
        <v>0</v>
      </c>
      <c r="G69" s="1516">
        <f t="shared" si="11"/>
        <v>0</v>
      </c>
      <c r="H69" s="1514">
        <f>D69*TableC4!N69/(1000)</f>
        <v>0</v>
      </c>
      <c r="I69" s="1515">
        <f>+D69*TableC4!O69/(1000)</f>
        <v>0</v>
      </c>
      <c r="J69" s="1517">
        <f t="shared" si="12"/>
        <v>0</v>
      </c>
      <c r="K69" s="1491"/>
      <c r="L69" s="1161"/>
      <c r="M69" s="1492"/>
      <c r="N69" s="1491"/>
      <c r="O69" s="1522"/>
      <c r="P69" s="1164"/>
      <c r="Q69" s="1184"/>
      <c r="R69" s="1184"/>
      <c r="S69" s="1184"/>
      <c r="T69" s="1184"/>
      <c r="U69" s="1184"/>
      <c r="V69" s="1184"/>
    </row>
    <row r="70" spans="1:22" ht="14.25" hidden="1" customHeight="1" x14ac:dyDescent="0.2">
      <c r="A70" s="958"/>
      <c r="B70" s="1154" t="str">
        <f>+TableA1!A69</f>
        <v>Grenada</v>
      </c>
      <c r="C70" s="1214"/>
      <c r="D70" s="1867"/>
      <c r="E70" s="1514">
        <f>D70*TableC4!C70/(1000)</f>
        <v>0</v>
      </c>
      <c r="F70" s="1515">
        <f>+D70*TableC4!D70/(1000)</f>
        <v>0</v>
      </c>
      <c r="G70" s="1516">
        <f t="shared" si="11"/>
        <v>0</v>
      </c>
      <c r="H70" s="1514">
        <f>D70*TableC4!N70/(1000)</f>
        <v>0</v>
      </c>
      <c r="I70" s="1515">
        <f>+D70*TableC4!O70/(1000)</f>
        <v>0</v>
      </c>
      <c r="J70" s="1517">
        <f t="shared" si="12"/>
        <v>0</v>
      </c>
      <c r="K70" s="1491"/>
      <c r="L70" s="1161"/>
      <c r="M70" s="1492"/>
      <c r="N70" s="1491"/>
      <c r="O70" s="1522"/>
      <c r="P70" s="1164"/>
      <c r="Q70" s="1184"/>
      <c r="R70" s="1184"/>
      <c r="S70" s="1184"/>
      <c r="T70" s="1184"/>
      <c r="U70" s="1184"/>
      <c r="V70" s="1184"/>
    </row>
    <row r="71" spans="1:22" ht="14.25" hidden="1" customHeight="1" x14ac:dyDescent="0.2">
      <c r="A71" s="958"/>
      <c r="B71" s="1154" t="s">
        <v>89</v>
      </c>
      <c r="C71" s="1214"/>
      <c r="D71" s="1867"/>
      <c r="E71" s="1514">
        <f>D71*TableC4!C71/(1000)</f>
        <v>0</v>
      </c>
      <c r="F71" s="1515">
        <f>+D71*TableC4!D71/(1000)</f>
        <v>0</v>
      </c>
      <c r="G71" s="1516">
        <f t="shared" si="11"/>
        <v>0</v>
      </c>
      <c r="H71" s="1514">
        <f>D71*TableC4!N71/(1000)</f>
        <v>0</v>
      </c>
      <c r="I71" s="1515">
        <f>+D71*TableC4!O71/(1000)</f>
        <v>0</v>
      </c>
      <c r="J71" s="1517">
        <f t="shared" si="12"/>
        <v>0</v>
      </c>
      <c r="K71" s="1491"/>
      <c r="L71" s="1161"/>
      <c r="M71" s="1492"/>
      <c r="N71" s="1491"/>
      <c r="O71" s="1522"/>
      <c r="P71" s="1164"/>
      <c r="Q71" s="1184"/>
      <c r="R71" s="1184"/>
      <c r="S71" s="1184"/>
      <c r="T71" s="1184"/>
      <c r="U71" s="1184"/>
      <c r="V71" s="1184"/>
    </row>
    <row r="72" spans="1:22" ht="14.25" hidden="1" customHeight="1" x14ac:dyDescent="0.2">
      <c r="A72" s="329" t="s">
        <v>90</v>
      </c>
      <c r="B72" s="1154" t="s">
        <v>154</v>
      </c>
      <c r="C72" s="1214"/>
      <c r="D72" s="1867"/>
      <c r="E72" s="1514">
        <f>D72*TableC4!C72/(1000)</f>
        <v>0</v>
      </c>
      <c r="F72" s="1515">
        <f>+D72*TableC4!D72/(1000)</f>
        <v>0</v>
      </c>
      <c r="G72" s="1516">
        <f t="shared" si="11"/>
        <v>0</v>
      </c>
      <c r="H72" s="1514">
        <f>D72*TableC4!N72/(1000)</f>
        <v>0</v>
      </c>
      <c r="I72" s="1515">
        <f>+D72*TableC4!O72/(1000)</f>
        <v>0</v>
      </c>
      <c r="J72" s="1517">
        <f t="shared" si="12"/>
        <v>0</v>
      </c>
      <c r="K72" s="1491"/>
      <c r="L72" s="1161"/>
      <c r="M72" s="1492"/>
      <c r="N72" s="1491"/>
      <c r="O72" s="1522"/>
      <c r="P72" s="1164"/>
      <c r="Q72" s="1184"/>
      <c r="R72" s="1184"/>
      <c r="S72" s="1184"/>
      <c r="T72" s="1184"/>
      <c r="U72" s="1184"/>
      <c r="V72" s="1184"/>
    </row>
    <row r="73" spans="1:22" ht="14.25" hidden="1" customHeight="1" x14ac:dyDescent="0.2">
      <c r="A73" s="329" t="s">
        <v>341</v>
      </c>
      <c r="B73" s="1154" t="s">
        <v>91</v>
      </c>
      <c r="C73" s="1214"/>
      <c r="D73" s="1867"/>
      <c r="E73" s="1514">
        <f>D73*TableC4!C73/(1000)</f>
        <v>0</v>
      </c>
      <c r="F73" s="1515">
        <f>+D73*TableC4!D73/(1000)</f>
        <v>0</v>
      </c>
      <c r="G73" s="1516">
        <f t="shared" si="11"/>
        <v>0</v>
      </c>
      <c r="H73" s="1514">
        <f>D73*TableC4!N73/(1000)</f>
        <v>0</v>
      </c>
      <c r="I73" s="1515">
        <f>+D73*TableC4!O73/(1000)</f>
        <v>0</v>
      </c>
      <c r="J73" s="1517">
        <f t="shared" si="12"/>
        <v>0</v>
      </c>
      <c r="K73" s="1491"/>
      <c r="L73" s="1161"/>
      <c r="M73" s="1492"/>
      <c r="N73" s="1491"/>
      <c r="O73" s="1522"/>
      <c r="P73" s="1164"/>
      <c r="Q73" s="1184"/>
      <c r="R73" s="1184"/>
      <c r="S73" s="1184"/>
      <c r="T73" s="1184"/>
      <c r="U73" s="1184"/>
      <c r="V73" s="1184"/>
    </row>
    <row r="74" spans="1:22" ht="14.25" hidden="1" customHeight="1" x14ac:dyDescent="0.2">
      <c r="A74" s="958"/>
      <c r="B74" s="1154" t="s">
        <v>92</v>
      </c>
      <c r="C74" s="1214"/>
      <c r="D74" s="1867"/>
      <c r="E74" s="1514">
        <f>D74*TableC4!C74/(1000)</f>
        <v>0</v>
      </c>
      <c r="F74" s="1515">
        <f>+D74*TableC4!D74/(1000)</f>
        <v>0</v>
      </c>
      <c r="G74" s="1516">
        <f t="shared" si="11"/>
        <v>0</v>
      </c>
      <c r="H74" s="1514">
        <f>D74*TableC4!N74/(1000)</f>
        <v>0</v>
      </c>
      <c r="I74" s="1515">
        <f>+D74*TableC4!O74/(1000)</f>
        <v>0</v>
      </c>
      <c r="J74" s="1517">
        <f t="shared" si="12"/>
        <v>0</v>
      </c>
      <c r="K74" s="1491"/>
      <c r="L74" s="1161"/>
      <c r="M74" s="1492"/>
      <c r="N74" s="1491"/>
      <c r="O74" s="1522"/>
      <c r="P74" s="1164"/>
      <c r="Q74" s="1184"/>
      <c r="R74" s="1184"/>
      <c r="S74" s="1184"/>
      <c r="T74" s="1184"/>
      <c r="U74" s="1184"/>
      <c r="V74" s="1184"/>
    </row>
    <row r="75" spans="1:22" ht="14.25" hidden="1" customHeight="1" x14ac:dyDescent="0.2">
      <c r="A75" s="958"/>
      <c r="B75" s="1154" t="s">
        <v>93</v>
      </c>
      <c r="C75" s="1214"/>
      <c r="D75" s="1867"/>
      <c r="E75" s="1514">
        <f>D75*TableC4!C75/(1000)</f>
        <v>0</v>
      </c>
      <c r="F75" s="1515">
        <f>+D75*TableC4!D75/(1000)</f>
        <v>0</v>
      </c>
      <c r="G75" s="1516">
        <f t="shared" si="11"/>
        <v>0</v>
      </c>
      <c r="H75" s="1514">
        <f>D75*TableC4!N75/(1000)</f>
        <v>0</v>
      </c>
      <c r="I75" s="1515">
        <f>+D75*TableC4!O75/(1000)</f>
        <v>0</v>
      </c>
      <c r="J75" s="1517">
        <f t="shared" si="12"/>
        <v>0</v>
      </c>
      <c r="K75" s="1491"/>
      <c r="L75" s="1161"/>
      <c r="M75" s="1492"/>
      <c r="N75" s="1491"/>
      <c r="O75" s="1522"/>
      <c r="P75" s="1164"/>
      <c r="Q75" s="1184"/>
      <c r="R75" s="1184"/>
      <c r="S75" s="1184"/>
      <c r="T75" s="1184"/>
      <c r="U75" s="1184"/>
      <c r="V75" s="1184"/>
    </row>
    <row r="76" spans="1:22" ht="14.25" hidden="1" customHeight="1" x14ac:dyDescent="0.2">
      <c r="A76" s="958"/>
      <c r="B76" s="1154" t="s">
        <v>94</v>
      </c>
      <c r="C76" s="1214"/>
      <c r="D76" s="1867"/>
      <c r="E76" s="1514">
        <f>D76*TableC4!C76/(1000)</f>
        <v>0</v>
      </c>
      <c r="F76" s="1515">
        <f>+D76*TableC4!D76/(1000)</f>
        <v>0</v>
      </c>
      <c r="G76" s="1516">
        <f t="shared" si="11"/>
        <v>0</v>
      </c>
      <c r="H76" s="1514">
        <f>D76*TableC4!N76/(1000)</f>
        <v>0</v>
      </c>
      <c r="I76" s="1515">
        <f>+D76*TableC4!O76/(1000)</f>
        <v>0</v>
      </c>
      <c r="J76" s="1517">
        <f t="shared" si="12"/>
        <v>0</v>
      </c>
      <c r="K76" s="1491"/>
      <c r="L76" s="1161"/>
      <c r="M76" s="1492"/>
      <c r="N76" s="1491"/>
      <c r="O76" s="1522"/>
      <c r="P76" s="1164"/>
      <c r="Q76" s="1184"/>
      <c r="R76" s="1184"/>
      <c r="S76" s="1184"/>
      <c r="T76" s="1184"/>
      <c r="U76" s="1184"/>
      <c r="V76" s="1184"/>
    </row>
    <row r="77" spans="1:22" ht="14.25" hidden="1" customHeight="1" x14ac:dyDescent="0.2">
      <c r="A77" s="329" t="s">
        <v>342</v>
      </c>
      <c r="B77" s="1154" t="s">
        <v>95</v>
      </c>
      <c r="C77" s="1214"/>
      <c r="D77" s="1867"/>
      <c r="E77" s="1514">
        <f>D77*TableC4!C77/(1000)</f>
        <v>0</v>
      </c>
      <c r="F77" s="1515">
        <f>+D77*TableC4!D77/(1000)</f>
        <v>0</v>
      </c>
      <c r="G77" s="1516">
        <f t="shared" si="11"/>
        <v>0</v>
      </c>
      <c r="H77" s="1514">
        <f>D77*TableC4!N77/(1000)</f>
        <v>0</v>
      </c>
      <c r="I77" s="1515">
        <f>+D77*TableC4!O77/(1000)</f>
        <v>0</v>
      </c>
      <c r="J77" s="1517">
        <f t="shared" si="12"/>
        <v>0</v>
      </c>
      <c r="K77" s="1491"/>
      <c r="L77" s="1161"/>
      <c r="M77" s="1492"/>
      <c r="N77" s="1491"/>
      <c r="O77" s="1522"/>
      <c r="P77" s="1164"/>
      <c r="Q77" s="1184"/>
      <c r="R77" s="1184"/>
      <c r="S77" s="1184"/>
      <c r="T77" s="1184"/>
      <c r="U77" s="1184"/>
      <c r="V77" s="1184"/>
    </row>
    <row r="78" spans="1:22" ht="14.25" hidden="1" customHeight="1" x14ac:dyDescent="0.2">
      <c r="A78" s="958"/>
      <c r="B78" s="1154" t="s">
        <v>96</v>
      </c>
      <c r="C78" s="1214"/>
      <c r="D78" s="1867"/>
      <c r="E78" s="1514">
        <f>D78*TableC4!C78/(1000)</f>
        <v>0</v>
      </c>
      <c r="F78" s="1515">
        <f>+D78*TableC4!D78/(1000)</f>
        <v>0</v>
      </c>
      <c r="G78" s="1516">
        <f t="shared" si="11"/>
        <v>0</v>
      </c>
      <c r="H78" s="1514">
        <f>D78*TableC4!N78/(1000)</f>
        <v>0</v>
      </c>
      <c r="I78" s="1515">
        <f>+D78*TableC4!O78/(1000)</f>
        <v>0</v>
      </c>
      <c r="J78" s="1517">
        <f t="shared" si="12"/>
        <v>0</v>
      </c>
      <c r="K78" s="1491"/>
      <c r="L78" s="1161"/>
      <c r="M78" s="1492"/>
      <c r="N78" s="1491"/>
      <c r="O78" s="1522"/>
      <c r="P78" s="1164"/>
      <c r="Q78" s="1184"/>
      <c r="R78" s="1184"/>
      <c r="S78" s="1184"/>
      <c r="T78" s="1184"/>
      <c r="U78" s="1184"/>
      <c r="V78" s="1184"/>
    </row>
    <row r="79" spans="1:22" ht="14.25" hidden="1" customHeight="1" x14ac:dyDescent="0.2">
      <c r="A79" s="329" t="s">
        <v>373</v>
      </c>
      <c r="B79" s="1154" t="s">
        <v>97</v>
      </c>
      <c r="C79" s="1214"/>
      <c r="D79" s="1867"/>
      <c r="E79" s="1514">
        <f>D79*TableC4!C79/(1000)</f>
        <v>0</v>
      </c>
      <c r="F79" s="1515">
        <f>+D79*TableC4!D79/(1000)</f>
        <v>0</v>
      </c>
      <c r="G79" s="1516">
        <f t="shared" si="11"/>
        <v>0</v>
      </c>
      <c r="H79" s="1514">
        <f>D79*TableC4!N79/(1000)</f>
        <v>0</v>
      </c>
      <c r="I79" s="1515">
        <f>+D79*TableC4!O79/(1000)</f>
        <v>0</v>
      </c>
      <c r="J79" s="1517">
        <f t="shared" si="12"/>
        <v>0</v>
      </c>
      <c r="K79" s="1491"/>
      <c r="L79" s="1161"/>
      <c r="M79" s="1492"/>
      <c r="N79" s="1491"/>
      <c r="O79" s="1522"/>
      <c r="P79" s="1164"/>
      <c r="Q79" s="1184"/>
      <c r="R79" s="1184"/>
      <c r="S79" s="1184"/>
      <c r="T79" s="1184"/>
      <c r="U79" s="1184"/>
      <c r="V79" s="1184"/>
    </row>
    <row r="80" spans="1:22" ht="14.25" hidden="1" customHeight="1" x14ac:dyDescent="0.2">
      <c r="A80" s="958"/>
      <c r="B80" s="1154" t="str">
        <f>+TableA1!A79</f>
        <v>Monaco</v>
      </c>
      <c r="C80" s="1214"/>
      <c r="D80" s="1867"/>
      <c r="E80" s="1514">
        <f>D80*TableC4!C80/(1000)</f>
        <v>0</v>
      </c>
      <c r="F80" s="1515">
        <f>+D80*TableC4!D80/(1000)</f>
        <v>0</v>
      </c>
      <c r="G80" s="1516">
        <f t="shared" si="11"/>
        <v>0</v>
      </c>
      <c r="H80" s="1514">
        <f>D80*TableC4!N80/(1000)</f>
        <v>0</v>
      </c>
      <c r="I80" s="1515">
        <f>+D80*TableC4!O80/(1000)</f>
        <v>0</v>
      </c>
      <c r="J80" s="1517">
        <f t="shared" si="12"/>
        <v>0</v>
      </c>
      <c r="K80" s="1491"/>
      <c r="L80" s="1161"/>
      <c r="M80" s="1492"/>
      <c r="N80" s="1491"/>
      <c r="O80" s="1522"/>
      <c r="P80" s="1164"/>
      <c r="Q80" s="1184"/>
      <c r="R80" s="1184"/>
      <c r="S80" s="1184"/>
      <c r="T80" s="1184"/>
      <c r="U80" s="1184"/>
      <c r="V80" s="1184"/>
    </row>
    <row r="81" spans="1:22" ht="14.25" hidden="1" customHeight="1" x14ac:dyDescent="0.2">
      <c r="A81" s="958"/>
      <c r="B81" s="1154" t="s">
        <v>99</v>
      </c>
      <c r="C81" s="1214"/>
      <c r="D81" s="1867"/>
      <c r="E81" s="1514">
        <f>D81*TableC4!C81/(1000)</f>
        <v>0</v>
      </c>
      <c r="F81" s="1515">
        <f>+D81*TableC4!D81/(1000)</f>
        <v>0</v>
      </c>
      <c r="G81" s="1516">
        <f t="shared" si="11"/>
        <v>0</v>
      </c>
      <c r="H81" s="1514">
        <f>D81*TableC4!N81/(1000)</f>
        <v>0</v>
      </c>
      <c r="I81" s="1515">
        <f>+D81*TableC4!O81/(1000)</f>
        <v>0</v>
      </c>
      <c r="J81" s="1517">
        <f t="shared" si="12"/>
        <v>0</v>
      </c>
      <c r="K81" s="1491"/>
      <c r="L81" s="1161"/>
      <c r="M81" s="1492"/>
      <c r="N81" s="1491"/>
      <c r="O81" s="1522"/>
      <c r="P81" s="1164"/>
      <c r="Q81" s="1184"/>
      <c r="R81" s="1184"/>
      <c r="S81" s="1184"/>
      <c r="T81" s="1184"/>
      <c r="U81" s="1184"/>
      <c r="V81" s="1184"/>
    </row>
    <row r="82" spans="1:22" ht="14.25" hidden="1" customHeight="1" x14ac:dyDescent="0.2">
      <c r="A82" s="958"/>
      <c r="B82" s="1154" t="s">
        <v>100</v>
      </c>
      <c r="C82" s="1214"/>
      <c r="D82" s="1867"/>
      <c r="E82" s="1514">
        <f>D82*TableC4!C82/(1000)</f>
        <v>0</v>
      </c>
      <c r="F82" s="1515">
        <f>+D82*TableC4!D82/(1000)</f>
        <v>0</v>
      </c>
      <c r="G82" s="1516">
        <f t="shared" si="11"/>
        <v>0</v>
      </c>
      <c r="H82" s="1514">
        <f>D82*TableC4!N82/(1000)</f>
        <v>0</v>
      </c>
      <c r="I82" s="1515">
        <f>+D82*TableC4!O82/(1000)</f>
        <v>0</v>
      </c>
      <c r="J82" s="1517">
        <f t="shared" si="12"/>
        <v>0</v>
      </c>
      <c r="K82" s="1491"/>
      <c r="L82" s="1161"/>
      <c r="M82" s="1492"/>
      <c r="N82" s="1491"/>
      <c r="O82" s="1522"/>
      <c r="P82" s="1164"/>
      <c r="Q82" s="1184"/>
      <c r="R82" s="1184"/>
      <c r="S82" s="1184"/>
      <c r="T82" s="1184"/>
      <c r="U82" s="1184"/>
      <c r="V82" s="1184"/>
    </row>
    <row r="83" spans="1:22" ht="14.25" hidden="1" customHeight="1" x14ac:dyDescent="0.2">
      <c r="A83" s="958"/>
      <c r="B83" s="1154" t="str">
        <f>+TableA1!A82</f>
        <v>Seychelles</v>
      </c>
      <c r="C83" s="1214"/>
      <c r="D83" s="1867"/>
      <c r="E83" s="1514">
        <f>D83*TableC4!C83/(1000)</f>
        <v>0</v>
      </c>
      <c r="F83" s="1515">
        <f>+D83*TableC4!D83/(1000)</f>
        <v>0</v>
      </c>
      <c r="G83" s="1516">
        <f t="shared" si="11"/>
        <v>0</v>
      </c>
      <c r="H83" s="1514">
        <f>D83*TableC4!N83/(1000)</f>
        <v>0</v>
      </c>
      <c r="I83" s="1515">
        <f>+D83*TableC4!O83/(1000)</f>
        <v>0</v>
      </c>
      <c r="J83" s="1517">
        <f t="shared" si="12"/>
        <v>0</v>
      </c>
      <c r="K83" s="1491"/>
      <c r="L83" s="1161"/>
      <c r="M83" s="1492"/>
      <c r="N83" s="1491"/>
      <c r="O83" s="1522"/>
      <c r="P83" s="1164"/>
      <c r="Q83" s="1184"/>
      <c r="R83" s="1184"/>
      <c r="S83" s="1184"/>
      <c r="T83" s="1184"/>
      <c r="U83" s="1184"/>
      <c r="V83" s="1184"/>
    </row>
    <row r="84" spans="1:22" hidden="1" x14ac:dyDescent="0.2">
      <c r="A84" s="958"/>
      <c r="B84" s="1154" t="s">
        <v>102</v>
      </c>
      <c r="C84" s="1214"/>
      <c r="D84" s="1867"/>
      <c r="E84" s="1514">
        <f>D84*TableC4!C84/(1000)</f>
        <v>0</v>
      </c>
      <c r="F84" s="1515">
        <f>+D84*TableC4!D84/(1000)</f>
        <v>0</v>
      </c>
      <c r="G84" s="1516">
        <f t="shared" si="11"/>
        <v>0</v>
      </c>
      <c r="H84" s="1514">
        <f>D84*TableC4!N84/(1000)</f>
        <v>0</v>
      </c>
      <c r="I84" s="1515">
        <f>+D84*TableC4!O84/(1000)</f>
        <v>0</v>
      </c>
      <c r="J84" s="1517">
        <f t="shared" si="12"/>
        <v>0</v>
      </c>
      <c r="K84" s="1491"/>
      <c r="L84" s="1161"/>
      <c r="M84" s="1492"/>
      <c r="N84" s="1491"/>
      <c r="O84" s="1522"/>
      <c r="P84" s="1164"/>
      <c r="Q84" s="1184"/>
      <c r="R84" s="1184"/>
      <c r="S84" s="1184"/>
      <c r="T84" s="1184"/>
      <c r="U84" s="1184"/>
      <c r="V84" s="1184"/>
    </row>
    <row r="85" spans="1:22" hidden="1" x14ac:dyDescent="0.2">
      <c r="A85" s="958"/>
      <c r="B85" s="1154" t="str">
        <f>+TableA1!A84</f>
        <v>St. Kitts and Nevis</v>
      </c>
      <c r="C85" s="1214"/>
      <c r="D85" s="1867"/>
      <c r="E85" s="1514">
        <f>D85*TableC4!C85/(1000)</f>
        <v>0</v>
      </c>
      <c r="F85" s="1515">
        <f>+D85*TableC4!D85/(1000)</f>
        <v>0</v>
      </c>
      <c r="G85" s="1516">
        <f t="shared" si="11"/>
        <v>0</v>
      </c>
      <c r="H85" s="1514">
        <f>D85*TableC4!N85/(1000)</f>
        <v>0</v>
      </c>
      <c r="I85" s="1515">
        <f>+D85*TableC4!O85/(1000)</f>
        <v>0</v>
      </c>
      <c r="J85" s="1517">
        <f t="shared" si="12"/>
        <v>0</v>
      </c>
      <c r="K85" s="1491"/>
      <c r="L85" s="1161"/>
      <c r="M85" s="1492"/>
      <c r="N85" s="1491"/>
      <c r="O85" s="1522"/>
      <c r="P85" s="1164"/>
      <c r="Q85" s="1184"/>
      <c r="R85" s="1184"/>
      <c r="S85" s="1184"/>
      <c r="T85" s="1184"/>
      <c r="U85" s="1184"/>
      <c r="V85" s="1184"/>
    </row>
    <row r="86" spans="1:22" hidden="1" x14ac:dyDescent="0.2">
      <c r="A86" s="958"/>
      <c r="B86" s="1154" t="str">
        <f>+TableA1!A85</f>
        <v>St. Lucia</v>
      </c>
      <c r="C86" s="1214"/>
      <c r="D86" s="1867"/>
      <c r="E86" s="1514">
        <f>D86*TableC4!C86/(1000)</f>
        <v>0</v>
      </c>
      <c r="F86" s="1515">
        <f>+D86*TableC4!D86/(1000)</f>
        <v>0</v>
      </c>
      <c r="G86" s="1516">
        <f t="shared" si="11"/>
        <v>0</v>
      </c>
      <c r="H86" s="1514">
        <f>D86*TableC4!N86/(1000)</f>
        <v>0</v>
      </c>
      <c r="I86" s="1515">
        <f>+D86*TableC4!O86/(1000)</f>
        <v>0</v>
      </c>
      <c r="J86" s="1517">
        <f t="shared" si="12"/>
        <v>0</v>
      </c>
      <c r="K86" s="1491"/>
      <c r="L86" s="1161"/>
      <c r="M86" s="1492"/>
      <c r="N86" s="1491"/>
      <c r="O86" s="1522"/>
      <c r="P86" s="1164"/>
      <c r="Q86" s="1184"/>
      <c r="R86" s="1184"/>
      <c r="S86" s="1184"/>
      <c r="T86" s="1184"/>
      <c r="U86" s="1184"/>
      <c r="V86" s="1184"/>
    </row>
    <row r="87" spans="1:22" hidden="1" x14ac:dyDescent="0.2">
      <c r="A87" s="958"/>
      <c r="B87" s="1154" t="str">
        <f>+TableA1!A86</f>
        <v>St. Vincent and the Grenadines</v>
      </c>
      <c r="C87" s="1214"/>
      <c r="D87" s="1867"/>
      <c r="E87" s="1514">
        <f>D87*TableC4!C87/(1000)</f>
        <v>0</v>
      </c>
      <c r="F87" s="1515">
        <f>+D87*TableC4!D87/(1000)</f>
        <v>0</v>
      </c>
      <c r="G87" s="1516">
        <f t="shared" si="11"/>
        <v>0</v>
      </c>
      <c r="H87" s="1514">
        <f>D87*TableC4!N87/(1000)</f>
        <v>0</v>
      </c>
      <c r="I87" s="1515">
        <f>+D87*TableC4!O87/(1000)</f>
        <v>0</v>
      </c>
      <c r="J87" s="1517">
        <f t="shared" si="12"/>
        <v>0</v>
      </c>
      <c r="K87" s="1491"/>
      <c r="L87" s="1161"/>
      <c r="M87" s="1492"/>
      <c r="N87" s="1491"/>
      <c r="O87" s="1522"/>
      <c r="P87" s="1164"/>
      <c r="Q87" s="1184"/>
      <c r="R87" s="1184"/>
      <c r="S87" s="1184"/>
      <c r="T87" s="1184"/>
      <c r="U87" s="1184"/>
      <c r="V87" s="1184"/>
    </row>
    <row r="88" spans="1:22" hidden="1" x14ac:dyDescent="0.2">
      <c r="A88" s="329" t="s">
        <v>374</v>
      </c>
      <c r="B88" s="1154" t="str">
        <f>+TableA1!A87</f>
        <v>Turks and Caicos</v>
      </c>
      <c r="C88" s="1214"/>
      <c r="D88" s="1867"/>
      <c r="E88" s="1514">
        <f>D88*TableC4!C88/(1000)</f>
        <v>0</v>
      </c>
      <c r="F88" s="1515">
        <f>+D88*TableC4!D88/(1000)</f>
        <v>0</v>
      </c>
      <c r="G88" s="1516">
        <f t="shared" si="11"/>
        <v>0</v>
      </c>
      <c r="H88" s="1514">
        <f>D88*TableC4!N88/(1000)</f>
        <v>0</v>
      </c>
      <c r="I88" s="1515">
        <f>+D88*TableC4!O88/(1000)</f>
        <v>0</v>
      </c>
      <c r="J88" s="1517">
        <f t="shared" si="12"/>
        <v>0</v>
      </c>
      <c r="K88" s="1491"/>
      <c r="L88" s="1161"/>
      <c r="M88" s="1492"/>
      <c r="N88" s="1491"/>
      <c r="O88" s="1522"/>
      <c r="P88" s="1164"/>
      <c r="Q88" s="1184"/>
      <c r="R88" s="1184"/>
      <c r="S88" s="1184"/>
      <c r="T88" s="1184"/>
      <c r="U88" s="1184"/>
      <c r="V88" s="1184"/>
    </row>
    <row r="89" spans="1:22" hidden="1" x14ac:dyDescent="0.2">
      <c r="A89" s="958"/>
      <c r="B89" s="1154" t="str">
        <f>+TableA1!A88</f>
        <v>Panama</v>
      </c>
      <c r="C89" s="1214"/>
      <c r="D89" s="1867"/>
      <c r="E89" s="1514">
        <f>D89*TableC4!C89/(1000)</f>
        <v>0</v>
      </c>
      <c r="F89" s="1515">
        <f>+D89*TableC4!D89/(1000)</f>
        <v>0</v>
      </c>
      <c r="G89" s="1516">
        <f t="shared" si="11"/>
        <v>0</v>
      </c>
      <c r="H89" s="1514">
        <f>D89*TableC4!N89/(1000)</f>
        <v>0</v>
      </c>
      <c r="I89" s="1515">
        <f>+D89*TableC4!O89/(1000)</f>
        <v>0</v>
      </c>
      <c r="J89" s="1517">
        <f t="shared" si="12"/>
        <v>0</v>
      </c>
      <c r="K89" s="1491"/>
      <c r="L89" s="1161"/>
      <c r="M89" s="1492"/>
      <c r="N89" s="1491"/>
      <c r="O89" s="1522"/>
      <c r="P89" s="1164"/>
      <c r="Q89" s="1184"/>
      <c r="R89" s="1184"/>
      <c r="S89" s="1184"/>
      <c r="T89" s="1184"/>
      <c r="U89" s="1184"/>
      <c r="V89" s="1184"/>
    </row>
    <row r="90" spans="1:22" hidden="1" x14ac:dyDescent="0.2">
      <c r="A90" s="958"/>
      <c r="B90" s="1154" t="s">
        <v>108</v>
      </c>
      <c r="C90" s="1214"/>
      <c r="D90" s="1867"/>
      <c r="E90" s="1514">
        <f>D90*TableC4!C90/(1000)</f>
        <v>0</v>
      </c>
      <c r="F90" s="1515">
        <f>+D90*TableC4!D90/(1000)</f>
        <v>0</v>
      </c>
      <c r="G90" s="1516">
        <f t="shared" si="11"/>
        <v>0</v>
      </c>
      <c r="H90" s="1514">
        <f>D90*TableC4!N90/(1000)</f>
        <v>0</v>
      </c>
      <c r="I90" s="1515">
        <f>+D90*TableC4!O90/(1000)</f>
        <v>0</v>
      </c>
      <c r="J90" s="1517">
        <f t="shared" si="12"/>
        <v>0</v>
      </c>
      <c r="K90" s="1491"/>
      <c r="L90" s="1161"/>
      <c r="M90" s="1492"/>
      <c r="N90" s="1491"/>
      <c r="O90" s="1522"/>
      <c r="P90" s="1164"/>
      <c r="Q90" s="1184"/>
      <c r="R90" s="1184"/>
      <c r="S90" s="1184"/>
      <c r="T90" s="1184"/>
      <c r="U90" s="1184"/>
      <c r="V90" s="1184"/>
    </row>
    <row r="91" spans="1:22" ht="40" customHeight="1" x14ac:dyDescent="0.2">
      <c r="A91" s="958"/>
      <c r="B91" s="1467" t="s">
        <v>155</v>
      </c>
      <c r="C91" s="1523">
        <f>+TableA3!G90</f>
        <v>266.94859926828144</v>
      </c>
      <c r="D91" s="1524">
        <v>0.23739999999999997</v>
      </c>
      <c r="E91" s="1525">
        <f>D91*TableC4!C91/(1000)</f>
        <v>18.687705941084808</v>
      </c>
      <c r="F91" s="1526">
        <f>+D91*TableC4!D91/(1000)</f>
        <v>7.627293688862026</v>
      </c>
      <c r="G91" s="1527">
        <f t="shared" si="11"/>
        <v>11.060412252222783</v>
      </c>
      <c r="H91" s="1525">
        <f>D91*TableC4!N91/(1000)</f>
        <v>4.7300037318571091</v>
      </c>
      <c r="I91" s="1526">
        <f>+D91*TableC4!O91/(1000)</f>
        <v>0.58899913651554581</v>
      </c>
      <c r="J91" s="1528">
        <f t="shared" si="12"/>
        <v>4.1410045953415633</v>
      </c>
      <c r="K91" s="1529">
        <f t="shared" ref="K91:P91" si="13">+E91/$C91</f>
        <v>7.0004884806695672E-2</v>
      </c>
      <c r="L91" s="1530">
        <f t="shared" si="13"/>
        <v>2.857214351290396E-2</v>
      </c>
      <c r="M91" s="1531">
        <f t="shared" si="13"/>
        <v>4.1432741293791722E-2</v>
      </c>
      <c r="N91" s="1529">
        <f t="shared" si="13"/>
        <v>1.7718780862017145E-2</v>
      </c>
      <c r="O91" s="1532">
        <f t="shared" si="13"/>
        <v>2.2064140367472236E-3</v>
      </c>
      <c r="P91" s="1533">
        <f t="shared" si="13"/>
        <v>1.5512366825269921E-2</v>
      </c>
      <c r="Q91" s="266"/>
      <c r="R91" s="266"/>
      <c r="S91" s="266"/>
      <c r="T91" s="266"/>
      <c r="U91" s="266"/>
      <c r="V91" s="266"/>
    </row>
    <row r="92" spans="1:22" ht="40" hidden="1" customHeight="1" x14ac:dyDescent="0.2">
      <c r="A92" s="958"/>
      <c r="B92" s="622"/>
      <c r="C92" s="304"/>
      <c r="D92" s="652"/>
      <c r="E92" s="265">
        <f>D92*TableC4!C92/(1000)</f>
        <v>0</v>
      </c>
      <c r="F92" s="266">
        <f>+D92*TableC4!D92/(1000)</f>
        <v>0</v>
      </c>
      <c r="G92" s="266">
        <f t="shared" ref="G92:G93" si="14">+E92-F92</f>
        <v>0</v>
      </c>
      <c r="H92" s="265">
        <f>D92*TableC4!N92/(1000)</f>
        <v>0</v>
      </c>
      <c r="I92" s="266">
        <f>+D92*TableC4!O92/(1000)</f>
        <v>0</v>
      </c>
      <c r="J92" s="641">
        <f t="shared" ref="J92:J93" si="15">+H92-I92</f>
        <v>0</v>
      </c>
      <c r="K92" s="1534"/>
      <c r="L92" s="1216"/>
      <c r="M92" s="1216"/>
      <c r="N92" s="1534"/>
      <c r="O92" s="1521"/>
      <c r="P92" s="1436"/>
      <c r="Q92" s="266"/>
      <c r="R92" s="266"/>
      <c r="S92" s="266"/>
      <c r="T92" s="266"/>
      <c r="U92" s="266"/>
      <c r="V92" s="266"/>
    </row>
    <row r="93" spans="1:22" ht="34.5" customHeight="1" thickBot="1" x14ac:dyDescent="0.25">
      <c r="A93" s="958"/>
      <c r="B93" s="263" t="str">
        <f>+TableC3!B91</f>
        <v>Non-haven total</v>
      </c>
      <c r="C93" s="292">
        <f>+C91+C10+C46</f>
        <v>1986.5618629909525</v>
      </c>
      <c r="D93" s="653"/>
      <c r="E93" s="645">
        <f>E91+E46+E10</f>
        <v>181.4024073037761</v>
      </c>
      <c r="F93" s="1535">
        <f>F91+F46+F10</f>
        <v>82.434115096975276</v>
      </c>
      <c r="G93" s="1535">
        <f t="shared" si="14"/>
        <v>98.968292206800825</v>
      </c>
      <c r="H93" s="645">
        <f>H91+H46+H10</f>
        <v>207.39999938490325</v>
      </c>
      <c r="I93" s="1535">
        <f>I91+I46+I10</f>
        <v>113.26534821687198</v>
      </c>
      <c r="J93" s="1535">
        <f t="shared" si="15"/>
        <v>94.134651168031269</v>
      </c>
      <c r="K93" s="1536">
        <f t="shared" ref="K93:P93" si="16">+E93/$C93</f>
        <v>9.1314753737725546E-2</v>
      </c>
      <c r="L93" s="1537">
        <f t="shared" si="16"/>
        <v>4.1495871149395319E-2</v>
      </c>
      <c r="M93" s="1537">
        <f t="shared" si="16"/>
        <v>4.9818882588330227E-2</v>
      </c>
      <c r="N93" s="1536">
        <f t="shared" si="16"/>
        <v>0.10440148039117361</v>
      </c>
      <c r="O93" s="1538">
        <f t="shared" si="16"/>
        <v>5.7015766952427313E-2</v>
      </c>
      <c r="P93" s="1539">
        <f t="shared" si="16"/>
        <v>4.7385713438746306E-2</v>
      </c>
      <c r="Q93" s="246"/>
      <c r="R93" s="246"/>
      <c r="S93" s="246"/>
      <c r="T93" s="246"/>
      <c r="U93" s="246"/>
      <c r="V93" s="246"/>
    </row>
    <row r="94" spans="1:22" s="2" customFormat="1" ht="17" thickTop="1" x14ac:dyDescent="0.2">
      <c r="F94" s="958"/>
      <c r="G94" s="958"/>
      <c r="I94" s="958"/>
      <c r="J94" s="958"/>
      <c r="L94" s="958"/>
      <c r="M94" s="958"/>
      <c r="O94" s="958"/>
      <c r="P94" s="958"/>
      <c r="Q94" s="958"/>
      <c r="R94" s="958"/>
      <c r="S94" s="958"/>
      <c r="T94" s="958"/>
      <c r="U94" s="958"/>
      <c r="V94" s="958"/>
    </row>
    <row r="95" spans="1:22" s="2" customFormat="1" x14ac:dyDescent="0.2">
      <c r="B95" s="958"/>
      <c r="C95" s="958"/>
      <c r="D95" s="958"/>
      <c r="E95" s="958"/>
      <c r="F95" s="958"/>
      <c r="G95" s="958"/>
      <c r="H95" s="958"/>
      <c r="I95" s="958"/>
      <c r="J95" s="958"/>
      <c r="K95" s="958"/>
      <c r="L95" s="958"/>
      <c r="M95" s="958"/>
      <c r="N95" s="958"/>
      <c r="O95" s="958"/>
      <c r="P95" s="958"/>
      <c r="Q95" s="958"/>
      <c r="R95" s="958"/>
      <c r="S95" s="958"/>
      <c r="T95" s="958"/>
      <c r="U95" s="958"/>
      <c r="V95" s="958"/>
    </row>
  </sheetData>
  <mergeCells count="13">
    <mergeCell ref="B4:P4"/>
    <mergeCell ref="E6:J6"/>
    <mergeCell ref="E7:G7"/>
    <mergeCell ref="H7:J7"/>
    <mergeCell ref="E8:E9"/>
    <mergeCell ref="H8:H9"/>
    <mergeCell ref="K6:P6"/>
    <mergeCell ref="K7:M7"/>
    <mergeCell ref="N7:P7"/>
    <mergeCell ref="K8:K9"/>
    <mergeCell ref="N8:N9"/>
    <mergeCell ref="C6:C9"/>
    <mergeCell ref="D6:D9"/>
  </mergeCells>
  <phoneticPr fontId="36" type="noConversion"/>
  <pageMargins left="0.7" right="0.7" top="0.75" bottom="0.75" header="0.3" footer="0.3"/>
  <pageSetup scale="62" fitToHeight="2" orientation="landscape"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3:O96"/>
  <sheetViews>
    <sheetView workbookViewId="0">
      <pane xSplit="2" ySplit="10" topLeftCell="C92" activePane="bottomRight" state="frozen"/>
      <selection pane="topRight" activeCell="AR8" sqref="AR8"/>
      <selection pane="bottomLeft" activeCell="AR8" sqref="AR8"/>
      <selection pane="bottomRight" activeCell="B5" sqref="B5:N93"/>
    </sheetView>
  </sheetViews>
  <sheetFormatPr baseColWidth="10" defaultColWidth="10.83203125" defaultRowHeight="16" x14ac:dyDescent="0.2"/>
  <cols>
    <col min="1" max="1" width="17.5" style="1" hidden="1" customWidth="1"/>
    <col min="2" max="2" width="19" style="1" customWidth="1"/>
    <col min="3" max="14" width="12.83203125" style="1" customWidth="1"/>
    <col min="15" max="15" width="19.6640625" style="1" customWidth="1"/>
    <col min="16" max="16384" width="10.83203125" style="1"/>
  </cols>
  <sheetData>
    <row r="3" spans="2:15" ht="17" thickBot="1" x14ac:dyDescent="0.25">
      <c r="B3" s="958"/>
      <c r="C3" s="958"/>
      <c r="D3" s="958"/>
      <c r="E3" s="958"/>
      <c r="F3" s="958"/>
      <c r="G3" s="958"/>
      <c r="H3" s="958"/>
      <c r="I3" s="958"/>
      <c r="J3" s="958"/>
      <c r="K3" s="958"/>
      <c r="L3" s="958"/>
      <c r="M3" s="958"/>
      <c r="N3" s="958"/>
      <c r="O3" s="958"/>
    </row>
    <row r="4" spans="2:15" ht="15.75" hidden="1" customHeight="1" thickBot="1" x14ac:dyDescent="0.25">
      <c r="B4" s="958"/>
      <c r="C4" s="958"/>
      <c r="D4" s="958"/>
      <c r="E4" s="958"/>
      <c r="F4" s="958"/>
      <c r="G4" s="958"/>
      <c r="H4" s="958"/>
      <c r="I4" s="958"/>
      <c r="J4" s="958"/>
      <c r="K4" s="958"/>
      <c r="L4" s="958"/>
      <c r="M4" s="958"/>
      <c r="N4" s="958"/>
      <c r="O4" s="958"/>
    </row>
    <row r="5" spans="2:15" ht="32.25" customHeight="1" thickTop="1" x14ac:dyDescent="0.2">
      <c r="B5" s="1934" t="s">
        <v>665</v>
      </c>
      <c r="C5" s="1935"/>
      <c r="D5" s="1935"/>
      <c r="E5" s="1935"/>
      <c r="F5" s="1935"/>
      <c r="G5" s="1935"/>
      <c r="H5" s="1935"/>
      <c r="I5" s="1935"/>
      <c r="J5" s="1935"/>
      <c r="K5" s="1935"/>
      <c r="L5" s="1935"/>
      <c r="M5" s="1935"/>
      <c r="N5" s="1936"/>
      <c r="O5" s="620"/>
    </row>
    <row r="6" spans="2:15" ht="20" x14ac:dyDescent="0.2">
      <c r="B6" s="4"/>
      <c r="C6" s="160" t="s">
        <v>1</v>
      </c>
      <c r="D6" s="160" t="s">
        <v>2</v>
      </c>
      <c r="E6" s="160" t="s">
        <v>3</v>
      </c>
      <c r="F6" s="160" t="s">
        <v>4</v>
      </c>
      <c r="G6" s="160" t="s">
        <v>5</v>
      </c>
      <c r="H6" s="160" t="s">
        <v>6</v>
      </c>
      <c r="I6" s="160" t="s">
        <v>7</v>
      </c>
      <c r="J6" s="160" t="s">
        <v>8</v>
      </c>
      <c r="K6" s="160" t="s">
        <v>9</v>
      </c>
      <c r="L6" s="160" t="s">
        <v>10</v>
      </c>
      <c r="M6" s="160" t="s">
        <v>11</v>
      </c>
      <c r="N6" s="6" t="s">
        <v>12</v>
      </c>
      <c r="O6" s="620"/>
    </row>
    <row r="7" spans="2:15" ht="22" customHeight="1" x14ac:dyDescent="0.2">
      <c r="B7" s="4"/>
      <c r="C7" s="2278" t="s">
        <v>666</v>
      </c>
      <c r="D7" s="2281" t="s">
        <v>662</v>
      </c>
      <c r="E7" s="2099" t="s">
        <v>667</v>
      </c>
      <c r="F7" s="2099"/>
      <c r="G7" s="2099"/>
      <c r="H7" s="2099"/>
      <c r="I7" s="2099"/>
      <c r="J7" s="2098" t="s">
        <v>668</v>
      </c>
      <c r="K7" s="2099"/>
      <c r="L7" s="2099"/>
      <c r="M7" s="2099"/>
      <c r="N7" s="2175"/>
      <c r="O7" s="620"/>
    </row>
    <row r="8" spans="2:15" ht="21" customHeight="1" x14ac:dyDescent="0.2">
      <c r="B8" s="1154"/>
      <c r="C8" s="2279"/>
      <c r="D8" s="2282"/>
      <c r="E8" s="2291" t="s">
        <v>669</v>
      </c>
      <c r="F8" s="2087"/>
      <c r="G8" s="2087"/>
      <c r="H8" s="2285" t="s">
        <v>670</v>
      </c>
      <c r="I8" s="2288" t="s">
        <v>671</v>
      </c>
      <c r="J8" s="2289" t="s">
        <v>669</v>
      </c>
      <c r="K8" s="2087"/>
      <c r="L8" s="2089"/>
      <c r="M8" s="2285" t="s">
        <v>670</v>
      </c>
      <c r="N8" s="2290" t="s">
        <v>671</v>
      </c>
      <c r="O8" s="1041"/>
    </row>
    <row r="9" spans="2:15" ht="85" customHeight="1" x14ac:dyDescent="0.2">
      <c r="B9" s="1154"/>
      <c r="C9" s="2279"/>
      <c r="D9" s="2282"/>
      <c r="E9" s="2066" t="s">
        <v>672</v>
      </c>
      <c r="F9" s="1819" t="s">
        <v>673</v>
      </c>
      <c r="G9" s="1485" t="s">
        <v>674</v>
      </c>
      <c r="H9" s="2286"/>
      <c r="I9" s="2288"/>
      <c r="J9" s="2278" t="s">
        <v>672</v>
      </c>
      <c r="K9" s="1819" t="s">
        <v>673</v>
      </c>
      <c r="L9" s="1485" t="s">
        <v>674</v>
      </c>
      <c r="M9" s="2286"/>
      <c r="N9" s="2290"/>
      <c r="O9" s="1486"/>
    </row>
    <row r="10" spans="2:15" x14ac:dyDescent="0.2">
      <c r="B10" s="1154"/>
      <c r="C10" s="2280"/>
      <c r="D10" s="2283"/>
      <c r="E10" s="2284"/>
      <c r="F10" s="1540"/>
      <c r="G10" s="1541"/>
      <c r="H10" s="2287"/>
      <c r="I10" s="2288"/>
      <c r="J10" s="2280"/>
      <c r="K10" s="1540"/>
      <c r="L10" s="1541"/>
      <c r="M10" s="2287"/>
      <c r="N10" s="2290"/>
      <c r="O10" s="1486"/>
    </row>
    <row r="11" spans="2:15" ht="40" customHeight="1" x14ac:dyDescent="0.2">
      <c r="B11" s="8" t="s">
        <v>28</v>
      </c>
      <c r="C11" s="640">
        <f>+SUM(C12:C46)</f>
        <v>1127.4155729148408</v>
      </c>
      <c r="D11" s="430"/>
      <c r="E11" s="425">
        <f>+F11+G11</f>
        <v>578.79392984507649</v>
      </c>
      <c r="F11" s="654">
        <f>+SUM(F12:F46)</f>
        <v>368.67890901862586</v>
      </c>
      <c r="G11" s="430">
        <f>+SUM(G12:G46)</f>
        <v>210.11502082645069</v>
      </c>
      <c r="H11" s="425">
        <f>+TableC4!C10/1000</f>
        <v>435.14424979196116</v>
      </c>
      <c r="I11" s="430">
        <f>+TableC4!N10/1000</f>
        <v>533.27490660975616</v>
      </c>
      <c r="J11" s="656">
        <f>+SUMPRODUCT(J12:J46,$C$12:$C$46)/$C$11</f>
        <v>0.15577118131706294</v>
      </c>
      <c r="K11" s="657">
        <f t="shared" ref="K11:N11" si="0">+SUMPRODUCT(K12:K46,$C$12:$C$46)/$C$11</f>
        <v>9.0874794528675487E-2</v>
      </c>
      <c r="L11" s="658">
        <f t="shared" si="0"/>
        <v>6.4896386788387439E-2</v>
      </c>
      <c r="M11" s="656">
        <f t="shared" si="0"/>
        <v>0.12000189394058861</v>
      </c>
      <c r="N11" s="661">
        <f t="shared" si="0"/>
        <v>0.1647079512343522</v>
      </c>
      <c r="O11" s="246"/>
    </row>
    <row r="12" spans="2:15" x14ac:dyDescent="0.2">
      <c r="B12" s="1155" t="s">
        <v>29</v>
      </c>
      <c r="C12" s="1199">
        <f>+TableA3!H10</f>
        <v>53.085816886912227</v>
      </c>
      <c r="D12" s="1166">
        <v>0.3</v>
      </c>
      <c r="E12" s="1542">
        <f>+F12+G12</f>
        <v>11.913869138592107</v>
      </c>
      <c r="F12" s="1543">
        <f>-TableA7!P10</f>
        <v>11.223955605361816</v>
      </c>
      <c r="G12" s="1544">
        <f>(TableA7!$P$91-$F$93)*TableC4b!F12</f>
        <v>0.68991353323029114</v>
      </c>
      <c r="H12" s="1545">
        <f>+TableC4!C11/1000</f>
        <v>12.959094629306808</v>
      </c>
      <c r="I12" s="1546">
        <f>+TableC4!N11/1000</f>
        <v>1.7510103445011536</v>
      </c>
      <c r="J12" s="1547">
        <f>+(E12*$D12)/$C12</f>
        <v>6.7327978567073815E-2</v>
      </c>
      <c r="K12" s="1548">
        <f t="shared" ref="K12:K54" si="1">+(F12*$D12)/$C12</f>
        <v>6.3429120602619765E-2</v>
      </c>
      <c r="L12" s="1549">
        <f>+(G12*$D12)/$C12</f>
        <v>3.8988579644540556E-3</v>
      </c>
      <c r="M12" s="1550">
        <f t="shared" ref="M12:M54" si="2">+(H12*$D12)/$C12</f>
        <v>7.3234785047652198E-2</v>
      </c>
      <c r="N12" s="1551">
        <f t="shared" ref="N12:N54" si="3">+(I12*$D12)/$C12</f>
        <v>9.8953568797743082E-3</v>
      </c>
      <c r="O12" s="9"/>
    </row>
    <row r="13" spans="2:15" x14ac:dyDescent="0.2">
      <c r="B13" s="1155" t="s">
        <v>30</v>
      </c>
      <c r="C13" s="1199">
        <f>+TableA3!H11</f>
        <v>8.4946481984874556</v>
      </c>
      <c r="D13" s="1166">
        <v>0.25</v>
      </c>
      <c r="E13" s="1542">
        <f t="shared" ref="E13:E54" si="4">+F13+G13</f>
        <v>3.4761409311748879</v>
      </c>
      <c r="F13" s="1543">
        <f>-TableA7!P11</f>
        <v>2.5981950816013484</v>
      </c>
      <c r="G13" s="1544">
        <f>+(TableA7!$P$91-$F$93)*TableC4b!F13</f>
        <v>0.87794584957353938</v>
      </c>
      <c r="H13" s="1545">
        <f>+TableC4!C12/1000</f>
        <v>3.5894388002507043</v>
      </c>
      <c r="I13" s="1546">
        <f>+TableC4!N12/1000</f>
        <v>2.2282390335456395</v>
      </c>
      <c r="J13" s="1547">
        <f t="shared" ref="J13:J54" si="5">+(E13*$D13)/$C13</f>
        <v>0.102303852082828</v>
      </c>
      <c r="K13" s="1548">
        <f t="shared" si="1"/>
        <v>7.6465646984179375E-2</v>
      </c>
      <c r="L13" s="1549">
        <f t="shared" ref="L13:L54" si="6">+(G13*$D13)/$C13</f>
        <v>2.5838205098648617E-2</v>
      </c>
      <c r="M13" s="1550">
        <f t="shared" si="2"/>
        <v>0.10563824176055445</v>
      </c>
      <c r="N13" s="1551">
        <f t="shared" si="3"/>
        <v>6.5577731457507463E-2</v>
      </c>
      <c r="O13" s="9"/>
    </row>
    <row r="14" spans="2:15" x14ac:dyDescent="0.2">
      <c r="B14" s="1155" t="s">
        <v>31</v>
      </c>
      <c r="C14" s="1199"/>
      <c r="D14" s="1222"/>
      <c r="E14" s="1542"/>
      <c r="F14" s="1543"/>
      <c r="G14" s="1544"/>
      <c r="H14" s="1545"/>
      <c r="I14" s="1546"/>
      <c r="J14" s="1547"/>
      <c r="K14" s="1548"/>
      <c r="L14" s="1549"/>
      <c r="M14" s="1550"/>
      <c r="N14" s="1552"/>
      <c r="O14" s="1519"/>
    </row>
    <row r="15" spans="2:15" x14ac:dyDescent="0.2">
      <c r="B15" s="1155" t="s">
        <v>32</v>
      </c>
      <c r="C15" s="1199">
        <f>+TableA3!H13</f>
        <v>49.479398763816377</v>
      </c>
      <c r="D15" s="1166">
        <v>0.26500000000000001</v>
      </c>
      <c r="E15" s="1542">
        <f t="shared" si="4"/>
        <v>-23.616458651991657</v>
      </c>
      <c r="F15" s="1543">
        <f>-TableA7!P13</f>
        <v>-30.089596637272944</v>
      </c>
      <c r="G15" s="1544">
        <f>+(TableA7!$P$91-$F$93)*TableC4b!F15</f>
        <v>6.4731379852812863</v>
      </c>
      <c r="H15" s="1545">
        <f>+TableC4!C14/1000</f>
        <v>18.916079243072261</v>
      </c>
      <c r="I15" s="1546">
        <f>+TableC4!N14/1000</f>
        <v>16.428916128867204</v>
      </c>
      <c r="J15" s="1547">
        <f t="shared" si="5"/>
        <v>-0.12648418734130709</v>
      </c>
      <c r="K15" s="1548">
        <f t="shared" si="1"/>
        <v>-0.1611527890009129</v>
      </c>
      <c r="L15" s="1549">
        <f t="shared" si="6"/>
        <v>3.4668601659605787E-2</v>
      </c>
      <c r="M15" s="1550">
        <f t="shared" si="2"/>
        <v>0.10131006286761744</v>
      </c>
      <c r="N15" s="1551">
        <f t="shared" si="3"/>
        <v>8.798940332584608E-2</v>
      </c>
      <c r="O15" s="1519"/>
    </row>
    <row r="16" spans="2:15" x14ac:dyDescent="0.2">
      <c r="B16" s="1155" t="s">
        <v>33</v>
      </c>
      <c r="C16" s="1199">
        <f>+TableA3!H14</f>
        <v>10.455405560058267</v>
      </c>
      <c r="D16" s="1166">
        <v>0.24</v>
      </c>
      <c r="E16" s="1542">
        <f t="shared" si="4"/>
        <v>0.15730104321255003</v>
      </c>
      <c r="F16" s="1543">
        <f>-TableA7!P14</f>
        <v>0.19845199904374233</v>
      </c>
      <c r="G16" s="1544">
        <f>+(TableA7!$P$91-$F$93)*TableC4b!F16</f>
        <v>-4.1150955831192298E-2</v>
      </c>
      <c r="H16" s="1545">
        <f>+TableC4!C15/1000</f>
        <v>5.1819143745614014</v>
      </c>
      <c r="I16" s="1546">
        <f>+TableC4!N15/1000</f>
        <v>-0.10444171026643102</v>
      </c>
      <c r="J16" s="1547">
        <f t="shared" si="5"/>
        <v>3.6107877551142661E-3</v>
      </c>
      <c r="K16" s="1548">
        <f t="shared" si="1"/>
        <v>4.5553928536687703E-3</v>
      </c>
      <c r="L16" s="1549">
        <f t="shared" si="6"/>
        <v>-9.4460509855450424E-4</v>
      </c>
      <c r="M16" s="1550">
        <f t="shared" si="2"/>
        <v>0.11894894394587266</v>
      </c>
      <c r="N16" s="1551">
        <f t="shared" si="3"/>
        <v>-2.3974211540583944E-3</v>
      </c>
      <c r="O16" s="1520"/>
    </row>
    <row r="17" spans="1:15" x14ac:dyDescent="0.2">
      <c r="A17" s="958"/>
      <c r="B17" s="1155" t="s">
        <v>34</v>
      </c>
      <c r="C17" s="1199">
        <f>+TableA3!H15</f>
        <v>6.7113169165099862</v>
      </c>
      <c r="D17" s="1166">
        <v>0.19</v>
      </c>
      <c r="E17" s="1542">
        <f t="shared" si="4"/>
        <v>-5.4804199183737063</v>
      </c>
      <c r="F17" s="1543">
        <f>-TableA7!P15</f>
        <v>-5.6664744803053289</v>
      </c>
      <c r="G17" s="1544">
        <f>+(TableA7!$P$91-$F$93)*TableC4b!F17</f>
        <v>0.18605456193162279</v>
      </c>
      <c r="H17" s="1545">
        <f>+TableC4!C16/1000</f>
        <v>1.7606284926203615</v>
      </c>
      <c r="I17" s="1546">
        <f>+TableC4!N16/1000</f>
        <v>0.47220912026254813</v>
      </c>
      <c r="J17" s="1547">
        <f t="shared" si="5"/>
        <v>-0.15515282580821554</v>
      </c>
      <c r="K17" s="1548">
        <f t="shared" si="1"/>
        <v>-0.1604201030366304</v>
      </c>
      <c r="L17" s="1549">
        <f t="shared" si="6"/>
        <v>5.2672772284148373E-3</v>
      </c>
      <c r="M17" s="1550">
        <f t="shared" si="2"/>
        <v>4.9844079449585167E-2</v>
      </c>
      <c r="N17" s="1551">
        <f t="shared" si="3"/>
        <v>1.3368424404034868E-2</v>
      </c>
      <c r="O17" s="1520"/>
    </row>
    <row r="18" spans="1:15" x14ac:dyDescent="0.2">
      <c r="A18" s="958"/>
      <c r="B18" s="1155" t="s">
        <v>35</v>
      </c>
      <c r="C18" s="1199">
        <f>+TableA3!H16</f>
        <v>7.7284100389615968</v>
      </c>
      <c r="D18" s="1166">
        <v>0.22</v>
      </c>
      <c r="E18" s="1542">
        <f t="shared" si="4"/>
        <v>10.307613696202564</v>
      </c>
      <c r="F18" s="1543">
        <f>-TableA7!P16</f>
        <v>8.8754603396234497</v>
      </c>
      <c r="G18" s="1544">
        <f>+(TableA7!$P$91-$F$93)*TableC4b!F18</f>
        <v>1.4321533565791136</v>
      </c>
      <c r="H18" s="1545">
        <f>+TableC4!C17/1000</f>
        <v>2.9617661722785193</v>
      </c>
      <c r="I18" s="1546">
        <f>+TableC4!N17/1000</f>
        <v>3.634825556386077</v>
      </c>
      <c r="J18" s="1547">
        <f t="shared" si="5"/>
        <v>0.29342063913954197</v>
      </c>
      <c r="K18" s="1548">
        <f t="shared" si="1"/>
        <v>0.25265239096701891</v>
      </c>
      <c r="L18" s="1549">
        <f t="shared" si="6"/>
        <v>4.0768248172523058E-2</v>
      </c>
      <c r="M18" s="1550">
        <f t="shared" si="2"/>
        <v>8.4310816146709378E-2</v>
      </c>
      <c r="N18" s="1551">
        <f t="shared" si="3"/>
        <v>0.1034703927940631</v>
      </c>
      <c r="O18" s="9"/>
    </row>
    <row r="19" spans="1:15" x14ac:dyDescent="0.2">
      <c r="A19" s="958"/>
      <c r="B19" s="1094" t="s">
        <v>36</v>
      </c>
      <c r="C19" s="1199">
        <f>+TableA3!H17</f>
        <v>0.47056592348104992</v>
      </c>
      <c r="D19" s="1166">
        <v>0.2</v>
      </c>
      <c r="E19" s="1542">
        <f t="shared" si="4"/>
        <v>0.32696973470725821</v>
      </c>
      <c r="F19" s="1543">
        <f>-TableA7!P17</f>
        <v>0.32856767888762328</v>
      </c>
      <c r="G19" s="1544">
        <f>+(TableA7!$P$91-$F$93)*TableC4b!F19</f>
        <v>-1.5979441803650927E-3</v>
      </c>
      <c r="H19" s="1545">
        <f>+TableC4!C18/1000</f>
        <v>0.24369349684162625</v>
      </c>
      <c r="I19" s="1546">
        <f>+TableC4!N18/1000</f>
        <v>-4.0556050214784296E-3</v>
      </c>
      <c r="J19" s="1547">
        <f t="shared" si="5"/>
        <v>0.13896872611959357</v>
      </c>
      <c r="K19" s="1548">
        <f t="shared" si="1"/>
        <v>0.13964788459691982</v>
      </c>
      <c r="L19" s="1549">
        <f t="shared" si="6"/>
        <v>-6.7915847732626696E-4</v>
      </c>
      <c r="M19" s="1550">
        <f t="shared" si="2"/>
        <v>0.10357464690128163</v>
      </c>
      <c r="N19" s="1551">
        <f t="shared" si="3"/>
        <v>-1.7237138598888587E-3</v>
      </c>
      <c r="O19" s="9"/>
    </row>
    <row r="20" spans="1:15" x14ac:dyDescent="0.2">
      <c r="A20" s="958"/>
      <c r="B20" s="1155" t="s">
        <v>37</v>
      </c>
      <c r="C20" s="1199">
        <f>+TableA3!H18</f>
        <v>5.0429264278402366</v>
      </c>
      <c r="D20" s="1166">
        <v>0.2</v>
      </c>
      <c r="E20" s="1542">
        <f t="shared" si="4"/>
        <v>2.4067570221575454</v>
      </c>
      <c r="F20" s="1543">
        <f>-TableA7!P18</f>
        <v>1.516413766275523</v>
      </c>
      <c r="G20" s="1544">
        <f>+(TableA7!$P$91-$F$93)*TableC4b!F20</f>
        <v>0.89034325588202223</v>
      </c>
      <c r="H20" s="1545">
        <f>+TableC4!C19/1000</f>
        <v>2.7148693656359137</v>
      </c>
      <c r="I20" s="1546">
        <f>+TableC4!N19/1000</f>
        <v>2.2597038268067555</v>
      </c>
      <c r="J20" s="1547">
        <f t="shared" si="5"/>
        <v>9.5450808438159243E-2</v>
      </c>
      <c r="K20" s="1548">
        <f t="shared" si="1"/>
        <v>6.0140229605727819E-2</v>
      </c>
      <c r="L20" s="1549">
        <f t="shared" si="6"/>
        <v>3.5310578832431425E-2</v>
      </c>
      <c r="M20" s="1550">
        <f t="shared" si="2"/>
        <v>0.10767039354958929</v>
      </c>
      <c r="N20" s="1551">
        <f t="shared" si="3"/>
        <v>8.9618750506916756E-2</v>
      </c>
      <c r="O20" s="9"/>
    </row>
    <row r="21" spans="1:15" x14ac:dyDescent="0.2">
      <c r="A21" s="958"/>
      <c r="B21" s="1094" t="s">
        <v>38</v>
      </c>
      <c r="C21" s="1199">
        <f>+TableA3!H19</f>
        <v>50.926955756000886</v>
      </c>
      <c r="D21" s="1166">
        <v>0.33329999999999999</v>
      </c>
      <c r="E21" s="1542">
        <f t="shared" si="4"/>
        <v>26.881260402015577</v>
      </c>
      <c r="F21" s="1543">
        <f>-TableA7!P19</f>
        <v>1.5189718912435666</v>
      </c>
      <c r="G21" s="1544">
        <f>+(TableA7!$P$91-$F$93)*TableC4b!F21</f>
        <v>25.362288510772011</v>
      </c>
      <c r="H21" s="1545">
        <f>+TableC4!C20/1000</f>
        <v>32.084129887442167</v>
      </c>
      <c r="I21" s="1546">
        <f>+TableC4!N20/1000</f>
        <v>64.369848399191696</v>
      </c>
      <c r="J21" s="1547">
        <f t="shared" si="5"/>
        <v>0.17592891542385317</v>
      </c>
      <c r="K21" s="1548">
        <f t="shared" si="1"/>
        <v>9.9411662023765248E-3</v>
      </c>
      <c r="L21" s="1549">
        <f t="shared" si="6"/>
        <v>0.16598774922147663</v>
      </c>
      <c r="M21" s="1550">
        <f t="shared" si="2"/>
        <v>0.20997996704769473</v>
      </c>
      <c r="N21" s="1551">
        <f t="shared" si="3"/>
        <v>0.42127926464409848</v>
      </c>
      <c r="O21" s="9"/>
    </row>
    <row r="22" spans="1:15" x14ac:dyDescent="0.2">
      <c r="A22" s="958"/>
      <c r="B22" s="1155" t="s">
        <v>39</v>
      </c>
      <c r="C22" s="1199">
        <f>+TableA3!H20</f>
        <v>58.451143946880144</v>
      </c>
      <c r="D22" s="1166">
        <v>0.29719999999999996</v>
      </c>
      <c r="E22" s="1542">
        <f t="shared" si="4"/>
        <v>91.934692471535755</v>
      </c>
      <c r="F22" s="1543">
        <f>-TableA7!P20</f>
        <v>77.889952006640314</v>
      </c>
      <c r="G22" s="1544">
        <f>+(TableA7!$P$91-$F$93)*TableC4b!F22</f>
        <v>14.044740464895447</v>
      </c>
      <c r="H22" s="1545">
        <f>+TableC4!C21/1000</f>
        <v>54.904338589641874</v>
      </c>
      <c r="I22" s="1546">
        <f>+TableC4!N21/1000</f>
        <v>35.645750743168811</v>
      </c>
      <c r="J22" s="1547">
        <f t="shared" si="5"/>
        <v>0.46745005756211205</v>
      </c>
      <c r="K22" s="1548">
        <f t="shared" si="1"/>
        <v>0.39603833515065157</v>
      </c>
      <c r="L22" s="1549">
        <f t="shared" si="6"/>
        <v>7.1411722411460529E-2</v>
      </c>
      <c r="M22" s="1550">
        <f t="shared" si="2"/>
        <v>0.27916595513803488</v>
      </c>
      <c r="N22" s="1551">
        <f t="shared" si="3"/>
        <v>0.18124396556716532</v>
      </c>
      <c r="O22" s="9"/>
    </row>
    <row r="23" spans="1:15" x14ac:dyDescent="0.2">
      <c r="A23" s="958"/>
      <c r="B23" s="1155" t="s">
        <v>40</v>
      </c>
      <c r="C23" s="1199">
        <f>+TableA3!H21</f>
        <v>4.2144535794574223</v>
      </c>
      <c r="D23" s="1166">
        <v>0.28999999999999998</v>
      </c>
      <c r="E23" s="1542">
        <f t="shared" si="4"/>
        <v>2.6262699682896629</v>
      </c>
      <c r="F23" s="1543">
        <f>-TableA7!P21</f>
        <v>2.4530738535975614</v>
      </c>
      <c r="G23" s="1544">
        <f>+(TableA7!$P$91-$F$93)*TableC4b!F23</f>
        <v>0.17319611469210167</v>
      </c>
      <c r="H23" s="1545">
        <f>+TableC4!C22/1000</f>
        <v>1.0465124601954992</v>
      </c>
      <c r="I23" s="1546">
        <f>+TableC4!N22/1000</f>
        <v>0.43957419857141461</v>
      </c>
      <c r="J23" s="1547">
        <f t="shared" si="5"/>
        <v>0.18071578591264364</v>
      </c>
      <c r="K23" s="1548">
        <f t="shared" si="1"/>
        <v>0.16879801951333362</v>
      </c>
      <c r="L23" s="1549">
        <f t="shared" si="6"/>
        <v>1.1917766399310014E-2</v>
      </c>
      <c r="M23" s="1550">
        <f t="shared" si="2"/>
        <v>7.2011378873881565E-2</v>
      </c>
      <c r="N23" s="1551">
        <f t="shared" si="3"/>
        <v>3.0247460360477346E-2</v>
      </c>
      <c r="O23" s="9"/>
    </row>
    <row r="24" spans="1:15" x14ac:dyDescent="0.2">
      <c r="A24" s="958"/>
      <c r="B24" s="1155" t="s">
        <v>41</v>
      </c>
      <c r="C24" s="1199">
        <f>+TableA3!H22</f>
        <v>2.1963860274046167</v>
      </c>
      <c r="D24" s="1166">
        <v>0.19</v>
      </c>
      <c r="E24" s="1542">
        <f t="shared" si="4"/>
        <v>-8.7033788681800173E-2</v>
      </c>
      <c r="F24" s="1543">
        <f>-TableA7!P22</f>
        <v>-0.28410621149757276</v>
      </c>
      <c r="G24" s="1544">
        <f>+(TableA7!$P$91-$F$93)*TableC4b!F24</f>
        <v>0.19707242281577259</v>
      </c>
      <c r="H24" s="1545">
        <f>+TableC4!C23/1000</f>
        <v>2.3948890539900791</v>
      </c>
      <c r="I24" s="1546">
        <f>+TableC4!N23/1000</f>
        <v>0.50017260764638116</v>
      </c>
      <c r="J24" s="1547">
        <f t="shared" si="5"/>
        <v>-7.5289223493569899E-3</v>
      </c>
      <c r="K24" s="1548">
        <f t="shared" si="1"/>
        <v>-2.457681824188487E-2</v>
      </c>
      <c r="L24" s="1549">
        <f t="shared" si="6"/>
        <v>1.7047895892527878E-2</v>
      </c>
      <c r="M24" s="1550">
        <f t="shared" si="2"/>
        <v>0.20717165133116644</v>
      </c>
      <c r="N24" s="1551">
        <f t="shared" si="3"/>
        <v>4.3267801865006832E-2</v>
      </c>
      <c r="O24" s="9"/>
    </row>
    <row r="25" spans="1:15" x14ac:dyDescent="0.2">
      <c r="A25" s="958"/>
      <c r="B25" s="1155" t="s">
        <v>42</v>
      </c>
      <c r="C25" s="1199">
        <f>+TableA3!H23</f>
        <v>0.3983029700639128</v>
      </c>
      <c r="D25" s="1166">
        <v>0.2</v>
      </c>
      <c r="E25" s="1542">
        <f t="shared" si="4"/>
        <v>0.95773195268953792</v>
      </c>
      <c r="F25" s="1543">
        <f>-TableA7!P23</f>
        <v>0.95233244060805888</v>
      </c>
      <c r="G25" s="1544">
        <f>+(TableA7!$P$91-$F$93)*TableC4b!F25</f>
        <v>5.3995120814790869E-3</v>
      </c>
      <c r="H25" s="1545">
        <f>+TableC4!C24/1000</f>
        <v>0.43774676216057212</v>
      </c>
      <c r="I25" s="1546">
        <f>+TableC4!N24/1000</f>
        <v>1.3704038338921695E-2</v>
      </c>
      <c r="J25" s="1547">
        <f t="shared" si="5"/>
        <v>0.4809062571317797</v>
      </c>
      <c r="K25" s="1548">
        <f t="shared" si="1"/>
        <v>0.47819499837284418</v>
      </c>
      <c r="L25" s="1549">
        <f t="shared" si="6"/>
        <v>2.711258758935524E-3</v>
      </c>
      <c r="M25" s="1550">
        <f t="shared" si="2"/>
        <v>0.21980592416387459</v>
      </c>
      <c r="N25" s="1551">
        <f t="shared" si="3"/>
        <v>6.8812132315873558E-3</v>
      </c>
      <c r="O25" s="9"/>
    </row>
    <row r="26" spans="1:15" x14ac:dyDescent="0.2">
      <c r="A26" s="958"/>
      <c r="B26" s="1155" t="s">
        <v>43</v>
      </c>
      <c r="C26" s="1199"/>
      <c r="D26" s="1222"/>
      <c r="E26" s="1542"/>
      <c r="F26" s="1543"/>
      <c r="G26" s="1544"/>
      <c r="H26" s="1545"/>
      <c r="I26" s="1546"/>
      <c r="J26" s="1547"/>
      <c r="K26" s="1548"/>
      <c r="L26" s="1549"/>
      <c r="M26" s="1550"/>
      <c r="N26" s="1552"/>
      <c r="O26" s="9"/>
    </row>
    <row r="27" spans="1:15" x14ac:dyDescent="0.2">
      <c r="A27" s="958"/>
      <c r="B27" s="1155" t="s">
        <v>44</v>
      </c>
      <c r="C27" s="1199">
        <f>+TableA3!H25</f>
        <v>8.9214020772181364</v>
      </c>
      <c r="D27" s="1166">
        <v>0.25</v>
      </c>
      <c r="E27" s="1542">
        <f t="shared" si="4"/>
        <v>1.2313170402325924</v>
      </c>
      <c r="F27" s="1543">
        <f>-TableA7!P25</f>
        <v>1.0208621337891248</v>
      </c>
      <c r="G27" s="1544">
        <f>+(TableA7!$P$91-$F$93)*TableC4b!F27</f>
        <v>0.21045490644346759</v>
      </c>
      <c r="H27" s="1545">
        <f>+TableC4!C26/1000</f>
        <v>0.68065831999156556</v>
      </c>
      <c r="I27" s="1546">
        <f>+TableC4!N26/1000</f>
        <v>0.53413754113231338</v>
      </c>
      <c r="J27" s="1547">
        <f t="shared" si="5"/>
        <v>3.450458318028584E-2</v>
      </c>
      <c r="K27" s="1548">
        <f t="shared" si="1"/>
        <v>2.8607110321706552E-2</v>
      </c>
      <c r="L27" s="1549">
        <f t="shared" si="6"/>
        <v>5.8974728585792944E-3</v>
      </c>
      <c r="M27" s="1550">
        <f t="shared" si="2"/>
        <v>1.9073748557127242E-2</v>
      </c>
      <c r="N27" s="1551">
        <f t="shared" si="3"/>
        <v>1.4967869862526913E-2</v>
      </c>
      <c r="O27" s="9"/>
    </row>
    <row r="28" spans="1:15" x14ac:dyDescent="0.2">
      <c r="A28" s="958"/>
      <c r="B28" s="1155" t="s">
        <v>45</v>
      </c>
      <c r="C28" s="1199">
        <f>+TableA3!H26</f>
        <v>37.286823510883821</v>
      </c>
      <c r="D28" s="1166">
        <v>0.314</v>
      </c>
      <c r="E28" s="1542">
        <f t="shared" si="4"/>
        <v>27.639022960076833</v>
      </c>
      <c r="F28" s="1543">
        <f>-TableA7!P26</f>
        <v>26.164032260372608</v>
      </c>
      <c r="G28" s="1544">
        <f>+(TableA7!$P$91-$F$93)*TableC4b!F28</f>
        <v>1.4749906997042239</v>
      </c>
      <c r="H28" s="1545">
        <f>+TableC4!C27/1000</f>
        <v>22.702482961511631</v>
      </c>
      <c r="I28" s="1546">
        <f>+TableC4!N27/1000</f>
        <v>3.7435473415521265</v>
      </c>
      <c r="J28" s="1547">
        <f t="shared" si="5"/>
        <v>0.2327538897737125</v>
      </c>
      <c r="K28" s="1548">
        <f t="shared" si="1"/>
        <v>0.2203326901085832</v>
      </c>
      <c r="L28" s="1549">
        <f t="shared" si="6"/>
        <v>1.2421199665129324E-2</v>
      </c>
      <c r="M28" s="1550">
        <f t="shared" si="2"/>
        <v>0.19118227241411054</v>
      </c>
      <c r="N28" s="1551">
        <f t="shared" si="3"/>
        <v>3.1525181138164084E-2</v>
      </c>
      <c r="O28" s="9"/>
    </row>
    <row r="29" spans="1:15" x14ac:dyDescent="0.2">
      <c r="A29" s="958"/>
      <c r="B29" s="1155" t="s">
        <v>46</v>
      </c>
      <c r="C29" s="1199">
        <f>+TableA3!H27</f>
        <v>166.10688689066282</v>
      </c>
      <c r="D29" s="1166">
        <v>0.33860000000000001</v>
      </c>
      <c r="E29" s="1542">
        <f t="shared" si="4"/>
        <v>34.555195233136992</v>
      </c>
      <c r="F29" s="1543">
        <f>-TableA7!P27</f>
        <v>26.952295997908244</v>
      </c>
      <c r="G29" s="1544">
        <f>+(TableA7!$P$91-$F$93)*TableC4b!F29</f>
        <v>7.6028992352287483</v>
      </c>
      <c r="H29" s="1545">
        <f>+TableC4!C28/1000</f>
        <v>8.5543737634504904</v>
      </c>
      <c r="I29" s="1546">
        <f>+TableC4!N28/1000</f>
        <v>19.296266224483077</v>
      </c>
      <c r="J29" s="1547">
        <f t="shared" si="5"/>
        <v>7.043891632043997E-2</v>
      </c>
      <c r="K29" s="1548">
        <f t="shared" si="1"/>
        <v>5.4940813085605569E-2</v>
      </c>
      <c r="L29" s="1549">
        <f t="shared" si="6"/>
        <v>1.5498103234834405E-2</v>
      </c>
      <c r="M29" s="1550">
        <f t="shared" si="2"/>
        <v>1.7437633144078594E-2</v>
      </c>
      <c r="N29" s="1551">
        <f t="shared" si="3"/>
        <v>3.9334406091847851E-2</v>
      </c>
      <c r="O29" s="9"/>
    </row>
    <row r="30" spans="1:15" x14ac:dyDescent="0.2">
      <c r="A30" s="958" t="s">
        <v>637</v>
      </c>
      <c r="B30" s="1155" t="s">
        <v>47</v>
      </c>
      <c r="C30" s="1199">
        <f>+TableA3!H28</f>
        <v>45.573671217315002</v>
      </c>
      <c r="D30" s="1166">
        <v>0.24199999999999999</v>
      </c>
      <c r="E30" s="1542">
        <f t="shared" si="4"/>
        <v>42.911126545191095</v>
      </c>
      <c r="F30" s="1543">
        <f>-TableA7!P28</f>
        <v>42.29434220769339</v>
      </c>
      <c r="G30" s="1544">
        <f>+(TableA7!$P$91-$F$93)*TableC4b!F30</f>
        <v>0.61678433749770678</v>
      </c>
      <c r="H30" s="1545">
        <f>+TableC4!C29/1000</f>
        <v>4.8346318555725984</v>
      </c>
      <c r="I30" s="1546">
        <f>+TableC4!N29/1000</f>
        <v>1.5654074072558828</v>
      </c>
      <c r="J30" s="1547">
        <f t="shared" si="5"/>
        <v>0.22786166544315656</v>
      </c>
      <c r="K30" s="1548">
        <f t="shared" si="1"/>
        <v>0.22458648910367102</v>
      </c>
      <c r="L30" s="1549">
        <f t="shared" si="6"/>
        <v>3.2751763394855784E-3</v>
      </c>
      <c r="M30" s="1550">
        <f t="shared" si="2"/>
        <v>2.5672298890945019E-2</v>
      </c>
      <c r="N30" s="1551">
        <f t="shared" si="3"/>
        <v>8.3124440589722251E-3</v>
      </c>
      <c r="O30" s="9"/>
    </row>
    <row r="31" spans="1:15" x14ac:dyDescent="0.2">
      <c r="A31" s="958"/>
      <c r="B31" s="1154" t="s">
        <v>48</v>
      </c>
      <c r="C31" s="1199">
        <f>+TableA3!H29</f>
        <v>0.43100773130418485</v>
      </c>
      <c r="D31" s="1166">
        <v>0.15</v>
      </c>
      <c r="E31" s="1542">
        <f t="shared" si="4"/>
        <v>0.15351431767138665</v>
      </c>
      <c r="F31" s="1543">
        <f>-TableA7!P29</f>
        <v>0.15402557979616138</v>
      </c>
      <c r="G31" s="1544">
        <f>+(TableA7!$P$91-$F$93)*TableC4b!F31</f>
        <v>-5.1126212477472241E-4</v>
      </c>
      <c r="H31" s="1545">
        <f>+TableC4!C30/1000</f>
        <v>0.20097896727392819</v>
      </c>
      <c r="I31" s="1546">
        <f>+TableC4!N30/1000</f>
        <v>-1.2975905328898004E-3</v>
      </c>
      <c r="J31" s="1547">
        <f t="shared" si="5"/>
        <v>5.342629836599503E-2</v>
      </c>
      <c r="K31" s="1548">
        <f t="shared" si="1"/>
        <v>5.3604228628369111E-2</v>
      </c>
      <c r="L31" s="1549">
        <f t="shared" si="6"/>
        <v>-1.7793026237407483E-4</v>
      </c>
      <c r="M31" s="1550">
        <f t="shared" si="2"/>
        <v>6.9945021635384574E-2</v>
      </c>
      <c r="N31" s="1551">
        <f t="shared" si="3"/>
        <v>-4.515895326158392E-4</v>
      </c>
      <c r="O31" s="9"/>
    </row>
    <row r="32" spans="1:15" x14ac:dyDescent="0.2">
      <c r="A32" s="958"/>
      <c r="B32" s="1154" t="s">
        <v>49</v>
      </c>
      <c r="C32" s="1204"/>
      <c r="D32" s="1866"/>
      <c r="E32" s="1542"/>
      <c r="F32" s="1543"/>
      <c r="G32" s="1544"/>
      <c r="H32" s="1545"/>
      <c r="I32" s="1546"/>
      <c r="J32" s="1547"/>
      <c r="K32" s="1548"/>
      <c r="L32" s="1549"/>
      <c r="M32" s="1553"/>
      <c r="N32" s="1554"/>
      <c r="O32" s="9"/>
    </row>
    <row r="33" spans="1:15" x14ac:dyDescent="0.2">
      <c r="A33" s="958"/>
      <c r="B33" s="1154" t="s">
        <v>50</v>
      </c>
      <c r="C33" s="1199">
        <f>+TableA3!H31</f>
        <v>37.382194532689283</v>
      </c>
      <c r="D33" s="1166">
        <v>0.3</v>
      </c>
      <c r="E33" s="1542">
        <f t="shared" si="4"/>
        <v>68.436449698478199</v>
      </c>
      <c r="F33" s="1543">
        <f>-TableA7!P31</f>
        <v>67.003957759307255</v>
      </c>
      <c r="G33" s="1544">
        <f>+(TableA7!$P$91-$F$93)*TableC4b!F33</f>
        <v>1.432491939170939</v>
      </c>
      <c r="H33" s="1545">
        <f>+TableC4!C32/1000</f>
        <v>13.095889552074285</v>
      </c>
      <c r="I33" s="1546">
        <f>+TableC4!N32/1000</f>
        <v>3.6356848838121945</v>
      </c>
      <c r="J33" s="1547">
        <f t="shared" si="5"/>
        <v>0.54921695117684832</v>
      </c>
      <c r="K33" s="1548">
        <f t="shared" si="1"/>
        <v>0.53772090106198722</v>
      </c>
      <c r="L33" s="1549">
        <f t="shared" si="6"/>
        <v>1.1496050114861074E-2</v>
      </c>
      <c r="M33" s="1550">
        <f t="shared" si="2"/>
        <v>0.10509727731973388</v>
      </c>
      <c r="N33" s="1551">
        <f t="shared" si="3"/>
        <v>2.9177138441936E-2</v>
      </c>
      <c r="O33" s="9"/>
    </row>
    <row r="34" spans="1:15" x14ac:dyDescent="0.2">
      <c r="A34" s="958"/>
      <c r="B34" s="1154" t="s">
        <v>51</v>
      </c>
      <c r="C34" s="1204"/>
      <c r="D34" s="1866"/>
      <c r="E34" s="1542"/>
      <c r="F34" s="1543"/>
      <c r="G34" s="1544"/>
      <c r="H34" s="1545"/>
      <c r="I34" s="1546"/>
      <c r="J34" s="1547"/>
      <c r="K34" s="1548"/>
      <c r="L34" s="1549"/>
      <c r="M34" s="1553"/>
      <c r="N34" s="1554"/>
      <c r="O34" s="9"/>
    </row>
    <row r="35" spans="1:15" x14ac:dyDescent="0.2">
      <c r="A35" s="958"/>
      <c r="B35" s="1154" t="s">
        <v>52</v>
      </c>
      <c r="C35" s="1199">
        <f>+TableA3!H33</f>
        <v>7.9548109276661032</v>
      </c>
      <c r="D35" s="1166">
        <v>0.28000000000000003</v>
      </c>
      <c r="E35" s="1542">
        <f t="shared" si="4"/>
        <v>1.1741687241402139</v>
      </c>
      <c r="F35" s="1543">
        <f>-TableA7!P33</f>
        <v>0.91247047097520007</v>
      </c>
      <c r="G35" s="1544">
        <f>+(TableA7!$P$91-$F$93)*TableC4b!F35</f>
        <v>0.26169825316501383</v>
      </c>
      <c r="H35" s="1545">
        <f>+TableC4!C34/1000</f>
        <v>1.5234433952929838</v>
      </c>
      <c r="I35" s="1546">
        <f>+TableC4!N34/1000</f>
        <v>0.66419388279612568</v>
      </c>
      <c r="J35" s="1547">
        <f t="shared" si="5"/>
        <v>4.1329359773446983E-2</v>
      </c>
      <c r="K35" s="1548">
        <f t="shared" si="1"/>
        <v>3.2117888683498332E-2</v>
      </c>
      <c r="L35" s="1549">
        <f t="shared" si="6"/>
        <v>9.2114710899486463E-3</v>
      </c>
      <c r="M35" s="1550">
        <f t="shared" si="2"/>
        <v>5.3623417899033216E-2</v>
      </c>
      <c r="N35" s="1551">
        <f t="shared" si="3"/>
        <v>2.337884443439299E-2</v>
      </c>
      <c r="O35" s="9"/>
    </row>
    <row r="36" spans="1:15" x14ac:dyDescent="0.2">
      <c r="A36" s="958"/>
      <c r="B36" s="1154" t="s">
        <v>53</v>
      </c>
      <c r="C36" s="1199">
        <f>+TableA3!H34</f>
        <v>16.980179105913855</v>
      </c>
      <c r="D36" s="1166">
        <v>0.27</v>
      </c>
      <c r="E36" s="1542">
        <f t="shared" si="4"/>
        <v>21.565800401125291</v>
      </c>
      <c r="F36" s="1543">
        <f>-TableA7!P34</f>
        <v>19.425534559297006</v>
      </c>
      <c r="G36" s="1544">
        <f>+(TableA7!$P$91-$F$93)*TableC4b!F36</f>
        <v>2.1402658418282843</v>
      </c>
      <c r="H36" s="1545">
        <f>+TableC4!C35/1000</f>
        <v>5.2156647064681243</v>
      </c>
      <c r="I36" s="1546">
        <f>+TableC4!N35/1000</f>
        <v>5.4320250995465669</v>
      </c>
      <c r="J36" s="1547">
        <f t="shared" si="5"/>
        <v>0.34291547056037097</v>
      </c>
      <c r="K36" s="1548">
        <f t="shared" si="1"/>
        <v>0.30888333381498317</v>
      </c>
      <c r="L36" s="1549">
        <f t="shared" si="6"/>
        <v>3.4032136745387784E-2</v>
      </c>
      <c r="M36" s="1550">
        <f t="shared" si="2"/>
        <v>8.2933723016851785E-2</v>
      </c>
      <c r="N36" s="1551">
        <f t="shared" si="3"/>
        <v>8.6374046335398746E-2</v>
      </c>
      <c r="O36" s="9"/>
    </row>
    <row r="37" spans="1:15" x14ac:dyDescent="0.2">
      <c r="A37" s="958"/>
      <c r="B37" s="1154" t="s">
        <v>54</v>
      </c>
      <c r="C37" s="1199">
        <f>+TableA3!H35</f>
        <v>8.7820665870805144</v>
      </c>
      <c r="D37" s="1166">
        <v>0.19</v>
      </c>
      <c r="E37" s="1542">
        <f t="shared" si="4"/>
        <v>17.040162313449354</v>
      </c>
      <c r="F37" s="1543">
        <f>-TableA7!P35</f>
        <v>18.035813230968905</v>
      </c>
      <c r="G37" s="1544">
        <f>+(TableA7!$P$91-$F$93)*TableC4b!F37</f>
        <v>-0.99565091751955037</v>
      </c>
      <c r="H37" s="1545">
        <f>+TableC4!C36/1000</f>
        <v>3.6958663942036614</v>
      </c>
      <c r="I37" s="1546">
        <f>+TableC4!N36/1000</f>
        <v>-2.526976167471203</v>
      </c>
      <c r="J37" s="1547">
        <f t="shared" si="5"/>
        <v>0.36866389106162384</v>
      </c>
      <c r="K37" s="1548">
        <f t="shared" si="1"/>
        <v>0.39020479745910114</v>
      </c>
      <c r="L37" s="1549">
        <f t="shared" si="6"/>
        <v>-2.1540906397477331E-2</v>
      </c>
      <c r="M37" s="1550">
        <f t="shared" si="2"/>
        <v>7.996006497283209E-2</v>
      </c>
      <c r="N37" s="1551">
        <f t="shared" si="3"/>
        <v>-5.4671126329860834E-2</v>
      </c>
      <c r="O37" s="9"/>
    </row>
    <row r="38" spans="1:15" x14ac:dyDescent="0.2">
      <c r="A38" s="958"/>
      <c r="B38" s="1154" t="s">
        <v>55</v>
      </c>
      <c r="C38" s="1199">
        <f>+TableA3!H36</f>
        <v>6.2258326041219583</v>
      </c>
      <c r="D38" s="1166">
        <v>0.21</v>
      </c>
      <c r="E38" s="1542">
        <f t="shared" si="4"/>
        <v>1.6577242674012591</v>
      </c>
      <c r="F38" s="1543">
        <f>-TableA7!P36</f>
        <v>1.5481882490761061</v>
      </c>
      <c r="G38" s="1544">
        <f>+(TableA7!$P$91-$F$93)*TableC4b!F38</f>
        <v>0.10953601832515304</v>
      </c>
      <c r="H38" s="1545">
        <f>+TableC4!C37/1000</f>
        <v>2.6381822918681346</v>
      </c>
      <c r="I38" s="1546">
        <f>+TableC4!N37/1000</f>
        <v>0.27800396998269788</v>
      </c>
      <c r="J38" s="1547">
        <f t="shared" si="5"/>
        <v>5.5915749473216168E-2</v>
      </c>
      <c r="K38" s="1548">
        <f t="shared" si="1"/>
        <v>5.2221052665426516E-2</v>
      </c>
      <c r="L38" s="1549">
        <f t="shared" si="6"/>
        <v>3.6946968077896528E-3</v>
      </c>
      <c r="M38" s="1550">
        <f t="shared" si="2"/>
        <v>8.8987018527531159E-2</v>
      </c>
      <c r="N38" s="1551">
        <f t="shared" si="3"/>
        <v>9.3771929649560694E-3</v>
      </c>
      <c r="O38" s="9"/>
    </row>
    <row r="39" spans="1:15" x14ac:dyDescent="0.2">
      <c r="A39" s="958" t="s">
        <v>336</v>
      </c>
      <c r="B39" s="1154" t="s">
        <v>56</v>
      </c>
      <c r="C39" s="1199">
        <f>+TableA3!H37</f>
        <v>2.9169999999999998</v>
      </c>
      <c r="D39" s="1166">
        <v>0.22</v>
      </c>
      <c r="E39" s="1542">
        <f t="shared" si="4"/>
        <v>-0.41942787668872145</v>
      </c>
      <c r="F39" s="1543">
        <f>-TableA7!P37</f>
        <v>-0.45485932595201106</v>
      </c>
      <c r="G39" s="1544">
        <f>+(TableA7!$P$91-$F$93)*TableC4b!F39</f>
        <v>3.5431449263289623E-2</v>
      </c>
      <c r="H39" s="1545">
        <f>+TableC4!C38/1000</f>
        <v>0.63681356041207426</v>
      </c>
      <c r="I39" s="1546">
        <f>+TableC4!N38/1000</f>
        <v>8.9925521376863424E-2</v>
      </c>
      <c r="J39" s="1547">
        <f t="shared" si="5"/>
        <v>-3.1633230329625887E-2</v>
      </c>
      <c r="K39" s="1548">
        <f t="shared" si="1"/>
        <v>-3.430546853254797E-2</v>
      </c>
      <c r="L39" s="1549">
        <f t="shared" si="6"/>
        <v>2.6722382029220836E-3</v>
      </c>
      <c r="M39" s="1550">
        <f t="shared" si="2"/>
        <v>4.8028448162720727E-2</v>
      </c>
      <c r="N39" s="1551">
        <f t="shared" si="3"/>
        <v>6.7821785063112636E-3</v>
      </c>
      <c r="O39" s="9"/>
    </row>
    <row r="40" spans="1:15" x14ac:dyDescent="0.2">
      <c r="A40" s="958"/>
      <c r="B40" s="1154" t="s">
        <v>57</v>
      </c>
      <c r="C40" s="1199">
        <f>+TableA3!H38</f>
        <v>0.62991330425360359</v>
      </c>
      <c r="D40" s="1166">
        <v>0.17</v>
      </c>
      <c r="E40" s="1542">
        <f t="shared" si="4"/>
        <v>-0.46657087937982028</v>
      </c>
      <c r="F40" s="1543">
        <f>-TableA7!P38</f>
        <v>-0.46379054198845515</v>
      </c>
      <c r="G40" s="1544">
        <f>+(TableA7!$P$91-$F$93)*TableC4b!F40</f>
        <v>-2.7803373913651533E-3</v>
      </c>
      <c r="H40" s="1545">
        <f>+TableC4!C39/1000</f>
        <v>0.22529901009808276</v>
      </c>
      <c r="I40" s="1546">
        <f>+TableC4!N39/1000</f>
        <v>-7.0565357816494353E-3</v>
      </c>
      <c r="J40" s="1547">
        <f t="shared" si="5"/>
        <v>-0.12591740634618562</v>
      </c>
      <c r="K40" s="1548">
        <f t="shared" si="1"/>
        <v>-0.12516705331610931</v>
      </c>
      <c r="L40" s="1549">
        <f t="shared" si="6"/>
        <v>-7.5035303007631648E-4</v>
      </c>
      <c r="M40" s="1550">
        <f t="shared" si="2"/>
        <v>6.0803338265822897E-2</v>
      </c>
      <c r="N40" s="1551">
        <f t="shared" si="3"/>
        <v>-1.9044066457714311E-3</v>
      </c>
      <c r="O40" s="9"/>
    </row>
    <row r="41" spans="1:15" x14ac:dyDescent="0.2">
      <c r="A41" s="958"/>
      <c r="B41" s="1154" t="s">
        <v>58</v>
      </c>
      <c r="C41" s="1199">
        <f>+TableA3!H39</f>
        <v>28.380403234482216</v>
      </c>
      <c r="D41" s="1166">
        <v>0.28000000000000003</v>
      </c>
      <c r="E41" s="1542">
        <f t="shared" si="4"/>
        <v>18.231871313342658</v>
      </c>
      <c r="F41" s="1543">
        <f>-TableA7!P39</f>
        <v>17.010492793220834</v>
      </c>
      <c r="G41" s="1544">
        <f>+(TableA7!$P$91-$F$93)*TableC4b!F41</f>
        <v>1.2213785201218259</v>
      </c>
      <c r="H41" s="1545">
        <f>+TableC4!C40/1000</f>
        <v>14.362071520602967</v>
      </c>
      <c r="I41" s="1546">
        <f>+TableC4!N40/1000</f>
        <v>3.0998760283355007</v>
      </c>
      <c r="J41" s="1547">
        <f t="shared" si="5"/>
        <v>0.179874962506997</v>
      </c>
      <c r="K41" s="1548">
        <f t="shared" si="1"/>
        <v>0.16782488757294539</v>
      </c>
      <c r="L41" s="1549">
        <f t="shared" si="6"/>
        <v>1.2050074934051608E-2</v>
      </c>
      <c r="M41" s="1550">
        <f t="shared" si="2"/>
        <v>0.14169566205750209</v>
      </c>
      <c r="N41" s="1551">
        <f t="shared" si="3"/>
        <v>3.0583261300507585E-2</v>
      </c>
      <c r="O41" s="9"/>
    </row>
    <row r="42" spans="1:15" s="25" customFormat="1" x14ac:dyDescent="0.2">
      <c r="A42" s="1115"/>
      <c r="B42" s="1080" t="s">
        <v>59</v>
      </c>
      <c r="C42" s="1199">
        <f>+TableA3!H40</f>
        <v>14.727097286125488</v>
      </c>
      <c r="D42" s="1166">
        <v>0.22</v>
      </c>
      <c r="E42" s="1542">
        <f t="shared" si="4"/>
        <v>-5.8721516423511861</v>
      </c>
      <c r="F42" s="1543">
        <f>-TableA7!P40</f>
        <v>-9.6083563947268509</v>
      </c>
      <c r="G42" s="1544">
        <f>+(TableA7!$P$91-$F$93)*TableC4b!F42</f>
        <v>3.7362047523756647</v>
      </c>
      <c r="H42" s="1545">
        <f>+TableC4!C41/1000</f>
        <v>8.5410900580049951</v>
      </c>
      <c r="I42" s="1546">
        <f>+TableC4!N41/1000</f>
        <v>9.482540717751677</v>
      </c>
      <c r="J42" s="1547">
        <f t="shared" si="5"/>
        <v>-8.7720841128301974E-2</v>
      </c>
      <c r="K42" s="1548">
        <f t="shared" si="1"/>
        <v>-0.14353394737409461</v>
      </c>
      <c r="L42" s="1549">
        <f t="shared" si="6"/>
        <v>5.5813106245792637E-2</v>
      </c>
      <c r="M42" s="1550">
        <f t="shared" si="2"/>
        <v>0.12759064303400486</v>
      </c>
      <c r="N42" s="1551">
        <f t="shared" si="3"/>
        <v>0.14165445622952158</v>
      </c>
      <c r="O42" s="9"/>
    </row>
    <row r="43" spans="1:15" x14ac:dyDescent="0.2">
      <c r="A43" s="958"/>
      <c r="B43" s="1154" t="s">
        <v>60</v>
      </c>
      <c r="C43" s="1204"/>
      <c r="D43" s="1166"/>
      <c r="E43" s="1542"/>
      <c r="F43" s="1543"/>
      <c r="G43" s="1544"/>
      <c r="H43" s="1545"/>
      <c r="I43" s="1546"/>
      <c r="J43" s="1547"/>
      <c r="K43" s="1548"/>
      <c r="L43" s="1549"/>
      <c r="M43" s="1553"/>
      <c r="N43" s="1551"/>
      <c r="O43" s="9"/>
    </row>
    <row r="44" spans="1:15" x14ac:dyDescent="0.2">
      <c r="A44" s="958"/>
      <c r="B44" s="1154" t="s">
        <v>61</v>
      </c>
      <c r="C44" s="1199">
        <f>+TableA3!H42</f>
        <v>12.275014163556076</v>
      </c>
      <c r="D44" s="1166">
        <v>0.2</v>
      </c>
      <c r="E44" s="1542">
        <f t="shared" si="4"/>
        <v>6.7292548403079575</v>
      </c>
      <c r="F44" s="1543">
        <f>-TableA7!P42</f>
        <v>6.5448277782474689</v>
      </c>
      <c r="G44" s="1544">
        <f>+(TableA7!$P$91-$F$93)*TableC4b!F44</f>
        <v>0.18442706206048839</v>
      </c>
      <c r="H44" s="1545">
        <f>+TableC4!C43/1000</f>
        <v>4.9754928205897597</v>
      </c>
      <c r="I44" s="1546">
        <f>+TableC4!N43/1000</f>
        <v>0.46807850247818972</v>
      </c>
      <c r="J44" s="1547">
        <f t="shared" si="5"/>
        <v>0.10964150021572749</v>
      </c>
      <c r="K44" s="1548">
        <f t="shared" si="1"/>
        <v>0.10663658210153024</v>
      </c>
      <c r="L44" s="1549">
        <f t="shared" si="6"/>
        <v>3.004918114197268E-3</v>
      </c>
      <c r="M44" s="1550">
        <f t="shared" si="2"/>
        <v>8.1066999260363509E-2</v>
      </c>
      <c r="N44" s="1551">
        <f t="shared" si="3"/>
        <v>7.6265248453707239E-3</v>
      </c>
      <c r="O44" s="9"/>
    </row>
    <row r="45" spans="1:15" x14ac:dyDescent="0.2">
      <c r="A45" s="958"/>
      <c r="B45" s="1154" t="s">
        <v>62</v>
      </c>
      <c r="C45" s="1199">
        <f>+TableA3!H43</f>
        <v>70.19379874569357</v>
      </c>
      <c r="D45" s="1166">
        <v>0.2</v>
      </c>
      <c r="E45" s="1542">
        <f t="shared" si="4"/>
        <v>84.573244801411221</v>
      </c>
      <c r="F45" s="1543">
        <f>-TableA7!P43</f>
        <v>63.111386627620902</v>
      </c>
      <c r="G45" s="1544">
        <f>+(TableA7!$P$91-$F$93)*TableC4b!F45</f>
        <v>21.461858173790318</v>
      </c>
      <c r="H45" s="1545">
        <f>+TableC4!C44/1000</f>
        <v>61.500900683046368</v>
      </c>
      <c r="I45" s="1546">
        <f>+TableC4!N44/1000</f>
        <v>54.470500815613676</v>
      </c>
      <c r="J45" s="1547">
        <f t="shared" si="5"/>
        <v>0.24097070200692008</v>
      </c>
      <c r="K45" s="1548">
        <f t="shared" si="1"/>
        <v>0.17982040509381272</v>
      </c>
      <c r="L45" s="1549">
        <f t="shared" si="6"/>
        <v>6.1150296913107346E-2</v>
      </c>
      <c r="M45" s="1550">
        <f t="shared" si="2"/>
        <v>0.17523172069902965</v>
      </c>
      <c r="N45" s="1551">
        <f t="shared" si="3"/>
        <v>0.15520032193429475</v>
      </c>
      <c r="O45" s="9"/>
    </row>
    <row r="46" spans="1:15" x14ac:dyDescent="0.2">
      <c r="A46" s="958"/>
      <c r="B46" s="1154" t="s">
        <v>63</v>
      </c>
      <c r="C46" s="1199">
        <f>+TableA3!H44</f>
        <v>404.99173999999999</v>
      </c>
      <c r="D46" s="1166">
        <v>0.4</v>
      </c>
      <c r="E46" s="1542">
        <f t="shared" si="4"/>
        <v>137.84853378600081</v>
      </c>
      <c r="F46" s="1543">
        <f>-TableA7!P44</f>
        <v>17.51248829921272</v>
      </c>
      <c r="G46" s="1544">
        <f>+(TableA7!$P$91-$F$93)*TableC4b!F46</f>
        <v>120.33604548678811</v>
      </c>
      <c r="H46" s="1545">
        <f>+TableC4!C45/1000</f>
        <v>142.56530860350179</v>
      </c>
      <c r="I46" s="1546">
        <f>+TableC4!N45/1000</f>
        <v>305.41459228542641</v>
      </c>
      <c r="J46" s="1547">
        <f t="shared" si="5"/>
        <v>0.13614947681254025</v>
      </c>
      <c r="K46" s="1548">
        <f t="shared" si="1"/>
        <v>1.7296637505952808E-2</v>
      </c>
      <c r="L46" s="1549">
        <f t="shared" si="6"/>
        <v>0.11885283930658745</v>
      </c>
      <c r="M46" s="1550">
        <f t="shared" si="2"/>
        <v>0.14080811485538131</v>
      </c>
      <c r="N46" s="1551">
        <f t="shared" si="3"/>
        <v>0.30165019393770987</v>
      </c>
      <c r="O46" s="9"/>
    </row>
    <row r="47" spans="1:15" ht="34" x14ac:dyDescent="0.2">
      <c r="A47" s="958"/>
      <c r="B47" s="7" t="s">
        <v>64</v>
      </c>
      <c r="C47" s="1505">
        <f>SUM(C48:C54)</f>
        <v>592.19769080783021</v>
      </c>
      <c r="D47" s="432"/>
      <c r="E47" s="1555">
        <f t="shared" si="4"/>
        <v>53.183233615613091</v>
      </c>
      <c r="F47" s="655">
        <f>SUM(F48:F54)</f>
        <v>28.257238755602206</v>
      </c>
      <c r="G47" s="432">
        <f>SUM(G48:G54)</f>
        <v>24.925994860010888</v>
      </c>
      <c r="H47" s="1211">
        <f>+TableC4!C46/1000</f>
        <v>102.59915789568896</v>
      </c>
      <c r="I47" s="752">
        <f>+TableC4!N46/1000</f>
        <v>63.262528917943158</v>
      </c>
      <c r="J47" s="1556">
        <f>+SUMPRODUCT(J48:J54,$C$48:$C$54)/$C$47</f>
        <v>2.904063812675356E-2</v>
      </c>
      <c r="K47" s="659">
        <f t="shared" ref="K47:N47" si="7">+SUMPRODUCT(K48:K54,$C$48:$C$54)/$C$47</f>
        <v>1.7746149104237264E-2</v>
      </c>
      <c r="L47" s="660">
        <f t="shared" si="7"/>
        <v>1.1294489022516306E-2</v>
      </c>
      <c r="M47" s="1556">
        <f t="shared" si="7"/>
        <v>4.630666039475545E-2</v>
      </c>
      <c r="N47" s="662">
        <f t="shared" si="7"/>
        <v>2.866557352728338E-2</v>
      </c>
      <c r="O47" s="266"/>
    </row>
    <row r="48" spans="1:15" x14ac:dyDescent="0.2">
      <c r="A48" s="958"/>
      <c r="B48" s="1155" t="s">
        <v>65</v>
      </c>
      <c r="C48" s="1199">
        <f>+TableA3!G46</f>
        <v>53.528694639071517</v>
      </c>
      <c r="D48" s="1166">
        <v>0.34</v>
      </c>
      <c r="E48" s="1542">
        <f t="shared" si="4"/>
        <v>16.939123771064754</v>
      </c>
      <c r="F48" s="1543">
        <f>-TableA7!P46</f>
        <v>14.269424226903311</v>
      </c>
      <c r="G48" s="1544">
        <f>+(TableA7!$P$91-$F$93)*TableC4b!F48</f>
        <v>2.6696995441614426</v>
      </c>
      <c r="H48" s="1545">
        <f>+TableC4!C47/1000</f>
        <v>14.212064614009524</v>
      </c>
      <c r="I48" s="1546">
        <f>+TableC4!N47/1000</f>
        <v>6.7757353543263648</v>
      </c>
      <c r="J48" s="1547">
        <f t="shared" si="5"/>
        <v>0.10759279898370999</v>
      </c>
      <c r="K48" s="1548">
        <f t="shared" si="1"/>
        <v>9.0635579101266864E-2</v>
      </c>
      <c r="L48" s="1549">
        <f t="shared" si="6"/>
        <v>1.6957219882443132E-2</v>
      </c>
      <c r="M48" s="1550">
        <f t="shared" si="2"/>
        <v>9.0271246129663765E-2</v>
      </c>
      <c r="N48" s="1551">
        <f t="shared" si="3"/>
        <v>4.3037664863761073E-2</v>
      </c>
      <c r="O48" s="9"/>
    </row>
    <row r="49" spans="1:15" x14ac:dyDescent="0.2">
      <c r="A49" s="329" t="s">
        <v>337</v>
      </c>
      <c r="B49" s="1154" t="s">
        <v>66</v>
      </c>
      <c r="C49" s="1199">
        <f>+TableA3!G47</f>
        <v>421.94464956064348</v>
      </c>
      <c r="D49" s="1166">
        <v>0.25</v>
      </c>
      <c r="E49" s="1542">
        <f t="shared" si="4"/>
        <v>-16.468842867207094</v>
      </c>
      <c r="F49" s="1543">
        <f>-TableA7!P47</f>
        <v>-34.40311206885427</v>
      </c>
      <c r="G49" s="1544">
        <f>+(TableA7!$P$91-$F$93)*TableC4b!F49</f>
        <v>17.934269201647176</v>
      </c>
      <c r="H49" s="1545">
        <f>+TableC4!C48/1000</f>
        <v>60.525807931300939</v>
      </c>
      <c r="I49" s="1546">
        <f>+TableC4!N48/1000</f>
        <v>45.517429910554291</v>
      </c>
      <c r="J49" s="1547">
        <f t="shared" si="5"/>
        <v>-9.7577033411583337E-3</v>
      </c>
      <c r="K49" s="1548">
        <f t="shared" si="1"/>
        <v>-2.0383664127911712E-2</v>
      </c>
      <c r="L49" s="1549">
        <f t="shared" si="6"/>
        <v>1.062596078675338E-2</v>
      </c>
      <c r="M49" s="1550">
        <f t="shared" si="2"/>
        <v>3.5861224922702772E-2</v>
      </c>
      <c r="N49" s="1551">
        <f t="shared" si="3"/>
        <v>2.6968839371437719E-2</v>
      </c>
      <c r="O49" s="9"/>
    </row>
    <row r="50" spans="1:15" x14ac:dyDescent="0.2">
      <c r="A50" s="958"/>
      <c r="B50" s="1154" t="s">
        <v>67</v>
      </c>
      <c r="C50" s="1199">
        <f>+TableA3!G48</f>
        <v>17.029186059832139</v>
      </c>
      <c r="D50" s="1166">
        <v>0.25</v>
      </c>
      <c r="E50" s="1542">
        <f t="shared" si="4"/>
        <v>7.4480056033718274</v>
      </c>
      <c r="F50" s="1543">
        <f>-TableA7!P48</f>
        <v>7.0544040401930346</v>
      </c>
      <c r="G50" s="1544">
        <f>+(TableA7!$P$91-$F$93)*TableC4b!F50</f>
        <v>0.39360156317879325</v>
      </c>
      <c r="H50" s="1545">
        <f>+TableC4!C49/1000</f>
        <v>1.4036174395306298</v>
      </c>
      <c r="I50" s="1546">
        <f>+TableC4!N49/1000</f>
        <v>0.99896635671275957</v>
      </c>
      <c r="J50" s="1547">
        <f t="shared" si="5"/>
        <v>0.10934177325333136</v>
      </c>
      <c r="K50" s="1548">
        <f t="shared" si="1"/>
        <v>0.10356343537805253</v>
      </c>
      <c r="L50" s="1549">
        <f t="shared" si="6"/>
        <v>5.77833787527883E-3</v>
      </c>
      <c r="M50" s="1550">
        <f t="shared" si="2"/>
        <v>2.060605590013246E-2</v>
      </c>
      <c r="N50" s="1551">
        <f t="shared" si="3"/>
        <v>1.4665503583126138E-2</v>
      </c>
      <c r="O50" s="9"/>
    </row>
    <row r="51" spans="1:15" x14ac:dyDescent="0.2">
      <c r="A51" s="958"/>
      <c r="B51" s="1154" t="s">
        <v>68</v>
      </c>
      <c r="C51" s="1199">
        <f>+TableA3!G49</f>
        <v>1.5394204107008198</v>
      </c>
      <c r="D51" s="1166">
        <v>0.3</v>
      </c>
      <c r="E51" s="1542">
        <f t="shared" si="4"/>
        <v>0.61653902899169066</v>
      </c>
      <c r="F51" s="1543">
        <f>-TableA7!P49</f>
        <v>0.56956993229743369</v>
      </c>
      <c r="G51" s="1544">
        <f>+(TableA7!$P$91-$F$93)*TableC4b!F51</f>
        <v>4.6969096694256939E-2</v>
      </c>
      <c r="H51" s="1545">
        <f>+TableC4!C50/1000</f>
        <v>1.0575199886874607</v>
      </c>
      <c r="I51" s="1546">
        <f>+TableC4!N50/1000</f>
        <v>0.11920823439778248</v>
      </c>
      <c r="J51" s="1547">
        <f t="shared" si="5"/>
        <v>0.12015022498844453</v>
      </c>
      <c r="K51" s="1548">
        <f t="shared" si="1"/>
        <v>0.11099695606312068</v>
      </c>
      <c r="L51" s="1549">
        <f t="shared" si="6"/>
        <v>9.153268925323841E-3</v>
      </c>
      <c r="M51" s="1550">
        <f t="shared" si="2"/>
        <v>0.20608794998489574</v>
      </c>
      <c r="N51" s="1551">
        <f t="shared" si="3"/>
        <v>2.3231126514071557E-2</v>
      </c>
      <c r="O51" s="9"/>
    </row>
    <row r="52" spans="1:15" x14ac:dyDescent="0.2">
      <c r="A52" s="958"/>
      <c r="B52" s="1154" t="s">
        <v>69</v>
      </c>
      <c r="C52" s="1199">
        <f>+TableA3!G50</f>
        <v>37.377974500000001</v>
      </c>
      <c r="D52" s="1166">
        <v>0.34610000000000002</v>
      </c>
      <c r="E52" s="1542">
        <f t="shared" si="4"/>
        <v>20.166245567360132</v>
      </c>
      <c r="F52" s="1543">
        <f>-TableA7!P50</f>
        <v>18.323538919036906</v>
      </c>
      <c r="G52" s="1544">
        <f>+(TableA7!$P$91-$F$93)*TableC4b!F52</f>
        <v>1.8427066483232246</v>
      </c>
      <c r="H52" s="1545">
        <f>+TableC4!C51/1000</f>
        <v>9.476399038744594</v>
      </c>
      <c r="I52" s="1546">
        <f>+TableC4!N51/1000</f>
        <v>4.6768156409217543</v>
      </c>
      <c r="J52" s="1547">
        <f t="shared" si="5"/>
        <v>0.18672861984170228</v>
      </c>
      <c r="K52" s="1548">
        <f t="shared" si="1"/>
        <v>0.16966614442627634</v>
      </c>
      <c r="L52" s="1549">
        <f t="shared" si="6"/>
        <v>1.7062475415425951E-2</v>
      </c>
      <c r="M52" s="1550">
        <f t="shared" si="2"/>
        <v>8.7746373397239702E-2</v>
      </c>
      <c r="N52" s="1551">
        <f t="shared" si="3"/>
        <v>4.3304804901159615E-2</v>
      </c>
      <c r="O52" s="9"/>
    </row>
    <row r="53" spans="1:15" x14ac:dyDescent="0.2">
      <c r="A53" s="329" t="s">
        <v>338</v>
      </c>
      <c r="B53" s="1154" t="s">
        <v>70</v>
      </c>
      <c r="C53" s="1199">
        <f>+TableA3!G51</f>
        <v>41.990935943542297</v>
      </c>
      <c r="D53" s="1166">
        <v>0.2</v>
      </c>
      <c r="E53" s="1542">
        <f t="shared" si="4"/>
        <v>4.0724841360456674</v>
      </c>
      <c r="F53" s="1543">
        <f>-TableA7!P51</f>
        <v>3.7750293372023975</v>
      </c>
      <c r="G53" s="1544">
        <f>+(TableA7!$P$91-$F$93)*TableC4b!F53</f>
        <v>0.2974547988432702</v>
      </c>
      <c r="H53" s="1545">
        <f>+TableC4!C52/1000</f>
        <v>11.84310434933391</v>
      </c>
      <c r="I53" s="1546">
        <f>+TableC4!N52/1000</f>
        <v>0.75494450349072806</v>
      </c>
      <c r="J53" s="1547">
        <f t="shared" si="5"/>
        <v>1.9396967676649116E-2</v>
      </c>
      <c r="K53" s="1548">
        <f t="shared" si="1"/>
        <v>1.7980210501990262E-2</v>
      </c>
      <c r="L53" s="1549">
        <f t="shared" si="6"/>
        <v>1.4167571746588573E-3</v>
      </c>
      <c r="M53" s="1550">
        <f t="shared" si="2"/>
        <v>5.640790843651218E-2</v>
      </c>
      <c r="N53" s="1551">
        <f t="shared" si="3"/>
        <v>3.5957498280379703E-3</v>
      </c>
      <c r="O53" s="9"/>
    </row>
    <row r="54" spans="1:15" x14ac:dyDescent="0.2">
      <c r="A54" s="958"/>
      <c r="B54" s="1154" t="s">
        <v>71</v>
      </c>
      <c r="C54" s="1199">
        <f>+TableA3!G52</f>
        <v>18.786829694039877</v>
      </c>
      <c r="D54" s="1166">
        <v>0.28000000000000003</v>
      </c>
      <c r="E54" s="1542">
        <f t="shared" si="4"/>
        <v>20.409678375986111</v>
      </c>
      <c r="F54" s="1543">
        <f>-TableA7!P52</f>
        <v>18.668384368823393</v>
      </c>
      <c r="G54" s="1544">
        <f>+(TableA7!$P$91-$F$93)*TableC4b!F54</f>
        <v>1.7412940071627201</v>
      </c>
      <c r="H54" s="1545">
        <f>+TableC4!C53/1000</f>
        <v>4.0806445340819</v>
      </c>
      <c r="I54" s="1546">
        <f>+TableC4!N53/1000</f>
        <v>4.4194289175394879</v>
      </c>
      <c r="J54" s="1547">
        <f t="shared" si="5"/>
        <v>0.30418703093311711</v>
      </c>
      <c r="K54" s="1548">
        <f t="shared" si="1"/>
        <v>0.27823468399933721</v>
      </c>
      <c r="L54" s="1549">
        <f t="shared" si="6"/>
        <v>2.5952346933779936E-2</v>
      </c>
      <c r="M54" s="1550">
        <f t="shared" si="2"/>
        <v>6.081816294451297E-2</v>
      </c>
      <c r="N54" s="1551">
        <f t="shared" si="3"/>
        <v>6.5867425055949405E-2</v>
      </c>
      <c r="O54" s="9"/>
    </row>
    <row r="55" spans="1:15" ht="40" hidden="1" customHeight="1" x14ac:dyDescent="0.2">
      <c r="A55" s="958"/>
      <c r="B55" s="7" t="s">
        <v>72</v>
      </c>
      <c r="C55" s="1206"/>
      <c r="D55" s="1838"/>
      <c r="E55" s="1542"/>
      <c r="F55" s="1543"/>
      <c r="G55" s="1544"/>
      <c r="H55" s="1823"/>
      <c r="I55" s="1838"/>
      <c r="J55" s="1547"/>
      <c r="K55" s="1548"/>
      <c r="L55" s="1549"/>
      <c r="M55" s="1557"/>
      <c r="N55" s="663"/>
      <c r="O55" s="266"/>
    </row>
    <row r="56" spans="1:15" ht="14.25" hidden="1" customHeight="1" x14ac:dyDescent="0.2">
      <c r="A56" s="958"/>
      <c r="B56" s="1154" t="s">
        <v>73</v>
      </c>
      <c r="C56" s="1204"/>
      <c r="D56" s="1866"/>
      <c r="E56" s="1542"/>
      <c r="F56" s="1543"/>
      <c r="G56" s="1544"/>
      <c r="H56" s="1558"/>
      <c r="I56" s="1866"/>
      <c r="J56" s="1547"/>
      <c r="K56" s="1548"/>
      <c r="L56" s="1549"/>
      <c r="M56" s="1553"/>
      <c r="N56" s="1554"/>
      <c r="O56" s="1184"/>
    </row>
    <row r="57" spans="1:15" ht="14.25" hidden="1" customHeight="1" x14ac:dyDescent="0.2">
      <c r="A57" s="958"/>
      <c r="B57" s="1154" t="s">
        <v>74</v>
      </c>
      <c r="C57" s="1204"/>
      <c r="D57" s="1866"/>
      <c r="E57" s="1542"/>
      <c r="F57" s="1543"/>
      <c r="G57" s="1544"/>
      <c r="H57" s="1558"/>
      <c r="I57" s="1866"/>
      <c r="J57" s="1547"/>
      <c r="K57" s="1548"/>
      <c r="L57" s="1549"/>
      <c r="M57" s="1553"/>
      <c r="N57" s="1554"/>
      <c r="O57" s="1184"/>
    </row>
    <row r="58" spans="1:15" ht="14.25" hidden="1" customHeight="1" x14ac:dyDescent="0.2">
      <c r="A58" s="958"/>
      <c r="B58" s="1154" t="str">
        <f>+TableA1!A56</f>
        <v>Antigua and Barbuda</v>
      </c>
      <c r="C58" s="1204"/>
      <c r="D58" s="1866"/>
      <c r="E58" s="1542"/>
      <c r="F58" s="1543"/>
      <c r="G58" s="1544"/>
      <c r="H58" s="1558"/>
      <c r="I58" s="1866"/>
      <c r="J58" s="1547"/>
      <c r="K58" s="1548"/>
      <c r="L58" s="1549"/>
      <c r="M58" s="1553"/>
      <c r="N58" s="1554"/>
      <c r="O58" s="1184"/>
    </row>
    <row r="59" spans="1:15" ht="14.25" hidden="1" customHeight="1" x14ac:dyDescent="0.2">
      <c r="A59" s="958"/>
      <c r="B59" s="1154" t="s">
        <v>76</v>
      </c>
      <c r="C59" s="1204"/>
      <c r="D59" s="1866"/>
      <c r="E59" s="1542"/>
      <c r="F59" s="1543"/>
      <c r="G59" s="1544"/>
      <c r="H59" s="1558"/>
      <c r="I59" s="1866"/>
      <c r="J59" s="1547"/>
      <c r="K59" s="1548"/>
      <c r="L59" s="1549"/>
      <c r="M59" s="1553"/>
      <c r="N59" s="1554"/>
      <c r="O59" s="1184"/>
    </row>
    <row r="60" spans="1:15" ht="14.25" hidden="1" customHeight="1" x14ac:dyDescent="0.2">
      <c r="A60" s="329" t="s">
        <v>77</v>
      </c>
      <c r="B60" s="1154" t="s">
        <v>152</v>
      </c>
      <c r="C60" s="1204"/>
      <c r="D60" s="1866"/>
      <c r="E60" s="1542"/>
      <c r="F60" s="1543"/>
      <c r="G60" s="1544"/>
      <c r="H60" s="1558"/>
      <c r="I60" s="1866"/>
      <c r="J60" s="1547"/>
      <c r="K60" s="1548"/>
      <c r="L60" s="1549"/>
      <c r="M60" s="1553"/>
      <c r="N60" s="1554"/>
      <c r="O60" s="1184"/>
    </row>
    <row r="61" spans="1:15" ht="14.25" hidden="1" customHeight="1" x14ac:dyDescent="0.2">
      <c r="A61" s="329" t="s">
        <v>340</v>
      </c>
      <c r="B61" s="1154" t="s">
        <v>78</v>
      </c>
      <c r="C61" s="1204"/>
      <c r="D61" s="1866"/>
      <c r="E61" s="1542"/>
      <c r="F61" s="1543"/>
      <c r="G61" s="1544"/>
      <c r="H61" s="1558"/>
      <c r="I61" s="1866"/>
      <c r="J61" s="1547"/>
      <c r="K61" s="1548"/>
      <c r="L61" s="1549"/>
      <c r="M61" s="1553"/>
      <c r="N61" s="1554"/>
      <c r="O61" s="1184"/>
    </row>
    <row r="62" spans="1:15" ht="14.25" hidden="1" customHeight="1" x14ac:dyDescent="0.2">
      <c r="A62" s="958"/>
      <c r="B62" s="1154" t="str">
        <f>+TableA1!A60</f>
        <v>Barbados</v>
      </c>
      <c r="C62" s="1204"/>
      <c r="D62" s="1866"/>
      <c r="E62" s="1542"/>
      <c r="F62" s="1543"/>
      <c r="G62" s="1544"/>
      <c r="H62" s="1558"/>
      <c r="I62" s="1866"/>
      <c r="J62" s="1547"/>
      <c r="K62" s="1548"/>
      <c r="L62" s="1549"/>
      <c r="M62" s="1553"/>
      <c r="N62" s="1554"/>
      <c r="O62" s="1184"/>
    </row>
    <row r="63" spans="1:15" ht="14.25" hidden="1" customHeight="1" x14ac:dyDescent="0.2">
      <c r="A63" s="958"/>
      <c r="B63" s="1154" t="s">
        <v>80</v>
      </c>
      <c r="C63" s="1204"/>
      <c r="D63" s="1866"/>
      <c r="E63" s="1542"/>
      <c r="F63" s="1543"/>
      <c r="G63" s="1544"/>
      <c r="H63" s="1558"/>
      <c r="I63" s="1866"/>
      <c r="J63" s="1547"/>
      <c r="K63" s="1548"/>
      <c r="L63" s="1549"/>
      <c r="M63" s="1553"/>
      <c r="N63" s="1554"/>
      <c r="O63" s="1184"/>
    </row>
    <row r="64" spans="1:15" ht="14.25" hidden="1" customHeight="1" x14ac:dyDescent="0.2">
      <c r="A64" s="958"/>
      <c r="B64" s="1154" t="s">
        <v>81</v>
      </c>
      <c r="C64" s="1204"/>
      <c r="D64" s="1866"/>
      <c r="E64" s="1542"/>
      <c r="F64" s="1543"/>
      <c r="G64" s="1544"/>
      <c r="H64" s="1558"/>
      <c r="I64" s="1866"/>
      <c r="J64" s="1547"/>
      <c r="K64" s="1548"/>
      <c r="L64" s="1549"/>
      <c r="M64" s="1553"/>
      <c r="N64" s="1554"/>
      <c r="O64" s="1184"/>
    </row>
    <row r="65" spans="1:15" ht="14.25" hidden="1" customHeight="1" x14ac:dyDescent="0.2">
      <c r="A65" s="329" t="s">
        <v>645</v>
      </c>
      <c r="B65" s="1154" t="s">
        <v>82</v>
      </c>
      <c r="C65" s="1204"/>
      <c r="D65" s="1866"/>
      <c r="E65" s="1542"/>
      <c r="F65" s="1543"/>
      <c r="G65" s="1544"/>
      <c r="H65" s="1558"/>
      <c r="I65" s="1866"/>
      <c r="J65" s="1547"/>
      <c r="K65" s="1548"/>
      <c r="L65" s="1549"/>
      <c r="M65" s="1553"/>
      <c r="N65" s="1554"/>
      <c r="O65" s="1184"/>
    </row>
    <row r="66" spans="1:15" ht="14.25" hidden="1" customHeight="1" x14ac:dyDescent="0.2">
      <c r="A66" s="329" t="s">
        <v>372</v>
      </c>
      <c r="B66" s="1154" t="s">
        <v>153</v>
      </c>
      <c r="C66" s="1204"/>
      <c r="D66" s="1866"/>
      <c r="E66" s="1542"/>
      <c r="F66" s="1543"/>
      <c r="G66" s="1544"/>
      <c r="H66" s="1558"/>
      <c r="I66" s="1866"/>
      <c r="J66" s="1547"/>
      <c r="K66" s="1548"/>
      <c r="L66" s="1549"/>
      <c r="M66" s="1553"/>
      <c r="N66" s="1554"/>
      <c r="O66" s="1184"/>
    </row>
    <row r="67" spans="1:15" ht="14.25" hidden="1" customHeight="1" x14ac:dyDescent="0.2">
      <c r="A67" s="958"/>
      <c r="B67" s="113" t="s">
        <v>84</v>
      </c>
      <c r="C67" s="1559"/>
      <c r="D67" s="639"/>
      <c r="E67" s="1542"/>
      <c r="F67" s="1543"/>
      <c r="G67" s="1544"/>
      <c r="H67" s="1560"/>
      <c r="I67" s="639"/>
      <c r="J67" s="1547"/>
      <c r="K67" s="1548"/>
      <c r="L67" s="1549"/>
      <c r="M67" s="1561"/>
      <c r="N67" s="664"/>
      <c r="O67" s="1184"/>
    </row>
    <row r="68" spans="1:15" ht="14.25" hidden="1" customHeight="1" x14ac:dyDescent="0.2">
      <c r="A68" s="958"/>
      <c r="B68" s="1154" t="s">
        <v>85</v>
      </c>
      <c r="C68" s="1204"/>
      <c r="D68" s="1866"/>
      <c r="E68" s="1542"/>
      <c r="F68" s="1543"/>
      <c r="G68" s="1544"/>
      <c r="H68" s="1558"/>
      <c r="I68" s="1866"/>
      <c r="J68" s="1547"/>
      <c r="K68" s="1548"/>
      <c r="L68" s="1549"/>
      <c r="M68" s="1553"/>
      <c r="N68" s="1554"/>
      <c r="O68" s="1184"/>
    </row>
    <row r="69" spans="1:15" ht="14.25" hidden="1" customHeight="1" x14ac:dyDescent="0.2">
      <c r="A69" s="958"/>
      <c r="B69" s="1154" t="str">
        <f>+TableA1!A67</f>
        <v>Cyprus</v>
      </c>
      <c r="C69" s="1204"/>
      <c r="D69" s="1866"/>
      <c r="E69" s="1542"/>
      <c r="F69" s="1543"/>
      <c r="G69" s="1544"/>
      <c r="H69" s="1558"/>
      <c r="I69" s="1866"/>
      <c r="J69" s="1547"/>
      <c r="K69" s="1548"/>
      <c r="L69" s="1549"/>
      <c r="M69" s="1553"/>
      <c r="N69" s="1554"/>
      <c r="O69" s="1184"/>
    </row>
    <row r="70" spans="1:15" ht="14.25" hidden="1" customHeight="1" x14ac:dyDescent="0.2">
      <c r="A70" s="958"/>
      <c r="B70" s="1154" t="s">
        <v>87</v>
      </c>
      <c r="C70" s="1204"/>
      <c r="D70" s="1866"/>
      <c r="E70" s="1542"/>
      <c r="F70" s="1543"/>
      <c r="G70" s="1544"/>
      <c r="H70" s="1558"/>
      <c r="I70" s="1866"/>
      <c r="J70" s="1547"/>
      <c r="K70" s="1548"/>
      <c r="L70" s="1549"/>
      <c r="M70" s="1553"/>
      <c r="N70" s="1554"/>
      <c r="O70" s="1184"/>
    </row>
    <row r="71" spans="1:15" ht="14.25" hidden="1" customHeight="1" x14ac:dyDescent="0.2">
      <c r="A71" s="958"/>
      <c r="B71" s="1154" t="str">
        <f>+TableA1!A69</f>
        <v>Grenada</v>
      </c>
      <c r="C71" s="1204"/>
      <c r="D71" s="1866"/>
      <c r="E71" s="1542"/>
      <c r="F71" s="1543"/>
      <c r="G71" s="1544"/>
      <c r="H71" s="1558"/>
      <c r="I71" s="1866"/>
      <c r="J71" s="1547"/>
      <c r="K71" s="1548"/>
      <c r="L71" s="1549"/>
      <c r="M71" s="1553"/>
      <c r="N71" s="1554"/>
      <c r="O71" s="1184"/>
    </row>
    <row r="72" spans="1:15" ht="14.25" hidden="1" customHeight="1" x14ac:dyDescent="0.2">
      <c r="A72" s="958"/>
      <c r="B72" s="1154" t="s">
        <v>89</v>
      </c>
      <c r="C72" s="1204"/>
      <c r="D72" s="1866"/>
      <c r="E72" s="1542"/>
      <c r="F72" s="1543"/>
      <c r="G72" s="1544"/>
      <c r="H72" s="1558"/>
      <c r="I72" s="1866"/>
      <c r="J72" s="1547"/>
      <c r="K72" s="1548"/>
      <c r="L72" s="1549"/>
      <c r="M72" s="1553"/>
      <c r="N72" s="1554"/>
      <c r="O72" s="1184"/>
    </row>
    <row r="73" spans="1:15" ht="14.25" hidden="1" customHeight="1" x14ac:dyDescent="0.2">
      <c r="A73" s="329" t="s">
        <v>90</v>
      </c>
      <c r="B73" s="1154" t="s">
        <v>154</v>
      </c>
      <c r="C73" s="1204"/>
      <c r="D73" s="1866"/>
      <c r="E73" s="1542"/>
      <c r="F73" s="1543"/>
      <c r="G73" s="1544"/>
      <c r="H73" s="1558"/>
      <c r="I73" s="1866"/>
      <c r="J73" s="1547"/>
      <c r="K73" s="1548"/>
      <c r="L73" s="1549"/>
      <c r="M73" s="1553"/>
      <c r="N73" s="1554"/>
      <c r="O73" s="1184"/>
    </row>
    <row r="74" spans="1:15" ht="14.25" hidden="1" customHeight="1" x14ac:dyDescent="0.2">
      <c r="A74" s="329" t="s">
        <v>341</v>
      </c>
      <c r="B74" s="1154" t="s">
        <v>91</v>
      </c>
      <c r="C74" s="1204"/>
      <c r="D74" s="1866"/>
      <c r="E74" s="1542"/>
      <c r="F74" s="1543"/>
      <c r="G74" s="1544"/>
      <c r="H74" s="1558"/>
      <c r="I74" s="1866"/>
      <c r="J74" s="1547"/>
      <c r="K74" s="1548"/>
      <c r="L74" s="1549"/>
      <c r="M74" s="1553"/>
      <c r="N74" s="1554"/>
      <c r="O74" s="1184"/>
    </row>
    <row r="75" spans="1:15" ht="14.25" hidden="1" customHeight="1" x14ac:dyDescent="0.2">
      <c r="A75" s="958"/>
      <c r="B75" s="1154" t="s">
        <v>92</v>
      </c>
      <c r="C75" s="1204"/>
      <c r="D75" s="1866"/>
      <c r="E75" s="1542"/>
      <c r="F75" s="1543"/>
      <c r="G75" s="1544"/>
      <c r="H75" s="1558"/>
      <c r="I75" s="1866"/>
      <c r="J75" s="1547"/>
      <c r="K75" s="1548"/>
      <c r="L75" s="1549"/>
      <c r="M75" s="1553"/>
      <c r="N75" s="1554"/>
      <c r="O75" s="1184"/>
    </row>
    <row r="76" spans="1:15" ht="14.25" hidden="1" customHeight="1" x14ac:dyDescent="0.2">
      <c r="A76" s="958"/>
      <c r="B76" s="1154" t="s">
        <v>93</v>
      </c>
      <c r="C76" s="1204"/>
      <c r="D76" s="1866"/>
      <c r="E76" s="1542"/>
      <c r="F76" s="1543"/>
      <c r="G76" s="1544"/>
      <c r="H76" s="1558"/>
      <c r="I76" s="1866"/>
      <c r="J76" s="1547"/>
      <c r="K76" s="1548"/>
      <c r="L76" s="1549"/>
      <c r="M76" s="1553"/>
      <c r="N76" s="1554"/>
      <c r="O76" s="1184"/>
    </row>
    <row r="77" spans="1:15" ht="14.25" hidden="1" customHeight="1" x14ac:dyDescent="0.2">
      <c r="A77" s="958"/>
      <c r="B77" s="1154" t="s">
        <v>94</v>
      </c>
      <c r="C77" s="1204"/>
      <c r="D77" s="1866"/>
      <c r="E77" s="1542"/>
      <c r="F77" s="1543"/>
      <c r="G77" s="1544"/>
      <c r="H77" s="1558"/>
      <c r="I77" s="1866"/>
      <c r="J77" s="1547"/>
      <c r="K77" s="1548"/>
      <c r="L77" s="1549"/>
      <c r="M77" s="1553"/>
      <c r="N77" s="1554"/>
      <c r="O77" s="1184"/>
    </row>
    <row r="78" spans="1:15" ht="14.25" hidden="1" customHeight="1" x14ac:dyDescent="0.2">
      <c r="A78" s="329" t="s">
        <v>342</v>
      </c>
      <c r="B78" s="1154" t="s">
        <v>95</v>
      </c>
      <c r="C78" s="1204"/>
      <c r="D78" s="1866"/>
      <c r="E78" s="1542"/>
      <c r="F78" s="1543"/>
      <c r="G78" s="1544"/>
      <c r="H78" s="1558"/>
      <c r="I78" s="1866"/>
      <c r="J78" s="1547"/>
      <c r="K78" s="1548"/>
      <c r="L78" s="1549"/>
      <c r="M78" s="1553"/>
      <c r="N78" s="1554"/>
      <c r="O78" s="1184"/>
    </row>
    <row r="79" spans="1:15" ht="14.25" hidden="1" customHeight="1" x14ac:dyDescent="0.2">
      <c r="A79" s="958"/>
      <c r="B79" s="1154" t="s">
        <v>96</v>
      </c>
      <c r="C79" s="1204"/>
      <c r="D79" s="1866"/>
      <c r="E79" s="1542"/>
      <c r="F79" s="1543"/>
      <c r="G79" s="1544"/>
      <c r="H79" s="1558"/>
      <c r="I79" s="1866"/>
      <c r="J79" s="1547"/>
      <c r="K79" s="1548"/>
      <c r="L79" s="1549"/>
      <c r="M79" s="1553"/>
      <c r="N79" s="1554"/>
      <c r="O79" s="1184"/>
    </row>
    <row r="80" spans="1:15" ht="14.25" hidden="1" customHeight="1" x14ac:dyDescent="0.2">
      <c r="A80" s="329" t="s">
        <v>373</v>
      </c>
      <c r="B80" s="1154" t="s">
        <v>97</v>
      </c>
      <c r="C80" s="1204"/>
      <c r="D80" s="1866"/>
      <c r="E80" s="1542"/>
      <c r="F80" s="1543"/>
      <c r="G80" s="1544"/>
      <c r="H80" s="1558"/>
      <c r="I80" s="1866"/>
      <c r="J80" s="1547"/>
      <c r="K80" s="1548"/>
      <c r="L80" s="1549"/>
      <c r="M80" s="1553"/>
      <c r="N80" s="1554"/>
      <c r="O80" s="1184"/>
    </row>
    <row r="81" spans="1:15" ht="14.25" hidden="1" customHeight="1" x14ac:dyDescent="0.2">
      <c r="A81" s="958"/>
      <c r="B81" s="1154" t="str">
        <f>+TableA1!A79</f>
        <v>Monaco</v>
      </c>
      <c r="C81" s="1204"/>
      <c r="D81" s="1866"/>
      <c r="E81" s="1542"/>
      <c r="F81" s="1543"/>
      <c r="G81" s="1544"/>
      <c r="H81" s="1558"/>
      <c r="I81" s="1866"/>
      <c r="J81" s="1547"/>
      <c r="K81" s="1548"/>
      <c r="L81" s="1549"/>
      <c r="M81" s="1553"/>
      <c r="N81" s="1554"/>
      <c r="O81" s="1184"/>
    </row>
    <row r="82" spans="1:15" ht="14.25" hidden="1" customHeight="1" x14ac:dyDescent="0.2">
      <c r="A82" s="958"/>
      <c r="B82" s="1154" t="s">
        <v>99</v>
      </c>
      <c r="C82" s="1204"/>
      <c r="D82" s="1866"/>
      <c r="E82" s="1542"/>
      <c r="F82" s="1543"/>
      <c r="G82" s="1544"/>
      <c r="H82" s="1558"/>
      <c r="I82" s="1866"/>
      <c r="J82" s="1547"/>
      <c r="K82" s="1548"/>
      <c r="L82" s="1549"/>
      <c r="M82" s="1553"/>
      <c r="N82" s="1554"/>
      <c r="O82" s="1184"/>
    </row>
    <row r="83" spans="1:15" ht="14.25" hidden="1" customHeight="1" x14ac:dyDescent="0.2">
      <c r="A83" s="958"/>
      <c r="B83" s="1154" t="s">
        <v>100</v>
      </c>
      <c r="C83" s="1204"/>
      <c r="D83" s="1866"/>
      <c r="E83" s="1542"/>
      <c r="F83" s="1543"/>
      <c r="G83" s="1544"/>
      <c r="H83" s="1558"/>
      <c r="I83" s="1866"/>
      <c r="J83" s="1547"/>
      <c r="K83" s="1548"/>
      <c r="L83" s="1549"/>
      <c r="M83" s="1553"/>
      <c r="N83" s="1554"/>
      <c r="O83" s="1184"/>
    </row>
    <row r="84" spans="1:15" ht="14.25" hidden="1" customHeight="1" x14ac:dyDescent="0.2">
      <c r="A84" s="958"/>
      <c r="B84" s="1154" t="str">
        <f>+TableA1!A82</f>
        <v>Seychelles</v>
      </c>
      <c r="C84" s="1204"/>
      <c r="D84" s="1866"/>
      <c r="E84" s="1542"/>
      <c r="F84" s="1543"/>
      <c r="G84" s="1544"/>
      <c r="H84" s="1558"/>
      <c r="I84" s="1866"/>
      <c r="J84" s="1547"/>
      <c r="K84" s="1548"/>
      <c r="L84" s="1549"/>
      <c r="M84" s="1553"/>
      <c r="N84" s="1554"/>
      <c r="O84" s="1184"/>
    </row>
    <row r="85" spans="1:15" hidden="1" x14ac:dyDescent="0.2">
      <c r="A85" s="958"/>
      <c r="B85" s="1154" t="s">
        <v>102</v>
      </c>
      <c r="C85" s="1204"/>
      <c r="D85" s="1866"/>
      <c r="E85" s="1542"/>
      <c r="F85" s="1543"/>
      <c r="G85" s="1544"/>
      <c r="H85" s="1558"/>
      <c r="I85" s="1866"/>
      <c r="J85" s="1547"/>
      <c r="K85" s="1548"/>
      <c r="L85" s="1549"/>
      <c r="M85" s="1553"/>
      <c r="N85" s="1554"/>
      <c r="O85" s="1184"/>
    </row>
    <row r="86" spans="1:15" hidden="1" x14ac:dyDescent="0.2">
      <c r="A86" s="958"/>
      <c r="B86" s="1154" t="str">
        <f>+TableA1!A84</f>
        <v>St. Kitts and Nevis</v>
      </c>
      <c r="C86" s="1204"/>
      <c r="D86" s="1866"/>
      <c r="E86" s="1542"/>
      <c r="F86" s="1543"/>
      <c r="G86" s="1544"/>
      <c r="H86" s="1558"/>
      <c r="I86" s="1866"/>
      <c r="J86" s="1547"/>
      <c r="K86" s="1548"/>
      <c r="L86" s="1549"/>
      <c r="M86" s="1553"/>
      <c r="N86" s="1554"/>
      <c r="O86" s="1184"/>
    </row>
    <row r="87" spans="1:15" hidden="1" x14ac:dyDescent="0.2">
      <c r="A87" s="958"/>
      <c r="B87" s="1154" t="str">
        <f>+TableA1!A85</f>
        <v>St. Lucia</v>
      </c>
      <c r="C87" s="1204"/>
      <c r="D87" s="1866"/>
      <c r="E87" s="1542"/>
      <c r="F87" s="1543"/>
      <c r="G87" s="1544"/>
      <c r="H87" s="1558"/>
      <c r="I87" s="1866"/>
      <c r="J87" s="1547"/>
      <c r="K87" s="1548"/>
      <c r="L87" s="1549"/>
      <c r="M87" s="1553"/>
      <c r="N87" s="1554"/>
      <c r="O87" s="1184"/>
    </row>
    <row r="88" spans="1:15" hidden="1" x14ac:dyDescent="0.2">
      <c r="A88" s="958"/>
      <c r="B88" s="1154" t="str">
        <f>+TableA1!A86</f>
        <v>St. Vincent and the Grenadines</v>
      </c>
      <c r="C88" s="1204"/>
      <c r="D88" s="1866"/>
      <c r="E88" s="1542"/>
      <c r="F88" s="1543"/>
      <c r="G88" s="1544"/>
      <c r="H88" s="1558"/>
      <c r="I88" s="1866"/>
      <c r="J88" s="1547"/>
      <c r="K88" s="1548"/>
      <c r="L88" s="1549"/>
      <c r="M88" s="1553"/>
      <c r="N88" s="1554"/>
      <c r="O88" s="1184"/>
    </row>
    <row r="89" spans="1:15" hidden="1" x14ac:dyDescent="0.2">
      <c r="A89" s="329" t="s">
        <v>374</v>
      </c>
      <c r="B89" s="1154" t="str">
        <f>+TableA1!A87</f>
        <v>Turks and Caicos</v>
      </c>
      <c r="C89" s="1204"/>
      <c r="D89" s="1866"/>
      <c r="E89" s="1542"/>
      <c r="F89" s="1543"/>
      <c r="G89" s="1544"/>
      <c r="H89" s="1558"/>
      <c r="I89" s="1866"/>
      <c r="J89" s="1547"/>
      <c r="K89" s="1548"/>
      <c r="L89" s="1549"/>
      <c r="M89" s="1553"/>
      <c r="N89" s="1554"/>
      <c r="O89" s="1184"/>
    </row>
    <row r="90" spans="1:15" hidden="1" x14ac:dyDescent="0.2">
      <c r="A90" s="958"/>
      <c r="B90" s="1154" t="str">
        <f>+TableA1!A88</f>
        <v>Panama</v>
      </c>
      <c r="C90" s="1204"/>
      <c r="D90" s="1866"/>
      <c r="E90" s="1542"/>
      <c r="F90" s="1543"/>
      <c r="G90" s="1544"/>
      <c r="H90" s="1558"/>
      <c r="I90" s="1866"/>
      <c r="J90" s="1547"/>
      <c r="K90" s="1548"/>
      <c r="L90" s="1549"/>
      <c r="M90" s="1553"/>
      <c r="N90" s="1554"/>
      <c r="O90" s="1184"/>
    </row>
    <row r="91" spans="1:15" hidden="1" x14ac:dyDescent="0.2">
      <c r="A91" s="958"/>
      <c r="B91" s="1154" t="s">
        <v>108</v>
      </c>
      <c r="C91" s="1204"/>
      <c r="D91" s="1866"/>
      <c r="E91" s="1542"/>
      <c r="F91" s="1543"/>
      <c r="G91" s="1544"/>
      <c r="H91" s="1558"/>
      <c r="I91" s="1866"/>
      <c r="J91" s="1547"/>
      <c r="K91" s="1548"/>
      <c r="L91" s="1549"/>
      <c r="M91" s="1553"/>
      <c r="N91" s="1554"/>
      <c r="O91" s="1184"/>
    </row>
    <row r="92" spans="1:15" ht="40" customHeight="1" x14ac:dyDescent="0.2">
      <c r="A92" s="958"/>
      <c r="B92" s="1467" t="s">
        <v>155</v>
      </c>
      <c r="C92" s="1562">
        <f>+TableA3!G90</f>
        <v>266.94859926828144</v>
      </c>
      <c r="D92" s="1524">
        <v>0.23739999999999997</v>
      </c>
      <c r="E92" s="1563">
        <f t="shared" ref="E92" si="8">+F92+G92</f>
        <v>-15.515533611772348</v>
      </c>
      <c r="F92" s="1564">
        <f>-TableA7!P90</f>
        <v>-23.365842060312318</v>
      </c>
      <c r="G92" s="1565">
        <f>+(TableA7!$P$91-$F$93)*TableC4b!F92</f>
        <v>7.8503084485399697</v>
      </c>
      <c r="H92" s="1566">
        <f>+TableC4!C91/1000</f>
        <v>78.718222161267093</v>
      </c>
      <c r="I92" s="1567">
        <f>+TableC4!N91/1000</f>
        <v>19.924194321217819</v>
      </c>
      <c r="J92" s="1568">
        <f t="shared" ref="J92" si="9">+(E92*$D92)/$C92</f>
        <v>-1.379811577783548E-2</v>
      </c>
      <c r="K92" s="1569">
        <f t="shared" ref="K92" si="10">+(F92*$D92)/$C92</f>
        <v>-2.0779471854592491E-2</v>
      </c>
      <c r="L92" s="1570">
        <f t="shared" ref="L92" si="11">+(G92*$D92)/$C92</f>
        <v>6.9813560767570098E-3</v>
      </c>
      <c r="M92" s="1571">
        <f t="shared" ref="M92" si="12">+(H92*$D92)/$C92</f>
        <v>7.0004884806695658E-2</v>
      </c>
      <c r="N92" s="1572">
        <f t="shared" ref="N92" si="13">+(I92*$D92)/$C92</f>
        <v>1.7718780862017149E-2</v>
      </c>
      <c r="O92" s="266"/>
    </row>
    <row r="93" spans="1:15" ht="34.5" customHeight="1" thickBot="1" x14ac:dyDescent="0.25">
      <c r="A93" s="958"/>
      <c r="B93" s="263" t="str">
        <f>+TableC3!B91</f>
        <v>Non-haven total</v>
      </c>
      <c r="C93" s="747">
        <f>+C92+C11+C47</f>
        <v>1986.5618629909525</v>
      </c>
      <c r="D93" s="642"/>
      <c r="E93" s="666">
        <f t="shared" ref="E93:F93" si="14">+E92+E11+E47</f>
        <v>616.46162984891726</v>
      </c>
      <c r="F93" s="1573">
        <f t="shared" si="14"/>
        <v>373.57030571391573</v>
      </c>
      <c r="G93" s="1574">
        <f t="shared" ref="G93" si="15">+G92+G11+G47</f>
        <v>242.89132413500155</v>
      </c>
      <c r="H93" s="665">
        <f>+H92+H11+H47</f>
        <v>616.46162984891726</v>
      </c>
      <c r="I93" s="642">
        <f>+I92+I11+I47</f>
        <v>616.46162984891714</v>
      </c>
      <c r="J93" s="667">
        <f>+(J92*$C$92+J47*$C$47+J11*$C$11)/$C$93</f>
        <v>9.5206331255274876E-2</v>
      </c>
      <c r="K93" s="1575">
        <f>+(K92*$C$92+K47*$C$47+K11*$C$11)/$C$93</f>
        <v>5.4071226350073616E-2</v>
      </c>
      <c r="L93" s="1576">
        <f>+(L92*$C$92+L47*$C$47+L11*$C$11)/$C$93</f>
        <v>4.1135104905201246E-2</v>
      </c>
      <c r="M93" s="667">
        <f>+(M92*$C$92+M47*$C$47+M11*$C$11)/$C$93</f>
        <v>9.1314753737725518E-2</v>
      </c>
      <c r="N93" s="668">
        <f>+(N92*$C$92+N47*$C$47+N11*$C$11)/$C$93</f>
        <v>0.10440148039117361</v>
      </c>
      <c r="O93" s="246"/>
    </row>
    <row r="94" spans="1:15" s="2" customFormat="1" ht="17" thickTop="1" x14ac:dyDescent="0.2">
      <c r="J94" s="958"/>
      <c r="K94" s="958"/>
      <c r="L94" s="958"/>
      <c r="M94" s="958"/>
      <c r="N94" s="958"/>
      <c r="O94" s="958"/>
    </row>
    <row r="96" spans="1:15" s="2" customFormat="1" x14ac:dyDescent="0.2">
      <c r="B96" s="958"/>
      <c r="C96" s="958"/>
      <c r="D96" s="958"/>
      <c r="E96" s="958"/>
      <c r="F96" s="958"/>
      <c r="G96" s="958"/>
      <c r="H96" s="958"/>
      <c r="I96" s="958"/>
      <c r="J96" s="958"/>
      <c r="K96" s="958"/>
      <c r="L96" s="958"/>
      <c r="M96" s="958"/>
      <c r="N96" s="958"/>
      <c r="O96" s="958"/>
    </row>
  </sheetData>
  <mergeCells count="13">
    <mergeCell ref="B5:N5"/>
    <mergeCell ref="E9:E10"/>
    <mergeCell ref="E7:I7"/>
    <mergeCell ref="H8:H10"/>
    <mergeCell ref="I8:I10"/>
    <mergeCell ref="J7:N7"/>
    <mergeCell ref="J8:L8"/>
    <mergeCell ref="M8:M10"/>
    <mergeCell ref="N8:N10"/>
    <mergeCell ref="J9:J10"/>
    <mergeCell ref="E8:G8"/>
    <mergeCell ref="C7:C10"/>
    <mergeCell ref="D7:D10"/>
  </mergeCells>
  <phoneticPr fontId="36" type="noConversion"/>
  <pageMargins left="0.7" right="0.7" top="0.75" bottom="0.75" header="0.3" footer="0.3"/>
  <pageSetup scale="66" fitToHeight="2" orientation="landscape" horizontalDpi="4294967292" verticalDpi="4294967292"/>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L184"/>
  <sheetViews>
    <sheetView zoomScale="55" zoomScaleNormal="55" workbookViewId="0">
      <selection activeCell="M7" sqref="M7"/>
    </sheetView>
  </sheetViews>
  <sheetFormatPr baseColWidth="10" defaultColWidth="10.83203125" defaultRowHeight="16" x14ac:dyDescent="0.2"/>
  <cols>
    <col min="1" max="1" width="41" style="1068" customWidth="1"/>
    <col min="2" max="10" width="10.83203125" style="1067"/>
    <col min="11" max="11" width="10.83203125" style="1066"/>
    <col min="12" max="12" width="16" style="1066" bestFit="1" customWidth="1"/>
    <col min="13" max="20" width="10.83203125" style="1066"/>
    <col min="21" max="21" width="24.6640625" style="1066" bestFit="1" customWidth="1"/>
    <col min="22" max="16384" width="10.83203125" style="1066"/>
  </cols>
  <sheetData>
    <row r="1" spans="1:13" ht="17" thickBot="1" x14ac:dyDescent="0.25"/>
    <row r="2" spans="1:13" ht="26" x14ac:dyDescent="0.3">
      <c r="A2" s="2294" t="s">
        <v>675</v>
      </c>
      <c r="B2" s="2295"/>
      <c r="C2" s="2295"/>
      <c r="D2" s="2295"/>
      <c r="E2" s="2295"/>
      <c r="F2" s="2295"/>
      <c r="G2" s="2295"/>
      <c r="H2" s="2295"/>
      <c r="I2" s="2295"/>
      <c r="J2" s="2296"/>
    </row>
    <row r="3" spans="1:13" hidden="1" x14ac:dyDescent="0.2">
      <c r="A3" s="1072"/>
      <c r="B3" s="1879">
        <v>26</v>
      </c>
      <c r="C3" s="1879">
        <v>27</v>
      </c>
      <c r="D3" s="1879">
        <v>28</v>
      </c>
      <c r="E3" s="1879">
        <v>29</v>
      </c>
      <c r="F3" s="1879">
        <v>30</v>
      </c>
      <c r="G3" s="1879">
        <v>31</v>
      </c>
      <c r="H3" s="1879">
        <v>32</v>
      </c>
      <c r="I3" s="1879">
        <v>33</v>
      </c>
      <c r="J3" s="1071"/>
    </row>
    <row r="4" spans="1:13" x14ac:dyDescent="0.2">
      <c r="A4" s="1073" t="s">
        <v>1757</v>
      </c>
      <c r="B4" s="1879"/>
      <c r="C4" s="1879"/>
      <c r="D4" s="1879"/>
      <c r="E4" s="1879"/>
      <c r="F4" s="1879"/>
      <c r="G4" s="1879"/>
      <c r="H4" s="1879"/>
      <c r="I4" s="1879"/>
      <c r="J4" s="1071"/>
    </row>
    <row r="5" spans="1:13" ht="16" customHeight="1" x14ac:dyDescent="0.2">
      <c r="A5" s="1072"/>
      <c r="B5" s="1030" t="s">
        <v>1</v>
      </c>
      <c r="C5" s="1030" t="s">
        <v>2</v>
      </c>
      <c r="D5" s="1030" t="s">
        <v>3</v>
      </c>
      <c r="E5" s="1030" t="s">
        <v>4</v>
      </c>
      <c r="F5" s="1030" t="s">
        <v>5</v>
      </c>
      <c r="G5" s="1030" t="s">
        <v>6</v>
      </c>
      <c r="H5" s="1030" t="s">
        <v>7</v>
      </c>
      <c r="I5" s="1030" t="s">
        <v>8</v>
      </c>
      <c r="J5" s="965" t="s">
        <v>9</v>
      </c>
      <c r="K5" s="67"/>
      <c r="L5" s="67"/>
      <c r="M5" s="67"/>
    </row>
    <row r="6" spans="1:13" ht="16" customHeight="1" x14ac:dyDescent="0.2">
      <c r="A6" s="1072"/>
      <c r="B6" s="1889" t="s">
        <v>676</v>
      </c>
      <c r="C6" s="1889" t="s">
        <v>677</v>
      </c>
      <c r="D6" s="1889" t="s">
        <v>678</v>
      </c>
      <c r="E6" s="1030"/>
      <c r="F6" s="2298"/>
      <c r="G6" s="2298"/>
      <c r="H6" s="2298"/>
      <c r="I6" s="2298"/>
      <c r="J6" s="2299"/>
      <c r="K6" s="67"/>
      <c r="L6" s="67"/>
      <c r="M6" s="67"/>
    </row>
    <row r="7" spans="1:13" ht="136" x14ac:dyDescent="0.2">
      <c r="A7" s="1072"/>
      <c r="B7" s="1888" t="s">
        <v>679</v>
      </c>
      <c r="C7" s="1888" t="s">
        <v>680</v>
      </c>
      <c r="D7" s="1078" t="s">
        <v>681</v>
      </c>
      <c r="E7" s="1888" t="s">
        <v>682</v>
      </c>
      <c r="F7" s="1888"/>
      <c r="G7" s="1888"/>
      <c r="H7" s="1888"/>
      <c r="I7" s="1888"/>
      <c r="J7" s="1076"/>
    </row>
    <row r="8" spans="1:13" x14ac:dyDescent="0.2">
      <c r="A8" s="1072" t="s">
        <v>31</v>
      </c>
      <c r="B8" s="1879">
        <v>35397.753084947813</v>
      </c>
      <c r="C8" s="1879">
        <f t="shared" ref="C8:C15" si="0">+B8/(SUM($B$8:$B$15)/SUM($D$8:$D$15))</f>
        <v>33765.51034511123</v>
      </c>
      <c r="D8" s="1879">
        <v>13106.8706028697</v>
      </c>
      <c r="E8" s="1879">
        <f t="shared" ref="E8:E15" si="1">+D8-C8</f>
        <v>-20658.639742241532</v>
      </c>
      <c r="F8" s="1879"/>
      <c r="G8" s="1879"/>
      <c r="H8" s="1879"/>
      <c r="I8" s="1879"/>
      <c r="J8" s="1071"/>
    </row>
    <row r="9" spans="1:13" x14ac:dyDescent="0.2">
      <c r="A9" s="1072" t="s">
        <v>86</v>
      </c>
      <c r="B9" s="1879">
        <v>2358.9350123656363</v>
      </c>
      <c r="C9" s="1879">
        <f t="shared" si="0"/>
        <v>2250.1610306261732</v>
      </c>
      <c r="D9" s="1879">
        <v>4220.454615709551</v>
      </c>
      <c r="E9" s="1879">
        <f t="shared" si="1"/>
        <v>1970.2935850833778</v>
      </c>
      <c r="F9" s="1879"/>
      <c r="G9" s="1879"/>
      <c r="H9" s="1879"/>
      <c r="I9" s="1879"/>
      <c r="J9" s="1071"/>
    </row>
    <row r="10" spans="1:13" x14ac:dyDescent="0.2">
      <c r="A10" s="1072" t="s">
        <v>43</v>
      </c>
      <c r="B10" s="1879">
        <v>93121.173435897654</v>
      </c>
      <c r="C10" s="1879">
        <f t="shared" si="0"/>
        <v>88827.218424090956</v>
      </c>
      <c r="D10" s="1879">
        <v>106328.9638729139</v>
      </c>
      <c r="E10" s="1879">
        <f t="shared" si="1"/>
        <v>17501.745448822941</v>
      </c>
      <c r="F10" s="1879"/>
      <c r="G10" s="1879"/>
      <c r="H10" s="1879"/>
      <c r="I10" s="1879"/>
      <c r="J10" s="1071"/>
    </row>
    <row r="11" spans="1:13" x14ac:dyDescent="0.2">
      <c r="A11" s="1072" t="s">
        <v>49</v>
      </c>
      <c r="B11" s="1879">
        <v>91916.372413596517</v>
      </c>
      <c r="C11" s="1879">
        <f t="shared" si="0"/>
        <v>87677.972558550173</v>
      </c>
      <c r="D11" s="1879">
        <v>46799.572185855701</v>
      </c>
      <c r="E11" s="1879">
        <f t="shared" si="1"/>
        <v>-40878.400372694472</v>
      </c>
      <c r="F11" s="1879"/>
      <c r="G11" s="1879"/>
      <c r="H11" s="1879"/>
      <c r="I11" s="1879"/>
      <c r="J11" s="1071"/>
    </row>
    <row r="12" spans="1:13" x14ac:dyDescent="0.2">
      <c r="A12" s="1072" t="s">
        <v>96</v>
      </c>
      <c r="B12" s="1879">
        <v>4510.8063081500268</v>
      </c>
      <c r="C12" s="1879">
        <f t="shared" si="0"/>
        <v>4302.8063588420064</v>
      </c>
      <c r="D12" s="1879">
        <v>12327.426958163089</v>
      </c>
      <c r="E12" s="1879">
        <f t="shared" si="1"/>
        <v>8024.6205993210824</v>
      </c>
      <c r="F12" s="1879"/>
      <c r="G12" s="1879"/>
      <c r="H12" s="1879"/>
      <c r="I12" s="1879"/>
      <c r="J12" s="1071"/>
    </row>
    <row r="13" spans="1:13" x14ac:dyDescent="0.2">
      <c r="A13" s="1072" t="s">
        <v>51</v>
      </c>
      <c r="B13" s="1879">
        <v>77856.599778941963</v>
      </c>
      <c r="C13" s="1879">
        <f t="shared" si="0"/>
        <v>74266.516831231376</v>
      </c>
      <c r="D13" s="1879">
        <v>57353.364287520075</v>
      </c>
      <c r="E13" s="1879">
        <f t="shared" si="1"/>
        <v>-16913.152543711301</v>
      </c>
      <c r="F13" s="1879"/>
      <c r="G13" s="1879"/>
      <c r="H13" s="1879"/>
      <c r="I13" s="1879"/>
      <c r="J13" s="1071"/>
    </row>
    <row r="14" spans="1:13" x14ac:dyDescent="0.2">
      <c r="A14" s="1072" t="s">
        <v>60</v>
      </c>
      <c r="B14" s="1879">
        <v>52525.028431610051</v>
      </c>
      <c r="C14" s="1879">
        <f t="shared" si="0"/>
        <v>50103.02169826001</v>
      </c>
      <c r="D14" s="1879">
        <v>58152.724672949204</v>
      </c>
      <c r="E14" s="1879">
        <f t="shared" si="1"/>
        <v>8049.7029746891931</v>
      </c>
      <c r="F14" s="1879"/>
      <c r="G14" s="1879"/>
      <c r="H14" s="1879"/>
      <c r="I14" s="1879"/>
      <c r="J14" s="1071"/>
    </row>
    <row r="15" spans="1:13" x14ac:dyDescent="0.2">
      <c r="A15" s="1072" t="s">
        <v>1747</v>
      </c>
      <c r="B15" s="1879">
        <v>288575.04464660701</v>
      </c>
      <c r="C15" s="1879">
        <f t="shared" si="0"/>
        <v>275268.42260220565</v>
      </c>
      <c r="D15" s="1879">
        <f>334720.134226809-D9-D12</f>
        <v>318172.25265293638</v>
      </c>
      <c r="E15" s="1879">
        <f t="shared" si="1"/>
        <v>42903.830050730729</v>
      </c>
      <c r="F15" s="1879"/>
      <c r="G15" s="1879"/>
      <c r="H15" s="1879"/>
      <c r="I15" s="1879"/>
      <c r="J15" s="1071"/>
    </row>
    <row r="16" spans="1:13" x14ac:dyDescent="0.2">
      <c r="A16" s="1072"/>
      <c r="B16" s="1879"/>
      <c r="C16" s="1879"/>
      <c r="D16" s="1879"/>
      <c r="E16" s="1879"/>
      <c r="F16" s="1879"/>
      <c r="G16" s="1879"/>
      <c r="H16" s="1879"/>
      <c r="I16" s="1879"/>
      <c r="J16" s="1071"/>
    </row>
    <row r="17" spans="1:10" ht="15.75" customHeight="1" x14ac:dyDescent="0.2">
      <c r="A17" s="1072"/>
      <c r="B17" s="2297" t="s">
        <v>683</v>
      </c>
      <c r="C17" s="2297"/>
      <c r="D17" s="2297"/>
      <c r="E17" s="2297"/>
      <c r="F17" s="2297"/>
      <c r="G17" s="2297"/>
      <c r="H17" s="2297"/>
      <c r="I17" s="2297"/>
      <c r="J17" s="1071"/>
    </row>
    <row r="18" spans="1:10" ht="34" x14ac:dyDescent="0.2">
      <c r="A18" s="1074" t="s">
        <v>684</v>
      </c>
      <c r="B18" s="1888" t="s">
        <v>31</v>
      </c>
      <c r="C18" s="1888" t="s">
        <v>86</v>
      </c>
      <c r="D18" s="1888" t="s">
        <v>43</v>
      </c>
      <c r="E18" s="1880" t="s">
        <v>49</v>
      </c>
      <c r="F18" s="1888" t="s">
        <v>96</v>
      </c>
      <c r="G18" s="1888" t="s">
        <v>51</v>
      </c>
      <c r="H18" s="1880" t="s">
        <v>60</v>
      </c>
      <c r="I18" s="1880" t="s">
        <v>685</v>
      </c>
      <c r="J18" s="1071"/>
    </row>
    <row r="19" spans="1:10" x14ac:dyDescent="0.2">
      <c r="A19" s="1072" t="s">
        <v>31</v>
      </c>
      <c r="B19" s="1879">
        <v>0</v>
      </c>
      <c r="C19" s="1879">
        <v>8.7757054120947515</v>
      </c>
      <c r="D19" s="1879">
        <v>2114.1733826669961</v>
      </c>
      <c r="E19" s="1879">
        <v>6679.2992023491443</v>
      </c>
      <c r="F19" s="1879">
        <v>21.914513175697586</v>
      </c>
      <c r="G19" s="1879">
        <v>2978.2460991343009</v>
      </c>
      <c r="H19" s="1879">
        <v>4189.1565942965535</v>
      </c>
      <c r="I19" s="1879">
        <v>1000.1518471727242</v>
      </c>
      <c r="J19" s="1071"/>
    </row>
    <row r="20" spans="1:10" x14ac:dyDescent="0.2">
      <c r="A20" s="1072" t="s">
        <v>86</v>
      </c>
      <c r="B20" s="1879">
        <v>0</v>
      </c>
      <c r="C20" s="1879">
        <v>0</v>
      </c>
      <c r="D20" s="1879">
        <v>0</v>
      </c>
      <c r="E20" s="1879">
        <v>0</v>
      </c>
      <c r="F20" s="1879">
        <v>0</v>
      </c>
      <c r="G20" s="1879">
        <v>0</v>
      </c>
      <c r="H20" s="1879">
        <v>0</v>
      </c>
      <c r="I20" s="1879">
        <v>0</v>
      </c>
      <c r="J20" s="1071"/>
    </row>
    <row r="21" spans="1:10" x14ac:dyDescent="0.2">
      <c r="A21" s="1072" t="s">
        <v>43</v>
      </c>
      <c r="B21" s="1879">
        <v>1867.8035204343055</v>
      </c>
      <c r="C21" s="1879">
        <v>2.9252351373649175</v>
      </c>
      <c r="D21" s="1879">
        <v>0</v>
      </c>
      <c r="E21" s="1879">
        <v>2051.8465178295764</v>
      </c>
      <c r="F21" s="1879">
        <v>17.417991116621856</v>
      </c>
      <c r="G21" s="1879">
        <v>14750.502176077553</v>
      </c>
      <c r="H21" s="1879">
        <v>3363.0747505973413</v>
      </c>
      <c r="I21" s="1879">
        <v>35638.882247738242</v>
      </c>
      <c r="J21" s="1071"/>
    </row>
    <row r="22" spans="1:10" ht="15.75" customHeight="1" x14ac:dyDescent="0.2">
      <c r="A22" s="1072" t="s">
        <v>49</v>
      </c>
      <c r="B22" s="1879">
        <v>2811.1752888046972</v>
      </c>
      <c r="C22" s="1879">
        <v>69.730371587467147</v>
      </c>
      <c r="D22" s="1879">
        <v>2448.438993350997</v>
      </c>
      <c r="E22" s="1879">
        <v>0</v>
      </c>
      <c r="F22" s="1879">
        <v>46.558910216165621</v>
      </c>
      <c r="G22" s="1879">
        <v>5533.8585317394682</v>
      </c>
      <c r="H22" s="1879">
        <v>7440.5140270699958</v>
      </c>
      <c r="I22" s="1879">
        <v>15147.836274263351</v>
      </c>
      <c r="J22" s="1071"/>
    </row>
    <row r="23" spans="1:10" x14ac:dyDescent="0.2">
      <c r="A23" s="1072" t="s">
        <v>96</v>
      </c>
      <c r="B23" s="1879">
        <v>0</v>
      </c>
      <c r="C23" s="1879">
        <v>0</v>
      </c>
      <c r="D23" s="1879">
        <v>0</v>
      </c>
      <c r="E23" s="1879">
        <v>0</v>
      </c>
      <c r="F23" s="1879">
        <v>0</v>
      </c>
      <c r="G23" s="1879">
        <v>0</v>
      </c>
      <c r="H23" s="1879">
        <v>0</v>
      </c>
      <c r="I23" s="1879">
        <v>0</v>
      </c>
      <c r="J23" s="1071"/>
    </row>
    <row r="24" spans="1:10" x14ac:dyDescent="0.2">
      <c r="A24" s="1072" t="s">
        <v>51</v>
      </c>
      <c r="B24" s="1879">
        <v>6180.5194000842512</v>
      </c>
      <c r="C24" s="1879">
        <v>13.25982537590664</v>
      </c>
      <c r="D24" s="1879">
        <v>7479.1324262739527</v>
      </c>
      <c r="E24" s="1879">
        <v>3089.5876812526726</v>
      </c>
      <c r="F24" s="1879">
        <v>23.268524573671677</v>
      </c>
      <c r="G24" s="1879">
        <v>0</v>
      </c>
      <c r="H24" s="1879">
        <v>18081.045131406012</v>
      </c>
      <c r="I24" s="1879">
        <v>24319.739020622739</v>
      </c>
      <c r="J24" s="1071"/>
    </row>
    <row r="25" spans="1:10" x14ac:dyDescent="0.2">
      <c r="A25" s="1072" t="s">
        <v>60</v>
      </c>
      <c r="B25" s="1879">
        <v>1803.1514849845134</v>
      </c>
      <c r="C25" s="1879">
        <v>12.498831458036609</v>
      </c>
      <c r="D25" s="1879">
        <v>2974.8798743756961</v>
      </c>
      <c r="E25" s="1879">
        <v>7032.9111243247071</v>
      </c>
      <c r="F25" s="1879">
        <v>38.144294292586473</v>
      </c>
      <c r="G25" s="1879">
        <v>7683.2913626921145</v>
      </c>
      <c r="H25" s="1879">
        <v>0</v>
      </c>
      <c r="I25" s="1879">
        <v>0</v>
      </c>
      <c r="J25" s="1071"/>
    </row>
    <row r="26" spans="1:10" x14ac:dyDescent="0.2">
      <c r="A26" s="1072" t="s">
        <v>686</v>
      </c>
      <c r="B26" s="1879">
        <v>0</v>
      </c>
      <c r="C26" s="1879">
        <v>0</v>
      </c>
      <c r="D26" s="1879">
        <v>0</v>
      </c>
      <c r="E26" s="1879">
        <v>0</v>
      </c>
      <c r="F26" s="1879">
        <v>0</v>
      </c>
      <c r="G26" s="1879">
        <v>0</v>
      </c>
      <c r="H26" s="1879">
        <v>0</v>
      </c>
      <c r="I26" s="1879">
        <v>0</v>
      </c>
      <c r="J26" s="1071"/>
    </row>
    <row r="27" spans="1:10" x14ac:dyDescent="0.2">
      <c r="A27" s="1072" t="s">
        <v>615</v>
      </c>
      <c r="B27" s="1879">
        <v>23172.289374380241</v>
      </c>
      <c r="C27" s="1879">
        <v>730.58583083883082</v>
      </c>
      <c r="D27" s="1879">
        <v>51329.765188425052</v>
      </c>
      <c r="E27" s="1879">
        <v>68128.196579419047</v>
      </c>
      <c r="F27" s="1879">
        <v>801.0018933750232</v>
      </c>
      <c r="G27" s="1879">
        <v>46142.14786766989</v>
      </c>
      <c r="H27" s="1879">
        <v>27507.073099219262</v>
      </c>
      <c r="I27" s="1879">
        <v>28878.378716435196</v>
      </c>
      <c r="J27" s="1071"/>
    </row>
    <row r="28" spans="1:10" x14ac:dyDescent="0.2">
      <c r="A28" s="1072" t="s">
        <v>687</v>
      </c>
      <c r="B28" s="1879">
        <v>10581.605208170615</v>
      </c>
      <c r="C28" s="1879">
        <v>1518.8011159370701</v>
      </c>
      <c r="D28" s="1879">
        <v>37466.895549211098</v>
      </c>
      <c r="E28" s="1879">
        <v>19519.613647787541</v>
      </c>
      <c r="F28" s="1879">
        <v>3500.3242456658691</v>
      </c>
      <c r="G28" s="1879">
        <v>28098.820342590567</v>
      </c>
      <c r="H28" s="1879">
        <v>22578.712525969269</v>
      </c>
      <c r="I28" s="1879">
        <v>246295.34806732627</v>
      </c>
      <c r="J28" s="1071"/>
    </row>
    <row r="29" spans="1:10" x14ac:dyDescent="0.2">
      <c r="A29" s="1072"/>
      <c r="B29" s="1879"/>
      <c r="C29" s="1879"/>
      <c r="D29" s="1879"/>
      <c r="E29" s="1879"/>
      <c r="F29" s="1879"/>
      <c r="G29" s="1879"/>
      <c r="H29" s="1879"/>
      <c r="I29" s="1879"/>
      <c r="J29" s="1071"/>
    </row>
    <row r="30" spans="1:10" ht="15.75" customHeight="1" x14ac:dyDescent="0.2">
      <c r="A30" s="1072"/>
      <c r="B30" s="2297" t="s">
        <v>1750</v>
      </c>
      <c r="C30" s="2297"/>
      <c r="D30" s="2297"/>
      <c r="E30" s="2297"/>
      <c r="F30" s="2297"/>
      <c r="G30" s="2297"/>
      <c r="H30" s="2297"/>
      <c r="I30" s="2297"/>
      <c r="J30" s="1071"/>
    </row>
    <row r="31" spans="1:10" ht="34" x14ac:dyDescent="0.2">
      <c r="A31" s="1074" t="s">
        <v>684</v>
      </c>
      <c r="B31" s="1891" t="s">
        <v>31</v>
      </c>
      <c r="C31" s="1891" t="s">
        <v>86</v>
      </c>
      <c r="D31" s="1891" t="s">
        <v>43</v>
      </c>
      <c r="E31" s="1892" t="s">
        <v>49</v>
      </c>
      <c r="F31" s="1891" t="s">
        <v>96</v>
      </c>
      <c r="G31" s="1891" t="s">
        <v>51</v>
      </c>
      <c r="H31" s="1892" t="s">
        <v>60</v>
      </c>
      <c r="I31" s="1892" t="s">
        <v>630</v>
      </c>
      <c r="J31" s="1071"/>
    </row>
    <row r="32" spans="1:10" x14ac:dyDescent="0.2">
      <c r="A32" s="1072" t="s">
        <v>31</v>
      </c>
      <c r="B32" s="1879">
        <v>0</v>
      </c>
      <c r="C32" s="1879">
        <v>8.7757054120947515</v>
      </c>
      <c r="D32" s="1879">
        <v>246.36986223269059</v>
      </c>
      <c r="E32" s="1879">
        <v>3868.1239135444471</v>
      </c>
      <c r="F32" s="1879">
        <v>21.914513175697586</v>
      </c>
      <c r="G32" s="1879">
        <v>-3202.2733009499502</v>
      </c>
      <c r="H32" s="1879">
        <v>2386.0051093120401</v>
      </c>
      <c r="I32" s="1879">
        <v>1000.1518471727242</v>
      </c>
      <c r="J32" s="1071"/>
    </row>
    <row r="33" spans="1:22" x14ac:dyDescent="0.2">
      <c r="A33" s="1072" t="s">
        <v>86</v>
      </c>
      <c r="B33" s="1879">
        <v>-8.7757054120947515</v>
      </c>
      <c r="C33" s="1879">
        <v>0</v>
      </c>
      <c r="D33" s="1879">
        <v>-2.9252351373649175</v>
      </c>
      <c r="E33" s="1879">
        <v>-69.730371587467147</v>
      </c>
      <c r="F33" s="1879">
        <v>0</v>
      </c>
      <c r="G33" s="1879">
        <v>-13.25982537590664</v>
      </c>
      <c r="H33" s="1879">
        <v>-12.498831458036609</v>
      </c>
      <c r="I33" s="1879">
        <v>0</v>
      </c>
      <c r="J33" s="1071"/>
    </row>
    <row r="34" spans="1:22" x14ac:dyDescent="0.2">
      <c r="A34" s="1072" t="s">
        <v>43</v>
      </c>
      <c r="B34" s="1879">
        <v>-246.36986223269059</v>
      </c>
      <c r="C34" s="1879">
        <v>2.9252351373649175</v>
      </c>
      <c r="D34" s="1879">
        <v>0</v>
      </c>
      <c r="E34" s="1879">
        <v>-396.59247552142051</v>
      </c>
      <c r="F34" s="1879">
        <v>17.417991116621856</v>
      </c>
      <c r="G34" s="1879">
        <v>7271.3697498035999</v>
      </c>
      <c r="H34" s="1879">
        <v>388.19487622164525</v>
      </c>
      <c r="I34" s="1879">
        <v>35638.882247738242</v>
      </c>
      <c r="J34" s="1071"/>
    </row>
    <row r="35" spans="1:22" x14ac:dyDescent="0.2">
      <c r="A35" s="1072" t="s">
        <v>49</v>
      </c>
      <c r="B35" s="1879">
        <v>-3868.1239135444471</v>
      </c>
      <c r="C35" s="1879">
        <v>69.730371587467147</v>
      </c>
      <c r="D35" s="1879">
        <v>396.59247552142051</v>
      </c>
      <c r="E35" s="1879">
        <v>0</v>
      </c>
      <c r="F35" s="1879">
        <v>46.558910216165621</v>
      </c>
      <c r="G35" s="1879">
        <v>2444.2708504867956</v>
      </c>
      <c r="H35" s="1879">
        <v>407.6029027452887</v>
      </c>
      <c r="I35" s="1879">
        <v>15147.836274263351</v>
      </c>
      <c r="J35" s="1071"/>
    </row>
    <row r="36" spans="1:22" x14ac:dyDescent="0.2">
      <c r="A36" s="1072" t="s">
        <v>96</v>
      </c>
      <c r="B36" s="1879">
        <v>-21.914513175697586</v>
      </c>
      <c r="C36" s="1879">
        <v>0</v>
      </c>
      <c r="D36" s="1879">
        <v>-17.417991116621856</v>
      </c>
      <c r="E36" s="1879">
        <v>-46.558910216165621</v>
      </c>
      <c r="F36" s="1879">
        <v>0</v>
      </c>
      <c r="G36" s="1879">
        <v>-23.268524573671677</v>
      </c>
      <c r="H36" s="1879">
        <v>-38.144294292586473</v>
      </c>
      <c r="I36" s="1879">
        <v>0</v>
      </c>
      <c r="J36" s="1071"/>
    </row>
    <row r="37" spans="1:22" x14ac:dyDescent="0.2">
      <c r="A37" s="1072" t="s">
        <v>51</v>
      </c>
      <c r="B37" s="1879">
        <v>3202.2733009499502</v>
      </c>
      <c r="C37" s="1879">
        <v>13.25982537590664</v>
      </c>
      <c r="D37" s="1879">
        <v>-7271.3697498035999</v>
      </c>
      <c r="E37" s="1879">
        <v>-2444.2708504867956</v>
      </c>
      <c r="F37" s="1879">
        <v>23.268524573671677</v>
      </c>
      <c r="G37" s="1879">
        <v>0</v>
      </c>
      <c r="H37" s="1879">
        <v>10397.753768713897</v>
      </c>
      <c r="I37" s="1879">
        <v>24319.739020622739</v>
      </c>
      <c r="J37" s="1071"/>
    </row>
    <row r="38" spans="1:22" x14ac:dyDescent="0.2">
      <c r="A38" s="1072" t="s">
        <v>60</v>
      </c>
      <c r="B38" s="1879">
        <v>-2386.0051093120401</v>
      </c>
      <c r="C38" s="1879">
        <v>12.498831458036609</v>
      </c>
      <c r="D38" s="1879">
        <v>-388.19487622164525</v>
      </c>
      <c r="E38" s="1879">
        <v>-407.6029027452887</v>
      </c>
      <c r="F38" s="1879">
        <v>38.144294292586473</v>
      </c>
      <c r="G38" s="1879">
        <v>-10397.753768713897</v>
      </c>
      <c r="H38" s="1879">
        <v>0</v>
      </c>
      <c r="I38" s="1879">
        <v>0</v>
      </c>
      <c r="J38" s="1071"/>
    </row>
    <row r="39" spans="1:22" x14ac:dyDescent="0.2">
      <c r="A39" s="1072" t="s">
        <v>630</v>
      </c>
      <c r="B39" s="1879">
        <v>-1000.1518471727242</v>
      </c>
      <c r="C39" s="1879">
        <v>0</v>
      </c>
      <c r="D39" s="1879">
        <v>-35638.882247738242</v>
      </c>
      <c r="E39" s="1879">
        <v>-15147.836274263351</v>
      </c>
      <c r="F39" s="1879">
        <v>0</v>
      </c>
      <c r="G39" s="1879">
        <v>-24319.739020622739</v>
      </c>
      <c r="H39" s="1879">
        <v>0</v>
      </c>
      <c r="I39" s="1879">
        <v>0</v>
      </c>
      <c r="J39" s="1071"/>
    </row>
    <row r="40" spans="1:22" x14ac:dyDescent="0.2">
      <c r="A40" s="1072"/>
      <c r="B40" s="1879"/>
      <c r="C40" s="1879"/>
      <c r="D40" s="1879"/>
      <c r="E40" s="1879"/>
      <c r="F40" s="1879"/>
      <c r="G40" s="1879"/>
      <c r="H40" s="1879"/>
      <c r="I40" s="1879"/>
      <c r="J40" s="1071"/>
    </row>
    <row r="41" spans="1:22" x14ac:dyDescent="0.2">
      <c r="A41" s="1897" t="s">
        <v>1754</v>
      </c>
      <c r="B41">
        <f>+SUM(B32:B39)</f>
        <v>-4329.0676498997445</v>
      </c>
      <c r="C41">
        <f t="shared" ref="C41:I41" si="2">+SUM(C32:C39)</f>
        <v>107.18996897087007</v>
      </c>
      <c r="D41">
        <f t="shared" si="2"/>
        <v>-42675.827762263361</v>
      </c>
      <c r="E41">
        <f t="shared" si="2"/>
        <v>-14644.467871276041</v>
      </c>
      <c r="F41">
        <f t="shared" si="2"/>
        <v>147.30423337474321</v>
      </c>
      <c r="G41">
        <f t="shared" si="2"/>
        <v>-28240.653839945771</v>
      </c>
      <c r="H41">
        <f t="shared" si="2"/>
        <v>13528.913531242248</v>
      </c>
      <c r="I41">
        <f t="shared" si="2"/>
        <v>76106.609389797057</v>
      </c>
      <c r="J41" s="1071"/>
    </row>
    <row r="42" spans="1:22" x14ac:dyDescent="0.2">
      <c r="A42" s="1897" t="s">
        <v>1755</v>
      </c>
      <c r="B42" s="109">
        <f>+E8</f>
        <v>-20658.639742241532</v>
      </c>
      <c r="C42" s="109">
        <f>+E9</f>
        <v>1970.2935850833778</v>
      </c>
      <c r="D42" s="109">
        <f>+E10</f>
        <v>17501.745448822941</v>
      </c>
      <c r="E42" s="109">
        <f>+E11</f>
        <v>-40878.400372694472</v>
      </c>
      <c r="F42" s="109">
        <f>+E12</f>
        <v>8024.6205993210824</v>
      </c>
      <c r="G42" s="109">
        <f>+E13</f>
        <v>-16913.152543711301</v>
      </c>
      <c r="H42" s="109">
        <f>+E14</f>
        <v>8049.7029746891931</v>
      </c>
      <c r="I42" s="109">
        <f>+E15</f>
        <v>42903.830050730729</v>
      </c>
      <c r="J42" s="1071"/>
    </row>
    <row r="43" spans="1:22" x14ac:dyDescent="0.2">
      <c r="A43" s="129" t="s">
        <v>1756</v>
      </c>
      <c r="B43">
        <f>+B41-B42</f>
        <v>16329.572092341787</v>
      </c>
      <c r="C43">
        <f t="shared" ref="C43:I43" si="3">+C41-C42</f>
        <v>-1863.1036161125078</v>
      </c>
      <c r="D43">
        <f t="shared" si="3"/>
        <v>-60177.573211086303</v>
      </c>
      <c r="E43">
        <f t="shared" si="3"/>
        <v>26233.932501418429</v>
      </c>
      <c r="F43">
        <f t="shared" si="3"/>
        <v>-7877.3163659463389</v>
      </c>
      <c r="G43">
        <f t="shared" si="3"/>
        <v>-11327.50129623447</v>
      </c>
      <c r="H43">
        <f t="shared" si="3"/>
        <v>5479.2105565530546</v>
      </c>
      <c r="I43">
        <f t="shared" si="3"/>
        <v>33202.779339066328</v>
      </c>
      <c r="J43" s="1071"/>
    </row>
    <row r="44" spans="1:22" x14ac:dyDescent="0.2">
      <c r="A44"/>
      <c r="B44"/>
      <c r="C44"/>
      <c r="D44"/>
      <c r="E44"/>
      <c r="F44"/>
      <c r="G44"/>
      <c r="H44"/>
      <c r="I44"/>
      <c r="J44" s="1071"/>
    </row>
    <row r="45" spans="1:22" x14ac:dyDescent="0.2">
      <c r="A45" t="s">
        <v>1751</v>
      </c>
      <c r="B45">
        <f>-C43-D43-G43-F43</f>
        <v>81245.494489379635</v>
      </c>
      <c r="C45"/>
      <c r="D45"/>
      <c r="E45"/>
      <c r="F45"/>
      <c r="G45"/>
      <c r="H45"/>
      <c r="I45"/>
      <c r="J45" s="1071"/>
    </row>
    <row r="46" spans="1:22" x14ac:dyDescent="0.2">
      <c r="A46" t="s">
        <v>1752</v>
      </c>
      <c r="B46">
        <f>+B45</f>
        <v>81245.494489379635</v>
      </c>
      <c r="C46"/>
      <c r="D46"/>
      <c r="E46"/>
      <c r="F46"/>
      <c r="G46"/>
      <c r="H46"/>
      <c r="I46"/>
      <c r="J46" s="1071"/>
    </row>
    <row r="47" spans="1:22" ht="15.75" customHeight="1" x14ac:dyDescent="0.2">
      <c r="A47" s="1072"/>
      <c r="B47" s="1879"/>
      <c r="C47" s="1879"/>
      <c r="D47" s="1879"/>
      <c r="E47" s="1879"/>
      <c r="F47" s="1879"/>
      <c r="G47" s="1879"/>
      <c r="H47" s="1879"/>
      <c r="I47" s="1879"/>
      <c r="J47" s="1071"/>
    </row>
    <row r="48" spans="1:22" ht="15.75" customHeight="1" x14ac:dyDescent="0.2">
      <c r="A48" s="1072"/>
      <c r="B48" s="2297" t="s">
        <v>688</v>
      </c>
      <c r="C48" s="2297"/>
      <c r="D48" s="2297"/>
      <c r="E48" s="2297"/>
      <c r="F48" s="2297"/>
      <c r="G48" s="2297"/>
      <c r="H48" s="2297"/>
      <c r="I48" s="2297"/>
      <c r="J48" s="1071"/>
      <c r="V48" s="1767" t="s">
        <v>690</v>
      </c>
    </row>
    <row r="49" spans="1:38" ht="34" x14ac:dyDescent="0.2">
      <c r="A49" s="1074" t="s">
        <v>684</v>
      </c>
      <c r="B49" s="1888" t="s">
        <v>31</v>
      </c>
      <c r="C49" s="1888" t="s">
        <v>86</v>
      </c>
      <c r="D49" s="1888" t="s">
        <v>43</v>
      </c>
      <c r="E49" s="1888" t="s">
        <v>49</v>
      </c>
      <c r="F49" s="1888" t="s">
        <v>96</v>
      </c>
      <c r="G49" s="1888" t="s">
        <v>51</v>
      </c>
      <c r="H49" s="1888" t="s">
        <v>60</v>
      </c>
      <c r="I49" s="1880" t="s">
        <v>630</v>
      </c>
      <c r="J49" s="1071"/>
      <c r="V49" s="1855" t="s">
        <v>31</v>
      </c>
      <c r="W49" s="1855" t="s">
        <v>86</v>
      </c>
      <c r="X49" s="1855" t="s">
        <v>43</v>
      </c>
      <c r="Y49" s="1855" t="s">
        <v>49</v>
      </c>
      <c r="Z49" s="1855" t="s">
        <v>96</v>
      </c>
      <c r="AA49" s="1855" t="s">
        <v>51</v>
      </c>
      <c r="AB49" s="1855" t="s">
        <v>60</v>
      </c>
      <c r="AC49" s="1075" t="s">
        <v>685</v>
      </c>
    </row>
    <row r="50" spans="1:38" x14ac:dyDescent="0.2">
      <c r="A50" s="1072" t="s">
        <v>31</v>
      </c>
      <c r="B50"/>
      <c r="C50">
        <f>+B43*(-C43/B45)</f>
        <v>374.46611662618216</v>
      </c>
      <c r="D50">
        <f>+B43*(-D43/B45)</f>
        <v>12095.120181969773</v>
      </c>
      <c r="E50"/>
      <c r="F50">
        <f>+B43*(-F43/B45)</f>
        <v>1583.2657096907622</v>
      </c>
      <c r="G50">
        <f>+B43*(-G43/B45)</f>
        <v>2276.7200840550663</v>
      </c>
      <c r="H50"/>
      <c r="I50"/>
      <c r="J50" s="1071"/>
      <c r="K50" s="1877"/>
      <c r="V50" s="1801">
        <f t="array" ref="V50:AC57">MMULT(B171:I178,B171:I178)</f>
        <v>3.2781053513213435E-2</v>
      </c>
      <c r="W50" s="1801">
        <v>1.3479676159124668E-2</v>
      </c>
      <c r="X50" s="1801">
        <v>0.23813755811381065</v>
      </c>
      <c r="Y50" s="1801">
        <v>9.926274885794717E-2</v>
      </c>
      <c r="Z50" s="1801">
        <v>5.5895793660299828E-2</v>
      </c>
      <c r="AA50" s="1801">
        <v>0.14568246338202384</v>
      </c>
      <c r="AB50" s="1801">
        <v>0.13434300460228613</v>
      </c>
      <c r="AC50" s="1801">
        <v>0.28041770171129443</v>
      </c>
      <c r="AE50" s="1066">
        <f t="array" ref="AE50:AL57">+TRANSPOSE(B171:I178)</f>
        <v>1.3156054921771854E-2</v>
      </c>
      <c r="AF50" s="1066">
        <v>0</v>
      </c>
      <c r="AG50" s="1066">
        <v>2.1027378247023165E-2</v>
      </c>
      <c r="AH50" s="1066">
        <v>3.2062503349144303E-2</v>
      </c>
      <c r="AI50" s="1066">
        <v>0</v>
      </c>
      <c r="AJ50" s="1066">
        <v>8.3220806142414241E-2</v>
      </c>
      <c r="AK50" s="1066">
        <v>3.5988876995160027E-2</v>
      </c>
      <c r="AL50" s="1066">
        <v>0</v>
      </c>
    </row>
    <row r="51" spans="1:38" x14ac:dyDescent="0.2">
      <c r="A51" s="1072" t="s">
        <v>86</v>
      </c>
      <c r="B51"/>
      <c r="C51"/>
      <c r="D51"/>
      <c r="E51"/>
      <c r="F51"/>
      <c r="G51"/>
      <c r="H51"/>
      <c r="I51"/>
      <c r="J51" s="1071"/>
      <c r="K51" s="1877"/>
      <c r="V51" s="1802">
        <v>0</v>
      </c>
      <c r="W51" s="1801">
        <v>1</v>
      </c>
      <c r="X51" s="1802">
        <v>0</v>
      </c>
      <c r="Y51" s="1802">
        <v>0</v>
      </c>
      <c r="Z51" s="1802">
        <v>0</v>
      </c>
      <c r="AA51" s="1802">
        <v>0</v>
      </c>
      <c r="AB51" s="1802">
        <v>0</v>
      </c>
      <c r="AC51" s="1802">
        <v>0</v>
      </c>
      <c r="AE51" s="1066">
        <v>1.1350097129326076E-2</v>
      </c>
      <c r="AF51" s="1066">
        <v>1</v>
      </c>
      <c r="AG51" s="1066">
        <v>3.2931743099270126E-5</v>
      </c>
      <c r="AH51" s="1066">
        <v>7.6566674554956471E-3</v>
      </c>
      <c r="AI51" s="1066">
        <v>0</v>
      </c>
      <c r="AJ51" s="1066">
        <v>1.7854378987558053E-4</v>
      </c>
      <c r="AK51" s="1066">
        <v>2.7572562502523714E-3</v>
      </c>
      <c r="AL51" s="1066">
        <v>2.7660228752252776E-3</v>
      </c>
    </row>
    <row r="52" spans="1:38" x14ac:dyDescent="0.2">
      <c r="A52" s="1072" t="s">
        <v>43</v>
      </c>
      <c r="B52"/>
      <c r="C52"/>
      <c r="D52"/>
      <c r="E52"/>
      <c r="F52"/>
      <c r="G52"/>
      <c r="H52"/>
      <c r="I52"/>
      <c r="J52" s="1071"/>
      <c r="K52" s="1877"/>
      <c r="V52" s="1801">
        <v>2.3569630630309518E-2</v>
      </c>
      <c r="W52" s="1801">
        <v>1.7038138844309605E-3</v>
      </c>
      <c r="X52" s="1801">
        <v>0.19535305813822579</v>
      </c>
      <c r="Y52" s="1801">
        <v>3.1841303904043577E-2</v>
      </c>
      <c r="Z52" s="1801">
        <v>7.121303141248982E-3</v>
      </c>
      <c r="AA52" s="1801">
        <v>0.11074808883446119</v>
      </c>
      <c r="AB52" s="1801">
        <v>7.7219603835266895E-2</v>
      </c>
      <c r="AC52" s="1801">
        <v>0.55244319763201311</v>
      </c>
      <c r="AE52" s="1066">
        <v>0.42082270990149789</v>
      </c>
      <c r="AF52" s="1066">
        <v>0</v>
      </c>
      <c r="AG52" s="1066">
        <v>0.35050929813553466</v>
      </c>
      <c r="AH52" s="1066">
        <v>0.24954501918761166</v>
      </c>
      <c r="AI52" s="1066">
        <v>0</v>
      </c>
      <c r="AJ52" s="1066">
        <v>0.10070665416112184</v>
      </c>
      <c r="AK52" s="1066">
        <v>0.14037608601858761</v>
      </c>
      <c r="AL52" s="1066">
        <v>8.9341538837610715E-2</v>
      </c>
    </row>
    <row r="53" spans="1:38" x14ac:dyDescent="0.2">
      <c r="A53" s="1072" t="s">
        <v>49</v>
      </c>
      <c r="B53"/>
      <c r="C53">
        <f>+E43*(-C43/B45)</f>
        <v>601.59070746542432</v>
      </c>
      <c r="D53">
        <f>+E43*(-D43/B45)</f>
        <v>19431.162351103296</v>
      </c>
      <c r="E53"/>
      <c r="F53">
        <f>+E43*(-F43/B45)</f>
        <v>2543.5624108801321</v>
      </c>
      <c r="G53">
        <f>+E43*(-G43/B45)</f>
        <v>3657.6170319695707</v>
      </c>
      <c r="H53"/>
      <c r="I53"/>
      <c r="J53" s="1071"/>
      <c r="K53" s="1877"/>
      <c r="V53" s="1801">
        <v>2.7666798266649063E-2</v>
      </c>
      <c r="W53" s="1801">
        <v>1.1199815843650438E-2</v>
      </c>
      <c r="X53" s="1801">
        <v>0.21840401414225982</v>
      </c>
      <c r="Y53" s="1801">
        <v>0.12997106255791877</v>
      </c>
      <c r="Z53" s="1801">
        <v>4.3548006086380375E-2</v>
      </c>
      <c r="AA53" s="1801">
        <v>0.11834181336327408</v>
      </c>
      <c r="AB53" s="1801">
        <v>0.10847417620466465</v>
      </c>
      <c r="AC53" s="1801">
        <v>0.34239431353520289</v>
      </c>
      <c r="AE53" s="1066">
        <v>0.19781425288944915</v>
      </c>
      <c r="AF53" s="1066">
        <v>0</v>
      </c>
      <c r="AG53" s="1066">
        <v>2.3099299451586702E-2</v>
      </c>
      <c r="AH53" s="1066">
        <v>0.3187337348777961</v>
      </c>
      <c r="AI53" s="1066">
        <v>0</v>
      </c>
      <c r="AJ53" s="1066">
        <v>4.1601354325983483E-2</v>
      </c>
      <c r="AK53" s="1066">
        <v>0.14036900142829006</v>
      </c>
      <c r="AL53" s="1066">
        <v>0</v>
      </c>
    </row>
    <row r="54" spans="1:38" x14ac:dyDescent="0.2">
      <c r="A54" s="1072" t="s">
        <v>96</v>
      </c>
      <c r="B54"/>
      <c r="C54"/>
      <c r="D54"/>
      <c r="E54"/>
      <c r="F54"/>
      <c r="G54"/>
      <c r="H54"/>
      <c r="I54"/>
      <c r="J54" s="1071"/>
      <c r="K54" s="1877"/>
      <c r="V54" s="1801">
        <v>0</v>
      </c>
      <c r="W54" s="1801">
        <v>0</v>
      </c>
      <c r="X54" s="1801">
        <v>0</v>
      </c>
      <c r="Y54" s="1801">
        <v>0</v>
      </c>
      <c r="Z54" s="1801">
        <v>1</v>
      </c>
      <c r="AA54" s="1801">
        <v>0</v>
      </c>
      <c r="AB54" s="1801">
        <v>0</v>
      </c>
      <c r="AC54" s="1801">
        <v>0</v>
      </c>
      <c r="AE54" s="1066">
        <v>4.7539048172534647E-2</v>
      </c>
      <c r="AF54" s="1066">
        <v>0</v>
      </c>
      <c r="AG54" s="1066">
        <v>1.9608844479923395E-4</v>
      </c>
      <c r="AH54" s="1066">
        <v>2.9541300346180445E-2</v>
      </c>
      <c r="AI54" s="1066">
        <v>1</v>
      </c>
      <c r="AJ54" s="1066">
        <v>3.1331110662627089E-4</v>
      </c>
      <c r="AK54" s="1066">
        <v>1.1364422497616567E-2</v>
      </c>
      <c r="AL54" s="1066">
        <v>1.1694914375754321E-2</v>
      </c>
    </row>
    <row r="55" spans="1:38" x14ac:dyDescent="0.2">
      <c r="A55" s="1072" t="s">
        <v>51</v>
      </c>
      <c r="B55"/>
      <c r="C55"/>
      <c r="D55"/>
      <c r="E55"/>
      <c r="F55"/>
      <c r="G55"/>
      <c r="H55"/>
      <c r="I55"/>
      <c r="J55" s="1071"/>
      <c r="K55" s="1877"/>
      <c r="V55" s="1801">
        <v>3.0206358780355429E-2</v>
      </c>
      <c r="W55" s="1801">
        <v>3.0582695958525181E-3</v>
      </c>
      <c r="X55" s="1801">
        <v>0.16458240100142743</v>
      </c>
      <c r="Y55" s="1801">
        <v>7.4669969917571855E-2</v>
      </c>
      <c r="Z55" s="1801">
        <v>1.2178357135414678E-2</v>
      </c>
      <c r="AA55" s="1801">
        <v>0.12182015723518008</v>
      </c>
      <c r="AB55" s="1801">
        <v>0.18896751418108648</v>
      </c>
      <c r="AC55" s="1801">
        <v>0.40451697215311155</v>
      </c>
      <c r="AE55" s="1066">
        <v>0.15563117895981135</v>
      </c>
      <c r="AF55" s="1066">
        <v>0</v>
      </c>
      <c r="AG55" s="1066">
        <v>0.16605835956332329</v>
      </c>
      <c r="AH55" s="1066">
        <v>0.10483220922531135</v>
      </c>
      <c r="AI55" s="1066">
        <v>0</v>
      </c>
      <c r="AJ55" s="1066">
        <v>0.20305200061975415</v>
      </c>
      <c r="AK55" s="1066">
        <v>0.16859701815626024</v>
      </c>
      <c r="AL55" s="1066">
        <v>1.681716863923282E-2</v>
      </c>
    </row>
    <row r="56" spans="1:38" x14ac:dyDescent="0.2">
      <c r="A56" s="1072" t="s">
        <v>60</v>
      </c>
      <c r="B56"/>
      <c r="C56">
        <f>+H43*(-C43/B45)</f>
        <v>125.64803827602097</v>
      </c>
      <c r="D56">
        <f>+H43*(-D43/B45)</f>
        <v>4058.3862093304133</v>
      </c>
      <c r="E56"/>
      <c r="F56">
        <f>+H43*(-F43/B45)</f>
        <v>531.2476126936906</v>
      </c>
      <c r="G56">
        <f>+H43*(-G43/B45)</f>
        <v>763.92869625292917</v>
      </c>
      <c r="H56"/>
      <c r="I56"/>
      <c r="J56" s="1071"/>
      <c r="K56" s="1877"/>
      <c r="V56" s="1801">
        <v>3.9970710643520049E-2</v>
      </c>
      <c r="W56" s="1801">
        <v>5.6553543225550743E-3</v>
      </c>
      <c r="X56" s="1801">
        <v>0.18662016315087648</v>
      </c>
      <c r="Y56" s="1801">
        <v>0.13237723253326805</v>
      </c>
      <c r="Z56" s="1801">
        <v>2.2990763168497984E-2</v>
      </c>
      <c r="AA56" s="1801">
        <v>0.16225155702708322</v>
      </c>
      <c r="AB56" s="1801">
        <v>0.31328627020300048</v>
      </c>
      <c r="AC56" s="1801">
        <v>0.13684794895119856</v>
      </c>
      <c r="AE56" s="1066">
        <v>0.12406614179616818</v>
      </c>
      <c r="AF56" s="1066">
        <v>0</v>
      </c>
      <c r="AG56" s="1066">
        <v>3.7860858532582815E-2</v>
      </c>
      <c r="AH56" s="1066">
        <v>8.4861839410136003E-2</v>
      </c>
      <c r="AI56" s="1066">
        <v>0</v>
      </c>
      <c r="AJ56" s="1066">
        <v>0.24346160157873961</v>
      </c>
      <c r="AK56" s="1066">
        <v>0.50054733865383305</v>
      </c>
      <c r="AL56" s="1066">
        <v>0</v>
      </c>
    </row>
    <row r="57" spans="1:38" x14ac:dyDescent="0.2">
      <c r="A57" s="1072" t="s">
        <v>685</v>
      </c>
      <c r="B57"/>
      <c r="C57">
        <f>+I43*(-C43/B45)</f>
        <v>761.39875374487963</v>
      </c>
      <c r="D57">
        <f>+I43*(-D43/B45)</f>
        <v>24592.904468682795</v>
      </c>
      <c r="E57"/>
      <c r="F57">
        <f>+I43*(-F43/B45)</f>
        <v>3219.2406326817504</v>
      </c>
      <c r="G57">
        <f>+I43*(-G43/B45)</f>
        <v>4629.2354839568998</v>
      </c>
      <c r="H57"/>
      <c r="I57"/>
      <c r="J57" s="1071"/>
      <c r="K57" s="1877"/>
      <c r="V57" s="1801">
        <v>3.2781566614994337E-3</v>
      </c>
      <c r="W57" s="1801">
        <v>5.2043538275607691E-3</v>
      </c>
      <c r="X57" s="1801">
        <v>0.11157383502202112</v>
      </c>
      <c r="Y57" s="1801">
        <v>2.7633439503960749E-3</v>
      </c>
      <c r="Z57" s="1801">
        <v>2.2001980183506159E-2</v>
      </c>
      <c r="AA57" s="1801">
        <v>3.3039356849833251E-2</v>
      </c>
      <c r="AB57" s="1801">
        <v>7.476882173941408E-3</v>
      </c>
      <c r="AC57" s="1801">
        <v>0.81466209133124168</v>
      </c>
      <c r="AE57" s="1066">
        <v>2.9620516229440969E-2</v>
      </c>
      <c r="AF57" s="1066">
        <v>0</v>
      </c>
      <c r="AG57" s="1066">
        <v>0.40121578588205087</v>
      </c>
      <c r="AH57" s="1066">
        <v>0.17276672614832453</v>
      </c>
      <c r="AI57" s="1066">
        <v>0</v>
      </c>
      <c r="AJ57" s="1066">
        <v>0.32746572827548487</v>
      </c>
      <c r="AK57" s="1066">
        <v>0</v>
      </c>
      <c r="AL57" s="1066">
        <v>0.87938035527217684</v>
      </c>
    </row>
    <row r="58" spans="1:38" ht="15.75" customHeight="1" x14ac:dyDescent="0.2">
      <c r="A58" s="1072"/>
      <c r="B58" s="1879"/>
      <c r="C58" s="1879"/>
      <c r="D58" s="1879"/>
      <c r="E58" s="1879"/>
      <c r="F58" s="1879"/>
      <c r="G58" s="1879"/>
      <c r="H58" s="1879"/>
      <c r="I58" s="1879"/>
      <c r="J58" s="1071"/>
    </row>
    <row r="59" spans="1:38" ht="15.75" customHeight="1" x14ac:dyDescent="0.2">
      <c r="A59" s="1072"/>
      <c r="B59" s="2297" t="s">
        <v>688</v>
      </c>
      <c r="C59" s="2297"/>
      <c r="D59" s="2297"/>
      <c r="E59" s="2297"/>
      <c r="F59" s="2297"/>
      <c r="G59" s="2297"/>
      <c r="H59" s="2297"/>
      <c r="I59" s="2297"/>
      <c r="J59" s="1071"/>
    </row>
    <row r="60" spans="1:38" ht="15.75" customHeight="1" x14ac:dyDescent="0.2">
      <c r="A60" s="1074" t="s">
        <v>684</v>
      </c>
      <c r="B60" s="1888" t="s">
        <v>31</v>
      </c>
      <c r="C60" s="1888" t="s">
        <v>86</v>
      </c>
      <c r="D60" s="1888" t="s">
        <v>43</v>
      </c>
      <c r="E60" s="1888" t="s">
        <v>49</v>
      </c>
      <c r="F60" s="1888" t="s">
        <v>96</v>
      </c>
      <c r="G60" s="1888" t="s">
        <v>51</v>
      </c>
      <c r="H60" s="1888" t="s">
        <v>60</v>
      </c>
      <c r="I60" s="1880" t="s">
        <v>630</v>
      </c>
      <c r="J60" s="1071"/>
    </row>
    <row r="61" spans="1:38" ht="15.75" customHeight="1" x14ac:dyDescent="0.2">
      <c r="A61" s="1072" t="s">
        <v>31</v>
      </c>
      <c r="B61" s="109">
        <f>+B50+B19</f>
        <v>0</v>
      </c>
      <c r="C61" s="109">
        <f t="shared" ref="C61:I61" si="4">+C50+C19</f>
        <v>383.24182203827689</v>
      </c>
      <c r="D61" s="109">
        <f t="shared" si="4"/>
        <v>14209.29356463677</v>
      </c>
      <c r="E61" s="109">
        <f t="shared" si="4"/>
        <v>6679.2992023491443</v>
      </c>
      <c r="F61" s="109">
        <f t="shared" si="4"/>
        <v>1605.1802228664596</v>
      </c>
      <c r="G61" s="109">
        <f t="shared" si="4"/>
        <v>5254.9661831893673</v>
      </c>
      <c r="H61" s="109">
        <f t="shared" si="4"/>
        <v>4189.1565942965535</v>
      </c>
      <c r="I61" s="109">
        <f t="shared" si="4"/>
        <v>1000.1518471727242</v>
      </c>
      <c r="J61" s="1071"/>
    </row>
    <row r="62" spans="1:38" ht="15.75" customHeight="1" x14ac:dyDescent="0.2">
      <c r="A62" s="1072" t="s">
        <v>86</v>
      </c>
      <c r="B62" s="109">
        <f t="shared" ref="B62:I62" si="5">+B51+B20</f>
        <v>0</v>
      </c>
      <c r="C62" s="109">
        <f t="shared" si="5"/>
        <v>0</v>
      </c>
      <c r="D62" s="109">
        <f t="shared" si="5"/>
        <v>0</v>
      </c>
      <c r="E62" s="109">
        <f t="shared" si="5"/>
        <v>0</v>
      </c>
      <c r="F62" s="109">
        <f t="shared" si="5"/>
        <v>0</v>
      </c>
      <c r="G62" s="109">
        <f t="shared" si="5"/>
        <v>0</v>
      </c>
      <c r="H62" s="109">
        <f t="shared" si="5"/>
        <v>0</v>
      </c>
      <c r="I62" s="109">
        <f t="shared" si="5"/>
        <v>0</v>
      </c>
      <c r="J62" s="1071"/>
    </row>
    <row r="63" spans="1:38" ht="15.75" customHeight="1" x14ac:dyDescent="0.2">
      <c r="A63" s="1072" t="s">
        <v>43</v>
      </c>
      <c r="B63" s="109">
        <f t="shared" ref="B63:I63" si="6">+B52+B21</f>
        <v>1867.8035204343055</v>
      </c>
      <c r="C63" s="109">
        <f t="shared" si="6"/>
        <v>2.9252351373649175</v>
      </c>
      <c r="D63" s="109">
        <f t="shared" si="6"/>
        <v>0</v>
      </c>
      <c r="E63" s="109">
        <f t="shared" si="6"/>
        <v>2051.8465178295764</v>
      </c>
      <c r="F63" s="109">
        <f t="shared" si="6"/>
        <v>17.417991116621856</v>
      </c>
      <c r="G63" s="109">
        <f t="shared" si="6"/>
        <v>14750.502176077553</v>
      </c>
      <c r="H63" s="109">
        <f t="shared" si="6"/>
        <v>3363.0747505973413</v>
      </c>
      <c r="I63" s="109">
        <f t="shared" si="6"/>
        <v>35638.882247738242</v>
      </c>
      <c r="J63" s="1071"/>
    </row>
    <row r="64" spans="1:38" ht="15.75" customHeight="1" x14ac:dyDescent="0.2">
      <c r="A64" s="1072" t="s">
        <v>49</v>
      </c>
      <c r="B64" s="109">
        <f t="shared" ref="B64:I64" si="7">+B53+B22</f>
        <v>2811.1752888046972</v>
      </c>
      <c r="C64" s="109">
        <f t="shared" si="7"/>
        <v>671.32107905289149</v>
      </c>
      <c r="D64" s="109">
        <f t="shared" si="7"/>
        <v>21879.601344454291</v>
      </c>
      <c r="E64" s="109">
        <f t="shared" si="7"/>
        <v>0</v>
      </c>
      <c r="F64" s="109">
        <f t="shared" si="7"/>
        <v>2590.1213210962978</v>
      </c>
      <c r="G64" s="109">
        <f t="shared" si="7"/>
        <v>9191.4755637090384</v>
      </c>
      <c r="H64" s="109">
        <f t="shared" si="7"/>
        <v>7440.5140270699958</v>
      </c>
      <c r="I64" s="109">
        <f t="shared" si="7"/>
        <v>15147.836274263351</v>
      </c>
      <c r="J64" s="1071"/>
    </row>
    <row r="65" spans="1:29" ht="15.75" customHeight="1" x14ac:dyDescent="0.2">
      <c r="A65" s="1072" t="s">
        <v>96</v>
      </c>
      <c r="B65" s="109">
        <f t="shared" ref="B65:I65" si="8">+B54+B23</f>
        <v>0</v>
      </c>
      <c r="C65" s="109">
        <f t="shared" si="8"/>
        <v>0</v>
      </c>
      <c r="D65" s="109">
        <f t="shared" si="8"/>
        <v>0</v>
      </c>
      <c r="E65" s="109">
        <f t="shared" si="8"/>
        <v>0</v>
      </c>
      <c r="F65" s="109">
        <f t="shared" si="8"/>
        <v>0</v>
      </c>
      <c r="G65" s="109">
        <f t="shared" si="8"/>
        <v>0</v>
      </c>
      <c r="H65" s="109">
        <f t="shared" si="8"/>
        <v>0</v>
      </c>
      <c r="I65" s="109">
        <f t="shared" si="8"/>
        <v>0</v>
      </c>
      <c r="J65" s="1071"/>
    </row>
    <row r="66" spans="1:29" ht="15.75" customHeight="1" x14ac:dyDescent="0.2">
      <c r="A66" s="1072" t="s">
        <v>51</v>
      </c>
      <c r="B66" s="109">
        <f t="shared" ref="B66:I66" si="9">+B55+B24</f>
        <v>6180.5194000842512</v>
      </c>
      <c r="C66" s="109">
        <f t="shared" si="9"/>
        <v>13.25982537590664</v>
      </c>
      <c r="D66" s="109">
        <f t="shared" si="9"/>
        <v>7479.1324262739527</v>
      </c>
      <c r="E66" s="109">
        <f t="shared" si="9"/>
        <v>3089.5876812526726</v>
      </c>
      <c r="F66" s="109">
        <f t="shared" si="9"/>
        <v>23.268524573671677</v>
      </c>
      <c r="G66" s="109">
        <f t="shared" si="9"/>
        <v>0</v>
      </c>
      <c r="H66" s="109">
        <f t="shared" si="9"/>
        <v>18081.045131406012</v>
      </c>
      <c r="I66" s="109">
        <f t="shared" si="9"/>
        <v>24319.739020622739</v>
      </c>
      <c r="J66" s="1071"/>
    </row>
    <row r="67" spans="1:29" ht="15.75" customHeight="1" x14ac:dyDescent="0.2">
      <c r="A67" s="1072" t="s">
        <v>60</v>
      </c>
      <c r="B67" s="109">
        <f t="shared" ref="B67:I67" si="10">+B56+B25</f>
        <v>1803.1514849845134</v>
      </c>
      <c r="C67" s="109">
        <f t="shared" si="10"/>
        <v>138.14686973405759</v>
      </c>
      <c r="D67" s="109">
        <f t="shared" si="10"/>
        <v>7033.2660837061094</v>
      </c>
      <c r="E67" s="109">
        <f t="shared" si="10"/>
        <v>7032.9111243247071</v>
      </c>
      <c r="F67" s="109">
        <f t="shared" si="10"/>
        <v>569.39190698627704</v>
      </c>
      <c r="G67" s="109">
        <f t="shared" si="10"/>
        <v>8447.220058945044</v>
      </c>
      <c r="H67" s="109">
        <f t="shared" si="10"/>
        <v>0</v>
      </c>
      <c r="I67" s="109">
        <f t="shared" si="10"/>
        <v>0</v>
      </c>
      <c r="J67" s="1071"/>
    </row>
    <row r="68" spans="1:29" ht="15.75" customHeight="1" x14ac:dyDescent="0.2">
      <c r="A68" s="1072" t="s">
        <v>685</v>
      </c>
      <c r="B68" s="109">
        <f t="shared" ref="B68:I68" si="11">+B57+B26</f>
        <v>0</v>
      </c>
      <c r="C68" s="109">
        <f t="shared" si="11"/>
        <v>761.39875374487963</v>
      </c>
      <c r="D68" s="109">
        <f t="shared" si="11"/>
        <v>24592.904468682795</v>
      </c>
      <c r="E68" s="109">
        <f t="shared" si="11"/>
        <v>0</v>
      </c>
      <c r="F68" s="109">
        <f t="shared" si="11"/>
        <v>3219.2406326817504</v>
      </c>
      <c r="G68" s="109">
        <f t="shared" si="11"/>
        <v>4629.2354839568998</v>
      </c>
      <c r="H68" s="109">
        <f t="shared" si="11"/>
        <v>0</v>
      </c>
      <c r="I68" s="109">
        <f t="shared" si="11"/>
        <v>0</v>
      </c>
      <c r="J68" s="1071"/>
    </row>
    <row r="69" spans="1:29" ht="15.75" customHeight="1" x14ac:dyDescent="0.2">
      <c r="A69" s="1072" t="s">
        <v>694</v>
      </c>
      <c r="B69">
        <v>23172.289374380241</v>
      </c>
      <c r="C69">
        <v>730.58583083883082</v>
      </c>
      <c r="D69">
        <v>51329.765188425052</v>
      </c>
      <c r="E69">
        <v>68128.196579419047</v>
      </c>
      <c r="F69">
        <v>801.0018933750232</v>
      </c>
      <c r="G69">
        <v>46142.14786766989</v>
      </c>
      <c r="H69">
        <v>27507.073099219262</v>
      </c>
      <c r="I69">
        <v>28878.378716435196</v>
      </c>
      <c r="J69" s="1071"/>
    </row>
    <row r="70" spans="1:29" ht="15.75" customHeight="1" x14ac:dyDescent="0.2">
      <c r="A70" s="1072" t="s">
        <v>695</v>
      </c>
      <c r="B70">
        <v>10581.605208170615</v>
      </c>
      <c r="C70">
        <v>1518.8011159370701</v>
      </c>
      <c r="D70">
        <v>37466.895549211098</v>
      </c>
      <c r="E70">
        <v>19519.613647787541</v>
      </c>
      <c r="F70">
        <v>3500.3242456658691</v>
      </c>
      <c r="G70">
        <v>28098.820342590567</v>
      </c>
      <c r="H70">
        <v>22578.712525969269</v>
      </c>
      <c r="I70">
        <v>246295.34806732627</v>
      </c>
      <c r="J70" s="1071"/>
    </row>
    <row r="71" spans="1:29" ht="15.75" customHeight="1" x14ac:dyDescent="0.2">
      <c r="A71"/>
      <c r="B71"/>
      <c r="C71"/>
      <c r="D71"/>
      <c r="E71"/>
      <c r="F71"/>
      <c r="G71"/>
      <c r="H71"/>
      <c r="I71"/>
      <c r="J71" s="1071"/>
    </row>
    <row r="72" spans="1:29" ht="15.75" customHeight="1" x14ac:dyDescent="0.2">
      <c r="A72"/>
      <c r="B72"/>
      <c r="C72"/>
      <c r="D72"/>
      <c r="E72"/>
      <c r="F72"/>
      <c r="G72"/>
      <c r="H72"/>
      <c r="I72"/>
      <c r="J72" s="1071"/>
    </row>
    <row r="73" spans="1:29" ht="15.75" customHeight="1" x14ac:dyDescent="0.2">
      <c r="A73" s="1072"/>
      <c r="B73" s="2297" t="s">
        <v>693</v>
      </c>
      <c r="C73" s="2297"/>
      <c r="D73" s="2297"/>
      <c r="E73" s="2297"/>
      <c r="F73" s="2297"/>
      <c r="G73" s="2297"/>
      <c r="H73" s="2297"/>
      <c r="I73" s="2297"/>
      <c r="J73" s="1071"/>
    </row>
    <row r="74" spans="1:29" ht="34" x14ac:dyDescent="0.2">
      <c r="A74" s="1074" t="s">
        <v>684</v>
      </c>
      <c r="B74" s="1888" t="s">
        <v>31</v>
      </c>
      <c r="C74" s="1888" t="s">
        <v>86</v>
      </c>
      <c r="D74" s="1888" t="s">
        <v>43</v>
      </c>
      <c r="E74" s="1888" t="s">
        <v>49</v>
      </c>
      <c r="F74" s="1888" t="s">
        <v>96</v>
      </c>
      <c r="G74" s="1888" t="s">
        <v>51</v>
      </c>
      <c r="H74" s="1888" t="s">
        <v>60</v>
      </c>
      <c r="I74" s="1880" t="s">
        <v>685</v>
      </c>
      <c r="J74" s="1071"/>
      <c r="O74" s="1749"/>
      <c r="P74" s="1749"/>
      <c r="Q74" s="1749"/>
      <c r="R74" s="1749"/>
      <c r="S74" s="1749"/>
      <c r="T74" s="1749"/>
      <c r="U74" s="1750"/>
      <c r="V74" s="1751"/>
      <c r="W74" s="1751"/>
      <c r="X74" s="1751"/>
      <c r="Y74" s="1751"/>
      <c r="Z74" s="1751"/>
      <c r="AA74" s="1751"/>
      <c r="AB74" s="1751"/>
      <c r="AC74" s="1751"/>
    </row>
    <row r="75" spans="1:29" x14ac:dyDescent="0.2">
      <c r="A75" s="1072" t="s">
        <v>31</v>
      </c>
      <c r="B75" s="1878">
        <f>+B171*$C8/1000</f>
        <v>0.44422090856193902</v>
      </c>
      <c r="C75" s="1878">
        <f t="shared" ref="C75:I75" si="12">+C61/1000</f>
        <v>0.38324182203827689</v>
      </c>
      <c r="D75" s="1878">
        <f t="shared" si="12"/>
        <v>14.20929356463677</v>
      </c>
      <c r="E75" s="1878">
        <f t="shared" si="12"/>
        <v>6.679299202349144</v>
      </c>
      <c r="F75" s="1878">
        <f t="shared" si="12"/>
        <v>1.6051802228664596</v>
      </c>
      <c r="G75" s="1878">
        <f t="shared" si="12"/>
        <v>5.2549661831893673</v>
      </c>
      <c r="H75" s="1878">
        <f t="shared" si="12"/>
        <v>4.1891565942965538</v>
      </c>
      <c r="I75" s="1878">
        <f t="shared" si="12"/>
        <v>1.0001518471727242</v>
      </c>
      <c r="J75" s="1071"/>
      <c r="M75" s="1749"/>
      <c r="Q75" s="1801"/>
      <c r="R75" s="1801"/>
      <c r="S75" s="1801"/>
      <c r="T75" s="1801"/>
      <c r="V75" s="1751"/>
      <c r="W75" s="1751"/>
      <c r="X75" s="1751"/>
      <c r="Y75" s="1751"/>
      <c r="Z75" s="1751"/>
      <c r="AA75" s="1751"/>
      <c r="AB75" s="1751"/>
      <c r="AC75" s="1751"/>
    </row>
    <row r="76" spans="1:29" x14ac:dyDescent="0.2">
      <c r="A76" s="1072" t="s">
        <v>86</v>
      </c>
      <c r="B76" s="1878">
        <f t="shared" ref="B76:B84" si="13">+B62/1000</f>
        <v>0</v>
      </c>
      <c r="C76" s="1878">
        <f>+C172*$C9/1000</f>
        <v>2.250161030626173</v>
      </c>
      <c r="D76" s="1878">
        <f t="shared" ref="D76:I76" si="14">+D62/1000</f>
        <v>0</v>
      </c>
      <c r="E76" s="1878">
        <f t="shared" si="14"/>
        <v>0</v>
      </c>
      <c r="F76" s="1878">
        <f t="shared" si="14"/>
        <v>0</v>
      </c>
      <c r="G76" s="1878">
        <f t="shared" si="14"/>
        <v>0</v>
      </c>
      <c r="H76" s="1878">
        <f t="shared" si="14"/>
        <v>0</v>
      </c>
      <c r="I76" s="1878">
        <f t="shared" si="14"/>
        <v>0</v>
      </c>
      <c r="J76" s="1071"/>
      <c r="L76" s="1801"/>
      <c r="M76" s="1749"/>
      <c r="O76" s="1801"/>
      <c r="P76" s="1801"/>
      <c r="Q76" s="1801"/>
      <c r="R76" s="1801"/>
      <c r="S76" s="1801"/>
      <c r="T76" s="1801"/>
      <c r="V76" s="1751"/>
      <c r="W76" s="1751"/>
      <c r="X76" s="1751"/>
      <c r="Y76" s="1751"/>
      <c r="Z76" s="1751"/>
      <c r="AA76" s="1751"/>
      <c r="AB76" s="1751"/>
      <c r="AC76" s="1751"/>
    </row>
    <row r="77" spans="1:29" x14ac:dyDescent="0.2">
      <c r="A77" s="1072" t="s">
        <v>43</v>
      </c>
      <c r="B77" s="1878">
        <f t="shared" si="13"/>
        <v>1.8678035204343055</v>
      </c>
      <c r="C77" s="1878">
        <f t="shared" ref="C77:C84" si="15">+C63/1000</f>
        <v>2.9252351373649176E-3</v>
      </c>
      <c r="D77" s="1878">
        <f>+D173*$C10/1000</f>
        <v>31.134765985159952</v>
      </c>
      <c r="E77" s="1878">
        <f>+E63/1000</f>
        <v>2.0518465178295764</v>
      </c>
      <c r="F77" s="1878">
        <f>+F63/1000</f>
        <v>1.7417991116621855E-2</v>
      </c>
      <c r="G77" s="1878">
        <f>+G63/1000</f>
        <v>14.750502176077553</v>
      </c>
      <c r="H77" s="1878">
        <f>+H63/1000</f>
        <v>3.3630747505973413</v>
      </c>
      <c r="I77" s="1878">
        <f>+I63/1000</f>
        <v>35.638882247738245</v>
      </c>
      <c r="J77" s="1071"/>
      <c r="L77" s="1801"/>
      <c r="M77" s="1749"/>
      <c r="O77" s="1801"/>
      <c r="P77" s="1801"/>
      <c r="Q77" s="1801"/>
      <c r="R77" s="1801"/>
      <c r="S77" s="1801"/>
      <c r="T77" s="1801"/>
      <c r="V77" s="1751"/>
      <c r="W77" s="1751"/>
      <c r="X77" s="1751"/>
      <c r="Y77" s="1751"/>
      <c r="Z77" s="1751"/>
      <c r="AA77" s="1751"/>
      <c r="AB77" s="1751"/>
      <c r="AC77" s="1751"/>
    </row>
    <row r="78" spans="1:29" x14ac:dyDescent="0.2">
      <c r="A78" s="1072" t="s">
        <v>49</v>
      </c>
      <c r="B78" s="1878">
        <f t="shared" si="13"/>
        <v>2.811175288804697</v>
      </c>
      <c r="C78" s="1878">
        <f t="shared" si="15"/>
        <v>0.67132107905289151</v>
      </c>
      <c r="D78" s="1878">
        <f t="shared" ref="D78:D84" si="16">+D64/1000</f>
        <v>21.87960134445429</v>
      </c>
      <c r="E78" s="1878">
        <f>+E174*$C11/1000</f>
        <v>27.945927660099613</v>
      </c>
      <c r="F78" s="1878">
        <f>+F64/1000</f>
        <v>2.5901213210962979</v>
      </c>
      <c r="G78" s="1878">
        <f>+G64/1000</f>
        <v>9.1914755637090391</v>
      </c>
      <c r="H78" s="1878">
        <f>+H64/1000</f>
        <v>7.4405140270699954</v>
      </c>
      <c r="I78" s="1878">
        <f>+I64/1000</f>
        <v>15.147836274263351</v>
      </c>
      <c r="J78" s="1071"/>
      <c r="L78" s="1801"/>
      <c r="M78" s="1749"/>
      <c r="O78" s="1801"/>
      <c r="P78" s="1801"/>
      <c r="Q78" s="1801"/>
      <c r="R78" s="1801"/>
      <c r="S78" s="1801"/>
      <c r="T78" s="1801"/>
      <c r="V78" s="1751"/>
      <c r="W78" s="1751"/>
      <c r="X78" s="1751"/>
      <c r="Y78" s="1751"/>
      <c r="Z78" s="1751"/>
      <c r="AA78" s="1751"/>
      <c r="AB78" s="1751"/>
      <c r="AC78" s="1751"/>
    </row>
    <row r="79" spans="1:29" x14ac:dyDescent="0.2">
      <c r="A79" s="1072" t="s">
        <v>96</v>
      </c>
      <c r="B79" s="1878">
        <f t="shared" si="13"/>
        <v>0</v>
      </c>
      <c r="C79" s="1878">
        <f t="shared" si="15"/>
        <v>0</v>
      </c>
      <c r="D79" s="1878">
        <f t="shared" si="16"/>
        <v>0</v>
      </c>
      <c r="E79" s="1878">
        <f t="shared" ref="E79:E84" si="17">+E65/1000</f>
        <v>0</v>
      </c>
      <c r="F79" s="1878">
        <f>+F175*$C12/1000</f>
        <v>4.3028063588420062</v>
      </c>
      <c r="G79" s="1878">
        <f>+G65/1000</f>
        <v>0</v>
      </c>
      <c r="H79" s="1878">
        <f>+H65/1000</f>
        <v>0</v>
      </c>
      <c r="I79" s="1878">
        <f>+I65/1000</f>
        <v>0</v>
      </c>
      <c r="J79" s="1071"/>
      <c r="L79" s="1801"/>
      <c r="M79" s="1749"/>
      <c r="O79" s="1801"/>
      <c r="P79" s="1801"/>
      <c r="Q79" s="1801"/>
      <c r="R79" s="1801"/>
      <c r="S79" s="1801"/>
      <c r="T79" s="1801"/>
      <c r="V79" s="1751"/>
      <c r="W79" s="1751"/>
      <c r="X79" s="1751"/>
      <c r="Y79" s="1751"/>
      <c r="Z79" s="1751"/>
      <c r="AA79" s="1751"/>
      <c r="AB79" s="1751"/>
      <c r="AC79" s="1751"/>
    </row>
    <row r="80" spans="1:29" x14ac:dyDescent="0.2">
      <c r="A80" s="1072" t="s">
        <v>51</v>
      </c>
      <c r="B80" s="1878">
        <f t="shared" si="13"/>
        <v>6.1805194000842514</v>
      </c>
      <c r="C80" s="1878">
        <f t="shared" si="15"/>
        <v>1.325982537590664E-2</v>
      </c>
      <c r="D80" s="1878">
        <f t="shared" si="16"/>
        <v>7.4791324262739529</v>
      </c>
      <c r="E80" s="1878">
        <f t="shared" si="17"/>
        <v>3.0895876812526728</v>
      </c>
      <c r="F80" s="1878">
        <f>+F66/1000</f>
        <v>2.3268524573671675E-2</v>
      </c>
      <c r="G80" s="1878">
        <f>+G176*$C13/1000</f>
        <v>15.079964821642175</v>
      </c>
      <c r="H80" s="1878">
        <f>+H66/1000</f>
        <v>18.081045131406011</v>
      </c>
      <c r="I80" s="1878">
        <f>+I66/1000</f>
        <v>24.319739020622738</v>
      </c>
      <c r="J80" s="1071"/>
      <c r="L80" s="1801"/>
      <c r="M80" s="1896" t="s">
        <v>1753</v>
      </c>
      <c r="O80" s="1801"/>
      <c r="P80" s="1801"/>
      <c r="Q80" s="1801"/>
      <c r="R80" s="1801"/>
      <c r="S80" s="1801"/>
      <c r="T80" s="1801"/>
      <c r="V80" s="1751"/>
      <c r="W80" s="1751"/>
      <c r="X80" s="1751"/>
      <c r="Y80" s="1751"/>
      <c r="Z80" s="1751"/>
      <c r="AA80" s="1751"/>
      <c r="AB80" s="1751"/>
      <c r="AC80" s="1751"/>
    </row>
    <row r="81" spans="1:29" x14ac:dyDescent="0.2">
      <c r="A81" s="1072" t="s">
        <v>60</v>
      </c>
      <c r="B81" s="1878">
        <f t="shared" si="13"/>
        <v>1.8031514849845134</v>
      </c>
      <c r="C81" s="1878">
        <f t="shared" si="15"/>
        <v>0.1381468697340576</v>
      </c>
      <c r="D81" s="1878">
        <f t="shared" si="16"/>
        <v>7.033266083706109</v>
      </c>
      <c r="E81" s="1878">
        <f t="shared" si="17"/>
        <v>7.0329111243247073</v>
      </c>
      <c r="F81" s="1878">
        <f>+F67/1000</f>
        <v>0.56939190698627706</v>
      </c>
      <c r="G81" s="1878">
        <f>+G67/1000</f>
        <v>8.4472200589450441</v>
      </c>
      <c r="H81" s="1878">
        <f>+H177*$C14/1000</f>
        <v>25.078934169579298</v>
      </c>
      <c r="I81" s="1878">
        <f>+I67/1000</f>
        <v>0</v>
      </c>
      <c r="J81" s="1071"/>
      <c r="L81" s="1801"/>
      <c r="M81" s="1749"/>
      <c r="O81" s="1801"/>
      <c r="P81" s="1801"/>
      <c r="Q81" s="1801"/>
      <c r="R81" s="1801"/>
      <c r="S81" s="1801"/>
      <c r="T81" s="1801"/>
      <c r="V81" s="1751"/>
      <c r="W81" s="1751"/>
      <c r="X81" s="1751"/>
      <c r="Y81" s="1751"/>
      <c r="Z81" s="1751"/>
      <c r="AA81" s="1751"/>
      <c r="AB81" s="1751"/>
      <c r="AC81" s="1751"/>
    </row>
    <row r="82" spans="1:29" x14ac:dyDescent="0.2">
      <c r="A82" s="1072" t="s">
        <v>685</v>
      </c>
      <c r="B82" s="1878">
        <f t="shared" si="13"/>
        <v>0</v>
      </c>
      <c r="C82" s="1878">
        <f t="shared" si="15"/>
        <v>0.76139875374487964</v>
      </c>
      <c r="D82" s="1878">
        <f t="shared" si="16"/>
        <v>24.592904468682796</v>
      </c>
      <c r="E82" s="1878">
        <f t="shared" si="17"/>
        <v>0</v>
      </c>
      <c r="F82" s="1878">
        <f>+F68/1000</f>
        <v>3.2192406326817502</v>
      </c>
      <c r="G82" s="1878">
        <f>+G68/1000</f>
        <v>4.6292354839568999</v>
      </c>
      <c r="H82" s="1878">
        <f>+H68/1000</f>
        <v>0</v>
      </c>
      <c r="I82" s="1878">
        <f>+I178*$C15/1000</f>
        <v>242.06564326313932</v>
      </c>
      <c r="J82" s="1071"/>
      <c r="L82" s="1801"/>
      <c r="M82" s="1749"/>
      <c r="O82" s="1801"/>
      <c r="P82" s="1801"/>
      <c r="Q82" s="1801"/>
      <c r="R82" s="1801"/>
      <c r="S82" s="1801"/>
      <c r="T82" s="1801"/>
    </row>
    <row r="83" spans="1:29" x14ac:dyDescent="0.2">
      <c r="A83" s="1072" t="s">
        <v>694</v>
      </c>
      <c r="B83" s="1878">
        <f t="shared" si="13"/>
        <v>23.172289374380242</v>
      </c>
      <c r="C83" s="1878">
        <f t="shared" si="15"/>
        <v>0.73058583083883077</v>
      </c>
      <c r="D83" s="1878">
        <f t="shared" si="16"/>
        <v>51.32976518842505</v>
      </c>
      <c r="E83" s="1878">
        <f t="shared" si="17"/>
        <v>68.128196579419054</v>
      </c>
      <c r="F83" s="1878">
        <f>+F69/1000</f>
        <v>0.80100189337502326</v>
      </c>
      <c r="G83" s="1878">
        <f>+G69/1000</f>
        <v>46.142147867669891</v>
      </c>
      <c r="H83" s="1878">
        <f>+H69/1000</f>
        <v>27.507073099219262</v>
      </c>
      <c r="I83" s="1878">
        <f>+I69/1000</f>
        <v>28.878378716435197</v>
      </c>
      <c r="J83" s="1071"/>
      <c r="L83" s="1801"/>
      <c r="M83" s="1801"/>
      <c r="N83" s="1801"/>
      <c r="O83" s="1801"/>
      <c r="P83" s="1801"/>
      <c r="Q83" s="1801"/>
      <c r="R83" s="1801"/>
      <c r="S83" s="1801"/>
      <c r="T83" s="1801"/>
    </row>
    <row r="84" spans="1:29" x14ac:dyDescent="0.2">
      <c r="A84" s="1072" t="s">
        <v>695</v>
      </c>
      <c r="B84" s="1878">
        <f t="shared" si="13"/>
        <v>10.581605208170615</v>
      </c>
      <c r="C84" s="1878">
        <f t="shared" si="15"/>
        <v>1.51880111593707</v>
      </c>
      <c r="D84" s="1878">
        <f t="shared" si="16"/>
        <v>37.466895549211095</v>
      </c>
      <c r="E84" s="1878">
        <f t="shared" si="17"/>
        <v>19.519613647787541</v>
      </c>
      <c r="F84" s="1878">
        <f>+F70/1000</f>
        <v>3.500324245665869</v>
      </c>
      <c r="G84" s="1878">
        <f>+G70/1000</f>
        <v>28.098820342590567</v>
      </c>
      <c r="H84" s="1878">
        <f>+H70/1000</f>
        <v>22.578712525969269</v>
      </c>
      <c r="I84" s="1878">
        <f>+I70/1000</f>
        <v>246.29534806732627</v>
      </c>
      <c r="J84" s="1071"/>
      <c r="L84" s="1801"/>
      <c r="M84" s="1801"/>
      <c r="N84" s="1803"/>
      <c r="O84" s="1801"/>
      <c r="P84" s="1801"/>
      <c r="Q84" s="1801"/>
      <c r="R84" s="1801"/>
      <c r="S84" s="1801"/>
      <c r="T84" s="1801"/>
    </row>
    <row r="85" spans="1:29" x14ac:dyDescent="0.2">
      <c r="A85" s="1072"/>
      <c r="B85" s="1878"/>
      <c r="C85" s="1878"/>
      <c r="D85" s="1878"/>
      <c r="E85" s="1878"/>
      <c r="F85" s="1878"/>
      <c r="G85" s="1878"/>
      <c r="H85" s="1878"/>
      <c r="I85" s="1878"/>
      <c r="J85" s="1071"/>
      <c r="U85" s="1767" t="s">
        <v>696</v>
      </c>
      <c r="V85" s="1066">
        <f>+SUMPRODUCT($B61:$I61,$AE$50:$AL$50)</f>
        <v>1101.0248068536127</v>
      </c>
      <c r="W85" s="1066">
        <f>+SUMPRODUCT($B69:$I69,$AE$51:$AL$51)</f>
        <v>1680.8795894500192</v>
      </c>
      <c r="X85" s="1066">
        <f>+SUMPRODUCT($B69:$I69,$AE$52:$AL$52)</f>
        <v>55832.233082151528</v>
      </c>
      <c r="Y85" s="1066">
        <f>+SUMPRODUCT($B69:$I69,$AE$53:$AL$53)</f>
        <v>33264.96149940238</v>
      </c>
      <c r="Z85" s="1066">
        <f>+SUMPRODUCT($B69:$I69,$AE$54:$AL$54)</f>
        <v>4590.0401794177469</v>
      </c>
      <c r="AA85" s="1066">
        <f>+SUMPRODUCT($B69:$I69,$AE$55:$AL$55)</f>
        <v>33764.615181509413</v>
      </c>
      <c r="AB85" s="1066">
        <f>+SUMPRODUCT($B69:$I69,$AE$56:$AL$56)</f>
        <v>35602.203049114774</v>
      </c>
      <c r="AC85" s="1066">
        <f>+SUMPRODUCT($B69:$I69,$AE$57:$AL$57)</f>
        <v>73556.023725142819</v>
      </c>
    </row>
    <row r="86" spans="1:29" x14ac:dyDescent="0.2">
      <c r="A86" s="2300" t="s">
        <v>697</v>
      </c>
      <c r="B86" s="2301"/>
      <c r="C86" s="2301"/>
      <c r="D86" s="2301"/>
      <c r="E86" s="2301"/>
      <c r="F86" s="1878"/>
      <c r="G86" s="1878"/>
      <c r="H86" s="1878"/>
      <c r="I86" s="1878"/>
      <c r="J86" s="1071"/>
      <c r="U86" s="1768" t="s">
        <v>687</v>
      </c>
      <c r="V86" s="1066" t="e">
        <f>+SUMPRODUCT(#REF!,$AE$50:$AL$50)</f>
        <v>#REF!</v>
      </c>
      <c r="W86" s="1066" t="e">
        <f>+SUMPRODUCT(#REF!,$AE$51:$AL$51)</f>
        <v>#REF!</v>
      </c>
      <c r="X86" s="1066" t="e">
        <f>+SUMPRODUCT(#REF!,$AE$52:$AL$52)</f>
        <v>#REF!</v>
      </c>
      <c r="Y86" s="1066" t="e">
        <f>+SUMPRODUCT(#REF!,$AE$53:$AL$53)</f>
        <v>#REF!</v>
      </c>
      <c r="Z86" s="1066" t="e">
        <f>+SUMPRODUCT(#REF!,$AE$54:$AL$54)</f>
        <v>#REF!</v>
      </c>
      <c r="AA86" s="1066" t="e">
        <f>+SUMPRODUCT(#REF!,$AE$55:$AL$55)</f>
        <v>#REF!</v>
      </c>
      <c r="AB86" s="1066" t="e">
        <f>+SUMPRODUCT(#REF!,$AE$56:$AL$56)</f>
        <v>#REF!</v>
      </c>
      <c r="AC86" s="1066" t="e">
        <f>+SUMPRODUCT(#REF!,$AE$57:$AL$57)</f>
        <v>#REF!</v>
      </c>
    </row>
    <row r="87" spans="1:29" ht="51" x14ac:dyDescent="0.2">
      <c r="A87" s="1881" t="s">
        <v>698</v>
      </c>
      <c r="B87" s="1077" t="s">
        <v>699</v>
      </c>
      <c r="C87" s="1077" t="s">
        <v>700</v>
      </c>
      <c r="D87" s="1077" t="s">
        <v>701</v>
      </c>
      <c r="E87" s="1077" t="s">
        <v>702</v>
      </c>
      <c r="F87" s="1878"/>
      <c r="G87" s="1878"/>
      <c r="H87" s="1878"/>
      <c r="I87" s="1879"/>
      <c r="J87" s="1071"/>
      <c r="Q87" s="1067"/>
    </row>
    <row r="88" spans="1:29" x14ac:dyDescent="0.2">
      <c r="A88" s="1072" t="s">
        <v>31</v>
      </c>
      <c r="B88" s="1878" t="s">
        <v>31</v>
      </c>
      <c r="C88" s="1878">
        <f t="shared" ref="C88:C120" si="18">+INDEX($A$74:$I$84,MATCH(A88,$A$74:$A$84,0),MATCH(B88,$A$74:$I$74,0))</f>
        <v>0.44422090856193902</v>
      </c>
      <c r="D88" s="1878">
        <v>2</v>
      </c>
      <c r="E88" s="1878">
        <v>3</v>
      </c>
      <c r="F88" s="1878"/>
      <c r="G88" s="1878"/>
      <c r="H88" s="1878"/>
      <c r="I88" s="1879"/>
      <c r="J88" s="1071"/>
      <c r="Q88" s="1067"/>
    </row>
    <row r="89" spans="1:29" x14ac:dyDescent="0.2">
      <c r="A89" s="1072" t="s">
        <v>31</v>
      </c>
      <c r="B89" s="1878" t="s">
        <v>86</v>
      </c>
      <c r="C89" s="1878">
        <f t="shared" si="18"/>
        <v>0.38324182203827689</v>
      </c>
      <c r="D89" s="1878">
        <v>2</v>
      </c>
      <c r="E89" s="1878">
        <v>3</v>
      </c>
      <c r="F89" s="1878"/>
      <c r="G89" s="1878"/>
      <c r="H89" s="1878"/>
      <c r="I89" s="1879"/>
      <c r="J89" s="1071"/>
      <c r="Q89" s="1067"/>
    </row>
    <row r="90" spans="1:29" x14ac:dyDescent="0.2">
      <c r="A90" s="1072" t="s">
        <v>31</v>
      </c>
      <c r="B90" s="1878" t="s">
        <v>43</v>
      </c>
      <c r="C90" s="1878">
        <f t="shared" si="18"/>
        <v>14.20929356463677</v>
      </c>
      <c r="D90" s="1878">
        <v>2</v>
      </c>
      <c r="E90" s="1878">
        <v>3</v>
      </c>
      <c r="F90" s="1878"/>
      <c r="G90" s="1878"/>
      <c r="H90" s="1878"/>
      <c r="I90" s="1879"/>
      <c r="J90" s="1071"/>
      <c r="Q90" s="1067"/>
    </row>
    <row r="91" spans="1:29" x14ac:dyDescent="0.2">
      <c r="A91" s="1072" t="s">
        <v>31</v>
      </c>
      <c r="B91" s="1878" t="s">
        <v>49</v>
      </c>
      <c r="C91" s="1878">
        <f t="shared" si="18"/>
        <v>6.679299202349144</v>
      </c>
      <c r="D91" s="1878">
        <v>2</v>
      </c>
      <c r="E91" s="1878">
        <v>3</v>
      </c>
      <c r="F91" s="1878"/>
      <c r="G91" s="1878"/>
      <c r="H91" s="1878"/>
      <c r="I91" s="1879"/>
      <c r="J91" s="1071"/>
      <c r="Q91" s="1067"/>
    </row>
    <row r="92" spans="1:29" x14ac:dyDescent="0.2">
      <c r="A92" s="1072" t="s">
        <v>31</v>
      </c>
      <c r="B92" s="1878" t="s">
        <v>96</v>
      </c>
      <c r="C92" s="1878">
        <f t="shared" si="18"/>
        <v>1.6051802228664596</v>
      </c>
      <c r="D92" s="1878">
        <v>2</v>
      </c>
      <c r="E92" s="1878">
        <v>3</v>
      </c>
      <c r="F92" s="1878"/>
      <c r="G92" s="1878"/>
      <c r="H92" s="1878"/>
      <c r="I92" s="1879"/>
      <c r="J92" s="1071"/>
      <c r="Q92" s="1067"/>
    </row>
    <row r="93" spans="1:29" x14ac:dyDescent="0.2">
      <c r="A93" s="1072" t="s">
        <v>31</v>
      </c>
      <c r="B93" s="1878" t="s">
        <v>51</v>
      </c>
      <c r="C93" s="1878">
        <f t="shared" si="18"/>
        <v>5.2549661831893673</v>
      </c>
      <c r="D93" s="1878">
        <v>2</v>
      </c>
      <c r="E93" s="1878">
        <v>3</v>
      </c>
      <c r="F93" s="1878"/>
      <c r="G93" s="1878"/>
      <c r="H93" s="1878"/>
      <c r="I93" s="1879"/>
      <c r="J93" s="1071"/>
      <c r="Q93" s="1067"/>
    </row>
    <row r="94" spans="1:29" x14ac:dyDescent="0.2">
      <c r="A94" s="1072" t="s">
        <v>31</v>
      </c>
      <c r="B94" s="1878" t="s">
        <v>685</v>
      </c>
      <c r="C94" s="1878">
        <f t="shared" si="18"/>
        <v>1.0001518471727242</v>
      </c>
      <c r="D94" s="1878">
        <v>2</v>
      </c>
      <c r="E94" s="1878">
        <v>3</v>
      </c>
      <c r="F94" s="1878"/>
      <c r="G94" s="1878"/>
      <c r="H94" s="1878"/>
      <c r="I94" s="1879"/>
      <c r="J94" s="1071"/>
      <c r="Q94" s="1067"/>
    </row>
    <row r="95" spans="1:29" x14ac:dyDescent="0.2">
      <c r="A95" s="1072" t="s">
        <v>31</v>
      </c>
      <c r="B95" s="1878" t="s">
        <v>60</v>
      </c>
      <c r="C95" s="1878">
        <f t="shared" si="18"/>
        <v>4.1891565942965538</v>
      </c>
      <c r="D95" s="1878">
        <v>2</v>
      </c>
      <c r="E95" s="1878">
        <v>3</v>
      </c>
      <c r="F95" s="1878"/>
      <c r="G95" s="1878"/>
      <c r="H95" s="1878"/>
      <c r="I95" s="1879"/>
      <c r="J95" s="1071"/>
    </row>
    <row r="96" spans="1:29" ht="16" customHeight="1" x14ac:dyDescent="0.2">
      <c r="A96" s="1072" t="s">
        <v>86</v>
      </c>
      <c r="B96" s="1878" t="s">
        <v>31</v>
      </c>
      <c r="C96" s="1878">
        <f t="shared" si="18"/>
        <v>0</v>
      </c>
      <c r="D96" s="1878">
        <v>2</v>
      </c>
      <c r="E96" s="1878">
        <v>3</v>
      </c>
      <c r="F96" s="1878"/>
      <c r="G96" s="1878"/>
      <c r="H96" s="1878"/>
      <c r="I96" s="1879"/>
      <c r="J96" s="1071"/>
    </row>
    <row r="97" spans="1:10" ht="16" customHeight="1" x14ac:dyDescent="0.2">
      <c r="A97" s="1072" t="s">
        <v>86</v>
      </c>
      <c r="B97" s="1878" t="s">
        <v>86</v>
      </c>
      <c r="C97" s="1878">
        <f t="shared" si="18"/>
        <v>2.250161030626173</v>
      </c>
      <c r="D97" s="1878">
        <v>2</v>
      </c>
      <c r="E97" s="1878">
        <v>3</v>
      </c>
      <c r="F97" s="1878"/>
      <c r="G97" s="1878"/>
      <c r="H97" s="1878"/>
      <c r="I97" s="1879"/>
      <c r="J97" s="1071"/>
    </row>
    <row r="98" spans="1:10" x14ac:dyDescent="0.2">
      <c r="A98" s="1072" t="s">
        <v>86</v>
      </c>
      <c r="B98" s="1878" t="s">
        <v>43</v>
      </c>
      <c r="C98" s="1878">
        <f t="shared" si="18"/>
        <v>0</v>
      </c>
      <c r="D98" s="1878">
        <v>2</v>
      </c>
      <c r="E98" s="1878">
        <v>3</v>
      </c>
      <c r="F98" s="1878"/>
      <c r="G98" s="1878"/>
      <c r="H98" s="1878"/>
      <c r="I98" s="1879"/>
      <c r="J98" s="1071"/>
    </row>
    <row r="99" spans="1:10" x14ac:dyDescent="0.2">
      <c r="A99" s="1072" t="s">
        <v>86</v>
      </c>
      <c r="B99" s="1878" t="s">
        <v>49</v>
      </c>
      <c r="C99" s="1878">
        <f t="shared" si="18"/>
        <v>0</v>
      </c>
      <c r="D99" s="1878">
        <v>2</v>
      </c>
      <c r="E99" s="1878">
        <v>3</v>
      </c>
      <c r="F99" s="1878"/>
      <c r="G99" s="1878"/>
      <c r="H99" s="1878"/>
      <c r="I99" s="1879"/>
      <c r="J99" s="1071"/>
    </row>
    <row r="100" spans="1:10" x14ac:dyDescent="0.2">
      <c r="A100" s="1072" t="s">
        <v>86</v>
      </c>
      <c r="B100" s="1878" t="s">
        <v>96</v>
      </c>
      <c r="C100" s="1878">
        <f t="shared" si="18"/>
        <v>0</v>
      </c>
      <c r="D100" s="1878">
        <v>2</v>
      </c>
      <c r="E100" s="1878">
        <v>3</v>
      </c>
      <c r="F100" s="1878"/>
      <c r="G100" s="1878"/>
      <c r="H100" s="1878"/>
      <c r="I100" s="1879"/>
      <c r="J100" s="1071"/>
    </row>
    <row r="101" spans="1:10" x14ac:dyDescent="0.2">
      <c r="A101" s="1072" t="s">
        <v>86</v>
      </c>
      <c r="B101" s="1878" t="s">
        <v>51</v>
      </c>
      <c r="C101" s="1878">
        <f t="shared" si="18"/>
        <v>0</v>
      </c>
      <c r="D101" s="1878">
        <v>2</v>
      </c>
      <c r="E101" s="1878">
        <v>3</v>
      </c>
      <c r="F101" s="1878"/>
      <c r="G101" s="1878"/>
      <c r="H101" s="1878"/>
      <c r="I101" s="1879"/>
      <c r="J101" s="1071"/>
    </row>
    <row r="102" spans="1:10" x14ac:dyDescent="0.2">
      <c r="A102" s="1072" t="s">
        <v>86</v>
      </c>
      <c r="B102" s="1878" t="s">
        <v>685</v>
      </c>
      <c r="C102" s="1878">
        <f t="shared" si="18"/>
        <v>0</v>
      </c>
      <c r="D102" s="1878">
        <v>2</v>
      </c>
      <c r="E102" s="1878">
        <v>3</v>
      </c>
      <c r="F102" s="1878"/>
      <c r="G102" s="1878"/>
      <c r="H102" s="1878"/>
      <c r="I102" s="1879"/>
      <c r="J102" s="1071"/>
    </row>
    <row r="103" spans="1:10" x14ac:dyDescent="0.2">
      <c r="A103" s="1072" t="s">
        <v>86</v>
      </c>
      <c r="B103" s="1878" t="s">
        <v>60</v>
      </c>
      <c r="C103" s="1878">
        <f t="shared" si="18"/>
        <v>0</v>
      </c>
      <c r="D103" s="1878">
        <v>2</v>
      </c>
      <c r="E103" s="1878">
        <v>3</v>
      </c>
      <c r="F103" s="1878"/>
      <c r="G103" s="1878"/>
      <c r="H103" s="1878"/>
      <c r="I103" s="1879"/>
      <c r="J103" s="1071"/>
    </row>
    <row r="104" spans="1:10" ht="16" customHeight="1" x14ac:dyDescent="0.2">
      <c r="A104" s="1072" t="s">
        <v>694</v>
      </c>
      <c r="B104" s="1878" t="s">
        <v>31</v>
      </c>
      <c r="C104" s="1878">
        <f t="shared" si="18"/>
        <v>23.172289374380242</v>
      </c>
      <c r="D104" s="1878">
        <v>1</v>
      </c>
      <c r="E104" s="1878">
        <v>2</v>
      </c>
      <c r="F104" s="1878"/>
      <c r="G104" s="1878"/>
      <c r="H104" s="1878"/>
      <c r="I104" s="1879"/>
      <c r="J104" s="1071"/>
    </row>
    <row r="105" spans="1:10" ht="16" customHeight="1" x14ac:dyDescent="0.2">
      <c r="A105" s="1072" t="s">
        <v>694</v>
      </c>
      <c r="B105" s="1878" t="s">
        <v>86</v>
      </c>
      <c r="C105" s="1878">
        <f t="shared" si="18"/>
        <v>0.73058583083883077</v>
      </c>
      <c r="D105" s="1878">
        <v>1</v>
      </c>
      <c r="E105" s="1878">
        <v>2</v>
      </c>
      <c r="F105" s="1878"/>
      <c r="G105" s="1878"/>
      <c r="H105" s="1878"/>
      <c r="I105" s="1879"/>
      <c r="J105" s="1071"/>
    </row>
    <row r="106" spans="1:10" x14ac:dyDescent="0.2">
      <c r="A106" s="1072" t="s">
        <v>694</v>
      </c>
      <c r="B106" s="1878" t="s">
        <v>43</v>
      </c>
      <c r="C106" s="1878">
        <f t="shared" si="18"/>
        <v>51.32976518842505</v>
      </c>
      <c r="D106" s="1878">
        <v>1</v>
      </c>
      <c r="E106" s="1878">
        <v>2</v>
      </c>
      <c r="F106" s="1878"/>
      <c r="G106" s="1878"/>
      <c r="H106" s="1878"/>
      <c r="I106" s="1879"/>
      <c r="J106" s="1071"/>
    </row>
    <row r="107" spans="1:10" x14ac:dyDescent="0.2">
      <c r="A107" s="1072" t="s">
        <v>694</v>
      </c>
      <c r="B107" s="1878" t="s">
        <v>49</v>
      </c>
      <c r="C107" s="1878">
        <f t="shared" si="18"/>
        <v>68.128196579419054</v>
      </c>
      <c r="D107" s="1878">
        <v>1</v>
      </c>
      <c r="E107" s="1878">
        <v>2</v>
      </c>
      <c r="F107" s="1878"/>
      <c r="G107" s="1878"/>
      <c r="H107" s="1878"/>
      <c r="I107" s="1879"/>
      <c r="J107" s="1071"/>
    </row>
    <row r="108" spans="1:10" x14ac:dyDescent="0.2">
      <c r="A108" s="1072" t="s">
        <v>694</v>
      </c>
      <c r="B108" s="1878" t="s">
        <v>96</v>
      </c>
      <c r="C108" s="1878">
        <f t="shared" si="18"/>
        <v>0.80100189337502326</v>
      </c>
      <c r="D108" s="1878">
        <v>1</v>
      </c>
      <c r="E108" s="1878">
        <v>2</v>
      </c>
      <c r="F108" s="1878"/>
      <c r="G108" s="1878"/>
      <c r="H108" s="1878"/>
      <c r="I108" s="1879"/>
      <c r="J108" s="1071"/>
    </row>
    <row r="109" spans="1:10" x14ac:dyDescent="0.2">
      <c r="A109" s="1072" t="s">
        <v>694</v>
      </c>
      <c r="B109" s="1878" t="s">
        <v>51</v>
      </c>
      <c r="C109" s="1878">
        <f t="shared" si="18"/>
        <v>46.142147867669891</v>
      </c>
      <c r="D109" s="1878">
        <v>1</v>
      </c>
      <c r="E109" s="1878">
        <v>2</v>
      </c>
      <c r="F109" s="1878"/>
      <c r="G109" s="1878"/>
      <c r="H109" s="1878"/>
      <c r="I109" s="1879"/>
      <c r="J109" s="1071"/>
    </row>
    <row r="110" spans="1:10" x14ac:dyDescent="0.2">
      <c r="A110" s="1072" t="s">
        <v>694</v>
      </c>
      <c r="B110" s="1878" t="s">
        <v>685</v>
      </c>
      <c r="C110" s="1878">
        <f t="shared" si="18"/>
        <v>28.878378716435197</v>
      </c>
      <c r="D110" s="1878">
        <v>1</v>
      </c>
      <c r="E110" s="1878">
        <v>2</v>
      </c>
      <c r="F110" s="1878"/>
      <c r="G110" s="1878"/>
      <c r="H110" s="1878"/>
      <c r="I110" s="1879"/>
      <c r="J110" s="1071"/>
    </row>
    <row r="111" spans="1:10" x14ac:dyDescent="0.2">
      <c r="A111" s="1072" t="s">
        <v>694</v>
      </c>
      <c r="B111" s="1878" t="s">
        <v>60</v>
      </c>
      <c r="C111" s="1878">
        <f t="shared" si="18"/>
        <v>27.507073099219262</v>
      </c>
      <c r="D111" s="1878">
        <v>1</v>
      </c>
      <c r="E111" s="1878">
        <v>2</v>
      </c>
      <c r="F111" s="1878"/>
      <c r="G111" s="1878"/>
      <c r="H111" s="1878"/>
      <c r="I111" s="1879"/>
      <c r="J111" s="1071"/>
    </row>
    <row r="112" spans="1:10" x14ac:dyDescent="0.2">
      <c r="A112" s="1072" t="s">
        <v>43</v>
      </c>
      <c r="B112" s="1878" t="s">
        <v>31</v>
      </c>
      <c r="C112" s="1878">
        <f t="shared" si="18"/>
        <v>1.8678035204343055</v>
      </c>
      <c r="D112" s="1878">
        <v>2</v>
      </c>
      <c r="E112" s="1878">
        <v>3</v>
      </c>
      <c r="F112" s="1878"/>
      <c r="G112" s="1878"/>
      <c r="H112" s="1878"/>
      <c r="I112" s="1879"/>
      <c r="J112" s="1071"/>
    </row>
    <row r="113" spans="1:10" x14ac:dyDescent="0.2">
      <c r="A113" s="1072" t="s">
        <v>43</v>
      </c>
      <c r="B113" s="1878" t="s">
        <v>86</v>
      </c>
      <c r="C113" s="1878">
        <f t="shared" si="18"/>
        <v>2.9252351373649176E-3</v>
      </c>
      <c r="D113" s="1878">
        <v>2</v>
      </c>
      <c r="E113" s="1878">
        <v>3</v>
      </c>
      <c r="F113" s="1878"/>
      <c r="G113" s="1878"/>
      <c r="H113" s="1878"/>
      <c r="I113" s="1879"/>
      <c r="J113" s="1071"/>
    </row>
    <row r="114" spans="1:10" x14ac:dyDescent="0.2">
      <c r="A114" s="1072" t="s">
        <v>43</v>
      </c>
      <c r="B114" s="1878" t="s">
        <v>43</v>
      </c>
      <c r="C114" s="1878">
        <f t="shared" si="18"/>
        <v>31.134765985159952</v>
      </c>
      <c r="D114" s="1878">
        <v>2</v>
      </c>
      <c r="E114" s="1878">
        <v>3</v>
      </c>
      <c r="F114" s="1878"/>
      <c r="G114" s="1878"/>
      <c r="H114" s="1878"/>
      <c r="I114" s="1879"/>
      <c r="J114" s="1071"/>
    </row>
    <row r="115" spans="1:10" x14ac:dyDescent="0.2">
      <c r="A115" s="1072" t="s">
        <v>43</v>
      </c>
      <c r="B115" s="1878" t="s">
        <v>49</v>
      </c>
      <c r="C115" s="1878">
        <f t="shared" si="18"/>
        <v>2.0518465178295764</v>
      </c>
      <c r="D115" s="1878">
        <v>2</v>
      </c>
      <c r="E115" s="1878">
        <v>3</v>
      </c>
      <c r="F115" s="1878"/>
      <c r="G115" s="1878"/>
      <c r="H115" s="1878"/>
      <c r="I115" s="1879"/>
      <c r="J115" s="1071"/>
    </row>
    <row r="116" spans="1:10" x14ac:dyDescent="0.2">
      <c r="A116" s="1072" t="s">
        <v>43</v>
      </c>
      <c r="B116" s="1878" t="s">
        <v>96</v>
      </c>
      <c r="C116" s="1878">
        <f t="shared" si="18"/>
        <v>1.7417991116621855E-2</v>
      </c>
      <c r="D116" s="1878">
        <v>2</v>
      </c>
      <c r="E116" s="1878">
        <v>3</v>
      </c>
      <c r="F116" s="1878"/>
      <c r="G116" s="1878"/>
      <c r="H116" s="1878"/>
      <c r="I116" s="1879"/>
      <c r="J116" s="1071"/>
    </row>
    <row r="117" spans="1:10" x14ac:dyDescent="0.2">
      <c r="A117" s="1072" t="s">
        <v>43</v>
      </c>
      <c r="B117" s="1878" t="s">
        <v>51</v>
      </c>
      <c r="C117" s="1878">
        <f t="shared" si="18"/>
        <v>14.750502176077553</v>
      </c>
      <c r="D117" s="1878">
        <v>2</v>
      </c>
      <c r="E117" s="1878">
        <v>3</v>
      </c>
      <c r="F117" s="1878"/>
      <c r="G117" s="1878"/>
      <c r="H117" s="1878"/>
      <c r="I117" s="1879"/>
      <c r="J117" s="1071"/>
    </row>
    <row r="118" spans="1:10" x14ac:dyDescent="0.2">
      <c r="A118" s="1072" t="s">
        <v>43</v>
      </c>
      <c r="B118" s="1878" t="s">
        <v>685</v>
      </c>
      <c r="C118" s="1878">
        <f t="shared" si="18"/>
        <v>35.638882247738245</v>
      </c>
      <c r="D118" s="1878">
        <v>2</v>
      </c>
      <c r="E118" s="1878">
        <v>3</v>
      </c>
      <c r="F118" s="1878"/>
      <c r="G118" s="1878"/>
      <c r="H118" s="1878"/>
      <c r="I118" s="1879"/>
      <c r="J118" s="1071"/>
    </row>
    <row r="119" spans="1:10" x14ac:dyDescent="0.2">
      <c r="A119" s="1072" t="s">
        <v>43</v>
      </c>
      <c r="B119" s="1878" t="s">
        <v>60</v>
      </c>
      <c r="C119" s="1878">
        <f t="shared" si="18"/>
        <v>3.3630747505973413</v>
      </c>
      <c r="D119" s="1878">
        <v>2</v>
      </c>
      <c r="E119" s="1878">
        <v>3</v>
      </c>
      <c r="F119" s="1878"/>
      <c r="G119" s="1878"/>
      <c r="H119" s="1878"/>
      <c r="I119" s="1879"/>
      <c r="J119" s="1071"/>
    </row>
    <row r="120" spans="1:10" x14ac:dyDescent="0.2">
      <c r="A120" s="1072" t="s">
        <v>49</v>
      </c>
      <c r="B120" s="1878" t="s">
        <v>31</v>
      </c>
      <c r="C120" s="1878">
        <f t="shared" si="18"/>
        <v>2.811175288804697</v>
      </c>
      <c r="D120" s="1878">
        <v>2</v>
      </c>
      <c r="E120" s="1878">
        <v>3</v>
      </c>
      <c r="F120" s="1878"/>
      <c r="G120" s="1878"/>
      <c r="H120" s="1878"/>
      <c r="I120" s="1879"/>
      <c r="J120" s="1071"/>
    </row>
    <row r="121" spans="1:10" x14ac:dyDescent="0.2">
      <c r="A121" s="1072" t="s">
        <v>49</v>
      </c>
      <c r="B121" s="1878" t="s">
        <v>86</v>
      </c>
      <c r="C121" s="1878">
        <f t="shared" ref="C121:C152" si="19">+INDEX($A$74:$I$84,MATCH(A121,$A$74:$A$84,0),MATCH(B121,$A$74:$I$74,0))</f>
        <v>0.67132107905289151</v>
      </c>
      <c r="D121" s="1878">
        <v>2</v>
      </c>
      <c r="E121" s="1878">
        <v>3</v>
      </c>
      <c r="F121" s="1878"/>
      <c r="G121" s="1878"/>
      <c r="H121" s="1878"/>
      <c r="I121" s="1879"/>
      <c r="J121" s="1071"/>
    </row>
    <row r="122" spans="1:10" x14ac:dyDescent="0.2">
      <c r="A122" s="1072" t="s">
        <v>49</v>
      </c>
      <c r="B122" s="1878" t="s">
        <v>43</v>
      </c>
      <c r="C122" s="1878">
        <f t="shared" si="19"/>
        <v>21.87960134445429</v>
      </c>
      <c r="D122" s="1878">
        <v>2</v>
      </c>
      <c r="E122" s="1878">
        <v>3</v>
      </c>
      <c r="F122" s="1878"/>
      <c r="G122" s="1878"/>
      <c r="H122" s="1878"/>
      <c r="I122" s="1879"/>
      <c r="J122" s="1071"/>
    </row>
    <row r="123" spans="1:10" x14ac:dyDescent="0.2">
      <c r="A123" s="1072" t="s">
        <v>49</v>
      </c>
      <c r="B123" s="1878" t="s">
        <v>49</v>
      </c>
      <c r="C123" s="1878">
        <f t="shared" si="19"/>
        <v>27.945927660099613</v>
      </c>
      <c r="D123" s="1878">
        <v>2</v>
      </c>
      <c r="E123" s="1878">
        <v>3</v>
      </c>
      <c r="F123" s="1878"/>
      <c r="G123" s="1878"/>
      <c r="H123" s="1878"/>
      <c r="I123" s="1879"/>
      <c r="J123" s="1071"/>
    </row>
    <row r="124" spans="1:10" x14ac:dyDescent="0.2">
      <c r="A124" s="1072" t="s">
        <v>49</v>
      </c>
      <c r="B124" s="1878" t="s">
        <v>96</v>
      </c>
      <c r="C124" s="1878">
        <f t="shared" si="19"/>
        <v>2.5901213210962979</v>
      </c>
      <c r="D124" s="1878">
        <v>2</v>
      </c>
      <c r="E124" s="1878">
        <v>3</v>
      </c>
      <c r="F124" s="1878"/>
      <c r="G124" s="1878"/>
      <c r="H124" s="1878"/>
      <c r="I124" s="1879"/>
      <c r="J124" s="1071"/>
    </row>
    <row r="125" spans="1:10" x14ac:dyDescent="0.2">
      <c r="A125" s="1072" t="s">
        <v>49</v>
      </c>
      <c r="B125" s="1878" t="s">
        <v>51</v>
      </c>
      <c r="C125" s="1878">
        <f t="shared" si="19"/>
        <v>9.1914755637090391</v>
      </c>
      <c r="D125" s="1878">
        <v>2</v>
      </c>
      <c r="E125" s="1878">
        <v>3</v>
      </c>
      <c r="F125" s="1878"/>
      <c r="G125" s="1878"/>
      <c r="H125" s="1878"/>
      <c r="I125" s="1879"/>
      <c r="J125" s="1071"/>
    </row>
    <row r="126" spans="1:10" x14ac:dyDescent="0.2">
      <c r="A126" s="1072" t="s">
        <v>49</v>
      </c>
      <c r="B126" s="1878" t="s">
        <v>685</v>
      </c>
      <c r="C126" s="1878">
        <f t="shared" si="19"/>
        <v>15.147836274263351</v>
      </c>
      <c r="D126" s="1878">
        <v>2</v>
      </c>
      <c r="E126" s="1878">
        <v>3</v>
      </c>
      <c r="F126" s="1878"/>
      <c r="G126" s="1878"/>
      <c r="H126" s="1878"/>
      <c r="I126" s="1879"/>
      <c r="J126" s="1071"/>
    </row>
    <row r="127" spans="1:10" x14ac:dyDescent="0.2">
      <c r="A127" s="1072" t="s">
        <v>49</v>
      </c>
      <c r="B127" s="1878" t="s">
        <v>60</v>
      </c>
      <c r="C127" s="1878">
        <f t="shared" si="19"/>
        <v>7.4405140270699954</v>
      </c>
      <c r="D127" s="1878">
        <v>2</v>
      </c>
      <c r="E127" s="1878">
        <v>3</v>
      </c>
      <c r="F127" s="1878"/>
      <c r="G127" s="1878"/>
      <c r="H127" s="1878"/>
      <c r="I127" s="1879"/>
      <c r="J127" s="1071"/>
    </row>
    <row r="128" spans="1:10" x14ac:dyDescent="0.2">
      <c r="A128" s="1072" t="s">
        <v>96</v>
      </c>
      <c r="B128" s="1878" t="s">
        <v>31</v>
      </c>
      <c r="C128" s="1878">
        <f t="shared" si="19"/>
        <v>0</v>
      </c>
      <c r="D128" s="1878">
        <v>2</v>
      </c>
      <c r="E128" s="1878">
        <v>3</v>
      </c>
      <c r="F128" s="1878"/>
      <c r="G128" s="1878"/>
      <c r="H128" s="1878"/>
      <c r="I128" s="1879"/>
      <c r="J128" s="1071"/>
    </row>
    <row r="129" spans="1:10" ht="16" customHeight="1" x14ac:dyDescent="0.2">
      <c r="A129" s="1072" t="s">
        <v>96</v>
      </c>
      <c r="B129" s="1878" t="s">
        <v>86</v>
      </c>
      <c r="C129" s="1878">
        <f t="shared" si="19"/>
        <v>0</v>
      </c>
      <c r="D129" s="1878">
        <v>2</v>
      </c>
      <c r="E129" s="1878">
        <v>3</v>
      </c>
      <c r="F129" s="1878"/>
      <c r="G129" s="1878"/>
      <c r="H129" s="1878"/>
      <c r="I129" s="1879"/>
      <c r="J129" s="1071"/>
    </row>
    <row r="130" spans="1:10" ht="16" customHeight="1" x14ac:dyDescent="0.2">
      <c r="A130" s="1072" t="s">
        <v>96</v>
      </c>
      <c r="B130" s="1878" t="s">
        <v>43</v>
      </c>
      <c r="C130" s="1878">
        <f t="shared" si="19"/>
        <v>0</v>
      </c>
      <c r="D130" s="1878">
        <v>2</v>
      </c>
      <c r="E130" s="1878">
        <v>3</v>
      </c>
      <c r="F130" s="1878"/>
      <c r="G130" s="1878"/>
      <c r="H130" s="1878"/>
      <c r="I130" s="1879"/>
      <c r="J130" s="1071"/>
    </row>
    <row r="131" spans="1:10" x14ac:dyDescent="0.2">
      <c r="A131" s="1072" t="s">
        <v>96</v>
      </c>
      <c r="B131" s="1878" t="s">
        <v>49</v>
      </c>
      <c r="C131" s="1878">
        <f t="shared" si="19"/>
        <v>0</v>
      </c>
      <c r="D131" s="1878">
        <v>2</v>
      </c>
      <c r="E131" s="1878">
        <v>3</v>
      </c>
      <c r="F131" s="1878"/>
      <c r="G131" s="1878"/>
      <c r="H131" s="1878"/>
      <c r="I131" s="1879"/>
      <c r="J131" s="1071"/>
    </row>
    <row r="132" spans="1:10" x14ac:dyDescent="0.2">
      <c r="A132" s="1072" t="s">
        <v>96</v>
      </c>
      <c r="B132" s="1878" t="s">
        <v>96</v>
      </c>
      <c r="C132" s="1878">
        <f t="shared" si="19"/>
        <v>4.3028063588420062</v>
      </c>
      <c r="D132" s="1878">
        <v>2</v>
      </c>
      <c r="E132" s="1878">
        <v>3</v>
      </c>
      <c r="F132" s="1878"/>
      <c r="G132" s="1878"/>
      <c r="H132" s="1878"/>
      <c r="I132" s="1879"/>
      <c r="J132" s="1071"/>
    </row>
    <row r="133" spans="1:10" x14ac:dyDescent="0.2">
      <c r="A133" s="1072" t="s">
        <v>96</v>
      </c>
      <c r="B133" s="1878" t="s">
        <v>51</v>
      </c>
      <c r="C133" s="1878">
        <f t="shared" si="19"/>
        <v>0</v>
      </c>
      <c r="D133" s="1878">
        <v>2</v>
      </c>
      <c r="E133" s="1878">
        <v>3</v>
      </c>
      <c r="F133" s="1878"/>
      <c r="G133" s="1878"/>
      <c r="H133" s="1878"/>
      <c r="I133" s="1879"/>
      <c r="J133" s="1071"/>
    </row>
    <row r="134" spans="1:10" x14ac:dyDescent="0.2">
      <c r="A134" s="1072" t="s">
        <v>96</v>
      </c>
      <c r="B134" s="1878" t="s">
        <v>685</v>
      </c>
      <c r="C134" s="1878">
        <f t="shared" si="19"/>
        <v>0</v>
      </c>
      <c r="D134" s="1878">
        <v>2</v>
      </c>
      <c r="E134" s="1878">
        <v>3</v>
      </c>
      <c r="F134" s="1878"/>
      <c r="G134" s="1878"/>
      <c r="H134" s="1878"/>
      <c r="I134" s="1879"/>
      <c r="J134" s="1071"/>
    </row>
    <row r="135" spans="1:10" x14ac:dyDescent="0.2">
      <c r="A135" s="1072" t="s">
        <v>96</v>
      </c>
      <c r="B135" s="1878" t="s">
        <v>60</v>
      </c>
      <c r="C135" s="1878">
        <f t="shared" si="19"/>
        <v>0</v>
      </c>
      <c r="D135" s="1878">
        <v>2</v>
      </c>
      <c r="E135" s="1878">
        <v>3</v>
      </c>
      <c r="F135" s="1878"/>
      <c r="G135" s="1878"/>
      <c r="H135" s="1878"/>
      <c r="I135" s="1879"/>
      <c r="J135" s="1071"/>
    </row>
    <row r="136" spans="1:10" x14ac:dyDescent="0.2">
      <c r="A136" s="1072" t="s">
        <v>51</v>
      </c>
      <c r="B136" s="1878" t="s">
        <v>31</v>
      </c>
      <c r="C136" s="1878">
        <f t="shared" si="19"/>
        <v>6.1805194000842514</v>
      </c>
      <c r="D136" s="1878">
        <v>2</v>
      </c>
      <c r="E136" s="1878">
        <v>3</v>
      </c>
      <c r="F136" s="1878"/>
      <c r="G136" s="1878"/>
      <c r="H136" s="1878"/>
      <c r="I136" s="1879"/>
      <c r="J136" s="1071"/>
    </row>
    <row r="137" spans="1:10" x14ac:dyDescent="0.2">
      <c r="A137" s="1072" t="s">
        <v>51</v>
      </c>
      <c r="B137" s="1878" t="s">
        <v>86</v>
      </c>
      <c r="C137" s="1878">
        <f t="shared" si="19"/>
        <v>1.325982537590664E-2</v>
      </c>
      <c r="D137" s="1878">
        <v>2</v>
      </c>
      <c r="E137" s="1878">
        <v>3</v>
      </c>
      <c r="F137" s="1878"/>
      <c r="G137" s="1878"/>
      <c r="H137" s="1878"/>
      <c r="I137" s="1879"/>
      <c r="J137" s="1071"/>
    </row>
    <row r="138" spans="1:10" x14ac:dyDescent="0.2">
      <c r="A138" s="1072" t="s">
        <v>51</v>
      </c>
      <c r="B138" s="1878" t="s">
        <v>43</v>
      </c>
      <c r="C138" s="1878">
        <f t="shared" si="19"/>
        <v>7.4791324262739529</v>
      </c>
      <c r="D138" s="1878">
        <v>2</v>
      </c>
      <c r="E138" s="1878">
        <v>3</v>
      </c>
      <c r="F138" s="1878"/>
      <c r="G138" s="1878"/>
      <c r="H138" s="1878"/>
      <c r="I138" s="1879"/>
      <c r="J138" s="1071"/>
    </row>
    <row r="139" spans="1:10" x14ac:dyDescent="0.2">
      <c r="A139" s="1072" t="s">
        <v>51</v>
      </c>
      <c r="B139" s="1878" t="s">
        <v>49</v>
      </c>
      <c r="C139" s="1878">
        <f t="shared" si="19"/>
        <v>3.0895876812526728</v>
      </c>
      <c r="D139" s="1878">
        <v>2</v>
      </c>
      <c r="E139" s="1878">
        <v>3</v>
      </c>
      <c r="F139" s="1878"/>
      <c r="G139" s="1878"/>
      <c r="H139" s="1878"/>
      <c r="I139" s="1879"/>
      <c r="J139" s="1071"/>
    </row>
    <row r="140" spans="1:10" x14ac:dyDescent="0.2">
      <c r="A140" s="1072" t="s">
        <v>51</v>
      </c>
      <c r="B140" s="1878" t="s">
        <v>96</v>
      </c>
      <c r="C140" s="1878">
        <f t="shared" si="19"/>
        <v>2.3268524573671675E-2</v>
      </c>
      <c r="D140" s="1878">
        <v>2</v>
      </c>
      <c r="E140" s="1878">
        <v>3</v>
      </c>
      <c r="F140" s="1878"/>
      <c r="G140" s="1878"/>
      <c r="H140" s="1878"/>
      <c r="I140" s="1879"/>
      <c r="J140" s="1071"/>
    </row>
    <row r="141" spans="1:10" x14ac:dyDescent="0.2">
      <c r="A141" s="1072" t="s">
        <v>51</v>
      </c>
      <c r="B141" s="1878" t="s">
        <v>51</v>
      </c>
      <c r="C141" s="1878">
        <f t="shared" si="19"/>
        <v>15.079964821642175</v>
      </c>
      <c r="D141" s="1878">
        <v>2</v>
      </c>
      <c r="E141" s="1878">
        <v>3</v>
      </c>
      <c r="F141" s="1878"/>
      <c r="G141" s="1878"/>
      <c r="H141" s="1878"/>
      <c r="I141" s="1879"/>
      <c r="J141" s="1071"/>
    </row>
    <row r="142" spans="1:10" x14ac:dyDescent="0.2">
      <c r="A142" s="1072" t="s">
        <v>51</v>
      </c>
      <c r="B142" s="1878" t="s">
        <v>685</v>
      </c>
      <c r="C142" s="1878">
        <f t="shared" si="19"/>
        <v>24.319739020622738</v>
      </c>
      <c r="D142" s="1878">
        <v>2</v>
      </c>
      <c r="E142" s="1878">
        <v>3</v>
      </c>
      <c r="F142" s="1878"/>
      <c r="G142" s="1878"/>
      <c r="H142" s="1878"/>
      <c r="I142" s="1879"/>
      <c r="J142" s="1071"/>
    </row>
    <row r="143" spans="1:10" x14ac:dyDescent="0.2">
      <c r="A143" s="1072" t="s">
        <v>51</v>
      </c>
      <c r="B143" s="1878" t="s">
        <v>60</v>
      </c>
      <c r="C143" s="1878">
        <f t="shared" si="19"/>
        <v>18.081045131406011</v>
      </c>
      <c r="D143" s="1878">
        <v>2</v>
      </c>
      <c r="E143" s="1878">
        <v>3</v>
      </c>
      <c r="F143" s="1878"/>
      <c r="G143" s="1878"/>
      <c r="H143" s="1878"/>
      <c r="I143" s="1879"/>
      <c r="J143" s="1071"/>
    </row>
    <row r="144" spans="1:10" x14ac:dyDescent="0.2">
      <c r="A144" s="1072" t="s">
        <v>695</v>
      </c>
      <c r="B144" s="1878" t="s">
        <v>31</v>
      </c>
      <c r="C144" s="1878">
        <f t="shared" si="19"/>
        <v>10.581605208170615</v>
      </c>
      <c r="D144" s="1878">
        <v>1</v>
      </c>
      <c r="E144" s="1878">
        <v>2</v>
      </c>
      <c r="F144" s="1878"/>
      <c r="G144" s="1878"/>
      <c r="H144" s="1878"/>
      <c r="I144" s="1879"/>
      <c r="J144" s="1071"/>
    </row>
    <row r="145" spans="1:10" x14ac:dyDescent="0.2">
      <c r="A145" s="1072" t="s">
        <v>695</v>
      </c>
      <c r="B145" s="1878" t="s">
        <v>86</v>
      </c>
      <c r="C145" s="1878">
        <f t="shared" si="19"/>
        <v>1.51880111593707</v>
      </c>
      <c r="D145" s="1878">
        <v>1</v>
      </c>
      <c r="E145" s="1878">
        <v>2</v>
      </c>
      <c r="F145" s="1878"/>
      <c r="G145" s="1878"/>
      <c r="H145" s="1878"/>
      <c r="I145" s="1879"/>
      <c r="J145" s="1071"/>
    </row>
    <row r="146" spans="1:10" x14ac:dyDescent="0.2">
      <c r="A146" s="1072" t="s">
        <v>695</v>
      </c>
      <c r="B146" s="1878" t="s">
        <v>43</v>
      </c>
      <c r="C146" s="1878">
        <f t="shared" si="19"/>
        <v>37.466895549211095</v>
      </c>
      <c r="D146" s="1878">
        <v>1</v>
      </c>
      <c r="E146" s="1878">
        <v>2</v>
      </c>
      <c r="F146" s="1878"/>
      <c r="G146" s="1878"/>
      <c r="H146" s="1878"/>
      <c r="I146" s="1879"/>
      <c r="J146" s="1071"/>
    </row>
    <row r="147" spans="1:10" x14ac:dyDescent="0.2">
      <c r="A147" s="1072" t="s">
        <v>695</v>
      </c>
      <c r="B147" s="1878" t="s">
        <v>49</v>
      </c>
      <c r="C147" s="1878">
        <f t="shared" si="19"/>
        <v>19.519613647787541</v>
      </c>
      <c r="D147" s="1878">
        <v>1</v>
      </c>
      <c r="E147" s="1878">
        <v>2</v>
      </c>
      <c r="F147" s="1878"/>
      <c r="G147" s="1878"/>
      <c r="H147" s="1878"/>
      <c r="I147" s="1879"/>
      <c r="J147" s="1071"/>
    </row>
    <row r="148" spans="1:10" x14ac:dyDescent="0.2">
      <c r="A148" s="1072" t="s">
        <v>695</v>
      </c>
      <c r="B148" s="1878" t="s">
        <v>96</v>
      </c>
      <c r="C148" s="1878">
        <f t="shared" si="19"/>
        <v>3.500324245665869</v>
      </c>
      <c r="D148" s="1878">
        <v>1</v>
      </c>
      <c r="E148" s="1878">
        <v>2</v>
      </c>
      <c r="F148" s="1878"/>
      <c r="G148" s="1878"/>
      <c r="H148" s="1878"/>
      <c r="I148" s="1879"/>
      <c r="J148" s="1071"/>
    </row>
    <row r="149" spans="1:10" x14ac:dyDescent="0.2">
      <c r="A149" s="1072" t="s">
        <v>695</v>
      </c>
      <c r="B149" s="1878" t="s">
        <v>51</v>
      </c>
      <c r="C149" s="1878">
        <f t="shared" si="19"/>
        <v>28.098820342590567</v>
      </c>
      <c r="D149" s="1878">
        <v>1</v>
      </c>
      <c r="E149" s="1878">
        <v>2</v>
      </c>
      <c r="F149" s="1878"/>
      <c r="G149" s="1878"/>
      <c r="H149" s="1878"/>
      <c r="I149" s="1879"/>
      <c r="J149" s="1071"/>
    </row>
    <row r="150" spans="1:10" x14ac:dyDescent="0.2">
      <c r="A150" s="1072" t="s">
        <v>695</v>
      </c>
      <c r="B150" s="1878" t="s">
        <v>685</v>
      </c>
      <c r="C150" s="1878">
        <f t="shared" si="19"/>
        <v>246.29534806732627</v>
      </c>
      <c r="D150" s="1878">
        <v>1</v>
      </c>
      <c r="E150" s="1878">
        <v>2</v>
      </c>
      <c r="F150" s="1878"/>
      <c r="G150" s="1878"/>
      <c r="H150" s="1878"/>
      <c r="I150" s="1879"/>
      <c r="J150" s="1071"/>
    </row>
    <row r="151" spans="1:10" x14ac:dyDescent="0.2">
      <c r="A151" s="1072" t="s">
        <v>695</v>
      </c>
      <c r="B151" s="1878" t="s">
        <v>60</v>
      </c>
      <c r="C151" s="1878">
        <f t="shared" si="19"/>
        <v>22.578712525969269</v>
      </c>
      <c r="D151" s="1878">
        <v>1</v>
      </c>
      <c r="E151" s="1878">
        <v>2</v>
      </c>
      <c r="F151" s="1878"/>
      <c r="G151" s="1878"/>
      <c r="H151" s="1878"/>
      <c r="I151" s="1879"/>
      <c r="J151" s="1071"/>
    </row>
    <row r="152" spans="1:10" x14ac:dyDescent="0.2">
      <c r="A152" s="1072" t="s">
        <v>685</v>
      </c>
      <c r="B152" s="1878" t="s">
        <v>31</v>
      </c>
      <c r="C152" s="1878">
        <f t="shared" si="19"/>
        <v>0</v>
      </c>
      <c r="D152" s="1878">
        <v>2</v>
      </c>
      <c r="E152" s="1878">
        <v>3</v>
      </c>
      <c r="F152" s="1878"/>
      <c r="G152" s="1878"/>
      <c r="H152" s="1878"/>
      <c r="I152" s="1879"/>
      <c r="J152" s="1071"/>
    </row>
    <row r="153" spans="1:10" x14ac:dyDescent="0.2">
      <c r="A153" s="1072" t="s">
        <v>685</v>
      </c>
      <c r="B153" s="1878" t="s">
        <v>86</v>
      </c>
      <c r="C153" s="1878">
        <f t="shared" ref="C153:C167" si="20">+INDEX($A$74:$I$84,MATCH(A153,$A$74:$A$84,0),MATCH(B153,$A$74:$I$74,0))</f>
        <v>0.76139875374487964</v>
      </c>
      <c r="D153" s="1878">
        <v>2</v>
      </c>
      <c r="E153" s="1878">
        <v>3</v>
      </c>
      <c r="F153" s="1878"/>
      <c r="G153" s="1878"/>
      <c r="H153" s="1878"/>
      <c r="I153" s="1879"/>
      <c r="J153" s="1071"/>
    </row>
    <row r="154" spans="1:10" ht="16" customHeight="1" x14ac:dyDescent="0.2">
      <c r="A154" s="1072" t="s">
        <v>685</v>
      </c>
      <c r="B154" s="1878" t="s">
        <v>43</v>
      </c>
      <c r="C154" s="1878">
        <f t="shared" si="20"/>
        <v>24.592904468682796</v>
      </c>
      <c r="D154" s="1878">
        <v>2</v>
      </c>
      <c r="E154" s="1878">
        <v>3</v>
      </c>
      <c r="F154" s="1878"/>
      <c r="G154" s="1878"/>
      <c r="H154" s="1878"/>
      <c r="I154" s="1879"/>
      <c r="J154" s="1071"/>
    </row>
    <row r="155" spans="1:10" ht="16" customHeight="1" x14ac:dyDescent="0.2">
      <c r="A155" s="1072" t="s">
        <v>685</v>
      </c>
      <c r="B155" s="1878" t="s">
        <v>49</v>
      </c>
      <c r="C155" s="1878">
        <f t="shared" si="20"/>
        <v>0</v>
      </c>
      <c r="D155" s="1878">
        <v>2</v>
      </c>
      <c r="E155" s="1878">
        <v>3</v>
      </c>
      <c r="F155" s="1878"/>
      <c r="G155" s="1878"/>
      <c r="H155" s="1878"/>
      <c r="I155" s="1879"/>
      <c r="J155" s="1071"/>
    </row>
    <row r="156" spans="1:10" x14ac:dyDescent="0.2">
      <c r="A156" s="1072" t="s">
        <v>685</v>
      </c>
      <c r="B156" s="1878" t="s">
        <v>96</v>
      </c>
      <c r="C156" s="1878">
        <f t="shared" si="20"/>
        <v>3.2192406326817502</v>
      </c>
      <c r="D156" s="1878">
        <v>2</v>
      </c>
      <c r="E156" s="1878">
        <v>3</v>
      </c>
      <c r="F156" s="1878"/>
      <c r="G156" s="1878"/>
      <c r="H156" s="1878"/>
      <c r="I156" s="1879"/>
      <c r="J156" s="1071"/>
    </row>
    <row r="157" spans="1:10" x14ac:dyDescent="0.2">
      <c r="A157" s="1072" t="s">
        <v>685</v>
      </c>
      <c r="B157" s="1878" t="s">
        <v>51</v>
      </c>
      <c r="C157" s="1878">
        <f t="shared" si="20"/>
        <v>4.6292354839568999</v>
      </c>
      <c r="D157" s="1878">
        <v>2</v>
      </c>
      <c r="E157" s="1878">
        <v>3</v>
      </c>
      <c r="F157" s="1878"/>
      <c r="G157" s="1878"/>
      <c r="H157" s="1878"/>
      <c r="I157" s="1879"/>
      <c r="J157" s="1071"/>
    </row>
    <row r="158" spans="1:10" x14ac:dyDescent="0.2">
      <c r="A158" s="1072" t="s">
        <v>685</v>
      </c>
      <c r="B158" s="1878" t="s">
        <v>685</v>
      </c>
      <c r="C158" s="1878">
        <f t="shared" si="20"/>
        <v>242.06564326313932</v>
      </c>
      <c r="D158" s="1878">
        <v>2</v>
      </c>
      <c r="E158" s="1878">
        <v>3</v>
      </c>
      <c r="F158" s="1878"/>
      <c r="G158" s="1878"/>
      <c r="H158" s="1878"/>
      <c r="I158" s="1879"/>
      <c r="J158" s="1071"/>
    </row>
    <row r="159" spans="1:10" x14ac:dyDescent="0.2">
      <c r="A159" s="1072" t="s">
        <v>685</v>
      </c>
      <c r="B159" s="1878" t="s">
        <v>60</v>
      </c>
      <c r="C159" s="1878">
        <f t="shared" si="20"/>
        <v>0</v>
      </c>
      <c r="D159" s="1878">
        <v>2</v>
      </c>
      <c r="E159" s="1878">
        <v>3</v>
      </c>
      <c r="F159" s="1878"/>
      <c r="G159" s="1878"/>
      <c r="H159" s="1878"/>
      <c r="I159" s="1879"/>
      <c r="J159" s="1071"/>
    </row>
    <row r="160" spans="1:10" x14ac:dyDescent="0.2">
      <c r="A160" s="1072" t="s">
        <v>60</v>
      </c>
      <c r="B160" s="1878" t="s">
        <v>31</v>
      </c>
      <c r="C160" s="1878">
        <f t="shared" si="20"/>
        <v>1.8031514849845134</v>
      </c>
      <c r="D160" s="1878">
        <v>2</v>
      </c>
      <c r="E160" s="1878">
        <v>3</v>
      </c>
      <c r="F160" s="1878"/>
      <c r="G160" s="1878"/>
      <c r="H160" s="1878"/>
      <c r="I160" s="1879"/>
      <c r="J160" s="1071"/>
    </row>
    <row r="161" spans="1:10" x14ac:dyDescent="0.2">
      <c r="A161" s="1072" t="s">
        <v>60</v>
      </c>
      <c r="B161" s="1878" t="s">
        <v>86</v>
      </c>
      <c r="C161" s="1878">
        <f t="shared" si="20"/>
        <v>0.1381468697340576</v>
      </c>
      <c r="D161" s="1878">
        <v>2</v>
      </c>
      <c r="E161" s="1878">
        <v>3</v>
      </c>
      <c r="F161" s="1878"/>
      <c r="G161" s="1878"/>
      <c r="H161" s="1878"/>
      <c r="I161" s="1879"/>
      <c r="J161" s="1071"/>
    </row>
    <row r="162" spans="1:10" x14ac:dyDescent="0.2">
      <c r="A162" s="1072" t="s">
        <v>60</v>
      </c>
      <c r="B162" s="1878" t="s">
        <v>43</v>
      </c>
      <c r="C162" s="1878">
        <f t="shared" si="20"/>
        <v>7.033266083706109</v>
      </c>
      <c r="D162" s="1878">
        <v>2</v>
      </c>
      <c r="E162" s="1878">
        <v>3</v>
      </c>
      <c r="F162" s="1878"/>
      <c r="G162" s="1878"/>
      <c r="H162" s="1878"/>
      <c r="I162" s="1879"/>
      <c r="J162" s="1071"/>
    </row>
    <row r="163" spans="1:10" x14ac:dyDescent="0.2">
      <c r="A163" s="1072" t="s">
        <v>60</v>
      </c>
      <c r="B163" s="1878" t="s">
        <v>49</v>
      </c>
      <c r="C163" s="1878">
        <f t="shared" si="20"/>
        <v>7.0329111243247073</v>
      </c>
      <c r="D163" s="1878">
        <v>2</v>
      </c>
      <c r="E163" s="1878">
        <v>3</v>
      </c>
      <c r="F163" s="1878"/>
      <c r="G163" s="1878"/>
      <c r="H163" s="1878"/>
      <c r="I163" s="1879"/>
      <c r="J163" s="1071"/>
    </row>
    <row r="164" spans="1:10" x14ac:dyDescent="0.2">
      <c r="A164" s="1072" t="s">
        <v>60</v>
      </c>
      <c r="B164" s="1878" t="s">
        <v>96</v>
      </c>
      <c r="C164" s="1878">
        <f t="shared" si="20"/>
        <v>0.56939190698627706</v>
      </c>
      <c r="D164" s="1878">
        <v>2</v>
      </c>
      <c r="E164" s="1878">
        <v>3</v>
      </c>
      <c r="F164" s="1878"/>
      <c r="G164" s="1878"/>
      <c r="H164" s="1878"/>
      <c r="I164" s="1879"/>
      <c r="J164" s="1071"/>
    </row>
    <row r="165" spans="1:10" x14ac:dyDescent="0.2">
      <c r="A165" s="1072" t="s">
        <v>60</v>
      </c>
      <c r="B165" s="1878" t="s">
        <v>51</v>
      </c>
      <c r="C165" s="1878">
        <f t="shared" si="20"/>
        <v>8.4472200589450441</v>
      </c>
      <c r="D165" s="1878">
        <v>2</v>
      </c>
      <c r="E165" s="1878">
        <v>3</v>
      </c>
      <c r="F165" s="1878"/>
      <c r="G165" s="1878"/>
      <c r="H165" s="1878"/>
      <c r="I165" s="1879"/>
      <c r="J165" s="1071"/>
    </row>
    <row r="166" spans="1:10" x14ac:dyDescent="0.2">
      <c r="A166" s="1072" t="s">
        <v>60</v>
      </c>
      <c r="B166" s="1878" t="s">
        <v>685</v>
      </c>
      <c r="C166" s="1878">
        <f t="shared" si="20"/>
        <v>0</v>
      </c>
      <c r="D166" s="1878">
        <v>2</v>
      </c>
      <c r="E166" s="1878">
        <v>3</v>
      </c>
      <c r="F166" s="1878"/>
      <c r="G166" s="1878"/>
      <c r="H166" s="1878"/>
      <c r="I166" s="1879"/>
      <c r="J166" s="1071"/>
    </row>
    <row r="167" spans="1:10" x14ac:dyDescent="0.2">
      <c r="A167" s="1072" t="s">
        <v>60</v>
      </c>
      <c r="B167" s="1878" t="s">
        <v>60</v>
      </c>
      <c r="C167" s="1878">
        <f t="shared" si="20"/>
        <v>25.078934169579298</v>
      </c>
      <c r="D167" s="1878">
        <v>2</v>
      </c>
      <c r="E167" s="1878">
        <v>3</v>
      </c>
      <c r="F167" s="1878"/>
      <c r="G167" s="1878"/>
      <c r="H167" s="1878"/>
      <c r="I167" s="1879"/>
      <c r="J167" s="1071"/>
    </row>
    <row r="168" spans="1:10" x14ac:dyDescent="0.2">
      <c r="A168" s="1072"/>
      <c r="B168" s="1878"/>
      <c r="C168" s="1878"/>
      <c r="D168" s="1878"/>
      <c r="E168" s="1878"/>
      <c r="F168" s="1878"/>
      <c r="G168" s="1878"/>
      <c r="H168" s="1878"/>
      <c r="I168" s="1879"/>
      <c r="J168" s="1071"/>
    </row>
    <row r="169" spans="1:10" ht="15" x14ac:dyDescent="0.2">
      <c r="A169" s="2292" t="s">
        <v>689</v>
      </c>
      <c r="B169" s="2293"/>
      <c r="C169" s="2293"/>
      <c r="D169" s="2293"/>
      <c r="E169" s="2293"/>
      <c r="F169" s="2293"/>
      <c r="G169" s="2293"/>
      <c r="H169" s="2293"/>
      <c r="I169" s="2293"/>
      <c r="J169" s="1071"/>
    </row>
    <row r="170" spans="1:10" ht="34" x14ac:dyDescent="0.2">
      <c r="A170" s="1074" t="s">
        <v>691</v>
      </c>
      <c r="B170" s="1888" t="s">
        <v>31</v>
      </c>
      <c r="C170" s="1888" t="s">
        <v>86</v>
      </c>
      <c r="D170" s="1888" t="s">
        <v>43</v>
      </c>
      <c r="E170" s="1888" t="s">
        <v>49</v>
      </c>
      <c r="F170" s="1888" t="s">
        <v>96</v>
      </c>
      <c r="G170" s="1888" t="s">
        <v>51</v>
      </c>
      <c r="H170" s="1888" t="s">
        <v>60</v>
      </c>
      <c r="I170" s="1880" t="s">
        <v>685</v>
      </c>
      <c r="J170" s="1071"/>
    </row>
    <row r="171" spans="1:10" x14ac:dyDescent="0.2">
      <c r="A171" s="1072" t="s">
        <v>31</v>
      </c>
      <c r="B171" s="1893">
        <f>1-SUM(C171:I171)</f>
        <v>1.3156054921771854E-2</v>
      </c>
      <c r="C171" s="1893">
        <f t="shared" ref="C171:I171" si="21">+(C61/$C8)</f>
        <v>1.1350097129326076E-2</v>
      </c>
      <c r="D171" s="1893">
        <f t="shared" si="21"/>
        <v>0.42082270990149789</v>
      </c>
      <c r="E171" s="1893">
        <f t="shared" si="21"/>
        <v>0.19781425288944915</v>
      </c>
      <c r="F171" s="1893">
        <f t="shared" si="21"/>
        <v>4.7539048172534647E-2</v>
      </c>
      <c r="G171" s="1893">
        <f t="shared" si="21"/>
        <v>0.15563117895981135</v>
      </c>
      <c r="H171" s="1893">
        <f t="shared" si="21"/>
        <v>0.12406614179616818</v>
      </c>
      <c r="I171" s="1893">
        <f t="shared" si="21"/>
        <v>2.9620516229440969E-2</v>
      </c>
      <c r="J171" s="1071"/>
    </row>
    <row r="172" spans="1:10" x14ac:dyDescent="0.2">
      <c r="A172" s="1072" t="s">
        <v>86</v>
      </c>
      <c r="B172" s="1893">
        <f t="shared" ref="B172:B178" si="22">+(B62/$C9)</f>
        <v>0</v>
      </c>
      <c r="C172" s="1893">
        <f>1-SUM(D172:I172)</f>
        <v>1</v>
      </c>
      <c r="D172" s="1893">
        <f t="shared" ref="D172:I172" si="23">+(D62/$C9)</f>
        <v>0</v>
      </c>
      <c r="E172" s="1893">
        <f t="shared" si="23"/>
        <v>0</v>
      </c>
      <c r="F172" s="1893">
        <f t="shared" si="23"/>
        <v>0</v>
      </c>
      <c r="G172" s="1893">
        <f t="shared" si="23"/>
        <v>0</v>
      </c>
      <c r="H172" s="1893">
        <f t="shared" si="23"/>
        <v>0</v>
      </c>
      <c r="I172" s="1893">
        <f t="shared" si="23"/>
        <v>0</v>
      </c>
      <c r="J172" s="1071"/>
    </row>
    <row r="173" spans="1:10" x14ac:dyDescent="0.2">
      <c r="A173" s="1072" t="s">
        <v>43</v>
      </c>
      <c r="B173" s="1893">
        <f t="shared" si="22"/>
        <v>2.1027378247023165E-2</v>
      </c>
      <c r="C173" s="1893">
        <f t="shared" ref="C173:C178" si="24">+(C63/$C10)</f>
        <v>3.2931743099270126E-5</v>
      </c>
      <c r="D173" s="1893">
        <f>1-B173-C173-E173-F173-G173-H173-I173</f>
        <v>0.35050929813553466</v>
      </c>
      <c r="E173" s="1893">
        <f>+(E63/$C10)</f>
        <v>2.3099299451586702E-2</v>
      </c>
      <c r="F173" s="1893">
        <f>+(F63/$C10)</f>
        <v>1.9608844479923395E-4</v>
      </c>
      <c r="G173" s="1893">
        <f>+(G63/$C10)</f>
        <v>0.16605835956332329</v>
      </c>
      <c r="H173" s="1893">
        <f>+(H63/$C10)</f>
        <v>3.7860858532582815E-2</v>
      </c>
      <c r="I173" s="1893">
        <f>+(I63/$C10)</f>
        <v>0.40121578588205087</v>
      </c>
      <c r="J173" s="1071"/>
    </row>
    <row r="174" spans="1:10" x14ac:dyDescent="0.2">
      <c r="A174" s="1072" t="s">
        <v>49</v>
      </c>
      <c r="B174" s="1893">
        <f t="shared" si="22"/>
        <v>3.2062503349144303E-2</v>
      </c>
      <c r="C174" s="1893">
        <f t="shared" si="24"/>
        <v>7.6566674554956471E-3</v>
      </c>
      <c r="D174" s="1893">
        <f>+(D64/$C11)</f>
        <v>0.24954501918761166</v>
      </c>
      <c r="E174" s="1893">
        <f>1-C174-D174-F174-G174-H174-I174-B174</f>
        <v>0.3187337348777961</v>
      </c>
      <c r="F174" s="1893">
        <f>+(F64/$C11)</f>
        <v>2.9541300346180445E-2</v>
      </c>
      <c r="G174" s="1893">
        <f>+(G64/$C11)</f>
        <v>0.10483220922531135</v>
      </c>
      <c r="H174" s="1893">
        <f>+(H64/$C11)</f>
        <v>8.4861839410136003E-2</v>
      </c>
      <c r="I174" s="1893">
        <f>+(I64/$C11)</f>
        <v>0.17276672614832453</v>
      </c>
      <c r="J174" s="1071"/>
    </row>
    <row r="175" spans="1:10" x14ac:dyDescent="0.2">
      <c r="A175" s="1072" t="s">
        <v>96</v>
      </c>
      <c r="B175" s="1893">
        <f t="shared" si="22"/>
        <v>0</v>
      </c>
      <c r="C175" s="1893">
        <f t="shared" si="24"/>
        <v>0</v>
      </c>
      <c r="D175" s="1893">
        <f>+(D65/$C12)</f>
        <v>0</v>
      </c>
      <c r="E175" s="1893">
        <f>+(E65/$C12)</f>
        <v>0</v>
      </c>
      <c r="F175" s="1893">
        <f>1-D175-E175-G175-H175-I175-B175-C175</f>
        <v>1</v>
      </c>
      <c r="G175" s="1893">
        <f>+(G65/$C12)</f>
        <v>0</v>
      </c>
      <c r="H175" s="1893">
        <f>+(H65/$C12)</f>
        <v>0</v>
      </c>
      <c r="I175" s="1893">
        <f>+(I65/$C12)</f>
        <v>0</v>
      </c>
      <c r="J175" s="1071"/>
    </row>
    <row r="176" spans="1:10" x14ac:dyDescent="0.2">
      <c r="A176" s="1072" t="s">
        <v>51</v>
      </c>
      <c r="B176" s="1893">
        <f t="shared" si="22"/>
        <v>8.3220806142414241E-2</v>
      </c>
      <c r="C176" s="1893">
        <f t="shared" si="24"/>
        <v>1.7854378987558053E-4</v>
      </c>
      <c r="D176" s="1893">
        <f>+(D66/$C13)</f>
        <v>0.10070665416112184</v>
      </c>
      <c r="E176" s="1893">
        <f>+(E66/$C13)</f>
        <v>4.1601354325983483E-2</v>
      </c>
      <c r="F176" s="1893">
        <f>+(F66/$C13)</f>
        <v>3.1331110662627089E-4</v>
      </c>
      <c r="G176" s="1893">
        <f>1-E176-F176-H176-I176-B176-C176-D176</f>
        <v>0.20305200061975415</v>
      </c>
      <c r="H176" s="1893">
        <f>+(H66/$C13)</f>
        <v>0.24346160157873961</v>
      </c>
      <c r="I176" s="1893">
        <f>+(I66/$C13)</f>
        <v>0.32746572827548487</v>
      </c>
      <c r="J176" s="1071"/>
    </row>
    <row r="177" spans="1:10" x14ac:dyDescent="0.2">
      <c r="A177" s="1072" t="s">
        <v>60</v>
      </c>
      <c r="B177" s="1893">
        <f t="shared" si="22"/>
        <v>3.5988876995160027E-2</v>
      </c>
      <c r="C177" s="1893">
        <f t="shared" si="24"/>
        <v>2.7572562502523714E-3</v>
      </c>
      <c r="D177" s="1893">
        <f>+(D67/$C14)</f>
        <v>0.14037608601858761</v>
      </c>
      <c r="E177" s="1893">
        <f>+(E67/$C14)</f>
        <v>0.14036900142829006</v>
      </c>
      <c r="F177" s="1893">
        <f>+(F67/$C14)</f>
        <v>1.1364422497616567E-2</v>
      </c>
      <c r="G177" s="1893">
        <f>+(G67/$C14)</f>
        <v>0.16859701815626024</v>
      </c>
      <c r="H177" s="1893">
        <f>1-F177-G177-I177-B177-C177-D177-E177</f>
        <v>0.50054733865383305</v>
      </c>
      <c r="I177" s="1893">
        <f>+(I67/$C14)</f>
        <v>0</v>
      </c>
      <c r="J177" s="1071"/>
    </row>
    <row r="178" spans="1:10" x14ac:dyDescent="0.2">
      <c r="A178" s="1072" t="s">
        <v>692</v>
      </c>
      <c r="B178" s="1893">
        <f t="shared" si="22"/>
        <v>0</v>
      </c>
      <c r="C178" s="1893">
        <f t="shared" si="24"/>
        <v>2.7660228752252776E-3</v>
      </c>
      <c r="D178" s="1893">
        <f>+(D68/$C15)</f>
        <v>8.9341538837610715E-2</v>
      </c>
      <c r="E178" s="1893">
        <f>+(E68/$C15)</f>
        <v>0</v>
      </c>
      <c r="F178" s="1893">
        <f>+(F68/$C15)</f>
        <v>1.1694914375754321E-2</v>
      </c>
      <c r="G178" s="1893">
        <f>+(G68/$C15)</f>
        <v>1.681716863923282E-2</v>
      </c>
      <c r="H178" s="1893">
        <f>+(H68/$C15)</f>
        <v>0</v>
      </c>
      <c r="I178" s="1893">
        <f>1-G178-H178-B178-C178-D178-E178-F178</f>
        <v>0.87938035527217684</v>
      </c>
      <c r="J178" s="1071"/>
    </row>
    <row r="179" spans="1:10" x14ac:dyDescent="0.2">
      <c r="A179" s="1072"/>
      <c r="B179" s="1882"/>
      <c r="C179" s="1882"/>
      <c r="D179" s="1882"/>
      <c r="E179" s="1882"/>
      <c r="F179" s="1882"/>
      <c r="G179" s="1882"/>
      <c r="H179" s="1883"/>
      <c r="I179" s="1883"/>
      <c r="J179" s="1071"/>
    </row>
    <row r="180" spans="1:10" ht="15" x14ac:dyDescent="0.2">
      <c r="A180" s="1884"/>
      <c r="B180" s="1885" t="s">
        <v>703</v>
      </c>
      <c r="C180" s="1885" t="s">
        <v>704</v>
      </c>
      <c r="D180" s="1885" t="s">
        <v>703</v>
      </c>
      <c r="E180" s="1885" t="s">
        <v>704</v>
      </c>
      <c r="F180" s="1882"/>
      <c r="G180" s="1882"/>
      <c r="H180" s="1883"/>
      <c r="I180" s="1883"/>
      <c r="J180" s="1071"/>
    </row>
    <row r="181" spans="1:10" ht="15" x14ac:dyDescent="0.2">
      <c r="A181" s="1886" t="s">
        <v>705</v>
      </c>
      <c r="B181" s="1894">
        <f>+SUM(B69:G69)</f>
        <v>190303.98673410807</v>
      </c>
      <c r="C181" s="1894">
        <f>+SUM(V85:AA85)</f>
        <v>130233.7543387847</v>
      </c>
      <c r="D181" s="1893">
        <f>+B181/SUM(B$181:B$182)</f>
        <v>0.77143143157188587</v>
      </c>
      <c r="E181" s="1893">
        <f>+C181/SUM(C$181:C$182)</f>
        <v>0.54401886701997582</v>
      </c>
      <c r="F181" s="1879"/>
      <c r="G181" s="1879"/>
      <c r="H181" s="1879"/>
      <c r="I181" s="1879"/>
      <c r="J181" s="1071"/>
    </row>
    <row r="182" spans="1:10" thickBot="1" x14ac:dyDescent="0.25">
      <c r="A182" s="1887" t="s">
        <v>706</v>
      </c>
      <c r="B182" s="1070">
        <f>+H69+I69</f>
        <v>56385.451815654458</v>
      </c>
      <c r="C182" s="1070">
        <f>+AB85+AC85</f>
        <v>109158.22677425759</v>
      </c>
      <c r="D182" s="1895">
        <f>+B182/SUM(B$181:B$182)</f>
        <v>0.22856856842811415</v>
      </c>
      <c r="E182" s="1895">
        <f>+C182/SUM(C$181:C$182)</f>
        <v>0.4559811329800243</v>
      </c>
      <c r="F182" s="1070"/>
      <c r="G182" s="1070"/>
      <c r="H182" s="1070"/>
      <c r="I182" s="1070"/>
      <c r="J182" s="1069"/>
    </row>
    <row r="184" spans="1:10" x14ac:dyDescent="0.2">
      <c r="C184" s="1898"/>
    </row>
  </sheetData>
  <mergeCells count="9">
    <mergeCell ref="A169:I169"/>
    <mergeCell ref="A2:J2"/>
    <mergeCell ref="B73:I73"/>
    <mergeCell ref="B48:I48"/>
    <mergeCell ref="F6:J6"/>
    <mergeCell ref="A86:E86"/>
    <mergeCell ref="B30:I30"/>
    <mergeCell ref="B17:I17"/>
    <mergeCell ref="B59:I5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S64"/>
  <sheetViews>
    <sheetView workbookViewId="0">
      <pane xSplit="1" ySplit="8" topLeftCell="B9" activePane="bottomRight" state="frozen"/>
      <selection pane="topRight" activeCell="AR8" sqref="AR8"/>
      <selection pane="bottomLeft" activeCell="AR8" sqref="AR8"/>
      <selection pane="bottomRight" activeCell="A3" sqref="A3:L3"/>
    </sheetView>
  </sheetViews>
  <sheetFormatPr baseColWidth="10" defaultColWidth="10.83203125" defaultRowHeight="16" x14ac:dyDescent="0.2"/>
  <cols>
    <col min="1" max="1" width="19" style="1" customWidth="1"/>
    <col min="2" max="2" width="11.33203125" style="1" customWidth="1"/>
    <col min="3" max="3" width="11.83203125" style="1" customWidth="1"/>
    <col min="4" max="12" width="11.33203125" style="1" customWidth="1"/>
    <col min="13" max="14" width="10.83203125" style="1"/>
    <col min="16" max="16384" width="10.83203125" style="1"/>
  </cols>
  <sheetData>
    <row r="2" spans="1:16" ht="17" thickBot="1" x14ac:dyDescent="0.25">
      <c r="A2" s="958"/>
      <c r="B2" s="958"/>
      <c r="C2" s="958"/>
      <c r="D2" s="958"/>
      <c r="E2" s="958"/>
      <c r="F2" s="958"/>
      <c r="G2" s="958"/>
      <c r="H2" s="958"/>
      <c r="I2" s="958"/>
      <c r="J2" s="958"/>
      <c r="K2" s="958"/>
      <c r="L2" s="958"/>
      <c r="M2" s="958"/>
      <c r="N2" s="958"/>
      <c r="P2" s="958"/>
    </row>
    <row r="3" spans="1:16" ht="32.25" customHeight="1" thickTop="1" x14ac:dyDescent="0.2">
      <c r="A3" s="1934" t="s">
        <v>135</v>
      </c>
      <c r="B3" s="1935"/>
      <c r="C3" s="1935"/>
      <c r="D3" s="1935"/>
      <c r="E3" s="1935"/>
      <c r="F3" s="1935"/>
      <c r="G3" s="1935"/>
      <c r="H3" s="1935"/>
      <c r="I3" s="1935"/>
      <c r="J3" s="1935"/>
      <c r="K3" s="1935"/>
      <c r="L3" s="1936"/>
      <c r="M3" s="958"/>
      <c r="N3" s="958"/>
      <c r="P3" s="958"/>
    </row>
    <row r="4" spans="1:16" ht="12" customHeight="1" x14ac:dyDescent="0.2">
      <c r="A4" s="4"/>
      <c r="B4" s="620"/>
      <c r="C4" s="620"/>
      <c r="D4" s="620"/>
      <c r="E4" s="620"/>
      <c r="F4" s="620"/>
      <c r="G4" s="620"/>
      <c r="H4" s="620"/>
      <c r="I4" s="620"/>
      <c r="J4" s="620"/>
      <c r="K4" s="620"/>
      <c r="L4" s="5"/>
      <c r="M4" s="958"/>
      <c r="N4" s="958"/>
      <c r="P4" s="958"/>
    </row>
    <row r="5" spans="1:16" ht="17" thickBot="1" x14ac:dyDescent="0.25">
      <c r="A5" s="1094"/>
      <c r="B5" s="134" t="s">
        <v>1</v>
      </c>
      <c r="C5" s="134" t="s">
        <v>2</v>
      </c>
      <c r="D5" s="134" t="s">
        <v>3</v>
      </c>
      <c r="E5" s="134" t="s">
        <v>4</v>
      </c>
      <c r="F5" s="134" t="s">
        <v>5</v>
      </c>
      <c r="G5" s="134" t="s">
        <v>6</v>
      </c>
      <c r="H5" s="134" t="s">
        <v>7</v>
      </c>
      <c r="I5" s="134" t="s">
        <v>8</v>
      </c>
      <c r="J5" s="134" t="s">
        <v>9</v>
      </c>
      <c r="K5" s="134" t="s">
        <v>10</v>
      </c>
      <c r="L5" s="135" t="s">
        <v>11</v>
      </c>
      <c r="M5" s="958"/>
      <c r="N5" s="958"/>
      <c r="P5" s="958"/>
    </row>
    <row r="6" spans="1:16" ht="21" customHeight="1" x14ac:dyDescent="0.2">
      <c r="A6" s="1094"/>
      <c r="B6" s="1979" t="s">
        <v>136</v>
      </c>
      <c r="C6" s="1980"/>
      <c r="D6" s="1980"/>
      <c r="E6" s="1980"/>
      <c r="F6" s="1980"/>
      <c r="G6" s="1981"/>
      <c r="H6" s="1982" t="s">
        <v>119</v>
      </c>
      <c r="I6" s="1984" t="s">
        <v>120</v>
      </c>
      <c r="J6" s="1986" t="s">
        <v>121</v>
      </c>
      <c r="K6" s="1988" t="s">
        <v>122</v>
      </c>
      <c r="L6" s="1990" t="s">
        <v>123</v>
      </c>
      <c r="M6" s="958"/>
      <c r="N6" s="958"/>
      <c r="P6" s="958"/>
    </row>
    <row r="7" spans="1:16" ht="85" customHeight="1" x14ac:dyDescent="0.2">
      <c r="A7" s="1094"/>
      <c r="B7" s="1992" t="s">
        <v>137</v>
      </c>
      <c r="C7" s="1994" t="s">
        <v>125</v>
      </c>
      <c r="D7" s="1996" t="s">
        <v>126</v>
      </c>
      <c r="E7" s="1812" t="s">
        <v>127</v>
      </c>
      <c r="F7" s="1812" t="s">
        <v>128</v>
      </c>
      <c r="G7" s="1977" t="s">
        <v>129</v>
      </c>
      <c r="H7" s="1983"/>
      <c r="I7" s="1985"/>
      <c r="J7" s="1987"/>
      <c r="K7" s="1989"/>
      <c r="L7" s="1991"/>
      <c r="M7" s="1104"/>
      <c r="N7" s="958"/>
      <c r="O7" s="169" t="s">
        <v>26</v>
      </c>
      <c r="P7" s="958"/>
    </row>
    <row r="8" spans="1:16" ht="33" customHeight="1" x14ac:dyDescent="0.2">
      <c r="A8" s="1094"/>
      <c r="B8" s="1993"/>
      <c r="C8" s="1995"/>
      <c r="D8" s="1996"/>
      <c r="E8" s="136"/>
      <c r="F8" s="136"/>
      <c r="G8" s="1977"/>
      <c r="H8" s="1983"/>
      <c r="I8" s="1985"/>
      <c r="J8" s="1987"/>
      <c r="K8" s="1989"/>
      <c r="L8" s="1991"/>
      <c r="M8" s="1104"/>
      <c r="N8" s="958"/>
      <c r="O8" s="169"/>
      <c r="P8" s="958"/>
    </row>
    <row r="9" spans="1:16" ht="40" customHeight="1" x14ac:dyDescent="0.2">
      <c r="A9" s="137" t="s">
        <v>28</v>
      </c>
      <c r="B9" s="214">
        <f t="shared" ref="B9:G9" si="0">SUM(B10:B44)</f>
        <v>23569.365024501058</v>
      </c>
      <c r="C9" s="219">
        <f t="shared" si="0"/>
        <v>13940.970631802091</v>
      </c>
      <c r="D9" s="226">
        <f t="shared" si="0"/>
        <v>5294.6355779161286</v>
      </c>
      <c r="E9" s="227">
        <f t="shared" si="0"/>
        <v>552.88837341264343</v>
      </c>
      <c r="F9" s="226">
        <f t="shared" si="0"/>
        <v>4741.7472045034856</v>
      </c>
      <c r="G9" s="220">
        <f t="shared" si="0"/>
        <v>4333.7591429357853</v>
      </c>
      <c r="H9" s="221">
        <f>(G9+D9)/B9</f>
        <v>0.40851311483541919</v>
      </c>
      <c r="I9" s="217">
        <f>D9/(D9+C9)</f>
        <v>0.27525181791469466</v>
      </c>
      <c r="J9" s="222">
        <f>1-I9</f>
        <v>0.72474818208530534</v>
      </c>
      <c r="K9" s="217">
        <f>E9/D9</f>
        <v>0.10442425456413568</v>
      </c>
      <c r="L9" s="218">
        <f>F9/C9</f>
        <v>0.34013034886442051</v>
      </c>
      <c r="M9" s="1104"/>
      <c r="N9" s="958"/>
      <c r="O9" s="225">
        <f>B9-C9-D9-G9</f>
        <v>-3.2815294707688736E-4</v>
      </c>
      <c r="P9" s="225">
        <f>D9-E9-F9</f>
        <v>0</v>
      </c>
    </row>
    <row r="10" spans="1:16" ht="14.25" customHeight="1" x14ac:dyDescent="0.2">
      <c r="A10" s="1094" t="s">
        <v>29</v>
      </c>
      <c r="B10" s="168">
        <f>+TableA1!F10</f>
        <v>672.06429734683604</v>
      </c>
      <c r="C10" s="1105">
        <f>B10-D10-G10</f>
        <v>468.67008658723302</v>
      </c>
      <c r="D10" s="1125">
        <v>97.263896505871102</v>
      </c>
      <c r="E10" s="1126">
        <v>14.216168703844218</v>
      </c>
      <c r="F10" s="1127">
        <f>D10-E10</f>
        <v>83.047727802026884</v>
      </c>
      <c r="G10" s="1128">
        <v>106.1303142537319</v>
      </c>
      <c r="H10" s="1121">
        <f>(G10+D10)/B10</f>
        <v>0.30264099962244562</v>
      </c>
      <c r="I10" s="138">
        <f>D10/(D10+C10)</f>
        <v>0.17186438597356651</v>
      </c>
      <c r="J10" s="1122">
        <f>1-I10</f>
        <v>0.82813561402643354</v>
      </c>
      <c r="K10" s="1123">
        <f>E10/D10</f>
        <v>0.14616079773224069</v>
      </c>
      <c r="L10" s="139">
        <f>F10/C10</f>
        <v>0.1771986951562553</v>
      </c>
      <c r="M10" s="1104"/>
      <c r="N10" s="11"/>
      <c r="O10" s="225">
        <f t="shared" ref="O10:O52" si="1">B10-C10-D10-G10</f>
        <v>0</v>
      </c>
      <c r="P10" s="225">
        <f t="shared" ref="P10:P52" si="2">D10-E10-F10</f>
        <v>0</v>
      </c>
    </row>
    <row r="11" spans="1:16" ht="14.25" customHeight="1" x14ac:dyDescent="0.2">
      <c r="A11" s="1094" t="s">
        <v>30</v>
      </c>
      <c r="B11" s="168">
        <f>+TableA1!F11</f>
        <v>203.4286798002349</v>
      </c>
      <c r="C11" s="1105">
        <v>114.85727974766515</v>
      </c>
      <c r="D11" s="1125">
        <v>46.245531847405729</v>
      </c>
      <c r="E11" s="1126">
        <v>2.7204297855397659</v>
      </c>
      <c r="F11" s="1125">
        <f t="shared" ref="F11:F43" si="3">D11-E11</f>
        <v>43.525102061865965</v>
      </c>
      <c r="G11" s="1128">
        <v>42.325757298490899</v>
      </c>
      <c r="H11" s="1121">
        <f t="shared" ref="H11:H44" si="4">(G11+D11)/B11</f>
        <v>0.43539234110388381</v>
      </c>
      <c r="I11" s="138">
        <f t="shared" ref="I11:I44" si="5">D11/(D11+C11)</f>
        <v>0.28705601962827981</v>
      </c>
      <c r="J11" s="1122">
        <f t="shared" ref="J11:J44" si="6">1-I11</f>
        <v>0.71294398037172013</v>
      </c>
      <c r="K11" s="1123">
        <f t="shared" ref="K11:K44" si="7">E11/D11</f>
        <v>5.882578655417444E-2</v>
      </c>
      <c r="L11" s="139">
        <f t="shared" ref="L11:L44" si="8">F11/C11</f>
        <v>0.37894944192904551</v>
      </c>
      <c r="M11" s="1104"/>
      <c r="N11"/>
      <c r="O11" s="225">
        <f t="shared" si="1"/>
        <v>1.1090667312885216E-4</v>
      </c>
      <c r="P11" s="225">
        <f t="shared" si="2"/>
        <v>0</v>
      </c>
    </row>
    <row r="12" spans="1:16" ht="14.25" customHeight="1" x14ac:dyDescent="0.2">
      <c r="A12" s="1094" t="s">
        <v>31</v>
      </c>
      <c r="B12" s="168">
        <f>+TableA1!F12</f>
        <v>261.0124226564588</v>
      </c>
      <c r="C12" s="1105">
        <v>154.93041160793604</v>
      </c>
      <c r="D12" s="1125">
        <v>52.287727400269944</v>
      </c>
      <c r="E12" s="1126">
        <v>0.67120718586516714</v>
      </c>
      <c r="F12" s="1125">
        <f t="shared" si="3"/>
        <v>51.61652021440478</v>
      </c>
      <c r="G12" s="1128">
        <v>53.794283648252829</v>
      </c>
      <c r="H12" s="1121">
        <f t="shared" si="4"/>
        <v>0.40642514240843836</v>
      </c>
      <c r="I12" s="138">
        <f t="shared" si="5"/>
        <v>0.25233180671601008</v>
      </c>
      <c r="J12" s="1122">
        <f t="shared" si="6"/>
        <v>0.74766819328398992</v>
      </c>
      <c r="K12" s="1123">
        <f t="shared" si="7"/>
        <v>1.2836801659536306E-2</v>
      </c>
      <c r="L12" s="139">
        <f t="shared" si="8"/>
        <v>0.33315938219427549</v>
      </c>
      <c r="M12" s="1104"/>
      <c r="N12"/>
      <c r="O12" s="225">
        <f t="shared" si="1"/>
        <v>0</v>
      </c>
      <c r="P12" s="225">
        <f t="shared" si="2"/>
        <v>0</v>
      </c>
    </row>
    <row r="13" spans="1:16" x14ac:dyDescent="0.2">
      <c r="A13" s="1094" t="s">
        <v>32</v>
      </c>
      <c r="B13" s="168">
        <f>+TableA1!F13</f>
        <v>861.40154797047046</v>
      </c>
      <c r="C13" s="1105">
        <f>B13-D13-G13</f>
        <v>547.53896668271921</v>
      </c>
      <c r="D13" s="1125">
        <v>153.69893471805912</v>
      </c>
      <c r="E13" s="1126">
        <v>51.226723831950324</v>
      </c>
      <c r="F13" s="1125">
        <f t="shared" si="3"/>
        <v>102.4722108861088</v>
      </c>
      <c r="G13" s="1128">
        <v>160.16364656969208</v>
      </c>
      <c r="H13" s="1121">
        <f t="shared" si="4"/>
        <v>0.36436268547141115</v>
      </c>
      <c r="I13" s="138">
        <f t="shared" si="5"/>
        <v>0.21918229806322975</v>
      </c>
      <c r="J13" s="1122">
        <f t="shared" si="6"/>
        <v>0.78081770193677025</v>
      </c>
      <c r="K13" s="1123">
        <f t="shared" si="7"/>
        <v>0.3332926407454882</v>
      </c>
      <c r="L13" s="139">
        <f t="shared" si="8"/>
        <v>0.18715053561747336</v>
      </c>
      <c r="M13" s="958"/>
      <c r="N13"/>
      <c r="O13" s="225">
        <f t="shared" si="1"/>
        <v>0</v>
      </c>
      <c r="P13" s="225">
        <f t="shared" si="2"/>
        <v>0</v>
      </c>
    </row>
    <row r="14" spans="1:16" x14ac:dyDescent="0.2">
      <c r="A14" s="1094" t="s">
        <v>33</v>
      </c>
      <c r="B14" s="168">
        <f>+TableA1!F14</f>
        <v>137.80198608309047</v>
      </c>
      <c r="C14" s="1105">
        <v>62.198900940934621</v>
      </c>
      <c r="D14" s="1125">
        <f>B14-C14-G14</f>
        <v>56.111266903425999</v>
      </c>
      <c r="E14" s="1126">
        <v>7.9971162734140586</v>
      </c>
      <c r="F14" s="1125">
        <f t="shared" si="3"/>
        <v>48.114150630011942</v>
      </c>
      <c r="G14" s="1128">
        <f>+TableA2!G14*$F$61</f>
        <v>19.491818238729849</v>
      </c>
      <c r="H14" s="1121">
        <f t="shared" si="4"/>
        <v>0.54863567130715707</v>
      </c>
      <c r="I14" s="138">
        <f t="shared" si="5"/>
        <v>0.47427256613515661</v>
      </c>
      <c r="J14" s="1122">
        <f t="shared" si="6"/>
        <v>0.52572743386484344</v>
      </c>
      <c r="K14" s="1123">
        <f t="shared" si="7"/>
        <v>0.1425224685655026</v>
      </c>
      <c r="L14" s="139">
        <f t="shared" si="8"/>
        <v>0.77355306769330456</v>
      </c>
      <c r="M14" s="958"/>
      <c r="N14"/>
      <c r="O14" s="225">
        <f t="shared" si="1"/>
        <v>0</v>
      </c>
      <c r="P14" s="225">
        <f t="shared" si="2"/>
        <v>0</v>
      </c>
    </row>
    <row r="15" spans="1:16" x14ac:dyDescent="0.2">
      <c r="A15" s="1094" t="s">
        <v>34</v>
      </c>
      <c r="B15" s="168">
        <f>+TableA1!F15</f>
        <v>105.46442400528483</v>
      </c>
      <c r="C15" s="1105">
        <v>51.58871893897048</v>
      </c>
      <c r="D15" s="1125">
        <v>29.490035062757251</v>
      </c>
      <c r="E15" s="1126">
        <v>1.1001372020936024</v>
      </c>
      <c r="F15" s="1125">
        <f t="shared" si="3"/>
        <v>28.389897860663648</v>
      </c>
      <c r="G15" s="1128">
        <v>24.385670003557095</v>
      </c>
      <c r="H15" s="1121">
        <f t="shared" si="4"/>
        <v>0.51084245303055587</v>
      </c>
      <c r="I15" s="138">
        <f t="shared" si="5"/>
        <v>0.36372087146441395</v>
      </c>
      <c r="J15" s="1122">
        <f t="shared" si="6"/>
        <v>0.63627912853558599</v>
      </c>
      <c r="K15" s="1123">
        <f t="shared" si="7"/>
        <v>3.7305388065915109E-2</v>
      </c>
      <c r="L15" s="139">
        <f t="shared" si="8"/>
        <v>0.55031213111240329</v>
      </c>
      <c r="M15" s="958"/>
      <c r="N15"/>
      <c r="O15" s="225">
        <f t="shared" si="1"/>
        <v>0</v>
      </c>
      <c r="P15" s="225">
        <f t="shared" si="2"/>
        <v>0</v>
      </c>
    </row>
    <row r="16" spans="1:16" x14ac:dyDescent="0.2">
      <c r="A16" s="1094" t="s">
        <v>35</v>
      </c>
      <c r="B16" s="168">
        <f>+TableA1!F16</f>
        <v>156.43854767909247</v>
      </c>
      <c r="C16" s="1105">
        <v>90.782021808565418</v>
      </c>
      <c r="D16" s="1125">
        <v>35.862416053016176</v>
      </c>
      <c r="E16" s="1126">
        <v>2.7357690883658168</v>
      </c>
      <c r="F16" s="1125">
        <f t="shared" si="3"/>
        <v>33.126646964650362</v>
      </c>
      <c r="G16" s="1128">
        <v>29.793961182876043</v>
      </c>
      <c r="H16" s="1121">
        <f t="shared" si="4"/>
        <v>0.41969436695727519</v>
      </c>
      <c r="I16" s="138">
        <f t="shared" si="5"/>
        <v>0.28317403163187216</v>
      </c>
      <c r="J16" s="1122">
        <f t="shared" si="6"/>
        <v>0.71682596836812784</v>
      </c>
      <c r="K16" s="1123">
        <f t="shared" si="7"/>
        <v>7.6285130492085948E-2</v>
      </c>
      <c r="L16" s="139">
        <f t="shared" si="8"/>
        <v>0.36490316369584108</v>
      </c>
      <c r="M16" s="958"/>
      <c r="N16"/>
      <c r="O16" s="225">
        <f t="shared" si="1"/>
        <v>1.486346348293921E-4</v>
      </c>
      <c r="P16" s="225">
        <f t="shared" si="2"/>
        <v>0</v>
      </c>
    </row>
    <row r="17" spans="1:16" x14ac:dyDescent="0.2">
      <c r="A17" s="1094" t="s">
        <v>36</v>
      </c>
      <c r="B17" s="168">
        <f>+TableA1!F17</f>
        <v>13.555235404959081</v>
      </c>
      <c r="C17" s="1105">
        <v>7.653004073602105</v>
      </c>
      <c r="D17" s="1125">
        <v>3.653820346716441</v>
      </c>
      <c r="E17" s="1126">
        <v>0.13164622102147266</v>
      </c>
      <c r="F17" s="1125">
        <f t="shared" si="3"/>
        <v>3.5221741256949683</v>
      </c>
      <c r="G17" s="1128">
        <v>2.2483000779673912</v>
      </c>
      <c r="H17" s="1121">
        <f t="shared" si="4"/>
        <v>0.43541260984110874</v>
      </c>
      <c r="I17" s="138">
        <f t="shared" si="5"/>
        <v>0.32315177196441358</v>
      </c>
      <c r="J17" s="1122">
        <f t="shared" si="6"/>
        <v>0.67684822803558642</v>
      </c>
      <c r="K17" s="1123">
        <f t="shared" si="7"/>
        <v>3.6029746547275775E-2</v>
      </c>
      <c r="L17" s="139">
        <f t="shared" si="8"/>
        <v>0.46023418932235804</v>
      </c>
      <c r="M17" s="958"/>
      <c r="N17"/>
      <c r="O17" s="225">
        <f t="shared" si="1"/>
        <v>1.109066731439512E-4</v>
      </c>
      <c r="P17" s="225">
        <f t="shared" si="2"/>
        <v>0</v>
      </c>
    </row>
    <row r="18" spans="1:16" x14ac:dyDescent="0.2">
      <c r="A18" s="1094" t="s">
        <v>37</v>
      </c>
      <c r="B18" s="168">
        <f>+TableA1!F18</f>
        <v>121.94743245506339</v>
      </c>
      <c r="C18" s="1105">
        <v>72.22020741766012</v>
      </c>
      <c r="D18" s="1125">
        <v>24.432740093538687</v>
      </c>
      <c r="E18" s="1126">
        <v>2.6063068188749847</v>
      </c>
      <c r="F18" s="1125">
        <f t="shared" si="3"/>
        <v>21.826433274663703</v>
      </c>
      <c r="G18" s="1128">
        <v>25.294484943864585</v>
      </c>
      <c r="H18" s="1121">
        <f t="shared" si="4"/>
        <v>0.40777590832613336</v>
      </c>
      <c r="I18" s="138">
        <f t="shared" si="5"/>
        <v>0.25278836003121125</v>
      </c>
      <c r="J18" s="1122">
        <f t="shared" si="6"/>
        <v>0.7472116399687887</v>
      </c>
      <c r="K18" s="1123">
        <f t="shared" si="7"/>
        <v>0.10667271901951883</v>
      </c>
      <c r="L18" s="139">
        <f t="shared" si="8"/>
        <v>0.30222058417027547</v>
      </c>
      <c r="M18" s="958"/>
      <c r="N18"/>
      <c r="O18" s="225">
        <f t="shared" si="1"/>
        <v>0</v>
      </c>
      <c r="P18" s="225">
        <f t="shared" si="2"/>
        <v>0</v>
      </c>
    </row>
    <row r="19" spans="1:16" x14ac:dyDescent="0.2">
      <c r="A19" s="1094" t="s">
        <v>38</v>
      </c>
      <c r="B19" s="168">
        <f>+TableA1!F19</f>
        <v>1208.8882825990756</v>
      </c>
      <c r="C19" s="1105">
        <v>812.93925974231945</v>
      </c>
      <c r="D19" s="1125">
        <v>149.87040555243172</v>
      </c>
      <c r="E19" s="1126">
        <v>35.820637291925216</v>
      </c>
      <c r="F19" s="1125">
        <f t="shared" si="3"/>
        <v>114.04976826050651</v>
      </c>
      <c r="G19" s="1128">
        <v>246.07861730432458</v>
      </c>
      <c r="H19" s="1121">
        <f t="shared" si="4"/>
        <v>0.32753152508474737</v>
      </c>
      <c r="I19" s="138">
        <f t="shared" si="5"/>
        <v>0.15565943192578038</v>
      </c>
      <c r="J19" s="1122">
        <f t="shared" si="6"/>
        <v>0.84434056807421964</v>
      </c>
      <c r="K19" s="1123">
        <f t="shared" si="7"/>
        <v>0.23901074504928507</v>
      </c>
      <c r="L19" s="139">
        <f t="shared" si="8"/>
        <v>0.14029309926138556</v>
      </c>
      <c r="M19" s="958"/>
      <c r="N19"/>
      <c r="O19" s="225">
        <f t="shared" si="1"/>
        <v>0</v>
      </c>
      <c r="P19" s="225">
        <f t="shared" si="2"/>
        <v>0</v>
      </c>
    </row>
    <row r="20" spans="1:16" x14ac:dyDescent="0.2">
      <c r="A20" s="1094" t="s">
        <v>39</v>
      </c>
      <c r="B20" s="168">
        <f>+TableA1!F20</f>
        <v>1955.0417619077721</v>
      </c>
      <c r="C20" s="1105">
        <v>1145.721386910129</v>
      </c>
      <c r="D20" s="1125">
        <v>477.86247350716854</v>
      </c>
      <c r="E20" s="1126">
        <v>-14.800495531015606</v>
      </c>
      <c r="F20" s="1125">
        <f>D20-E20</f>
        <v>492.66296903818414</v>
      </c>
      <c r="G20" s="1128">
        <v>331.45790149047474</v>
      </c>
      <c r="H20" s="1121">
        <f t="shared" si="4"/>
        <v>0.4139657734000991</v>
      </c>
      <c r="I20" s="138">
        <f t="shared" si="5"/>
        <v>0.29432571064382668</v>
      </c>
      <c r="J20" s="1122">
        <f t="shared" si="6"/>
        <v>0.70567428935617338</v>
      </c>
      <c r="K20" s="1123">
        <f t="shared" si="7"/>
        <v>-3.0972290881915381E-2</v>
      </c>
      <c r="L20" s="139">
        <f t="shared" si="8"/>
        <v>0.43000242001839223</v>
      </c>
      <c r="M20" s="958"/>
      <c r="N20"/>
      <c r="O20" s="225">
        <f t="shared" si="1"/>
        <v>0</v>
      </c>
      <c r="P20" s="225">
        <f t="shared" si="2"/>
        <v>0</v>
      </c>
    </row>
    <row r="21" spans="1:16" x14ac:dyDescent="0.2">
      <c r="A21" s="1094" t="s">
        <v>40</v>
      </c>
      <c r="B21" s="168">
        <f>+TableA1!F21</f>
        <v>57.459378101921011</v>
      </c>
      <c r="C21" s="1105">
        <v>24.420737995184432</v>
      </c>
      <c r="D21" s="1125">
        <v>15.691846030483809</v>
      </c>
      <c r="E21" s="1126">
        <v>1.2365813461630173</v>
      </c>
      <c r="F21" s="1125">
        <f t="shared" si="3"/>
        <v>14.455264684320792</v>
      </c>
      <c r="G21" s="1128">
        <v>17.346794076252777</v>
      </c>
      <c r="H21" s="1121">
        <f t="shared" si="4"/>
        <v>0.57499125813949636</v>
      </c>
      <c r="I21" s="138">
        <f t="shared" si="5"/>
        <v>0.39119509280286008</v>
      </c>
      <c r="J21" s="1122">
        <f t="shared" si="6"/>
        <v>0.60880490719713998</v>
      </c>
      <c r="K21" s="1123">
        <f t="shared" si="7"/>
        <v>7.8804070837858661E-2</v>
      </c>
      <c r="L21" s="139">
        <f t="shared" si="8"/>
        <v>0.59192579221689579</v>
      </c>
      <c r="M21" s="958"/>
      <c r="N21"/>
      <c r="O21" s="225">
        <f t="shared" si="1"/>
        <v>0</v>
      </c>
      <c r="P21" s="225">
        <f t="shared" si="2"/>
        <v>0</v>
      </c>
    </row>
    <row r="22" spans="1:16" x14ac:dyDescent="0.2">
      <c r="A22" s="1094" t="s">
        <v>41</v>
      </c>
      <c r="B22" s="168">
        <f>+TableA1!F22</f>
        <v>63.378081676854649</v>
      </c>
      <c r="C22" s="1105">
        <v>32.21090993708215</v>
      </c>
      <c r="D22" s="1125">
        <v>18.714850581296485</v>
      </c>
      <c r="E22" s="1126">
        <v>0.9780959967064341</v>
      </c>
      <c r="F22" s="1125">
        <f t="shared" si="3"/>
        <v>17.736754584590052</v>
      </c>
      <c r="G22" s="1128">
        <v>12.452321158476011</v>
      </c>
      <c r="H22" s="1121">
        <f t="shared" si="4"/>
        <v>0.4917657795116665</v>
      </c>
      <c r="I22" s="138">
        <f t="shared" si="5"/>
        <v>0.36749280503218928</v>
      </c>
      <c r="J22" s="1122">
        <f t="shared" si="6"/>
        <v>0.63250719496781072</v>
      </c>
      <c r="K22" s="1123">
        <f t="shared" si="7"/>
        <v>5.2263094084434615E-2</v>
      </c>
      <c r="L22" s="139">
        <f t="shared" si="8"/>
        <v>0.55064431955618176</v>
      </c>
      <c r="M22" s="958"/>
      <c r="N22"/>
      <c r="O22" s="225">
        <f t="shared" si="1"/>
        <v>0</v>
      </c>
      <c r="P22" s="225">
        <f t="shared" si="2"/>
        <v>0</v>
      </c>
    </row>
    <row r="23" spans="1:16" x14ac:dyDescent="0.2">
      <c r="A23" s="1094" t="s">
        <v>42</v>
      </c>
      <c r="B23" s="168">
        <f>+TableA1!F23</f>
        <v>7.8626017902984664</v>
      </c>
      <c r="C23" s="1105">
        <f>+B23*$C$61</f>
        <v>4.6522290068914876</v>
      </c>
      <c r="D23" s="1125">
        <f>B23-C23-G23</f>
        <v>1.7974770396604092</v>
      </c>
      <c r="E23" s="1126">
        <f>+B23*$E$61</f>
        <v>0.17686161711807702</v>
      </c>
      <c r="F23" s="1125">
        <f t="shared" si="3"/>
        <v>1.6206154225423322</v>
      </c>
      <c r="G23" s="1128">
        <f>+TableA2!G23*$F$61</f>
        <v>1.4128957437465697</v>
      </c>
      <c r="H23" s="1121">
        <f t="shared" si="4"/>
        <v>0.40830921735960285</v>
      </c>
      <c r="I23" s="138">
        <f t="shared" si="5"/>
        <v>0.27869131192752045</v>
      </c>
      <c r="J23" s="1122">
        <f t="shared" si="6"/>
        <v>0.7213086880724795</v>
      </c>
      <c r="K23" s="1123">
        <f t="shared" si="7"/>
        <v>9.8394367892171153E-2</v>
      </c>
      <c r="L23" s="139">
        <f t="shared" si="8"/>
        <v>0.34835246075411713</v>
      </c>
      <c r="M23" s="958"/>
      <c r="N23"/>
      <c r="O23" s="225">
        <f t="shared" si="1"/>
        <v>0</v>
      </c>
      <c r="P23" s="225">
        <f t="shared" si="2"/>
        <v>0</v>
      </c>
    </row>
    <row r="24" spans="1:16" x14ac:dyDescent="0.2">
      <c r="A24" s="1094" t="s">
        <v>43</v>
      </c>
      <c r="B24" s="168">
        <f>+TableA1!F24</f>
        <v>198.23817651684283</v>
      </c>
      <c r="C24" s="1105">
        <v>54.273519257280192</v>
      </c>
      <c r="D24" s="1125">
        <v>90.893910558204396</v>
      </c>
      <c r="E24" s="1126">
        <v>7.5018704410425672</v>
      </c>
      <c r="F24" s="1125">
        <f t="shared" si="3"/>
        <v>83.392040117161827</v>
      </c>
      <c r="G24" s="1128">
        <v>53.070746701358274</v>
      </c>
      <c r="H24" s="1121">
        <f t="shared" si="4"/>
        <v>0.72622064926697438</v>
      </c>
      <c r="I24" s="138">
        <f t="shared" si="5"/>
        <v>0.62613156872540432</v>
      </c>
      <c r="J24" s="1122">
        <f t="shared" si="6"/>
        <v>0.37386843127459568</v>
      </c>
      <c r="K24" s="1123">
        <f t="shared" si="7"/>
        <v>8.2534356756921626E-2</v>
      </c>
      <c r="L24" s="139">
        <f t="shared" si="8"/>
        <v>1.5365143307152633</v>
      </c>
      <c r="M24" s="958"/>
      <c r="N24"/>
      <c r="O24" s="225">
        <f t="shared" si="1"/>
        <v>0</v>
      </c>
      <c r="P24" s="225">
        <f t="shared" si="2"/>
        <v>0</v>
      </c>
    </row>
    <row r="25" spans="1:16" x14ac:dyDescent="0.2">
      <c r="A25" s="1094" t="s">
        <v>44</v>
      </c>
      <c r="B25" s="168">
        <f>+TableA1!F25</f>
        <v>156.86592670691022</v>
      </c>
      <c r="C25" s="1105">
        <v>88.265835810285637</v>
      </c>
      <c r="D25" s="1125">
        <v>47.457278843727011</v>
      </c>
      <c r="E25" s="1126">
        <f>+B25*$E$61</f>
        <v>3.5285471918903748</v>
      </c>
      <c r="F25" s="1125">
        <f t="shared" si="3"/>
        <v>43.928731651836635</v>
      </c>
      <c r="G25" s="1128">
        <v>21.14281207862545</v>
      </c>
      <c r="H25" s="1121">
        <f t="shared" si="4"/>
        <v>0.43731670964163888</v>
      </c>
      <c r="I25" s="138">
        <f t="shared" si="5"/>
        <v>0.3496624651202988</v>
      </c>
      <c r="J25" s="1122">
        <f t="shared" si="6"/>
        <v>0.65033753487970114</v>
      </c>
      <c r="K25" s="1123">
        <f t="shared" si="7"/>
        <v>7.4352075758696484E-2</v>
      </c>
      <c r="L25" s="139">
        <f t="shared" si="8"/>
        <v>0.49768668985648024</v>
      </c>
      <c r="M25" s="958"/>
      <c r="N25"/>
      <c r="O25" s="225">
        <f t="shared" si="1"/>
        <v>-2.5727882047021922E-8</v>
      </c>
      <c r="P25" s="225">
        <f t="shared" si="2"/>
        <v>0</v>
      </c>
    </row>
    <row r="26" spans="1:16" x14ac:dyDescent="0.2">
      <c r="A26" s="1094" t="s">
        <v>45</v>
      </c>
      <c r="B26" s="168">
        <f>+TableA1!F26</f>
        <v>795.37641170331563</v>
      </c>
      <c r="C26" s="1105">
        <v>455.78683293795103</v>
      </c>
      <c r="D26" s="1125">
        <v>156.92296089763431</v>
      </c>
      <c r="E26" s="1126">
        <v>5.653911290188419</v>
      </c>
      <c r="F26" s="1125">
        <f t="shared" si="3"/>
        <v>151.26904960744588</v>
      </c>
      <c r="G26" s="1128">
        <v>182.66650696105734</v>
      </c>
      <c r="H26" s="1121">
        <f t="shared" si="4"/>
        <v>0.42695441159922448</v>
      </c>
      <c r="I26" s="138">
        <f t="shared" si="5"/>
        <v>0.25611302851108508</v>
      </c>
      <c r="J26" s="1122">
        <f t="shared" si="6"/>
        <v>0.74388697148891492</v>
      </c>
      <c r="K26" s="1123">
        <f t="shared" si="7"/>
        <v>3.6029853488914472E-2</v>
      </c>
      <c r="L26" s="139">
        <f t="shared" si="8"/>
        <v>0.33188551900980218</v>
      </c>
      <c r="M26" s="958"/>
      <c r="N26"/>
      <c r="O26" s="225">
        <f t="shared" si="1"/>
        <v>1.1090667294411105E-4</v>
      </c>
      <c r="P26" s="225">
        <f t="shared" si="2"/>
        <v>0</v>
      </c>
    </row>
    <row r="27" spans="1:16" x14ac:dyDescent="0.2">
      <c r="A27" s="1094" t="s">
        <v>46</v>
      </c>
      <c r="B27" s="168">
        <f>+TableA1!F27</f>
        <v>2443.427856470912</v>
      </c>
      <c r="C27" s="1105">
        <f>B27-D27-G27</f>
        <v>1332.0768877366427</v>
      </c>
      <c r="D27" s="1125">
        <v>471.3276648175048</v>
      </c>
      <c r="E27" s="1126">
        <v>-14.69878357486941</v>
      </c>
      <c r="F27" s="1125">
        <f t="shared" si="3"/>
        <v>486.02644839237422</v>
      </c>
      <c r="G27" s="1128">
        <v>640.0233039167648</v>
      </c>
      <c r="H27" s="1121">
        <f t="shared" si="4"/>
        <v>0.4548327325446041</v>
      </c>
      <c r="I27" s="138">
        <f t="shared" si="5"/>
        <v>0.26135437228988206</v>
      </c>
      <c r="J27" s="1122">
        <f t="shared" si="6"/>
        <v>0.73864562771011788</v>
      </c>
      <c r="K27" s="1123">
        <f t="shared" si="7"/>
        <v>-3.1185913053842679E-2</v>
      </c>
      <c r="L27" s="139">
        <f t="shared" si="8"/>
        <v>0.36486365979834023</v>
      </c>
      <c r="M27" s="958"/>
      <c r="N27"/>
      <c r="O27" s="225">
        <f t="shared" si="1"/>
        <v>0</v>
      </c>
      <c r="P27" s="225">
        <f t="shared" si="2"/>
        <v>0</v>
      </c>
    </row>
    <row r="28" spans="1:16" x14ac:dyDescent="0.2">
      <c r="A28" s="1094" t="s">
        <v>47</v>
      </c>
      <c r="B28" s="168">
        <f>C28+D28+G28</f>
        <v>776.97252593029702</v>
      </c>
      <c r="C28" s="1105">
        <v>385.60359631616285</v>
      </c>
      <c r="D28" s="1125">
        <v>213.34942304674635</v>
      </c>
      <c r="E28" s="1126">
        <v>24.138901965464576</v>
      </c>
      <c r="F28" s="1125">
        <f t="shared" si="3"/>
        <v>189.21052108128177</v>
      </c>
      <c r="G28" s="1128">
        <v>178.01950656738782</v>
      </c>
      <c r="H28" s="1121">
        <f t="shared" si="4"/>
        <v>0.50371012687422134</v>
      </c>
      <c r="I28" s="138">
        <f t="shared" si="5"/>
        <v>0.35620393611786211</v>
      </c>
      <c r="J28" s="1122">
        <f t="shared" si="6"/>
        <v>0.64379606388213784</v>
      </c>
      <c r="K28" s="1123">
        <f t="shared" si="7"/>
        <v>0.11314256969035991</v>
      </c>
      <c r="L28" s="139">
        <f>F28/C28</f>
        <v>0.49068660896550587</v>
      </c>
      <c r="M28" s="958"/>
      <c r="N28"/>
      <c r="O28" s="225">
        <f t="shared" si="1"/>
        <v>0</v>
      </c>
      <c r="P28" s="225">
        <f t="shared" si="2"/>
        <v>0</v>
      </c>
    </row>
    <row r="29" spans="1:16" x14ac:dyDescent="0.2">
      <c r="A29" s="1094" t="s">
        <v>48</v>
      </c>
      <c r="B29" s="168">
        <f>+TableA1!F29</f>
        <v>15.789667712516593</v>
      </c>
      <c r="C29" s="1105">
        <v>8.7351116109305185</v>
      </c>
      <c r="D29" s="1125">
        <v>3.5420341836547964</v>
      </c>
      <c r="E29" s="1126">
        <v>3.3419507818365966E-2</v>
      </c>
      <c r="F29" s="1125">
        <f t="shared" si="3"/>
        <v>3.5086146758364305</v>
      </c>
      <c r="G29" s="1128">
        <v>3.5125230269980117</v>
      </c>
      <c r="H29" s="1121">
        <f t="shared" si="4"/>
        <v>0.44678313306496031</v>
      </c>
      <c r="I29" s="138">
        <f t="shared" si="5"/>
        <v>0.28850632247252184</v>
      </c>
      <c r="J29" s="1122">
        <f t="shared" si="6"/>
        <v>0.71149367752747816</v>
      </c>
      <c r="K29" s="1123">
        <f t="shared" si="7"/>
        <v>9.4351172477625655E-3</v>
      </c>
      <c r="L29" s="139">
        <f t="shared" si="8"/>
        <v>0.4016679845791542</v>
      </c>
      <c r="M29" s="958"/>
      <c r="N29"/>
      <c r="O29" s="225">
        <f t="shared" si="1"/>
        <v>-1.1090667335622584E-6</v>
      </c>
      <c r="P29" s="225">
        <f t="shared" si="2"/>
        <v>0</v>
      </c>
    </row>
    <row r="30" spans="1:16" x14ac:dyDescent="0.2">
      <c r="A30" s="1094" t="s">
        <v>49</v>
      </c>
      <c r="B30" s="168">
        <f>+TableA1!F30</f>
        <v>25.812973640810995</v>
      </c>
      <c r="C30" s="1105">
        <v>16.264463616511343</v>
      </c>
      <c r="D30" s="1125">
        <v>5.7481819623604951</v>
      </c>
      <c r="E30" s="1126">
        <v>2.617619299535634</v>
      </c>
      <c r="F30" s="1125">
        <f t="shared" si="3"/>
        <v>3.1305626628248611</v>
      </c>
      <c r="G30" s="1128">
        <v>3.8004389686123021</v>
      </c>
      <c r="H30" s="1121">
        <f t="shared" si="4"/>
        <v>0.36991557283722531</v>
      </c>
      <c r="I30" s="138">
        <f t="shared" si="5"/>
        <v>0.26113090049828958</v>
      </c>
      <c r="J30" s="1122">
        <f t="shared" si="6"/>
        <v>0.73886909950171042</v>
      </c>
      <c r="K30" s="1123">
        <f t="shared" si="7"/>
        <v>0.45538212197804306</v>
      </c>
      <c r="L30" s="139">
        <f t="shared" si="8"/>
        <v>0.19247869076031376</v>
      </c>
      <c r="M30" s="958"/>
      <c r="N30"/>
      <c r="O30" s="225">
        <f t="shared" si="1"/>
        <v>-1.1090667314483937E-4</v>
      </c>
      <c r="P30" s="225">
        <f t="shared" si="2"/>
        <v>0</v>
      </c>
    </row>
    <row r="31" spans="1:16" x14ac:dyDescent="0.2">
      <c r="A31" s="1094" t="s">
        <v>50</v>
      </c>
      <c r="B31" s="168">
        <f>+TableA1!F31</f>
        <v>539.63509070108421</v>
      </c>
      <c r="C31" s="1105">
        <v>129.55605808508906</v>
      </c>
      <c r="D31" s="1125">
        <v>308.94393689858964</v>
      </c>
      <c r="E31" s="1126">
        <v>32.216456221995756</v>
      </c>
      <c r="F31" s="1125">
        <f t="shared" si="3"/>
        <v>276.72748067659387</v>
      </c>
      <c r="G31" s="1128">
        <v>101.13509571740556</v>
      </c>
      <c r="H31" s="1121">
        <f t="shared" si="4"/>
        <v>0.75991913736230143</v>
      </c>
      <c r="I31" s="138">
        <f t="shared" si="5"/>
        <v>0.70454718456744514</v>
      </c>
      <c r="J31" s="1122">
        <f t="shared" si="6"/>
        <v>0.29545281543255486</v>
      </c>
      <c r="K31" s="1123">
        <f t="shared" si="7"/>
        <v>0.10427929593119271</v>
      </c>
      <c r="L31" s="139">
        <f t="shared" si="8"/>
        <v>2.1359671231649116</v>
      </c>
      <c r="M31" s="958"/>
      <c r="N31"/>
      <c r="O31" s="225">
        <f t="shared" si="1"/>
        <v>0</v>
      </c>
      <c r="P31" s="225">
        <f t="shared" si="2"/>
        <v>0</v>
      </c>
    </row>
    <row r="32" spans="1:16" x14ac:dyDescent="0.2">
      <c r="A32" s="1094" t="s">
        <v>51</v>
      </c>
      <c r="B32" s="168">
        <f>+TableA1!F32</f>
        <v>450.70808365468542</v>
      </c>
      <c r="C32" s="1105">
        <v>260.66839015636731</v>
      </c>
      <c r="D32" s="1125">
        <v>122.74706956842888</v>
      </c>
      <c r="E32" s="1126">
        <v>1.3053715429003647</v>
      </c>
      <c r="F32" s="1125">
        <f t="shared" si="3"/>
        <v>121.44169802552852</v>
      </c>
      <c r="G32" s="1128">
        <v>67.292623929889231</v>
      </c>
      <c r="H32" s="1121">
        <f t="shared" si="4"/>
        <v>0.42164696039469962</v>
      </c>
      <c r="I32" s="138">
        <f t="shared" si="5"/>
        <v>0.32014115877469562</v>
      </c>
      <c r="J32" s="1122">
        <f t="shared" si="6"/>
        <v>0.67985884122530438</v>
      </c>
      <c r="K32" s="1123">
        <f t="shared" si="7"/>
        <v>1.0634645270880767E-2</v>
      </c>
      <c r="L32" s="139">
        <f t="shared" si="8"/>
        <v>0.46588578673723813</v>
      </c>
      <c r="M32" s="958"/>
      <c r="N32"/>
      <c r="O32" s="225">
        <f t="shared" si="1"/>
        <v>0</v>
      </c>
      <c r="P32" s="225">
        <f t="shared" si="2"/>
        <v>0</v>
      </c>
    </row>
    <row r="33" spans="1:19" x14ac:dyDescent="0.2">
      <c r="A33" s="1094" t="s">
        <v>52</v>
      </c>
      <c r="B33" s="168">
        <f>+TableA1!F33</f>
        <v>110.9119754528496</v>
      </c>
      <c r="C33" s="1105">
        <v>54.636935790372917</v>
      </c>
      <c r="D33" s="1125">
        <v>40.519529502395059</v>
      </c>
      <c r="E33" s="1126">
        <f>+B33*$E$61</f>
        <v>2.4948575369231323</v>
      </c>
      <c r="F33" s="1125">
        <f t="shared" si="3"/>
        <v>38.024671965471924</v>
      </c>
      <c r="G33" s="1128">
        <f>+TableA2!G33*$F$61</f>
        <v>15.756207522308994</v>
      </c>
      <c r="H33" s="1121">
        <f t="shared" si="4"/>
        <v>0.50739098997139176</v>
      </c>
      <c r="I33" s="138">
        <f t="shared" si="5"/>
        <v>0.42582003627108878</v>
      </c>
      <c r="J33" s="1122">
        <f t="shared" si="6"/>
        <v>0.57417996372891122</v>
      </c>
      <c r="K33" s="1123">
        <f t="shared" si="7"/>
        <v>6.1571730164726231E-2</v>
      </c>
      <c r="L33" s="139">
        <f t="shared" si="8"/>
        <v>0.69595176624403432</v>
      </c>
      <c r="M33" s="958"/>
      <c r="N33"/>
      <c r="O33" s="225">
        <f t="shared" si="1"/>
        <v>-6.9736222736693776E-4</v>
      </c>
      <c r="P33" s="225">
        <f t="shared" si="2"/>
        <v>0</v>
      </c>
      <c r="Q33" s="958"/>
      <c r="R33" s="958"/>
      <c r="S33" s="958"/>
    </row>
    <row r="34" spans="1:19" x14ac:dyDescent="0.2">
      <c r="A34" s="1094" t="s">
        <v>53</v>
      </c>
      <c r="B34" s="168">
        <f>+TableA1!F34</f>
        <v>227.26315067631907</v>
      </c>
      <c r="C34" s="1105">
        <v>114.60526549115365</v>
      </c>
      <c r="D34" s="1125">
        <v>70.203903267380241</v>
      </c>
      <c r="E34" s="1126">
        <v>9.142791809743029</v>
      </c>
      <c r="F34" s="1125">
        <f t="shared" si="3"/>
        <v>61.06111145763721</v>
      </c>
      <c r="G34" s="1128">
        <v>42.453981917785192</v>
      </c>
      <c r="H34" s="1121">
        <f t="shared" si="4"/>
        <v>0.4957155827942345</v>
      </c>
      <c r="I34" s="138">
        <f t="shared" si="5"/>
        <v>0.37987240426965263</v>
      </c>
      <c r="J34" s="1122">
        <f t="shared" si="6"/>
        <v>0.62012759573034737</v>
      </c>
      <c r="K34" s="1123">
        <f t="shared" si="7"/>
        <v>0.1302319583986887</v>
      </c>
      <c r="L34" s="139">
        <f t="shared" si="8"/>
        <v>0.53279499153859122</v>
      </c>
      <c r="M34" s="958"/>
      <c r="N34"/>
      <c r="O34" s="225">
        <f t="shared" si="1"/>
        <v>0</v>
      </c>
      <c r="P34" s="225">
        <f t="shared" si="2"/>
        <v>0</v>
      </c>
      <c r="Q34" s="958"/>
      <c r="R34" s="958"/>
      <c r="S34" s="958"/>
    </row>
    <row r="35" spans="1:19" x14ac:dyDescent="0.2">
      <c r="A35" s="1094" t="s">
        <v>54</v>
      </c>
      <c r="B35" s="168">
        <f>+TableA1!F35</f>
        <v>219.12534818941506</v>
      </c>
      <c r="C35" s="1105">
        <v>104.39766547287439</v>
      </c>
      <c r="D35" s="1125">
        <v>80.254145112083833</v>
      </c>
      <c r="E35" s="1126">
        <v>2.7316620241411327</v>
      </c>
      <c r="F35" s="1125">
        <f t="shared" si="3"/>
        <v>77.522483087942703</v>
      </c>
      <c r="G35" s="1128">
        <v>34.473537604456823</v>
      </c>
      <c r="H35" s="1121">
        <f t="shared" si="4"/>
        <v>0.52357102299898417</v>
      </c>
      <c r="I35" s="138">
        <f t="shared" si="5"/>
        <v>0.43462419814810821</v>
      </c>
      <c r="J35" s="1122">
        <f t="shared" si="6"/>
        <v>0.56537580185189173</v>
      </c>
      <c r="K35" s="1123">
        <f t="shared" si="7"/>
        <v>3.4037644041015738E-2</v>
      </c>
      <c r="L35" s="139">
        <f t="shared" si="8"/>
        <v>0.74256912486309712</v>
      </c>
      <c r="M35" s="958"/>
      <c r="N35"/>
      <c r="O35" s="225">
        <f t="shared" si="1"/>
        <v>0</v>
      </c>
      <c r="P35" s="225">
        <f t="shared" si="2"/>
        <v>0</v>
      </c>
      <c r="Q35" s="958"/>
      <c r="R35" s="958"/>
      <c r="S35" s="958"/>
    </row>
    <row r="36" spans="1:19" x14ac:dyDescent="0.2">
      <c r="A36" s="1094" t="s">
        <v>55</v>
      </c>
      <c r="B36" s="168">
        <f>+TableA1!F36</f>
        <v>93.25897817245766</v>
      </c>
      <c r="C36" s="1105">
        <v>53.761702594883424</v>
      </c>
      <c r="D36" s="1125">
        <v>23.199564358587892</v>
      </c>
      <c r="E36" s="1126">
        <v>2.0908924549081194</v>
      </c>
      <c r="F36" s="1125">
        <f t="shared" si="3"/>
        <v>21.108671903679774</v>
      </c>
      <c r="G36" s="1128">
        <v>16.297711218986336</v>
      </c>
      <c r="H36" s="1121">
        <f t="shared" si="4"/>
        <v>0.42352249994134106</v>
      </c>
      <c r="I36" s="138">
        <f t="shared" si="5"/>
        <v>0.30144467830309646</v>
      </c>
      <c r="J36" s="1122">
        <f t="shared" si="6"/>
        <v>0.6985553216969036</v>
      </c>
      <c r="K36" s="1123">
        <f t="shared" si="7"/>
        <v>9.0126367141636604E-2</v>
      </c>
      <c r="L36" s="139">
        <f t="shared" si="8"/>
        <v>0.39263399194668946</v>
      </c>
      <c r="M36" s="958"/>
      <c r="N36"/>
      <c r="O36" s="225">
        <f t="shared" si="1"/>
        <v>0</v>
      </c>
      <c r="P36" s="225">
        <f t="shared" si="2"/>
        <v>0</v>
      </c>
      <c r="Q36" s="958"/>
      <c r="R36" s="958"/>
      <c r="S36" s="958"/>
    </row>
    <row r="37" spans="1:19" x14ac:dyDescent="0.2">
      <c r="A37" s="1094" t="s">
        <v>56</v>
      </c>
      <c r="B37" s="168">
        <f>+TableA1!F37</f>
        <v>40.681291929654115</v>
      </c>
      <c r="C37" s="1105">
        <v>20.182797487742043</v>
      </c>
      <c r="D37" s="1125">
        <v>9.9271110253432813</v>
      </c>
      <c r="E37" s="1126">
        <v>0.30852905588476354</v>
      </c>
      <c r="F37" s="1125">
        <f t="shared" si="3"/>
        <v>9.6185819694585177</v>
      </c>
      <c r="G37" s="1128">
        <v>10.571383416568791</v>
      </c>
      <c r="H37" s="1121">
        <f t="shared" si="4"/>
        <v>0.50388012448960484</v>
      </c>
      <c r="I37" s="138">
        <f t="shared" si="5"/>
        <v>0.32969582159404787</v>
      </c>
      <c r="J37" s="1122">
        <f t="shared" si="6"/>
        <v>0.67030417840595213</v>
      </c>
      <c r="K37" s="1123">
        <f t="shared" si="7"/>
        <v>3.107944044315698E-2</v>
      </c>
      <c r="L37" s="139">
        <f t="shared" si="8"/>
        <v>0.47657327857054171</v>
      </c>
      <c r="M37" s="958"/>
      <c r="N37"/>
      <c r="O37" s="225">
        <f t="shared" si="1"/>
        <v>0</v>
      </c>
      <c r="P37" s="225">
        <f t="shared" si="2"/>
        <v>0</v>
      </c>
      <c r="Q37" s="958"/>
      <c r="R37" s="958"/>
      <c r="S37" s="958"/>
    </row>
    <row r="38" spans="1:19" x14ac:dyDescent="0.2">
      <c r="A38" s="1094" t="s">
        <v>57</v>
      </c>
      <c r="B38" s="168">
        <f>+TableA1!F38</f>
        <v>22.013766401710626</v>
      </c>
      <c r="C38" s="1105">
        <v>14.141094249599904</v>
      </c>
      <c r="D38" s="1125">
        <v>2.680655879883636</v>
      </c>
      <c r="E38" s="1126">
        <v>-2.4480429962990798E-3</v>
      </c>
      <c r="F38" s="1125">
        <f t="shared" si="3"/>
        <v>2.6831039228799352</v>
      </c>
      <c r="G38" s="1128">
        <v>5.1920162722270842</v>
      </c>
      <c r="H38" s="1121">
        <f t="shared" si="4"/>
        <v>0.35762495197091571</v>
      </c>
      <c r="I38" s="138">
        <f t="shared" si="5"/>
        <v>0.15935653895995286</v>
      </c>
      <c r="J38" s="1122">
        <f t="shared" si="6"/>
        <v>0.84064346104004717</v>
      </c>
      <c r="K38" s="1123">
        <f t="shared" si="7"/>
        <v>-9.1322538438068607E-4</v>
      </c>
      <c r="L38" s="139">
        <f t="shared" si="8"/>
        <v>0.18973806945356075</v>
      </c>
      <c r="M38" s="958"/>
      <c r="N38"/>
      <c r="O38" s="225">
        <f t="shared" si="1"/>
        <v>0</v>
      </c>
      <c r="P38" s="225">
        <f t="shared" si="2"/>
        <v>0</v>
      </c>
      <c r="Q38" s="958"/>
      <c r="R38" s="958"/>
      <c r="S38" s="958"/>
    </row>
    <row r="39" spans="1:19" x14ac:dyDescent="0.2">
      <c r="A39" s="1094" t="s">
        <v>58</v>
      </c>
      <c r="B39" s="168">
        <f>+TableA1!F39</f>
        <v>641.19251291230933</v>
      </c>
      <c r="C39" s="1105">
        <v>371.05269286947726</v>
      </c>
      <c r="D39" s="1125">
        <v>141.43151679293393</v>
      </c>
      <c r="E39" s="1126">
        <v>15.135433683909326</v>
      </c>
      <c r="F39" s="1125">
        <f t="shared" si="3"/>
        <v>126.29608310902461</v>
      </c>
      <c r="G39" s="1128">
        <v>128.70830324989825</v>
      </c>
      <c r="H39" s="1121">
        <f t="shared" si="4"/>
        <v>0.42130844419229363</v>
      </c>
      <c r="I39" s="138">
        <f t="shared" si="5"/>
        <v>0.2759724380310159</v>
      </c>
      <c r="J39" s="1122">
        <f t="shared" si="6"/>
        <v>0.7240275619689841</v>
      </c>
      <c r="K39" s="1123">
        <f t="shared" si="7"/>
        <v>0.10701598927252337</v>
      </c>
      <c r="L39" s="139">
        <f t="shared" si="8"/>
        <v>0.34037236634056972</v>
      </c>
      <c r="M39" s="958"/>
      <c r="N39"/>
      <c r="O39" s="225">
        <f t="shared" si="1"/>
        <v>0</v>
      </c>
      <c r="P39" s="225">
        <f t="shared" si="2"/>
        <v>0</v>
      </c>
      <c r="Q39" s="958"/>
      <c r="R39" s="958"/>
      <c r="S39" s="958"/>
    </row>
    <row r="40" spans="1:19" x14ac:dyDescent="0.2">
      <c r="A40" s="1094" t="s">
        <v>59</v>
      </c>
      <c r="B40" s="168">
        <f>+TableA1!F40</f>
        <v>269.43791827255546</v>
      </c>
      <c r="C40" s="1105">
        <v>156.5661996473911</v>
      </c>
      <c r="D40" s="1125">
        <v>57.64186900499962</v>
      </c>
      <c r="E40" s="1126">
        <v>1.0889357606148116</v>
      </c>
      <c r="F40" s="1125">
        <f t="shared" si="3"/>
        <v>56.552933244384811</v>
      </c>
      <c r="G40" s="1128">
        <v>55.229849620164742</v>
      </c>
      <c r="H40" s="1121">
        <f t="shared" si="4"/>
        <v>0.41891549396171718</v>
      </c>
      <c r="I40" s="138">
        <f t="shared" si="5"/>
        <v>0.26909289350131255</v>
      </c>
      <c r="J40" s="1122">
        <f t="shared" si="6"/>
        <v>0.7309071064986874</v>
      </c>
      <c r="K40" s="1123">
        <f t="shared" si="7"/>
        <v>1.8891402714932122E-2</v>
      </c>
      <c r="L40" s="139">
        <f t="shared" si="8"/>
        <v>0.36120780456924861</v>
      </c>
      <c r="M40" s="958"/>
      <c r="N40"/>
      <c r="O40" s="225">
        <f t="shared" si="1"/>
        <v>0</v>
      </c>
      <c r="P40" s="225">
        <f t="shared" si="2"/>
        <v>0</v>
      </c>
      <c r="Q40" s="958"/>
      <c r="R40" s="958"/>
      <c r="S40" s="958"/>
    </row>
    <row r="41" spans="1:19" x14ac:dyDescent="0.2">
      <c r="A41" s="1094" t="s">
        <v>60</v>
      </c>
      <c r="B41" s="168">
        <f>+TableA1!F41</f>
        <v>418.96218472725457</v>
      </c>
      <c r="C41" s="1105">
        <v>285.58877294959063</v>
      </c>
      <c r="D41" s="1125">
        <v>43.027734961517311</v>
      </c>
      <c r="E41" s="1126">
        <v>6.1228571636389333</v>
      </c>
      <c r="F41" s="1125">
        <f t="shared" si="3"/>
        <v>36.904877797878378</v>
      </c>
      <c r="G41" s="1128">
        <v>90.345676920055567</v>
      </c>
      <c r="H41" s="1121">
        <f t="shared" si="4"/>
        <v>0.31834236297101443</v>
      </c>
      <c r="I41" s="138">
        <f t="shared" si="5"/>
        <v>0.13093601181215303</v>
      </c>
      <c r="J41" s="1122">
        <f t="shared" si="6"/>
        <v>0.86906398818784703</v>
      </c>
      <c r="K41" s="1123">
        <f t="shared" si="7"/>
        <v>0.14230024353164369</v>
      </c>
      <c r="L41" s="139">
        <f t="shared" si="8"/>
        <v>0.12922383963739523</v>
      </c>
      <c r="M41" s="958"/>
      <c r="N41"/>
      <c r="O41" s="225">
        <f t="shared" si="1"/>
        <v>-1.0390894544798357E-7</v>
      </c>
      <c r="P41" s="225">
        <f t="shared" si="2"/>
        <v>0</v>
      </c>
      <c r="Q41" s="958"/>
      <c r="R41" s="958"/>
      <c r="S41" s="958"/>
    </row>
    <row r="42" spans="1:19" x14ac:dyDescent="0.2">
      <c r="A42" s="1094" t="s">
        <v>61</v>
      </c>
      <c r="B42" s="168">
        <f>+TableA1!F42</f>
        <v>436.54209967687609</v>
      </c>
      <c r="C42" s="1105">
        <v>169.57876977612943</v>
      </c>
      <c r="D42" s="1125">
        <v>208.55153926154807</v>
      </c>
      <c r="E42" s="1126">
        <v>23.184110787868718</v>
      </c>
      <c r="F42" s="1125">
        <f t="shared" si="3"/>
        <v>185.36742847367935</v>
      </c>
      <c r="G42" s="1128">
        <f>+TableA2!G42*$F$61</f>
        <v>58.411790639198593</v>
      </c>
      <c r="H42" s="1121">
        <f t="shared" si="4"/>
        <v>0.61154085733850216</v>
      </c>
      <c r="I42" s="138">
        <f t="shared" si="5"/>
        <v>0.55153351708912512</v>
      </c>
      <c r="J42" s="1122">
        <f t="shared" si="6"/>
        <v>0.44846648291087488</v>
      </c>
      <c r="K42" s="1123">
        <f t="shared" si="7"/>
        <v>0.11116729643885834</v>
      </c>
      <c r="L42" s="139">
        <f t="shared" si="8"/>
        <v>1.0931051612085252</v>
      </c>
      <c r="M42" s="958"/>
      <c r="N42" s="105"/>
      <c r="O42" s="225">
        <f t="shared" si="1"/>
        <v>0</v>
      </c>
      <c r="P42" s="225">
        <f t="shared" si="2"/>
        <v>0</v>
      </c>
      <c r="Q42" s="105"/>
      <c r="R42" s="105"/>
      <c r="S42" s="106"/>
    </row>
    <row r="43" spans="1:19" x14ac:dyDescent="0.2">
      <c r="A43" s="1094" t="s">
        <v>62</v>
      </c>
      <c r="B43" s="168">
        <f>+TableA1!F43</f>
        <v>1440.0278055748649</v>
      </c>
      <c r="C43" s="1105">
        <v>914.7102185487629</v>
      </c>
      <c r="D43" s="1125">
        <v>333.91592633050448</v>
      </c>
      <c r="E43" s="1126">
        <v>18.102651460174624</v>
      </c>
      <c r="F43" s="1125">
        <f t="shared" si="3"/>
        <v>315.81327487032985</v>
      </c>
      <c r="G43" s="1128">
        <v>191.40166069559771</v>
      </c>
      <c r="H43" s="1121">
        <f t="shared" si="4"/>
        <v>0.36479683586136952</v>
      </c>
      <c r="I43" s="138">
        <f t="shared" si="5"/>
        <v>0.26742666545941307</v>
      </c>
      <c r="J43" s="1122">
        <f t="shared" si="6"/>
        <v>0.73257333454058693</v>
      </c>
      <c r="K43" s="1123">
        <f t="shared" si="7"/>
        <v>5.4213201685555178E-2</v>
      </c>
      <c r="L43" s="139">
        <f t="shared" si="8"/>
        <v>0.34526046442488051</v>
      </c>
      <c r="M43" s="958"/>
      <c r="N43"/>
      <c r="O43" s="225">
        <f t="shared" si="1"/>
        <v>0</v>
      </c>
      <c r="P43" s="225">
        <f t="shared" si="2"/>
        <v>0</v>
      </c>
      <c r="Q43" s="958"/>
      <c r="R43" s="958"/>
      <c r="S43" s="958"/>
    </row>
    <row r="44" spans="1:19" x14ac:dyDescent="0.2">
      <c r="A44" s="1094" t="s">
        <v>63</v>
      </c>
      <c r="B44" s="168">
        <f>+TableA1!F44</f>
        <v>8421.3765999999996</v>
      </c>
      <c r="C44" s="1105">
        <v>5360.1337000000003</v>
      </c>
      <c r="D44" s="1125">
        <v>1699.3661999999997</v>
      </c>
      <c r="E44" s="1126">
        <v>303.37359999999995</v>
      </c>
      <c r="F44" s="1125">
        <f>D44-E44</f>
        <v>1395.9925999999998</v>
      </c>
      <c r="G44" s="1128">
        <v>1361.8767</v>
      </c>
      <c r="H44" s="1121">
        <f t="shared" si="4"/>
        <v>0.36350860974439736</v>
      </c>
      <c r="I44" s="138">
        <f t="shared" si="5"/>
        <v>0.24072047936426769</v>
      </c>
      <c r="J44" s="1122">
        <f t="shared" si="6"/>
        <v>0.75927952063573234</v>
      </c>
      <c r="K44" s="1123">
        <f t="shared" si="7"/>
        <v>0.17852161588243901</v>
      </c>
      <c r="L44" s="139">
        <f t="shared" si="8"/>
        <v>0.26043988417676966</v>
      </c>
      <c r="M44" s="958"/>
      <c r="N44" s="85"/>
      <c r="O44" s="225">
        <f t="shared" si="1"/>
        <v>0</v>
      </c>
      <c r="P44" s="225">
        <f t="shared" si="2"/>
        <v>0</v>
      </c>
      <c r="Q44" s="958"/>
      <c r="R44" s="958"/>
      <c r="S44" s="958"/>
    </row>
    <row r="45" spans="1:19" ht="40" customHeight="1" x14ac:dyDescent="0.2">
      <c r="A45" s="140" t="s">
        <v>64</v>
      </c>
      <c r="B45" s="232">
        <f t="shared" ref="B45:G45" si="9">SUM(B46:B52)</f>
        <v>8417.5286702232133</v>
      </c>
      <c r="C45" s="1116">
        <f t="shared" si="9"/>
        <v>4264.816588853183</v>
      </c>
      <c r="D45" s="223">
        <f t="shared" si="9"/>
        <v>2892.6736026455983</v>
      </c>
      <c r="E45" s="223">
        <f t="shared" si="9"/>
        <v>35.963796296323743</v>
      </c>
      <c r="F45" s="223">
        <f t="shared" si="9"/>
        <v>2856.709806349274</v>
      </c>
      <c r="G45" s="1129">
        <f t="shared" si="9"/>
        <v>1260.0384774477184</v>
      </c>
      <c r="H45" s="1130">
        <f>(G45+D45)/B45</f>
        <v>0.49334100812551157</v>
      </c>
      <c r="I45" s="215">
        <f>D45/(D45+C45)</f>
        <v>0.40414635930361942</v>
      </c>
      <c r="J45" s="224">
        <f>1-I45</f>
        <v>0.59585364069638058</v>
      </c>
      <c r="K45" s="215">
        <f>E45/D45</f>
        <v>1.2432718390153582E-2</v>
      </c>
      <c r="L45" s="216">
        <f>F45/C45</f>
        <v>0.66983180796467701</v>
      </c>
      <c r="M45" s="958"/>
      <c r="N45" s="958"/>
      <c r="O45" s="225">
        <f t="shared" si="1"/>
        <v>1.2767136468028184E-6</v>
      </c>
      <c r="P45" s="225">
        <f t="shared" si="2"/>
        <v>0</v>
      </c>
      <c r="Q45" s="958"/>
      <c r="R45" s="958"/>
      <c r="S45" s="958"/>
    </row>
    <row r="46" spans="1:19" x14ac:dyDescent="0.2">
      <c r="A46" s="1094" t="s">
        <v>65</v>
      </c>
      <c r="B46" s="168">
        <f>+TableA1!F46</f>
        <v>987.70778556038204</v>
      </c>
      <c r="C46" s="1105">
        <v>629.29120526045574</v>
      </c>
      <c r="D46" s="1125">
        <f>B46-C46-G46</f>
        <v>195.49770050907927</v>
      </c>
      <c r="E46" s="1126">
        <v>1.3288631111688225</v>
      </c>
      <c r="F46" s="1125">
        <f>D46-E46</f>
        <v>194.16883739791044</v>
      </c>
      <c r="G46" s="1128">
        <f>+TableA2!G46*$F$62</f>
        <v>162.91887979084703</v>
      </c>
      <c r="H46" s="1121">
        <f t="shared" ref="H46:H52" si="10">(G46+D46)/B46</f>
        <v>0.36287714396882725</v>
      </c>
      <c r="I46" s="138">
        <f t="shared" ref="I46:I52" si="11">D46/(D46+C46)</f>
        <v>0.2370275583746829</v>
      </c>
      <c r="J46" s="1122">
        <f t="shared" ref="J46:J52" si="12">1-I46</f>
        <v>0.76297244162531708</v>
      </c>
      <c r="K46" s="1123">
        <f t="shared" ref="K46:K52" si="13">E46/D46</f>
        <v>6.7973337165012212E-3</v>
      </c>
      <c r="L46" s="139">
        <f t="shared" ref="L46:L51" si="14">F46/C46</f>
        <v>0.30855164632015852</v>
      </c>
      <c r="M46" s="958"/>
      <c r="N46" s="958"/>
      <c r="O46" s="225">
        <f t="shared" si="1"/>
        <v>0</v>
      </c>
      <c r="P46" s="225">
        <f t="shared" si="2"/>
        <v>0</v>
      </c>
      <c r="Q46" s="958"/>
      <c r="R46" s="958"/>
      <c r="S46" s="958"/>
    </row>
    <row r="47" spans="1:19" x14ac:dyDescent="0.2">
      <c r="A47" s="1094" t="s">
        <v>66</v>
      </c>
      <c r="B47" s="168">
        <f>+TableA1!F47</f>
        <v>5523.3790716286385</v>
      </c>
      <c r="C47" s="1105">
        <v>2772.8839473044236</v>
      </c>
      <c r="D47" s="1125">
        <f>B47-C47-G47</f>
        <v>1906.3654101597481</v>
      </c>
      <c r="E47" s="1126">
        <v>22.671035034582214</v>
      </c>
      <c r="F47" s="1125">
        <f t="shared" ref="F47:F52" si="15">D47-E47</f>
        <v>1883.6943751251658</v>
      </c>
      <c r="G47" s="1128">
        <v>844.12971416446669</v>
      </c>
      <c r="H47" s="1121">
        <f t="shared" si="10"/>
        <v>0.49797326756955618</v>
      </c>
      <c r="I47" s="138">
        <f t="shared" si="11"/>
        <v>0.40740838209846242</v>
      </c>
      <c r="J47" s="1122">
        <f t="shared" si="12"/>
        <v>0.59259161790153758</v>
      </c>
      <c r="K47" s="1123">
        <f t="shared" si="13"/>
        <v>1.1892281990514319E-2</v>
      </c>
      <c r="L47" s="139">
        <f t="shared" si="14"/>
        <v>0.67932679871306667</v>
      </c>
      <c r="M47" s="958"/>
      <c r="N47" s="958"/>
      <c r="O47" s="225">
        <f t="shared" si="1"/>
        <v>0</v>
      </c>
      <c r="P47" s="225">
        <f t="shared" si="2"/>
        <v>0</v>
      </c>
      <c r="Q47" s="958"/>
      <c r="R47" s="958"/>
      <c r="S47" s="958"/>
    </row>
    <row r="48" spans="1:19" x14ac:dyDescent="0.2">
      <c r="A48" s="1094" t="s">
        <v>67</v>
      </c>
      <c r="B48" s="168">
        <f>+TableA1!F48</f>
        <v>97.612859020116034</v>
      </c>
      <c r="C48" s="1105">
        <v>49.734472420009197</v>
      </c>
      <c r="D48" s="1125">
        <f>B48-C48-G48</f>
        <v>33.300141909710767</v>
      </c>
      <c r="E48" s="1126">
        <v>6.2898428593306139</v>
      </c>
      <c r="F48" s="1125">
        <f t="shared" si="15"/>
        <v>27.010299050380155</v>
      </c>
      <c r="G48" s="1128">
        <f>+TableA2!G48*$F$62</f>
        <v>14.578244690396067</v>
      </c>
      <c r="H48" s="1121">
        <f t="shared" si="10"/>
        <v>0.49049261624680074</v>
      </c>
      <c r="I48" s="138">
        <f t="shared" si="11"/>
        <v>0.40103927956454533</v>
      </c>
      <c r="J48" s="1122">
        <f t="shared" si="12"/>
        <v>0.59896072043545467</v>
      </c>
      <c r="K48" s="1123">
        <f t="shared" si="13"/>
        <v>0.1888833650134209</v>
      </c>
      <c r="L48" s="139">
        <f t="shared" si="14"/>
        <v>0.54309008894831179</v>
      </c>
      <c r="M48" s="958"/>
      <c r="N48" s="958"/>
      <c r="O48" s="225">
        <f t="shared" si="1"/>
        <v>0</v>
      </c>
      <c r="P48" s="225">
        <f t="shared" si="2"/>
        <v>0</v>
      </c>
      <c r="Q48" s="958"/>
      <c r="R48" s="958"/>
      <c r="S48" s="958"/>
    </row>
    <row r="49" spans="1:16" x14ac:dyDescent="0.2">
      <c r="A49" s="1094" t="s">
        <v>68</v>
      </c>
      <c r="B49" s="168">
        <f>+TableA1!F49</f>
        <v>27.462161051015293</v>
      </c>
      <c r="C49" s="1105">
        <v>14.181859728130364</v>
      </c>
      <c r="D49" s="1125">
        <v>10.859412357061322</v>
      </c>
      <c r="E49" s="1126">
        <v>-5.3605354865875379E-2</v>
      </c>
      <c r="F49" s="1125">
        <f t="shared" si="15"/>
        <v>10.913017711927196</v>
      </c>
      <c r="G49" s="1128">
        <v>2.4208889658236061</v>
      </c>
      <c r="H49" s="1121">
        <f>(G49+D49)/B49</f>
        <v>0.48358544319271429</v>
      </c>
      <c r="I49" s="138">
        <f>D49/(D49+C49)</f>
        <v>0.43366057124083179</v>
      </c>
      <c r="J49" s="1122">
        <f>1-I49</f>
        <v>0.56633942875916821</v>
      </c>
      <c r="K49" s="1123">
        <f>E49/D49</f>
        <v>-4.9363034668278849E-3</v>
      </c>
      <c r="L49" s="139">
        <f>F49/C49</f>
        <v>0.76950540487160013</v>
      </c>
      <c r="M49" s="958"/>
      <c r="N49" s="958"/>
      <c r="O49" s="225">
        <f t="shared" si="1"/>
        <v>0</v>
      </c>
      <c r="P49" s="225">
        <f t="shared" si="2"/>
        <v>0</v>
      </c>
    </row>
    <row r="50" spans="1:16" x14ac:dyDescent="0.2">
      <c r="A50" s="1094" t="s">
        <v>69</v>
      </c>
      <c r="B50" s="168">
        <f>+TableA1!F50</f>
        <v>806.65022403685839</v>
      </c>
      <c r="C50" s="1105">
        <v>282.3499783576317</v>
      </c>
      <c r="D50" s="1125">
        <f>B50-C50-G50</f>
        <v>400.1431351791926</v>
      </c>
      <c r="E50" s="1126">
        <f>+B50*$E$62</f>
        <v>3.4464039834242941</v>
      </c>
      <c r="F50" s="1125">
        <f t="shared" si="15"/>
        <v>396.69673119576828</v>
      </c>
      <c r="G50" s="1128">
        <v>124.15711050003411</v>
      </c>
      <c r="H50" s="1121">
        <f t="shared" si="10"/>
        <v>0.64997223090744438</v>
      </c>
      <c r="I50" s="138">
        <f t="shared" si="11"/>
        <v>0.58629622371655288</v>
      </c>
      <c r="J50" s="1122">
        <f t="shared" si="12"/>
        <v>0.41370377628344712</v>
      </c>
      <c r="K50" s="1123">
        <f t="shared" si="13"/>
        <v>8.6129279261055458E-3</v>
      </c>
      <c r="L50" s="139">
        <f t="shared" si="14"/>
        <v>1.4049823325762825</v>
      </c>
      <c r="M50" s="958"/>
      <c r="N50" s="958"/>
      <c r="O50" s="225">
        <f t="shared" si="1"/>
        <v>0</v>
      </c>
      <c r="P50" s="225">
        <f t="shared" si="2"/>
        <v>0</v>
      </c>
    </row>
    <row r="51" spans="1:16" x14ac:dyDescent="0.2">
      <c r="A51" s="1094" t="s">
        <v>70</v>
      </c>
      <c r="B51" s="168">
        <f>+TableA1!F51</f>
        <v>810.92385311543865</v>
      </c>
      <c r="C51" s="1105">
        <v>445.85926516693706</v>
      </c>
      <c r="D51" s="1125">
        <v>282.42814261790539</v>
      </c>
      <c r="E51" s="1126">
        <f>+B51*$E$62</f>
        <v>3.4646630154572708</v>
      </c>
      <c r="F51" s="1125">
        <f t="shared" si="15"/>
        <v>278.9634796024481</v>
      </c>
      <c r="G51" s="1128">
        <v>82.636444053881306</v>
      </c>
      <c r="H51" s="1121">
        <f t="shared" si="10"/>
        <v>0.45018355949115002</v>
      </c>
      <c r="I51" s="138">
        <f t="shared" si="11"/>
        <v>0.38779764636730196</v>
      </c>
      <c r="J51" s="1122">
        <f t="shared" si="12"/>
        <v>0.61220235363269804</v>
      </c>
      <c r="K51" s="1123">
        <f t="shared" si="13"/>
        <v>1.226741422912866E-2</v>
      </c>
      <c r="L51" s="139">
        <f t="shared" si="14"/>
        <v>0.62567608525080121</v>
      </c>
      <c r="M51" s="958"/>
      <c r="N51" s="958"/>
      <c r="O51" s="225">
        <f t="shared" si="1"/>
        <v>1.2767148831471786E-6</v>
      </c>
      <c r="P51" s="225">
        <f t="shared" si="2"/>
        <v>0</v>
      </c>
    </row>
    <row r="52" spans="1:16" ht="17" thickBot="1" x14ac:dyDescent="0.25">
      <c r="A52" s="1131" t="s">
        <v>71</v>
      </c>
      <c r="B52" s="165">
        <f>+TableA1!F52</f>
        <v>163.79271581076557</v>
      </c>
      <c r="C52" s="1132">
        <v>70.515860615595457</v>
      </c>
      <c r="D52" s="1133">
        <f>B52-C52-G52</f>
        <v>64.07965991290078</v>
      </c>
      <c r="E52" s="1134">
        <v>-1.1834063527735983</v>
      </c>
      <c r="F52" s="1133">
        <f t="shared" si="15"/>
        <v>65.263066265674382</v>
      </c>
      <c r="G52" s="1135">
        <v>29.197195282269334</v>
      </c>
      <c r="H52" s="1136">
        <f t="shared" si="10"/>
        <v>0.56948109525783519</v>
      </c>
      <c r="I52" s="141">
        <f t="shared" si="11"/>
        <v>0.47609058355945794</v>
      </c>
      <c r="J52" s="1137">
        <f t="shared" si="12"/>
        <v>0.52390941644054201</v>
      </c>
      <c r="K52" s="1138">
        <f t="shared" si="13"/>
        <v>-1.8467737724921197E-2</v>
      </c>
      <c r="L52" s="142">
        <f>F52/C52</f>
        <v>0.92550903720007416</v>
      </c>
      <c r="M52" s="958"/>
      <c r="N52" s="958"/>
      <c r="O52" s="225">
        <f t="shared" si="1"/>
        <v>0</v>
      </c>
      <c r="P52" s="225">
        <f t="shared" si="2"/>
        <v>0</v>
      </c>
    </row>
    <row r="53" spans="1:16" ht="17" thickTop="1" x14ac:dyDescent="0.2">
      <c r="A53" s="958"/>
      <c r="B53" s="1031"/>
      <c r="C53" s="1031"/>
      <c r="D53" s="1139"/>
      <c r="E53" s="1139"/>
      <c r="F53" s="1139"/>
      <c r="G53" s="1139"/>
      <c r="H53" s="958"/>
      <c r="I53" s="958"/>
      <c r="J53" s="958"/>
      <c r="K53" s="958"/>
      <c r="L53" s="958"/>
      <c r="M53" s="958"/>
      <c r="N53" s="958"/>
      <c r="P53" s="958"/>
    </row>
    <row r="54" spans="1:16" s="2" customFormat="1" ht="17" thickBot="1" x14ac:dyDescent="0.25">
      <c r="B54" s="958"/>
      <c r="C54" s="958"/>
      <c r="D54" s="958"/>
      <c r="E54" s="958"/>
      <c r="F54" s="958"/>
      <c r="G54" s="958"/>
      <c r="H54" s="958"/>
      <c r="I54" s="958"/>
      <c r="J54" s="958"/>
      <c r="K54" s="958"/>
      <c r="L54" s="958"/>
      <c r="M54" s="958"/>
    </row>
    <row r="55" spans="1:16" s="2" customFormat="1" ht="47.25" customHeight="1" thickBot="1" x14ac:dyDescent="0.25">
      <c r="A55" s="1978" t="s">
        <v>138</v>
      </c>
      <c r="B55" s="1962"/>
      <c r="C55" s="1962"/>
      <c r="D55" s="1962"/>
      <c r="E55" s="1962"/>
      <c r="F55" s="1962"/>
      <c r="G55" s="1962"/>
      <c r="H55" s="1962"/>
      <c r="I55" s="1962"/>
      <c r="J55" s="1962"/>
      <c r="K55" s="1962"/>
      <c r="L55" s="1963"/>
      <c r="M55" s="958"/>
    </row>
    <row r="56" spans="1:16" s="2" customFormat="1" x14ac:dyDescent="0.2">
      <c r="A56" s="958"/>
      <c r="B56" s="958"/>
      <c r="C56" s="958"/>
      <c r="D56" s="958"/>
      <c r="E56" s="958"/>
      <c r="F56" s="958"/>
      <c r="G56" s="958"/>
      <c r="H56" s="958"/>
      <c r="I56" s="958"/>
      <c r="J56" s="958"/>
      <c r="K56" s="958"/>
      <c r="L56" s="958"/>
      <c r="M56" s="958"/>
    </row>
    <row r="57" spans="1:16" s="2" customFormat="1" x14ac:dyDescent="0.2">
      <c r="A57" s="958"/>
      <c r="B57" s="958"/>
      <c r="C57" s="958"/>
      <c r="D57" s="958"/>
      <c r="E57" s="958"/>
      <c r="F57" s="958"/>
      <c r="G57" s="958"/>
      <c r="H57" s="958"/>
      <c r="I57" s="958"/>
      <c r="J57" s="958"/>
      <c r="K57" s="958"/>
      <c r="L57" s="958"/>
      <c r="M57" s="958"/>
    </row>
    <row r="58" spans="1:16" s="2" customFormat="1" x14ac:dyDescent="0.2">
      <c r="A58" s="958"/>
      <c r="B58" s="958"/>
      <c r="C58" s="958"/>
      <c r="D58" s="958"/>
      <c r="E58" s="958"/>
      <c r="F58" s="958"/>
      <c r="G58" s="958"/>
      <c r="H58" s="958"/>
      <c r="I58" s="958"/>
      <c r="J58" s="958"/>
      <c r="K58" s="958"/>
      <c r="L58" s="958"/>
      <c r="M58" s="958"/>
    </row>
    <row r="59" spans="1:16" s="2" customFormat="1" x14ac:dyDescent="0.2">
      <c r="A59" s="958"/>
      <c r="B59" s="128" t="s">
        <v>112</v>
      </c>
      <c r="C59" s="1976" t="s">
        <v>139</v>
      </c>
      <c r="D59" s="1976"/>
      <c r="E59" s="1976"/>
      <c r="F59" s="128" t="s">
        <v>140</v>
      </c>
      <c r="G59" s="128"/>
      <c r="H59" s="958"/>
      <c r="I59" s="958"/>
      <c r="J59" s="958"/>
      <c r="K59" s="958"/>
      <c r="L59" s="958"/>
      <c r="M59" s="958"/>
    </row>
    <row r="60" spans="1:16" x14ac:dyDescent="0.2">
      <c r="A60" s="958"/>
      <c r="B60" s="1773"/>
      <c r="C60" s="128" t="s">
        <v>125</v>
      </c>
      <c r="D60" s="128" t="s">
        <v>141</v>
      </c>
      <c r="E60" s="128" t="s">
        <v>127</v>
      </c>
      <c r="F60" s="128" t="s">
        <v>134</v>
      </c>
      <c r="G60" s="128"/>
      <c r="H60" s="1007"/>
      <c r="I60" s="958"/>
      <c r="J60" s="958"/>
      <c r="K60" s="958"/>
      <c r="L60" s="958"/>
      <c r="M60" s="958"/>
      <c r="N60" s="958"/>
      <c r="P60" s="958"/>
    </row>
    <row r="61" spans="1:16" s="2" customFormat="1" x14ac:dyDescent="0.2">
      <c r="A61" s="958"/>
      <c r="B61" s="128" t="s">
        <v>115</v>
      </c>
      <c r="C61" s="130">
        <f>(SUM(C11:C12)+SUM(C14:C22)+SUM(C24:C26)+SUM(C28:C44))/(SUM(B11:B12)+SUM(B14:B22)+SUM(B24:B26)+SUM(B28:B44))</f>
        <v>0.59169078264039721</v>
      </c>
      <c r="D61" s="132">
        <f>+TableA2!D101</f>
        <v>0.17664274579679837</v>
      </c>
      <c r="E61" s="130">
        <f>(SUM(E11:E12,E26,E27:E32)+SUM(E14:E22)+SUM(E24)+SUM(E34:E44))/(SUM(D11:D12)+SUM(B14:B22)+SUM(B24)+SUM(B34:B44,B26,B27:B32))</f>
        <v>2.2494032107324018E-2</v>
      </c>
      <c r="F61" s="130">
        <f>(SUM(G11:G13,G25:G26,G27:G32)+SUM(G15:G22)+SUM(G24)+SUM(G34:G41,G43:G44))/(SUM(TableA2!G11:G13,TableA2!G25:G26,TableA2!G27:G32)+SUM(TableA2!G15:G22)+SUM(TableA2!G24)+SUM(TableA2!G34:G41,TableA2!G43:G44))</f>
        <v>0.93076135951684424</v>
      </c>
      <c r="G61" s="129"/>
      <c r="H61" s="108"/>
      <c r="I61" s="958"/>
      <c r="J61" s="958"/>
      <c r="L61" s="958"/>
      <c r="M61" s="958"/>
    </row>
    <row r="62" spans="1:16" x14ac:dyDescent="0.2">
      <c r="A62" s="958"/>
      <c r="B62" s="128" t="s">
        <v>117</v>
      </c>
      <c r="C62" s="130"/>
      <c r="D62" s="130">
        <f>+TableA2!D103</f>
        <v>0</v>
      </c>
      <c r="E62" s="130">
        <f>+SUM(E46:E49,E52)/SUM(B46:B49,B52)</f>
        <v>4.2724887202991923E-3</v>
      </c>
      <c r="F62" s="132">
        <f>+SUM(G47,G49:G52)/SUM(TableA2!G47,TableA2!G49:G52)</f>
        <v>0.84434226565789416</v>
      </c>
      <c r="G62" s="128"/>
      <c r="H62" s="958"/>
      <c r="I62" s="958"/>
      <c r="J62" s="958"/>
      <c r="K62" s="958"/>
      <c r="L62" s="958"/>
      <c r="M62" s="958"/>
      <c r="N62" s="958"/>
      <c r="P62" s="958"/>
    </row>
    <row r="63" spans="1:16" x14ac:dyDescent="0.2">
      <c r="A63" s="958"/>
      <c r="B63" s="128"/>
      <c r="C63" s="131"/>
      <c r="D63" s="132"/>
      <c r="E63" s="128"/>
      <c r="F63" s="128"/>
      <c r="G63" s="128"/>
      <c r="H63" s="958"/>
      <c r="I63" s="958"/>
      <c r="J63" s="958"/>
      <c r="K63" s="958"/>
      <c r="L63" s="958"/>
      <c r="M63" s="958"/>
      <c r="N63" s="958"/>
      <c r="P63" s="958"/>
    </row>
    <row r="64" spans="1:16" x14ac:dyDescent="0.2">
      <c r="A64" s="958"/>
      <c r="B64" s="128"/>
      <c r="C64" s="128"/>
      <c r="D64" s="128"/>
      <c r="E64" s="128"/>
      <c r="F64" s="128"/>
      <c r="G64" s="128"/>
      <c r="H64" s="958"/>
      <c r="I64" s="958"/>
      <c r="J64" s="958"/>
      <c r="K64" s="958"/>
      <c r="L64" s="958"/>
      <c r="M64" s="958"/>
      <c r="N64" s="958"/>
      <c r="P64" s="958"/>
    </row>
  </sheetData>
  <mergeCells count="13">
    <mergeCell ref="C59:E59"/>
    <mergeCell ref="G7:G8"/>
    <mergeCell ref="A55:L55"/>
    <mergeCell ref="A3:L3"/>
    <mergeCell ref="B6:G6"/>
    <mergeCell ref="H6:H8"/>
    <mergeCell ref="I6:I8"/>
    <mergeCell ref="J6:J8"/>
    <mergeCell ref="K6:K8"/>
    <mergeCell ref="L6:L8"/>
    <mergeCell ref="B7:B8"/>
    <mergeCell ref="C7:C8"/>
    <mergeCell ref="D7:D8"/>
  </mergeCells>
  <pageMargins left="0.75" right="0.75" top="1" bottom="1" header="0.5" footer="0.5"/>
  <pageSetup scale="47" orientation="portrait" horizontalDpi="4294967292" verticalDpi="429496729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Z97"/>
  <sheetViews>
    <sheetView workbookViewId="0">
      <pane xSplit="1" ySplit="8" topLeftCell="B82" activePane="bottomRight" state="frozen"/>
      <selection pane="topRight" activeCell="B1" sqref="B1"/>
      <selection pane="bottomLeft" activeCell="A9" sqref="A9"/>
      <selection pane="bottomRight" activeCell="A94" sqref="A94:P94"/>
    </sheetView>
  </sheetViews>
  <sheetFormatPr baseColWidth="10" defaultColWidth="10.83203125" defaultRowHeight="16" x14ac:dyDescent="0.2"/>
  <cols>
    <col min="1" max="1" width="19" style="1" customWidth="1"/>
    <col min="2" max="2" width="14.83203125" style="1" customWidth="1"/>
    <col min="3" max="3" width="13.5" style="1" customWidth="1"/>
    <col min="4" max="4" width="11.33203125" style="1" customWidth="1"/>
    <col min="5" max="5" width="11.6640625" style="1" customWidth="1"/>
    <col min="6" max="16" width="11.33203125" style="1" customWidth="1"/>
    <col min="17" max="16384" width="10.83203125" style="1"/>
  </cols>
  <sheetData>
    <row r="1" spans="1:20" x14ac:dyDescent="0.2">
      <c r="A1" s="958"/>
      <c r="B1" s="958"/>
      <c r="C1" s="958"/>
      <c r="D1" s="958"/>
      <c r="E1" s="958"/>
      <c r="F1" s="958"/>
      <c r="G1"/>
      <c r="H1" s="958"/>
      <c r="I1" s="958"/>
      <c r="J1" s="958"/>
      <c r="K1" s="958"/>
      <c r="L1" s="958"/>
      <c r="M1" s="958"/>
      <c r="N1" s="958"/>
      <c r="O1" s="1004"/>
      <c r="P1" s="958"/>
      <c r="Q1" s="958"/>
      <c r="R1" s="958"/>
      <c r="S1" s="958"/>
      <c r="T1" s="958"/>
    </row>
    <row r="2" spans="1:20" ht="17" thickBot="1" x14ac:dyDescent="0.25">
      <c r="A2" s="958"/>
      <c r="B2" s="958"/>
      <c r="C2" s="958"/>
      <c r="D2" s="958"/>
      <c r="E2" s="958"/>
      <c r="F2" s="958"/>
      <c r="G2" s="958"/>
      <c r="H2" s="958"/>
      <c r="I2" s="958"/>
      <c r="J2" s="958"/>
      <c r="K2" s="958"/>
      <c r="L2" s="958"/>
      <c r="M2" s="958"/>
      <c r="N2" s="958"/>
      <c r="O2" s="958"/>
      <c r="P2" s="958"/>
      <c r="Q2" s="958"/>
      <c r="R2" s="958"/>
      <c r="S2" s="958"/>
      <c r="T2" s="958"/>
    </row>
    <row r="3" spans="1:20" ht="32.25" customHeight="1" thickTop="1" x14ac:dyDescent="0.2">
      <c r="A3" s="1934" t="s">
        <v>707</v>
      </c>
      <c r="B3" s="1935"/>
      <c r="C3" s="1935"/>
      <c r="D3" s="1935"/>
      <c r="E3" s="1935"/>
      <c r="F3" s="1935"/>
      <c r="G3" s="1935"/>
      <c r="H3" s="1935"/>
      <c r="I3" s="1935"/>
      <c r="J3" s="1935"/>
      <c r="K3" s="1935"/>
      <c r="L3" s="1935"/>
      <c r="M3" s="1935"/>
      <c r="N3" s="1935"/>
      <c r="O3" s="1935"/>
      <c r="P3" s="1936"/>
      <c r="Q3" s="958"/>
      <c r="R3" s="958"/>
      <c r="S3" s="958"/>
      <c r="T3" s="958"/>
    </row>
    <row r="4" spans="1:20" ht="12" customHeight="1" x14ac:dyDescent="0.2">
      <c r="A4" s="4"/>
      <c r="B4" s="620"/>
      <c r="C4" s="620"/>
      <c r="D4" s="620"/>
      <c r="E4" s="620"/>
      <c r="F4" s="620"/>
      <c r="G4" s="620"/>
      <c r="H4" s="620"/>
      <c r="I4" s="620"/>
      <c r="J4" s="620"/>
      <c r="K4" s="620"/>
      <c r="L4" s="620"/>
      <c r="M4" s="620"/>
      <c r="N4" s="620"/>
      <c r="O4" s="620"/>
      <c r="P4" s="5"/>
      <c r="Q4" s="958"/>
      <c r="R4" s="958"/>
      <c r="S4" s="958"/>
      <c r="T4" s="1023"/>
    </row>
    <row r="5" spans="1:20" ht="17" thickBot="1" x14ac:dyDescent="0.25">
      <c r="A5" s="1080"/>
      <c r="B5" s="126" t="s">
        <v>1</v>
      </c>
      <c r="C5" s="126" t="s">
        <v>2</v>
      </c>
      <c r="D5" s="126" t="s">
        <v>3</v>
      </c>
      <c r="E5" s="126" t="s">
        <v>4</v>
      </c>
      <c r="F5" s="126" t="s">
        <v>5</v>
      </c>
      <c r="G5" s="126" t="s">
        <v>6</v>
      </c>
      <c r="H5" s="126" t="s">
        <v>7</v>
      </c>
      <c r="I5" s="126" t="s">
        <v>8</v>
      </c>
      <c r="J5" s="126" t="s">
        <v>9</v>
      </c>
      <c r="K5" s="126" t="s">
        <v>10</v>
      </c>
      <c r="L5" s="687" t="s">
        <v>11</v>
      </c>
      <c r="M5" s="687" t="s">
        <v>12</v>
      </c>
      <c r="N5" s="687" t="s">
        <v>13</v>
      </c>
      <c r="O5" s="687" t="s">
        <v>177</v>
      </c>
      <c r="P5" s="418" t="s">
        <v>178</v>
      </c>
      <c r="Q5" s="958"/>
      <c r="R5" s="958"/>
      <c r="S5" s="958"/>
      <c r="T5" s="958"/>
    </row>
    <row r="6" spans="1:20" ht="21" customHeight="1" x14ac:dyDescent="0.2">
      <c r="A6" s="1080"/>
      <c r="B6" s="1947" t="s">
        <v>14</v>
      </c>
      <c r="C6" s="1949"/>
      <c r="D6" s="1947" t="s">
        <v>14</v>
      </c>
      <c r="E6" s="1948"/>
      <c r="F6" s="1948"/>
      <c r="G6" s="1948"/>
      <c r="H6" s="1948"/>
      <c r="I6" s="1949"/>
      <c r="J6" s="1969" t="s">
        <v>119</v>
      </c>
      <c r="K6" s="1971" t="s">
        <v>120</v>
      </c>
      <c r="L6" s="1972" t="s">
        <v>121</v>
      </c>
      <c r="M6" s="2305" t="s">
        <v>708</v>
      </c>
      <c r="N6" s="1856"/>
      <c r="O6" s="1856"/>
      <c r="P6" s="2303" t="s">
        <v>709</v>
      </c>
      <c r="Q6" s="958"/>
      <c r="R6" s="958"/>
      <c r="S6" s="958"/>
      <c r="T6" s="958"/>
    </row>
    <row r="7" spans="1:20" ht="85" customHeight="1" x14ac:dyDescent="0.2">
      <c r="A7" s="1080"/>
      <c r="B7" s="1966" t="s">
        <v>18</v>
      </c>
      <c r="C7" s="2307" t="s">
        <v>710</v>
      </c>
      <c r="D7" s="1966" t="s">
        <v>124</v>
      </c>
      <c r="E7" s="1950" t="s">
        <v>125</v>
      </c>
      <c r="F7" s="1967" t="s">
        <v>126</v>
      </c>
      <c r="G7" s="1809" t="s">
        <v>127</v>
      </c>
      <c r="H7" s="1809" t="s">
        <v>128</v>
      </c>
      <c r="I7" s="1968" t="s">
        <v>129</v>
      </c>
      <c r="J7" s="1970"/>
      <c r="K7" s="1958"/>
      <c r="L7" s="1973"/>
      <c r="M7" s="2306"/>
      <c r="N7" s="1858" t="s">
        <v>711</v>
      </c>
      <c r="O7" s="1858" t="s">
        <v>712</v>
      </c>
      <c r="P7" s="2304"/>
      <c r="Q7" s="1577"/>
      <c r="R7" s="1577"/>
      <c r="S7" s="317"/>
      <c r="T7" s="958"/>
    </row>
    <row r="8" spans="1:20" x14ac:dyDescent="0.2">
      <c r="A8" s="1080"/>
      <c r="B8" s="1943"/>
      <c r="C8" s="2308"/>
      <c r="D8" s="1943"/>
      <c r="E8" s="2302"/>
      <c r="F8" s="1967"/>
      <c r="G8" s="127"/>
      <c r="H8" s="127"/>
      <c r="I8" s="1968"/>
      <c r="J8" s="1970"/>
      <c r="K8" s="1958"/>
      <c r="L8" s="1973"/>
      <c r="M8" s="2306"/>
      <c r="N8" s="1809"/>
      <c r="O8" s="1809"/>
      <c r="P8" s="2304"/>
      <c r="Q8" s="958"/>
      <c r="R8" s="958"/>
      <c r="S8" s="958"/>
      <c r="T8" s="958"/>
    </row>
    <row r="9" spans="1:20" ht="40" customHeight="1" x14ac:dyDescent="0.2">
      <c r="A9" s="190" t="s">
        <v>28</v>
      </c>
      <c r="B9" s="174">
        <f>D9+TableA1!C9+TableA1!H9+TableA1!I9</f>
        <v>46716.271974377982</v>
      </c>
      <c r="C9" s="174">
        <f>B9-TableA1!M9</f>
        <v>38857.261593910247</v>
      </c>
      <c r="D9" s="174">
        <f>E9+F9+I9</f>
        <v>26591.987339920481</v>
      </c>
      <c r="E9" s="201">
        <f>SUM(E10:E44)</f>
        <v>15382.439705866644</v>
      </c>
      <c r="F9" s="202">
        <f>SUM(F10:F44)</f>
        <v>6553.3680058405735</v>
      </c>
      <c r="G9" s="202">
        <f>SUM(G10:G44)</f>
        <v>-49.321734412235458</v>
      </c>
      <c r="H9" s="202">
        <f>SUM(H10:H44)</f>
        <v>6602.6897402528084</v>
      </c>
      <c r="I9" s="203">
        <f>SUM(I10:I44)</f>
        <v>4656.1796282132627</v>
      </c>
      <c r="J9" s="204">
        <f>(F9+I9)/D9</f>
        <v>0.42153854432781773</v>
      </c>
      <c r="K9" s="423">
        <f>F9/(D9-I9)</f>
        <v>0.29875207204442344</v>
      </c>
      <c r="L9" s="205">
        <f>1-K9</f>
        <v>0.70124792795557656</v>
      </c>
      <c r="M9" s="1578">
        <f>K9-TableA2!I9</f>
        <v>7.5182710713601053E-3</v>
      </c>
      <c r="N9" s="202">
        <f>SUM(N10:N44)</f>
        <v>153.40275416985259</v>
      </c>
      <c r="O9" s="442">
        <f>SUM(O10:O44)</f>
        <v>2.9596329701207758</v>
      </c>
      <c r="P9" s="443">
        <f>SUM(P10:P44)</f>
        <v>150.44312119973182</v>
      </c>
      <c r="Q9" s="958"/>
      <c r="R9" s="958"/>
      <c r="S9" s="1579"/>
      <c r="T9" s="1580"/>
    </row>
    <row r="10" spans="1:20" ht="14.25" customHeight="1" x14ac:dyDescent="0.2">
      <c r="A10" s="1094" t="s">
        <v>29</v>
      </c>
      <c r="B10" s="168">
        <f>D10+TableA1!C10+TableA1!H10+TableA1!I10</f>
        <v>1241.2229370343659</v>
      </c>
      <c r="C10" s="168">
        <f>B10-TableA1!M10</f>
        <v>1015.4989063527441</v>
      </c>
      <c r="D10" s="168">
        <f t="shared" ref="D10:D11" si="0">E10+F10+I10</f>
        <v>784.98496664919276</v>
      </c>
      <c r="E10" s="1581">
        <f>TableA2!C10</f>
        <v>496.98457655004552</v>
      </c>
      <c r="F10" s="1106">
        <f t="shared" ref="F10:F11" si="1">G10+H10</f>
        <v>173.93973304365139</v>
      </c>
      <c r="G10" s="1107">
        <f>TableA2!E10-TableA6!D10*TableC2!D$95-O10</f>
        <v>-17.866772354273554</v>
      </c>
      <c r="H10" s="1113">
        <f>TableA2!F10+TableA6!D10+N10</f>
        <v>191.80650539792495</v>
      </c>
      <c r="I10" s="1114">
        <f>TableA2!G10</f>
        <v>114.06065705549587</v>
      </c>
      <c r="J10" s="1109">
        <f t="shared" ref="J10:J11" si="2">(F10+I10)/D10</f>
        <v>0.36688650399066008</v>
      </c>
      <c r="K10" s="422">
        <f t="shared" ref="K10:K11" si="3">F10/(D10-I10)</f>
        <v>0.25925388386804327</v>
      </c>
      <c r="L10" s="1110">
        <f t="shared" ref="L10:L11" si="4">1-K10</f>
        <v>0.74074611613195673</v>
      </c>
      <c r="M10" s="1582">
        <f>K10-TableA2!I10</f>
        <v>1.2263560866600659E-2</v>
      </c>
      <c r="N10" s="1583">
        <f>TableC4!C11/1000</f>
        <v>12.959094629306808</v>
      </c>
      <c r="O10" s="1583">
        <f>N10*TableC2!D$95</f>
        <v>2.0323809908045196</v>
      </c>
      <c r="P10" s="444">
        <f t="shared" ref="P10:P11" si="5">N10-O10</f>
        <v>10.926713638502289</v>
      </c>
      <c r="Q10" s="1145"/>
      <c r="R10" s="1145"/>
      <c r="S10" s="1584"/>
      <c r="T10" s="1580"/>
    </row>
    <row r="11" spans="1:20" ht="14.25" customHeight="1" x14ac:dyDescent="0.2">
      <c r="A11" s="1080" t="s">
        <v>30</v>
      </c>
      <c r="B11" s="168">
        <f>D11+TableA1!C11+TableA1!H11+TableA1!I11</f>
        <v>385.0923418207438</v>
      </c>
      <c r="C11" s="168">
        <f>B11-TableA1!M11</f>
        <v>316.54979968452596</v>
      </c>
      <c r="D11" s="168">
        <f t="shared" si="0"/>
        <v>219.86346926471094</v>
      </c>
      <c r="E11" s="1581">
        <f>TableA2!C11</f>
        <v>124.3274896607254</v>
      </c>
      <c r="F11" s="1106">
        <f t="shared" si="1"/>
        <v>50.646947275799384</v>
      </c>
      <c r="G11" s="1107">
        <f>TableA2!E11-TableA6!D11*TableC2!D$95-O11</f>
        <v>-0.89953515180933219</v>
      </c>
      <c r="H11" s="1113">
        <f>TableA2!F11+TableA6!D11+N11</f>
        <v>51.546482427608716</v>
      </c>
      <c r="I11" s="1114">
        <f>TableA2!G11</f>
        <v>44.889032328186154</v>
      </c>
      <c r="J11" s="1109">
        <f t="shared" si="2"/>
        <v>0.43452411591378215</v>
      </c>
      <c r="K11" s="422">
        <f t="shared" si="3"/>
        <v>0.28945340909525258</v>
      </c>
      <c r="L11" s="1110">
        <f t="shared" si="4"/>
        <v>0.71054659090474748</v>
      </c>
      <c r="M11" s="1582">
        <f>K11-TableA2!I11</f>
        <v>1.2506536578508365E-2</v>
      </c>
      <c r="N11" s="1583">
        <f>TableC4!C12/1000</f>
        <v>3.5894388002507043</v>
      </c>
      <c r="O11" s="1583">
        <f>N11*TableC2!D$95</f>
        <v>0.5629333988184585</v>
      </c>
      <c r="P11" s="444">
        <f t="shared" si="5"/>
        <v>3.0265054014322459</v>
      </c>
      <c r="Q11" s="1145"/>
      <c r="R11" s="1145"/>
      <c r="S11" s="1579"/>
      <c r="T11" s="1580"/>
    </row>
    <row r="12" spans="1:20" ht="14.25" customHeight="1" x14ac:dyDescent="0.2">
      <c r="A12" s="1080" t="s">
        <v>31</v>
      </c>
      <c r="B12" s="168">
        <f>D12+TableA1!C12+TableA1!H12+TableA1!I12</f>
        <v>447.90071839767779</v>
      </c>
      <c r="C12" s="168">
        <f>B12-TableA1!M12</f>
        <v>359.81386960007251</v>
      </c>
      <c r="D12" s="168">
        <f t="shared" ref="D12:D73" si="6">E12+F12+I12</f>
        <v>276.08487671029923</v>
      </c>
      <c r="E12" s="1581">
        <f>TableA2!C12</f>
        <v>166.52659153848629</v>
      </c>
      <c r="F12" s="1106">
        <f t="shared" ref="F12:F73" si="7">G12+H12</f>
        <v>52.311033161906707</v>
      </c>
      <c r="G12" s="1107">
        <f>TableA2!E12-TableA6!D12*TableC2!F$95-O12</f>
        <v>-14.823985993522784</v>
      </c>
      <c r="H12" s="1113">
        <f>TableA2!F12+TableA6!D12+N12</f>
        <v>67.13501915542949</v>
      </c>
      <c r="I12" s="1114">
        <f>TableA2!G12</f>
        <v>57.247252009906191</v>
      </c>
      <c r="J12" s="1109">
        <f t="shared" ref="J12:J73" si="8">(F12+I12)/D12</f>
        <v>0.39682827425123457</v>
      </c>
      <c r="K12" s="422">
        <f t="shared" ref="K12:K73" si="9">F12/(D12-I12)</f>
        <v>0.23904039917050313</v>
      </c>
      <c r="L12" s="1110">
        <f t="shared" ref="L12:L73" si="10">1-K12</f>
        <v>0.76095960082949687</v>
      </c>
      <c r="M12" s="1582">
        <f>K12-TableA2!I12</f>
        <v>-2.4562454015201129E-2</v>
      </c>
      <c r="N12" s="1583">
        <f>-TableA7!P12</f>
        <v>-13.106870602869716</v>
      </c>
      <c r="O12" s="1583">
        <f>N12*TableC2!F$95</f>
        <v>-3.0770320403472247</v>
      </c>
      <c r="P12" s="444">
        <f t="shared" ref="P12" si="11">N12-O12</f>
        <v>-10.029838562522491</v>
      </c>
      <c r="Q12" s="1145"/>
      <c r="R12" s="1145"/>
      <c r="S12" s="1579"/>
      <c r="T12" s="1580"/>
    </row>
    <row r="13" spans="1:20" ht="14.25" customHeight="1" x14ac:dyDescent="0.2">
      <c r="A13" s="1094" t="s">
        <v>32</v>
      </c>
      <c r="B13" s="168">
        <f>D13+TableA1!C13+TableA1!H13+TableA1!I13</f>
        <v>1575.5727272845493</v>
      </c>
      <c r="C13" s="168">
        <f>B13-TableA1!M13</f>
        <v>1308.8347603734917</v>
      </c>
      <c r="D13" s="168">
        <f t="shared" ref="D13:D44" si="12">E13+F13+I13</f>
        <v>979.7031379333032</v>
      </c>
      <c r="E13" s="1581">
        <f>TableA2!C13</f>
        <v>613.39428253347273</v>
      </c>
      <c r="F13" s="1106">
        <f t="shared" ref="F13:F44" si="13">G13+H13</f>
        <v>197.27802273493688</v>
      </c>
      <c r="G13" s="1107">
        <f>TableA2!E13-TableA6!D13*TableC2!D$95-O13</f>
        <v>35.404953487971213</v>
      </c>
      <c r="H13" s="1113">
        <f>TableA2!F13+TableA6!D13+N13</f>
        <v>161.87306924696566</v>
      </c>
      <c r="I13" s="1114">
        <f>TableA2!G13</f>
        <v>169.03083266489352</v>
      </c>
      <c r="J13" s="1109">
        <f t="shared" ref="J13:J44" si="14">(F13+I13)/D13</f>
        <v>0.37389780762830238</v>
      </c>
      <c r="K13" s="422">
        <f t="shared" ref="K13:K44" si="15">F13/(D13-I13)</f>
        <v>0.24335113146565318</v>
      </c>
      <c r="L13" s="1110">
        <f t="shared" ref="L13:L44" si="16">1-K13</f>
        <v>0.75664886853434687</v>
      </c>
      <c r="M13" s="1582">
        <f>K13-TableA2!I13</f>
        <v>1.5185346820580758E-2</v>
      </c>
      <c r="N13" s="1583">
        <f>TableC4!C14/1000</f>
        <v>18.916079243072261</v>
      </c>
      <c r="O13" s="1583">
        <f>N13*TableC2!D$95</f>
        <v>2.9666177286204793</v>
      </c>
      <c r="P13" s="444">
        <f t="shared" ref="P13:P44" si="17">N13-O13</f>
        <v>15.949461514451782</v>
      </c>
      <c r="Q13" s="1145"/>
      <c r="R13" s="1145"/>
      <c r="S13" s="1584"/>
      <c r="T13" s="1580"/>
    </row>
    <row r="14" spans="1:20" ht="14.25" customHeight="1" x14ac:dyDescent="0.2">
      <c r="A14" s="1094" t="s">
        <v>33</v>
      </c>
      <c r="B14" s="168">
        <f>D14+TableA1!C14+TableA1!H14+TableA1!I14</f>
        <v>225.78080700869211</v>
      </c>
      <c r="C14" s="168">
        <f>B14-TableA1!M14</f>
        <v>198.41855211159856</v>
      </c>
      <c r="D14" s="168">
        <f t="shared" si="12"/>
        <v>158.54491377418532</v>
      </c>
      <c r="E14" s="1581">
        <f>TableA2!C14</f>
        <v>67.029473521292758</v>
      </c>
      <c r="F14" s="1106">
        <f t="shared" si="13"/>
        <v>70.573640252892559</v>
      </c>
      <c r="G14" s="1107">
        <f>TableA2!E14-TableA6!D14*TableC2!D$95-O14</f>
        <v>-2.1507590802656877</v>
      </c>
      <c r="H14" s="1113">
        <f>TableA2!F14+TableA6!D14+N14</f>
        <v>72.724399333158246</v>
      </c>
      <c r="I14" s="1114">
        <f>TableA2!G14</f>
        <v>20.941800000000001</v>
      </c>
      <c r="J14" s="1109">
        <f t="shared" si="14"/>
        <v>0.57722091535044462</v>
      </c>
      <c r="K14" s="422">
        <f t="shared" si="15"/>
        <v>0.51287822140934969</v>
      </c>
      <c r="L14" s="1110">
        <f t="shared" si="16"/>
        <v>0.48712177859065031</v>
      </c>
      <c r="M14" s="1582">
        <f>K14-TableA2!I14</f>
        <v>1.5974526685013701E-2</v>
      </c>
      <c r="N14" s="1583">
        <f>TableC4!C15/1000</f>
        <v>5.1819143745614014</v>
      </c>
      <c r="O14" s="1583">
        <f>N14*TableC2!D$95</f>
        <v>0.81268210257668516</v>
      </c>
      <c r="P14" s="444">
        <f t="shared" si="17"/>
        <v>4.3692322719847159</v>
      </c>
      <c r="Q14" s="1145"/>
      <c r="R14" s="1145"/>
      <c r="S14" s="1579"/>
      <c r="T14" s="1580"/>
    </row>
    <row r="15" spans="1:20" ht="14.25" customHeight="1" x14ac:dyDescent="0.2">
      <c r="A15" s="1094" t="s">
        <v>34</v>
      </c>
      <c r="B15" s="168">
        <f>D15+TableA1!C15+TableA1!H15+TableA1!I15</f>
        <v>188.31444883225225</v>
      </c>
      <c r="C15" s="168">
        <f>B15-TableA1!M15</f>
        <v>148.93126879261609</v>
      </c>
      <c r="D15" s="168">
        <f t="shared" si="12"/>
        <v>113.63805267391089</v>
      </c>
      <c r="E15" s="1581">
        <f>TableA2!C15</f>
        <v>54.009329742364955</v>
      </c>
      <c r="F15" s="1106">
        <f t="shared" si="13"/>
        <v>34.123524496666107</v>
      </c>
      <c r="G15" s="1107">
        <f>TableA2!E15-TableA6!D15*TableC2!D$95-O15</f>
        <v>-1.214541873895207</v>
      </c>
      <c r="H15" s="1113">
        <f>TableA2!F15+TableA6!D15+N15</f>
        <v>35.338066370561314</v>
      </c>
      <c r="I15" s="1114">
        <f>TableA2!G15</f>
        <v>25.505198434879823</v>
      </c>
      <c r="J15" s="1109">
        <f t="shared" si="14"/>
        <v>0.52472496253216361</v>
      </c>
      <c r="K15" s="422">
        <f t="shared" si="15"/>
        <v>0.38718279115433374</v>
      </c>
      <c r="L15" s="1110">
        <f t="shared" si="16"/>
        <v>0.61281720884566626</v>
      </c>
      <c r="M15" s="1582">
        <f>K15-TableA2!I15</f>
        <v>1.049912972528172E-2</v>
      </c>
      <c r="N15" s="1583">
        <f>TableC4!C16/1000</f>
        <v>1.7606284926203615</v>
      </c>
      <c r="O15" s="1583">
        <f>N15*TableC2!D$95</f>
        <v>0.27612020612753585</v>
      </c>
      <c r="P15" s="444">
        <f t="shared" si="17"/>
        <v>1.4845082864928256</v>
      </c>
      <c r="Q15" s="1145"/>
      <c r="R15" s="1145"/>
      <c r="S15" s="1579"/>
      <c r="T15" s="1580"/>
    </row>
    <row r="16" spans="1:20" ht="14.25" customHeight="1" x14ac:dyDescent="0.2">
      <c r="A16" s="1094" t="s">
        <v>35</v>
      </c>
      <c r="B16" s="168">
        <f>D16+TableA1!C16+TableA1!H16+TableA1!I16</f>
        <v>303.79572827729891</v>
      </c>
      <c r="C16" s="168">
        <f>B16-TableA1!M16</f>
        <v>253.74435271577585</v>
      </c>
      <c r="D16" s="168">
        <f t="shared" si="12"/>
        <v>173.8136996909941</v>
      </c>
      <c r="E16" s="1581">
        <f>TableA2!C16</f>
        <v>98.579989289388223</v>
      </c>
      <c r="F16" s="1106">
        <f t="shared" si="13"/>
        <v>43.754381094586641</v>
      </c>
      <c r="G16" s="1107">
        <f>TableA2!E16-TableA6!D16*TableC2!D$95-O16</f>
        <v>-10.899984276818733</v>
      </c>
      <c r="H16" s="1113">
        <f>TableA2!F16+TableA6!D16+N16</f>
        <v>54.654365371405376</v>
      </c>
      <c r="I16" s="1114">
        <f>TableA2!G16</f>
        <v>31.479329307019256</v>
      </c>
      <c r="J16" s="1109">
        <f t="shared" si="14"/>
        <v>0.43284108522720788</v>
      </c>
      <c r="K16" s="422">
        <f t="shared" si="15"/>
        <v>0.3074055899256844</v>
      </c>
      <c r="L16" s="1110">
        <f t="shared" si="16"/>
        <v>0.69259441007431555</v>
      </c>
      <c r="M16" s="1582">
        <f>K16-TableA2!I16</f>
        <v>1.2368648393325632E-2</v>
      </c>
      <c r="N16" s="1583">
        <f>TableC4!C17/1000</f>
        <v>2.9617661722785193</v>
      </c>
      <c r="O16" s="1583">
        <f>N16*TableC2!D$95</f>
        <v>0.46449520124143978</v>
      </c>
      <c r="P16" s="444">
        <f t="shared" si="17"/>
        <v>2.4972709710370795</v>
      </c>
      <c r="Q16" s="1145"/>
      <c r="R16" s="1145"/>
      <c r="S16" s="1849"/>
      <c r="T16" s="1580"/>
    </row>
    <row r="17" spans="1:20" ht="14.25" customHeight="1" x14ac:dyDescent="0.2">
      <c r="A17" s="1094" t="s">
        <v>36</v>
      </c>
      <c r="B17" s="168">
        <f>D17+TableA1!C17+TableA1!H17+TableA1!I17</f>
        <v>22.665739841195911</v>
      </c>
      <c r="C17" s="168">
        <f>B17-TableA1!M17</f>
        <v>19.049184136655725</v>
      </c>
      <c r="D17" s="168">
        <f t="shared" si="12"/>
        <v>14.505337737961762</v>
      </c>
      <c r="E17" s="1581">
        <f>TableA2!C17</f>
        <v>7.9577756114007627</v>
      </c>
      <c r="F17" s="1106">
        <f t="shared" si="13"/>
        <v>4.2397051651154865</v>
      </c>
      <c r="G17" s="1107">
        <f>TableA2!E17-TableA6!D17*TableC2!D$95-O17</f>
        <v>-8.3690303314067405E-2</v>
      </c>
      <c r="H17" s="1113">
        <f>TableA2!F17+TableA6!D17+N17</f>
        <v>4.3233954684295535</v>
      </c>
      <c r="I17" s="1114">
        <f>TableA2!G17</f>
        <v>2.3078569614455131</v>
      </c>
      <c r="J17" s="1109">
        <f t="shared" si="14"/>
        <v>0.45138984316273073</v>
      </c>
      <c r="K17" s="422">
        <f t="shared" si="15"/>
        <v>0.3475885916769117</v>
      </c>
      <c r="L17" s="1110">
        <f t="shared" si="16"/>
        <v>0.6524114083230883</v>
      </c>
      <c r="M17" s="1582">
        <f>K17-TableA2!I17</f>
        <v>1.1178629317833977E-2</v>
      </c>
      <c r="N17" s="1583">
        <f>TableC4!C18/1000</f>
        <v>0.24369349684162625</v>
      </c>
      <c r="O17" s="1583">
        <f>N17*TableC2!D$95</f>
        <v>3.8218567325184763E-2</v>
      </c>
      <c r="P17" s="444">
        <f t="shared" si="17"/>
        <v>0.20547492951644147</v>
      </c>
      <c r="Q17" s="1145"/>
      <c r="R17" s="1145"/>
      <c r="S17" s="1579"/>
      <c r="T17" s="1580"/>
    </row>
    <row r="18" spans="1:20" ht="14.25" customHeight="1" x14ac:dyDescent="0.2">
      <c r="A18" s="1094" t="s">
        <v>37</v>
      </c>
      <c r="B18" s="168">
        <f>D18+TableA1!C18+TableA1!H18+TableA1!I18</f>
        <v>234.75391828426905</v>
      </c>
      <c r="C18" s="168">
        <f>B18-TableA1!M18</f>
        <v>190.70733304528181</v>
      </c>
      <c r="D18" s="168">
        <f t="shared" si="12"/>
        <v>130.06023697015809</v>
      </c>
      <c r="E18" s="1581">
        <f>TableA2!C18</f>
        <v>75.447591606139355</v>
      </c>
      <c r="F18" s="1106">
        <f t="shared" si="13"/>
        <v>28.837934525442272</v>
      </c>
      <c r="G18" s="1107">
        <f>TableA2!E18-TableA6!D18*TableC2!D$95-O18</f>
        <v>1.0282122276002768</v>
      </c>
      <c r="H18" s="1113">
        <f>TableA2!F18+TableA6!D18+N18</f>
        <v>27.809722297841994</v>
      </c>
      <c r="I18" s="1114">
        <f>TableA2!G18</f>
        <v>25.774710838576446</v>
      </c>
      <c r="J18" s="1109">
        <f t="shared" si="14"/>
        <v>0.41990270536374169</v>
      </c>
      <c r="K18" s="422">
        <f t="shared" si="15"/>
        <v>0.27652863820292933</v>
      </c>
      <c r="L18" s="1110">
        <f t="shared" si="16"/>
        <v>0.72347136179707072</v>
      </c>
      <c r="M18" s="1582">
        <f>K18-TableA2!I18</f>
        <v>1.6236791215999413E-2</v>
      </c>
      <c r="N18" s="1583">
        <f>TableC4!C19/1000</f>
        <v>2.7148693656359137</v>
      </c>
      <c r="O18" s="1583">
        <f>N18*TableC2!D$95</f>
        <v>0.42577425731253415</v>
      </c>
      <c r="P18" s="444">
        <f t="shared" si="17"/>
        <v>2.2890951083233797</v>
      </c>
      <c r="Q18" s="1145"/>
      <c r="R18" s="1145"/>
      <c r="S18" s="1579"/>
      <c r="T18" s="1580"/>
    </row>
    <row r="19" spans="1:20" ht="14.25" customHeight="1" x14ac:dyDescent="0.2">
      <c r="A19" s="1094" t="s">
        <v>38</v>
      </c>
      <c r="B19" s="168">
        <f>D19+TableA1!C19+TableA1!H19+TableA1!I19</f>
        <v>2460.614272483208</v>
      </c>
      <c r="C19" s="168">
        <f>B19-TableA1!M19</f>
        <v>2025.0815489147635</v>
      </c>
      <c r="D19" s="168">
        <f t="shared" si="12"/>
        <v>1335.518199577597</v>
      </c>
      <c r="E19" s="1581">
        <f>TableA2!C19</f>
        <v>871.38042208861668</v>
      </c>
      <c r="F19" s="1106">
        <f t="shared" si="13"/>
        <v>201.73037069772113</v>
      </c>
      <c r="G19" s="1107">
        <f>TableA2!E19-TableA6!D19*TableC2!D$95-O19</f>
        <v>-18.012286415645686</v>
      </c>
      <c r="H19" s="1113">
        <f>TableA2!F19+TableA6!D19+N19</f>
        <v>219.74265711336682</v>
      </c>
      <c r="I19" s="1114">
        <f>TableA2!G19</f>
        <v>262.40740679125923</v>
      </c>
      <c r="J19" s="1109">
        <f t="shared" si="14"/>
        <v>0.3475338468886307</v>
      </c>
      <c r="K19" s="422">
        <f t="shared" si="15"/>
        <v>0.18798652669770208</v>
      </c>
      <c r="L19" s="1110">
        <f t="shared" si="16"/>
        <v>0.81201347330229789</v>
      </c>
      <c r="M19" s="1582">
        <f>K19-TableA2!I19</f>
        <v>2.0999669358550216E-2</v>
      </c>
      <c r="N19" s="1583">
        <f>TableC4!C20/1000</f>
        <v>32.084129887442167</v>
      </c>
      <c r="O19" s="1583">
        <f>N19*TableC2!D$95</f>
        <v>5.0317693909168248</v>
      </c>
      <c r="P19" s="444">
        <f t="shared" si="17"/>
        <v>27.052360496525342</v>
      </c>
      <c r="Q19" s="1145"/>
      <c r="R19" s="1145"/>
      <c r="S19" s="1579"/>
      <c r="T19" s="1580"/>
    </row>
    <row r="20" spans="1:20" ht="14.25" customHeight="1" x14ac:dyDescent="0.2">
      <c r="A20" s="1094" t="s">
        <v>39</v>
      </c>
      <c r="B20" s="168">
        <f>D20+TableA1!C20+TableA1!H20+TableA1!I20</f>
        <v>3421.9046221208609</v>
      </c>
      <c r="C20" s="168">
        <f>B20-TableA1!M20</f>
        <v>2827.3117660633047</v>
      </c>
      <c r="D20" s="168">
        <f t="shared" si="12"/>
        <v>2119.2669287134859</v>
      </c>
      <c r="E20" s="1581">
        <f>TableA2!C20</f>
        <v>1223.0067020902579</v>
      </c>
      <c r="F20" s="1106">
        <f t="shared" si="13"/>
        <v>553.43993646918989</v>
      </c>
      <c r="G20" s="1107">
        <f>TableA2!E20-TableA6!D20*TableC2!D$95-O20</f>
        <v>-54.513836551872288</v>
      </c>
      <c r="H20" s="1113">
        <f>TableA2!F20+TableA6!D20+N20</f>
        <v>607.95377302106215</v>
      </c>
      <c r="I20" s="1114">
        <f>TableA2!G20</f>
        <v>342.82029015403828</v>
      </c>
      <c r="J20" s="1109">
        <f t="shared" si="14"/>
        <v>0.4229104953604445</v>
      </c>
      <c r="K20" s="422">
        <f t="shared" si="15"/>
        <v>0.31154323718835947</v>
      </c>
      <c r="L20" s="1110">
        <f t="shared" si="16"/>
        <v>0.68845676281164048</v>
      </c>
      <c r="M20" s="1582">
        <f>K20-TableA2!I20</f>
        <v>1.8421022430486433E-2</v>
      </c>
      <c r="N20" s="1583">
        <f>TableC4!C21/1000</f>
        <v>54.904338589641874</v>
      </c>
      <c r="O20" s="1583">
        <f>N20*TableC2!D$95</f>
        <v>8.6106736044609029</v>
      </c>
      <c r="P20" s="444">
        <f t="shared" si="17"/>
        <v>46.293664985180968</v>
      </c>
      <c r="Q20" s="1145"/>
      <c r="R20" s="1145"/>
      <c r="S20" s="1579"/>
      <c r="T20" s="1580"/>
    </row>
    <row r="21" spans="1:20" ht="14.25" customHeight="1" x14ac:dyDescent="0.2">
      <c r="A21" s="1094" t="s">
        <v>40</v>
      </c>
      <c r="B21" s="168">
        <f>D21+TableA1!C21+TableA1!H21+TableA1!I21</f>
        <v>195.74287713149539</v>
      </c>
      <c r="C21" s="168">
        <f>B21-TableA1!M21</f>
        <v>157.59828976531816</v>
      </c>
      <c r="D21" s="168">
        <f t="shared" si="12"/>
        <v>66.257153703902489</v>
      </c>
      <c r="E21" s="1581">
        <f>TableA2!C21</f>
        <v>27.693378982519995</v>
      </c>
      <c r="F21" s="1106">
        <f t="shared" si="13"/>
        <v>20.721551663663334</v>
      </c>
      <c r="G21" s="1107">
        <f>TableA2!E21-TableA6!D21*TableC2!D$95-O21</f>
        <v>-2.9327448922934218</v>
      </c>
      <c r="H21" s="1113">
        <f>TableA2!F21+TableA6!D21+N21</f>
        <v>23.654296555956755</v>
      </c>
      <c r="I21" s="1114">
        <f>TableA2!G21</f>
        <v>17.842223057719163</v>
      </c>
      <c r="J21" s="1109">
        <f t="shared" si="14"/>
        <v>0.58203186472091284</v>
      </c>
      <c r="K21" s="422">
        <f t="shared" si="15"/>
        <v>0.42799920163258293</v>
      </c>
      <c r="L21" s="1110">
        <f t="shared" si="16"/>
        <v>0.57200079836741713</v>
      </c>
      <c r="M21" s="1582">
        <f>K21-TableA2!I21</f>
        <v>1.0618541945894677E-2</v>
      </c>
      <c r="N21" s="1583">
        <f>TableC4!C22/1000</f>
        <v>1.0465124601954992</v>
      </c>
      <c r="O21" s="1583">
        <f>N21*TableC2!D$95</f>
        <v>0.1641250482060238</v>
      </c>
      <c r="P21" s="444">
        <f t="shared" si="17"/>
        <v>0.88238741198947535</v>
      </c>
      <c r="Q21" s="1145"/>
      <c r="R21" s="1145"/>
      <c r="S21" s="1579"/>
      <c r="T21" s="1580"/>
    </row>
    <row r="22" spans="1:20" ht="14.25" customHeight="1" x14ac:dyDescent="0.2">
      <c r="A22" s="1094" t="s">
        <v>41</v>
      </c>
      <c r="B22" s="168">
        <f>D22+TableA1!C22+TableA1!H22+TableA1!I22</f>
        <v>123.73450066919588</v>
      </c>
      <c r="C22" s="168">
        <f>B22-TableA1!M22</f>
        <v>102.92285146976509</v>
      </c>
      <c r="D22" s="168">
        <f t="shared" si="12"/>
        <v>68.619696627417696</v>
      </c>
      <c r="E22" s="1581">
        <f>TableA2!C22</f>
        <v>34.2062595652135</v>
      </c>
      <c r="F22" s="1106">
        <f t="shared" si="13"/>
        <v>21.562419010241033</v>
      </c>
      <c r="G22" s="1107">
        <f>TableA2!E22-TableA6!D22*TableC2!D$95-O22</f>
        <v>-1.5007596269518664</v>
      </c>
      <c r="H22" s="1113">
        <f>TableA2!F22+TableA6!D22+N22</f>
        <v>23.063178637192898</v>
      </c>
      <c r="I22" s="1114">
        <f>TableA2!G22</f>
        <v>12.851018051963162</v>
      </c>
      <c r="J22" s="1109">
        <f t="shared" si="14"/>
        <v>0.50150960662297595</v>
      </c>
      <c r="K22" s="422">
        <f t="shared" si="15"/>
        <v>0.38664030708684033</v>
      </c>
      <c r="L22" s="1110">
        <f t="shared" si="16"/>
        <v>0.61335969291315973</v>
      </c>
      <c r="M22" s="1582">
        <f>K22-TableA2!I22</f>
        <v>2.3043161525735711E-2</v>
      </c>
      <c r="N22" s="1583">
        <f>TableC4!C23/1000</f>
        <v>2.3948890539900791</v>
      </c>
      <c r="O22" s="1583">
        <f>N22*TableC2!D$95</f>
        <v>0.37559159244102325</v>
      </c>
      <c r="P22" s="444">
        <f t="shared" si="17"/>
        <v>2.0192974615490558</v>
      </c>
      <c r="Q22" s="1145"/>
      <c r="R22" s="1145"/>
      <c r="S22" s="1579"/>
      <c r="T22" s="1580"/>
    </row>
    <row r="23" spans="1:20" ht="14.25" customHeight="1" x14ac:dyDescent="0.2">
      <c r="A23" s="1094" t="s">
        <v>42</v>
      </c>
      <c r="B23" s="168">
        <f>D23+TableA1!C23+TableA1!H23+TableA1!I23</f>
        <v>17.148694706588422</v>
      </c>
      <c r="C23" s="168">
        <f>B23-TableA1!M23</f>
        <v>14.695447814619875</v>
      </c>
      <c r="D23" s="168">
        <f t="shared" si="12"/>
        <v>9.1659344830108154</v>
      </c>
      <c r="E23" s="1581">
        <f>TableA2!C23</f>
        <v>5.1275502981429524</v>
      </c>
      <c r="F23" s="1106">
        <f t="shared" si="13"/>
        <v>2.5203841848678628</v>
      </c>
      <c r="G23" s="1107">
        <f>TableA2!E23-TableA6!D23*TableC2!D$95-O23</f>
        <v>-6.6359555418799787E-2</v>
      </c>
      <c r="H23" s="1113">
        <f>TableA2!F23+TableA6!D23+N23</f>
        <v>2.5867437402866624</v>
      </c>
      <c r="I23" s="1114">
        <f>TableA2!G23</f>
        <v>1.518</v>
      </c>
      <c r="J23" s="1109">
        <f t="shared" si="14"/>
        <v>0.44058619362303575</v>
      </c>
      <c r="K23" s="422">
        <f t="shared" si="15"/>
        <v>0.32955096444231641</v>
      </c>
      <c r="L23" s="1110">
        <f t="shared" si="16"/>
        <v>0.67044903555768354</v>
      </c>
      <c r="M23" s="1582">
        <f>K23-TableA2!I23</f>
        <v>3.3997067284633087E-2</v>
      </c>
      <c r="N23" s="1583">
        <f>TableC4!C24/1000</f>
        <v>0.43774676216057212</v>
      </c>
      <c r="O23" s="1583">
        <f>N23*TableC2!D$95</f>
        <v>6.8652033467631463E-2</v>
      </c>
      <c r="P23" s="444">
        <f t="shared" si="17"/>
        <v>0.36909472869294069</v>
      </c>
      <c r="Q23" s="1145"/>
      <c r="R23" s="1145"/>
      <c r="S23" s="1579"/>
      <c r="T23" s="1580"/>
    </row>
    <row r="24" spans="1:20" ht="14.25" customHeight="1" x14ac:dyDescent="0.2">
      <c r="A24" s="1094" t="s">
        <v>43</v>
      </c>
      <c r="B24" s="168">
        <f>D24+TableA1!C24+TableA1!H24+TableA1!I24</f>
        <v>234.4649664601981</v>
      </c>
      <c r="C24" s="168">
        <f>B24-TableA1!M24</f>
        <v>171.49064246409756</v>
      </c>
      <c r="D24" s="168">
        <f t="shared" si="12"/>
        <v>160.20782723128787</v>
      </c>
      <c r="E24" s="1581">
        <f>TableA2!C24</f>
        <v>61.361034049457722</v>
      </c>
      <c r="F24" s="1106">
        <f t="shared" si="13"/>
        <v>44.71500300394694</v>
      </c>
      <c r="G24" s="1107">
        <f>TableA2!E24-TableA6!D24*TableC2!H$95-O24</f>
        <v>-23.261135220678916</v>
      </c>
      <c r="H24" s="1113">
        <f>TableA2!F24+TableA6!D24+N24</f>
        <v>67.976138224625856</v>
      </c>
      <c r="I24" s="1114">
        <f>TableA2!G24</f>
        <v>54.131790177883211</v>
      </c>
      <c r="J24" s="1109">
        <f t="shared" si="14"/>
        <v>0.61699103527025312</v>
      </c>
      <c r="K24" s="422">
        <f t="shared" si="15"/>
        <v>0.42153726935928881</v>
      </c>
      <c r="L24" s="1110">
        <f t="shared" si="16"/>
        <v>0.57846273064071119</v>
      </c>
      <c r="M24" s="1582">
        <f>K24-TableA2!I24</f>
        <v>-0.20022366435044336</v>
      </c>
      <c r="N24" s="1583">
        <f>-TableA7!P24</f>
        <v>-106.3289638729139</v>
      </c>
      <c r="O24" s="1583">
        <f>N24*TableC2!H$95</f>
        <v>-2.5980015194057184</v>
      </c>
      <c r="P24" s="444">
        <f t="shared" si="17"/>
        <v>-103.73096235350819</v>
      </c>
      <c r="Q24" s="1145"/>
      <c r="R24" s="1145"/>
      <c r="S24" s="1579"/>
      <c r="T24" s="1580"/>
    </row>
    <row r="25" spans="1:20" ht="14.25" customHeight="1" x14ac:dyDescent="0.2">
      <c r="A25" s="1094" t="s">
        <v>44</v>
      </c>
      <c r="B25" s="168">
        <f>D25+TableA1!C25+TableA1!H25+TableA1!I25</f>
        <v>299.66778302323962</v>
      </c>
      <c r="C25" s="168">
        <f>B25-TableA1!M25</f>
        <v>260.69763416425855</v>
      </c>
      <c r="D25" s="168">
        <f t="shared" si="12"/>
        <v>169.18486196643065</v>
      </c>
      <c r="E25" s="1581">
        <f>TableA2!C25</f>
        <v>91.954332974943853</v>
      </c>
      <c r="F25" s="1106">
        <f t="shared" si="13"/>
        <v>54.438913401107698</v>
      </c>
      <c r="G25" s="1107">
        <f>TableA2!E25-TableA6!D25*TableC2!D$95-O25</f>
        <v>-6.280754075894146E-2</v>
      </c>
      <c r="H25" s="1113">
        <f>TableA2!F25+TableA6!D25+N25</f>
        <v>54.501720941866637</v>
      </c>
      <c r="I25" s="1114">
        <f>TableA2!G25</f>
        <v>22.791615590379109</v>
      </c>
      <c r="J25" s="1109">
        <f t="shared" si="14"/>
        <v>0.45648604782862162</v>
      </c>
      <c r="K25" s="422">
        <f t="shared" si="15"/>
        <v>0.37186765611622746</v>
      </c>
      <c r="L25" s="1110">
        <f t="shared" si="16"/>
        <v>0.62813234388377248</v>
      </c>
      <c r="M25" s="1582">
        <f>K25-TableA2!I25</f>
        <v>2.4721800539052596E-3</v>
      </c>
      <c r="N25" s="1583">
        <f>TableC4!C26/1000</f>
        <v>0.68065831999156556</v>
      </c>
      <c r="O25" s="1583">
        <f>N25*TableC2!D$95</f>
        <v>0.1067479689248781</v>
      </c>
      <c r="P25" s="444">
        <f t="shared" si="17"/>
        <v>0.57391035106668742</v>
      </c>
      <c r="Q25" s="1145"/>
      <c r="R25" s="1145"/>
      <c r="S25" s="1579"/>
      <c r="T25" s="1580"/>
    </row>
    <row r="26" spans="1:20" ht="14.25" customHeight="1" x14ac:dyDescent="0.2">
      <c r="A26" s="1094" t="s">
        <v>45</v>
      </c>
      <c r="B26" s="168">
        <f>D26+TableA1!C26+TableA1!H26+TableA1!I26</f>
        <v>1851.4893038344358</v>
      </c>
      <c r="C26" s="168">
        <f>B26-TableA1!M26</f>
        <v>1520.5029775181677</v>
      </c>
      <c r="D26" s="168">
        <f t="shared" si="12"/>
        <v>891.89315939402081</v>
      </c>
      <c r="E26" s="1581">
        <f>TableA2!C26</f>
        <v>491.69619556839115</v>
      </c>
      <c r="F26" s="1106">
        <f t="shared" si="13"/>
        <v>213.52007156369916</v>
      </c>
      <c r="G26" s="1107">
        <f>TableA2!E26-TableA6!D26*TableC2!D$95-O26</f>
        <v>-21.076819372445968</v>
      </c>
      <c r="H26" s="1113">
        <f>TableA2!F26+TableA6!D26+N26</f>
        <v>234.59689093614512</v>
      </c>
      <c r="I26" s="1114">
        <f>TableA2!G26</f>
        <v>186.6768922619305</v>
      </c>
      <c r="J26" s="1109">
        <f t="shared" si="14"/>
        <v>0.44870504904145198</v>
      </c>
      <c r="K26" s="422">
        <f t="shared" si="15"/>
        <v>0.30277247068055207</v>
      </c>
      <c r="L26" s="1110">
        <f t="shared" si="16"/>
        <v>0.69722752931944787</v>
      </c>
      <c r="M26" s="1582">
        <f>K26-TableA2!I26</f>
        <v>1.9453228191403049E-2</v>
      </c>
      <c r="N26" s="1583">
        <f>TableC4!C27/1000</f>
        <v>22.702482961511631</v>
      </c>
      <c r="O26" s="1583">
        <f>N26*TableC2!D$95</f>
        <v>3.5604412294894869</v>
      </c>
      <c r="P26" s="444">
        <f t="shared" si="17"/>
        <v>19.142041732022143</v>
      </c>
      <c r="Q26" s="1145"/>
      <c r="R26" s="1145"/>
      <c r="S26" s="1579"/>
      <c r="T26" s="1580"/>
    </row>
    <row r="27" spans="1:20" ht="14.25" customHeight="1" x14ac:dyDescent="0.2">
      <c r="A27" s="1094" t="s">
        <v>46</v>
      </c>
      <c r="B27" s="168">
        <f>D27+TableA1!C27+TableA1!H27+TableA1!I27</f>
        <v>4375.8429460408979</v>
      </c>
      <c r="C27" s="168">
        <f>B27-TableA1!M27</f>
        <v>3383.9336383286545</v>
      </c>
      <c r="D27" s="168">
        <f t="shared" si="12"/>
        <v>2740.9698663769186</v>
      </c>
      <c r="E27" s="1581">
        <f>TableA2!C27</f>
        <v>1514.0182782989034</v>
      </c>
      <c r="F27" s="1106">
        <f t="shared" si="13"/>
        <v>566.94382065652383</v>
      </c>
      <c r="G27" s="1107">
        <f>TableA2!E27-TableA6!D27*TableC2!D$95-O27</f>
        <v>-75.745916908016312</v>
      </c>
      <c r="H27" s="1113">
        <f>TableA2!F27+TableA6!D27+N27</f>
        <v>642.68973756454011</v>
      </c>
      <c r="I27" s="1114">
        <f>TableA2!G27</f>
        <v>660.00776742149105</v>
      </c>
      <c r="J27" s="1109">
        <f t="shared" si="14"/>
        <v>0.4476341032161108</v>
      </c>
      <c r="K27" s="422">
        <f t="shared" si="15"/>
        <v>0.27244312663892839</v>
      </c>
      <c r="L27" s="1110">
        <f t="shared" si="16"/>
        <v>0.72755687336107155</v>
      </c>
      <c r="M27" s="1582">
        <f>K27-TableA2!I27</f>
        <v>2.5305435462888992E-3</v>
      </c>
      <c r="N27" s="1583">
        <f>TableC4!C28/1000</f>
        <v>8.5543737634504904</v>
      </c>
      <c r="O27" s="1583">
        <f>N27*TableC2!D$95</f>
        <v>1.3415865168355263</v>
      </c>
      <c r="P27" s="444">
        <f t="shared" si="17"/>
        <v>7.2127872466149636</v>
      </c>
      <c r="Q27" s="1145"/>
      <c r="R27" s="1145"/>
      <c r="S27" s="1579"/>
      <c r="T27" s="1580"/>
    </row>
    <row r="28" spans="1:20" ht="14.25" customHeight="1" x14ac:dyDescent="0.2">
      <c r="A28" s="1094" t="s">
        <v>47</v>
      </c>
      <c r="B28" s="168">
        <f>D28+TableA1!C28+TableA1!H28+TableA1!I28</f>
        <v>1386.8404413498845</v>
      </c>
      <c r="C28" s="168">
        <f>B28-TableA1!M28</f>
        <v>1116.6036264059001</v>
      </c>
      <c r="D28" s="168">
        <f t="shared" si="12"/>
        <v>847.53906201057941</v>
      </c>
      <c r="E28" s="1581">
        <f>TableA2!C28</f>
        <v>414.68018379403401</v>
      </c>
      <c r="F28" s="1106">
        <f t="shared" si="13"/>
        <v>249.05998195320453</v>
      </c>
      <c r="G28" s="1107">
        <f>TableA2!E28-TableA6!D28*TableC2!D$95-O28</f>
        <v>-3.9917195854139731</v>
      </c>
      <c r="H28" s="1113">
        <f>TableA2!F28+TableA6!D28+N28</f>
        <v>253.05170153861849</v>
      </c>
      <c r="I28" s="1114">
        <f>TableA2!G28</f>
        <v>183.79889626334088</v>
      </c>
      <c r="J28" s="1109">
        <f t="shared" si="14"/>
        <v>0.5107243991677427</v>
      </c>
      <c r="K28" s="422">
        <f t="shared" si="15"/>
        <v>0.37523717081791014</v>
      </c>
      <c r="L28" s="1110">
        <f t="shared" si="16"/>
        <v>0.62476282918208992</v>
      </c>
      <c r="M28" s="1582">
        <f>K28-TableA2!I28</f>
        <v>3.8607428181524628E-3</v>
      </c>
      <c r="N28" s="1583">
        <f>TableC4!C29/1000</f>
        <v>4.8346318555725984</v>
      </c>
      <c r="O28" s="1583">
        <f>N28*TableC2!D$95</f>
        <v>0.75821761950736855</v>
      </c>
      <c r="P28" s="444">
        <f t="shared" si="17"/>
        <v>4.0764142360652302</v>
      </c>
      <c r="Q28" s="1145"/>
      <c r="R28" s="1145"/>
      <c r="S28" s="1579"/>
      <c r="T28" s="1580"/>
    </row>
    <row r="29" spans="1:20" ht="14.25" customHeight="1" x14ac:dyDescent="0.2">
      <c r="A29" s="1080" t="s">
        <v>48</v>
      </c>
      <c r="B29" s="168">
        <f>D29+TableA1!C29+TableA1!H29+TableA1!I29</f>
        <v>27.178692320530274</v>
      </c>
      <c r="C29" s="168">
        <f>B29-TableA1!M29</f>
        <v>20.969301630701857</v>
      </c>
      <c r="D29" s="168">
        <f t="shared" si="12"/>
        <v>17.035039343074274</v>
      </c>
      <c r="E29" s="1581">
        <f>TableA2!C29</f>
        <v>9.2021529203390635</v>
      </c>
      <c r="F29" s="1106">
        <f t="shared" si="13"/>
        <v>4.2197422074609223</v>
      </c>
      <c r="G29" s="1107">
        <f>TableA2!E29-TableA6!D29*TableC2!D$95-O29</f>
        <v>-0.16711190773478191</v>
      </c>
      <c r="H29" s="1113">
        <f>TableA2!F29+TableA6!D29+N29</f>
        <v>4.3868541151957041</v>
      </c>
      <c r="I29" s="1114">
        <f>TableA2!G29</f>
        <v>3.6131442152742888</v>
      </c>
      <c r="J29" s="1109">
        <f t="shared" si="14"/>
        <v>0.45981029247929095</v>
      </c>
      <c r="K29" s="422">
        <f t="shared" si="15"/>
        <v>0.31439242873540396</v>
      </c>
      <c r="L29" s="1110">
        <f t="shared" si="16"/>
        <v>0.68560757126459604</v>
      </c>
      <c r="M29" s="1582">
        <f>K29-TableA2!I29</f>
        <v>8.7668869617354983E-3</v>
      </c>
      <c r="N29" s="1583">
        <f>TableC4!C30/1000</f>
        <v>0.20097896727392819</v>
      </c>
      <c r="O29" s="1583">
        <f>N29*TableC2!D$95</f>
        <v>3.1519627282859383E-2</v>
      </c>
      <c r="P29" s="444">
        <f t="shared" si="17"/>
        <v>0.16945933999106882</v>
      </c>
      <c r="Q29" s="1145"/>
      <c r="R29" s="1145"/>
      <c r="S29" s="1579"/>
      <c r="T29" s="1580"/>
    </row>
    <row r="30" spans="1:20" s="25" customFormat="1" ht="14.25" customHeight="1" x14ac:dyDescent="0.2">
      <c r="A30" s="1080" t="s">
        <v>49</v>
      </c>
      <c r="B30" s="168">
        <f>D30+TableA1!C30+TableA1!H30+TableA1!I30</f>
        <v>52.141031577291947</v>
      </c>
      <c r="C30" s="168">
        <f>B30-TableA1!M30</f>
        <v>45.255279868497382</v>
      </c>
      <c r="D30" s="168">
        <f t="shared" si="12"/>
        <v>33.587676040442652</v>
      </c>
      <c r="E30" s="1581">
        <f>TableA2!C30</f>
        <v>21.552271978652684</v>
      </c>
      <c r="F30" s="1106">
        <f t="shared" si="13"/>
        <v>7.8568842444310789</v>
      </c>
      <c r="G30" s="1107">
        <f>TableA2!E30-TableA6!D30*0.625-O30</f>
        <v>-36.370975411157787</v>
      </c>
      <c r="H30" s="1113">
        <f>TableA2!F30+TableA6!D30+N30</f>
        <v>44.227859655588865</v>
      </c>
      <c r="I30" s="1114">
        <f>TableA2!G30</f>
        <v>4.1785198173588904</v>
      </c>
      <c r="J30" s="1109">
        <f t="shared" si="14"/>
        <v>0.35832797861031634</v>
      </c>
      <c r="K30" s="422">
        <f t="shared" si="15"/>
        <v>0.26715775810881892</v>
      </c>
      <c r="L30" s="1110">
        <f t="shared" si="16"/>
        <v>0.73284224189118108</v>
      </c>
      <c r="M30" s="1582">
        <f>K30-TableA2!I30</f>
        <v>-0.11798723247826243</v>
      </c>
      <c r="N30" s="1583">
        <f>-TableA7!P30</f>
        <v>-46.799572185855702</v>
      </c>
      <c r="O30" s="1583">
        <f>N30*0.625</f>
        <v>-29.249732616159815</v>
      </c>
      <c r="P30" s="444">
        <f t="shared" si="17"/>
        <v>-17.549839569695887</v>
      </c>
      <c r="Q30" s="1145"/>
      <c r="R30" s="1145"/>
      <c r="S30" s="1585"/>
      <c r="T30" s="1586"/>
    </row>
    <row r="31" spans="1:20" ht="14.25" customHeight="1" x14ac:dyDescent="0.2">
      <c r="A31" s="1080" t="s">
        <v>50</v>
      </c>
      <c r="B31" s="168">
        <f>D31+TableA1!C31+TableA1!H31+TableA1!I31</f>
        <v>1159.1017765569741</v>
      </c>
      <c r="C31" s="168">
        <f>B31-TableA1!M31</f>
        <v>1016.9968385217933</v>
      </c>
      <c r="D31" s="168">
        <f t="shared" si="12"/>
        <v>591.56098487293673</v>
      </c>
      <c r="E31" s="1581">
        <f>TableA2!C31</f>
        <v>140.22820286912128</v>
      </c>
      <c r="F31" s="1106">
        <f t="shared" si="13"/>
        <v>348.97559683019364</v>
      </c>
      <c r="G31" s="1107">
        <f>TableA2!E31-TableA6!D31*TableC2!D$95-O31</f>
        <v>10.835019426759914</v>
      </c>
      <c r="H31" s="1113">
        <f>TableA2!F31+TableA6!D31+N31</f>
        <v>338.14057740343372</v>
      </c>
      <c r="I31" s="1114">
        <f>TableA2!G31</f>
        <v>102.35718517362183</v>
      </c>
      <c r="J31" s="1109">
        <f t="shared" si="14"/>
        <v>0.76295224591384891</v>
      </c>
      <c r="K31" s="422">
        <f t="shared" si="15"/>
        <v>0.71335422383204838</v>
      </c>
      <c r="L31" s="1110">
        <f t="shared" si="16"/>
        <v>0.28664577616795162</v>
      </c>
      <c r="M31" s="1582">
        <f>K31-TableA2!I31</f>
        <v>6.6194304456361763E-3</v>
      </c>
      <c r="N31" s="1583">
        <f>TableC4!C32/1000</f>
        <v>13.095889552074285</v>
      </c>
      <c r="O31" s="1583">
        <f>N31*TableC2!D$95</f>
        <v>2.0538346037785664</v>
      </c>
      <c r="P31" s="444">
        <f t="shared" si="17"/>
        <v>11.042054948295718</v>
      </c>
      <c r="Q31" s="1145"/>
      <c r="R31" s="1145"/>
      <c r="S31" s="1579"/>
      <c r="T31" s="1580"/>
    </row>
    <row r="32" spans="1:20" ht="14.25" customHeight="1" x14ac:dyDescent="0.2">
      <c r="A32" s="1080" t="s">
        <v>51</v>
      </c>
      <c r="B32" s="168">
        <f>D32+TableA1!C32+TableA1!H32+TableA1!I32</f>
        <v>745.53259170703814</v>
      </c>
      <c r="C32" s="168">
        <f>B32-TableA1!M32</f>
        <v>621.58883913538966</v>
      </c>
      <c r="D32" s="168">
        <f t="shared" si="12"/>
        <v>488.67162763969122</v>
      </c>
      <c r="E32" s="1581">
        <f>TableA2!C32</f>
        <v>282.03899700441076</v>
      </c>
      <c r="F32" s="1106">
        <f t="shared" si="13"/>
        <v>134.84052297595466</v>
      </c>
      <c r="G32" s="1107">
        <f>TableA2!E32-TableA6!D32*TableC2!K$95-O32</f>
        <v>-2.902101220363452</v>
      </c>
      <c r="H32" s="1113">
        <f>TableA2!F32+TableA6!D32+N32</f>
        <v>137.7426241963181</v>
      </c>
      <c r="I32" s="1114">
        <f>TableA2!G32</f>
        <v>71.792107659325765</v>
      </c>
      <c r="J32" s="1109">
        <f t="shared" si="14"/>
        <v>0.42284556529980366</v>
      </c>
      <c r="K32" s="422">
        <f t="shared" si="15"/>
        <v>0.3234520203398466</v>
      </c>
      <c r="L32" s="1110">
        <f t="shared" si="16"/>
        <v>0.67654797966015345</v>
      </c>
      <c r="M32" s="1582">
        <f>K32-TableA2!I32</f>
        <v>-1.9644765186238089E-2</v>
      </c>
      <c r="N32" s="1583">
        <f>-TableA7!P32</f>
        <v>-57.353364287520073</v>
      </c>
      <c r="O32" s="1583">
        <f>N32*TableC2!K$95</f>
        <v>-24.860276691798649</v>
      </c>
      <c r="P32" s="444">
        <f t="shared" si="17"/>
        <v>-32.49308759572142</v>
      </c>
      <c r="Q32" s="1145"/>
      <c r="R32" s="1145"/>
      <c r="S32" s="1579"/>
      <c r="T32" s="1580"/>
    </row>
    <row r="33" spans="1:20" ht="14.25" customHeight="1" x14ac:dyDescent="0.2">
      <c r="A33" s="1080" t="s">
        <v>52</v>
      </c>
      <c r="B33" s="168">
        <f>D33+TableA1!C33+TableA1!H33+TableA1!I33</f>
        <v>176.85731694060109</v>
      </c>
      <c r="C33" s="168">
        <f>B33-TableA1!M33</f>
        <v>154.93949342300186</v>
      </c>
      <c r="D33" s="168">
        <f t="shared" si="12"/>
        <v>119.00902809316653</v>
      </c>
      <c r="E33" s="1581">
        <f>TableA2!C33</f>
        <v>57.141860911103748</v>
      </c>
      <c r="F33" s="1106">
        <f t="shared" si="13"/>
        <v>44.938867182062786</v>
      </c>
      <c r="G33" s="1107">
        <f>TableA2!E33-TableA6!D33*TableC2!D$95-O33</f>
        <v>-0.20824305848172037</v>
      </c>
      <c r="H33" s="1113">
        <f>TableA2!F33+TableA6!D33+N33</f>
        <v>45.147110240544507</v>
      </c>
      <c r="I33" s="1114">
        <f>TableA2!G33</f>
        <v>16.9283</v>
      </c>
      <c r="J33" s="1109">
        <f t="shared" si="14"/>
        <v>0.51985272187610765</v>
      </c>
      <c r="K33" s="422">
        <f t="shared" si="15"/>
        <v>0.44022870939016234</v>
      </c>
      <c r="L33" s="1110">
        <f t="shared" si="16"/>
        <v>0.55977129060983766</v>
      </c>
      <c r="M33" s="1582">
        <f>K33-TableA2!I33</f>
        <v>7.1335819274978007E-3</v>
      </c>
      <c r="N33" s="1583">
        <f>TableC4!C34/1000</f>
        <v>1.5234433952929838</v>
      </c>
      <c r="O33" s="1583">
        <f>N33*TableC2!D$95</f>
        <v>0.23892235420197525</v>
      </c>
      <c r="P33" s="444">
        <f t="shared" si="17"/>
        <v>1.2845210410910086</v>
      </c>
      <c r="Q33" s="1145"/>
      <c r="R33" s="1145"/>
      <c r="S33" s="1579"/>
      <c r="T33" s="1580"/>
    </row>
    <row r="34" spans="1:20" ht="14.25" customHeight="1" x14ac:dyDescent="0.2">
      <c r="A34" s="1080" t="s">
        <v>53</v>
      </c>
      <c r="B34" s="168">
        <f>D34+TableA1!C34+TableA1!H34+TableA1!I34</f>
        <v>390.97611727653754</v>
      </c>
      <c r="C34" s="168">
        <f>B34-TableA1!M34</f>
        <v>322.55665126101479</v>
      </c>
      <c r="D34" s="168">
        <f t="shared" si="12"/>
        <v>248.44943101123573</v>
      </c>
      <c r="E34" s="1581">
        <f>TableA2!C34</f>
        <v>120.45063054869772</v>
      </c>
      <c r="F34" s="1106">
        <f t="shared" si="13"/>
        <v>84.318405450877194</v>
      </c>
      <c r="G34" s="1107">
        <f>TableA2!E34-TableA6!D34*TableC2!D$95-O34</f>
        <v>2.9728689299984654</v>
      </c>
      <c r="H34" s="1113">
        <f>TableA2!F34+TableA6!D34+N34</f>
        <v>81.345536520878724</v>
      </c>
      <c r="I34" s="1114">
        <f>TableA2!G34</f>
        <v>43.680395011660849</v>
      </c>
      <c r="J34" s="1109">
        <f t="shared" si="14"/>
        <v>0.51519055584695428</v>
      </c>
      <c r="K34" s="422">
        <f t="shared" si="15"/>
        <v>0.41177322068875805</v>
      </c>
      <c r="L34" s="1110">
        <f t="shared" si="16"/>
        <v>0.5882267793112419</v>
      </c>
      <c r="M34" s="1582">
        <f>K34-TableA2!I34</f>
        <v>1.2910222894438328E-2</v>
      </c>
      <c r="N34" s="1583">
        <f>TableC4!C35/1000</f>
        <v>5.2156647064681243</v>
      </c>
      <c r="O34" s="1583">
        <f>N34*TableC2!D$95</f>
        <v>0.81797518322488438</v>
      </c>
      <c r="P34" s="444">
        <f t="shared" si="17"/>
        <v>4.3976895232432396</v>
      </c>
      <c r="Q34" s="1145"/>
      <c r="R34" s="1145"/>
      <c r="S34" s="1579"/>
      <c r="T34" s="1580"/>
    </row>
    <row r="35" spans="1:20" ht="14.25" customHeight="1" x14ac:dyDescent="0.2">
      <c r="A35" s="1080" t="s">
        <v>54</v>
      </c>
      <c r="B35" s="168">
        <f>D35+TableA1!C35+TableA1!H35+TableA1!I35</f>
        <v>480.18269634199908</v>
      </c>
      <c r="C35" s="168">
        <f>B35-TableA1!M35</f>
        <v>425.52425357770676</v>
      </c>
      <c r="D35" s="168">
        <f t="shared" si="12"/>
        <v>238.01556542277899</v>
      </c>
      <c r="E35" s="1581">
        <f>TableA2!C35</f>
        <v>110.83432816023345</v>
      </c>
      <c r="F35" s="1106">
        <f t="shared" si="13"/>
        <v>90.845914275411971</v>
      </c>
      <c r="G35" s="1107">
        <f>TableA2!E35-TableA6!D35*TableC2!D$95-O35</f>
        <v>-0.63453893401917327</v>
      </c>
      <c r="H35" s="1113">
        <f>TableA2!F35+TableA6!D35+N35</f>
        <v>91.480453209431147</v>
      </c>
      <c r="I35" s="1114">
        <f>TableA2!G35</f>
        <v>36.335322987133573</v>
      </c>
      <c r="J35" s="1109">
        <f t="shared" si="14"/>
        <v>0.53434000014510741</v>
      </c>
      <c r="K35" s="422">
        <f t="shared" si="15"/>
        <v>0.45044528496340036</v>
      </c>
      <c r="L35" s="1110">
        <f t="shared" si="16"/>
        <v>0.54955471503659958</v>
      </c>
      <c r="M35" s="1582">
        <f>K35-TableA2!I35</f>
        <v>8.6246521401181497E-3</v>
      </c>
      <c r="N35" s="1583">
        <f>TableC4!C36/1000</f>
        <v>3.6958663942036614</v>
      </c>
      <c r="O35" s="1583">
        <f>N35*TableC2!D$95</f>
        <v>0.57962448913258358</v>
      </c>
      <c r="P35" s="444">
        <f t="shared" si="17"/>
        <v>3.1162419050710777</v>
      </c>
      <c r="Q35" s="1145"/>
      <c r="R35" s="1145"/>
      <c r="S35" s="1579"/>
      <c r="T35" s="1580"/>
    </row>
    <row r="36" spans="1:20" ht="14.25" customHeight="1" x14ac:dyDescent="0.2">
      <c r="A36" s="1080" t="s">
        <v>55</v>
      </c>
      <c r="B36" s="168">
        <f>D36+TableA1!C36+TableA1!H36+TableA1!I36</f>
        <v>201.64468136171513</v>
      </c>
      <c r="C36" s="168">
        <f>B36-TableA1!M36</f>
        <v>167.24963844637796</v>
      </c>
      <c r="D36" s="168">
        <f t="shared" si="12"/>
        <v>103.9783374334673</v>
      </c>
      <c r="E36" s="1581">
        <f>TableA2!C36</f>
        <v>57.993657247362911</v>
      </c>
      <c r="F36" s="1106">
        <f t="shared" si="13"/>
        <v>28.682713478069537</v>
      </c>
      <c r="G36" s="1107">
        <f>TableA2!E36-TableA6!D36*TableC2!D$95-O36</f>
        <v>-0.57354172162739325</v>
      </c>
      <c r="H36" s="1113">
        <f>TableA2!F36+TableA6!D36+N36</f>
        <v>29.25625519969693</v>
      </c>
      <c r="I36" s="1114">
        <f>TableA2!G36</f>
        <v>17.301966708034854</v>
      </c>
      <c r="J36" s="1109">
        <f t="shared" si="14"/>
        <v>0.44225250490784818</v>
      </c>
      <c r="K36" s="422">
        <f t="shared" si="15"/>
        <v>0.33091733350175334</v>
      </c>
      <c r="L36" s="1110">
        <f t="shared" si="16"/>
        <v>0.66908266649824666</v>
      </c>
      <c r="M36" s="1582">
        <f>K36-TableA2!I36</f>
        <v>1.762340700856474E-2</v>
      </c>
      <c r="N36" s="1583">
        <f>TableC4!C37/1000</f>
        <v>2.6381822918681346</v>
      </c>
      <c r="O36" s="1583">
        <f>N36*TableC2!D$95</f>
        <v>0.41374738696207086</v>
      </c>
      <c r="P36" s="444">
        <f t="shared" si="17"/>
        <v>2.2244349049060639</v>
      </c>
      <c r="Q36" s="1145"/>
      <c r="R36" s="1145"/>
      <c r="S36" s="1579"/>
      <c r="T36" s="1580"/>
    </row>
    <row r="37" spans="1:20" ht="14.25" customHeight="1" x14ac:dyDescent="0.2">
      <c r="A37" s="1080" t="s">
        <v>56</v>
      </c>
      <c r="B37" s="168">
        <f>D37+TableA1!C37+TableA1!H37+TableA1!I37</f>
        <v>88.038361945990872</v>
      </c>
      <c r="C37" s="168">
        <f>B37-TableA1!M37</f>
        <v>70.403218283031819</v>
      </c>
      <c r="D37" s="168">
        <f t="shared" si="12"/>
        <v>43.893843896484348</v>
      </c>
      <c r="E37" s="1581">
        <f>TableA2!C37</f>
        <v>21.242901141118761</v>
      </c>
      <c r="F37" s="1106">
        <f t="shared" si="13"/>
        <v>11.442992743221307</v>
      </c>
      <c r="G37" s="1107">
        <f>TableA2!E37-TableA6!D37*TableC2!D$95-O37</f>
        <v>-0.79837087436315313</v>
      </c>
      <c r="H37" s="1113">
        <f>TableA2!F37+TableA6!D37+N37</f>
        <v>12.24136361758446</v>
      </c>
      <c r="I37" s="1114">
        <f>TableA2!G37</f>
        <v>11.207950012144281</v>
      </c>
      <c r="J37" s="1109">
        <f t="shared" si="14"/>
        <v>0.51603916961074814</v>
      </c>
      <c r="K37" s="422">
        <f t="shared" si="15"/>
        <v>0.35008963755779943</v>
      </c>
      <c r="L37" s="1110">
        <f t="shared" si="16"/>
        <v>0.64991036244220057</v>
      </c>
      <c r="M37" s="1582">
        <f>K37-TableA2!I37</f>
        <v>1.0854600476850662E-2</v>
      </c>
      <c r="N37" s="1583">
        <f>TableC4!C38/1000</f>
        <v>0.63681356041207426</v>
      </c>
      <c r="O37" s="1583">
        <f>N37*TableC2!D$95</f>
        <v>9.9871774370805397E-2</v>
      </c>
      <c r="P37" s="444">
        <f t="shared" si="17"/>
        <v>0.53694178604126885</v>
      </c>
      <c r="Q37" s="1145"/>
      <c r="R37" s="1145"/>
      <c r="S37" s="1579"/>
      <c r="T37" s="1580"/>
    </row>
    <row r="38" spans="1:20" ht="14.25" customHeight="1" x14ac:dyDescent="0.2">
      <c r="A38" s="1080" t="s">
        <v>57</v>
      </c>
      <c r="B38" s="168">
        <f>D38+TableA1!C38+TableA1!H38+TableA1!I38</f>
        <v>42.966680070154545</v>
      </c>
      <c r="C38" s="168">
        <f>B38-TableA1!M38</f>
        <v>34.099613252211178</v>
      </c>
      <c r="D38" s="168">
        <f t="shared" si="12"/>
        <v>23.66569355529694</v>
      </c>
      <c r="E38" s="1581">
        <f>TableA2!C38</f>
        <v>14.942894708531718</v>
      </c>
      <c r="F38" s="1106">
        <f t="shared" si="13"/>
        <v>3.274506310451605</v>
      </c>
      <c r="G38" s="1107">
        <f>TableA2!E38-TableA6!D38*TableC2!D$95-O38</f>
        <v>-0.36855118705690693</v>
      </c>
      <c r="H38" s="1113">
        <f>TableA2!F38+TableA6!D38+N38</f>
        <v>3.6430574975085119</v>
      </c>
      <c r="I38" s="1114">
        <f>TableA2!G38</f>
        <v>5.4482925363136179</v>
      </c>
      <c r="J38" s="1109">
        <f t="shared" si="14"/>
        <v>0.36858412057029505</v>
      </c>
      <c r="K38" s="422">
        <f t="shared" si="15"/>
        <v>0.17974607393444472</v>
      </c>
      <c r="L38" s="1110">
        <f t="shared" si="16"/>
        <v>0.82025392606555525</v>
      </c>
      <c r="M38" s="1582">
        <f>K38-TableA2!I38</f>
        <v>8.6434782796283305E-3</v>
      </c>
      <c r="N38" s="1583">
        <f>TableC4!C39/1000</f>
        <v>0.22529901009808276</v>
      </c>
      <c r="O38" s="1583">
        <f>N38*TableC2!D$95</f>
        <v>3.5333751197008739E-2</v>
      </c>
      <c r="P38" s="444">
        <f t="shared" si="17"/>
        <v>0.18996525890107402</v>
      </c>
      <c r="Q38" s="1145"/>
      <c r="R38" s="1145"/>
      <c r="S38" s="1579"/>
      <c r="T38" s="1580"/>
    </row>
    <row r="39" spans="1:20" x14ac:dyDescent="0.2">
      <c r="A39" s="1080" t="s">
        <v>58</v>
      </c>
      <c r="B39" s="168">
        <f>D39+TableA1!C39+TableA1!H39+TableA1!I39</f>
        <v>1209.899512812462</v>
      </c>
      <c r="C39" s="168">
        <f>B39-TableA1!M39</f>
        <v>1000.0929229597572</v>
      </c>
      <c r="D39" s="168">
        <f t="shared" si="12"/>
        <v>691.08475024701318</v>
      </c>
      <c r="E39" s="1581">
        <f>TableA2!C39</f>
        <v>393.17191976124013</v>
      </c>
      <c r="F39" s="1106">
        <f t="shared" si="13"/>
        <v>164.30799761658403</v>
      </c>
      <c r="G39" s="1107">
        <f>TableA2!E39-TableA6!D39*TableC2!D$95-O39</f>
        <v>-9.0077359869128184</v>
      </c>
      <c r="H39" s="1113">
        <f>TableA2!F39+TableA6!D39+N39</f>
        <v>173.31573360349685</v>
      </c>
      <c r="I39" s="1114">
        <f>TableA2!G39</f>
        <v>133.60483286918893</v>
      </c>
      <c r="J39" s="1109">
        <f t="shared" si="14"/>
        <v>0.43108002365743203</v>
      </c>
      <c r="K39" s="422">
        <f t="shared" si="15"/>
        <v>0.29473348275831535</v>
      </c>
      <c r="L39" s="1110">
        <f t="shared" si="16"/>
        <v>0.70526651724168465</v>
      </c>
      <c r="M39" s="1582">
        <f>K39-TableA2!I39</f>
        <v>1.566007374782602E-2</v>
      </c>
      <c r="N39" s="1583">
        <f>TableC4!C40/1000</f>
        <v>14.362071520602967</v>
      </c>
      <c r="O39" s="1583">
        <f>N39*TableC2!D$95</f>
        <v>2.2524105257351446</v>
      </c>
      <c r="P39" s="444">
        <f t="shared" si="17"/>
        <v>12.109660994867824</v>
      </c>
      <c r="Q39" s="1145"/>
      <c r="R39" s="1145"/>
      <c r="S39" s="1579"/>
      <c r="T39" s="1580"/>
    </row>
    <row r="40" spans="1:20" x14ac:dyDescent="0.2">
      <c r="A40" s="1080" t="s">
        <v>59</v>
      </c>
      <c r="B40" s="168">
        <f>D40+TableA1!C40+TableA1!H40+TableA1!I40</f>
        <v>505.11968629490775</v>
      </c>
      <c r="C40" s="168">
        <f>B40-TableA1!M40</f>
        <v>423.55146230586041</v>
      </c>
      <c r="D40" s="168">
        <f t="shared" si="12"/>
        <v>295.02692935971481</v>
      </c>
      <c r="E40" s="1581">
        <f>TableA2!C40</f>
        <v>164.05430760342725</v>
      </c>
      <c r="F40" s="1106">
        <f t="shared" si="13"/>
        <v>73.321031169102838</v>
      </c>
      <c r="G40" s="1107">
        <f>TableA2!E40-TableA6!D40*TableC2!D$95-O40</f>
        <v>1.4121787549372631</v>
      </c>
      <c r="H40" s="1113">
        <f>TableA2!F40+TableA6!D40+N40</f>
        <v>71.90885241416558</v>
      </c>
      <c r="I40" s="1114">
        <f>TableA2!G40</f>
        <v>57.651590587184749</v>
      </c>
      <c r="J40" s="1109">
        <f t="shared" si="14"/>
        <v>0.44393446401836012</v>
      </c>
      <c r="K40" s="422">
        <f t="shared" si="15"/>
        <v>0.30888226025604232</v>
      </c>
      <c r="L40" s="1110">
        <f t="shared" si="16"/>
        <v>0.69111773974395763</v>
      </c>
      <c r="M40" s="1582">
        <f>K40-TableA2!I40</f>
        <v>2.1623423049974166E-2</v>
      </c>
      <c r="N40" s="1583">
        <f>TableC4!C41/1000</f>
        <v>8.5410900580049951</v>
      </c>
      <c r="O40" s="1583">
        <f>N40*TableC2!D$95</f>
        <v>1.3395032269756146</v>
      </c>
      <c r="P40" s="444">
        <f t="shared" si="17"/>
        <v>7.2015868310293802</v>
      </c>
      <c r="Q40" s="1145"/>
      <c r="R40" s="1145"/>
      <c r="S40" s="1579"/>
      <c r="T40" s="1580"/>
    </row>
    <row r="41" spans="1:20" x14ac:dyDescent="0.2">
      <c r="A41" s="1080" t="s">
        <v>60</v>
      </c>
      <c r="B41" s="168">
        <f>D41+TableA1!C41+TableA1!H41+TableA1!I41</f>
        <v>626.63587828634672</v>
      </c>
      <c r="C41" s="168">
        <f>B41-TableA1!M41</f>
        <v>486.33856183891066</v>
      </c>
      <c r="D41" s="168">
        <f t="shared" si="12"/>
        <v>430.86705107550193</v>
      </c>
      <c r="E41" s="1581">
        <f>TableA2!C41</f>
        <v>321.15382930461016</v>
      </c>
      <c r="F41" s="1106">
        <f t="shared" si="13"/>
        <v>12.187140520326732</v>
      </c>
      <c r="G41" s="1107">
        <f>TableA2!E41-TableA6!D41*TableC2!M$95-O41</f>
        <v>-24.549373684050142</v>
      </c>
      <c r="H41" s="1113">
        <f>TableA2!F41+TableA6!D41+N41</f>
        <v>36.736514204376874</v>
      </c>
      <c r="I41" s="1114">
        <f>TableA2!G41</f>
        <v>97.526081250565014</v>
      </c>
      <c r="J41" s="1109">
        <f t="shared" si="14"/>
        <v>0.2546335847613152</v>
      </c>
      <c r="K41" s="422">
        <f t="shared" si="15"/>
        <v>3.6560583977202507E-2</v>
      </c>
      <c r="L41" s="1110">
        <f t="shared" si="16"/>
        <v>0.96343941602279748</v>
      </c>
      <c r="M41" s="1582">
        <f>K41-TableA2!I41</f>
        <v>-0.13142280044504173</v>
      </c>
      <c r="N41" s="1583">
        <f>-TableA7!P41</f>
        <v>-58.152724672949248</v>
      </c>
      <c r="O41" s="1583">
        <f>N41*TableC2!M$95</f>
        <v>-5.4992043739123462</v>
      </c>
      <c r="P41" s="444">
        <f t="shared" si="17"/>
        <v>-52.653520299036899</v>
      </c>
      <c r="Q41" s="1145"/>
      <c r="R41" s="1145"/>
      <c r="S41" s="1579"/>
      <c r="T41" s="1580"/>
    </row>
    <row r="42" spans="1:20" x14ac:dyDescent="0.2">
      <c r="A42" s="1080" t="s">
        <v>61</v>
      </c>
      <c r="B42" s="168">
        <f>D42+TableA1!C42+TableA1!H42+TableA1!I42</f>
        <v>863.57834771447119</v>
      </c>
      <c r="C42" s="168">
        <f>B42-TableA1!M42</f>
        <v>737.4293567001032</v>
      </c>
      <c r="D42" s="168">
        <f t="shared" si="12"/>
        <v>465.95237294747596</v>
      </c>
      <c r="E42" s="1581">
        <f>TableA2!C42</f>
        <v>180.37437743772173</v>
      </c>
      <c r="F42" s="1106">
        <f t="shared" si="13"/>
        <v>222.82099550975423</v>
      </c>
      <c r="G42" s="1107">
        <f>TableA2!E42-TableA6!D42*TableC2!D$95-O42</f>
        <v>5.2460093834438544</v>
      </c>
      <c r="H42" s="1113">
        <f>TableA2!F42+TableA6!D42+N42</f>
        <v>217.57498612631036</v>
      </c>
      <c r="I42" s="1114">
        <f>TableA2!G42</f>
        <v>62.756999999999998</v>
      </c>
      <c r="J42" s="1109">
        <f t="shared" si="14"/>
        <v>0.61289095643675517</v>
      </c>
      <c r="K42" s="422">
        <f t="shared" si="15"/>
        <v>0.55263777925046031</v>
      </c>
      <c r="L42" s="1110">
        <f t="shared" si="16"/>
        <v>0.44736222074953969</v>
      </c>
      <c r="M42" s="1582">
        <f>K42-TableA2!I42</f>
        <v>4.7036739365931002E-3</v>
      </c>
      <c r="N42" s="1583">
        <f>TableC4!C43/1000</f>
        <v>4.9754928205897597</v>
      </c>
      <c r="O42" s="1583">
        <f>N42*TableC2!D$95</f>
        <v>0.78030891182649653</v>
      </c>
      <c r="P42" s="444">
        <f t="shared" si="17"/>
        <v>4.195183908763263</v>
      </c>
      <c r="Q42" s="1145"/>
      <c r="R42" s="1145"/>
      <c r="S42" s="1579"/>
      <c r="T42" s="1580"/>
    </row>
    <row r="43" spans="1:20" x14ac:dyDescent="0.2">
      <c r="A43" s="1080" t="s">
        <v>62</v>
      </c>
      <c r="B43" s="168">
        <f>D43+TableA1!C43+TableA1!H43+TableA1!I43</f>
        <v>2912.9485053029748</v>
      </c>
      <c r="C43" s="168">
        <f>B43-TableA1!M43</f>
        <v>2538.5051897173389</v>
      </c>
      <c r="D43" s="168">
        <f t="shared" si="12"/>
        <v>1671.3975042258912</v>
      </c>
      <c r="E43" s="1581">
        <f>TableA2!C43</f>
        <v>1012.5690365062753</v>
      </c>
      <c r="F43" s="1106">
        <f t="shared" si="13"/>
        <v>454.00679770456736</v>
      </c>
      <c r="G43" s="1107">
        <f>TableA2!E43-TableA6!D43*TableC2!D$95-O43</f>
        <v>-32.545092597221611</v>
      </c>
      <c r="H43" s="1113">
        <f>TableA2!F43+TableA6!D43+N43</f>
        <v>486.551890301789</v>
      </c>
      <c r="I43" s="1114">
        <f>TableA2!G43</f>
        <v>204.82167001504862</v>
      </c>
      <c r="J43" s="1109">
        <f t="shared" si="14"/>
        <v>0.39417820479799798</v>
      </c>
      <c r="K43" s="422">
        <f t="shared" si="15"/>
        <v>0.3095692613460157</v>
      </c>
      <c r="L43" s="1110">
        <f t="shared" si="16"/>
        <v>0.6904307386539843</v>
      </c>
      <c r="M43" s="1582">
        <f>K43-TableA2!I43</f>
        <v>2.5307308296441178E-2</v>
      </c>
      <c r="N43" s="1583">
        <f>TableC4!C44/1000</f>
        <v>61.500900683046368</v>
      </c>
      <c r="O43" s="1583">
        <f>N43*TableC2!D$95</f>
        <v>9.6452155834181248</v>
      </c>
      <c r="P43" s="444">
        <f t="shared" si="17"/>
        <v>51.855685099628246</v>
      </c>
      <c r="Q43" s="1145"/>
      <c r="R43" s="1145"/>
      <c r="S43" s="1579"/>
      <c r="T43" s="1580"/>
    </row>
    <row r="44" spans="1:20" x14ac:dyDescent="0.2">
      <c r="A44" s="1080" t="s">
        <v>63</v>
      </c>
      <c r="B44" s="168">
        <f>D44+TableA1!C44+TableA1!H44+TableA1!I44</f>
        <v>18240.920323266942</v>
      </c>
      <c r="C44" s="168">
        <f>B44-TableA1!M44</f>
        <v>15399.374523266943</v>
      </c>
      <c r="D44" s="168">
        <f t="shared" si="12"/>
        <v>9869.9701232669413</v>
      </c>
      <c r="E44" s="1581">
        <f>TableA2!C44</f>
        <v>6036.1069000000007</v>
      </c>
      <c r="F44" s="1106">
        <f t="shared" si="13"/>
        <v>2282.9705232669398</v>
      </c>
      <c r="G44" s="1107">
        <f>TableA2!E44-TableA6!D44*TableC2!D$95-O44</f>
        <v>251.00831466343806</v>
      </c>
      <c r="H44" s="1113">
        <f>TableA2!F44+TableA6!D44+N44</f>
        <v>2031.9622086035019</v>
      </c>
      <c r="I44" s="1114">
        <f>TableA2!G44</f>
        <v>1550.8926999999999</v>
      </c>
      <c r="J44" s="1109">
        <f t="shared" si="14"/>
        <v>0.38843716600815181</v>
      </c>
      <c r="K44" s="422">
        <f t="shared" si="15"/>
        <v>0.27442592575011837</v>
      </c>
      <c r="L44" s="1110">
        <f t="shared" si="16"/>
        <v>0.72557407424988163</v>
      </c>
      <c r="M44" s="1582">
        <f>K44-TableA2!I44</f>
        <v>1.0637914066997212E-2</v>
      </c>
      <c r="N44" s="1583">
        <f>TableC4!C45/1000</f>
        <v>142.56530860350179</v>
      </c>
      <c r="O44" s="1583">
        <f>N44*TableC2!D$95</f>
        <v>22.358585336561887</v>
      </c>
      <c r="P44" s="444">
        <f t="shared" si="17"/>
        <v>120.2067232669399</v>
      </c>
      <c r="Q44" s="1145"/>
      <c r="R44" s="1145"/>
      <c r="S44" s="1579"/>
      <c r="T44" s="1580"/>
    </row>
    <row r="45" spans="1:20" ht="40" customHeight="1" x14ac:dyDescent="0.2">
      <c r="A45" s="187" t="s">
        <v>64</v>
      </c>
      <c r="B45" s="168">
        <f>D45+TableA1!C45+TableA1!H45+TableA1!I45</f>
        <v>17809.44305859978</v>
      </c>
      <c r="C45" s="168">
        <f>B45-TableA1!M45</f>
        <v>15256.58509023859</v>
      </c>
      <c r="D45" s="168">
        <f t="shared" si="6"/>
        <v>9545.2288959891157</v>
      </c>
      <c r="E45" s="207">
        <f>SUM(E46:E52)</f>
        <v>4635.4243070321654</v>
      </c>
      <c r="F45" s="208">
        <f t="shared" ref="F45:I45" si="18">SUM(F46:F52)</f>
        <v>3417.4731865180097</v>
      </c>
      <c r="G45" s="209">
        <f t="shared" si="18"/>
        <v>157.77248356116846</v>
      </c>
      <c r="H45" s="175">
        <f t="shared" si="18"/>
        <v>3259.7007029568408</v>
      </c>
      <c r="I45" s="781">
        <f t="shared" si="18"/>
        <v>1492.331402438941</v>
      </c>
      <c r="J45" s="195">
        <f t="shared" si="8"/>
        <v>0.51437264024334084</v>
      </c>
      <c r="K45" s="176">
        <f t="shared" si="9"/>
        <v>0.424378081213026</v>
      </c>
      <c r="L45" s="196">
        <f t="shared" si="10"/>
        <v>0.575621918786974</v>
      </c>
      <c r="M45" s="1587">
        <f>K45-TableA2!I45</f>
        <v>6.9176574567444971E-3</v>
      </c>
      <c r="N45" s="175">
        <f>SUM(N46:N52)</f>
        <v>102.59915789568896</v>
      </c>
      <c r="O45" s="445">
        <f>SUM(O46:O52)</f>
        <v>6.971000313910797</v>
      </c>
      <c r="P45" s="446">
        <f>SUM(P46:P52)</f>
        <v>95.628157581778169</v>
      </c>
      <c r="Q45" s="1145"/>
      <c r="R45" s="1145"/>
      <c r="S45" s="1579"/>
      <c r="T45" s="1580"/>
    </row>
    <row r="46" spans="1:20" x14ac:dyDescent="0.2">
      <c r="A46" s="1094" t="s">
        <v>65</v>
      </c>
      <c r="B46" s="168">
        <f>D46+TableA1!C46+TableA1!H46+TableA1!I46</f>
        <v>2469.2901668611826</v>
      </c>
      <c r="C46" s="168">
        <f>B46-TableA1!M46</f>
        <v>2091.1959975872232</v>
      </c>
      <c r="D46" s="168">
        <f t="shared" si="6"/>
        <v>1118.3141189625433</v>
      </c>
      <c r="E46" s="1581">
        <f>TableA2!C46</f>
        <v>683.84777930021517</v>
      </c>
      <c r="F46" s="1106">
        <f t="shared" si="7"/>
        <v>241.51273966232807</v>
      </c>
      <c r="G46" s="1107">
        <f>TableA2!E46-TableA6!D46*TableC2!D$95-O46</f>
        <v>-47.035024951681443</v>
      </c>
      <c r="H46" s="1113">
        <f>TableA2!F46+TableA6!D46+N46</f>
        <v>288.54776461400951</v>
      </c>
      <c r="I46" s="1114">
        <f>TableA2!G46</f>
        <v>192.95359999999999</v>
      </c>
      <c r="J46" s="1109">
        <f t="shared" si="8"/>
        <v>0.38850116643915866</v>
      </c>
      <c r="K46" s="24">
        <f t="shared" si="9"/>
        <v>0.26099313155600928</v>
      </c>
      <c r="L46" s="1110">
        <f t="shared" si="10"/>
        <v>0.73900686844399077</v>
      </c>
      <c r="M46" s="1582">
        <f>K46-TableA2!I46</f>
        <v>1.0732440289047795E-2</v>
      </c>
      <c r="N46" s="1583">
        <f>TableC4!C47/1000</f>
        <v>14.212064614009524</v>
      </c>
      <c r="O46" s="1583">
        <f>N46*TableC2!N$95</f>
        <v>0.96562495168143825</v>
      </c>
      <c r="P46" s="444">
        <f t="shared" ref="P46:P52" si="19">N46-O46</f>
        <v>13.246439662328086</v>
      </c>
      <c r="Q46" s="1145"/>
      <c r="R46" s="1145"/>
      <c r="S46" s="1579"/>
      <c r="T46" s="1580"/>
    </row>
    <row r="47" spans="1:20" x14ac:dyDescent="0.2">
      <c r="A47" s="1080" t="s">
        <v>66</v>
      </c>
      <c r="B47" s="168">
        <f>D47+TableA1!C47+TableA1!H47+TableA1!I47</f>
        <v>11119.48344059084</v>
      </c>
      <c r="C47" s="168">
        <f>B47-TableA1!M47</f>
        <v>9640.1718220236653</v>
      </c>
      <c r="D47" s="168">
        <f t="shared" si="6"/>
        <v>6268.2582259294122</v>
      </c>
      <c r="E47" s="1581">
        <f>TableA2!C47</f>
        <v>3000.3468631285727</v>
      </c>
      <c r="F47" s="1106">
        <f t="shared" si="7"/>
        <v>2318.564469335543</v>
      </c>
      <c r="G47" s="1107">
        <f>TableA2!E47-TableA6!D47*TableC2!D$95-O47</f>
        <v>189.33458886333739</v>
      </c>
      <c r="H47" s="1113">
        <f>TableA2!F47+TableA6!D47+N47</f>
        <v>2129.2298804722054</v>
      </c>
      <c r="I47" s="1114">
        <f>TableA2!G47</f>
        <v>949.34689346529626</v>
      </c>
      <c r="J47" s="1109">
        <f t="shared" si="8"/>
        <v>0.52134281087571133</v>
      </c>
      <c r="K47" s="24">
        <f t="shared" si="9"/>
        <v>0.43590959209718794</v>
      </c>
      <c r="L47" s="1110">
        <f t="shared" si="10"/>
        <v>0.56409040790281206</v>
      </c>
      <c r="M47" s="1582">
        <f>K47-TableA2!I47</f>
        <v>6.0469916317176242E-3</v>
      </c>
      <c r="N47" s="1583">
        <f>TableC4!C48/1000</f>
        <v>60.525807931300939</v>
      </c>
      <c r="O47" s="1583">
        <f>N47*TableC2!N$95</f>
        <v>4.112367340458766</v>
      </c>
      <c r="P47" s="444">
        <f t="shared" si="19"/>
        <v>56.413440590842171</v>
      </c>
      <c r="Q47" s="1145"/>
      <c r="R47" s="1145"/>
      <c r="S47" s="1579"/>
      <c r="T47" s="1580"/>
    </row>
    <row r="48" spans="1:20" x14ac:dyDescent="0.2">
      <c r="A48" s="1080" t="s">
        <v>67</v>
      </c>
      <c r="B48" s="168">
        <f>D48+TableA1!C48+TableA1!H48+TableA1!I48</f>
        <v>292.82784154635203</v>
      </c>
      <c r="C48" s="168">
        <f>B48-TableA1!M48</f>
        <v>259.53565568065056</v>
      </c>
      <c r="D48" s="168">
        <f t="shared" si="6"/>
        <v>136.33234971080213</v>
      </c>
      <c r="E48" s="1581">
        <f>TableA2!C48</f>
        <v>54.170478374899503</v>
      </c>
      <c r="F48" s="1106">
        <f t="shared" si="7"/>
        <v>64.896071335902633</v>
      </c>
      <c r="G48" s="1107">
        <f>TableA2!E48-TableA6!D48*TableC2!D$95-O48</f>
        <v>4.8917200874089843</v>
      </c>
      <c r="H48" s="1113">
        <f>TableA2!F48+TableA6!D48+N48</f>
        <v>60.004351248493656</v>
      </c>
      <c r="I48" s="1114">
        <f>TableA2!G48</f>
        <v>17.265799999999999</v>
      </c>
      <c r="J48" s="1109">
        <f t="shared" si="8"/>
        <v>0.60265866106019761</v>
      </c>
      <c r="K48" s="24">
        <f t="shared" si="9"/>
        <v>0.54504032823263238</v>
      </c>
      <c r="L48" s="1110">
        <f t="shared" si="10"/>
        <v>0.45495967176736762</v>
      </c>
      <c r="M48" s="1582">
        <f>K48-TableA2!I48</f>
        <v>5.0544292692408233E-3</v>
      </c>
      <c r="N48" s="1583">
        <f>TableC4!C49/1000</f>
        <v>1.4036174395306298</v>
      </c>
      <c r="O48" s="1583">
        <f>N48*TableC2!N$95</f>
        <v>9.5367426129623442E-2</v>
      </c>
      <c r="P48" s="444">
        <f t="shared" si="19"/>
        <v>1.3082500134010064</v>
      </c>
      <c r="Q48" s="1145"/>
      <c r="R48" s="1145"/>
      <c r="S48" s="1579"/>
      <c r="T48" s="1580"/>
    </row>
    <row r="49" spans="1:26" x14ac:dyDescent="0.2">
      <c r="A49" s="1080" t="s">
        <v>68</v>
      </c>
      <c r="B49" s="168">
        <f>D49+TableA1!C49+TableA1!H49+TableA1!I49</f>
        <v>55.728945250015194</v>
      </c>
      <c r="C49" s="168">
        <f>B49-TableA1!M49</f>
        <v>52.816558147114833</v>
      </c>
      <c r="D49" s="168">
        <f t="shared" si="6"/>
        <v>30.973169713358594</v>
      </c>
      <c r="E49" s="1581">
        <f>TableA2!C49</f>
        <v>15.631819704056245</v>
      </c>
      <c r="F49" s="1106">
        <f t="shared" si="7"/>
        <v>12.740117071398378</v>
      </c>
      <c r="G49" s="1107">
        <f>TableA2!E49-TableA6!D49*TableC2!D$95-O49</f>
        <v>-1.5201430895601185</v>
      </c>
      <c r="H49" s="1113">
        <f>TableA2!F49+TableA6!D49+N49</f>
        <v>14.260260160958497</v>
      </c>
      <c r="I49" s="1114">
        <f>TableA2!G49</f>
        <v>2.601232937903974</v>
      </c>
      <c r="J49" s="1109">
        <f t="shared" si="8"/>
        <v>0.49531094657986185</v>
      </c>
      <c r="K49" s="24">
        <f t="shared" si="9"/>
        <v>0.44903938607463062</v>
      </c>
      <c r="L49" s="1110">
        <f t="shared" si="10"/>
        <v>0.55096061392536932</v>
      </c>
      <c r="M49" s="1582">
        <f>K49-TableA2!I49</f>
        <v>1.9829796718775217E-2</v>
      </c>
      <c r="N49" s="1583">
        <f>TableC4!C50/1000</f>
        <v>1.0575199886874607</v>
      </c>
      <c r="O49" s="1583">
        <f>N49*TableC2!N$95</f>
        <v>7.1852170371634091E-2</v>
      </c>
      <c r="P49" s="444">
        <f t="shared" si="19"/>
        <v>0.98566781831582662</v>
      </c>
      <c r="Q49" s="1145"/>
      <c r="R49" s="1145"/>
      <c r="S49" s="1579"/>
      <c r="T49" s="1580"/>
      <c r="U49" s="958"/>
      <c r="V49" s="958"/>
      <c r="W49" s="958"/>
      <c r="X49" s="958"/>
      <c r="Y49" s="958"/>
      <c r="Z49" s="958"/>
    </row>
    <row r="50" spans="1:26" x14ac:dyDescent="0.2">
      <c r="A50" s="1080" t="s">
        <v>69</v>
      </c>
      <c r="B50" s="168">
        <f>D50+TableA1!C50+TableA1!H50+TableA1!I50</f>
        <v>2141.5870771642799</v>
      </c>
      <c r="C50" s="168">
        <f>B50-TableA1!M50</f>
        <v>1701.5350892334513</v>
      </c>
      <c r="D50" s="168">
        <f t="shared" si="6"/>
        <v>927.84833216225763</v>
      </c>
      <c r="E50" s="1581">
        <f>TableA2!C50</f>
        <v>318.62573018831665</v>
      </c>
      <c r="F50" s="1106">
        <f t="shared" si="7"/>
        <v>400.98167945411836</v>
      </c>
      <c r="G50" s="1107">
        <f>TableA2!E50-TableA6!D50*TableC2!D$95-O50</f>
        <v>15.378173483375601</v>
      </c>
      <c r="H50" s="1113">
        <f>TableA2!F50+TableA6!D50+N50</f>
        <v>385.60350597074279</v>
      </c>
      <c r="I50" s="1114">
        <f>TableA2!G50</f>
        <v>208.24092251982265</v>
      </c>
      <c r="J50" s="1109">
        <f t="shared" si="8"/>
        <v>0.65659718388910471</v>
      </c>
      <c r="K50" s="24">
        <f t="shared" si="9"/>
        <v>0.55722283300746134</v>
      </c>
      <c r="L50" s="1110">
        <f t="shared" si="10"/>
        <v>0.44277716699253866</v>
      </c>
      <c r="M50" s="1582">
        <f>K50-TableA2!I50</f>
        <v>5.5022267210326214E-3</v>
      </c>
      <c r="N50" s="1583">
        <f>TableC4!C51/1000</f>
        <v>9.476399038744594</v>
      </c>
      <c r="O50" s="1583">
        <f>N50*TableC2!N$95</f>
        <v>0.64386474537144578</v>
      </c>
      <c r="P50" s="444">
        <f t="shared" si="19"/>
        <v>8.8325342933731488</v>
      </c>
      <c r="Q50" s="1145"/>
      <c r="R50" s="1145"/>
      <c r="S50" s="1579"/>
      <c r="T50" s="1580"/>
      <c r="U50" s="958"/>
      <c r="V50" s="958"/>
      <c r="W50" s="958"/>
      <c r="X50" s="958"/>
      <c r="Y50" s="958"/>
      <c r="Z50" s="958"/>
    </row>
    <row r="51" spans="1:26" x14ac:dyDescent="0.2">
      <c r="A51" s="1080" t="s">
        <v>70</v>
      </c>
      <c r="B51" s="168">
        <f>D51+TableA1!C51+TableA1!H51+TableA1!I51</f>
        <v>1376.9036836173279</v>
      </c>
      <c r="C51" s="168">
        <f>B51-TableA1!M51</f>
        <v>1215.0747584782719</v>
      </c>
      <c r="D51" s="168">
        <f t="shared" si="6"/>
        <v>867.37993716501126</v>
      </c>
      <c r="E51" s="1581">
        <f>TableA2!C51</f>
        <v>465.66449313355542</v>
      </c>
      <c r="F51" s="1106">
        <f t="shared" si="7"/>
        <v>315.63182790907501</v>
      </c>
      <c r="G51" s="1107">
        <f>TableA2!E51-TableA6!D51*TableC2!D$95-O51</f>
        <v>14.124711968382407</v>
      </c>
      <c r="H51" s="1113">
        <f>TableA2!F51+TableA6!D51+N51</f>
        <v>301.50711594069259</v>
      </c>
      <c r="I51" s="1114">
        <f>TableA2!G51</f>
        <v>86.083616122380846</v>
      </c>
      <c r="J51" s="1109">
        <f t="shared" si="8"/>
        <v>0.4631366565203745</v>
      </c>
      <c r="K51" s="24">
        <f t="shared" si="9"/>
        <v>0.40398478708803875</v>
      </c>
      <c r="L51" s="1110">
        <f t="shared" si="10"/>
        <v>0.59601521291196125</v>
      </c>
      <c r="M51" s="1582">
        <f>K51-TableA2!I51</f>
        <v>8.5413937003187557E-3</v>
      </c>
      <c r="N51" s="1583">
        <f>TableC4!C52/1000</f>
        <v>11.84310434933391</v>
      </c>
      <c r="O51" s="1583">
        <f>N51*TableC2!N$95</f>
        <v>0.80466824319182795</v>
      </c>
      <c r="P51" s="444">
        <f t="shared" si="19"/>
        <v>11.038436106142083</v>
      </c>
      <c r="Q51" s="1145"/>
      <c r="R51" s="1145"/>
      <c r="S51" s="1579"/>
      <c r="T51" s="1580"/>
      <c r="U51" s="958"/>
      <c r="V51" s="958"/>
      <c r="W51" s="958"/>
      <c r="X51" s="958"/>
      <c r="Y51" s="958"/>
      <c r="Z51" s="958"/>
    </row>
    <row r="52" spans="1:26" x14ac:dyDescent="0.2">
      <c r="A52" s="1080" t="s">
        <v>71</v>
      </c>
      <c r="B52" s="168">
        <f>D52+TableA1!C52+TableA1!H52+TableA1!I52</f>
        <v>353.62190356977783</v>
      </c>
      <c r="C52" s="168">
        <f>B52-TableA1!M52</f>
        <v>296.25520908820994</v>
      </c>
      <c r="D52" s="168">
        <f t="shared" si="6"/>
        <v>196.12276234573091</v>
      </c>
      <c r="E52" s="1581">
        <f>TableA2!C52</f>
        <v>97.137143202548756</v>
      </c>
      <c r="F52" s="1106">
        <f t="shared" si="7"/>
        <v>63.146281749644551</v>
      </c>
      <c r="G52" s="1107">
        <f>TableA2!E52-TableA6!D52*TableC2!D$95-O52</f>
        <v>-17.40154280009434</v>
      </c>
      <c r="H52" s="1113">
        <f>TableA2!F52+TableA6!D52+N52</f>
        <v>80.547824549738891</v>
      </c>
      <c r="I52" s="1114">
        <f>TableA2!G52</f>
        <v>35.839337393537583</v>
      </c>
      <c r="J52" s="1109">
        <f t="shared" si="8"/>
        <v>0.50471254819819134</v>
      </c>
      <c r="K52" s="24">
        <f t="shared" si="9"/>
        <v>0.39396638653359684</v>
      </c>
      <c r="L52" s="1110">
        <f t="shared" si="10"/>
        <v>0.60603361346640316</v>
      </c>
      <c r="M52" s="1582">
        <f>K52-TableA2!I52</f>
        <v>1.4730196254811478E-2</v>
      </c>
      <c r="N52" s="1583">
        <f>TableC4!C53/1000</f>
        <v>4.0806445340819</v>
      </c>
      <c r="O52" s="1583">
        <f>N52*TableC2!N$95</f>
        <v>0.27725543670606051</v>
      </c>
      <c r="P52" s="444">
        <f t="shared" si="19"/>
        <v>3.8033890973758395</v>
      </c>
      <c r="Q52" s="1145"/>
      <c r="R52" s="1145"/>
      <c r="S52" s="1579"/>
      <c r="T52" s="1580"/>
      <c r="U52" s="958"/>
      <c r="V52" s="958"/>
      <c r="W52" s="958"/>
      <c r="X52" s="958"/>
      <c r="Y52" s="958"/>
      <c r="Z52" s="958"/>
    </row>
    <row r="53" spans="1:26" ht="40" customHeight="1" x14ac:dyDescent="0.2">
      <c r="A53" s="187" t="s">
        <v>72</v>
      </c>
      <c r="B53" s="168">
        <f>D53+TableA1!C53+TableA1!H53+TableA1!I53</f>
        <v>880.92556851665404</v>
      </c>
      <c r="C53" s="168">
        <f>B53-TableA1!M53</f>
        <v>731.34268759349288</v>
      </c>
      <c r="D53" s="168">
        <f t="shared" si="6"/>
        <v>549.82023190327607</v>
      </c>
      <c r="E53" s="207">
        <f>SUM(E54:E89)</f>
        <v>314.67446275208073</v>
      </c>
      <c r="F53" s="175">
        <f>SUM(F54:F89)</f>
        <v>127.44325569952831</v>
      </c>
      <c r="G53" s="175">
        <f>SUM(G54:G89)</f>
        <v>-23.58887121334535</v>
      </c>
      <c r="H53" s="175">
        <f>SUM(H54:H89)</f>
        <v>151.03212691287365</v>
      </c>
      <c r="I53" s="781">
        <f>SUM(I54:I89)</f>
        <v>107.70251345166704</v>
      </c>
      <c r="J53" s="195">
        <f t="shared" si="8"/>
        <v>0.4276775489639712</v>
      </c>
      <c r="K53" s="176">
        <f t="shared" si="9"/>
        <v>0.28825638598213593</v>
      </c>
      <c r="L53" s="196">
        <f t="shared" si="10"/>
        <v>0.71174361401786412</v>
      </c>
      <c r="M53" s="688">
        <f>K53-TableA2!I53</f>
        <v>-0.16905566045392001</v>
      </c>
      <c r="N53" s="175">
        <f>SUM(N54:N89)</f>
        <v>-334.72013422680857</v>
      </c>
      <c r="O53" s="445">
        <f>N53*TableC2!N$95</f>
        <v>-22.742235010735786</v>
      </c>
      <c r="P53" s="446">
        <f>SUM(P54:P89)</f>
        <v>-311.97789921607279</v>
      </c>
      <c r="Q53" s="958"/>
      <c r="R53" s="958"/>
      <c r="S53" s="1579"/>
      <c r="T53" s="1580"/>
      <c r="U53" s="958"/>
      <c r="V53" s="958"/>
      <c r="W53" s="958"/>
      <c r="X53" s="958"/>
      <c r="Y53" s="958"/>
      <c r="Z53" s="958"/>
    </row>
    <row r="54" spans="1:26" x14ac:dyDescent="0.2">
      <c r="A54" s="1080" t="s">
        <v>73</v>
      </c>
      <c r="B54" s="168">
        <f>D54+TableA1!C54+TableA1!H54+TableA1!I54</f>
        <v>1.904046575412023</v>
      </c>
      <c r="C54" s="168">
        <f>B54-TableA1!M54</f>
        <v>1.564839922503336</v>
      </c>
      <c r="D54" s="168">
        <f t="shared" si="6"/>
        <v>0.98275657541202288</v>
      </c>
      <c r="E54" s="1581">
        <f>TableA2!C54</f>
        <v>0.50910500000000003</v>
      </c>
      <c r="F54" s="1106">
        <f t="shared" si="7"/>
        <v>0.21804957541202286</v>
      </c>
      <c r="G54" s="1107">
        <f>TableA2!E54-TableA6!D54*TableC2!N$95-O54</f>
        <v>-2.630203259424245E-2</v>
      </c>
      <c r="H54" s="1113">
        <f>TableA2!F54+TableA6!D54+N54</f>
        <v>0.24435160800626532</v>
      </c>
      <c r="I54" s="1114">
        <f>TableA2!G54</f>
        <v>0.255602</v>
      </c>
      <c r="J54" s="1109">
        <f t="shared" si="8"/>
        <v>0.48196225521405783</v>
      </c>
      <c r="K54" s="24">
        <f t="shared" si="9"/>
        <v>0.29986688220791408</v>
      </c>
      <c r="L54" s="1110">
        <f t="shared" si="10"/>
        <v>0.70013311779208598</v>
      </c>
      <c r="M54" s="1582">
        <f>K54-TableA2!I54</f>
        <v>-0.38867733477999372</v>
      </c>
      <c r="N54" s="1583">
        <f>-TableA7!P54</f>
        <v>-0.97359327582033472</v>
      </c>
      <c r="O54" s="1583">
        <f>N54*TableC2!N$95</f>
        <v>-6.6149851232357615E-2</v>
      </c>
      <c r="P54" s="444">
        <f>N54-O54</f>
        <v>-0.90744342458797711</v>
      </c>
      <c r="Q54" s="958"/>
      <c r="R54" s="958"/>
      <c r="S54" s="1579"/>
      <c r="T54" s="1580"/>
      <c r="U54" s="958"/>
      <c r="V54" s="958"/>
      <c r="W54" s="958"/>
      <c r="X54" s="958"/>
      <c r="Y54" s="958"/>
      <c r="Z54" s="958"/>
    </row>
    <row r="55" spans="1:26" x14ac:dyDescent="0.2">
      <c r="A55" s="1080" t="s">
        <v>74</v>
      </c>
      <c r="B55" s="168">
        <f>D55+TableA1!C55+TableA1!H55+TableA1!I55</f>
        <v>0.19717262648607711</v>
      </c>
      <c r="C55" s="168">
        <f>B55-TableA1!M55</f>
        <v>0.16507134962092579</v>
      </c>
      <c r="D55" s="168">
        <f t="shared" si="6"/>
        <v>9.3004626486077102E-2</v>
      </c>
      <c r="E55" s="1581">
        <f>TableA2!C55</f>
        <v>4.8179904000000003E-2</v>
      </c>
      <c r="F55" s="1106">
        <f t="shared" si="7"/>
        <v>2.0635446486077104E-2</v>
      </c>
      <c r="G55" s="1107">
        <f>TableA2!E55-TableA6!D55*TableC2!N$95-O55</f>
        <v>-2.4891290258261204E-3</v>
      </c>
      <c r="H55" s="1113">
        <f>TableA2!F55+TableA6!D55+N55</f>
        <v>2.3124575511903223E-2</v>
      </c>
      <c r="I55" s="1114">
        <f>TableA2!G55</f>
        <v>2.4189275999999999E-2</v>
      </c>
      <c r="J55" s="1109">
        <f t="shared" si="8"/>
        <v>0.48196228703512312</v>
      </c>
      <c r="K55" s="24">
        <f t="shared" si="9"/>
        <v>0.29986690964034424</v>
      </c>
      <c r="L55" s="1110">
        <f t="shared" si="10"/>
        <v>0.70013309035965576</v>
      </c>
      <c r="M55" s="1582">
        <f>K55-TableA2!I55</f>
        <v>-0.38867756256120545</v>
      </c>
      <c r="N55" s="1583">
        <f>-TableA7!P55</f>
        <v>-0.21683698740995794</v>
      </c>
      <c r="O55" s="1583">
        <f>N55*TableC2!N$95</f>
        <v>-1.473277888731874E-2</v>
      </c>
      <c r="P55" s="444">
        <f t="shared" ref="P55:P90" si="20">N55-O55</f>
        <v>-0.20210420852263919</v>
      </c>
      <c r="Q55" s="958"/>
      <c r="R55" s="958"/>
      <c r="S55" s="1579"/>
      <c r="T55" s="1580"/>
      <c r="U55" s="958"/>
      <c r="V55" s="958"/>
      <c r="W55" s="958"/>
      <c r="X55" s="958"/>
      <c r="Y55" s="958"/>
      <c r="Z55" s="958"/>
    </row>
    <row r="56" spans="1:26" x14ac:dyDescent="0.2">
      <c r="A56" s="1080" t="s">
        <v>75</v>
      </c>
      <c r="B56" s="168">
        <f>D56+TableA1!C56+TableA1!H56+TableA1!I56</f>
        <v>0.71338092811285936</v>
      </c>
      <c r="C56" s="168">
        <f>B56-TableA1!M56</f>
        <v>0.54871092680294176</v>
      </c>
      <c r="D56" s="168">
        <f t="shared" si="6"/>
        <v>0.26613592811285924</v>
      </c>
      <c r="E56" s="1581">
        <f>TableA2!C56</f>
        <v>9.4220399999999996E-2</v>
      </c>
      <c r="F56" s="1106">
        <f t="shared" si="7"/>
        <v>4.783152811285922E-2</v>
      </c>
      <c r="G56" s="1107">
        <f>TableA2!E56-TableA6!D56*TableC2!N$95-O56</f>
        <v>2.6092139596029379E-3</v>
      </c>
      <c r="H56" s="1113">
        <f>TableA2!F56+TableA6!D56+N56</f>
        <v>4.5222314153256282E-2</v>
      </c>
      <c r="I56" s="1114">
        <f>TableA2!G56</f>
        <v>0.124084</v>
      </c>
      <c r="J56" s="1109">
        <f t="shared" si="8"/>
        <v>0.64596888263788133</v>
      </c>
      <c r="K56" s="24">
        <f t="shared" si="9"/>
        <v>0.33671861232927025</v>
      </c>
      <c r="L56" s="1110">
        <f t="shared" si="10"/>
        <v>0.66328138767072975</v>
      </c>
      <c r="M56" s="1582">
        <f>K56-TableA2!I56</f>
        <v>-0.54454576171534808</v>
      </c>
      <c r="N56" s="1583">
        <f>-TableA7!P56</f>
        <v>-0.79166765632839253</v>
      </c>
      <c r="O56" s="1583">
        <f>N56*TableC2!N$95</f>
        <v>-5.3789091391851819E-2</v>
      </c>
      <c r="P56" s="444">
        <f t="shared" si="20"/>
        <v>-0.73787856493654069</v>
      </c>
      <c r="Q56" s="958"/>
      <c r="R56" s="958"/>
      <c r="S56" s="1579"/>
      <c r="T56" s="1580"/>
      <c r="U56" s="958"/>
      <c r="V56" s="958"/>
      <c r="W56" s="958"/>
      <c r="X56" s="958"/>
      <c r="Y56" s="958"/>
      <c r="Z56" s="958"/>
    </row>
    <row r="57" spans="1:26" x14ac:dyDescent="0.2">
      <c r="A57" s="1080" t="s">
        <v>76</v>
      </c>
      <c r="B57" s="168">
        <f>D57+TableA1!C57+TableA1!H57+TableA1!I57</f>
        <v>1.6930966495213298</v>
      </c>
      <c r="C57" s="168">
        <f>B57-TableA1!M57</f>
        <v>1.3914702353874158</v>
      </c>
      <c r="D57" s="168">
        <f t="shared" si="6"/>
        <v>0.87387664952132971</v>
      </c>
      <c r="E57" s="1581">
        <f>TableA2!C57</f>
        <v>0.45270100000000002</v>
      </c>
      <c r="F57" s="1106">
        <f t="shared" si="7"/>
        <v>0.19389164952132967</v>
      </c>
      <c r="G57" s="1107">
        <f>TableA2!E57-TableA6!D57*TableC2!N$95-O57</f>
        <v>-2.3388120459409724E-2</v>
      </c>
      <c r="H57" s="1113">
        <f>TableA2!F57+TableA6!D57+N57</f>
        <v>0.21727976998073939</v>
      </c>
      <c r="I57" s="1114">
        <f>TableA2!G57</f>
        <v>0.22728400000000001</v>
      </c>
      <c r="J57" s="1109">
        <f t="shared" si="8"/>
        <v>0.48196235676056887</v>
      </c>
      <c r="K57" s="24">
        <f t="shared" si="9"/>
        <v>0.29986677031492237</v>
      </c>
      <c r="L57" s="1110">
        <f t="shared" si="10"/>
        <v>0.70013322968507763</v>
      </c>
      <c r="M57" s="1582">
        <f>K57-TableA2!I57</f>
        <v>-0.38867657620959506</v>
      </c>
      <c r="N57" s="1583">
        <f>-TableA7!P57</f>
        <v>-0.86572413769996781</v>
      </c>
      <c r="O57" s="1583">
        <f>N57*TableC2!N$95</f>
        <v>-5.8820787221297528E-2</v>
      </c>
      <c r="P57" s="444">
        <f t="shared" si="20"/>
        <v>-0.80690335047867023</v>
      </c>
      <c r="Q57" s="958"/>
      <c r="R57" s="958"/>
      <c r="S57" s="1579"/>
      <c r="T57" s="1580"/>
      <c r="U57" s="958"/>
      <c r="V57" s="958"/>
      <c r="W57" s="958"/>
      <c r="X57" s="958"/>
      <c r="Y57" s="958"/>
      <c r="Z57" s="958"/>
    </row>
    <row r="58" spans="1:26" x14ac:dyDescent="0.2">
      <c r="A58" s="1080" t="s">
        <v>77</v>
      </c>
      <c r="B58" s="168">
        <f>D58+TableA1!C58+TableA1!H58+TableA1!I58</f>
        <v>5.4836330583576762</v>
      </c>
      <c r="C58" s="168">
        <f>B58-TableA1!M58</f>
        <v>4.1275196597056034</v>
      </c>
      <c r="D58" s="168">
        <f t="shared" si="6"/>
        <v>1.8004230583576772</v>
      </c>
      <c r="E58" s="1581">
        <f>TableA2!C58</f>
        <v>0.49227100000000001</v>
      </c>
      <c r="F58" s="1106">
        <f t="shared" si="7"/>
        <v>0.28628205835767723</v>
      </c>
      <c r="G58" s="1107">
        <f>TableA2!E58-TableA6!D58*TableC2!N$95-O58</f>
        <v>5.0010148977780167E-2</v>
      </c>
      <c r="H58" s="1113">
        <f>TableA2!F58+TableA6!D58+N58</f>
        <v>0.23627190937989706</v>
      </c>
      <c r="I58" s="1114">
        <f>TableA2!G58</f>
        <v>1.0218700000000001</v>
      </c>
      <c r="J58" s="1109">
        <f t="shared" si="8"/>
        <v>0.72658037358783711</v>
      </c>
      <c r="K58" s="24">
        <f t="shared" si="9"/>
        <v>0.36771040237331598</v>
      </c>
      <c r="L58" s="1110">
        <f t="shared" si="10"/>
        <v>0.63228959762668402</v>
      </c>
      <c r="M58" s="1582">
        <f>K58-TableA2!I58</f>
        <v>-0.55696028984632873</v>
      </c>
      <c r="N58" s="1583">
        <f>-TableA7!P58</f>
        <v>-7.3311788434424798</v>
      </c>
      <c r="O58" s="1583">
        <f>N58*TableC2!N$95</f>
        <v>-0.49810983898066757</v>
      </c>
      <c r="P58" s="444">
        <f t="shared" si="20"/>
        <v>-6.8330690044618123</v>
      </c>
      <c r="Q58" s="958"/>
      <c r="R58" s="958"/>
      <c r="S58" s="1579"/>
      <c r="T58" s="1580"/>
      <c r="U58" s="958"/>
      <c r="V58" s="958"/>
      <c r="W58" s="958"/>
      <c r="X58" s="958"/>
      <c r="Y58" s="958"/>
      <c r="Z58" s="958"/>
    </row>
    <row r="59" spans="1:26" x14ac:dyDescent="0.2">
      <c r="A59" s="1080" t="s">
        <v>78</v>
      </c>
      <c r="B59" s="168">
        <f>D59+TableA1!C59+TableA1!H59+TableA1!I59</f>
        <v>24.439764064432428</v>
      </c>
      <c r="C59" s="168">
        <f>B59-TableA1!M59</f>
        <v>23.128304024499705</v>
      </c>
      <c r="D59" s="168">
        <f t="shared" si="6"/>
        <v>15.431064064432423</v>
      </c>
      <c r="E59" s="1581">
        <f>TableA2!C59</f>
        <v>10.122538414747584</v>
      </c>
      <c r="F59" s="1106">
        <f t="shared" si="7"/>
        <v>4.2640656496848397</v>
      </c>
      <c r="G59" s="1107">
        <f>TableA2!E59-TableA6!D59*TableC2!N$95-O59</f>
        <v>-0.59437914804600833</v>
      </c>
      <c r="H59" s="1113">
        <f>TableA2!F59+TableA6!D59+N59</f>
        <v>4.858444797730848</v>
      </c>
      <c r="I59" s="1114">
        <f>TableA2!G59</f>
        <v>1.0444599999999999</v>
      </c>
      <c r="J59" s="1109">
        <f t="shared" si="8"/>
        <v>0.34401552786762374</v>
      </c>
      <c r="K59" s="24">
        <f t="shared" si="9"/>
        <v>0.2963913951192112</v>
      </c>
      <c r="L59" s="1110">
        <f t="shared" si="10"/>
        <v>0.7036086048807888</v>
      </c>
      <c r="M59" s="1582">
        <f>K59-TableA2!I59</f>
        <v>-0.2232468477126377</v>
      </c>
      <c r="N59" s="1583">
        <f>-TableA7!P59</f>
        <v>-7.9601858461284136</v>
      </c>
      <c r="O59" s="1583">
        <f>N59*TableC2!N$95</f>
        <v>-0.54084710995937968</v>
      </c>
      <c r="P59" s="444">
        <f t="shared" si="20"/>
        <v>-7.4193387361690339</v>
      </c>
      <c r="Q59" s="958"/>
      <c r="R59" s="958"/>
      <c r="S59" s="1579"/>
      <c r="T59" s="1580"/>
      <c r="U59" s="958"/>
      <c r="V59" s="958"/>
      <c r="W59" s="958"/>
      <c r="X59" s="958"/>
      <c r="Y59" s="958"/>
      <c r="Z59" s="958"/>
    </row>
    <row r="60" spans="1:26" x14ac:dyDescent="0.2">
      <c r="A60" s="1080" t="s">
        <v>79</v>
      </c>
      <c r="B60" s="168">
        <f>D60+TableA1!C60+TableA1!H60+TableA1!I60</f>
        <v>2.4353190802159537</v>
      </c>
      <c r="C60" s="168">
        <f>B60-TableA1!M60</f>
        <v>1.8822397028465354</v>
      </c>
      <c r="D60" s="168">
        <f t="shared" si="6"/>
        <v>0.93314908021595411</v>
      </c>
      <c r="E60" s="1581">
        <f>TableA2!C60</f>
        <v>0.34493299999999999</v>
      </c>
      <c r="F60" s="1106">
        <f t="shared" si="7"/>
        <v>0.17145508021595407</v>
      </c>
      <c r="G60" s="1107">
        <f>TableA2!E60-TableA6!D60*TableC2!N$95-O60</f>
        <v>5.8999723218556288E-3</v>
      </c>
      <c r="H60" s="1113">
        <f>TableA2!F60+TableA6!D60+N60</f>
        <v>0.16555510789409844</v>
      </c>
      <c r="I60" s="1114">
        <f>TableA2!G60</f>
        <v>0.41676099999999999</v>
      </c>
      <c r="J60" s="1109">
        <f t="shared" si="8"/>
        <v>0.63035595564197111</v>
      </c>
      <c r="K60" s="24">
        <f t="shared" si="9"/>
        <v>0.33202757148122269</v>
      </c>
      <c r="L60" s="1110">
        <f t="shared" si="10"/>
        <v>0.66797242851877736</v>
      </c>
      <c r="M60" s="1582">
        <f>K60-TableA2!I60</f>
        <v>-0.53855229456355636</v>
      </c>
      <c r="N60" s="1583">
        <f>-TableA7!P60</f>
        <v>-4.6272367930221332</v>
      </c>
      <c r="O60" s="1583">
        <f>N60*TableC2!N$95</f>
        <v>-0.31439311782160578</v>
      </c>
      <c r="P60" s="444">
        <f t="shared" si="20"/>
        <v>-4.3128436752005275</v>
      </c>
      <c r="Q60" s="958"/>
      <c r="R60" s="958"/>
      <c r="S60" s="1579"/>
      <c r="T60" s="1580"/>
      <c r="U60" s="958"/>
      <c r="V60" s="958"/>
      <c r="W60" s="958"/>
      <c r="X60" s="958"/>
      <c r="Y60" s="958"/>
      <c r="Z60" s="958"/>
    </row>
    <row r="61" spans="1:26" x14ac:dyDescent="0.2">
      <c r="A61" s="1080" t="s">
        <v>80</v>
      </c>
      <c r="B61" s="168">
        <f>D61+TableA1!C61+TableA1!H61+TableA1!I61</f>
        <v>0.92955556055348176</v>
      </c>
      <c r="C61" s="168">
        <f>B61-TableA1!M61</f>
        <v>0.71931704385238748</v>
      </c>
      <c r="D61" s="168">
        <f t="shared" si="6"/>
        <v>0.35854556055348169</v>
      </c>
      <c r="E61" s="1581">
        <f>TableA2!C61</f>
        <v>0.13389599999999999</v>
      </c>
      <c r="F61" s="1106">
        <f t="shared" si="7"/>
        <v>6.6228560553481697E-2</v>
      </c>
      <c r="G61" s="1107">
        <f>TableA2!E61-TableA6!D61*TableC2!N$95-O61</f>
        <v>1.9634228989567903E-3</v>
      </c>
      <c r="H61" s="1113">
        <f>TableA2!F61+TableA6!D61+N61</f>
        <v>6.4265137654524906E-2</v>
      </c>
      <c r="I61" s="1114">
        <f>TableA2!G61</f>
        <v>0.15842100000000001</v>
      </c>
      <c r="J61" s="1109">
        <f t="shared" si="8"/>
        <v>0.62655791974301223</v>
      </c>
      <c r="K61" s="24">
        <f t="shared" si="9"/>
        <v>0.33093669447825041</v>
      </c>
      <c r="L61" s="1110">
        <f t="shared" si="10"/>
        <v>0.66906330552174964</v>
      </c>
      <c r="M61" s="1582">
        <f>K61-TableA2!I61</f>
        <v>-0.53690114095865282</v>
      </c>
      <c r="N61" s="1583">
        <f>-TableA7!P61</f>
        <v>-0.89802440091367575</v>
      </c>
      <c r="O61" s="1583">
        <f>N61*TableC2!N$95</f>
        <v>-6.1015397290427743E-2</v>
      </c>
      <c r="P61" s="444">
        <f t="shared" si="20"/>
        <v>-0.83700900362324804</v>
      </c>
      <c r="Q61" s="958"/>
      <c r="R61" s="958"/>
      <c r="S61" s="1579"/>
      <c r="T61" s="1580"/>
      <c r="U61" s="958"/>
      <c r="V61" s="958"/>
      <c r="W61" s="958"/>
      <c r="X61" s="958"/>
      <c r="Y61" s="958"/>
      <c r="Z61" s="958"/>
    </row>
    <row r="62" spans="1:26" s="25" customFormat="1" x14ac:dyDescent="0.2">
      <c r="A62" s="1080" t="s">
        <v>81</v>
      </c>
      <c r="B62" s="168">
        <f>D62+TableA1!C62+TableA1!H62+TableA1!I62</f>
        <v>5.6631101917458935</v>
      </c>
      <c r="C62" s="168">
        <f>B62-TableA1!M62</f>
        <v>5.4278508642700691</v>
      </c>
      <c r="D62" s="168">
        <f t="shared" si="6"/>
        <v>4.5822301917458956</v>
      </c>
      <c r="E62" s="1581">
        <f>TableA2!C62</f>
        <v>3.0988699999999998</v>
      </c>
      <c r="F62" s="1106">
        <f t="shared" si="7"/>
        <v>1.2695661917458958</v>
      </c>
      <c r="G62" s="1107">
        <f>TableA2!E62-TableA6!D62*TableC2!N$95-O62</f>
        <v>-0.21777702331263793</v>
      </c>
      <c r="H62" s="1113">
        <f>TableA2!F62+TableA6!D62+N62</f>
        <v>1.4873432150585337</v>
      </c>
      <c r="I62" s="1114">
        <f>TableA2!G62</f>
        <v>0.21379400000000001</v>
      </c>
      <c r="J62" s="1109">
        <f t="shared" si="8"/>
        <v>0.32372013837670477</v>
      </c>
      <c r="K62" s="24">
        <f t="shared" si="9"/>
        <v>0.29062257888640447</v>
      </c>
      <c r="L62" s="1110">
        <f t="shared" si="10"/>
        <v>0.70937742111359547</v>
      </c>
      <c r="M62" s="1582">
        <f>K62-TableA2!I62</f>
        <v>-4.050497282118054E-2</v>
      </c>
      <c r="N62" s="1583">
        <f>-TableA7!P62</f>
        <v>-23.950680817428665</v>
      </c>
      <c r="O62" s="1583">
        <f>N62*TableC2!N$95</f>
        <v>-1.6273057880886164</v>
      </c>
      <c r="P62" s="444">
        <f t="shared" si="20"/>
        <v>-22.323375029340049</v>
      </c>
      <c r="Q62" s="1115"/>
      <c r="R62" s="1115"/>
      <c r="S62" s="1579"/>
      <c r="T62" s="1580"/>
      <c r="U62" s="1115"/>
      <c r="V62" s="1115"/>
      <c r="W62" s="1115"/>
      <c r="X62" s="1115"/>
      <c r="Y62" s="1115"/>
      <c r="Z62" s="1115"/>
    </row>
    <row r="63" spans="1:26" x14ac:dyDescent="0.2">
      <c r="A63" s="1080" t="s">
        <v>82</v>
      </c>
      <c r="B63" s="168">
        <f>D63+TableA1!C63+TableA1!H63+TableA1!I63</f>
        <v>0.27383723462337189</v>
      </c>
      <c r="C63" s="168">
        <f>B63-TableA1!M63</f>
        <v>0.22555529406954411</v>
      </c>
      <c r="D63" s="168">
        <f t="shared" si="6"/>
        <v>0.13988323462337182</v>
      </c>
      <c r="E63" s="1581">
        <f>TableA2!C63</f>
        <v>7.2464799999999996E-2</v>
      </c>
      <c r="F63" s="1106">
        <f t="shared" si="7"/>
        <v>3.1036646623371821E-2</v>
      </c>
      <c r="G63" s="1107">
        <f>TableA2!E63-TableA6!D63*TableC2!N$95-O63</f>
        <v>-3.7437825687445594E-3</v>
      </c>
      <c r="H63" s="1113">
        <f>TableA2!F63+TableA6!D63+N63</f>
        <v>3.478042919211638E-2</v>
      </c>
      <c r="I63" s="1114">
        <f>TableA2!G63</f>
        <v>3.6381787999999998E-2</v>
      </c>
      <c r="J63" s="1109">
        <f t="shared" si="8"/>
        <v>0.48196222231271946</v>
      </c>
      <c r="K63" s="24">
        <f t="shared" si="9"/>
        <v>0.29986679061897659</v>
      </c>
      <c r="L63" s="1110">
        <f t="shared" si="10"/>
        <v>0.70013320938102341</v>
      </c>
      <c r="M63" s="1582">
        <f>K63-TableA2!I63</f>
        <v>-0.3886766283405324</v>
      </c>
      <c r="N63" s="1583">
        <f>-TableA7!P63</f>
        <v>-0.13857833606997835</v>
      </c>
      <c r="O63" s="1583">
        <f>N63*TableC2!N$95</f>
        <v>-9.4155706933501618E-3</v>
      </c>
      <c r="P63" s="444">
        <f t="shared" si="20"/>
        <v>-0.12916276537662819</v>
      </c>
      <c r="Q63" s="23"/>
      <c r="R63" s="23"/>
      <c r="S63" s="1579"/>
      <c r="T63" s="1580"/>
      <c r="U63" s="23"/>
      <c r="V63" s="23"/>
      <c r="W63" s="23"/>
      <c r="X63" s="23"/>
      <c r="Y63" s="23"/>
      <c r="Z63" s="23"/>
    </row>
    <row r="64" spans="1:26" x14ac:dyDescent="0.2">
      <c r="A64" s="1080" t="s">
        <v>83</v>
      </c>
      <c r="B64" s="168">
        <f>D64+TableA1!C64+TableA1!H64+TableA1!I64</f>
        <v>0.60951398240869525</v>
      </c>
      <c r="C64" s="168">
        <f>B64-TableA1!M64</f>
        <v>0.50092868232463317</v>
      </c>
      <c r="D64" s="168">
        <f t="shared" si="6"/>
        <v>0.31459498240869521</v>
      </c>
      <c r="E64" s="1581">
        <f>TableA2!C64</f>
        <v>0.16297200000000001</v>
      </c>
      <c r="F64" s="1106">
        <f t="shared" si="7"/>
        <v>6.9800870408695204E-2</v>
      </c>
      <c r="G64" s="1107">
        <f>TableA2!E64-TableA6!D64*TableC2!N$95-O64</f>
        <v>-8.4196739976576396E-3</v>
      </c>
      <c r="H64" s="1113">
        <f>TableA2!F64+TableA6!D64+N64</f>
        <v>7.8220544406352843E-2</v>
      </c>
      <c r="I64" s="1114">
        <f>TableA2!G64</f>
        <v>8.1822112000000002E-2</v>
      </c>
      <c r="J64" s="1109">
        <f t="shared" si="8"/>
        <v>0.48196249427690946</v>
      </c>
      <c r="K64" s="24">
        <f t="shared" si="9"/>
        <v>0.29986686286138525</v>
      </c>
      <c r="L64" s="1110">
        <f t="shared" si="10"/>
        <v>0.7001331371386148</v>
      </c>
      <c r="M64" s="1582">
        <f>K64-TableA2!I64</f>
        <v>-0.38867736689281623</v>
      </c>
      <c r="N64" s="1583">
        <f>-TableA7!P64</f>
        <v>-29.046851153404386</v>
      </c>
      <c r="O64" s="1583">
        <f>N64*TableC2!N$95</f>
        <v>-1.9735601408577472</v>
      </c>
      <c r="P64" s="444">
        <f t="shared" si="20"/>
        <v>-27.07329101254664</v>
      </c>
      <c r="Q64" s="23"/>
      <c r="R64" s="23"/>
      <c r="S64" s="1579"/>
      <c r="T64" s="1580"/>
      <c r="U64" s="23"/>
      <c r="V64" s="23"/>
      <c r="W64" s="23"/>
      <c r="X64" s="23"/>
      <c r="Y64" s="23"/>
      <c r="Z64" s="23"/>
    </row>
    <row r="65" spans="1:26" x14ac:dyDescent="0.2">
      <c r="A65" s="1080" t="s">
        <v>84</v>
      </c>
      <c r="B65" s="168">
        <f>D65+TableA1!C65+TableA1!H65+TableA1!I65</f>
        <v>3.3178854666271431</v>
      </c>
      <c r="C65" s="168">
        <f>B65-TableA1!M65</f>
        <v>2.9017332036006138</v>
      </c>
      <c r="D65" s="168">
        <f t="shared" si="6"/>
        <v>1.9603554666271434</v>
      </c>
      <c r="E65" s="1581">
        <f>TableA2!C65</f>
        <v>1.41639</v>
      </c>
      <c r="F65" s="1106">
        <f t="shared" si="7"/>
        <v>0.23038346662714337</v>
      </c>
      <c r="G65" s="1107">
        <f>TableA2!E65-TableA6!D65*TableC2!N$95-O65</f>
        <v>-0.44943145183563837</v>
      </c>
      <c r="H65" s="1113">
        <f>TableA2!F65+TableA6!D65+N65</f>
        <v>0.67981491846278175</v>
      </c>
      <c r="I65" s="1114">
        <f>TableA2!G65</f>
        <v>0.31358200000000003</v>
      </c>
      <c r="J65" s="1109">
        <f t="shared" si="8"/>
        <v>0.27748307686414342</v>
      </c>
      <c r="K65" s="24">
        <f t="shared" si="9"/>
        <v>0.13989991416306077</v>
      </c>
      <c r="L65" s="1110">
        <f t="shared" si="10"/>
        <v>0.8601000858369392</v>
      </c>
      <c r="M65" s="1582">
        <f>K65-TableA2!I65</f>
        <v>-0.15380431516427798</v>
      </c>
      <c r="N65" s="1583">
        <f>-TableA7!P65</f>
        <v>-22.241009225666584</v>
      </c>
      <c r="O65" s="1583">
        <f>N65*TableC2!N$95</f>
        <v>-1.511143809303422</v>
      </c>
      <c r="P65" s="444">
        <f t="shared" si="20"/>
        <v>-20.729865416363161</v>
      </c>
      <c r="Q65" s="23"/>
      <c r="R65" s="23"/>
      <c r="S65" s="1579"/>
      <c r="T65" s="1580"/>
      <c r="U65" s="23"/>
      <c r="V65" s="23"/>
      <c r="W65" s="23"/>
      <c r="X65" s="23"/>
      <c r="Y65" s="23"/>
      <c r="Z65" s="23"/>
    </row>
    <row r="66" spans="1:26" x14ac:dyDescent="0.2">
      <c r="A66" s="1080" t="s">
        <v>85</v>
      </c>
      <c r="B66" s="168">
        <f>D66+TableA1!C66+TableA1!H66+TableA1!I66</f>
        <v>3.0625643747213225</v>
      </c>
      <c r="C66" s="168">
        <f>B66-TableA1!M66</f>
        <v>2.6699218141132413</v>
      </c>
      <c r="D66" s="168">
        <f t="shared" si="6"/>
        <v>2.2072943747213225</v>
      </c>
      <c r="E66" s="1581">
        <f>TableA2!C66</f>
        <v>1.3583099999999999</v>
      </c>
      <c r="F66" s="1106">
        <f t="shared" si="7"/>
        <v>0.53959837472132244</v>
      </c>
      <c r="G66" s="1107">
        <f>TableA2!E66-TableA6!D66*TableC2!N$95-O66</f>
        <v>-0.11234028758014758</v>
      </c>
      <c r="H66" s="1113">
        <f>TableA2!F66+TableA6!D66+N66</f>
        <v>0.65193866230147002</v>
      </c>
      <c r="I66" s="1114">
        <f>TableA2!G66</f>
        <v>0.30938599999999999</v>
      </c>
      <c r="J66" s="1109">
        <f t="shared" si="8"/>
        <v>0.3846267106210105</v>
      </c>
      <c r="K66" s="24">
        <f t="shared" si="9"/>
        <v>0.28431213113781312</v>
      </c>
      <c r="L66" s="1110">
        <f t="shared" si="10"/>
        <v>0.71568786886218683</v>
      </c>
      <c r="M66" s="1582">
        <f>K66-TableA2!I66</f>
        <v>7.617079039216676E-2</v>
      </c>
      <c r="N66" s="1583">
        <f>-TableA7!P66</f>
        <v>-11.0354105348083</v>
      </c>
      <c r="O66" s="1583">
        <f>N66*TableC2!N$95</f>
        <v>-0.74979027001853726</v>
      </c>
      <c r="P66" s="444">
        <f t="shared" si="20"/>
        <v>-10.285620264789763</v>
      </c>
      <c r="Q66" s="23"/>
      <c r="R66" s="23"/>
      <c r="S66" s="1579"/>
      <c r="T66" s="1580"/>
      <c r="U66" s="23"/>
      <c r="V66" s="23"/>
      <c r="W66" s="23"/>
      <c r="X66" s="23"/>
      <c r="Y66" s="23"/>
      <c r="Z66" s="23"/>
    </row>
    <row r="67" spans="1:26" x14ac:dyDescent="0.2">
      <c r="A67" s="1080" t="s">
        <v>86</v>
      </c>
      <c r="B67" s="168">
        <f>D67+TableA1!C67+TableA1!H67+TableA1!I67</f>
        <v>19.129341162482643</v>
      </c>
      <c r="C67" s="168">
        <f>B67-TableA1!M67</f>
        <v>16.949971181754428</v>
      </c>
      <c r="D67" s="168">
        <f t="shared" si="6"/>
        <v>9.5314911624826415</v>
      </c>
      <c r="E67" s="1581">
        <f>TableA2!C67</f>
        <v>5.5453299999999999</v>
      </c>
      <c r="F67" s="1106">
        <f t="shared" si="7"/>
        <v>2.6929911624826421</v>
      </c>
      <c r="G67" s="1107">
        <f>TableA2!E67-TableA6!D67*TableC2!N$95-O67</f>
        <v>3.1437450723019622E-2</v>
      </c>
      <c r="H67" s="1113">
        <f>TableA2!F67+TableA6!D67+N67</f>
        <v>2.6615537117596224</v>
      </c>
      <c r="I67" s="1114">
        <f>TableA2!G67</f>
        <v>1.2931699999999999</v>
      </c>
      <c r="J67" s="1109">
        <f t="shared" si="8"/>
        <v>0.41820960587707007</v>
      </c>
      <c r="K67" s="24">
        <f t="shared" si="9"/>
        <v>0.3268859163620057</v>
      </c>
      <c r="L67" s="1110">
        <f t="shared" si="10"/>
        <v>0.6731140836379943</v>
      </c>
      <c r="M67" s="1582">
        <f>K67-TableA2!I67</f>
        <v>-3.3483328745600449E-2</v>
      </c>
      <c r="N67" s="1583">
        <f>-TableA7!P67</f>
        <v>-4.220454615709551</v>
      </c>
      <c r="O67" s="1583">
        <f>N67*TableC2!N$95</f>
        <v>-0.28675469715715629</v>
      </c>
      <c r="P67" s="444">
        <f t="shared" si="20"/>
        <v>-3.9336999185523949</v>
      </c>
      <c r="Q67" s="23"/>
      <c r="R67" s="23"/>
      <c r="S67" s="1579"/>
      <c r="T67" s="1580"/>
      <c r="U67" s="23"/>
      <c r="V67" s="23"/>
      <c r="W67" s="23"/>
      <c r="X67" s="23"/>
      <c r="Y67" s="23"/>
      <c r="Z67" s="23"/>
    </row>
    <row r="68" spans="1:26" x14ac:dyDescent="0.2">
      <c r="A68" s="1080" t="s">
        <v>87</v>
      </c>
      <c r="B68" s="168">
        <f>D68+TableA1!C68+TableA1!H68+TableA1!I68</f>
        <v>3.9161398666478502</v>
      </c>
      <c r="C68" s="168">
        <f>B68-TableA1!M68</f>
        <v>3.0748758261479203</v>
      </c>
      <c r="D68" s="168">
        <f t="shared" si="6"/>
        <v>2.4373298666478505</v>
      </c>
      <c r="E68" s="1581">
        <f>TableA2!C68</f>
        <v>1.2626299999999999</v>
      </c>
      <c r="F68" s="1106">
        <f t="shared" si="7"/>
        <v>0.54078386664785039</v>
      </c>
      <c r="G68" s="1107">
        <f>TableA2!E68-TableA6!D68*TableC2!N$95-O68</f>
        <v>-6.5231927376861509E-2</v>
      </c>
      <c r="H68" s="1113">
        <f>TableA2!F68+TableA6!D68+N68</f>
        <v>0.60601579402471195</v>
      </c>
      <c r="I68" s="1114">
        <f>TableA2!G68</f>
        <v>0.63391600000000004</v>
      </c>
      <c r="J68" s="1109">
        <f t="shared" si="8"/>
        <v>0.48196179053246424</v>
      </c>
      <c r="K68" s="24">
        <f t="shared" si="9"/>
        <v>0.29986675640519977</v>
      </c>
      <c r="L68" s="1110">
        <f t="shared" si="10"/>
        <v>0.70013324359480023</v>
      </c>
      <c r="M68" s="1582">
        <f>K68-TableA2!I68</f>
        <v>-0.38867605523699367</v>
      </c>
      <c r="N68" s="1583">
        <f>-TableA7!P68</f>
        <v>-4.9132386020923846</v>
      </c>
      <c r="O68" s="1583">
        <f>N68*TableC2!N$95</f>
        <v>-0.33382523346172405</v>
      </c>
      <c r="P68" s="444">
        <f t="shared" si="20"/>
        <v>-4.5794133686306608</v>
      </c>
      <c r="Q68" s="23"/>
      <c r="R68" s="23"/>
      <c r="S68" s="1579"/>
      <c r="T68" s="1580"/>
      <c r="U68" s="23"/>
      <c r="V68" s="23"/>
      <c r="W68" s="23"/>
      <c r="X68" s="23"/>
      <c r="Y68" s="23"/>
      <c r="Z68" s="23"/>
    </row>
    <row r="69" spans="1:26" x14ac:dyDescent="0.2">
      <c r="A69" s="1080" t="s">
        <v>88</v>
      </c>
      <c r="B69" s="168">
        <f>D69+TableA1!C69+TableA1!H69+TableA1!I69</f>
        <v>0.67284404675502052</v>
      </c>
      <c r="C69" s="168">
        <f>B69-TableA1!M69</f>
        <v>0.54209838904698993</v>
      </c>
      <c r="D69" s="168">
        <f t="shared" si="6"/>
        <v>0.18267004675502058</v>
      </c>
      <c r="E69" s="1581">
        <f>TableA2!C69</f>
        <v>7.3907048000000003E-2</v>
      </c>
      <c r="F69" s="1106">
        <f t="shared" si="7"/>
        <v>3.4313374755020588E-2</v>
      </c>
      <c r="G69" s="1107">
        <f>TableA2!E69-TableA6!D69*TableC2!N$95-O69</f>
        <v>-1.1592802410926514E-3</v>
      </c>
      <c r="H69" s="1113">
        <f>TableA2!F69+TableA6!D69+N69</f>
        <v>3.547265499611324E-2</v>
      </c>
      <c r="I69" s="1114">
        <f>TableA2!G69</f>
        <v>7.4449624000000006E-2</v>
      </c>
      <c r="J69" s="1109">
        <f t="shared" si="8"/>
        <v>0.59540685890819878</v>
      </c>
      <c r="K69" s="24">
        <f t="shared" si="9"/>
        <v>0.31706930985379761</v>
      </c>
      <c r="L69" s="1110">
        <f t="shared" si="10"/>
        <v>0.68293069014620245</v>
      </c>
      <c r="M69" s="1582">
        <f>K69-TableA2!I69</f>
        <v>-0.5120016462160859</v>
      </c>
      <c r="N69" s="1583">
        <f>-TableA7!P69</f>
        <v>-0.36611708689079836</v>
      </c>
      <c r="O69" s="1583">
        <f>N69*TableC2!N$95</f>
        <v>-2.487547052031994E-2</v>
      </c>
      <c r="P69" s="444">
        <f t="shared" si="20"/>
        <v>-0.3412416163704784</v>
      </c>
      <c r="Q69" s="23"/>
      <c r="R69" s="23"/>
      <c r="S69" s="1579"/>
      <c r="T69" s="1580"/>
      <c r="U69" s="23"/>
      <c r="V69" s="23"/>
      <c r="W69" s="23"/>
      <c r="X69" s="23"/>
      <c r="Y69" s="23"/>
      <c r="Z69" s="23"/>
    </row>
    <row r="70" spans="1:26" x14ac:dyDescent="0.2">
      <c r="A70" s="1080" t="s">
        <v>89</v>
      </c>
      <c r="B70" s="168">
        <f>D70+TableA1!C70+TableA1!H70+TableA1!I70</f>
        <v>2.7548527983833471</v>
      </c>
      <c r="C70" s="168">
        <f>B70-TableA1!M70</f>
        <v>2.1891609433451586</v>
      </c>
      <c r="D70" s="168">
        <f t="shared" si="6"/>
        <v>1.6389327983833466</v>
      </c>
      <c r="E70" s="1581">
        <f>TableA2!C70</f>
        <v>0.84902900000000003</v>
      </c>
      <c r="F70" s="1106">
        <f t="shared" si="7"/>
        <v>0.36363879838334656</v>
      </c>
      <c r="G70" s="1107">
        <f>TableA2!E70-TableA6!D70*TableC2!N$95-O70</f>
        <v>-4.3863782408339533E-2</v>
      </c>
      <c r="H70" s="1113">
        <f>TableA2!F70+TableA6!D70+N70</f>
        <v>0.40750258079168611</v>
      </c>
      <c r="I70" s="1114">
        <f>TableA2!G70</f>
        <v>0.42626500000000001</v>
      </c>
      <c r="J70" s="1109">
        <f t="shared" si="8"/>
        <v>0.48196228616726233</v>
      </c>
      <c r="K70" s="24">
        <f t="shared" si="9"/>
        <v>0.29986678863587141</v>
      </c>
      <c r="L70" s="1110">
        <f t="shared" si="10"/>
        <v>0.70013321136412854</v>
      </c>
      <c r="M70" s="1582">
        <f>K70-TableA2!I70</f>
        <v>-0.38867666063677958</v>
      </c>
      <c r="N70" s="1583">
        <f>-TableA7!P70</f>
        <v>-1.6236441277636195</v>
      </c>
      <c r="O70" s="1583">
        <f>N70*TableC2!N$95</f>
        <v>-0.11031692614696591</v>
      </c>
      <c r="P70" s="444">
        <f t="shared" si="20"/>
        <v>-1.5133272016166537</v>
      </c>
      <c r="Q70" s="23"/>
      <c r="R70" s="23"/>
      <c r="S70" s="1579"/>
      <c r="T70" s="1580"/>
      <c r="U70" s="23"/>
      <c r="V70" s="23"/>
      <c r="W70" s="23"/>
      <c r="X70" s="23"/>
      <c r="Y70" s="23"/>
      <c r="Z70" s="23"/>
    </row>
    <row r="71" spans="1:26" x14ac:dyDescent="0.2">
      <c r="A71" s="1080" t="s">
        <v>90</v>
      </c>
      <c r="B71" s="168">
        <f>D71+TableA1!C71+TableA1!H71+TableA1!I71</f>
        <v>1.6998722299728628</v>
      </c>
      <c r="C71" s="168">
        <f>B71-TableA1!M71</f>
        <v>1.3970389561850109</v>
      </c>
      <c r="D71" s="168">
        <f t="shared" si="6"/>
        <v>0.87737222997286313</v>
      </c>
      <c r="E71" s="1581">
        <f>TableA2!C71</f>
        <v>0.45451200000000003</v>
      </c>
      <c r="F71" s="1106">
        <f t="shared" si="7"/>
        <v>0.19466722997286312</v>
      </c>
      <c r="G71" s="1107">
        <f>TableA2!E71-TableA6!D71*TableC2!N$95-O71</f>
        <v>-2.3481753160564459E-2</v>
      </c>
      <c r="H71" s="1113">
        <f>TableA2!F71+TableA6!D71+N71</f>
        <v>0.21814898313342757</v>
      </c>
      <c r="I71" s="1114">
        <f>TableA2!G71</f>
        <v>0.22819300000000001</v>
      </c>
      <c r="J71" s="1109">
        <f t="shared" si="8"/>
        <v>0.48196217697241461</v>
      </c>
      <c r="K71" s="24">
        <f t="shared" si="9"/>
        <v>0.29986669472003991</v>
      </c>
      <c r="L71" s="1110">
        <f t="shared" si="10"/>
        <v>0.70013330527996009</v>
      </c>
      <c r="M71" s="1582">
        <f>K71-TableA2!I71</f>
        <v>-0.38867588062565495</v>
      </c>
      <c r="N71" s="1583">
        <f>-TableA7!P71</f>
        <v>-0.86918360757516799</v>
      </c>
      <c r="O71" s="1583">
        <f>N71*TableC2!N$95</f>
        <v>-5.9055837548031245E-2</v>
      </c>
      <c r="P71" s="444">
        <f t="shared" si="20"/>
        <v>-0.81012777002713676</v>
      </c>
      <c r="Q71" s="958"/>
      <c r="R71" s="958"/>
      <c r="S71" s="1579"/>
      <c r="T71" s="1580"/>
      <c r="U71" s="958"/>
      <c r="V71" s="958"/>
      <c r="W71" s="958"/>
      <c r="X71" s="958"/>
      <c r="Y71" s="958"/>
      <c r="Z71" s="958"/>
    </row>
    <row r="72" spans="1:26" x14ac:dyDescent="0.2">
      <c r="A72" s="1080" t="s">
        <v>91</v>
      </c>
      <c r="B72" s="168">
        <f>D72+TableA1!C72+TableA1!H72+TableA1!I72</f>
        <v>292.86646080880678</v>
      </c>
      <c r="C72" s="168">
        <f>B72-TableA1!M72</f>
        <v>253.54923142658379</v>
      </c>
      <c r="D72" s="168">
        <f t="shared" si="6"/>
        <v>202.5564608088068</v>
      </c>
      <c r="E72" s="1581">
        <f>TableA2!C72</f>
        <v>117.069</v>
      </c>
      <c r="F72" s="1106">
        <f t="shared" si="7"/>
        <v>55.860760808806809</v>
      </c>
      <c r="G72" s="1107">
        <f>TableA2!E72-TableA6!D72*TableC2!N$95-O72</f>
        <v>-0.32803796096654469</v>
      </c>
      <c r="H72" s="1113">
        <f>TableA2!F72+TableA6!D72+N72</f>
        <v>56.188798769773356</v>
      </c>
      <c r="I72" s="1114">
        <f>TableA2!G72</f>
        <v>29.6267</v>
      </c>
      <c r="J72" s="1109">
        <f t="shared" si="8"/>
        <v>0.4220426268678662</v>
      </c>
      <c r="K72" s="24">
        <f t="shared" si="9"/>
        <v>0.32302572181642653</v>
      </c>
      <c r="L72" s="1110">
        <f t="shared" si="10"/>
        <v>0.67697427818357347</v>
      </c>
      <c r="M72" s="1582">
        <f>K72-TableA2!I72</f>
        <v>-5.908276981766164E-2</v>
      </c>
      <c r="N72" s="1583">
        <f>-TableA7!P72</f>
        <v>-39.035168909870336</v>
      </c>
      <c r="O72" s="1583">
        <f>N72*TableC2!N$95</f>
        <v>-2.6522067072024265</v>
      </c>
      <c r="P72" s="444">
        <f t="shared" si="20"/>
        <v>-36.382962202667912</v>
      </c>
      <c r="Q72" s="958"/>
      <c r="R72" s="958"/>
      <c r="S72" s="1579"/>
      <c r="T72" s="1580"/>
      <c r="U72" s="958"/>
      <c r="V72" s="958"/>
      <c r="W72" s="958"/>
      <c r="X72" s="958"/>
      <c r="Y72" s="958"/>
      <c r="Z72" s="958"/>
    </row>
    <row r="73" spans="1:26" x14ac:dyDescent="0.2">
      <c r="A73" s="1080" t="s">
        <v>92</v>
      </c>
      <c r="B73" s="168">
        <f>D73+TableA1!C73+TableA1!H73+TableA1!I73</f>
        <v>4.6000780332629274</v>
      </c>
      <c r="C73" s="168">
        <f>B73-TableA1!M73</f>
        <v>3.7805713040884594</v>
      </c>
      <c r="D73" s="168">
        <f t="shared" si="6"/>
        <v>2.374288033262927</v>
      </c>
      <c r="E73" s="1581">
        <f>TableA2!C73</f>
        <v>1.22997</v>
      </c>
      <c r="F73" s="1106">
        <f t="shared" si="7"/>
        <v>0.52679603326292701</v>
      </c>
      <c r="G73" s="1107">
        <f>TableA2!E73-TableA6!D73*TableC2!N$95-O73</f>
        <v>-6.3544166301929023E-2</v>
      </c>
      <c r="H73" s="1113">
        <f>TableA2!F73+TableA6!D73+N73</f>
        <v>0.59034019956485606</v>
      </c>
      <c r="I73" s="1114">
        <f>TableA2!G73</f>
        <v>0.61752200000000002</v>
      </c>
      <c r="J73" s="1109">
        <f t="shared" si="8"/>
        <v>0.48196259983264045</v>
      </c>
      <c r="K73" s="24">
        <f t="shared" si="9"/>
        <v>0.29986692780283503</v>
      </c>
      <c r="L73" s="1110">
        <f t="shared" si="10"/>
        <v>0.70013307219716503</v>
      </c>
      <c r="M73" s="1582">
        <f>K73-TableA2!I73</f>
        <v>-0.38867792840266763</v>
      </c>
      <c r="N73" s="1583">
        <f>-TableA7!P73</f>
        <v>-3.0545895810023342</v>
      </c>
      <c r="O73" s="1583">
        <f>N73*TableC2!N$95</f>
        <v>-0.20754112767362817</v>
      </c>
      <c r="P73" s="444">
        <f t="shared" si="20"/>
        <v>-2.8470484533287062</v>
      </c>
      <c r="Q73" s="958"/>
      <c r="R73" s="958"/>
      <c r="S73" s="1579"/>
      <c r="T73" s="1580"/>
      <c r="U73" s="958"/>
      <c r="V73" s="958"/>
      <c r="W73" s="958"/>
      <c r="X73" s="958"/>
      <c r="Y73" s="958"/>
      <c r="Z73" s="958"/>
    </row>
    <row r="74" spans="1:26" x14ac:dyDescent="0.2">
      <c r="A74" s="1094" t="s">
        <v>93</v>
      </c>
      <c r="B74" s="168">
        <f>D74+TableA1!C74+TableA1!H74+TableA1!I74</f>
        <v>42.13443741344031</v>
      </c>
      <c r="C74" s="168">
        <f>B74-TableA1!M74</f>
        <v>36.16715195626918</v>
      </c>
      <c r="D74" s="168">
        <f t="shared" ref="D74:D91" si="21">E74+F74+I74</f>
        <v>25.927237413440306</v>
      </c>
      <c r="E74" s="1581">
        <f>TableA2!C74</f>
        <v>15.218728393333157</v>
      </c>
      <c r="F74" s="1106">
        <f t="shared" ref="F74:F90" si="22">G74+H74</f>
        <v>6.2119890201071488</v>
      </c>
      <c r="G74" s="1107">
        <f>TableA2!E74-TableA6!D74*TableC2!N$95-O74</f>
        <v>-1.0924388576814459</v>
      </c>
      <c r="H74" s="1113">
        <f>TableA2!F74+TableA6!D74+N74</f>
        <v>7.3044278777885943</v>
      </c>
      <c r="I74" s="1114">
        <f>TableA2!G74</f>
        <v>4.4965200000000003</v>
      </c>
      <c r="J74" s="1121">
        <f t="shared" ref="J74:J91" si="23">(F74+I74)/D74</f>
        <v>0.41302159768691793</v>
      </c>
      <c r="K74" s="138">
        <f t="shared" ref="K74:K91" si="24">F74/(D74-I74)</f>
        <v>0.28986379225043074</v>
      </c>
      <c r="L74" s="1122">
        <f t="shared" ref="L74:L91" si="25">1-K74</f>
        <v>0.7101362077495692</v>
      </c>
      <c r="M74" s="1582">
        <f>K74-TableA2!I74</f>
        <v>-0.18089185262499319</v>
      </c>
      <c r="N74" s="1583">
        <f>-TableA7!P74</f>
        <v>-7.9265912025883249</v>
      </c>
      <c r="O74" s="1583">
        <f>N74*TableC2!N$95</f>
        <v>-0.53856455447386808</v>
      </c>
      <c r="P74" s="444">
        <f t="shared" si="20"/>
        <v>-7.3880266481144572</v>
      </c>
      <c r="Q74" s="958"/>
      <c r="R74" s="958"/>
      <c r="S74" s="1579"/>
      <c r="T74" s="1580"/>
      <c r="U74" s="958"/>
      <c r="V74" s="958"/>
      <c r="W74" s="958"/>
      <c r="X74" s="958"/>
      <c r="Y74" s="958"/>
      <c r="Z74" s="958"/>
    </row>
    <row r="75" spans="1:26" s="25" customFormat="1" x14ac:dyDescent="0.2">
      <c r="A75" s="1080" t="s">
        <v>94</v>
      </c>
      <c r="B75" s="168">
        <f>D75+TableA1!C75+TableA1!H75+TableA1!I75</f>
        <v>6.3040611287160111</v>
      </c>
      <c r="C75" s="168">
        <f>B75-TableA1!M75</f>
        <v>5.513642922019506</v>
      </c>
      <c r="D75" s="168">
        <f t="shared" si="21"/>
        <v>4.7537811287160103</v>
      </c>
      <c r="E75" s="1581">
        <f>TableA2!C75</f>
        <v>2.9184000000000001</v>
      </c>
      <c r="F75" s="1106">
        <f t="shared" si="22"/>
        <v>1.1678541287160102</v>
      </c>
      <c r="G75" s="1107">
        <f>TableA2!E75-TableA6!D75*TableC2!N$95-O75</f>
        <v>-0.23287014781925172</v>
      </c>
      <c r="H75" s="1113">
        <f>TableA2!F75+TableA6!D75+N75</f>
        <v>1.4007242765352619</v>
      </c>
      <c r="I75" s="1114">
        <f>TableA2!G75</f>
        <v>0.66752699999999998</v>
      </c>
      <c r="J75" s="1109">
        <f t="shared" si="23"/>
        <v>0.38608869003856394</v>
      </c>
      <c r="K75" s="24">
        <f t="shared" si="24"/>
        <v>0.28580066044080699</v>
      </c>
      <c r="L75" s="1110">
        <f t="shared" si="25"/>
        <v>0.71419933955919301</v>
      </c>
      <c r="M75" s="1582">
        <f>K75-TableA2!I75</f>
        <v>2.6122048793649211E-3</v>
      </c>
      <c r="N75" s="1583">
        <f>-TableA7!P75</f>
        <v>1.5976646471228539E-2</v>
      </c>
      <c r="O75" s="1583">
        <f>N75*TableC2!N$95</f>
        <v>1.0855177552179078E-3</v>
      </c>
      <c r="P75" s="444">
        <f t="shared" si="20"/>
        <v>1.4891128716010631E-2</v>
      </c>
      <c r="Q75" s="1115"/>
      <c r="R75" s="1115"/>
      <c r="S75" s="1579"/>
      <c r="T75" s="1580"/>
      <c r="U75" s="1115"/>
      <c r="V75" s="1115"/>
      <c r="W75" s="1115"/>
      <c r="X75" s="1115"/>
      <c r="Y75" s="1115"/>
      <c r="Z75" s="1115"/>
    </row>
    <row r="76" spans="1:26" x14ac:dyDescent="0.2">
      <c r="A76" s="1080" t="s">
        <v>95</v>
      </c>
      <c r="B76" s="168">
        <f>D76+TableA1!C76+TableA1!H76+TableA1!I76</f>
        <v>37.875724384860689</v>
      </c>
      <c r="C76" s="168">
        <f>B76-TableA1!M76</f>
        <v>33.350293329601442</v>
      </c>
      <c r="D76" s="168">
        <f t="shared" si="21"/>
        <v>17.677724384860682</v>
      </c>
      <c r="E76" s="1581">
        <f>TableA2!C76</f>
        <v>10.102600000000001</v>
      </c>
      <c r="F76" s="1106">
        <f t="shared" si="22"/>
        <v>4.1650843848606822</v>
      </c>
      <c r="G76" s="1107">
        <f>TableA2!E76-TableA6!D76*TableC2!N$95-O76</f>
        <v>-0.68379070975456502</v>
      </c>
      <c r="H76" s="1113">
        <f>TableA2!F76+TableA6!D76+N76</f>
        <v>4.8488750946152468</v>
      </c>
      <c r="I76" s="1114">
        <f>TableA2!G76</f>
        <v>3.41004</v>
      </c>
      <c r="J76" s="1109">
        <f t="shared" si="23"/>
        <v>0.42851241596164202</v>
      </c>
      <c r="K76" s="24">
        <f t="shared" si="24"/>
        <v>0.29192434262705014</v>
      </c>
      <c r="L76" s="1110">
        <f t="shared" si="25"/>
        <v>0.70807565737294986</v>
      </c>
      <c r="M76" s="1582">
        <f>K76-TableA2!I76</f>
        <v>-0.24481216864019517</v>
      </c>
      <c r="N76" s="1583">
        <f>-TableA7!P76</f>
        <v>-9.0073525686775824</v>
      </c>
      <c r="O76" s="1583">
        <f>N76*TableC2!N$95</f>
        <v>-0.61199583770068133</v>
      </c>
      <c r="P76" s="444">
        <f t="shared" si="20"/>
        <v>-8.3953567309769017</v>
      </c>
      <c r="Q76" s="958"/>
      <c r="R76" s="958"/>
      <c r="S76" s="1579"/>
      <c r="T76" s="1580"/>
      <c r="U76" s="958"/>
      <c r="V76" s="958"/>
      <c r="W76" s="958"/>
      <c r="X76" s="958"/>
      <c r="Y76" s="958"/>
      <c r="Z76" s="958"/>
    </row>
    <row r="77" spans="1:26" x14ac:dyDescent="0.2">
      <c r="A77" s="1080" t="s">
        <v>96</v>
      </c>
      <c r="B77" s="168">
        <f>D77+TableA1!C77+TableA1!H77+TableA1!I77</f>
        <v>8.8015181705795076</v>
      </c>
      <c r="C77" s="168">
        <f>B77-TableA1!M77</f>
        <v>7.6529983873623433</v>
      </c>
      <c r="D77" s="168">
        <f t="shared" si="21"/>
        <v>4.9286581705795083</v>
      </c>
      <c r="E77" s="1581">
        <f>TableA2!C77</f>
        <v>2.7482700000000002</v>
      </c>
      <c r="F77" s="1106">
        <f t="shared" si="22"/>
        <v>1.3896231705795081</v>
      </c>
      <c r="G77" s="1107">
        <f>TableA2!E77-TableA6!D77*TableC2!N$95-O77</f>
        <v>7.0555014235770486E-2</v>
      </c>
      <c r="H77" s="1113">
        <f>TableA2!F77+TableA6!D77+N77</f>
        <v>1.3190681563437376</v>
      </c>
      <c r="I77" s="1114">
        <f>TableA2!G77</f>
        <v>0.79076500000000005</v>
      </c>
      <c r="J77" s="1109">
        <f t="shared" si="23"/>
        <v>0.44238981384321474</v>
      </c>
      <c r="K77" s="24">
        <f t="shared" si="24"/>
        <v>0.33582867253793619</v>
      </c>
      <c r="L77" s="1110">
        <f t="shared" si="25"/>
        <v>0.66417132746206375</v>
      </c>
      <c r="M77" s="1582">
        <f>K77-TableA2!I77</f>
        <v>-0.12347717033973776</v>
      </c>
      <c r="N77" s="1583">
        <f>-TableA7!P77</f>
        <v>-12.327426958163089</v>
      </c>
      <c r="O77" s="1583">
        <f>N77*TableC2!N$95</f>
        <v>-0.8375750733006565</v>
      </c>
      <c r="P77" s="444">
        <f t="shared" si="20"/>
        <v>-11.489851884862432</v>
      </c>
      <c r="Q77" s="958"/>
      <c r="R77" s="958"/>
      <c r="S77" s="1579"/>
      <c r="T77" s="1580"/>
      <c r="U77" s="958"/>
      <c r="V77" s="958"/>
      <c r="W77" s="958"/>
      <c r="X77" s="958"/>
      <c r="Y77" s="958"/>
      <c r="Z77" s="958"/>
    </row>
    <row r="78" spans="1:26" x14ac:dyDescent="0.2">
      <c r="A78" s="1080" t="s">
        <v>97</v>
      </c>
      <c r="B78" s="168">
        <f>D78+TableA1!C78+TableA1!H78+TableA1!I78</f>
        <v>0.18478325332043657</v>
      </c>
      <c r="C78" s="168">
        <f>B78-TableA1!M78</f>
        <v>0.16164301326538585</v>
      </c>
      <c r="D78" s="168">
        <f t="shared" si="21"/>
        <v>0.13429625332043657</v>
      </c>
      <c r="E78" s="1581">
        <f>TableA2!C78</f>
        <v>8.3486143999999998E-2</v>
      </c>
      <c r="F78" s="1106">
        <f t="shared" si="22"/>
        <v>3.3373351320436576E-2</v>
      </c>
      <c r="G78" s="1107">
        <f>TableA2!E78-TableA6!D78*TableC2!N$95-O78</f>
        <v>-6.6969161737789789E-3</v>
      </c>
      <c r="H78" s="1113">
        <f>TableA2!F78+TableA6!D78+N78</f>
        <v>4.0070267494215557E-2</v>
      </c>
      <c r="I78" s="1114">
        <f>TableA2!G78</f>
        <v>1.7436758E-2</v>
      </c>
      <c r="J78" s="1109">
        <f t="shared" si="23"/>
        <v>0.37834346129673097</v>
      </c>
      <c r="K78" s="24">
        <f t="shared" si="24"/>
        <v>0.28558527682260315</v>
      </c>
      <c r="L78" s="1110">
        <f t="shared" si="25"/>
        <v>0.71441472317739685</v>
      </c>
      <c r="M78" s="1582">
        <f>K78-TableA2!I78</f>
        <v>3.4277873979706941E-2</v>
      </c>
      <c r="N78" s="1583">
        <f>-TableA7!P78</f>
        <v>5.7402704296166882E-3</v>
      </c>
      <c r="O78" s="1583">
        <f>N78*TableC2!N$95</f>
        <v>3.9001710918011513E-4</v>
      </c>
      <c r="P78" s="444">
        <f t="shared" si="20"/>
        <v>5.3502533204365732E-3</v>
      </c>
      <c r="Q78" s="958"/>
      <c r="R78" s="958"/>
      <c r="S78" s="1579"/>
      <c r="T78" s="1580"/>
      <c r="U78" s="958"/>
      <c r="V78" s="958"/>
      <c r="W78" s="958"/>
      <c r="X78" s="958"/>
      <c r="Y78" s="958"/>
      <c r="Z78" s="958"/>
    </row>
    <row r="79" spans="1:26" x14ac:dyDescent="0.2">
      <c r="A79" s="1080" t="s">
        <v>98</v>
      </c>
      <c r="B79" s="168">
        <f>D79+TableA1!C79+TableA1!H79+TableA1!I79</f>
        <v>3.8873477123250519</v>
      </c>
      <c r="C79" s="168">
        <f>B79-TableA1!M79</f>
        <v>3.1948147076767817</v>
      </c>
      <c r="D79" s="168">
        <f t="shared" si="21"/>
        <v>2.0064177123250517</v>
      </c>
      <c r="E79" s="1581">
        <f>TableA2!C79</f>
        <v>1.0394000000000001</v>
      </c>
      <c r="F79" s="1106">
        <f t="shared" si="22"/>
        <v>0.44517471232505146</v>
      </c>
      <c r="G79" s="1107">
        <f>TableA2!E79-TableA6!D79*TableC2!N$95-O79</f>
        <v>-5.3698921525945881E-2</v>
      </c>
      <c r="H79" s="1113">
        <f>TableA2!F79+TableA6!D79+N79</f>
        <v>0.49887363385099737</v>
      </c>
      <c r="I79" s="1114">
        <f>TableA2!G79</f>
        <v>0.52184299999999995</v>
      </c>
      <c r="J79" s="1109">
        <f t="shared" si="23"/>
        <v>0.48196230843898608</v>
      </c>
      <c r="K79" s="24">
        <f t="shared" si="24"/>
        <v>0.29986682962411881</v>
      </c>
      <c r="L79" s="1110">
        <f t="shared" si="25"/>
        <v>0.70013317037588119</v>
      </c>
      <c r="M79" s="1582">
        <f>K79-TableA2!I79</f>
        <v>-0.38867698234911519</v>
      </c>
      <c r="N79" s="1583">
        <f>-TableA7!P79</f>
        <v>-1.9877049751420814</v>
      </c>
      <c r="O79" s="1583">
        <f>N79*TableC2!N$95</f>
        <v>-0.13505268746713289</v>
      </c>
      <c r="P79" s="444">
        <f t="shared" si="20"/>
        <v>-1.8526522876749485</v>
      </c>
      <c r="Q79" s="958"/>
      <c r="R79" s="958"/>
      <c r="S79" s="1579"/>
      <c r="T79" s="1580"/>
      <c r="U79" s="958"/>
      <c r="V79" s="958"/>
      <c r="W79" s="958"/>
      <c r="X79" s="958"/>
      <c r="Y79" s="958"/>
      <c r="Z79" s="958"/>
    </row>
    <row r="80" spans="1:26" x14ac:dyDescent="0.2">
      <c r="A80" s="1080" t="s">
        <v>99</v>
      </c>
      <c r="B80" s="168">
        <f>D80+TableA1!C80+TableA1!H80+TableA1!I80</f>
        <v>0.53820138171553866</v>
      </c>
      <c r="C80" s="168">
        <f>B80-TableA1!M80</f>
        <v>0.44232064365076529</v>
      </c>
      <c r="D80" s="168">
        <f t="shared" si="21"/>
        <v>0.27778838171553871</v>
      </c>
      <c r="E80" s="1581">
        <f>TableA2!C80</f>
        <v>0.14390500000000001</v>
      </c>
      <c r="F80" s="1106">
        <f t="shared" si="22"/>
        <v>6.163445371553871E-2</v>
      </c>
      <c r="G80" s="1107">
        <f>TableA2!E80-TableA6!D80*TableC2!N$95-O80</f>
        <v>-7.4346344885480378E-3</v>
      </c>
      <c r="H80" s="1113">
        <f>TableA2!F80+TableA6!D80+N80</f>
        <v>6.9069088204086748E-2</v>
      </c>
      <c r="I80" s="1114">
        <f>TableA2!G80</f>
        <v>7.2248928000000004E-2</v>
      </c>
      <c r="J80" s="1109">
        <f t="shared" si="23"/>
        <v>0.48196177568231841</v>
      </c>
      <c r="K80" s="24">
        <f t="shared" si="24"/>
        <v>0.2998667778928672</v>
      </c>
      <c r="L80" s="1110">
        <f t="shared" si="25"/>
        <v>0.7001332221071328</v>
      </c>
      <c r="M80" s="1582">
        <f>K80-TableA2!I80</f>
        <v>-0.38867620433999084</v>
      </c>
      <c r="N80" s="1583">
        <f>-TableA7!P80</f>
        <v>-0.27916658691983243</v>
      </c>
      <c r="O80" s="1583">
        <f>N80*TableC2!N$95</f>
        <v>-1.8967703097817805E-2</v>
      </c>
      <c r="P80" s="444">
        <f t="shared" si="20"/>
        <v>-0.26019888382201461</v>
      </c>
      <c r="Q80" s="958"/>
      <c r="R80" s="958"/>
      <c r="S80" s="1579"/>
      <c r="T80" s="1580"/>
      <c r="U80" s="958"/>
      <c r="V80" s="958"/>
      <c r="W80" s="958"/>
      <c r="X80" s="958"/>
      <c r="Y80" s="958"/>
      <c r="Z80" s="958"/>
    </row>
    <row r="81" spans="1:20" x14ac:dyDescent="0.2">
      <c r="A81" s="1080" t="s">
        <v>100</v>
      </c>
      <c r="B81" s="168">
        <f>D81+TableA1!C81+TableA1!H81+TableA1!I81</f>
        <v>5.4987700842501859</v>
      </c>
      <c r="C81" s="168">
        <f>B81-TableA1!M81</f>
        <v>4.0880855990596157</v>
      </c>
      <c r="D81" s="168">
        <f t="shared" si="21"/>
        <v>1.6673400842501878</v>
      </c>
      <c r="E81" s="1581">
        <f>TableA2!C81</f>
        <v>0.36308000000000001</v>
      </c>
      <c r="F81" s="1106">
        <f t="shared" si="22"/>
        <v>0.2412700842501877</v>
      </c>
      <c r="G81" s="1107">
        <f>TableA2!E81-TableA6!D81*TableC2!N$95-O81</f>
        <v>6.7005086194943941E-2</v>
      </c>
      <c r="H81" s="1113">
        <f>TableA2!F81+TableA6!D81+N81</f>
        <v>0.17426499805524376</v>
      </c>
      <c r="I81" s="1114">
        <f>TableA2!G81</f>
        <v>1.0629900000000001</v>
      </c>
      <c r="J81" s="1109">
        <f t="shared" si="23"/>
        <v>0.7822399860534277</v>
      </c>
      <c r="K81" s="24">
        <f t="shared" si="24"/>
        <v>0.39922238870791188</v>
      </c>
      <c r="L81" s="1110">
        <f t="shared" si="25"/>
        <v>0.60077761129208818</v>
      </c>
      <c r="M81" s="1582">
        <f>K81-TableA2!I81</f>
        <v>-0.54736684205226638</v>
      </c>
      <c r="N81" s="1583">
        <f>-TableA7!P81</f>
        <v>-7.2698575780768468</v>
      </c>
      <c r="O81" s="1583">
        <f>N81*TableC2!N$95</f>
        <v>-0.49394342505602468</v>
      </c>
      <c r="P81" s="444">
        <f t="shared" si="20"/>
        <v>-6.775914153020822</v>
      </c>
      <c r="Q81" s="958"/>
      <c r="R81" s="958"/>
      <c r="S81" s="1579"/>
      <c r="T81" s="1580"/>
    </row>
    <row r="82" spans="1:20" x14ac:dyDescent="0.2">
      <c r="A82" s="1080" t="s">
        <v>101</v>
      </c>
      <c r="B82" s="168">
        <f>D82+TableA1!C82+TableA1!H82+TableA1!I82</f>
        <v>0.71089656475822416</v>
      </c>
      <c r="C82" s="168">
        <f>B82-TableA1!M82</f>
        <v>0.53743567271509152</v>
      </c>
      <c r="D82" s="168">
        <f t="shared" si="21"/>
        <v>0.23977556475822406</v>
      </c>
      <c r="E82" s="1581">
        <f>TableA2!C82</f>
        <v>6.9840823999999996E-2</v>
      </c>
      <c r="F82" s="1106">
        <f t="shared" si="22"/>
        <v>3.9226740758224084E-2</v>
      </c>
      <c r="G82" s="1107">
        <f>TableA2!E82-TableA6!D82*TableC2!N$95-O82</f>
        <v>5.7057231903696673E-3</v>
      </c>
      <c r="H82" s="1113">
        <f>TableA2!F82+TableA6!D82+N82</f>
        <v>3.3521017567854416E-2</v>
      </c>
      <c r="I82" s="1114">
        <f>TableA2!G82</f>
        <v>0.13070799999999999</v>
      </c>
      <c r="J82" s="1109">
        <f t="shared" si="23"/>
        <v>0.70872418100475132</v>
      </c>
      <c r="K82" s="24">
        <f t="shared" si="24"/>
        <v>0.35965541951156704</v>
      </c>
      <c r="L82" s="1110">
        <f t="shared" si="25"/>
        <v>0.6403445804884329</v>
      </c>
      <c r="M82" s="1582">
        <f>K82-TableA2!I82</f>
        <v>-0.55679203117279252</v>
      </c>
      <c r="N82" s="1583">
        <f>-TableA7!P82</f>
        <v>-0.79067591979762319</v>
      </c>
      <c r="O82" s="1583">
        <f>N82*TableC2!N$95</f>
        <v>-5.3721708814751738E-2</v>
      </c>
      <c r="P82" s="444">
        <f t="shared" si="20"/>
        <v>-0.7369542109828715</v>
      </c>
      <c r="Q82" s="958"/>
      <c r="R82" s="958"/>
      <c r="S82" s="1579"/>
      <c r="T82" s="1580"/>
    </row>
    <row r="83" spans="1:20" x14ac:dyDescent="0.2">
      <c r="A83" s="1080" t="s">
        <v>102</v>
      </c>
      <c r="B83" s="168">
        <f>D83+TableA1!C83+TableA1!H83+TableA1!I83</f>
        <v>291.31593905864736</v>
      </c>
      <c r="C83" s="168">
        <f>B83-TableA1!M83</f>
        <v>225.19527086669848</v>
      </c>
      <c r="D83" s="168">
        <f t="shared" si="21"/>
        <v>179.56293737298026</v>
      </c>
      <c r="E83" s="1581">
        <f>TableA2!C83</f>
        <v>103.461294</v>
      </c>
      <c r="F83" s="1106">
        <f t="shared" si="22"/>
        <v>31.61113368731322</v>
      </c>
      <c r="G83" s="1107">
        <f>TableA2!E83-TableA6!D83*TableC2!N$95-O83</f>
        <v>-18.046468487697744</v>
      </c>
      <c r="H83" s="1113">
        <f>TableA2!F83+TableA6!D83+N83</f>
        <v>49.657602175010965</v>
      </c>
      <c r="I83" s="1114">
        <f>TableA2!G83</f>
        <v>44.490509685667035</v>
      </c>
      <c r="J83" s="1109">
        <f t="shared" si="23"/>
        <v>0.42381598611803312</v>
      </c>
      <c r="K83" s="24">
        <f t="shared" si="24"/>
        <v>0.2340309878822317</v>
      </c>
      <c r="L83" s="1110">
        <f t="shared" si="25"/>
        <v>0.76596901211776824</v>
      </c>
      <c r="M83" s="1582">
        <f>K83-TableA2!I83</f>
        <v>-7.136719469175784E-2</v>
      </c>
      <c r="N83" s="1583">
        <f>-TableA7!P83</f>
        <v>-70.416271670151048</v>
      </c>
      <c r="O83" s="1583">
        <f>N83*TableC2!N$95</f>
        <v>-4.7843653104454615</v>
      </c>
      <c r="P83" s="444">
        <f t="shared" si="20"/>
        <v>-65.631906359705582</v>
      </c>
      <c r="Q83" s="958"/>
      <c r="R83" s="958"/>
      <c r="S83" s="1579"/>
      <c r="T83" s="1580"/>
    </row>
    <row r="84" spans="1:20" x14ac:dyDescent="0.2">
      <c r="A84" s="1080" t="s">
        <v>103</v>
      </c>
      <c r="B84" s="168">
        <f>D84+TableA1!C84+TableA1!H84+TableA1!I84</f>
        <v>0.47713991547987683</v>
      </c>
      <c r="C84" s="168">
        <f>B84-TableA1!M84</f>
        <v>0.37117500195194641</v>
      </c>
      <c r="D84" s="168">
        <f t="shared" si="21"/>
        <v>0.18933791547987683</v>
      </c>
      <c r="E84" s="1581">
        <f>TableA2!C84</f>
        <v>7.3737880000000006E-2</v>
      </c>
      <c r="F84" s="1106">
        <f t="shared" si="22"/>
        <v>3.5752427479876815E-2</v>
      </c>
      <c r="G84" s="1107">
        <f>TableA2!E84-TableA6!D84*TableC2!N$95-O84</f>
        <v>3.6096687946427647E-4</v>
      </c>
      <c r="H84" s="1113">
        <f>TableA2!F84+TableA6!D84+N84</f>
        <v>3.5391460600412539E-2</v>
      </c>
      <c r="I84" s="1114">
        <f>TableA2!G84</f>
        <v>7.9847608E-2</v>
      </c>
      <c r="J84" s="1109">
        <f t="shared" si="23"/>
        <v>0.6105487914921246</v>
      </c>
      <c r="K84" s="24">
        <f t="shared" si="24"/>
        <v>0.32653509066496811</v>
      </c>
      <c r="L84" s="1110">
        <f t="shared" si="25"/>
        <v>0.67346490933503189</v>
      </c>
      <c r="M84" s="1582">
        <f>K84-TableA2!I84</f>
        <v>-0.52905989086138983</v>
      </c>
      <c r="N84" s="1583">
        <f>-TableA7!P84</f>
        <v>-0.43731622619230615</v>
      </c>
      <c r="O84" s="1583">
        <f>N84*TableC2!N$95</f>
        <v>-2.9713027012992131E-2</v>
      </c>
      <c r="P84" s="444">
        <f t="shared" si="20"/>
        <v>-0.40760319917931404</v>
      </c>
      <c r="Q84" s="958"/>
      <c r="R84" s="958"/>
      <c r="S84" s="1579"/>
      <c r="T84" s="1580"/>
    </row>
    <row r="85" spans="1:20" x14ac:dyDescent="0.2">
      <c r="A85" s="1080" t="s">
        <v>104</v>
      </c>
      <c r="B85" s="168">
        <f>D85+TableA1!C85+TableA1!H85+TableA1!I85</f>
        <v>0.86388267942978259</v>
      </c>
      <c r="C85" s="168">
        <f>B85-TableA1!M85</f>
        <v>0.66491404738169191</v>
      </c>
      <c r="D85" s="168">
        <f t="shared" si="21"/>
        <v>0.3234826794297827</v>
      </c>
      <c r="E85" s="1581">
        <f>TableA2!C85</f>
        <v>0.115233</v>
      </c>
      <c r="F85" s="1106">
        <f t="shared" si="22"/>
        <v>5.8320679429782703E-2</v>
      </c>
      <c r="G85" s="1107">
        <f>TableA2!E85-TableA6!D85*TableC2!N$95-O85</f>
        <v>3.0130928899019319E-3</v>
      </c>
      <c r="H85" s="1113">
        <f>TableA2!F85+TableA6!D85+N85</f>
        <v>5.5307586539880771E-2</v>
      </c>
      <c r="I85" s="1114">
        <f>TableA2!G85</f>
        <v>0.14992900000000001</v>
      </c>
      <c r="J85" s="1109">
        <f t="shared" si="23"/>
        <v>0.64377381749425866</v>
      </c>
      <c r="K85" s="24">
        <f t="shared" si="24"/>
        <v>0.33603827715665574</v>
      </c>
      <c r="L85" s="1110">
        <f t="shared" si="25"/>
        <v>0.66396172284334432</v>
      </c>
      <c r="M85" s="1582">
        <f>K85-TableA2!I85</f>
        <v>-0.54377849590915184</v>
      </c>
      <c r="N85" s="1583">
        <f>-TableA7!P85</f>
        <v>-0.92654576830210822</v>
      </c>
      <c r="O85" s="1583">
        <f>N85*TableC2!N$95</f>
        <v>-6.2953253946328058E-2</v>
      </c>
      <c r="P85" s="444">
        <f t="shared" si="20"/>
        <v>-0.86359251435578011</v>
      </c>
      <c r="Q85" s="958"/>
      <c r="R85" s="958"/>
      <c r="S85" s="1579"/>
      <c r="T85" s="1580"/>
    </row>
    <row r="86" spans="1:20" x14ac:dyDescent="0.2">
      <c r="A86" s="1080" t="s">
        <v>105</v>
      </c>
      <c r="B86" s="168">
        <f>D86+TableA1!C86+TableA1!H86+TableA1!I86</f>
        <v>0.42477528431690809</v>
      </c>
      <c r="C86" s="168">
        <f>B86-TableA1!M86</f>
        <v>0.33365941206153027</v>
      </c>
      <c r="D86" s="168">
        <f t="shared" si="21"/>
        <v>0.17730328431690801</v>
      </c>
      <c r="E86" s="1581">
        <f>TableA2!C86</f>
        <v>7.3914943999999996E-2</v>
      </c>
      <c r="F86" s="1106">
        <f t="shared" si="22"/>
        <v>3.4729972316907998E-2</v>
      </c>
      <c r="G86" s="1107">
        <f>TableA2!E86-TableA6!D86*TableC2!N$95-O86</f>
        <v>-7.4647246774944831E-4</v>
      </c>
      <c r="H86" s="1113">
        <f>TableA2!F86+TableA6!D86+N86</f>
        <v>3.5476444784657446E-2</v>
      </c>
      <c r="I86" s="1114">
        <f>TableA2!G86</f>
        <v>6.8658367999999997E-2</v>
      </c>
      <c r="J86" s="1109">
        <f t="shared" si="23"/>
        <v>0.58311576525629349</v>
      </c>
      <c r="K86" s="24">
        <f t="shared" si="24"/>
        <v>0.31966495528979572</v>
      </c>
      <c r="L86" s="1110">
        <f t="shared" si="25"/>
        <v>0.68033504471020434</v>
      </c>
      <c r="M86" s="1582">
        <f>K86-TableA2!I86</f>
        <v>-0.51199287627030321</v>
      </c>
      <c r="N86" s="1583">
        <f>-TableA7!P86</f>
        <v>-0.37416665279599115</v>
      </c>
      <c r="O86" s="1583">
        <f>N86*TableC2!N$95</f>
        <v>-2.5422390471738981E-2</v>
      </c>
      <c r="P86" s="444">
        <f t="shared" si="20"/>
        <v>-0.34874426232425215</v>
      </c>
      <c r="Q86" s="958"/>
      <c r="R86" s="958"/>
      <c r="S86" s="1579"/>
      <c r="T86" s="1580"/>
    </row>
    <row r="87" spans="1:20" x14ac:dyDescent="0.2">
      <c r="A87" s="1080" t="s">
        <v>106</v>
      </c>
      <c r="B87" s="168">
        <f>D87+TableA1!C87+TableA1!H87+TableA1!I87</f>
        <v>0.42801420846331317</v>
      </c>
      <c r="C87" s="168">
        <f>B87-TableA1!M87</f>
        <v>0.35176332081661754</v>
      </c>
      <c r="D87" s="168">
        <f t="shared" si="21"/>
        <v>0.22091620846331322</v>
      </c>
      <c r="E87" s="1581">
        <f>TableA2!C87</f>
        <v>0.114443</v>
      </c>
      <c r="F87" s="1106">
        <f t="shared" si="22"/>
        <v>4.9015904463313234E-2</v>
      </c>
      <c r="G87" s="1107">
        <f>TableA2!E87-TableA6!D87*TableC2!N$95-O87</f>
        <v>-5.9125112369077665E-3</v>
      </c>
      <c r="H87" s="1113">
        <f>TableA2!F87+TableA6!D87+N87</f>
        <v>5.4928415700221001E-2</v>
      </c>
      <c r="I87" s="1114">
        <f>TableA2!G87</f>
        <v>5.7457304000000001E-2</v>
      </c>
      <c r="J87" s="1109">
        <f t="shared" si="23"/>
        <v>0.48196195835487943</v>
      </c>
      <c r="K87" s="24">
        <f t="shared" si="24"/>
        <v>0.29986683579122103</v>
      </c>
      <c r="L87" s="1110">
        <f t="shared" si="25"/>
        <v>0.70013316420877891</v>
      </c>
      <c r="M87" s="1582">
        <f>K87-TableA2!I87</f>
        <v>-0.38867677023758934</v>
      </c>
      <c r="N87" s="1583">
        <f>-TableA7!P87</f>
        <v>-0.24501896552426217</v>
      </c>
      <c r="O87" s="1583">
        <f>N87*TableC2!N$95</f>
        <v>-1.664757606802442E-2</v>
      </c>
      <c r="P87" s="444">
        <f t="shared" si="20"/>
        <v>-0.22837138945623775</v>
      </c>
      <c r="Q87" s="958"/>
      <c r="R87" s="958"/>
      <c r="S87" s="1579"/>
      <c r="T87" s="1580"/>
    </row>
    <row r="88" spans="1:20" x14ac:dyDescent="0.2">
      <c r="A88" s="1080" t="s">
        <v>107</v>
      </c>
      <c r="B88" s="168">
        <f>D88+TableA1!C88+TableA1!H88+TableA1!I88</f>
        <v>36.448073914761316</v>
      </c>
      <c r="C88" s="168">
        <f>B88-TableA1!M88</f>
        <v>30.15829413397887</v>
      </c>
      <c r="D88" s="168">
        <f t="shared" si="21"/>
        <v>19.364973914761315</v>
      </c>
      <c r="E88" s="1581">
        <f>TableA2!C88</f>
        <v>10.2681</v>
      </c>
      <c r="F88" s="1106">
        <f t="shared" si="22"/>
        <v>4.3573439147613122</v>
      </c>
      <c r="G88" s="1107">
        <f>TableA2!E88-TableA6!D88*TableC2!N$95-O88</f>
        <v>-0.57096507094719939</v>
      </c>
      <c r="H88" s="1113">
        <f>TableA2!F88+TableA6!D88+N88</f>
        <v>4.9283089857085116</v>
      </c>
      <c r="I88" s="1114">
        <f>TableA2!G88</f>
        <v>4.7395300000000002</v>
      </c>
      <c r="J88" s="1109">
        <f t="shared" si="23"/>
        <v>0.46975916181467459</v>
      </c>
      <c r="K88" s="24">
        <f t="shared" si="24"/>
        <v>0.29792900237123665</v>
      </c>
      <c r="L88" s="1110">
        <f t="shared" si="25"/>
        <v>0.70207099762876335</v>
      </c>
      <c r="M88" s="1582">
        <f>K88-TableA2!I88</f>
        <v>-0.36329792619644485</v>
      </c>
      <c r="N88" s="1583">
        <f>-TableA7!P88</f>
        <v>-16.911318951094543</v>
      </c>
      <c r="O88" s="1583">
        <f>N88*TableC2!N$95</f>
        <v>-1.1490231707026433</v>
      </c>
      <c r="P88" s="444">
        <f t="shared" si="20"/>
        <v>-15.7622957803919</v>
      </c>
      <c r="Q88" s="958"/>
      <c r="R88" s="958"/>
      <c r="S88" s="1579"/>
      <c r="T88" s="1580"/>
    </row>
    <row r="89" spans="1:20" x14ac:dyDescent="0.2">
      <c r="A89" s="1080" t="s">
        <v>108</v>
      </c>
      <c r="B89" s="168">
        <f>D89+TableA1!C89+TableA1!H89+TableA1!I89</f>
        <v>68.669534622059814</v>
      </c>
      <c r="C89" s="168">
        <f>B89-TableA1!M89</f>
        <v>56.422813828234865</v>
      </c>
      <c r="D89" s="168">
        <f t="shared" si="21"/>
        <v>42.826402694348964</v>
      </c>
      <c r="E89" s="1581">
        <f>TableA2!C89</f>
        <v>23.088800000000003</v>
      </c>
      <c r="F89" s="1106">
        <f t="shared" si="22"/>
        <v>9.9189526943489632</v>
      </c>
      <c r="G89" s="1107">
        <f>TableA2!E89-TableA6!D89*TableC2!N$95-O89</f>
        <v>-1.1628190559482365</v>
      </c>
      <c r="H89" s="1113">
        <f>TableA2!F89+TableA6!D89+N89</f>
        <v>11.0817717502972</v>
      </c>
      <c r="I89" s="1114">
        <f>TableA2!G89</f>
        <v>9.8186499999999999</v>
      </c>
      <c r="J89" s="1109">
        <f t="shared" si="23"/>
        <v>0.46087463463171946</v>
      </c>
      <c r="K89" s="24">
        <f t="shared" si="24"/>
        <v>0.30050372669106673</v>
      </c>
      <c r="L89" s="1110">
        <f t="shared" si="25"/>
        <v>0.69949627330893327</v>
      </c>
      <c r="M89" s="1582">
        <f>K89-TableA2!I89</f>
        <v>-0.37818792790329692</v>
      </c>
      <c r="N89" s="1583">
        <f>-TableA7!P89</f>
        <v>-41.683062581236264</v>
      </c>
      <c r="O89" s="1583">
        <f>N89*TableC2!N$95</f>
        <v>-2.832115275585227</v>
      </c>
      <c r="P89" s="444">
        <f t="shared" si="20"/>
        <v>-38.85094730565104</v>
      </c>
      <c r="Q89" s="958"/>
      <c r="R89" s="958"/>
      <c r="S89" s="1579"/>
      <c r="T89" s="1580"/>
    </row>
    <row r="90" spans="1:20" ht="40" customHeight="1" x14ac:dyDescent="0.2">
      <c r="A90" s="1588" t="s">
        <v>109</v>
      </c>
      <c r="B90" s="1589">
        <f>D90+TableA1!C90+TableA1!H90+TableA1!I90</f>
        <v>9632.318394912365</v>
      </c>
      <c r="C90" s="1589">
        <f>B90-TableA1!M90</f>
        <v>8253.7051171722451</v>
      </c>
      <c r="D90" s="168">
        <f t="shared" si="21"/>
        <v>4326.0275122289286</v>
      </c>
      <c r="E90" s="1590">
        <f>TableA2!C90</f>
        <v>2089.5387553579658</v>
      </c>
      <c r="F90" s="1591">
        <f t="shared" si="22"/>
        <v>1563.7813422545094</v>
      </c>
      <c r="G90" s="1591">
        <f>TableA2!E90-TableA6!D90*TableC2!D$95-O90</f>
        <v>61.917018236375213</v>
      </c>
      <c r="H90" s="1592">
        <f>TableA2!F90+TableA6!D90+N90</f>
        <v>1501.8643240181341</v>
      </c>
      <c r="I90" s="1593">
        <f>TableA2!G90</f>
        <v>672.70741461645321</v>
      </c>
      <c r="J90" s="1594">
        <f t="shared" si="23"/>
        <v>0.51698440441000371</v>
      </c>
      <c r="K90" s="1595">
        <f t="shared" si="24"/>
        <v>0.4280438889755307</v>
      </c>
      <c r="L90" s="1596">
        <f t="shared" si="25"/>
        <v>0.5719561110244693</v>
      </c>
      <c r="M90" s="1597">
        <f>K90-TableA2!I90</f>
        <v>1.0583465219263066E-2</v>
      </c>
      <c r="N90" s="1598">
        <f>TableC4!C91/1000</f>
        <v>78.718222161267093</v>
      </c>
      <c r="O90" s="1598">
        <f>N90*TableC2!D$95</f>
        <v>12.345416321652717</v>
      </c>
      <c r="P90" s="1599">
        <f t="shared" si="20"/>
        <v>66.372805839614372</v>
      </c>
      <c r="Q90" s="958"/>
      <c r="R90" s="958"/>
      <c r="S90" s="1579"/>
      <c r="T90" s="1580"/>
    </row>
    <row r="91" spans="1:20" ht="40" customHeight="1" thickBot="1" x14ac:dyDescent="0.25">
      <c r="A91" s="210" t="s">
        <v>110</v>
      </c>
      <c r="B91" s="165">
        <f>D91+TableA1!C91+TableA1!H91+TableA1!I91</f>
        <v>75038.958996406785</v>
      </c>
      <c r="C91" s="165">
        <f>B91-TableA1!M91</f>
        <v>63098.894488914579</v>
      </c>
      <c r="D91" s="449">
        <f t="shared" si="21"/>
        <v>41013.063980041799</v>
      </c>
      <c r="E91" s="447">
        <f>E90+E53+E45+E9</f>
        <v>22422.077231008858</v>
      </c>
      <c r="F91" s="447">
        <f>F90+F53+F45+F9</f>
        <v>11662.065790312621</v>
      </c>
      <c r="G91" s="447">
        <f>G90+G53+G45+G9</f>
        <v>146.77889617196286</v>
      </c>
      <c r="H91" s="447">
        <f>H90+H53+H45+H9</f>
        <v>11515.286894140656</v>
      </c>
      <c r="I91" s="166">
        <f>TableA2!G91</f>
        <v>6928.9209587203241</v>
      </c>
      <c r="J91" s="197">
        <f t="shared" si="23"/>
        <v>0.45329426638497144</v>
      </c>
      <c r="K91" s="167">
        <f t="shared" si="24"/>
        <v>0.34215517118964578</v>
      </c>
      <c r="L91" s="198">
        <f t="shared" si="25"/>
        <v>0.65784482881035422</v>
      </c>
      <c r="M91" s="303">
        <f>K91-TableA2!I91</f>
        <v>4.9971510509790873E-3</v>
      </c>
      <c r="N91" s="447">
        <f>N90+N53+N45+N9</f>
        <v>0</v>
      </c>
      <c r="O91" s="447">
        <f>O90+O53+O45+O9</f>
        <v>-0.46618540505149664</v>
      </c>
      <c r="P91" s="448">
        <f>P90+P53+P45+P9</f>
        <v>0.4661854050515899</v>
      </c>
      <c r="Q91" s="958"/>
      <c r="R91" s="958"/>
      <c r="S91" s="1579"/>
      <c r="T91" s="1580"/>
    </row>
    <row r="92" spans="1:20" ht="17" thickTop="1" x14ac:dyDescent="0.2">
      <c r="A92" s="958"/>
      <c r="B92" s="958"/>
      <c r="C92" s="958"/>
      <c r="D92" s="958"/>
      <c r="E92" s="958"/>
      <c r="F92" s="1007"/>
      <c r="G92" s="958"/>
      <c r="H92" s="958"/>
      <c r="I92" s="958"/>
      <c r="J92" s="958"/>
      <c r="K92" s="958"/>
      <c r="L92" s="958"/>
      <c r="M92" s="958"/>
      <c r="N92" s="958"/>
      <c r="O92" s="958"/>
      <c r="P92" s="958"/>
      <c r="Q92" s="958"/>
      <c r="R92" s="958"/>
      <c r="S92" s="958"/>
      <c r="T92" s="958"/>
    </row>
    <row r="93" spans="1:20" s="2" customFormat="1" ht="17" thickBot="1" x14ac:dyDescent="0.25">
      <c r="D93" s="958"/>
      <c r="E93" s="958"/>
      <c r="F93" s="958"/>
      <c r="G93" s="958"/>
      <c r="H93" s="958"/>
      <c r="I93" s="958"/>
      <c r="J93" s="958"/>
      <c r="K93" s="958"/>
      <c r="L93" s="958"/>
      <c r="M93" s="958"/>
      <c r="N93" s="958"/>
      <c r="O93" s="958"/>
      <c r="P93" s="958"/>
    </row>
    <row r="94" spans="1:20" s="2" customFormat="1" ht="57" customHeight="1" thickBot="1" x14ac:dyDescent="0.25">
      <c r="A94" s="1978" t="s">
        <v>1981</v>
      </c>
      <c r="B94" s="1932"/>
      <c r="C94" s="1932"/>
      <c r="D94" s="1932"/>
      <c r="E94" s="1932"/>
      <c r="F94" s="1932"/>
      <c r="G94" s="1932"/>
      <c r="H94" s="1932"/>
      <c r="I94" s="1932"/>
      <c r="J94" s="1932"/>
      <c r="K94" s="1932"/>
      <c r="L94" s="1932"/>
      <c r="M94" s="1932"/>
      <c r="N94" s="1932"/>
      <c r="O94" s="1932"/>
      <c r="P94" s="1933"/>
    </row>
    <row r="95" spans="1:20" s="2" customFormat="1" x14ac:dyDescent="0.2">
      <c r="A95" s="958"/>
      <c r="B95" s="958"/>
      <c r="C95" s="958"/>
      <c r="D95" s="958"/>
      <c r="E95" s="958"/>
      <c r="F95" s="958"/>
      <c r="G95" s="958"/>
      <c r="H95" s="958"/>
      <c r="I95" s="958"/>
      <c r="J95" s="958"/>
      <c r="K95" s="958"/>
      <c r="L95" s="958"/>
      <c r="M95" s="958"/>
      <c r="N95" s="958"/>
      <c r="O95" s="958"/>
      <c r="P95" s="958"/>
    </row>
    <row r="96" spans="1:20" s="2" customFormat="1" x14ac:dyDescent="0.2">
      <c r="A96" s="172"/>
      <c r="B96" s="172"/>
      <c r="C96" s="172"/>
      <c r="D96" s="182"/>
      <c r="E96" s="182"/>
      <c r="F96" s="182"/>
      <c r="G96" s="182"/>
      <c r="H96" s="182"/>
      <c r="I96" s="182"/>
      <c r="J96" s="182"/>
      <c r="K96" s="182"/>
      <c r="L96" s="958"/>
      <c r="M96" s="958"/>
      <c r="N96" s="958"/>
      <c r="O96" s="958"/>
      <c r="P96" s="958"/>
    </row>
    <row r="97" spans="1:13" x14ac:dyDescent="0.2">
      <c r="A97" s="1004" t="s">
        <v>133</v>
      </c>
      <c r="B97" s="1107">
        <f>SUM(B10:B44)-B24-B12-B30-B32-B41</f>
        <v>44609.596787949435</v>
      </c>
      <c r="C97" s="1107">
        <f t="shared" ref="C97:I97" si="26">SUM(C10:C44)-C24-C12-C30-C32-C41</f>
        <v>37172.774401003291</v>
      </c>
      <c r="D97" s="1107">
        <f t="shared" si="26"/>
        <v>25202.568281223259</v>
      </c>
      <c r="E97" s="1107">
        <f t="shared" si="26"/>
        <v>14529.806981991025</v>
      </c>
      <c r="F97" s="1107">
        <f t="shared" si="26"/>
        <v>6301.4574219340084</v>
      </c>
      <c r="G97" s="1107">
        <f t="shared" si="26"/>
        <v>52.585837117537622</v>
      </c>
      <c r="H97" s="1107">
        <f t="shared" si="26"/>
        <v>6248.8715848164684</v>
      </c>
      <c r="I97" s="1107">
        <f t="shared" si="26"/>
        <v>4371.3038772982236</v>
      </c>
      <c r="J97" s="1109">
        <f t="shared" ref="J97" si="27">(F97+I97)/D97</f>
        <v>0.42347911451484055</v>
      </c>
      <c r="K97" s="422">
        <f t="shared" ref="K97" si="28">F97/(D97-I97)</f>
        <v>0.3024999971075536</v>
      </c>
      <c r="L97" s="1110">
        <f t="shared" ref="L97" si="29">1-K97</f>
        <v>0.6975000028924464</v>
      </c>
      <c r="M97" s="422">
        <f>K97-TableA2!I97</f>
        <v>1.250529986731802E-2</v>
      </c>
    </row>
  </sheetData>
  <mergeCells count="15">
    <mergeCell ref="A94:P94"/>
    <mergeCell ref="D7:D8"/>
    <mergeCell ref="D6:I6"/>
    <mergeCell ref="J6:J8"/>
    <mergeCell ref="K6:K8"/>
    <mergeCell ref="L6:L8"/>
    <mergeCell ref="M6:M8"/>
    <mergeCell ref="C7:C8"/>
    <mergeCell ref="A3:P3"/>
    <mergeCell ref="E7:E8"/>
    <mergeCell ref="F7:F8"/>
    <mergeCell ref="P6:P8"/>
    <mergeCell ref="I7:I8"/>
    <mergeCell ref="B7:B8"/>
    <mergeCell ref="B6:C6"/>
  </mergeCells>
  <pageMargins left="0.7" right="0.7" top="0.75" bottom="0.75" header="0.3" footer="0.3"/>
  <pageSetup scale="43" orientation="portrait" horizontalDpi="4294967292" verticalDpi="4294967292"/>
  <ignoredErrors>
    <ignoredError sqref="F53" formula="1"/>
  </ignoredErrors>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A93"/>
  <sheetViews>
    <sheetView workbookViewId="0">
      <pane xSplit="1" ySplit="8" topLeftCell="B42" activePane="bottomRight" state="frozen"/>
      <selection pane="topRight" activeCell="B1" sqref="B1"/>
      <selection pane="bottomLeft" activeCell="A9" sqref="A9"/>
      <selection pane="bottomRight" activeCell="D9" sqref="D9"/>
    </sheetView>
  </sheetViews>
  <sheetFormatPr baseColWidth="10" defaultColWidth="10.83203125" defaultRowHeight="16" x14ac:dyDescent="0.2"/>
  <cols>
    <col min="1" max="1" width="19" style="1" customWidth="1"/>
    <col min="2" max="2" width="14.83203125" style="1" customWidth="1"/>
    <col min="3" max="3" width="13.5" style="1" customWidth="1"/>
    <col min="4" max="17" width="11.33203125" style="1" customWidth="1"/>
    <col min="18" max="16384" width="10.83203125" style="1"/>
  </cols>
  <sheetData>
    <row r="1" spans="1:21" x14ac:dyDescent="0.2">
      <c r="A1" s="958"/>
      <c r="B1" s="958"/>
      <c r="C1" s="1004"/>
      <c r="D1" s="958"/>
      <c r="E1" s="958"/>
      <c r="F1"/>
      <c r="G1" s="958"/>
      <c r="H1" s="958"/>
      <c r="I1" s="1004"/>
      <c r="J1" s="958"/>
      <c r="K1" s="958"/>
      <c r="L1" s="958"/>
      <c r="M1" s="1004"/>
      <c r="N1" s="1004"/>
      <c r="O1" s="1004"/>
      <c r="P1" s="1004"/>
      <c r="Q1" s="958"/>
      <c r="R1" s="958"/>
      <c r="S1" s="958"/>
      <c r="T1" s="958"/>
      <c r="U1" s="958"/>
    </row>
    <row r="2" spans="1:21" ht="17" thickBot="1" x14ac:dyDescent="0.25">
      <c r="A2" s="958"/>
      <c r="B2" s="958"/>
      <c r="C2" s="958"/>
      <c r="D2" s="958"/>
      <c r="E2" s="958"/>
      <c r="F2" s="958"/>
      <c r="G2" s="958"/>
      <c r="H2" s="958"/>
      <c r="I2" s="958"/>
      <c r="J2" s="958"/>
      <c r="K2" s="958"/>
      <c r="L2" s="958"/>
      <c r="M2" s="958"/>
      <c r="N2" s="958"/>
      <c r="O2" s="958"/>
      <c r="P2" s="958"/>
      <c r="Q2" s="958"/>
      <c r="R2" s="958"/>
      <c r="S2" s="958"/>
      <c r="T2" s="958"/>
      <c r="U2" s="958"/>
    </row>
    <row r="3" spans="1:21" ht="32.25" customHeight="1" x14ac:dyDescent="0.2">
      <c r="A3" s="2073" t="s">
        <v>713</v>
      </c>
      <c r="B3" s="2074"/>
      <c r="C3" s="2074"/>
      <c r="D3" s="2074"/>
      <c r="E3" s="2074"/>
      <c r="F3" s="2074"/>
      <c r="G3" s="2074"/>
      <c r="H3" s="2074"/>
      <c r="I3" s="2074"/>
      <c r="J3" s="2074"/>
      <c r="K3" s="2074"/>
      <c r="L3" s="2074"/>
      <c r="M3" s="2074"/>
      <c r="N3" s="2074"/>
      <c r="O3" s="2074"/>
      <c r="P3" s="2074"/>
      <c r="Q3" s="2075"/>
      <c r="R3" s="958"/>
      <c r="S3" s="958"/>
      <c r="T3" s="958"/>
      <c r="U3" s="958"/>
    </row>
    <row r="4" spans="1:21" ht="12" customHeight="1" x14ac:dyDescent="0.2">
      <c r="A4" s="118"/>
      <c r="B4" s="620"/>
      <c r="C4" s="620"/>
      <c r="D4" s="620"/>
      <c r="E4" s="620"/>
      <c r="F4" s="620"/>
      <c r="G4" s="620"/>
      <c r="H4" s="620"/>
      <c r="I4" s="620"/>
      <c r="J4" s="620"/>
      <c r="K4" s="620"/>
      <c r="L4" s="620"/>
      <c r="M4" s="620"/>
      <c r="N4" s="620"/>
      <c r="O4" s="620"/>
      <c r="P4" s="620"/>
      <c r="Q4" s="686"/>
      <c r="R4" s="958"/>
      <c r="S4" s="958"/>
      <c r="T4" s="958"/>
      <c r="U4" s="1023"/>
    </row>
    <row r="5" spans="1:21" ht="17" thickBot="1" x14ac:dyDescent="0.25">
      <c r="A5" s="1237"/>
      <c r="B5" s="126" t="s">
        <v>1</v>
      </c>
      <c r="C5" s="126" t="s">
        <v>2</v>
      </c>
      <c r="D5" s="126" t="s">
        <v>3</v>
      </c>
      <c r="E5" s="126" t="s">
        <v>4</v>
      </c>
      <c r="F5" s="126" t="s">
        <v>5</v>
      </c>
      <c r="G5" s="126" t="s">
        <v>6</v>
      </c>
      <c r="H5" s="126" t="s">
        <v>7</v>
      </c>
      <c r="I5" s="126" t="s">
        <v>8</v>
      </c>
      <c r="J5" s="126" t="s">
        <v>9</v>
      </c>
      <c r="K5" s="126" t="s">
        <v>10</v>
      </c>
      <c r="L5" s="687" t="s">
        <v>12</v>
      </c>
      <c r="M5" s="687" t="s">
        <v>13</v>
      </c>
      <c r="N5" s="687" t="s">
        <v>177</v>
      </c>
      <c r="O5" s="687" t="s">
        <v>178</v>
      </c>
      <c r="P5" s="687" t="s">
        <v>179</v>
      </c>
      <c r="Q5" s="793" t="s">
        <v>619</v>
      </c>
      <c r="R5" s="958"/>
      <c r="S5" s="958"/>
      <c r="T5" s="958"/>
      <c r="U5" s="958"/>
    </row>
    <row r="6" spans="1:21" ht="21" customHeight="1" x14ac:dyDescent="0.2">
      <c r="A6" s="1237"/>
      <c r="B6" s="2314" t="s">
        <v>136</v>
      </c>
      <c r="C6" s="1949"/>
      <c r="D6" s="1947" t="s">
        <v>14</v>
      </c>
      <c r="E6" s="1948"/>
      <c r="F6" s="1948"/>
      <c r="G6" s="1948"/>
      <c r="H6" s="1948"/>
      <c r="I6" s="2315" t="s">
        <v>714</v>
      </c>
      <c r="J6" s="1971" t="s">
        <v>715</v>
      </c>
      <c r="K6" s="2316" t="s">
        <v>716</v>
      </c>
      <c r="L6" s="2305" t="s">
        <v>717</v>
      </c>
      <c r="M6" s="1971" t="s">
        <v>718</v>
      </c>
      <c r="N6" s="2310" t="s">
        <v>719</v>
      </c>
      <c r="O6" s="2311" t="s">
        <v>720</v>
      </c>
      <c r="P6" s="1971" t="s">
        <v>721</v>
      </c>
      <c r="Q6" s="2317" t="s">
        <v>722</v>
      </c>
      <c r="R6" s="958"/>
      <c r="S6" s="958"/>
      <c r="T6" s="958"/>
      <c r="U6" s="958"/>
    </row>
    <row r="7" spans="1:21" ht="85" customHeight="1" x14ac:dyDescent="0.2">
      <c r="A7" s="1237"/>
      <c r="B7" s="1966" t="s">
        <v>351</v>
      </c>
      <c r="C7" s="2307" t="s">
        <v>723</v>
      </c>
      <c r="D7" s="1943" t="s">
        <v>724</v>
      </c>
      <c r="E7" s="2319" t="s">
        <v>332</v>
      </c>
      <c r="F7" s="1858" t="s">
        <v>725</v>
      </c>
      <c r="G7" s="1858" t="s">
        <v>726</v>
      </c>
      <c r="H7" s="2320" t="s">
        <v>350</v>
      </c>
      <c r="I7" s="1970"/>
      <c r="J7" s="1958"/>
      <c r="K7" s="1967"/>
      <c r="L7" s="2309"/>
      <c r="M7" s="1958"/>
      <c r="N7" s="2084"/>
      <c r="O7" s="2312"/>
      <c r="P7" s="1958"/>
      <c r="Q7" s="2094"/>
      <c r="R7" s="1577"/>
      <c r="S7" s="1577"/>
      <c r="T7" s="173"/>
      <c r="U7" s="958"/>
    </row>
    <row r="8" spans="1:21" x14ac:dyDescent="0.2">
      <c r="A8" s="1237"/>
      <c r="B8" s="1943"/>
      <c r="C8" s="2308"/>
      <c r="D8" s="1943"/>
      <c r="E8" s="1967"/>
      <c r="F8" s="127"/>
      <c r="G8" s="127"/>
      <c r="H8" s="1968"/>
      <c r="I8" s="1970"/>
      <c r="J8" s="1958"/>
      <c r="K8" s="1967"/>
      <c r="L8" s="2309"/>
      <c r="M8" s="1958"/>
      <c r="N8" s="2084"/>
      <c r="O8" s="2313"/>
      <c r="P8" s="1958"/>
      <c r="Q8" s="2318"/>
      <c r="R8" s="958"/>
      <c r="S8" s="958"/>
      <c r="T8" s="958"/>
      <c r="U8" s="958"/>
    </row>
    <row r="9" spans="1:21" ht="40" customHeight="1" x14ac:dyDescent="0.2">
      <c r="A9" s="808" t="s">
        <v>28</v>
      </c>
      <c r="B9" s="174">
        <f>TableC5!C9+D9</f>
        <v>38844.802031957195</v>
      </c>
      <c r="C9" s="174">
        <f>TableB1!D11+TableC5!P9</f>
        <v>319.79276331313173</v>
      </c>
      <c r="D9" s="174">
        <f>E9+H9</f>
        <v>-12.459561953050496</v>
      </c>
      <c r="E9" s="202">
        <f t="shared" ref="E9:E73" si="0">F9+G9</f>
        <v>156.45697872844951</v>
      </c>
      <c r="F9" s="202">
        <f>SUM(F10:F44)</f>
        <v>164.77940361060027</v>
      </c>
      <c r="G9" s="202">
        <f>SUM(G10:G44)</f>
        <v>-8.3224248821507505</v>
      </c>
      <c r="H9" s="203">
        <f>SUM(H10:H44)</f>
        <v>-168.91654068150001</v>
      </c>
      <c r="I9" s="423">
        <f>SUM(TableB1!C12:C46)/TableA1!B9</f>
        <v>1.776726018055117E-3</v>
      </c>
      <c r="J9" s="423">
        <f>C9/TableC5!B9</f>
        <v>6.8454255829430346E-3</v>
      </c>
      <c r="K9" s="1578">
        <f>J9-I9</f>
        <v>5.0686995648879171E-3</v>
      </c>
      <c r="L9" s="1600"/>
      <c r="M9" s="753">
        <f>D9/TableC5!B9</f>
        <v>-2.6670711138688613E-4</v>
      </c>
      <c r="N9" s="1601"/>
      <c r="O9" s="1602"/>
      <c r="P9" s="442"/>
      <c r="Q9" s="1603"/>
      <c r="R9" s="958"/>
      <c r="S9" s="958"/>
      <c r="T9" s="1579"/>
      <c r="U9" s="1580"/>
    </row>
    <row r="10" spans="1:21" ht="14.25" customHeight="1" x14ac:dyDescent="0.2">
      <c r="A10" s="1504" t="s">
        <v>29</v>
      </c>
      <c r="B10" s="168">
        <f>TableC5!C10+D10</f>
        <v>975.05377733015894</v>
      </c>
      <c r="C10" s="168">
        <f>TableB1!D12+TableC5!P10</f>
        <v>-16.560906019297711</v>
      </c>
      <c r="D10" s="168">
        <f>E10+H10</f>
        <v>-40.445129022585185</v>
      </c>
      <c r="E10" s="1106">
        <f t="shared" si="0"/>
        <v>-21.514285957985187</v>
      </c>
      <c r="F10" s="1107">
        <f>TableB1!H12-TableA6!H10/(1+TableA5!O10)-TableC5!N10</f>
        <v>-19.688375567018007</v>
      </c>
      <c r="G10" s="1113">
        <f>TableB1!I12+TableC5!O10</f>
        <v>-1.8259103909671803</v>
      </c>
      <c r="H10" s="1114">
        <f>TableB1!F12+TableB1!J12</f>
        <v>-18.930843064599998</v>
      </c>
      <c r="I10" s="1604">
        <f>TableB1!D12/TableA1!B10</f>
        <v>-2.2342277522342281E-2</v>
      </c>
      <c r="J10" s="422">
        <f>C10/TableC5!B10</f>
        <v>-1.3342410557499379E-2</v>
      </c>
      <c r="K10" s="1582">
        <f t="shared" ref="K10:K73" si="1">J10-I10</f>
        <v>8.9998669648429022E-3</v>
      </c>
      <c r="L10" s="1605">
        <f>TableB1b!B12/TableA1!B10</f>
        <v>-2.3992933427533548E-2</v>
      </c>
      <c r="M10" s="422">
        <f>D10/TableC5!B10</f>
        <v>-3.2584903014457725E-2</v>
      </c>
      <c r="N10" s="1606">
        <f>M10-L10</f>
        <v>-8.5919695869241773E-3</v>
      </c>
      <c r="O10" s="1607">
        <f>TableB1!C12/TableA1!B10</f>
        <v>-4.7477908836340649E-2</v>
      </c>
      <c r="P10" s="422">
        <f>J10+M10+TableB1!K12/TableC5!B10</f>
        <v>-4.7059952078911373E-2</v>
      </c>
      <c r="Q10" s="1608">
        <f>P10-O10</f>
        <v>4.1795675742927613E-4</v>
      </c>
      <c r="R10" s="1145"/>
      <c r="S10" s="1145"/>
      <c r="T10" s="1579"/>
      <c r="U10" s="1580"/>
    </row>
    <row r="11" spans="1:21" ht="14.25" customHeight="1" x14ac:dyDescent="0.2">
      <c r="A11" s="1237" t="s">
        <v>30</v>
      </c>
      <c r="B11" s="168">
        <f>TableC5!C11+D11</f>
        <v>310.85061654824818</v>
      </c>
      <c r="C11" s="168">
        <f>TableB1!D13+TableC5!P11</f>
        <v>15.866135006132247</v>
      </c>
      <c r="D11" s="168">
        <f t="shared" ref="D11:D74" si="2">E11+H11</f>
        <v>-5.6991831362778047</v>
      </c>
      <c r="E11" s="1106">
        <f t="shared" si="0"/>
        <v>-1.9361005206778046</v>
      </c>
      <c r="F11" s="1107">
        <f>TableB1!H13-TableA6!H11/(1+TableA5!O11)-TableC5!N11</f>
        <v>-2.4335874414042031</v>
      </c>
      <c r="G11" s="1113">
        <f>TableB1!I13+TableC5!O11</f>
        <v>0.49748692072639855</v>
      </c>
      <c r="H11" s="1114">
        <f>TableB1!F13+TableB1!J13</f>
        <v>-3.7630826156000006</v>
      </c>
      <c r="I11" s="1604">
        <f>TableB1!D13/TableA1!B11</f>
        <v>3.3605794221030189E-2</v>
      </c>
      <c r="J11" s="422">
        <f>C11/TableC5!B11</f>
        <v>4.1200858295742881E-2</v>
      </c>
      <c r="K11" s="1582">
        <f t="shared" si="1"/>
        <v>7.595064074712693E-3</v>
      </c>
      <c r="L11" s="1605">
        <f>TableB1b!B13/TableA1!B11</f>
        <v>-6.9953309200968617E-3</v>
      </c>
      <c r="M11" s="422">
        <f>D11/TableC5!B11</f>
        <v>-1.4799523432046621E-2</v>
      </c>
      <c r="N11" s="1606">
        <f t="shared" ref="N11:N44" si="3">M11-L11</f>
        <v>-7.8041925119497592E-3</v>
      </c>
      <c r="O11" s="1607">
        <f>TableB1!C13/TableA1!B11</f>
        <v>1.6753091840694793E-2</v>
      </c>
      <c r="P11" s="422">
        <f>J11+M11+TableB1!K13/TableC5!B11</f>
        <v>1.6621431302661256E-2</v>
      </c>
      <c r="Q11" s="1608">
        <f t="shared" ref="Q11:Q74" si="4">P11-O11</f>
        <v>-1.3166053803353658E-4</v>
      </c>
      <c r="R11" s="1145"/>
      <c r="S11" s="1145"/>
      <c r="T11" s="1579"/>
      <c r="U11" s="1580"/>
    </row>
    <row r="12" spans="1:21" ht="14.25" customHeight="1" x14ac:dyDescent="0.2">
      <c r="A12" s="1237" t="s">
        <v>31</v>
      </c>
      <c r="B12" s="168">
        <f>TableC5!C12+D12</f>
        <v>366.90384892595705</v>
      </c>
      <c r="C12" s="168">
        <f>TableB1!D14+TableC5!P12</f>
        <v>0.26996925917750936</v>
      </c>
      <c r="D12" s="168">
        <f t="shared" si="2"/>
        <v>7.0899793258845332</v>
      </c>
      <c r="E12" s="1106">
        <f t="shared" si="0"/>
        <v>0.23586779158453419</v>
      </c>
      <c r="F12" s="1107">
        <f>TableB1!H14-TableA6!H12/(1+TableA5!O12)-TableC5!N12</f>
        <v>-2.5040718818786409</v>
      </c>
      <c r="G12" s="1113">
        <f>TableB1!I14+TableC5!O12</f>
        <v>2.7399396734631751</v>
      </c>
      <c r="H12" s="1114">
        <f>TableB1!F14+TableB1!J14</f>
        <v>6.8541115342999994</v>
      </c>
      <c r="I12" s="1604">
        <f>TableB1!D14/TableA1!B12</f>
        <v>2.2626993056897166E-2</v>
      </c>
      <c r="J12" s="422">
        <f>C12/TableC5!B12</f>
        <v>6.0274352794811024E-4</v>
      </c>
      <c r="K12" s="1582">
        <f t="shared" si="1"/>
        <v>-2.2024249528949054E-2</v>
      </c>
      <c r="L12" s="1605">
        <f>TableB1b!B14/TableA1!B12</f>
        <v>9.4992884265912122E-5</v>
      </c>
      <c r="M12" s="422">
        <f>D12/TableC5!B12</f>
        <v>1.5829354664239566E-2</v>
      </c>
      <c r="N12" s="1606">
        <f t="shared" si="3"/>
        <v>1.5734361779973654E-2</v>
      </c>
      <c r="O12" s="1607">
        <f>TableB1!C14/TableA1!B12</f>
        <v>6.4473627393895295E-3</v>
      </c>
      <c r="P12" s="422">
        <f>J12+M12+TableB1!K14/TableC5!B12</f>
        <v>-1.0774779578519647E-4</v>
      </c>
      <c r="Q12" s="1608">
        <f t="shared" si="4"/>
        <v>-6.555110535174726E-3</v>
      </c>
      <c r="R12" s="1145"/>
      <c r="S12" s="1145"/>
      <c r="T12" s="1579"/>
      <c r="U12" s="1580"/>
    </row>
    <row r="13" spans="1:21" ht="14.25" customHeight="1" x14ac:dyDescent="0.2">
      <c r="A13" s="1504" t="s">
        <v>32</v>
      </c>
      <c r="B13" s="168">
        <f>TableC5!C13+D13</f>
        <v>1278.7413417364883</v>
      </c>
      <c r="C13" s="168">
        <f>TableB1!D15+TableC5!P13</f>
        <v>-21.371598347148215</v>
      </c>
      <c r="D13" s="168">
        <f t="shared" si="2"/>
        <v>-30.093418637003381</v>
      </c>
      <c r="E13" s="1106">
        <f t="shared" si="0"/>
        <v>-10.400685796703382</v>
      </c>
      <c r="F13" s="1107">
        <f>TableB1!H15-TableA6!H13/(1+TableA5!O13)-TableC5!N13</f>
        <v>-13.55192372402526</v>
      </c>
      <c r="G13" s="1113">
        <f>TableB1!I15+TableC5!O13</f>
        <v>3.1512379273218789</v>
      </c>
      <c r="H13" s="1114">
        <f>TableB1!F15+TableB1!J15</f>
        <v>-19.6927328403</v>
      </c>
      <c r="I13" s="1604">
        <f>TableB1!D15/TableA1!B13</f>
        <v>-2.3929535215782977E-2</v>
      </c>
      <c r="J13" s="422">
        <f>C13/TableC5!B13</f>
        <v>-1.3564336305808937E-2</v>
      </c>
      <c r="K13" s="1582">
        <f t="shared" si="1"/>
        <v>1.036519890997404E-2</v>
      </c>
      <c r="L13" s="1605">
        <f>TableB1b!B15/TableA1!B13</f>
        <v>-9.0688292698478806E-3</v>
      </c>
      <c r="M13" s="422">
        <f>D13/TableC5!B13</f>
        <v>-1.9099987017970572E-2</v>
      </c>
      <c r="N13" s="1606">
        <f t="shared" si="3"/>
        <v>-1.0031157748122691E-2</v>
      </c>
      <c r="O13" s="1607">
        <f>TableB1!C15/TableA1!B13</f>
        <v>-3.4816261949733154E-2</v>
      </c>
      <c r="P13" s="422">
        <f>J13+M13+TableB1!K15/TableC5!B13</f>
        <v>-3.4463818282470783E-2</v>
      </c>
      <c r="Q13" s="1608">
        <f t="shared" si="4"/>
        <v>3.5244366726237125E-4</v>
      </c>
      <c r="R13" s="1145"/>
      <c r="S13" s="1145"/>
      <c r="T13" s="1579"/>
      <c r="U13" s="1580"/>
    </row>
    <row r="14" spans="1:21" ht="14.25" customHeight="1" x14ac:dyDescent="0.2">
      <c r="A14" s="1504" t="s">
        <v>33</v>
      </c>
      <c r="B14" s="168">
        <f>TableC5!C14+D14</f>
        <v>187.47361197091911</v>
      </c>
      <c r="C14" s="168">
        <f>TableB1!D16+TableC5!P14</f>
        <v>4.4166997626847158</v>
      </c>
      <c r="D14" s="168">
        <f t="shared" si="2"/>
        <v>-10.944940140679446</v>
      </c>
      <c r="E14" s="1106">
        <f t="shared" si="0"/>
        <v>-10.720127140679446</v>
      </c>
      <c r="F14" s="1107">
        <f>TableB1!H16-TableA6!H14/(1+TableA5!O14)-TableC5!N14</f>
        <v>-9.8953964545255921</v>
      </c>
      <c r="G14" s="1113">
        <f>TableB1!I16+TableC5!O14</f>
        <v>-0.8247306861538547</v>
      </c>
      <c r="H14" s="1114">
        <f>TableB1!F16+TableB1!J16</f>
        <v>-0.22481300000000004</v>
      </c>
      <c r="I14" s="1604">
        <f>TableB1!D16/TableA1!B14</f>
        <v>2.1438576893031085E-4</v>
      </c>
      <c r="J14" s="422">
        <f>C14/TableC5!B14</f>
        <v>1.9561892001363435E-2</v>
      </c>
      <c r="K14" s="1582">
        <f t="shared" si="1"/>
        <v>1.9347506232433125E-2</v>
      </c>
      <c r="L14" s="1605">
        <f>TableB1b!B16/TableA1!B14</f>
        <v>-2.969902488844255E-2</v>
      </c>
      <c r="M14" s="422">
        <f>D14/TableC5!B14</f>
        <v>-4.8475954558254757E-2</v>
      </c>
      <c r="N14" s="1606">
        <f t="shared" si="3"/>
        <v>-1.8776929669812207E-2</v>
      </c>
      <c r="O14" s="1607">
        <f>TableB1!C16/TableA1!B14</f>
        <v>-2.1091016637896684E-2</v>
      </c>
      <c r="P14" s="422">
        <f>J14+M14+TableB1!K16/TableC5!B14</f>
        <v>-2.0682870561335855E-2</v>
      </c>
      <c r="Q14" s="1608">
        <f t="shared" si="4"/>
        <v>4.0814607656082871E-4</v>
      </c>
      <c r="R14" s="1145"/>
      <c r="S14" s="1145"/>
      <c r="T14" s="1579"/>
      <c r="U14" s="1580"/>
    </row>
    <row r="15" spans="1:21" ht="14.25" customHeight="1" x14ac:dyDescent="0.2">
      <c r="A15" s="1504" t="s">
        <v>34</v>
      </c>
      <c r="B15" s="168">
        <f>TableC5!C15+D15</f>
        <v>136.3884827948628</v>
      </c>
      <c r="C15" s="168">
        <f>TableB1!D17+TableC5!P15</f>
        <v>12.301531302192826</v>
      </c>
      <c r="D15" s="168">
        <f t="shared" si="2"/>
        <v>-12.542785997753295</v>
      </c>
      <c r="E15" s="1106">
        <f t="shared" si="0"/>
        <v>-14.097121631753296</v>
      </c>
      <c r="F15" s="1107">
        <f>TableB1!H17-TableA6!H15/(1+TableA5!O15)-TableC5!N15</f>
        <v>-13.90188820066699</v>
      </c>
      <c r="G15" s="1113">
        <f>TableB1!I17+TableC5!O15</f>
        <v>-0.19523343108630631</v>
      </c>
      <c r="H15" s="1114">
        <f>TableB1!F17+TableB1!J17</f>
        <v>1.5543356340000001</v>
      </c>
      <c r="I15" s="1604">
        <f>TableB1!D17/TableA1!B15</f>
        <v>5.7897695541206003E-2</v>
      </c>
      <c r="J15" s="422">
        <f>C15/TableC5!B15</f>
        <v>6.5324415510733591E-2</v>
      </c>
      <c r="K15" s="1582">
        <f t="shared" si="1"/>
        <v>7.4267199695275884E-3</v>
      </c>
      <c r="L15" s="1605">
        <f>TableB1b!B17/TableA1!B15</f>
        <v>-5.9189001928478445E-2</v>
      </c>
      <c r="M15" s="422">
        <f>D15/TableC5!B15</f>
        <v>-6.6605542354990638E-2</v>
      </c>
      <c r="N15" s="1606">
        <f t="shared" si="3"/>
        <v>-7.4165404265121929E-3</v>
      </c>
      <c r="O15" s="1607">
        <f>TableB1!C17/TableA1!B15</f>
        <v>-1.2608976247203802E-3</v>
      </c>
      <c r="P15" s="422">
        <f>J15+M15+TableB1!K17/TableC5!B15</f>
        <v>-1.2509577980939412E-3</v>
      </c>
      <c r="Q15" s="1608">
        <f t="shared" si="4"/>
        <v>9.9398266264389985E-6</v>
      </c>
      <c r="R15" s="1145"/>
      <c r="S15" s="1145"/>
      <c r="T15" s="1579"/>
      <c r="U15" s="1580"/>
    </row>
    <row r="16" spans="1:21" ht="14.25" customHeight="1" x14ac:dyDescent="0.2">
      <c r="A16" s="1504" t="s">
        <v>35</v>
      </c>
      <c r="B16" s="168">
        <f>TableC5!C16+D16</f>
        <v>260.92430279403715</v>
      </c>
      <c r="C16" s="168">
        <f>TableB1!D18+TableC5!P16</f>
        <v>24.81608015773708</v>
      </c>
      <c r="D16" s="168">
        <f t="shared" si="2"/>
        <v>7.1799500782613013</v>
      </c>
      <c r="E16" s="1106">
        <f t="shared" si="0"/>
        <v>5.1027230813613009</v>
      </c>
      <c r="F16" s="1107">
        <f>TableB1!H18-TableA6!H16/(1+TableA5!O16)-TableC5!N16</f>
        <v>3.9267460351738306</v>
      </c>
      <c r="G16" s="1113">
        <f>TableB1!I18+TableC5!O16</f>
        <v>1.1759770461874699</v>
      </c>
      <c r="H16" s="1114">
        <f>TableB1!F18+TableB1!J18</f>
        <v>2.0772269969000003</v>
      </c>
      <c r="I16" s="1604">
        <f>TableB1!D18/TableA1!B16</f>
        <v>7.4075418063005646E-2</v>
      </c>
      <c r="J16" s="422">
        <f>C16/TableC5!B16</f>
        <v>8.1686731734046766E-2</v>
      </c>
      <c r="K16" s="1582">
        <f t="shared" si="1"/>
        <v>7.61131367104112E-3</v>
      </c>
      <c r="L16" s="1605">
        <f>TableB1b!B18/TableA1!B16</f>
        <v>3.2118388974895225E-2</v>
      </c>
      <c r="M16" s="422">
        <f>D16/TableC5!B16</f>
        <v>2.363413771146769E-2</v>
      </c>
      <c r="N16" s="1606">
        <f t="shared" si="3"/>
        <v>-8.4842512634275349E-3</v>
      </c>
      <c r="O16" s="1607">
        <f>TableB1!C18/TableA1!B16</f>
        <v>9.019736285808988E-2</v>
      </c>
      <c r="P16" s="422">
        <f>J16+M16+TableB1!K18/TableC5!B16</f>
        <v>8.9457877490600565E-2</v>
      </c>
      <c r="Q16" s="1608">
        <f t="shared" si="4"/>
        <v>-7.3948536748931482E-4</v>
      </c>
      <c r="R16" s="1145"/>
      <c r="S16" s="1145"/>
      <c r="T16" s="1579"/>
      <c r="U16" s="1580"/>
    </row>
    <row r="17" spans="1:21" ht="14.25" customHeight="1" x14ac:dyDescent="0.2">
      <c r="A17" s="1504" t="s">
        <v>36</v>
      </c>
      <c r="B17" s="168">
        <f>TableC5!C17+D17</f>
        <v>18.384414377885491</v>
      </c>
      <c r="C17" s="168">
        <f>TableB1!D19+TableC5!P17</f>
        <v>1.1365925793164415</v>
      </c>
      <c r="D17" s="168">
        <f t="shared" si="2"/>
        <v>-0.66476975877023559</v>
      </c>
      <c r="E17" s="1106">
        <f t="shared" si="0"/>
        <v>-1.1931876305702356</v>
      </c>
      <c r="F17" s="1107">
        <f>TableB1!H19-TableA6!H17/(1+TableA5!O17)-TableC5!N17</f>
        <v>-1.2702481280118934</v>
      </c>
      <c r="G17" s="1113">
        <f>TableB1!I19+TableC5!O17</f>
        <v>7.7060497441657771E-2</v>
      </c>
      <c r="H17" s="1114">
        <f>TableB1!F19+TableB1!J19</f>
        <v>0.52841787179999999</v>
      </c>
      <c r="I17" s="1604">
        <f>TableB1!D19/TableA1!B17</f>
        <v>4.1455809092620283E-2</v>
      </c>
      <c r="J17" s="422">
        <f>C17/TableC5!B17</f>
        <v>5.0145840695243395E-2</v>
      </c>
      <c r="K17" s="1582">
        <f t="shared" si="1"/>
        <v>8.690031602623112E-3</v>
      </c>
      <c r="L17" s="1605">
        <f>TableB1b!B19/TableA1!B17</f>
        <v>-2.0449014969120952E-2</v>
      </c>
      <c r="M17" s="422">
        <f>D17/TableC5!B17</f>
        <v>-2.932927684813488E-2</v>
      </c>
      <c r="N17" s="1606">
        <f t="shared" si="3"/>
        <v>-8.880261879013928E-3</v>
      </c>
      <c r="O17" s="1607">
        <f>TableB1!C19/TableA1!B17</f>
        <v>2.2162274221404658E-2</v>
      </c>
      <c r="P17" s="422">
        <f>J17+M17+TableB1!K19/TableC5!B17</f>
        <v>2.1961580316097983E-2</v>
      </c>
      <c r="Q17" s="1608">
        <f t="shared" si="4"/>
        <v>-2.0069390530667516E-4</v>
      </c>
      <c r="R17" s="1145"/>
      <c r="S17" s="1145"/>
      <c r="T17" s="1579"/>
      <c r="U17" s="1580"/>
    </row>
    <row r="18" spans="1:21" ht="14.25" customHeight="1" x14ac:dyDescent="0.2">
      <c r="A18" s="1504" t="s">
        <v>37</v>
      </c>
      <c r="B18" s="168">
        <f>TableC5!C18+D18</f>
        <v>189.63429441152638</v>
      </c>
      <c r="C18" s="168">
        <f>TableB1!D20+TableC5!P18</f>
        <v>2.1865323562233798</v>
      </c>
      <c r="D18" s="168">
        <f t="shared" si="2"/>
        <v>-1.0730386337554403</v>
      </c>
      <c r="E18" s="1106">
        <f t="shared" si="0"/>
        <v>0.99321215734456003</v>
      </c>
      <c r="F18" s="1107">
        <f>TableB1!H20-TableA6!H18/(1+TableA5!O18)-TableC5!N18</f>
        <v>0.83144233708138593</v>
      </c>
      <c r="G18" s="1113">
        <f>TableB1!I20+TableC5!O18</f>
        <v>0.16176982026317416</v>
      </c>
      <c r="H18" s="1114">
        <f>TableB1!F20+TableB1!J20</f>
        <v>-2.0662507911000003</v>
      </c>
      <c r="I18" s="1604">
        <f>TableB1!D20/TableA1!B18</f>
        <v>-4.4119686883711134E-4</v>
      </c>
      <c r="J18" s="422">
        <f>C18/TableC5!B18</f>
        <v>9.3141463716727244E-3</v>
      </c>
      <c r="K18" s="1582">
        <f t="shared" si="1"/>
        <v>9.7553432405098357E-3</v>
      </c>
      <c r="L18" s="1605">
        <f>TableB1b!B20/TableA1!B18</f>
        <v>5.2311418904336443E-3</v>
      </c>
      <c r="M18" s="422">
        <f>D18/TableC5!B18</f>
        <v>-4.5709083009045776E-3</v>
      </c>
      <c r="N18" s="1606">
        <f t="shared" si="3"/>
        <v>-9.8020501913382227E-3</v>
      </c>
      <c r="O18" s="1607">
        <f>TableB1!C20/TableA1!B18</f>
        <v>-6.3230369427510714E-3</v>
      </c>
      <c r="P18" s="422">
        <f>J18+M18+TableB1!K20/TableC5!B18</f>
        <v>-6.2613807495734489E-3</v>
      </c>
      <c r="Q18" s="1608">
        <f t="shared" si="4"/>
        <v>6.1656193177622547E-5</v>
      </c>
      <c r="R18" s="1145"/>
      <c r="S18" s="1145"/>
      <c r="T18" s="1579"/>
      <c r="U18" s="1580"/>
    </row>
    <row r="19" spans="1:21" ht="14.25" customHeight="1" x14ac:dyDescent="0.2">
      <c r="A19" s="1504" t="s">
        <v>38</v>
      </c>
      <c r="B19" s="168">
        <f>TableC5!C19+D19</f>
        <v>2054.3745445515751</v>
      </c>
      <c r="C19" s="168">
        <f>TableB1!D21+TableC5!P19</f>
        <v>9.0809796794253437</v>
      </c>
      <c r="D19" s="168">
        <f t="shared" si="2"/>
        <v>29.292995636811561</v>
      </c>
      <c r="E19" s="1106">
        <f t="shared" si="0"/>
        <v>17.763610621611562</v>
      </c>
      <c r="F19" s="1107">
        <f>TableB1!H21-TableA6!H19/(1+TableA5!O19)-TableC5!N19</f>
        <v>13.445434172458036</v>
      </c>
      <c r="G19" s="1113">
        <f>TableB1!I21+TableC5!O19</f>
        <v>4.3181764491535244</v>
      </c>
      <c r="H19" s="1114">
        <f>TableB1!F21+TableB1!J21</f>
        <v>11.529385015199997</v>
      </c>
      <c r="I19" s="1604">
        <f>TableB1!D21/TableA1!B19</f>
        <v>-7.3848052636675005E-3</v>
      </c>
      <c r="J19" s="422">
        <f>C19/TableC5!B19</f>
        <v>3.6905336122678755E-3</v>
      </c>
      <c r="K19" s="1582">
        <f t="shared" si="1"/>
        <v>1.1075338875935377E-2</v>
      </c>
      <c r="L19" s="1605">
        <f>TableB1b!B21/TableA1!B19</f>
        <v>2.315345085563833E-2</v>
      </c>
      <c r="M19" s="422">
        <f>D19/TableC5!B19</f>
        <v>1.1904749136990737E-2</v>
      </c>
      <c r="N19" s="1606">
        <f t="shared" si="3"/>
        <v>-1.1248701718647593E-2</v>
      </c>
      <c r="O19" s="1607">
        <f>TableB1!C21/TableA1!B19</f>
        <v>-4.4490049881752295E-3</v>
      </c>
      <c r="P19" s="422">
        <f>J19+M19+TableB1!K21/TableC5!B19</f>
        <v>-4.4000919634334841E-3</v>
      </c>
      <c r="Q19" s="1608">
        <f t="shared" si="4"/>
        <v>4.8913024741745366E-5</v>
      </c>
      <c r="R19" s="1145"/>
      <c r="S19" s="1145"/>
      <c r="T19" s="1579"/>
      <c r="U19" s="1580"/>
    </row>
    <row r="20" spans="1:21" ht="14.25" customHeight="1" x14ac:dyDescent="0.2">
      <c r="A20" s="1504" t="s">
        <v>39</v>
      </c>
      <c r="B20" s="168">
        <f>TableC5!C20+D20</f>
        <v>2844.671338933982</v>
      </c>
      <c r="C20" s="168">
        <f>TableB1!D22+TableC5!P20</f>
        <v>315.26917617218095</v>
      </c>
      <c r="D20" s="168">
        <f t="shared" si="2"/>
        <v>17.359572870677233</v>
      </c>
      <c r="E20" s="1106">
        <f t="shared" si="0"/>
        <v>-5.7257226668227634</v>
      </c>
      <c r="F20" s="1107">
        <f>TableB1!H22-TableA6!H20/(1+TableA5!O20)-TableC5!N20</f>
        <v>-5.5122143522598677</v>
      </c>
      <c r="G20" s="1113">
        <f>TableB1!I22+TableC5!O20</f>
        <v>-0.21350831456289576</v>
      </c>
      <c r="H20" s="1114">
        <f>TableB1!F22+TableB1!J22</f>
        <v>23.085295537499999</v>
      </c>
      <c r="I20" s="1604">
        <f>TableB1!D22/TableA1!B20</f>
        <v>7.9682023373699076E-2</v>
      </c>
      <c r="J20" s="422">
        <f>C20/TableC5!B20</f>
        <v>9.2132660312659556E-2</v>
      </c>
      <c r="K20" s="1582">
        <f t="shared" si="1"/>
        <v>1.245063693896048E-2</v>
      </c>
      <c r="L20" s="1605">
        <f>TableB1b!B22/TableA1!B20</f>
        <v>1.885680508332931E-2</v>
      </c>
      <c r="M20" s="422">
        <f>D20/TableC5!B20</f>
        <v>5.0730732699142125E-3</v>
      </c>
      <c r="N20" s="1606">
        <f t="shared" si="3"/>
        <v>-1.3783731813415096E-2</v>
      </c>
      <c r="O20" s="1607">
        <f>TableB1!C22/TableA1!B20</f>
        <v>8.5370526481578446E-2</v>
      </c>
      <c r="P20" s="422">
        <f>J20+M20+TableB1!K22/TableC5!B20</f>
        <v>8.4215580628617476E-2</v>
      </c>
      <c r="Q20" s="1608">
        <f t="shared" si="4"/>
        <v>-1.1549458529609702E-3</v>
      </c>
      <c r="R20" s="1145"/>
      <c r="S20" s="1145"/>
      <c r="T20" s="1579"/>
      <c r="U20" s="1580"/>
    </row>
    <row r="21" spans="1:21" ht="14.25" customHeight="1" x14ac:dyDescent="0.2">
      <c r="A21" s="1504" t="s">
        <v>40</v>
      </c>
      <c r="B21" s="168">
        <f>TableC5!C21+D21</f>
        <v>157.17664239162912</v>
      </c>
      <c r="C21" s="168">
        <f>TableB1!D23+TableC5!P21</f>
        <v>0.54079524118947531</v>
      </c>
      <c r="D21" s="168">
        <f t="shared" si="2"/>
        <v>-0.42164737368904193</v>
      </c>
      <c r="E21" s="1106">
        <f t="shared" si="0"/>
        <v>-0.23774593888904191</v>
      </c>
      <c r="F21" s="1107">
        <f>TableB1!H23-TableA6!H21/(1+TableA5!O21)-TableC5!N21</f>
        <v>-0.34124687949661903</v>
      </c>
      <c r="G21" s="1113">
        <f>TableB1!I23+TableC5!O21</f>
        <v>0.10350094060757711</v>
      </c>
      <c r="H21" s="1114">
        <f>TableB1!F23+TableB1!J23</f>
        <v>-0.18390143480000004</v>
      </c>
      <c r="I21" s="1604">
        <f>TableB1!D23/TableA1!B21</f>
        <v>-1.7530088910590806E-3</v>
      </c>
      <c r="J21" s="422">
        <f>C21/TableC5!B21</f>
        <v>2.7627837554782745E-3</v>
      </c>
      <c r="K21" s="1582">
        <f t="shared" si="1"/>
        <v>4.5157926465373551E-3</v>
      </c>
      <c r="L21" s="1605">
        <f>TableB1b!B23/TableA1!B21</f>
        <v>2.3644610522424803E-3</v>
      </c>
      <c r="M21" s="422">
        <f>D21/TableC5!B21</f>
        <v>-2.1540879538916213E-3</v>
      </c>
      <c r="N21" s="1606">
        <f t="shared" si="3"/>
        <v>-4.5185490061341021E-3</v>
      </c>
      <c r="O21" s="1607">
        <f>TableB1!C23/TableA1!B21</f>
        <v>-2.3600195967038448E-3</v>
      </c>
      <c r="P21" s="422">
        <f>J21+M21+TableB1!K23/TableC5!B21</f>
        <v>-2.3493808859805097E-3</v>
      </c>
      <c r="Q21" s="1609">
        <f t="shared" si="4"/>
        <v>1.0638710723335099E-5</v>
      </c>
      <c r="R21" s="1145"/>
      <c r="S21" s="1145"/>
      <c r="T21" s="1579"/>
      <c r="U21" s="1580"/>
    </row>
    <row r="22" spans="1:21" ht="14.25" customHeight="1" x14ac:dyDescent="0.2">
      <c r="A22" s="1504" t="s">
        <v>41</v>
      </c>
      <c r="B22" s="168">
        <f>TableC5!C22+D22</f>
        <v>94.887768769265392</v>
      </c>
      <c r="C22" s="168">
        <f>TableB1!D24+TableC5!P22</f>
        <v>12.912571855649055</v>
      </c>
      <c r="D22" s="168">
        <f t="shared" si="2"/>
        <v>-8.0350827004997001</v>
      </c>
      <c r="E22" s="1106">
        <f t="shared" si="0"/>
        <v>-9.6958883624996997</v>
      </c>
      <c r="F22" s="1107">
        <f>TableB1!H24-TableA6!H22/(1+TableA5!O22)-TableC5!N22</f>
        <v>-10.14242240356068</v>
      </c>
      <c r="G22" s="1113">
        <f>TableB1!I24+TableC5!O22</f>
        <v>0.44653404106098027</v>
      </c>
      <c r="H22" s="1114">
        <f>TableB1!F24+TableB1!J24</f>
        <v>1.6608056619999998</v>
      </c>
      <c r="I22" s="1604">
        <f>TableB1!D24/TableA1!B22</f>
        <v>8.9498058640349265E-2</v>
      </c>
      <c r="J22" s="422">
        <f>C22/TableC5!B22</f>
        <v>0.10435708541929473</v>
      </c>
      <c r="K22" s="1582">
        <f t="shared" si="1"/>
        <v>1.4859026778945461E-2</v>
      </c>
      <c r="L22" s="1605">
        <f>TableB1b!B24/TableA1!B22</f>
        <v>-4.9425093007384464E-2</v>
      </c>
      <c r="M22" s="422">
        <f>D22/TableC5!B22</f>
        <v>-6.493809452532151E-2</v>
      </c>
      <c r="N22" s="1606">
        <f t="shared" si="3"/>
        <v>-1.5513001517937046E-2</v>
      </c>
      <c r="O22" s="1607">
        <f>TableB1!C24/TableA1!B22</f>
        <v>2.9975787334679319E-2</v>
      </c>
      <c r="P22" s="422">
        <f>J22+M22+TableB1!K24/TableC5!B22</f>
        <v>2.9486594498842663E-2</v>
      </c>
      <c r="Q22" s="1609">
        <f t="shared" si="4"/>
        <v>-4.8919283583665624E-4</v>
      </c>
      <c r="R22" s="1145"/>
      <c r="S22" s="1145"/>
      <c r="T22" s="1579"/>
      <c r="U22" s="1580"/>
    </row>
    <row r="23" spans="1:21" ht="14.25" customHeight="1" x14ac:dyDescent="0.2">
      <c r="A23" s="1504" t="s">
        <v>42</v>
      </c>
      <c r="B23" s="168">
        <f>TableC5!C23+D23</f>
        <v>14.224749086284454</v>
      </c>
      <c r="C23" s="168">
        <f>TableB1!D25+TableC5!P23</f>
        <v>1.6290201999929406</v>
      </c>
      <c r="D23" s="168">
        <f t="shared" si="2"/>
        <v>-0.47069872833542159</v>
      </c>
      <c r="E23" s="1106">
        <f t="shared" si="0"/>
        <v>-0.11544052663542163</v>
      </c>
      <c r="F23" s="1107">
        <f>TableB1!H25-TableA6!H23/(1+TableA5!O23)-TableC5!N23</f>
        <v>-0.20386569971824312</v>
      </c>
      <c r="G23" s="1113">
        <f>TableB1!I25+TableC5!O23</f>
        <v>8.8425173082821482E-2</v>
      </c>
      <c r="H23" s="1114">
        <f>TableB1!F25+TableB1!J25</f>
        <v>-0.35525820169999994</v>
      </c>
      <c r="I23" s="1604">
        <f>TableB1!D25/TableA1!B23</f>
        <v>7.5086740623123094E-2</v>
      </c>
      <c r="J23" s="422">
        <f>C23/TableC5!B23</f>
        <v>9.4993830601409049E-2</v>
      </c>
      <c r="K23" s="1582">
        <f t="shared" si="1"/>
        <v>1.9907089978285955E-2</v>
      </c>
      <c r="L23" s="1605">
        <f>TableB1b!B25/TableA1!B23</f>
        <v>-6.0552098844029898E-3</v>
      </c>
      <c r="M23" s="422">
        <f>D23/TableC5!B23</f>
        <v>-2.7448079074763751E-2</v>
      </c>
      <c r="N23" s="1606">
        <f t="shared" si="3"/>
        <v>-2.139286919036076E-2</v>
      </c>
      <c r="O23" s="1607">
        <f>TableB1!C25/TableA1!B23</f>
        <v>5.2175424855827608E-2</v>
      </c>
      <c r="P23" s="422">
        <f>J23+M23+TableB1!K25/TableC5!B23</f>
        <v>5.1052442925651018E-2</v>
      </c>
      <c r="Q23" s="1609">
        <f t="shared" si="4"/>
        <v>-1.1229819301765906E-3</v>
      </c>
      <c r="R23" s="1145"/>
      <c r="S23" s="1145"/>
      <c r="T23" s="1579"/>
      <c r="U23" s="1580"/>
    </row>
    <row r="24" spans="1:21" ht="14.25" customHeight="1" x14ac:dyDescent="0.2">
      <c r="A24" s="1504" t="s">
        <v>43</v>
      </c>
      <c r="B24" s="168">
        <f>TableC5!C24+D24</f>
        <v>167.20323607016525</v>
      </c>
      <c r="C24" s="168">
        <f>TableB1!D26+TableC5!P24</f>
        <v>-13.662057106608202</v>
      </c>
      <c r="D24" s="168">
        <f t="shared" si="2"/>
        <v>-4.287406393932315</v>
      </c>
      <c r="E24" s="1106">
        <f t="shared" si="0"/>
        <v>4.5719171510676855</v>
      </c>
      <c r="F24" s="1107">
        <f>TableB1!H26-TableA6!H24/(1+TableA5!O24)-TableC5!N24</f>
        <v>9.6679774613775038</v>
      </c>
      <c r="G24" s="1113">
        <f>TableB1!I26+TableC5!O24</f>
        <v>-5.0960603103098183</v>
      </c>
      <c r="H24" s="1114">
        <f>TableB1!F26+TableB1!J26</f>
        <v>-8.8593235450000005</v>
      </c>
      <c r="I24" s="1604">
        <f>TableB1!D26/TableA1!B24</f>
        <v>0.30992293082579792</v>
      </c>
      <c r="J24" s="422">
        <f>C24/TableC5!B24</f>
        <v>-5.8269076667909883E-2</v>
      </c>
      <c r="K24" s="1582">
        <f t="shared" si="1"/>
        <v>-0.36819200749370778</v>
      </c>
      <c r="L24" s="1605">
        <f>TableB1b!B26/TableA1!B24</f>
        <v>-0.21264704474227827</v>
      </c>
      <c r="M24" s="422">
        <f>D24/TableC5!B24</f>
        <v>-1.8285914772943827E-2</v>
      </c>
      <c r="N24" s="1606">
        <f t="shared" si="3"/>
        <v>0.19436112996933444</v>
      </c>
      <c r="O24" s="1607">
        <f>TableB1!C26/TableA1!B24</f>
        <v>8.5293439300712245E-2</v>
      </c>
      <c r="P24" s="422">
        <f>J24+M24+TableB1!K26/TableC5!B24</f>
        <v>-9.1407120778867798E-2</v>
      </c>
      <c r="Q24" s="1609">
        <f t="shared" si="4"/>
        <v>-0.17670056007958004</v>
      </c>
      <c r="R24" s="1145"/>
      <c r="S24" s="1145"/>
      <c r="T24" s="1579"/>
      <c r="U24" s="1580"/>
    </row>
    <row r="25" spans="1:21" ht="14.25" customHeight="1" x14ac:dyDescent="0.2">
      <c r="A25" s="1504" t="s">
        <v>44</v>
      </c>
      <c r="B25" s="168">
        <f>TableC5!C25+D25</f>
        <v>257.07202381319183</v>
      </c>
      <c r="C25" s="168">
        <f>TableB1!D27+TableC5!P25</f>
        <v>9.5479103510666867</v>
      </c>
      <c r="D25" s="168">
        <f t="shared" si="2"/>
        <v>-3.6256103510666868</v>
      </c>
      <c r="E25" s="1106">
        <f t="shared" si="0"/>
        <v>0.80608964893331336</v>
      </c>
      <c r="F25" s="1107">
        <f>TableB1!H27-TableA6!H25/(1+TableA5!O25)-TableC5!N25</f>
        <v>0.67374168000843448</v>
      </c>
      <c r="G25" s="1113">
        <f>TableB1!I27+TableC5!O25</f>
        <v>0.13234796892487882</v>
      </c>
      <c r="H25" s="1114">
        <f>TableB1!F27+TableB1!J27</f>
        <v>-4.4317000000000002</v>
      </c>
      <c r="I25" s="1604">
        <f>TableB1!D27/TableA1!B25</f>
        <v>3.0003958023600331E-2</v>
      </c>
      <c r="J25" s="422">
        <f>C25/TableC5!B25</f>
        <v>3.1861651108241539E-2</v>
      </c>
      <c r="K25" s="1582">
        <f t="shared" si="1"/>
        <v>1.8576930846412078E-3</v>
      </c>
      <c r="L25" s="1605">
        <f>TableB1b!B27/TableA1!B25</f>
        <v>-1.0203151181259317E-2</v>
      </c>
      <c r="M25" s="422">
        <f>D25/TableC5!B25</f>
        <v>-1.2098765888308775E-2</v>
      </c>
      <c r="N25" s="1606">
        <f t="shared" si="3"/>
        <v>-1.8956147070494575E-3</v>
      </c>
      <c r="O25" s="1607">
        <f>TableB1!C27/TableA1!B25</f>
        <v>5.0460746208066412E-2</v>
      </c>
      <c r="P25" s="422">
        <f>J25+M25+TableB1!K27/TableC5!B25</f>
        <v>5.0364106036815973E-2</v>
      </c>
      <c r="Q25" s="1609">
        <f t="shared" si="4"/>
        <v>-9.6640171250439444E-5</v>
      </c>
      <c r="R25" s="1145"/>
      <c r="S25" s="1145"/>
      <c r="T25" s="1579"/>
      <c r="U25" s="1580"/>
    </row>
    <row r="26" spans="1:21" ht="14.25" customHeight="1" x14ac:dyDescent="0.2">
      <c r="A26" s="1504" t="s">
        <v>45</v>
      </c>
      <c r="B26" s="168">
        <f>TableC5!C26+D26</f>
        <v>1490.1722048768202</v>
      </c>
      <c r="C26" s="168">
        <f>TableB1!D28+TableC5!P26</f>
        <v>72.230453665922141</v>
      </c>
      <c r="D26" s="168">
        <f t="shared" si="2"/>
        <v>-30.330772641347483</v>
      </c>
      <c r="E26" s="1106">
        <f t="shared" si="0"/>
        <v>-18.655778836847485</v>
      </c>
      <c r="F26" s="1107">
        <f>TableB1!H28-TableA6!H26/(1+TableA5!O26)-TableC5!N26</f>
        <v>-21.103644359182233</v>
      </c>
      <c r="G26" s="1113">
        <f>TableB1!I28+TableC5!O26</f>
        <v>2.4478655223347472</v>
      </c>
      <c r="H26" s="1114">
        <f>TableB1!F28+TableB1!J28</f>
        <v>-11.674993804499998</v>
      </c>
      <c r="I26" s="1604">
        <f>TableB1!D28/TableA1!B26</f>
        <v>2.897289712415067E-2</v>
      </c>
      <c r="J26" s="422">
        <f>C26/TableC5!B26</f>
        <v>3.901208260632822E-2</v>
      </c>
      <c r="K26" s="1582">
        <f t="shared" si="1"/>
        <v>1.003918548217755E-2</v>
      </c>
      <c r="L26" s="1605">
        <f>TableB1b!B28/TableA1!B26</f>
        <v>-6.1062280406750458E-3</v>
      </c>
      <c r="M26" s="422">
        <f>D26/TableC5!B26</f>
        <v>-1.6381824393223568E-2</v>
      </c>
      <c r="N26" s="1606">
        <f t="shared" si="3"/>
        <v>-1.0275596352548523E-2</v>
      </c>
      <c r="O26" s="1607">
        <f>TableB1!C28/TableA1!B26</f>
        <v>1.3726564445239758E-2</v>
      </c>
      <c r="P26" s="422">
        <f>J26+M26+TableB1!K28/TableC5!B26</f>
        <v>1.3584650070397483E-2</v>
      </c>
      <c r="Q26" s="1609">
        <f t="shared" si="4"/>
        <v>-1.419143748422752E-4</v>
      </c>
      <c r="R26" s="1145"/>
      <c r="S26" s="1145"/>
      <c r="T26" s="1579"/>
      <c r="U26" s="1580"/>
    </row>
    <row r="27" spans="1:21" ht="14.25" customHeight="1" x14ac:dyDescent="0.2">
      <c r="A27" s="1504" t="s">
        <v>46</v>
      </c>
      <c r="B27" s="168">
        <f>TableC5!C27+D27</f>
        <v>3551.1310304467347</v>
      </c>
      <c r="C27" s="168">
        <f>TableB1!D29+TableC5!P27</f>
        <v>-16.063120384585034</v>
      </c>
      <c r="D27" s="168">
        <f t="shared" si="2"/>
        <v>167.19739211808013</v>
      </c>
      <c r="E27" s="1106">
        <f t="shared" si="0"/>
        <v>62.938771855980143</v>
      </c>
      <c r="F27" s="1107">
        <f>TableB1!H29-TableA6!H27/(1+TableA5!O27)-TableC5!N27</f>
        <v>60.736871113712503</v>
      </c>
      <c r="G27" s="1113">
        <f>TableB1!I29+TableC5!O27</f>
        <v>2.2019007422676364</v>
      </c>
      <c r="H27" s="1114">
        <f>TableB1!F29+TableB1!J29</f>
        <v>104.2586202621</v>
      </c>
      <c r="I27" s="1604">
        <f>TableB1!D29/TableA1!B27</f>
        <v>-5.3279647818995097E-3</v>
      </c>
      <c r="J27" s="422">
        <f>C27/TableC5!B27</f>
        <v>-3.6708630960163584E-3</v>
      </c>
      <c r="K27" s="1582">
        <f t="shared" si="1"/>
        <v>1.6571016858831513E-3</v>
      </c>
      <c r="L27" s="1605">
        <f>TableB1b!B29/TableA1!B27</f>
        <v>3.9923310746183958E-2</v>
      </c>
      <c r="M27" s="422">
        <f>D27/TableC5!B27</f>
        <v>3.8209184877019908E-2</v>
      </c>
      <c r="N27" s="1606">
        <f t="shared" si="3"/>
        <v>-1.7141258691640501E-3</v>
      </c>
      <c r="O27" s="1607">
        <f>TableB1!C29/TableA1!B27</f>
        <v>3.0870981623458065E-2</v>
      </c>
      <c r="P27" s="422">
        <f>J27+M27+TableB1!K29/TableC5!B27</f>
        <v>3.0820285244564306E-2</v>
      </c>
      <c r="Q27" s="1609">
        <f t="shared" si="4"/>
        <v>-5.0696378893759497E-5</v>
      </c>
      <c r="R27" s="1145"/>
      <c r="S27" s="1610" t="s">
        <v>727</v>
      </c>
      <c r="T27" s="1579"/>
      <c r="U27" s="1580"/>
    </row>
    <row r="28" spans="1:21" ht="14.25" customHeight="1" x14ac:dyDescent="0.2">
      <c r="A28" s="1504" t="s">
        <v>47</v>
      </c>
      <c r="B28" s="168">
        <f>TableC5!C28+D28</f>
        <v>1110.1422717978171</v>
      </c>
      <c r="C28" s="168">
        <f>TableB1!D30+TableC5!P28</f>
        <v>111.42881423606524</v>
      </c>
      <c r="D28" s="168">
        <f t="shared" si="2"/>
        <v>-6.4613546080829201</v>
      </c>
      <c r="E28" s="1106">
        <f t="shared" si="0"/>
        <v>-6.4613546080829201</v>
      </c>
      <c r="F28" s="1107">
        <f>TableB1!H30-TableA6!H28/(1+TableA5!O28)-TableC5!N28</f>
        <v>-7.4639914502051283</v>
      </c>
      <c r="G28" s="1113">
        <f>TableB1!I30+TableC5!O28</f>
        <v>1.0026368421222085</v>
      </c>
      <c r="H28" s="1114">
        <f>TableB1!F30+TableB1!J30</f>
        <v>0</v>
      </c>
      <c r="I28" s="1604">
        <f>TableB1!D30/TableA1!B28</f>
        <v>7.7636095454458556E-2</v>
      </c>
      <c r="J28" s="422">
        <f>C28/TableC5!B28</f>
        <v>8.0347248979562302E-2</v>
      </c>
      <c r="K28" s="1582">
        <f t="shared" si="1"/>
        <v>2.7111535251037461E-3</v>
      </c>
      <c r="L28" s="1605">
        <f>TableB1b!B30/TableA1!B28</f>
        <v>-1.7247631014784698E-3</v>
      </c>
      <c r="M28" s="422">
        <f>D28/TableC5!B28</f>
        <v>-4.6590468632380991E-3</v>
      </c>
      <c r="N28" s="1606">
        <f t="shared" si="3"/>
        <v>-2.9342837617596295E-3</v>
      </c>
      <c r="O28" s="1607">
        <f>TableB1!C30/TableA1!B28</f>
        <v>7.2306089591201425E-2</v>
      </c>
      <c r="P28" s="422">
        <f>J28+M28+TableB1!K30/TableC5!B28</f>
        <v>7.2093556437295953E-2</v>
      </c>
      <c r="Q28" s="1609">
        <f t="shared" si="4"/>
        <v>-2.1253315390547256E-4</v>
      </c>
      <c r="R28" s="1145"/>
      <c r="S28" s="1610" t="s">
        <v>728</v>
      </c>
      <c r="T28" s="1579"/>
      <c r="U28" s="1580"/>
    </row>
    <row r="29" spans="1:21" ht="14.25" customHeight="1" x14ac:dyDescent="0.2">
      <c r="A29" s="1237" t="s">
        <v>48</v>
      </c>
      <c r="B29" s="168">
        <f>TableC5!C29+D29</f>
        <v>20.674425443521596</v>
      </c>
      <c r="C29" s="168">
        <f>TableB1!D31+TableC5!P29</f>
        <v>-0.14000398460893121</v>
      </c>
      <c r="D29" s="168">
        <f t="shared" si="2"/>
        <v>-0.29487618718025976</v>
      </c>
      <c r="E29" s="1106">
        <f t="shared" si="0"/>
        <v>-1.1677954464802598</v>
      </c>
      <c r="F29" s="1107">
        <f>TableB1!H31-TableA6!H29/(1+TableA5!O29)-TableC5!N29</f>
        <v>-1.1527260554602903</v>
      </c>
      <c r="G29" s="1113">
        <f>TableB1!I31+TableC5!O29</f>
        <v>-1.5069391019969423E-2</v>
      </c>
      <c r="H29" s="1114">
        <f>TableB1!F31+TableB1!J31</f>
        <v>0.87291925930000003</v>
      </c>
      <c r="I29" s="1604">
        <f>TableB1!D31/TableA1!B29</f>
        <v>-1.1457686989123875E-2</v>
      </c>
      <c r="J29" s="422">
        <f>C29/TableC5!B29</f>
        <v>-5.1512406468200399E-3</v>
      </c>
      <c r="K29" s="1582">
        <f t="shared" si="1"/>
        <v>6.3064463423038349E-3</v>
      </c>
      <c r="L29" s="1605">
        <f>TableB1b!B31/TableA1!B29</f>
        <v>-4.6434807100774207E-3</v>
      </c>
      <c r="M29" s="422">
        <f>D29/TableC5!B29</f>
        <v>-1.0849535500187248E-2</v>
      </c>
      <c r="N29" s="1606">
        <f t="shared" si="3"/>
        <v>-6.2060547901098273E-3</v>
      </c>
      <c r="O29" s="1607">
        <f>TableB1!C31/TableA1!B29</f>
        <v>-1.018600096435069E-2</v>
      </c>
      <c r="P29" s="422">
        <f>J29+M29+TableB1!K31/TableC5!B29</f>
        <v>-1.0122490760211208E-2</v>
      </c>
      <c r="Q29" s="1609">
        <f t="shared" si="4"/>
        <v>6.3510204139482357E-5</v>
      </c>
      <c r="R29" s="1145"/>
      <c r="S29" s="1610" t="s">
        <v>729</v>
      </c>
      <c r="T29" s="1579"/>
      <c r="U29" s="1580"/>
    </row>
    <row r="30" spans="1:21" s="25" customFormat="1" ht="14.25" customHeight="1" x14ac:dyDescent="0.2">
      <c r="A30" s="1237" t="s">
        <v>49</v>
      </c>
      <c r="B30" s="168">
        <f>TableC5!C30+D30</f>
        <v>18.656261023424022</v>
      </c>
      <c r="C30" s="168">
        <f>TableB1!D32+TableC5!P30</f>
        <v>2.1064254897041153</v>
      </c>
      <c r="D30" s="168">
        <f t="shared" si="2"/>
        <v>-26.59901884507336</v>
      </c>
      <c r="E30" s="1106">
        <f t="shared" si="0"/>
        <v>14.019190735426642</v>
      </c>
      <c r="F30" s="1107">
        <f>TableB1!H32-TableA6!H30/(1+TableA5!O30)-TableC5!N30</f>
        <v>28.157442486362154</v>
      </c>
      <c r="G30" s="1113">
        <f>TableB1!I32+TableC5!O30</f>
        <v>-14.138251750935511</v>
      </c>
      <c r="H30" s="1114">
        <f>TableB1!F32+TableB1!J32</f>
        <v>-40.6182095805</v>
      </c>
      <c r="I30" s="1604">
        <f>TableB1!D32/TableA1!B30</f>
        <v>0.3401651052493968</v>
      </c>
      <c r="J30" s="422">
        <f>C30/TableC5!B30</f>
        <v>4.0398615562134164E-2</v>
      </c>
      <c r="K30" s="1582">
        <f t="shared" si="1"/>
        <v>-0.29976648968726266</v>
      </c>
      <c r="L30" s="1605">
        <f>TableB1b!B32/TableA1!B30</f>
        <v>-0.25919779080805933</v>
      </c>
      <c r="M30" s="422">
        <f>D30/TableC5!B30</f>
        <v>-0.51013602992575924</v>
      </c>
      <c r="N30" s="1611">
        <f t="shared" si="3"/>
        <v>-0.25093823911769991</v>
      </c>
      <c r="O30" s="1607">
        <f>TableB1!C32/TableA1!B30</f>
        <v>9.7834696519242745E-2</v>
      </c>
      <c r="P30" s="422">
        <f>J30+M30+TableB1!K32/TableC5!B30</f>
        <v>-0.45104440160158987</v>
      </c>
      <c r="Q30" s="1609">
        <f t="shared" si="4"/>
        <v>-0.54887909812083258</v>
      </c>
      <c r="R30" s="1145"/>
      <c r="S30" s="1612" t="s">
        <v>730</v>
      </c>
      <c r="T30" s="1585"/>
      <c r="U30" s="1586"/>
    </row>
    <row r="31" spans="1:21" ht="14.25" customHeight="1" x14ac:dyDescent="0.2">
      <c r="A31" s="1237" t="s">
        <v>50</v>
      </c>
      <c r="B31" s="168">
        <f>TableC5!C31+D31</f>
        <v>976.9547064839976</v>
      </c>
      <c r="C31" s="168">
        <f>TableB1!D33+TableC5!P31</f>
        <v>-13.309874658504281</v>
      </c>
      <c r="D31" s="168">
        <f t="shared" si="2"/>
        <v>-40.042132037795724</v>
      </c>
      <c r="E31" s="1106">
        <f t="shared" si="0"/>
        <v>-22.792054948295721</v>
      </c>
      <c r="F31" s="1107">
        <f>TableB1!H33-TableA6!H31/(1+TableA5!O31)-TableC5!N31</f>
        <v>-25.246993319874285</v>
      </c>
      <c r="G31" s="1113">
        <f>TableB1!I33+TableC5!O31</f>
        <v>2.4549383715785629</v>
      </c>
      <c r="H31" s="1114">
        <f>TableB1!F33+TableB1!J33</f>
        <v>-17.2500770895</v>
      </c>
      <c r="I31" s="1604">
        <f>TableB1!D33/TableA1!B31</f>
        <v>-2.1211377605229561E-2</v>
      </c>
      <c r="J31" s="422">
        <f>C31/TableC5!B31</f>
        <v>-1.1482921454956507E-2</v>
      </c>
      <c r="K31" s="1582">
        <f t="shared" si="1"/>
        <v>9.7284561502730543E-3</v>
      </c>
      <c r="L31" s="1605">
        <f>TableB1b!B33/TableA1!B31</f>
        <v>-2.5260075717136711E-2</v>
      </c>
      <c r="M31" s="422">
        <f>D31/TableC5!B31</f>
        <v>-3.4545829234028019E-2</v>
      </c>
      <c r="N31" s="1606">
        <f t="shared" si="3"/>
        <v>-9.2857535168913083E-3</v>
      </c>
      <c r="O31" s="1607">
        <f>TableB1!C33/TableA1!B31</f>
        <v>-2.5452806167543043E-2</v>
      </c>
      <c r="P31" s="422">
        <f>J31+M31+TableB1!K33/TableC5!B31</f>
        <v>-2.5210334208700676E-2</v>
      </c>
      <c r="Q31" s="1609">
        <f t="shared" si="4"/>
        <v>2.4247195884236766E-4</v>
      </c>
      <c r="R31" s="1145"/>
      <c r="S31" s="1610" t="s">
        <v>731</v>
      </c>
      <c r="T31" s="1579"/>
      <c r="U31" s="1580"/>
    </row>
    <row r="32" spans="1:21" ht="14.25" customHeight="1" x14ac:dyDescent="0.2">
      <c r="A32" s="1237" t="s">
        <v>51</v>
      </c>
      <c r="B32" s="168">
        <f>TableC5!C32+D32</f>
        <v>625.47550241115164</v>
      </c>
      <c r="C32" s="168">
        <f>TableB1!D34+TableC5!P32</f>
        <v>47.56382022207859</v>
      </c>
      <c r="D32" s="168">
        <f t="shared" si="2"/>
        <v>3.8866632757620003</v>
      </c>
      <c r="E32" s="1106">
        <f t="shared" si="0"/>
        <v>33.036800760761999</v>
      </c>
      <c r="F32" s="1107">
        <f>TableB1!H34-TableA6!H32/(1+TableA5!O32)-TableC5!N32</f>
        <v>36.66690551689765</v>
      </c>
      <c r="G32" s="1113">
        <f>TableB1!I34+TableC5!O32</f>
        <v>-3.6301047561356512</v>
      </c>
      <c r="H32" s="1114">
        <f>TableB1!F34+TableB1!J34</f>
        <v>-29.150137484999998</v>
      </c>
      <c r="I32" s="1604">
        <f>TableB1!D34/TableA1!B32</f>
        <v>0.10561605404010749</v>
      </c>
      <c r="J32" s="422">
        <f>C32/TableC5!B32</f>
        <v>6.3798445233859205E-2</v>
      </c>
      <c r="K32" s="1582">
        <f t="shared" si="1"/>
        <v>-4.1817608806248283E-2</v>
      </c>
      <c r="L32" s="1605">
        <f>TableB1b!B34/TableA1!B32</f>
        <v>4.0611779792872225E-3</v>
      </c>
      <c r="M32" s="422">
        <f>D32/TableC5!B32</f>
        <v>5.2132707798363959E-3</v>
      </c>
      <c r="N32" s="1606">
        <f t="shared" si="3"/>
        <v>1.1520928005491734E-3</v>
      </c>
      <c r="O32" s="1607">
        <f>TableB1!C34/TableA1!B32</f>
        <v>9.2472874257114965E-2</v>
      </c>
      <c r="P32" s="422">
        <f>J32+M32+TableB1!K34/TableC5!B32</f>
        <v>5.1521154090114304E-2</v>
      </c>
      <c r="Q32" s="1609">
        <f t="shared" si="4"/>
        <v>-4.095172016700066E-2</v>
      </c>
      <c r="R32" s="1145"/>
      <c r="S32" s="1145"/>
      <c r="T32" s="1579"/>
      <c r="U32" s="1580"/>
    </row>
    <row r="33" spans="1:21" ht="14.25" customHeight="1" x14ac:dyDescent="0.2">
      <c r="A33" s="1237" t="s">
        <v>52</v>
      </c>
      <c r="B33" s="168">
        <f>TableC5!C33+D33</f>
        <v>147.36698286079505</v>
      </c>
      <c r="C33" s="168">
        <f>TableB1!D35+TableC5!P33</f>
        <v>2.6478648423910087</v>
      </c>
      <c r="D33" s="168">
        <f t="shared" si="2"/>
        <v>-7.5725105622068067</v>
      </c>
      <c r="E33" s="1106">
        <f t="shared" si="0"/>
        <v>-6.6617348188068064</v>
      </c>
      <c r="F33" s="1107">
        <f>TableB1!H35-TableA6!H33/(1+TableA5!O33)-TableC5!N33</f>
        <v>-6.2731296315222389</v>
      </c>
      <c r="G33" s="1113">
        <f>TableB1!I35+TableC5!O33</f>
        <v>-0.38860518728456761</v>
      </c>
      <c r="H33" s="1114">
        <f>TableB1!F35+TableB1!J35</f>
        <v>-0.91077574340000012</v>
      </c>
      <c r="I33" s="1604">
        <f>TableB1!D35/TableA1!B33</f>
        <v>7.7651198428275647E-3</v>
      </c>
      <c r="J33" s="422">
        <f>C33/TableC5!B33</f>
        <v>1.4971757392883636E-2</v>
      </c>
      <c r="K33" s="1582">
        <f t="shared" si="1"/>
        <v>7.2066375500560711E-3</v>
      </c>
      <c r="L33" s="1605">
        <f>TableB1b!B35/TableA1!B33</f>
        <v>-3.581414471929216E-2</v>
      </c>
      <c r="M33" s="422">
        <f>D33/TableC5!B33</f>
        <v>-4.2817061194873225E-2</v>
      </c>
      <c r="N33" s="1606">
        <f t="shared" si="3"/>
        <v>-7.0029164755810655E-3</v>
      </c>
      <c r="O33" s="1607">
        <f>TableB1!C35/TableA1!B33</f>
        <v>-2.9495792856519352E-2</v>
      </c>
      <c r="P33" s="422">
        <f>J33+M33+TableB1!K35/TableC5!B33</f>
        <v>-2.9285506313857085E-2</v>
      </c>
      <c r="Q33" s="1609">
        <f t="shared" si="4"/>
        <v>2.1028654266226632E-4</v>
      </c>
      <c r="R33" s="1145"/>
      <c r="S33" s="1145"/>
      <c r="T33" s="1579"/>
      <c r="U33" s="1580"/>
    </row>
    <row r="34" spans="1:21" ht="14.25" customHeight="1" x14ac:dyDescent="0.2">
      <c r="A34" s="1237" t="s">
        <v>53</v>
      </c>
      <c r="B34" s="168">
        <f>TableC5!C34+D34</f>
        <v>336.05537085604948</v>
      </c>
      <c r="C34" s="168">
        <f>TableB1!D36+TableC5!P34</f>
        <v>25.484479485843238</v>
      </c>
      <c r="D34" s="168">
        <f t="shared" si="2"/>
        <v>13.498719595034679</v>
      </c>
      <c r="E34" s="1106">
        <f t="shared" si="0"/>
        <v>-1.3575000461653195</v>
      </c>
      <c r="F34" s="1107">
        <f>TableB1!H36-TableA6!H34/(1+TableA5!O34)-TableC5!N34</f>
        <v>-0.43707264020082359</v>
      </c>
      <c r="G34" s="1113">
        <f>TableB1!I36+TableC5!O34</f>
        <v>-0.92042740596449579</v>
      </c>
      <c r="H34" s="1114">
        <f>TableB1!F36+TableB1!J36</f>
        <v>14.856219641199997</v>
      </c>
      <c r="I34" s="1604">
        <f>TableB1!D36/TableA1!B34</f>
        <v>5.4547249532653982E-2</v>
      </c>
      <c r="J34" s="422">
        <f>C34/TableC5!B34</f>
        <v>6.5181678265575638E-2</v>
      </c>
      <c r="K34" s="1582">
        <f t="shared" si="1"/>
        <v>1.0634428732921655E-2</v>
      </c>
      <c r="L34" s="1605">
        <f>TableB1b!B36/TableA1!B34</f>
        <v>4.6294381252176359E-2</v>
      </c>
      <c r="M34" s="422">
        <f>D34/TableC5!B34</f>
        <v>3.4525688395148267E-2</v>
      </c>
      <c r="N34" s="1606">
        <f t="shared" si="3"/>
        <v>-1.1768692857028092E-2</v>
      </c>
      <c r="O34" s="1607">
        <f>TableB1!C36/TableA1!B34</f>
        <v>8.2957966808400119E-2</v>
      </c>
      <c r="P34" s="422">
        <f>J34+M34+TableB1!K36/TableC5!B34</f>
        <v>8.2024540523008616E-2</v>
      </c>
      <c r="Q34" s="1608">
        <f t="shared" si="4"/>
        <v>-9.3342628539150319E-4</v>
      </c>
      <c r="R34" s="1145"/>
      <c r="S34" s="1145"/>
      <c r="T34" s="1579"/>
      <c r="U34" s="1580"/>
    </row>
    <row r="35" spans="1:21" ht="14.25" customHeight="1" x14ac:dyDescent="0.2">
      <c r="A35" s="1237" t="s">
        <v>54</v>
      </c>
      <c r="B35" s="168">
        <f>TableC5!C35+D35</f>
        <v>404.14569916932021</v>
      </c>
      <c r="C35" s="168">
        <f>TableB1!D37+TableC5!P35</f>
        <v>17.693241905071076</v>
      </c>
      <c r="D35" s="168">
        <f t="shared" si="2"/>
        <v>-21.378554408386574</v>
      </c>
      <c r="E35" s="1106">
        <f t="shared" si="0"/>
        <v>-20.575554408386573</v>
      </c>
      <c r="F35" s="1107">
        <f>TableB1!H37-TableA6!H35/(1+TableA5!O35)-TableC5!N35</f>
        <v>-19.058446628673977</v>
      </c>
      <c r="G35" s="1113">
        <f>TableB1!I37+TableC5!O35</f>
        <v>-1.5171077797125956</v>
      </c>
      <c r="H35" s="1114">
        <f>TableB1!F37+TableB1!J37</f>
        <v>-0.80299999999999983</v>
      </c>
      <c r="I35" s="1604">
        <f>TableB1!D37/TableA1!B35</f>
        <v>3.0555491513661218E-2</v>
      </c>
      <c r="J35" s="422">
        <f>C35/TableC5!B35</f>
        <v>3.6846896066553537E-2</v>
      </c>
      <c r="K35" s="1582">
        <f t="shared" si="1"/>
        <v>6.2914045528923192E-3</v>
      </c>
      <c r="L35" s="1605">
        <f>TableB1b!B37/TableA1!B35</f>
        <v>-3.8280437313225342E-2</v>
      </c>
      <c r="M35" s="422">
        <f>D35/TableC5!B35</f>
        <v>-4.4521709281169497E-2</v>
      </c>
      <c r="N35" s="1606">
        <f t="shared" si="3"/>
        <v>-6.241271967944155E-3</v>
      </c>
      <c r="O35" s="1607">
        <f>TableB1!C37/TableA1!B35</f>
        <v>-9.7162826273053827E-3</v>
      </c>
      <c r="P35" s="422">
        <f>J35+M35+TableB1!K37/TableC5!B35</f>
        <v>-9.6532268626650028E-3</v>
      </c>
      <c r="Q35" s="1608">
        <f t="shared" si="4"/>
        <v>6.3055764640379888E-5</v>
      </c>
      <c r="R35" s="1145"/>
      <c r="S35" s="1145"/>
      <c r="T35" s="1579"/>
      <c r="U35" s="1580"/>
    </row>
    <row r="36" spans="1:21" ht="14.25" customHeight="1" x14ac:dyDescent="0.2">
      <c r="A36" s="1237" t="s">
        <v>55</v>
      </c>
      <c r="B36" s="168">
        <f>TableC5!C36+D36</f>
        <v>159.91084330552877</v>
      </c>
      <c r="C36" s="168">
        <f>TableB1!D38+TableC5!P36</f>
        <v>5.7357041470060643</v>
      </c>
      <c r="D36" s="168">
        <f t="shared" si="2"/>
        <v>-7.3387951408491734</v>
      </c>
      <c r="E36" s="1106">
        <f t="shared" si="0"/>
        <v>-5.1695264190491734</v>
      </c>
      <c r="F36" s="1107">
        <f>TableB1!H38-TableA6!H36/(1+TableA5!O36)-TableC5!N36</f>
        <v>-4.6991917205980442</v>
      </c>
      <c r="G36" s="1113">
        <f>TableB1!I38+TableC5!O36</f>
        <v>-0.47033469845112913</v>
      </c>
      <c r="H36" s="1114">
        <f>TableB1!F38+TableB1!J38</f>
        <v>-2.1692687218</v>
      </c>
      <c r="I36" s="1604">
        <f>TableB1!D38/TableA1!B36</f>
        <v>1.7607385932403206E-2</v>
      </c>
      <c r="J36" s="422">
        <f>C36/TableC5!B36</f>
        <v>2.8444609142540284E-2</v>
      </c>
      <c r="K36" s="1582">
        <f t="shared" si="1"/>
        <v>1.0837223210137078E-2</v>
      </c>
      <c r="L36" s="1605">
        <f>TableB1b!B38/TableA1!B36</f>
        <v>-2.5646143392219663E-2</v>
      </c>
      <c r="M36" s="422">
        <f>D36/TableC5!B36</f>
        <v>-3.6394687384214537E-2</v>
      </c>
      <c r="N36" s="1606">
        <f t="shared" si="3"/>
        <v>-1.0748543991994874E-2</v>
      </c>
      <c r="O36" s="1607">
        <f>TableB1!C38/TableA1!B36</f>
        <v>3.1141131033729155E-4</v>
      </c>
      <c r="P36" s="422">
        <f>J36+M36+TableB1!K38/TableC5!B36</f>
        <v>3.0797598943604725E-4</v>
      </c>
      <c r="Q36" s="1608">
        <f t="shared" si="4"/>
        <v>-3.4353209012443083E-6</v>
      </c>
      <c r="R36" s="1145"/>
      <c r="S36" s="1145"/>
      <c r="T36" s="1579"/>
      <c r="U36" s="1580"/>
    </row>
    <row r="37" spans="1:21" ht="14.25" customHeight="1" x14ac:dyDescent="0.2">
      <c r="A37" s="1237" t="s">
        <v>56</v>
      </c>
      <c r="B37" s="168">
        <f>TableC5!C37+D37</f>
        <v>68.34592797293115</v>
      </c>
      <c r="C37" s="168">
        <f>TableB1!D39+TableC5!P37</f>
        <v>2.9592869747412687</v>
      </c>
      <c r="D37" s="168">
        <f t="shared" si="2"/>
        <v>-2.0572903101006705</v>
      </c>
      <c r="E37" s="1106">
        <f t="shared" si="0"/>
        <v>-4.6075131704006704</v>
      </c>
      <c r="F37" s="1107">
        <f>TableB1!H39-TableA6!H37/(1+TableA5!O37)-TableC5!N37</f>
        <v>-4.4146073518707505</v>
      </c>
      <c r="G37" s="1113">
        <f>TableB1!I39+TableC5!O37</f>
        <v>-0.19290581852991961</v>
      </c>
      <c r="H37" s="1114">
        <f>TableB1!F39+TableB1!J39</f>
        <v>2.5502228602999999</v>
      </c>
      <c r="I37" s="1604">
        <f>TableB1!D39/TableA1!B37</f>
        <v>2.7683495699521624E-2</v>
      </c>
      <c r="J37" s="422">
        <f>C37/TableC5!B37</f>
        <v>3.3613607856047008E-2</v>
      </c>
      <c r="K37" s="1582">
        <f t="shared" si="1"/>
        <v>5.9301121565253842E-3</v>
      </c>
      <c r="L37" s="1605">
        <f>TableB1b!B39/TableA1!B37</f>
        <v>-1.7375129698240968E-2</v>
      </c>
      <c r="M37" s="422">
        <f>D37/TableC5!B37</f>
        <v>-2.3368112089168152E-2</v>
      </c>
      <c r="N37" s="1606">
        <f t="shared" si="3"/>
        <v>-5.9929823909271839E-3</v>
      </c>
      <c r="O37" s="1607">
        <f>TableB1!C39/TableA1!B37</f>
        <v>-5.3090727454504789E-3</v>
      </c>
      <c r="P37" s="422">
        <f>J37+M37+TableB1!K39/TableC5!B37</f>
        <v>-5.2766929630561673E-3</v>
      </c>
      <c r="Q37" s="1608">
        <f t="shared" si="4"/>
        <v>3.2379782394311579E-5</v>
      </c>
      <c r="R37" s="1145"/>
      <c r="S37" s="1145"/>
      <c r="T37" s="1579"/>
      <c r="U37" s="1580"/>
    </row>
    <row r="38" spans="1:21" ht="14.25" customHeight="1" x14ac:dyDescent="0.2">
      <c r="A38" s="1237" t="s">
        <v>57</v>
      </c>
      <c r="B38" s="168">
        <f>TableC5!C38+D38</f>
        <v>32.494690187742556</v>
      </c>
      <c r="C38" s="168">
        <f>TableB1!D40+TableC5!P38</f>
        <v>3.8888480970010737</v>
      </c>
      <c r="D38" s="168">
        <f t="shared" si="2"/>
        <v>-1.6049230644686221</v>
      </c>
      <c r="E38" s="1106">
        <f t="shared" si="0"/>
        <v>-1.2129735783686222</v>
      </c>
      <c r="F38" s="1107">
        <f>TableB1!H40-TableA6!H38/(1+TableA5!O38)-TableC5!N38</f>
        <v>-1.2249629036088918</v>
      </c>
      <c r="G38" s="1113">
        <f>TableB1!I40+TableC5!O38</f>
        <v>1.1989325240269737E-2</v>
      </c>
      <c r="H38" s="1114">
        <f>TableB1!F40+TableB1!J40</f>
        <v>-0.39194948609999997</v>
      </c>
      <c r="I38" s="1604">
        <f>TableB1!D40/TableA1!B38</f>
        <v>8.6469539664764464E-2</v>
      </c>
      <c r="J38" s="422">
        <f>C38/TableC5!B38</f>
        <v>9.05084612227776E-2</v>
      </c>
      <c r="K38" s="1582">
        <f t="shared" si="1"/>
        <v>4.0389215580131366E-3</v>
      </c>
      <c r="L38" s="1605">
        <f>TableB1b!B40/TableA1!B38</f>
        <v>-3.3077757649479615E-2</v>
      </c>
      <c r="M38" s="422">
        <f>D38/TableC5!B38</f>
        <v>-3.7352736163188731E-2</v>
      </c>
      <c r="N38" s="1606">
        <f t="shared" si="3"/>
        <v>-4.2749785137091156E-3</v>
      </c>
      <c r="O38" s="1607">
        <f>TableB1!C40/TableA1!B38</f>
        <v>4.3643252011520854E-2</v>
      </c>
      <c r="P38" s="422">
        <f>J38+M38+TableB1!K40/TableC5!B38</f>
        <v>4.3450295477430789E-2</v>
      </c>
      <c r="Q38" s="1608">
        <f t="shared" si="4"/>
        <v>-1.9295653409006491E-4</v>
      </c>
      <c r="R38" s="1145"/>
      <c r="S38" s="1145"/>
      <c r="T38" s="1579"/>
      <c r="U38" s="1580"/>
    </row>
    <row r="39" spans="1:21" x14ac:dyDescent="0.2">
      <c r="A39" s="1237" t="s">
        <v>58</v>
      </c>
      <c r="B39" s="168">
        <f>TableC5!C39+D39</f>
        <v>990.06449121847538</v>
      </c>
      <c r="C39" s="168">
        <f>TableB1!D41+TableC5!P39</f>
        <v>41.198411014067823</v>
      </c>
      <c r="D39" s="168">
        <f t="shared" si="2"/>
        <v>-10.028431741281818</v>
      </c>
      <c r="E39" s="1106">
        <f t="shared" si="0"/>
        <v>-3.2399993198818207</v>
      </c>
      <c r="F39" s="1107">
        <f>TableB1!H41-TableA6!H39/(1+TableA5!O39)-TableC5!N39</f>
        <v>-1.0620160574860655</v>
      </c>
      <c r="G39" s="1113">
        <f>TableB1!I41+TableC5!O39</f>
        <v>-2.1779832623957551</v>
      </c>
      <c r="H39" s="1114">
        <f>TableB1!F41+TableB1!J41</f>
        <v>-6.7884324213999978</v>
      </c>
      <c r="I39" s="1604">
        <f>TableB1!D41/TableA1!B39</f>
        <v>2.4285353540989752E-2</v>
      </c>
      <c r="J39" s="422">
        <f>C39/TableC5!B39</f>
        <v>3.4051101416100578E-2</v>
      </c>
      <c r="K39" s="1582">
        <f t="shared" si="1"/>
        <v>9.7657478751108258E-3</v>
      </c>
      <c r="L39" s="1605">
        <f>TableB1b!B41/TableA1!B39</f>
        <v>1.7375579284027404E-3</v>
      </c>
      <c r="M39" s="422">
        <f>D39/TableC5!B39</f>
        <v>-8.2886484663261904E-3</v>
      </c>
      <c r="N39" s="1606">
        <f t="shared" si="3"/>
        <v>-1.0026206394728931E-2</v>
      </c>
      <c r="O39" s="1607">
        <f>TableB1!C41/TableA1!B39</f>
        <v>1.5941881702796305E-2</v>
      </c>
      <c r="P39" s="422">
        <f>J39+M39+TableB1!K41/TableC5!B39</f>
        <v>1.5782322350141979E-2</v>
      </c>
      <c r="Q39" s="1608">
        <f t="shared" si="4"/>
        <v>-1.5955935265432597E-4</v>
      </c>
      <c r="R39" s="1145"/>
      <c r="S39" s="1145"/>
      <c r="T39" s="1579"/>
      <c r="U39" s="1580"/>
    </row>
    <row r="40" spans="1:21" x14ac:dyDescent="0.2">
      <c r="A40" s="1237" t="s">
        <v>59</v>
      </c>
      <c r="B40" s="168">
        <f>TableC5!C40+D40</f>
        <v>422.84571900722335</v>
      </c>
      <c r="C40" s="168">
        <f>TableB1!D42+TableC5!P40</f>
        <v>31.748236119029382</v>
      </c>
      <c r="D40" s="168">
        <f t="shared" si="2"/>
        <v>-0.70574329863707819</v>
      </c>
      <c r="E40" s="1106">
        <f t="shared" si="0"/>
        <v>0.65992005566292233</v>
      </c>
      <c r="F40" s="1107">
        <f>TableB1!H42-TableA6!H40/(1+TableA5!O40)-TableC5!N40</f>
        <v>-0.52702008778259213</v>
      </c>
      <c r="G40" s="1113">
        <f>TableB1!I42+TableC5!O40</f>
        <v>1.1869401434455145</v>
      </c>
      <c r="H40" s="1114">
        <f>TableB1!F42+TableB1!J42</f>
        <v>-1.3656633543000005</v>
      </c>
      <c r="I40" s="1604">
        <f>TableB1!D42/TableA1!B40</f>
        <v>4.9298568006324789E-2</v>
      </c>
      <c r="J40" s="422">
        <f>C40/TableC5!B40</f>
        <v>6.2852897997116616E-2</v>
      </c>
      <c r="K40" s="1582">
        <f t="shared" si="1"/>
        <v>1.3554329990791827E-2</v>
      </c>
      <c r="L40" s="1605">
        <f>TableB1b!B42/TableA1!B40</f>
        <v>1.3046008047079527E-2</v>
      </c>
      <c r="M40" s="422">
        <f>D40/TableC5!B40</f>
        <v>-1.397180347124778E-3</v>
      </c>
      <c r="N40" s="1606">
        <f t="shared" si="3"/>
        <v>-1.4443188394204306E-2</v>
      </c>
      <c r="O40" s="1607">
        <f>TableB1!C42/TableA1!B40</f>
        <v>4.5793039265607412E-2</v>
      </c>
      <c r="P40" s="422">
        <f>J40+M40+TableB1!K42/TableC5!B40</f>
        <v>4.5139924387504846E-2</v>
      </c>
      <c r="Q40" s="1608">
        <f t="shared" si="4"/>
        <v>-6.5311487810256613E-4</v>
      </c>
      <c r="R40" s="1145"/>
      <c r="S40" s="1145"/>
      <c r="T40" s="1579"/>
      <c r="U40" s="1580"/>
    </row>
    <row r="41" spans="1:21" x14ac:dyDescent="0.2">
      <c r="A41" s="1237" t="s">
        <v>60</v>
      </c>
      <c r="B41" s="168">
        <f>TableC5!C41+D41</f>
        <v>555.75724262859558</v>
      </c>
      <c r="C41" s="168">
        <f>TableB1!D43+TableC5!P41</f>
        <v>19.582653288063113</v>
      </c>
      <c r="D41" s="168">
        <f t="shared" si="2"/>
        <v>69.418680789684899</v>
      </c>
      <c r="E41" s="1106">
        <f t="shared" si="0"/>
        <v>83.021680789684893</v>
      </c>
      <c r="F41" s="1107">
        <f>TableB1!H43-TableA6!H41/(1+TableA5!O41)-TableC5!N41</f>
        <v>84.970869975528245</v>
      </c>
      <c r="G41" s="1113">
        <f>TableB1!I43+TableC5!O41</f>
        <v>-1.9491891858433457</v>
      </c>
      <c r="H41" s="1114">
        <f>TableB1!F43+TableB1!J43</f>
        <v>-13.602999999999996</v>
      </c>
      <c r="I41" s="1604">
        <f>TableB1!D43/TableA1!B41</f>
        <v>0.10634079342270167</v>
      </c>
      <c r="J41" s="422">
        <f>C41/TableC5!B41</f>
        <v>3.1250450168310739E-2</v>
      </c>
      <c r="K41" s="1582">
        <f t="shared" si="1"/>
        <v>-7.5090343254390929E-2</v>
      </c>
      <c r="L41" s="1605">
        <f>TableB1b!B43/TableA1!B41</f>
        <v>2.4680438897898893E-2</v>
      </c>
      <c r="M41" s="422">
        <f>D41/TableC5!B41</f>
        <v>0.11077993328362125</v>
      </c>
      <c r="N41" s="1606">
        <f t="shared" si="3"/>
        <v>8.6099494385722355E-2</v>
      </c>
      <c r="O41" s="1607">
        <f>TableB1!C43/TableA1!B41</f>
        <v>0.11150428009322003</v>
      </c>
      <c r="P41" s="422">
        <f>J41+M41+TableB1!K43/TableC5!B41</f>
        <v>0.12087350559655677</v>
      </c>
      <c r="Q41" s="1608">
        <f t="shared" si="4"/>
        <v>9.3692255033367422E-3</v>
      </c>
      <c r="R41" s="1145"/>
      <c r="S41" s="1145"/>
      <c r="T41" s="1579"/>
      <c r="U41" s="1580"/>
    </row>
    <row r="42" spans="1:21" x14ac:dyDescent="0.2">
      <c r="A42" s="1237" t="s">
        <v>61</v>
      </c>
      <c r="B42" s="168">
        <f>TableC5!C42+D42</f>
        <v>723.59100279133997</v>
      </c>
      <c r="C42" s="168">
        <f>TableB1!D44+TableC5!P42</f>
        <v>-19.710816091236737</v>
      </c>
      <c r="D42" s="168">
        <f t="shared" si="2"/>
        <v>-13.838353908763263</v>
      </c>
      <c r="E42" s="1106">
        <f t="shared" si="0"/>
        <v>-7.5143539087632636</v>
      </c>
      <c r="F42" s="1107">
        <f>TableB1!H44-TableA6!H42/(1+TableA5!O42)-TableC5!N42</f>
        <v>-8.1546028205897603</v>
      </c>
      <c r="G42" s="1113">
        <f>TableB1!I44+TableC5!O42</f>
        <v>0.64024891182649646</v>
      </c>
      <c r="H42" s="1114">
        <f>TableB1!F44+TableB1!J44</f>
        <v>-6.3239999999999998</v>
      </c>
      <c r="I42" s="1604">
        <f>TableB1!D44/TableA1!B42</f>
        <v>-2.7817626649949991E-2</v>
      </c>
      <c r="J42" s="422">
        <f>C42/TableC5!B42</f>
        <v>-2.2824583482671815E-2</v>
      </c>
      <c r="K42" s="1582">
        <f t="shared" si="1"/>
        <v>4.9930431672781765E-3</v>
      </c>
      <c r="L42" s="1605">
        <f>TableB1b!B44/TableA1!B42</f>
        <v>-1.1221036676231838E-2</v>
      </c>
      <c r="M42" s="422">
        <f>D42/TableC5!B42</f>
        <v>-1.60244336201661E-2</v>
      </c>
      <c r="N42" s="1606">
        <f t="shared" si="3"/>
        <v>-4.8033969439342621E-3</v>
      </c>
      <c r="O42" s="1607">
        <f>TableB1!C44/TableA1!B42</f>
        <v>-3.7374679133534434E-2</v>
      </c>
      <c r="P42" s="422">
        <f>J42+M42+TableB1!K44/TableC5!B42</f>
        <v>-3.7193116391820082E-2</v>
      </c>
      <c r="Q42" s="1608">
        <f t="shared" si="4"/>
        <v>1.8156274171435283E-4</v>
      </c>
      <c r="R42" s="1145"/>
      <c r="S42" s="1145"/>
      <c r="T42" s="1579"/>
      <c r="U42" s="1580"/>
    </row>
    <row r="43" spans="1:21" x14ac:dyDescent="0.2">
      <c r="A43" s="1237" t="s">
        <v>62</v>
      </c>
      <c r="B43" s="168">
        <f>TableC5!C43+D43</f>
        <v>2447.6188649695537</v>
      </c>
      <c r="C43" s="168">
        <f>TableB1!D45+TableC5!P43</f>
        <v>6.162183228228244</v>
      </c>
      <c r="D43" s="168">
        <f t="shared" si="2"/>
        <v>-90.886324747785238</v>
      </c>
      <c r="E43" s="1106">
        <f t="shared" si="0"/>
        <v>-37.962636971285242</v>
      </c>
      <c r="F43" s="1107">
        <f>TableB1!H45-TableA6!H43/(1+TableA5!O43)-TableC5!N43</f>
        <v>-36.65407280487662</v>
      </c>
      <c r="G43" s="1113">
        <f>TableB1!I45+TableC5!O43</f>
        <v>-1.3085641664086207</v>
      </c>
      <c r="H43" s="1114">
        <f>TableB1!F45+TableB1!J45</f>
        <v>-52.923687776499996</v>
      </c>
      <c r="I43" s="1604">
        <f>TableB1!D45/TableA1!B43</f>
        <v>-1.5970646442764629E-2</v>
      </c>
      <c r="J43" s="422">
        <f>C43/TableC5!B43</f>
        <v>2.1154453012163076E-3</v>
      </c>
      <c r="K43" s="1582">
        <f t="shared" si="1"/>
        <v>1.8086091743980938E-2</v>
      </c>
      <c r="L43" s="1605">
        <f>TableB1b!B45/TableA1!B43</f>
        <v>-1.3641864176004943E-2</v>
      </c>
      <c r="M43" s="422">
        <f>D43/TableC5!B43</f>
        <v>-3.1200800351371877E-2</v>
      </c>
      <c r="N43" s="1606">
        <f t="shared" si="3"/>
        <v>-1.7558936175366933E-2</v>
      </c>
      <c r="O43" s="1607">
        <f>TableB1!C45/TableA1!B43</f>
        <v>-4.2775631597320465E-2</v>
      </c>
      <c r="P43" s="422">
        <f>J43+M43+TableB1!K45/TableC5!B43</f>
        <v>-4.2014148969663219E-2</v>
      </c>
      <c r="Q43" s="1608">
        <f t="shared" si="4"/>
        <v>7.6148262765724645E-4</v>
      </c>
      <c r="R43" s="1145"/>
      <c r="S43" s="1145"/>
      <c r="T43" s="1579"/>
      <c r="U43" s="1580"/>
    </row>
    <row r="44" spans="1:21" x14ac:dyDescent="0.2">
      <c r="A44" s="1237" t="s">
        <v>63</v>
      </c>
      <c r="B44" s="168">
        <f>TableC5!C44+D44</f>
        <v>15449.433800000003</v>
      </c>
      <c r="C44" s="168">
        <f>TableB1!D46+TableC5!P44</f>
        <v>-379.79327673306011</v>
      </c>
      <c r="D44" s="168">
        <f t="shared" si="2"/>
        <v>50.059276733060116</v>
      </c>
      <c r="E44" s="1106">
        <f t="shared" si="0"/>
        <v>146.32227673306011</v>
      </c>
      <c r="F44" s="1107">
        <f>TableB1!H46-TableA6!H44/(1+TableA5!O44)-TableC5!N44</f>
        <v>142.61969139649821</v>
      </c>
      <c r="G44" s="1113">
        <f>TableB1!I46+TableC5!O44</f>
        <v>3.7025853365618886</v>
      </c>
      <c r="H44" s="1114">
        <f>TableB1!F46+TableB1!J46</f>
        <v>-96.262999999999991</v>
      </c>
      <c r="I44" s="1604">
        <f>TableB1!D46/TableA1!B44</f>
        <v>-2.7592732178092962E-2</v>
      </c>
      <c r="J44" s="422">
        <f>C44/TableC5!B44</f>
        <v>-2.0820949272423513E-2</v>
      </c>
      <c r="K44" s="1582">
        <f t="shared" si="1"/>
        <v>6.7717829056694497E-3</v>
      </c>
      <c r="L44" s="1605">
        <f>TableB1b!B46/TableA1!B44</f>
        <v>9.3962082740703546E-3</v>
      </c>
      <c r="M44" s="422">
        <f>D44/TableC5!B44</f>
        <v>2.7443394218003205E-3</v>
      </c>
      <c r="N44" s="1606">
        <f t="shared" si="3"/>
        <v>-6.6518688522700341E-3</v>
      </c>
      <c r="O44" s="1607">
        <f>TableB1!C46/TableA1!B44</f>
        <v>-2.4818779626764924E-2</v>
      </c>
      <c r="P44" s="422">
        <f>J44+M44+TableB1!K46/TableC5!B44</f>
        <v>-2.4655225286322219E-2</v>
      </c>
      <c r="Q44" s="1608">
        <f t="shared" si="4"/>
        <v>1.6355434044270506E-4</v>
      </c>
      <c r="R44" s="1145"/>
      <c r="S44" s="1145"/>
      <c r="T44" s="1579"/>
      <c r="U44" s="1580"/>
    </row>
    <row r="45" spans="1:21" ht="40" customHeight="1" x14ac:dyDescent="0.2">
      <c r="A45" s="1806" t="s">
        <v>64</v>
      </c>
      <c r="B45" s="168">
        <f>TableC5!C45+D45</f>
        <v>14993.510705324537</v>
      </c>
      <c r="C45" s="168">
        <f>TableB1!D47+TableC5!P45</f>
        <v>95.628157581778169</v>
      </c>
      <c r="D45" s="168">
        <f t="shared" si="2"/>
        <v>-263.07438491405253</v>
      </c>
      <c r="E45" s="208">
        <f t="shared" si="0"/>
        <v>-191.30506016625256</v>
      </c>
      <c r="F45" s="209">
        <f>SUM(F46:F52)</f>
        <v>-180.13412432899335</v>
      </c>
      <c r="G45" s="175">
        <f t="shared" ref="G45:H45" si="5">SUM(G46:G52)</f>
        <v>-11.170935837259204</v>
      </c>
      <c r="H45" s="781">
        <f t="shared" si="5"/>
        <v>-71.769324747799999</v>
      </c>
      <c r="I45" s="195"/>
      <c r="J45" s="176"/>
      <c r="K45" s="1587"/>
      <c r="L45" s="1613"/>
      <c r="M45" s="175"/>
      <c r="N45" s="782"/>
      <c r="O45" s="445"/>
      <c r="P45" s="445"/>
      <c r="Q45" s="1608"/>
      <c r="R45" s="1145"/>
      <c r="S45" s="1145"/>
      <c r="T45" s="1579"/>
      <c r="U45" s="1580"/>
    </row>
    <row r="46" spans="1:21" x14ac:dyDescent="0.2">
      <c r="A46" s="1504" t="s">
        <v>65</v>
      </c>
      <c r="B46" s="168">
        <f>TableC5!C46+D46</f>
        <v>2032.4671811383153</v>
      </c>
      <c r="C46" s="168">
        <f>TableB1!D48+TableC5!P46</f>
        <v>-6.0020676267719111</v>
      </c>
      <c r="D46" s="168">
        <f t="shared" si="2"/>
        <v>-58.728816448908077</v>
      </c>
      <c r="E46" s="1106">
        <f t="shared" si="0"/>
        <v>-34.52201063500808</v>
      </c>
      <c r="F46" s="1107">
        <f>TableB1!H48-TableA6!H46/(1+TableA5!O46)-TableC5!N46</f>
        <v>-30.897827550419521</v>
      </c>
      <c r="G46" s="1113">
        <f>TableB1!I48+TableC5!O46</f>
        <v>-3.6241830845885619</v>
      </c>
      <c r="H46" s="1114">
        <f>TableB1!F48+TableB1!J48</f>
        <v>-24.206805813900001</v>
      </c>
      <c r="I46" s="1604">
        <f>TableB1!D48/TableA1!B46</f>
        <v>-7.8372005660718169E-3</v>
      </c>
      <c r="J46" s="422">
        <f>C46/TableC5!B46</f>
        <v>-2.4306854282748749E-3</v>
      </c>
      <c r="K46" s="1582">
        <f t="shared" si="1"/>
        <v>5.406515137796942E-3</v>
      </c>
      <c r="L46" s="1605">
        <f>TableB1b!B48/TableA1!B46</f>
        <v>-1.8518553347766802E-2</v>
      </c>
      <c r="M46" s="422">
        <f>D46/TableC5!B46</f>
        <v>-2.3783683763484435E-2</v>
      </c>
      <c r="N46" s="1606">
        <f t="shared" ref="N46" si="6">M46-L46</f>
        <v>-5.2651304157176337E-3</v>
      </c>
      <c r="O46" s="1607">
        <f>TableB1!C48/TableA1!B46</f>
        <v>-2.5261154657763428E-2</v>
      </c>
      <c r="P46" s="422">
        <f>J46+M46+TableB1!K48/TableC5!B46</f>
        <v>-2.5111315548629842E-2</v>
      </c>
      <c r="Q46" s="1608">
        <f t="shared" si="4"/>
        <v>1.4983910913358642E-4</v>
      </c>
      <c r="R46" s="1145"/>
      <c r="S46" s="1145"/>
      <c r="T46" s="1579"/>
      <c r="U46" s="1580"/>
    </row>
    <row r="47" spans="1:21" x14ac:dyDescent="0.2">
      <c r="A47" s="1237" t="s">
        <v>66</v>
      </c>
      <c r="B47" s="168">
        <f>TableC5!C47+D47</f>
        <v>9542.7014074727285</v>
      </c>
      <c r="C47" s="168">
        <f>TableB1!D49+TableC5!P47</f>
        <v>414.2842048721422</v>
      </c>
      <c r="D47" s="168">
        <f t="shared" si="2"/>
        <v>-97.470414550936582</v>
      </c>
      <c r="E47" s="1106">
        <f t="shared" si="0"/>
        <v>-90.969391617436585</v>
      </c>
      <c r="F47" s="1107">
        <f>TableB1!H49-TableA6!H47/(1+TableA5!O47)-TableC5!N47</f>
        <v>-95.081758957895346</v>
      </c>
      <c r="G47" s="1113">
        <f>TableB1!I49+TableC5!O47</f>
        <v>4.112367340458766</v>
      </c>
      <c r="H47" s="1114">
        <f>TableB1!F49+TableB1!J49</f>
        <v>-6.5010229334999998</v>
      </c>
      <c r="I47" s="1604">
        <f>TableB1!D49/TableA1!B47</f>
        <v>3.2348232839645781E-2</v>
      </c>
      <c r="J47" s="422">
        <f>C47/TableC5!B47</f>
        <v>3.7257504549161768E-2</v>
      </c>
      <c r="K47" s="1582">
        <f t="shared" si="1"/>
        <v>4.9092717095159874E-3</v>
      </c>
      <c r="L47" s="1605">
        <f>TableB1b!B49/TableA1!B47</f>
        <v>-3.71117365795339E-3</v>
      </c>
      <c r="M47" s="422">
        <f>D47/TableC5!B47</f>
        <v>-8.7657322457199895E-3</v>
      </c>
      <c r="N47" s="1606">
        <f t="shared" ref="N47:N52" si="7">M47-L47</f>
        <v>-5.0545585877665999E-3</v>
      </c>
      <c r="O47" s="1607">
        <f>TableB1!C49/TableA1!B47</f>
        <v>2.749367597605417E-2</v>
      </c>
      <c r="P47" s="422">
        <f>J47+M47+TableB1!K49/TableC5!B47</f>
        <v>2.7354189923074666E-2</v>
      </c>
      <c r="Q47" s="1608">
        <f t="shared" si="4"/>
        <v>-1.3948605297950389E-4</v>
      </c>
      <c r="R47" s="1145"/>
      <c r="S47" s="1145"/>
      <c r="T47" s="1579"/>
      <c r="U47" s="1580"/>
    </row>
    <row r="48" spans="1:21" x14ac:dyDescent="0.2">
      <c r="A48" s="1237" t="s">
        <v>67</v>
      </c>
      <c r="B48" s="168">
        <f>TableC5!C48+D48</f>
        <v>252.25768406694957</v>
      </c>
      <c r="C48" s="168">
        <f>TableB1!D50+TableC5!P48</f>
        <v>-17.235038418298995</v>
      </c>
      <c r="D48" s="168">
        <f t="shared" si="2"/>
        <v>-7.2779716137010055</v>
      </c>
      <c r="E48" s="1106">
        <f t="shared" si="0"/>
        <v>-3.056669410701006</v>
      </c>
      <c r="F48" s="1107">
        <f>TableB1!H50-TableA6!H48/(1+TableA5!O48)-TableC5!N48</f>
        <v>-2.6647553484306297</v>
      </c>
      <c r="G48" s="1113">
        <f>TableB1!I50+TableC5!O48</f>
        <v>-0.39191406227037651</v>
      </c>
      <c r="H48" s="1114">
        <f>TableB1!F50+TableB1!J50</f>
        <v>-4.2213022029999996</v>
      </c>
      <c r="I48" s="1604">
        <f>TableB1!D50/TableA1!B48</f>
        <v>-6.3609064262852538E-2</v>
      </c>
      <c r="J48" s="422">
        <f>C48/TableC5!B48</f>
        <v>-5.88572395551085E-2</v>
      </c>
      <c r="K48" s="1582">
        <f t="shared" si="1"/>
        <v>4.7518247077440387E-3</v>
      </c>
      <c r="L48" s="1605">
        <f>TableB1b!B50/TableA1!B48</f>
        <v>-2.0477943073768445E-2</v>
      </c>
      <c r="M48" s="422">
        <f>D48/TableC5!B48</f>
        <v>-2.4854097121598213E-2</v>
      </c>
      <c r="N48" s="1606">
        <f t="shared" si="7"/>
        <v>-4.3761540478297681E-3</v>
      </c>
      <c r="O48" s="1607">
        <f>TableB1!C50/TableA1!B48</f>
        <v>-6.5461390476197173E-2</v>
      </c>
      <c r="P48" s="422">
        <f>J48+M48+TableB1!K50/TableC5!B48</f>
        <v>-6.5168932407608141E-2</v>
      </c>
      <c r="Q48" s="1608">
        <f t="shared" si="4"/>
        <v>2.9245806858903267E-4</v>
      </c>
      <c r="R48" s="1145"/>
      <c r="S48" s="1145"/>
      <c r="T48" s="1579"/>
      <c r="U48" s="1580"/>
    </row>
    <row r="49" spans="1:27" x14ac:dyDescent="0.2">
      <c r="A49" s="1237" t="s">
        <v>68</v>
      </c>
      <c r="B49" s="168">
        <f>TableC5!C49+D49</f>
        <v>49.28369016109901</v>
      </c>
      <c r="C49" s="168">
        <f>TableB1!D51+TableC5!P49</f>
        <v>0.96755981531582658</v>
      </c>
      <c r="D49" s="168">
        <f t="shared" si="2"/>
        <v>-3.5328679860158263</v>
      </c>
      <c r="E49" s="1106">
        <f t="shared" si="0"/>
        <v>-2.9507817780158265</v>
      </c>
      <c r="F49" s="1107">
        <f>TableB1!H51-TableA6!H49/(1+TableA5!O49)-TableC5!N49</f>
        <v>-1.9554452221874608</v>
      </c>
      <c r="G49" s="1113">
        <f>TableB1!I51+TableC5!O49</f>
        <v>-0.99533655582836589</v>
      </c>
      <c r="H49" s="1114">
        <f>TableB1!F51+TableB1!J51</f>
        <v>-0.58208620799999988</v>
      </c>
      <c r="I49" s="1604">
        <f>TableB1!D51/TableA1!B49</f>
        <v>-3.3078039623503336E-4</v>
      </c>
      <c r="J49" s="422">
        <f>C49/TableC5!B49</f>
        <v>1.7361889965350867E-2</v>
      </c>
      <c r="K49" s="1582">
        <f t="shared" si="1"/>
        <v>1.7692670361585901E-2</v>
      </c>
      <c r="L49" s="1605">
        <f>TableB1b!B51/TableA1!B49</f>
        <v>-4.65299172284072E-2</v>
      </c>
      <c r="M49" s="422">
        <f>D49/TableC5!B49</f>
        <v>-6.3393770870172048E-2</v>
      </c>
      <c r="N49" s="1606">
        <f t="shared" si="7"/>
        <v>-1.6863853641764848E-2</v>
      </c>
      <c r="O49" s="1607">
        <f>TableB1!C51/TableA1!B49</f>
        <v>-3.8511145276925361E-2</v>
      </c>
      <c r="P49" s="422">
        <f>J49+M49+TableB1!K51/TableC5!B49</f>
        <v>-3.7830005585821211E-2</v>
      </c>
      <c r="Q49" s="1608">
        <f t="shared" si="4"/>
        <v>6.8113969110415035E-4</v>
      </c>
      <c r="R49" s="1145"/>
      <c r="S49" s="1145"/>
      <c r="T49" s="1579"/>
      <c r="U49" s="1580"/>
      <c r="V49" s="958"/>
      <c r="W49" s="958"/>
      <c r="X49" s="958"/>
      <c r="Y49" s="958"/>
      <c r="Z49" s="958"/>
      <c r="AA49" s="958"/>
    </row>
    <row r="50" spans="1:27" x14ac:dyDescent="0.2">
      <c r="A50" s="1237" t="s">
        <v>69</v>
      </c>
      <c r="B50" s="168">
        <f>TableC5!C50+D50</f>
        <v>1666.0116851860782</v>
      </c>
      <c r="C50" s="168">
        <f>TableB1!D52+TableC5!P50</f>
        <v>-54.416637101426851</v>
      </c>
      <c r="D50" s="168">
        <f t="shared" si="2"/>
        <v>-35.523404047373148</v>
      </c>
      <c r="E50" s="1106">
        <f t="shared" si="0"/>
        <v>-17.513990611873147</v>
      </c>
      <c r="F50" s="1107">
        <f>TableB1!H52-TableA6!H50/(1+TableA5!O50)-TableC5!N50</f>
        <v>-11.445607456944593</v>
      </c>
      <c r="G50" s="1113">
        <f>TableB1!I52+TableC5!O50</f>
        <v>-6.0683831549285543</v>
      </c>
      <c r="H50" s="1114">
        <f>TableB1!F52+TableB1!J52</f>
        <v>-18.009413435499997</v>
      </c>
      <c r="I50" s="1604">
        <f>TableB1!D52/TableA1!B50</f>
        <v>-2.9656095028010171E-2</v>
      </c>
      <c r="J50" s="422">
        <f>C50/TableC5!B50</f>
        <v>-2.540949078450784E-2</v>
      </c>
      <c r="K50" s="1582">
        <f t="shared" si="1"/>
        <v>4.2466042435023305E-3</v>
      </c>
      <c r="L50" s="1605">
        <f>TableB1b!B52/TableA1!B50</f>
        <v>-1.2514740546781975E-2</v>
      </c>
      <c r="M50" s="422">
        <f>D50/TableC5!B50</f>
        <v>-1.658741987480165E-2</v>
      </c>
      <c r="N50" s="1606">
        <f t="shared" si="7"/>
        <v>-4.0726793280196748E-3</v>
      </c>
      <c r="O50" s="1607">
        <f>TableB1!C52/TableA1!B50</f>
        <v>-1.2091091799662794E-2</v>
      </c>
      <c r="P50" s="422">
        <f>J50+M50+TableB1!K52/TableC5!B50</f>
        <v>-1.2041224584781091E-2</v>
      </c>
      <c r="Q50" s="1608">
        <f t="shared" si="4"/>
        <v>4.9867214881703023E-5</v>
      </c>
      <c r="R50" s="1145"/>
      <c r="S50" s="1145"/>
      <c r="T50" s="1579"/>
      <c r="U50" s="1580"/>
      <c r="V50" s="958"/>
      <c r="W50" s="958"/>
      <c r="X50" s="958"/>
      <c r="Y50" s="958"/>
      <c r="Z50" s="958"/>
      <c r="AA50" s="958"/>
    </row>
    <row r="51" spans="1:27" x14ac:dyDescent="0.2">
      <c r="A51" s="1237" t="s">
        <v>70</v>
      </c>
      <c r="B51" s="168">
        <f>TableC5!C51+D51</f>
        <v>1166.1366423721297</v>
      </c>
      <c r="C51" s="168">
        <f>TableB1!D53+TableC5!P51</f>
        <v>122.51618610614209</v>
      </c>
      <c r="D51" s="168">
        <f t="shared" si="2"/>
        <v>-48.938116106142083</v>
      </c>
      <c r="E51" s="1106">
        <f t="shared" si="0"/>
        <v>-34.755606106142082</v>
      </c>
      <c r="F51" s="1107">
        <f>TableB1!H53-TableA6!H51/(1+TableA5!O51)-TableC5!N51</f>
        <v>-30.274864349333907</v>
      </c>
      <c r="G51" s="1113">
        <f>TableB1!I53+TableC5!O51</f>
        <v>-4.4807417568081718</v>
      </c>
      <c r="H51" s="1114">
        <f>TableB1!F53+TableB1!J53</f>
        <v>-14.182510000000001</v>
      </c>
      <c r="I51" s="1604">
        <f>TableB1!D53/TableA1!B51</f>
        <v>8.1616945890620921E-2</v>
      </c>
      <c r="J51" s="422">
        <f>C51/TableC5!B51</f>
        <v>8.8979488953268029E-2</v>
      </c>
      <c r="K51" s="1582">
        <f t="shared" si="1"/>
        <v>7.3625430626471089E-3</v>
      </c>
      <c r="L51" s="1605">
        <f>TableB1b!B53/TableA1!B51</f>
        <v>-2.7747744566353802E-2</v>
      </c>
      <c r="M51" s="422">
        <f>D51/TableC5!B51</f>
        <v>-3.5542149162949781E-2</v>
      </c>
      <c r="N51" s="1606">
        <f t="shared" si="7"/>
        <v>-7.7944045965959788E-3</v>
      </c>
      <c r="O51" s="1607">
        <f>TableB1!C53/TableA1!B51</f>
        <v>4.9681408999641651E-2</v>
      </c>
      <c r="P51" s="422">
        <f>J51+M51+TableB1!K53/TableC5!B51</f>
        <v>4.9283120386261731E-2</v>
      </c>
      <c r="Q51" s="1608">
        <f t="shared" si="4"/>
        <v>-3.9828861337991989E-4</v>
      </c>
      <c r="R51" s="1145"/>
      <c r="S51" s="1145"/>
      <c r="T51" s="1579"/>
      <c r="U51" s="1580"/>
      <c r="V51" s="958"/>
      <c r="W51" s="958"/>
      <c r="X51" s="958"/>
      <c r="Y51" s="958"/>
      <c r="Z51" s="958"/>
      <c r="AA51" s="958"/>
    </row>
    <row r="52" spans="1:27" ht="17" thickBot="1" x14ac:dyDescent="0.25">
      <c r="A52" s="1614" t="s">
        <v>71</v>
      </c>
      <c r="B52" s="1615">
        <f>TableC5!C52+D52</f>
        <v>284.65241492723408</v>
      </c>
      <c r="C52" s="1615">
        <f>TableB1!D54+TableC5!P52</f>
        <v>0.33949464207583935</v>
      </c>
      <c r="D52" s="1615">
        <f t="shared" si="2"/>
        <v>-11.60279416097584</v>
      </c>
      <c r="E52" s="1616">
        <f t="shared" si="0"/>
        <v>-7.5366100070758391</v>
      </c>
      <c r="F52" s="1617">
        <f>TableB1!H54-TableA6!H52/(1+TableA5!O52)-TableC5!N52</f>
        <v>-7.8138654437819</v>
      </c>
      <c r="G52" s="1618">
        <f>TableB1!I54+TableC5!O52</f>
        <v>0.27725543670606051</v>
      </c>
      <c r="H52" s="1619">
        <f>TableB1!F54+TableB1!J54</f>
        <v>-4.0661841539000001</v>
      </c>
      <c r="I52" s="1620">
        <f>TableB1!D54/TableA1!B52</f>
        <v>-9.9019757731355715E-3</v>
      </c>
      <c r="J52" s="809">
        <f>C52/TableC5!B52</f>
        <v>9.6004981209782208E-4</v>
      </c>
      <c r="K52" s="1621">
        <f t="shared" si="1"/>
        <v>1.0862025585233394E-2</v>
      </c>
      <c r="L52" s="1622">
        <f>TableB1b!B54/TableA1!B52</f>
        <v>-2.2295575393895605E-2</v>
      </c>
      <c r="M52" s="809">
        <f>D52/TableC5!B52</f>
        <v>-3.2811299424178174E-2</v>
      </c>
      <c r="N52" s="1623">
        <f t="shared" si="7"/>
        <v>-1.0515724030282569E-2</v>
      </c>
      <c r="O52" s="1624">
        <f>TableB1!C54/TableA1!B52</f>
        <v>-3.9760815656306035E-2</v>
      </c>
      <c r="P52" s="809">
        <f>J52+M52+TableB1!K54/TableC5!B52</f>
        <v>-3.9333167223775826E-2</v>
      </c>
      <c r="Q52" s="1625">
        <f t="shared" si="4"/>
        <v>4.2764843253020879E-4</v>
      </c>
      <c r="R52" s="1145"/>
      <c r="S52" s="1145"/>
      <c r="T52" s="1579"/>
      <c r="U52" s="1580"/>
      <c r="V52" s="958"/>
      <c r="W52" s="958"/>
      <c r="X52" s="958"/>
      <c r="Y52" s="958"/>
      <c r="Z52" s="958"/>
      <c r="AA52" s="958"/>
    </row>
    <row r="53" spans="1:27" ht="40" hidden="1" customHeight="1" x14ac:dyDescent="0.2">
      <c r="A53" s="187" t="s">
        <v>72</v>
      </c>
      <c r="B53" s="168">
        <f>TableC5!C53+D53</f>
        <v>753.5532366179699</v>
      </c>
      <c r="C53" s="168">
        <f>TableB1!D55+TableC5!P53</f>
        <v>-311.97789921607279</v>
      </c>
      <c r="D53" s="168">
        <f t="shared" si="2"/>
        <v>22.210549024477004</v>
      </c>
      <c r="E53" s="208">
        <f t="shared" si="0"/>
        <v>-43.818864601077706</v>
      </c>
      <c r="F53" s="209">
        <f>SUM(F54:F89)</f>
        <v>-21.07662959034192</v>
      </c>
      <c r="G53" s="175">
        <f>SUM(G54:G89)</f>
        <v>-22.742235010735786</v>
      </c>
      <c r="H53" s="781">
        <f>SUM(H54:H89)</f>
        <v>66.02941362555471</v>
      </c>
      <c r="I53" s="195">
        <f>(E53+H53)/D53</f>
        <v>1</v>
      </c>
      <c r="J53" s="176">
        <f>C53/TableC5!B53</f>
        <v>-0.35414785353704353</v>
      </c>
      <c r="K53" s="688">
        <f t="shared" si="1"/>
        <v>-1.3541478535370435</v>
      </c>
      <c r="L53" s="783"/>
      <c r="M53" s="175"/>
      <c r="N53" s="782"/>
      <c r="O53" s="445">
        <f>TableB1!C55/TableA1!B53</f>
        <v>0</v>
      </c>
      <c r="P53" s="445"/>
      <c r="Q53" s="1626">
        <f t="shared" si="4"/>
        <v>0</v>
      </c>
      <c r="R53" s="958"/>
      <c r="S53" s="958"/>
      <c r="T53" s="1579"/>
      <c r="U53" s="1580"/>
      <c r="V53" s="958"/>
      <c r="W53" s="958"/>
      <c r="X53" s="958"/>
      <c r="Y53" s="958"/>
      <c r="Z53" s="958"/>
      <c r="AA53" s="958"/>
    </row>
    <row r="54" spans="1:27" hidden="1" x14ac:dyDescent="0.2">
      <c r="A54" s="1080" t="s">
        <v>73</v>
      </c>
      <c r="B54" s="168">
        <f>TableC5!C54+D54</f>
        <v>1.451883374087104</v>
      </c>
      <c r="C54" s="168" t="e">
        <f>TableB1!D56+TableC5!P54</f>
        <v>#N/A</v>
      </c>
      <c r="D54" s="168">
        <f t="shared" si="2"/>
        <v>-0.11295654841623215</v>
      </c>
      <c r="E54" s="1106">
        <f t="shared" si="0"/>
        <v>-0.11295654841623215</v>
      </c>
      <c r="F54" s="1107">
        <f>TableB1!H56-TableA6!H54/(1+TableA5!O54)-TableC5!N54</f>
        <v>-4.6806697183874535E-2</v>
      </c>
      <c r="G54" s="1113">
        <f>TableB1!I56+TableC5!O54</f>
        <v>-6.6149851232357615E-2</v>
      </c>
      <c r="H54" s="1114">
        <f>TableB1!F56+TableB1!J56</f>
        <v>0</v>
      </c>
      <c r="I54" s="1604" t="e">
        <f>TableB1!D56/TableA1!B54</f>
        <v>#N/A</v>
      </c>
      <c r="J54" s="422" t="e">
        <f>C54/TableC5!B54</f>
        <v>#N/A</v>
      </c>
      <c r="K54" s="1582" t="e">
        <f t="shared" si="1"/>
        <v>#N/A</v>
      </c>
      <c r="L54" s="1605"/>
      <c r="M54" s="1583"/>
      <c r="N54" s="1627"/>
      <c r="O54" s="1583" t="e">
        <f>TableB1!C56/TableA1!B54</f>
        <v>#N/A</v>
      </c>
      <c r="P54" s="786"/>
      <c r="Q54" s="1626" t="e">
        <f t="shared" si="4"/>
        <v>#N/A</v>
      </c>
      <c r="R54" s="958"/>
      <c r="S54" s="958"/>
      <c r="T54" s="1579"/>
      <c r="U54" s="1580"/>
      <c r="V54" s="958"/>
      <c r="W54" s="958"/>
      <c r="X54" s="958"/>
      <c r="Y54" s="958"/>
      <c r="Z54" s="958"/>
      <c r="AA54" s="958"/>
    </row>
    <row r="55" spans="1:27" hidden="1" x14ac:dyDescent="0.2">
      <c r="A55" s="1080" t="s">
        <v>74</v>
      </c>
      <c r="B55" s="168">
        <f>TableC5!C55+D55</f>
        <v>0.14108874052884576</v>
      </c>
      <c r="C55" s="168">
        <f>TableB1!D57+TableC5!P55</f>
        <v>-0.20210420852263919</v>
      </c>
      <c r="D55" s="168">
        <f t="shared" si="2"/>
        <v>-2.3982609092080019E-2</v>
      </c>
      <c r="E55" s="1106">
        <f t="shared" si="0"/>
        <v>-2.3982609092080019E-2</v>
      </c>
      <c r="F55" s="1107">
        <f>TableB1!H57-TableA6!H55/(1+TableA5!O55)-TableC5!N55</f>
        <v>-9.2498302047612779E-3</v>
      </c>
      <c r="G55" s="1113">
        <f>TableB1!I57+TableC5!O55</f>
        <v>-1.473277888731874E-2</v>
      </c>
      <c r="H55" s="1114">
        <f>TableB1!F57+TableB1!J57</f>
        <v>0</v>
      </c>
      <c r="I55" s="1109">
        <f>TableB1!D57/TableA1!B55</f>
        <v>0</v>
      </c>
      <c r="J55" s="24">
        <f>C55/TableC5!B55</f>
        <v>-1.0250114943663862</v>
      </c>
      <c r="K55" s="1582">
        <f t="shared" si="1"/>
        <v>-1.0250114943663862</v>
      </c>
      <c r="L55" s="1605"/>
      <c r="M55" s="1583"/>
      <c r="N55" s="1627"/>
      <c r="O55" s="1583">
        <f>TableB1!C57/TableA1!B55</f>
        <v>-0.36283342165695104</v>
      </c>
      <c r="P55" s="786"/>
      <c r="Q55" s="1626">
        <f t="shared" si="4"/>
        <v>0.36283342165695104</v>
      </c>
      <c r="R55" s="958"/>
      <c r="S55" s="958"/>
      <c r="T55" s="1579"/>
      <c r="U55" s="1580"/>
      <c r="V55" s="958"/>
      <c r="W55" s="958"/>
      <c r="X55" s="958"/>
      <c r="Y55" s="958"/>
      <c r="Z55" s="958"/>
      <c r="AA55" s="958"/>
    </row>
    <row r="56" spans="1:27" hidden="1" x14ac:dyDescent="0.2">
      <c r="A56" s="1080" t="s">
        <v>75</v>
      </c>
      <c r="B56" s="168">
        <f>TableC5!C56+D56</f>
        <v>0.51558547881696593</v>
      </c>
      <c r="C56" s="168">
        <f>TableB1!D58+TableC5!P56</f>
        <v>-0.73787856493654069</v>
      </c>
      <c r="D56" s="168">
        <f t="shared" si="2"/>
        <v>-3.312544798597581E-2</v>
      </c>
      <c r="E56" s="1106">
        <f t="shared" si="0"/>
        <v>-3.312544798597581E-2</v>
      </c>
      <c r="F56" s="1107">
        <f>TableB1!H58-TableA6!H56/(1+TableA5!O56)-TableC5!N56</f>
        <v>2.0663643405876009E-2</v>
      </c>
      <c r="G56" s="1113">
        <f>TableB1!I58+TableC5!O56</f>
        <v>-5.3789091391851819E-2</v>
      </c>
      <c r="H56" s="1114">
        <f>TableB1!F58+TableB1!J58</f>
        <v>0</v>
      </c>
      <c r="I56" s="1109">
        <f>TableB1!D58/TableA1!B56</f>
        <v>0</v>
      </c>
      <c r="J56" s="24">
        <f>C56/TableC5!B56</f>
        <v>-1.034340190294246</v>
      </c>
      <c r="K56" s="1582">
        <f t="shared" si="1"/>
        <v>-1.034340190294246</v>
      </c>
      <c r="L56" s="1605"/>
      <c r="M56" s="1583"/>
      <c r="N56" s="1627"/>
      <c r="O56" s="1583">
        <f>TableB1!C58/TableA1!B56</f>
        <v>-5.6342775083158721E-2</v>
      </c>
      <c r="P56" s="786"/>
      <c r="Q56" s="1626">
        <f t="shared" si="4"/>
        <v>5.6342775083158721E-2</v>
      </c>
      <c r="R56" s="958"/>
      <c r="S56" s="958"/>
      <c r="T56" s="1579"/>
      <c r="U56" s="1580"/>
      <c r="V56" s="958"/>
      <c r="W56" s="958"/>
      <c r="X56" s="958"/>
      <c r="Y56" s="958"/>
      <c r="Z56" s="958"/>
      <c r="AA56" s="958"/>
    </row>
    <row r="57" spans="1:27" hidden="1" x14ac:dyDescent="0.2">
      <c r="A57" s="1080" t="s">
        <v>76</v>
      </c>
      <c r="B57" s="168">
        <f>TableC5!C57+D57</f>
        <v>1.2517643697286291</v>
      </c>
      <c r="C57" s="168">
        <f>TableB1!D59+TableC5!P57</f>
        <v>-0.51980837837867022</v>
      </c>
      <c r="D57" s="168">
        <f t="shared" si="2"/>
        <v>-0.13970586565878662</v>
      </c>
      <c r="E57" s="1106">
        <f t="shared" si="0"/>
        <v>-0.10026452490794663</v>
      </c>
      <c r="F57" s="1107">
        <f>TableB1!H59-TableA6!H57/(1+TableA5!O57)-TableC5!N57</f>
        <v>-4.1443737686649107E-2</v>
      </c>
      <c r="G57" s="1113">
        <f>TableB1!I59+TableC5!O57</f>
        <v>-5.8820787221297528E-2</v>
      </c>
      <c r="H57" s="1114">
        <f>TableB1!F59+TableB1!J59</f>
        <v>-3.9441340750839993E-2</v>
      </c>
      <c r="I57" s="1109">
        <f>TableB1!D59/TableA1!B57</f>
        <v>0.11483798884</v>
      </c>
      <c r="J57" s="24">
        <f>C57/TableC5!B57</f>
        <v>-0.3070163646745328</v>
      </c>
      <c r="K57" s="1582">
        <f t="shared" si="1"/>
        <v>-0.42185435351453282</v>
      </c>
      <c r="L57" s="1605"/>
      <c r="M57" s="1583"/>
      <c r="N57" s="1627"/>
      <c r="O57" s="1583">
        <f>TableB1!C59/TableA1!B57</f>
        <v>5.578324025966401E-2</v>
      </c>
      <c r="P57" s="786"/>
      <c r="Q57" s="1626">
        <f t="shared" si="4"/>
        <v>-5.578324025966401E-2</v>
      </c>
      <c r="R57" s="958"/>
      <c r="S57" s="958"/>
      <c r="T57" s="1579"/>
      <c r="U57" s="1580"/>
      <c r="V57" s="958"/>
      <c r="W57" s="958"/>
      <c r="X57" s="958"/>
      <c r="Y57" s="958"/>
      <c r="Z57" s="958"/>
      <c r="AA57" s="958"/>
    </row>
    <row r="58" spans="1:27" hidden="1" x14ac:dyDescent="0.2">
      <c r="A58" s="1080" t="s">
        <v>77</v>
      </c>
      <c r="B58" s="168">
        <f>TableC5!C58+D58</f>
        <v>3.1322714592729772</v>
      </c>
      <c r="C58" s="168" t="e">
        <f>TableB1!D60+TableC5!P58</f>
        <v>#N/A</v>
      </c>
      <c r="D58" s="168">
        <f t="shared" si="2"/>
        <v>-0.99524820043262641</v>
      </c>
      <c r="E58" s="1106">
        <f t="shared" si="0"/>
        <v>-0.59261860273262634</v>
      </c>
      <c r="F58" s="1107">
        <f>TableB1!H60-TableA6!H58/(1+TableA5!O58)-TableC5!N58</f>
        <v>-9.4508763751958824E-2</v>
      </c>
      <c r="G58" s="1113">
        <f>TableB1!I60+TableC5!O58</f>
        <v>-0.49810983898066757</v>
      </c>
      <c r="H58" s="1114">
        <f>TableB1!F60+TableB1!J60</f>
        <v>-0.40262959770000001</v>
      </c>
      <c r="I58" s="1109" t="e">
        <f>TableB1!D60/TableA1!B58</f>
        <v>#N/A</v>
      </c>
      <c r="J58" s="24" t="e">
        <f>C58/TableC5!B58</f>
        <v>#N/A</v>
      </c>
      <c r="K58" s="1582" t="e">
        <f t="shared" si="1"/>
        <v>#N/A</v>
      </c>
      <c r="L58" s="1605"/>
      <c r="M58" s="1583"/>
      <c r="N58" s="1627"/>
      <c r="O58" s="1583" t="e">
        <f>TableB1!C60/TableA1!B58</f>
        <v>#N/A</v>
      </c>
      <c r="P58" s="786"/>
      <c r="Q58" s="1626" t="e">
        <f t="shared" si="4"/>
        <v>#N/A</v>
      </c>
      <c r="R58" s="958"/>
      <c r="S58" s="958"/>
      <c r="T58" s="1579"/>
      <c r="U58" s="1580"/>
      <c r="V58" s="958"/>
      <c r="W58" s="958"/>
      <c r="X58" s="958"/>
      <c r="Y58" s="958"/>
      <c r="Z58" s="958"/>
      <c r="AA58" s="958"/>
    </row>
    <row r="59" spans="1:27" hidden="1" x14ac:dyDescent="0.2">
      <c r="A59" s="1080" t="s">
        <v>78</v>
      </c>
      <c r="B59" s="168">
        <f>TableC5!C59+D59</f>
        <v>20.644078995447988</v>
      </c>
      <c r="C59" s="168" t="e">
        <f>TableB1!D61+TableC5!P59</f>
        <v>#N/A</v>
      </c>
      <c r="D59" s="168">
        <f t="shared" si="2"/>
        <v>-2.4842250290517187</v>
      </c>
      <c r="E59" s="1106">
        <f t="shared" si="0"/>
        <v>-2.4842250290517187</v>
      </c>
      <c r="F59" s="1107">
        <f>TableB1!H61-TableA6!H59/(1+TableA5!O59)-TableC5!N59</f>
        <v>-1.943377919092339</v>
      </c>
      <c r="G59" s="1113">
        <f>TableB1!I61+TableC5!O59</f>
        <v>-0.54084710995937968</v>
      </c>
      <c r="H59" s="1114">
        <f>TableB1!F61+TableB1!J61</f>
        <v>0</v>
      </c>
      <c r="I59" s="1109" t="e">
        <f>TableB1!D61/TableA1!B59</f>
        <v>#N/A</v>
      </c>
      <c r="J59" s="24" t="e">
        <f>C59/TableC5!B59</f>
        <v>#N/A</v>
      </c>
      <c r="K59" s="1582" t="e">
        <f t="shared" si="1"/>
        <v>#N/A</v>
      </c>
      <c r="L59" s="1605"/>
      <c r="M59" s="1583"/>
      <c r="N59" s="1627"/>
      <c r="O59" s="1583" t="e">
        <f>TableB1!C61/TableA1!B59</f>
        <v>#N/A</v>
      </c>
      <c r="P59" s="786"/>
      <c r="Q59" s="1626" t="e">
        <f t="shared" si="4"/>
        <v>#N/A</v>
      </c>
      <c r="R59" s="958"/>
      <c r="S59" s="958"/>
      <c r="T59" s="1579"/>
      <c r="U59" s="1580"/>
      <c r="V59" s="958"/>
      <c r="W59" s="958"/>
      <c r="X59" s="958"/>
      <c r="Y59" s="958"/>
      <c r="Z59" s="958"/>
      <c r="AA59" s="958"/>
    </row>
    <row r="60" spans="1:27" hidden="1" x14ac:dyDescent="0.2">
      <c r="A60" s="1080" t="s">
        <v>79</v>
      </c>
      <c r="B60" s="168">
        <f>TableC5!C60+D60</f>
        <v>1.7298739347313359</v>
      </c>
      <c r="C60" s="168">
        <f>TableB1!D62+TableC5!P60</f>
        <v>-4.3128436752005275</v>
      </c>
      <c r="D60" s="168">
        <f t="shared" si="2"/>
        <v>-0.15236576811519958</v>
      </c>
      <c r="E60" s="1106">
        <f t="shared" si="0"/>
        <v>-0.15236576811519958</v>
      </c>
      <c r="F60" s="1107">
        <f>TableB1!H62-TableA6!H60/(1+TableA5!O60)-TableC5!N60</f>
        <v>0.1620273497064062</v>
      </c>
      <c r="G60" s="1113">
        <f>TableB1!I62+TableC5!O60</f>
        <v>-0.31439311782160578</v>
      </c>
      <c r="H60" s="1114">
        <f>TableB1!F62+TableB1!J62</f>
        <v>0</v>
      </c>
      <c r="I60" s="1109">
        <f>TableB1!D62/TableA1!B60</f>
        <v>0</v>
      </c>
      <c r="J60" s="24">
        <f>C60/TableC5!B60</f>
        <v>-1.7709563031133</v>
      </c>
      <c r="K60" s="1582">
        <f t="shared" si="1"/>
        <v>-1.7709563031133</v>
      </c>
      <c r="L60" s="1605"/>
      <c r="M60" s="1583"/>
      <c r="N60" s="1627"/>
      <c r="O60" s="1583">
        <f>TableB1!C62/TableA1!B60</f>
        <v>-0.41355319205048979</v>
      </c>
      <c r="P60" s="786"/>
      <c r="Q60" s="1626">
        <f t="shared" si="4"/>
        <v>0.41355319205048979</v>
      </c>
      <c r="R60" s="958"/>
      <c r="S60" s="958"/>
      <c r="T60" s="1579"/>
      <c r="U60" s="1580"/>
      <c r="V60" s="958"/>
      <c r="W60" s="958"/>
      <c r="X60" s="958"/>
      <c r="Y60" s="958"/>
      <c r="Z60" s="958"/>
      <c r="AA60" s="958"/>
    </row>
    <row r="61" spans="1:27" hidden="1" x14ac:dyDescent="0.2">
      <c r="A61" s="1080" t="s">
        <v>80</v>
      </c>
      <c r="B61" s="168">
        <f>TableC5!C61+D61</f>
        <v>0.58738056382502979</v>
      </c>
      <c r="C61" s="168">
        <f>TableB1!D63+TableC5!P61</f>
        <v>-0.98598720482324809</v>
      </c>
      <c r="D61" s="168">
        <f t="shared" si="2"/>
        <v>-0.13193648002735775</v>
      </c>
      <c r="E61" s="1106">
        <f t="shared" si="0"/>
        <v>-8.6721452352237743E-2</v>
      </c>
      <c r="F61" s="1107">
        <f>TableB1!H63-TableA6!H61/(1+TableA5!O61)-TableC5!N61</f>
        <v>-2.5706055061810007E-2</v>
      </c>
      <c r="G61" s="1113">
        <f>TableB1!I63+TableC5!O61</f>
        <v>-6.1015397290427743E-2</v>
      </c>
      <c r="H61" s="1114">
        <f>TableB1!F63+TableB1!J63</f>
        <v>-4.5215027675120006E-2</v>
      </c>
      <c r="I61" s="1109">
        <f>TableB1!D63/TableA1!B61</f>
        <v>-8.5494362399931134E-2</v>
      </c>
      <c r="J61" s="24">
        <f>C61/TableC5!B61</f>
        <v>-1.0607081993422378</v>
      </c>
      <c r="K61" s="1582">
        <f t="shared" si="1"/>
        <v>-0.97521383694230668</v>
      </c>
      <c r="L61" s="1605"/>
      <c r="M61" s="1583"/>
      <c r="N61" s="1627"/>
      <c r="O61" s="1583">
        <f>TableB1!C63/TableA1!B61</f>
        <v>-0.10873383591582451</v>
      </c>
      <c r="P61" s="786"/>
      <c r="Q61" s="1626">
        <f t="shared" si="4"/>
        <v>0.10873383591582451</v>
      </c>
      <c r="R61" s="958"/>
      <c r="S61" s="958"/>
      <c r="T61" s="1579"/>
      <c r="U61" s="1580"/>
      <c r="V61" s="958"/>
      <c r="W61" s="958"/>
      <c r="X61" s="958"/>
      <c r="Y61" s="958"/>
      <c r="Z61" s="958"/>
      <c r="AA61" s="958"/>
    </row>
    <row r="62" spans="1:27" s="25" customFormat="1" hidden="1" x14ac:dyDescent="0.2">
      <c r="A62" s="1080" t="s">
        <v>81</v>
      </c>
      <c r="B62" s="168">
        <f>TableC5!C62+D62</f>
        <v>4.8184992582580399</v>
      </c>
      <c r="C62" s="168">
        <f>TableB1!D64+TableC5!P62</f>
        <v>-22.94061428414005</v>
      </c>
      <c r="D62" s="168">
        <f t="shared" si="2"/>
        <v>-0.6093516060120292</v>
      </c>
      <c r="E62" s="1106">
        <f t="shared" si="0"/>
        <v>-2.2222430741120291</v>
      </c>
      <c r="F62" s="1107">
        <f>TableB1!H64-TableA6!H62/(1+TableA5!O62)-TableC5!N62</f>
        <v>-0.59493728602341278</v>
      </c>
      <c r="G62" s="1113">
        <f>TableB1!I64+TableC5!O62</f>
        <v>-1.6273057880886164</v>
      </c>
      <c r="H62" s="1114">
        <f>TableB1!F64+TableB1!J64</f>
        <v>1.6128914680999999</v>
      </c>
      <c r="I62" s="1109">
        <f>TableB1!D64/TableA1!B62</f>
        <v>-0.10412882926623535</v>
      </c>
      <c r="J62" s="24">
        <f>C62/TableC5!B62</f>
        <v>-4.0508860868673358</v>
      </c>
      <c r="K62" s="1582">
        <f t="shared" si="1"/>
        <v>-3.9467572576011003</v>
      </c>
      <c r="L62" s="1605"/>
      <c r="M62" s="1583"/>
      <c r="N62" s="1627"/>
      <c r="O62" s="1583">
        <f>TableB1!C64/TableA1!B62</f>
        <v>-2.461272739084909</v>
      </c>
      <c r="P62" s="786"/>
      <c r="Q62" s="1628">
        <f t="shared" si="4"/>
        <v>2.461272739084909</v>
      </c>
      <c r="R62" s="1115"/>
      <c r="S62" s="1115"/>
      <c r="T62" s="1579"/>
      <c r="U62" s="1580"/>
      <c r="V62" s="1115"/>
      <c r="W62" s="1115"/>
      <c r="X62" s="1115"/>
      <c r="Y62" s="1115"/>
      <c r="Z62" s="1115"/>
      <c r="AA62" s="1115"/>
    </row>
    <row r="63" spans="1:27" hidden="1" x14ac:dyDescent="0.2">
      <c r="A63" s="1080" t="s">
        <v>82</v>
      </c>
      <c r="B63" s="168">
        <f>TableC5!C63+D63</f>
        <v>0.20946544555195309</v>
      </c>
      <c r="C63" s="168" t="e">
        <f>TableB1!D65+TableC5!P63</f>
        <v>#N/A</v>
      </c>
      <c r="D63" s="168">
        <f t="shared" si="2"/>
        <v>-1.6089848517591009E-2</v>
      </c>
      <c r="E63" s="1106">
        <f t="shared" si="0"/>
        <v>-1.6089848517591009E-2</v>
      </c>
      <c r="F63" s="1107">
        <f>TableB1!H65-TableA6!H63/(1+TableA5!O63)-TableC5!N63</f>
        <v>-6.6742778242408485E-3</v>
      </c>
      <c r="G63" s="1113">
        <f>TableB1!I65+TableC5!O63</f>
        <v>-9.4155706933501618E-3</v>
      </c>
      <c r="H63" s="1114">
        <f>TableB1!F65+TableB1!J65</f>
        <v>0</v>
      </c>
      <c r="I63" s="1109" t="e">
        <f>TableB1!D65/TableA1!B63</f>
        <v>#N/A</v>
      </c>
      <c r="J63" s="24" t="e">
        <f>C63/TableC5!B63</f>
        <v>#N/A</v>
      </c>
      <c r="K63" s="1582" t="e">
        <f t="shared" si="1"/>
        <v>#N/A</v>
      </c>
      <c r="L63" s="1605"/>
      <c r="M63" s="1583"/>
      <c r="N63" s="1627"/>
      <c r="O63" s="1583" t="e">
        <f>TableB1!C65/TableA1!B63</f>
        <v>#N/A</v>
      </c>
      <c r="P63" s="786"/>
      <c r="Q63" s="1626" t="e">
        <f t="shared" si="4"/>
        <v>#N/A</v>
      </c>
      <c r="R63" s="23"/>
      <c r="S63" s="23"/>
      <c r="T63" s="1579"/>
      <c r="U63" s="1580"/>
      <c r="V63" s="23"/>
      <c r="W63" s="23"/>
      <c r="X63" s="23"/>
      <c r="Y63" s="23"/>
      <c r="Z63" s="23"/>
      <c r="AA63" s="23"/>
    </row>
    <row r="64" spans="1:27" hidden="1" x14ac:dyDescent="0.2">
      <c r="A64" s="1080" t="s">
        <v>83</v>
      </c>
      <c r="B64" s="168">
        <f>TableC5!C64+D64</f>
        <v>-1.5039196762956544</v>
      </c>
      <c r="C64" s="168" t="e">
        <f>TableB1!D66+TableC5!P64</f>
        <v>#N/A</v>
      </c>
      <c r="D64" s="168">
        <f t="shared" si="2"/>
        <v>-2.0048483586202877</v>
      </c>
      <c r="E64" s="1106">
        <f t="shared" si="0"/>
        <v>-2.0048483586202877</v>
      </c>
      <c r="F64" s="1107">
        <f>TableB1!H66-TableA6!H64/(1+TableA5!O64)-TableC5!N64</f>
        <v>-3.1288217762540427E-2</v>
      </c>
      <c r="G64" s="1113">
        <f>TableB1!I66+TableC5!O64</f>
        <v>-1.9735601408577472</v>
      </c>
      <c r="H64" s="1114">
        <f>TableB1!F66+TableB1!J66</f>
        <v>0</v>
      </c>
      <c r="I64" s="1109" t="e">
        <f>TableB1!D66/TableA1!B64</f>
        <v>#N/A</v>
      </c>
      <c r="J64" s="24" t="e">
        <f>C64/TableC5!B64</f>
        <v>#N/A</v>
      </c>
      <c r="K64" s="1582" t="e">
        <f t="shared" si="1"/>
        <v>#N/A</v>
      </c>
      <c r="L64" s="1605"/>
      <c r="M64" s="1583"/>
      <c r="N64" s="1627"/>
      <c r="O64" s="1583" t="e">
        <f>TableB1!C66/TableA1!B64</f>
        <v>#N/A</v>
      </c>
      <c r="P64" s="786"/>
      <c r="Q64" s="1626" t="e">
        <f t="shared" si="4"/>
        <v>#N/A</v>
      </c>
      <c r="R64" s="23"/>
      <c r="S64" s="23"/>
      <c r="T64" s="1579"/>
      <c r="U64" s="1580"/>
      <c r="V64" s="23"/>
      <c r="W64" s="23"/>
      <c r="X64" s="23"/>
      <c r="Y64" s="23"/>
      <c r="Z64" s="23"/>
      <c r="AA64" s="23"/>
    </row>
    <row r="65" spans="1:27" hidden="1" x14ac:dyDescent="0.2">
      <c r="A65" s="1080" t="s">
        <v>84</v>
      </c>
      <c r="B65" s="168">
        <f>TableC5!C65+D65</f>
        <v>1.1186634269120799</v>
      </c>
      <c r="C65" s="168" t="e">
        <f>TableB1!D67+TableC5!P65</f>
        <v>#N/A</v>
      </c>
      <c r="D65" s="168">
        <f t="shared" si="2"/>
        <v>-1.7830697766885339</v>
      </c>
      <c r="E65" s="1106">
        <f t="shared" si="0"/>
        <v>-1.7830697766885339</v>
      </c>
      <c r="F65" s="1107">
        <f>TableB1!H67-TableA6!H65/(1+TableA5!O65)-TableC5!N65</f>
        <v>-0.27192596738511199</v>
      </c>
      <c r="G65" s="1113">
        <f>TableB1!I67+TableC5!O65</f>
        <v>-1.511143809303422</v>
      </c>
      <c r="H65" s="1114">
        <f>TableB1!F67+TableB1!J67</f>
        <v>0</v>
      </c>
      <c r="I65" s="1109" t="e">
        <f>TableB1!D67/TableA1!B65</f>
        <v>#N/A</v>
      </c>
      <c r="J65" s="24" t="e">
        <f>C65/TableC5!B65</f>
        <v>#N/A</v>
      </c>
      <c r="K65" s="1582" t="e">
        <f t="shared" si="1"/>
        <v>#N/A</v>
      </c>
      <c r="L65" s="1605"/>
      <c r="M65" s="1583"/>
      <c r="N65" s="1627"/>
      <c r="O65" s="1583" t="e">
        <f>TableB1!C67/TableA1!B65</f>
        <v>#N/A</v>
      </c>
      <c r="P65" s="786"/>
      <c r="Q65" s="1626" t="e">
        <f t="shared" si="4"/>
        <v>#N/A</v>
      </c>
      <c r="R65" s="23"/>
      <c r="S65" s="23"/>
      <c r="T65" s="1579"/>
      <c r="U65" s="1580"/>
      <c r="V65" s="23"/>
      <c r="W65" s="23"/>
      <c r="X65" s="23"/>
      <c r="Y65" s="23"/>
      <c r="Z65" s="23"/>
      <c r="AA65" s="23"/>
    </row>
    <row r="66" spans="1:27" hidden="1" x14ac:dyDescent="0.2">
      <c r="A66" s="1080" t="s">
        <v>85</v>
      </c>
      <c r="B66" s="168">
        <f>TableC5!C66+D66</f>
        <v>2.2233226413488856</v>
      </c>
      <c r="C66" s="168">
        <f>TableB1!D68+TableC5!P66</f>
        <v>-10.759637024589763</v>
      </c>
      <c r="D66" s="168">
        <f t="shared" si="2"/>
        <v>-0.44659917276435551</v>
      </c>
      <c r="E66" s="1106">
        <f t="shared" si="0"/>
        <v>-0.47816341856491551</v>
      </c>
      <c r="F66" s="1107">
        <f>TableB1!H68-TableA6!H66/(1+TableA5!O66)-TableC5!N66</f>
        <v>0.27162685145362175</v>
      </c>
      <c r="G66" s="1113">
        <f>TableB1!I68+TableC5!O66</f>
        <v>-0.74979027001853726</v>
      </c>
      <c r="H66" s="1114">
        <f>TableB1!F68+TableB1!J68</f>
        <v>3.1564245800559998E-2</v>
      </c>
      <c r="I66" s="1109">
        <f>TableB1!D68/TableA1!B66</f>
        <v>-0.16458915270833335</v>
      </c>
      <c r="J66" s="24">
        <f>C66/TableC5!B66</f>
        <v>-3.513277014975019</v>
      </c>
      <c r="K66" s="1582">
        <f t="shared" si="1"/>
        <v>-3.3486878622666856</v>
      </c>
      <c r="L66" s="1605"/>
      <c r="M66" s="1583"/>
      <c r="N66" s="1627"/>
      <c r="O66" s="1583">
        <f>TableB1!C68/TableA1!B66</f>
        <v>0.59531685931947698</v>
      </c>
      <c r="P66" s="786"/>
      <c r="Q66" s="1626">
        <f t="shared" si="4"/>
        <v>-0.59531685931947698</v>
      </c>
      <c r="R66" s="23"/>
      <c r="S66" s="23"/>
      <c r="T66" s="1579"/>
      <c r="U66" s="1580"/>
      <c r="V66" s="23"/>
      <c r="W66" s="23"/>
      <c r="X66" s="23"/>
      <c r="Y66" s="23"/>
      <c r="Z66" s="23"/>
      <c r="AA66" s="23"/>
    </row>
    <row r="67" spans="1:27" hidden="1" x14ac:dyDescent="0.2">
      <c r="A67" s="1080" t="s">
        <v>86</v>
      </c>
      <c r="B67" s="168">
        <f>TableC5!C67+D67</f>
        <v>16.815699882855579</v>
      </c>
      <c r="C67" s="168">
        <f>TableB1!D69+TableC5!P67</f>
        <v>-3.8742004141523947</v>
      </c>
      <c r="D67" s="168">
        <f t="shared" si="2"/>
        <v>-0.1342712988988497</v>
      </c>
      <c r="E67" s="1106">
        <f t="shared" si="0"/>
        <v>0.4449134038011503</v>
      </c>
      <c r="F67" s="1107">
        <f>TableB1!H69-TableA6!H67/(1+TableA5!O67)-TableC5!N67</f>
        <v>0.73166810095830659</v>
      </c>
      <c r="G67" s="1113">
        <f>TableB1!I69+TableC5!O67</f>
        <v>-0.28675469715715629</v>
      </c>
      <c r="H67" s="1114">
        <f>TableB1!F69+TableB1!J69</f>
        <v>-0.5791847027</v>
      </c>
      <c r="I67" s="1109">
        <f>TableB1!D69/TableA1!B67</f>
        <v>3.0418036461049252E-3</v>
      </c>
      <c r="J67" s="24">
        <f>C67/TableC5!B67</f>
        <v>-0.2025265993870535</v>
      </c>
      <c r="K67" s="1582">
        <f t="shared" si="1"/>
        <v>-0.20556840303315843</v>
      </c>
      <c r="L67" s="1605"/>
      <c r="M67" s="1583"/>
      <c r="N67" s="1627"/>
      <c r="O67" s="1583">
        <f>TableB1!C69/TableA1!B67</f>
        <v>-0.1724649823162494</v>
      </c>
      <c r="P67" s="786"/>
      <c r="Q67" s="1626">
        <f t="shared" si="4"/>
        <v>0.1724649823162494</v>
      </c>
      <c r="R67" s="23"/>
      <c r="S67" s="23"/>
      <c r="T67" s="1579"/>
      <c r="U67" s="1580"/>
      <c r="V67" s="23"/>
      <c r="W67" s="23"/>
      <c r="X67" s="23"/>
      <c r="Y67" s="23"/>
      <c r="Z67" s="23"/>
      <c r="AA67" s="23"/>
    </row>
    <row r="68" spans="1:27" hidden="1" x14ac:dyDescent="0.2">
      <c r="A68" s="1080" t="s">
        <v>87</v>
      </c>
      <c r="B68" s="168">
        <f>TableC5!C68+D68</f>
        <v>2.7492515209745672</v>
      </c>
      <c r="C68" s="168" t="e">
        <f>TableB1!D70+TableC5!P68</f>
        <v>#N/A</v>
      </c>
      <c r="D68" s="168">
        <f t="shared" si="2"/>
        <v>-0.325624305173353</v>
      </c>
      <c r="E68" s="1106">
        <f t="shared" si="0"/>
        <v>-0.325624305173353</v>
      </c>
      <c r="F68" s="1107">
        <f>TableB1!H70-TableA6!H68/(1+TableA5!O68)-TableC5!N68</f>
        <v>8.2009282883710455E-3</v>
      </c>
      <c r="G68" s="1113">
        <f>TableB1!I70+TableC5!O68</f>
        <v>-0.33382523346172405</v>
      </c>
      <c r="H68" s="1114">
        <f>TableB1!F70+TableB1!J70</f>
        <v>0</v>
      </c>
      <c r="I68" s="1109" t="e">
        <f>TableB1!D70/TableA1!B68</f>
        <v>#N/A</v>
      </c>
      <c r="J68" s="24" t="e">
        <f>C68/TableC5!B68</f>
        <v>#N/A</v>
      </c>
      <c r="K68" s="1582" t="e">
        <f t="shared" si="1"/>
        <v>#N/A</v>
      </c>
      <c r="L68" s="1605"/>
      <c r="M68" s="1583"/>
      <c r="N68" s="1627"/>
      <c r="O68" s="1583" t="e">
        <f>TableB1!C70/TableA1!B68</f>
        <v>#N/A</v>
      </c>
      <c r="P68" s="786"/>
      <c r="Q68" s="1626" t="e">
        <f t="shared" si="4"/>
        <v>#N/A</v>
      </c>
      <c r="R68" s="23"/>
      <c r="S68" s="23"/>
      <c r="T68" s="1579"/>
      <c r="U68" s="1580"/>
      <c r="V68" s="23"/>
      <c r="W68" s="23"/>
      <c r="X68" s="23"/>
      <c r="Y68" s="23"/>
      <c r="Z68" s="23"/>
      <c r="AA68" s="23"/>
    </row>
    <row r="69" spans="1:27" hidden="1" x14ac:dyDescent="0.2">
      <c r="A69" s="1080" t="s">
        <v>88</v>
      </c>
      <c r="B69" s="168">
        <f>TableC5!C69+D69</f>
        <v>0.52118176838009345</v>
      </c>
      <c r="C69" s="168">
        <f>TableB1!D71+TableC5!P69</f>
        <v>-0.3412416163704784</v>
      </c>
      <c r="D69" s="168">
        <f t="shared" si="2"/>
        <v>-2.0916620666896455E-2</v>
      </c>
      <c r="E69" s="1106">
        <f t="shared" si="0"/>
        <v>-2.0916620666896455E-2</v>
      </c>
      <c r="F69" s="1107">
        <f>TableB1!H71-TableA6!H69/(1+TableA5!O69)-TableC5!N69</f>
        <v>3.9588498534234851E-3</v>
      </c>
      <c r="G69" s="1113">
        <f>TableB1!I71+TableC5!O69</f>
        <v>-2.487547052031994E-2</v>
      </c>
      <c r="H69" s="1114">
        <f>TableB1!F71+TableB1!J71</f>
        <v>0</v>
      </c>
      <c r="I69" s="1109">
        <f>TableB1!D71/TableA1!B69</f>
        <v>0</v>
      </c>
      <c r="J69" s="24">
        <f>C69/TableC5!B69</f>
        <v>-0.50716301647642126</v>
      </c>
      <c r="K69" s="1582">
        <f t="shared" si="1"/>
        <v>-0.50716301647642126</v>
      </c>
      <c r="L69" s="1605"/>
      <c r="M69" s="1583"/>
      <c r="N69" s="1627"/>
      <c r="O69" s="1583">
        <f>TableB1!C71/TableA1!B69</f>
        <v>-1.5245614879720122E-2</v>
      </c>
      <c r="P69" s="786"/>
      <c r="Q69" s="1626">
        <f t="shared" si="4"/>
        <v>1.5245614879720122E-2</v>
      </c>
      <c r="R69" s="23"/>
      <c r="S69" s="23"/>
      <c r="T69" s="1579"/>
      <c r="U69" s="1580"/>
      <c r="V69" s="23"/>
      <c r="W69" s="23"/>
      <c r="X69" s="23"/>
      <c r="Y69" s="23"/>
      <c r="Z69" s="23"/>
      <c r="AA69" s="23"/>
    </row>
    <row r="70" spans="1:27" hidden="1" x14ac:dyDescent="0.2">
      <c r="A70" s="1080" t="s">
        <v>89</v>
      </c>
      <c r="B70" s="168">
        <f>TableC5!C70+D70</f>
        <v>1.9158429848815184</v>
      </c>
      <c r="C70" s="168" t="e">
        <f>TableB1!D72+TableC5!P70</f>
        <v>#N/A</v>
      </c>
      <c r="D70" s="168">
        <f t="shared" si="2"/>
        <v>-0.27331795846364032</v>
      </c>
      <c r="E70" s="1106">
        <f t="shared" si="0"/>
        <v>-0.27331795846364032</v>
      </c>
      <c r="F70" s="1107">
        <f>TableB1!H72-TableA6!H70/(1+TableA5!O70)-TableC5!N70</f>
        <v>-0.1630010323166744</v>
      </c>
      <c r="G70" s="1113">
        <f>TableB1!I72+TableC5!O70</f>
        <v>-0.11031692614696591</v>
      </c>
      <c r="H70" s="1114">
        <f>TableB1!F72+TableB1!J72</f>
        <v>0</v>
      </c>
      <c r="I70" s="1109" t="e">
        <f>TableB1!D72/TableA1!B70</f>
        <v>#N/A</v>
      </c>
      <c r="J70" s="24" t="e">
        <f>C70/TableC5!B70</f>
        <v>#N/A</v>
      </c>
      <c r="K70" s="1582" t="e">
        <f t="shared" si="1"/>
        <v>#N/A</v>
      </c>
      <c r="L70" s="1605"/>
      <c r="M70" s="1583"/>
      <c r="N70" s="1627"/>
      <c r="O70" s="1583" t="e">
        <f>TableB1!C72/TableA1!B70</f>
        <v>#N/A</v>
      </c>
      <c r="P70" s="786"/>
      <c r="Q70" s="1626" t="e">
        <f t="shared" si="4"/>
        <v>#N/A</v>
      </c>
      <c r="R70" s="23"/>
      <c r="S70" s="23"/>
      <c r="T70" s="1579"/>
      <c r="U70" s="1580"/>
      <c r="V70" s="23"/>
      <c r="W70" s="23"/>
      <c r="X70" s="23"/>
      <c r="Y70" s="23"/>
      <c r="Z70" s="23"/>
      <c r="AA70" s="23"/>
    </row>
    <row r="71" spans="1:27" hidden="1" x14ac:dyDescent="0.2">
      <c r="A71" s="1080" t="s">
        <v>90</v>
      </c>
      <c r="B71" s="168">
        <f>TableC5!C71+D71</f>
        <v>1.2892953772770199</v>
      </c>
      <c r="C71" s="168" t="e">
        <f>TableB1!D73+TableC5!P71</f>
        <v>#N/A</v>
      </c>
      <c r="D71" s="168">
        <f t="shared" si="2"/>
        <v>-0.10774357890799104</v>
      </c>
      <c r="E71" s="1106">
        <f t="shared" si="0"/>
        <v>-0.10774357890799104</v>
      </c>
      <c r="F71" s="1107">
        <f>TableB1!H73-TableA6!H71/(1+TableA5!O71)-TableC5!N71</f>
        <v>-4.8687741359959791E-2</v>
      </c>
      <c r="G71" s="1113">
        <f>TableB1!I73+TableC5!O71</f>
        <v>-5.9055837548031245E-2</v>
      </c>
      <c r="H71" s="1114">
        <f>TableB1!F73+TableB1!J73</f>
        <v>0</v>
      </c>
      <c r="I71" s="1109" t="e">
        <f>TableB1!D73/TableA1!B71</f>
        <v>#N/A</v>
      </c>
      <c r="J71" s="24" t="e">
        <f>C71/TableC5!B71</f>
        <v>#N/A</v>
      </c>
      <c r="K71" s="1582" t="e">
        <f t="shared" si="1"/>
        <v>#N/A</v>
      </c>
      <c r="L71" s="1605"/>
      <c r="M71" s="1583"/>
      <c r="N71" s="1627"/>
      <c r="O71" s="1583" t="e">
        <f>TableB1!C73/TableA1!B71</f>
        <v>#N/A</v>
      </c>
      <c r="P71" s="786"/>
      <c r="Q71" s="1626" t="e">
        <f t="shared" si="4"/>
        <v>#N/A</v>
      </c>
      <c r="R71" s="958"/>
      <c r="S71" s="958"/>
      <c r="T71" s="1579"/>
      <c r="U71" s="1580"/>
      <c r="V71" s="958"/>
      <c r="W71" s="958"/>
      <c r="X71" s="958"/>
      <c r="Y71" s="958"/>
      <c r="Z71" s="958"/>
      <c r="AA71" s="958"/>
    </row>
    <row r="72" spans="1:27" hidden="1" x14ac:dyDescent="0.2">
      <c r="A72" s="1080" t="s">
        <v>91</v>
      </c>
      <c r="B72" s="168">
        <f>TableC5!C72+D72</f>
        <v>270.29711755546992</v>
      </c>
      <c r="C72" s="168" t="e">
        <f>TableB1!D74+TableC5!P72</f>
        <v>#N/A</v>
      </c>
      <c r="D72" s="168">
        <f t="shared" si="2"/>
        <v>16.747886128886112</v>
      </c>
      <c r="E72" s="1106">
        <f t="shared" si="0"/>
        <v>-3.8059028711138887</v>
      </c>
      <c r="F72" s="1107">
        <f>TableB1!H74-TableA6!H72/(1+TableA5!O72)-TableC5!N72</f>
        <v>-1.1536961639114622</v>
      </c>
      <c r="G72" s="1113">
        <f>TableB1!I74+TableC5!O72</f>
        <v>-2.6522067072024265</v>
      </c>
      <c r="H72" s="1114">
        <f>TableB1!F74+TableB1!J74</f>
        <v>20.553789000000002</v>
      </c>
      <c r="I72" s="1109" t="e">
        <f>TableB1!D74/TableA1!B72</f>
        <v>#N/A</v>
      </c>
      <c r="J72" s="24" t="e">
        <f>C72/TableC5!B72</f>
        <v>#N/A</v>
      </c>
      <c r="K72" s="1582" t="e">
        <f t="shared" si="1"/>
        <v>#N/A</v>
      </c>
      <c r="L72" s="1605"/>
      <c r="M72" s="1583"/>
      <c r="N72" s="1627"/>
      <c r="O72" s="1583" t="e">
        <f>TableB1!C74/TableA1!B72</f>
        <v>#N/A</v>
      </c>
      <c r="P72" s="786"/>
      <c r="Q72" s="1626" t="e">
        <f t="shared" si="4"/>
        <v>#N/A</v>
      </c>
      <c r="R72" s="958"/>
      <c r="S72" s="958"/>
      <c r="T72" s="1579"/>
      <c r="U72" s="1580"/>
      <c r="V72" s="958"/>
      <c r="W72" s="958"/>
      <c r="X72" s="958"/>
      <c r="Y72" s="958"/>
      <c r="Z72" s="958"/>
      <c r="AA72" s="958"/>
    </row>
    <row r="73" spans="1:27" hidden="1" x14ac:dyDescent="0.2">
      <c r="A73" s="1080" t="s">
        <v>92</v>
      </c>
      <c r="B73" s="168">
        <f>TableC5!C73+D73</f>
        <v>3.3368940965888889</v>
      </c>
      <c r="C73" s="168" t="e">
        <f>TableB1!D75+TableC5!P73</f>
        <v>#N/A</v>
      </c>
      <c r="D73" s="168">
        <f t="shared" si="2"/>
        <v>-0.44367720749957062</v>
      </c>
      <c r="E73" s="1106">
        <f t="shared" si="0"/>
        <v>-0.44367720749957062</v>
      </c>
      <c r="F73" s="1107">
        <f>TableB1!H75-TableA6!H73/(1+TableA5!O73)-TableC5!N73</f>
        <v>-0.23613607982594242</v>
      </c>
      <c r="G73" s="1113">
        <f>TableB1!I75+TableC5!O73</f>
        <v>-0.20754112767362817</v>
      </c>
      <c r="H73" s="1114">
        <f>TableB1!F75+TableB1!J75</f>
        <v>0</v>
      </c>
      <c r="I73" s="1109" t="e">
        <f>TableB1!D75/TableA1!B73</f>
        <v>#N/A</v>
      </c>
      <c r="J73" s="24" t="e">
        <f>C73/TableC5!B73</f>
        <v>#N/A</v>
      </c>
      <c r="K73" s="1582" t="e">
        <f t="shared" si="1"/>
        <v>#N/A</v>
      </c>
      <c r="L73" s="1605"/>
      <c r="M73" s="1583"/>
      <c r="N73" s="1627"/>
      <c r="O73" s="1583" t="e">
        <f>TableB1!C75/TableA1!B73</f>
        <v>#N/A</v>
      </c>
      <c r="P73" s="786"/>
      <c r="Q73" s="1626" t="e">
        <f t="shared" si="4"/>
        <v>#N/A</v>
      </c>
      <c r="R73" s="958"/>
      <c r="S73" s="958"/>
      <c r="T73" s="1579"/>
      <c r="U73" s="1580"/>
      <c r="V73" s="958"/>
      <c r="W73" s="958"/>
      <c r="X73" s="958"/>
      <c r="Y73" s="958"/>
      <c r="Z73" s="958"/>
      <c r="AA73" s="958"/>
    </row>
    <row r="74" spans="1:27" hidden="1" x14ac:dyDescent="0.2">
      <c r="A74" s="1094" t="s">
        <v>93</v>
      </c>
      <c r="B74" s="168">
        <f>TableC5!C74+D74</f>
        <v>32.635409338470282</v>
      </c>
      <c r="C74" s="168">
        <f>TableB1!D76+TableC5!P74</f>
        <v>-18.288497872714458</v>
      </c>
      <c r="D74" s="168">
        <f t="shared" si="2"/>
        <v>-3.5317426177989</v>
      </c>
      <c r="E74" s="1106">
        <f t="shared" ref="E74:E91" si="8">F74+G74</f>
        <v>-2.9438761984988999</v>
      </c>
      <c r="F74" s="1107">
        <f>TableB1!H76-TableA6!H74/(1+TableA5!O74)-TableC5!N74</f>
        <v>-2.4053116440250317</v>
      </c>
      <c r="G74" s="1113">
        <f>TableB1!I76+TableC5!O74</f>
        <v>-0.53856455447386808</v>
      </c>
      <c r="H74" s="1114">
        <f>TableB1!F76+TableB1!J76</f>
        <v>-0.58786641929999994</v>
      </c>
      <c r="I74" s="1121">
        <f>TableB1!D76/TableA1!B74</f>
        <v>-0.22039275170898093</v>
      </c>
      <c r="J74" s="138">
        <f>C74/TableC5!B74</f>
        <v>-0.4340510754483381</v>
      </c>
      <c r="K74" s="1582">
        <f t="shared" ref="K74:K91" si="9">J74-I74</f>
        <v>-0.21365832373935717</v>
      </c>
      <c r="L74" s="1605"/>
      <c r="M74" s="1583"/>
      <c r="N74" s="1627"/>
      <c r="O74" s="1583">
        <f>TableB1!C76/TableA1!B74</f>
        <v>-0.16278760096079001</v>
      </c>
      <c r="P74" s="786"/>
      <c r="Q74" s="1626">
        <f t="shared" si="4"/>
        <v>0.16278760096079001</v>
      </c>
      <c r="R74" s="958"/>
      <c r="S74" s="958"/>
      <c r="T74" s="1579"/>
      <c r="U74" s="1580"/>
      <c r="V74" s="958"/>
      <c r="W74" s="958"/>
      <c r="X74" s="958"/>
      <c r="Y74" s="958"/>
      <c r="Z74" s="958"/>
      <c r="AA74" s="958"/>
    </row>
    <row r="75" spans="1:27" s="25" customFormat="1" hidden="1" x14ac:dyDescent="0.2">
      <c r="A75" s="1080" t="s">
        <v>94</v>
      </c>
      <c r="B75" s="168">
        <f>TableC5!C75+D75</f>
        <v>4.9758780699675507</v>
      </c>
      <c r="C75" s="168" t="e">
        <f>TableB1!D77+TableC5!P75</f>
        <v>#N/A</v>
      </c>
      <c r="D75" s="168">
        <f t="shared" ref="D75:D91" si="10">E75+H75</f>
        <v>-0.53776485205195546</v>
      </c>
      <c r="E75" s="1106">
        <f t="shared" si="8"/>
        <v>-0.53776485205195546</v>
      </c>
      <c r="F75" s="1107">
        <f>TableB1!H77-TableA6!H75/(1+TableA5!O75)-TableC5!N75</f>
        <v>-0.53885036980717338</v>
      </c>
      <c r="G75" s="1113">
        <f>TableB1!I77+TableC5!O75</f>
        <v>1.0855177552179078E-3</v>
      </c>
      <c r="H75" s="1114">
        <f>TableB1!F77+TableB1!J77</f>
        <v>0</v>
      </c>
      <c r="I75" s="1109" t="e">
        <f>TableB1!D77/TableA1!B75</f>
        <v>#N/A</v>
      </c>
      <c r="J75" s="24" t="e">
        <f>C75/TableC5!B75</f>
        <v>#N/A</v>
      </c>
      <c r="K75" s="1582" t="e">
        <f t="shared" si="9"/>
        <v>#N/A</v>
      </c>
      <c r="L75" s="1605"/>
      <c r="M75" s="1583"/>
      <c r="N75" s="1627"/>
      <c r="O75" s="1583" t="e">
        <f>TableB1!C77/TableA1!B75</f>
        <v>#N/A</v>
      </c>
      <c r="P75" s="786"/>
      <c r="Q75" s="1628" t="e">
        <f t="shared" ref="Q75:Q91" si="11">P75-O75</f>
        <v>#N/A</v>
      </c>
      <c r="R75" s="1115"/>
      <c r="S75" s="1115"/>
      <c r="T75" s="1579"/>
      <c r="U75" s="1580"/>
      <c r="V75" s="1115"/>
      <c r="W75" s="1115"/>
      <c r="X75" s="1115"/>
      <c r="Y75" s="1115"/>
      <c r="Z75" s="1115"/>
      <c r="AA75" s="1115"/>
    </row>
    <row r="76" spans="1:27" hidden="1" x14ac:dyDescent="0.2">
      <c r="A76" s="1080" t="s">
        <v>95</v>
      </c>
      <c r="B76" s="168">
        <f>TableC5!C76+D76</f>
        <v>34.096677770510141</v>
      </c>
      <c r="C76" s="168" t="e">
        <f>TableB1!D78+TableC5!P76</f>
        <v>#N/A</v>
      </c>
      <c r="D76" s="168">
        <f t="shared" si="10"/>
        <v>0.74638444090869727</v>
      </c>
      <c r="E76" s="1106">
        <f t="shared" si="8"/>
        <v>-1.8816343729913025</v>
      </c>
      <c r="F76" s="1107">
        <f>TableB1!H78-TableA6!H76/(1+TableA5!O76)-TableC5!N76</f>
        <v>-1.2696385352906212</v>
      </c>
      <c r="G76" s="1113">
        <f>TableB1!I78+TableC5!O76</f>
        <v>-0.61199583770068133</v>
      </c>
      <c r="H76" s="1114">
        <f>TableB1!F78+TableB1!J78</f>
        <v>2.6280188138999998</v>
      </c>
      <c r="I76" s="1109" t="e">
        <f>TableB1!D78/TableA1!B76</f>
        <v>#N/A</v>
      </c>
      <c r="J76" s="24" t="e">
        <f>C76/TableC5!B76</f>
        <v>#N/A</v>
      </c>
      <c r="K76" s="1582" t="e">
        <f t="shared" si="9"/>
        <v>#N/A</v>
      </c>
      <c r="L76" s="1605"/>
      <c r="M76" s="1583"/>
      <c r="N76" s="1627"/>
      <c r="O76" s="1583" t="e">
        <f>TableB1!C78/TableA1!B76</f>
        <v>#N/A</v>
      </c>
      <c r="P76" s="786"/>
      <c r="Q76" s="1626" t="e">
        <f t="shared" si="11"/>
        <v>#N/A</v>
      </c>
      <c r="R76" s="958"/>
      <c r="S76" s="958"/>
      <c r="T76" s="1579"/>
      <c r="U76" s="1580"/>
      <c r="V76" s="958"/>
      <c r="W76" s="958"/>
      <c r="X76" s="958"/>
      <c r="Y76" s="958"/>
      <c r="Z76" s="958"/>
      <c r="AA76" s="958"/>
    </row>
    <row r="77" spans="1:27" hidden="1" x14ac:dyDescent="0.2">
      <c r="A77" s="1080" t="s">
        <v>96</v>
      </c>
      <c r="B77" s="168">
        <f>TableC5!C77+D77</f>
        <v>9.3451419439983709</v>
      </c>
      <c r="C77" s="168">
        <f>TableB1!D79+TableC5!P77</f>
        <v>-10.668194702962433</v>
      </c>
      <c r="D77" s="168">
        <f t="shared" si="10"/>
        <v>1.6921435566360286</v>
      </c>
      <c r="E77" s="1106">
        <f t="shared" si="8"/>
        <v>-7.812768169063971</v>
      </c>
      <c r="F77" s="1107">
        <f>TableB1!H79-TableA6!H77/(1+TableA5!O77)-TableC5!N77</f>
        <v>-6.9751930957633146</v>
      </c>
      <c r="G77" s="1113">
        <f>TableB1!I79+TableC5!O77</f>
        <v>-0.8375750733006565</v>
      </c>
      <c r="H77" s="1114">
        <f>TableB1!F79+TableB1!J79</f>
        <v>9.5049117256999995</v>
      </c>
      <c r="I77" s="1109">
        <f>TableB1!D79/TableA1!B77</f>
        <v>8.4302967009628083E-2</v>
      </c>
      <c r="J77" s="24">
        <f>C77/TableC5!B77</f>
        <v>-1.2120857443233592</v>
      </c>
      <c r="K77" s="1582">
        <f t="shared" si="9"/>
        <v>-1.2963887113329873</v>
      </c>
      <c r="L77" s="1605"/>
      <c r="M77" s="1583"/>
      <c r="N77" s="1627"/>
      <c r="O77" s="1583">
        <f>TableB1!C79/TableA1!B77</f>
        <v>0.13418341650219937</v>
      </c>
      <c r="P77" s="786"/>
      <c r="Q77" s="1626">
        <f t="shared" si="11"/>
        <v>-0.13418341650219937</v>
      </c>
      <c r="R77" s="958"/>
      <c r="S77" s="958"/>
      <c r="T77" s="1579"/>
      <c r="U77" s="1580"/>
      <c r="V77" s="958"/>
      <c r="W77" s="958"/>
      <c r="X77" s="958"/>
      <c r="Y77" s="958"/>
      <c r="Z77" s="958"/>
      <c r="AA77" s="958"/>
    </row>
    <row r="78" spans="1:27" hidden="1" x14ac:dyDescent="0.2">
      <c r="A78" s="1080" t="s">
        <v>97</v>
      </c>
      <c r="B78" s="168">
        <f>TableC5!C78+D78</f>
        <v>0.14600492337687981</v>
      </c>
      <c r="C78" s="168" t="e">
        <f>TableB1!D80+TableC5!P78</f>
        <v>#N/A</v>
      </c>
      <c r="D78" s="168">
        <f t="shared" si="10"/>
        <v>-1.5638089888506047E-2</v>
      </c>
      <c r="E78" s="1106">
        <f t="shared" si="8"/>
        <v>-1.5638089888506047E-2</v>
      </c>
      <c r="F78" s="1107">
        <f>TableB1!H80-TableA6!H78/(1+TableA5!O78)-TableC5!N78</f>
        <v>-1.6028106997686163E-2</v>
      </c>
      <c r="G78" s="1113">
        <f>TableB1!I80+TableC5!O78</f>
        <v>3.9001710918011513E-4</v>
      </c>
      <c r="H78" s="1114">
        <f>TableB1!F80+TableB1!J80</f>
        <v>0</v>
      </c>
      <c r="I78" s="1109" t="e">
        <f>TableB1!D80/TableA1!B78</f>
        <v>#N/A</v>
      </c>
      <c r="J78" s="24" t="e">
        <f>C78/TableC5!B78</f>
        <v>#N/A</v>
      </c>
      <c r="K78" s="1582" t="e">
        <f t="shared" si="9"/>
        <v>#N/A</v>
      </c>
      <c r="L78" s="1605"/>
      <c r="M78" s="1583"/>
      <c r="N78" s="1627"/>
      <c r="O78" s="1583" t="e">
        <f>TableB1!C80/TableA1!B78</f>
        <v>#N/A</v>
      </c>
      <c r="P78" s="786"/>
      <c r="Q78" s="1626" t="e">
        <f t="shared" si="11"/>
        <v>#N/A</v>
      </c>
      <c r="R78" s="958"/>
      <c r="S78" s="958"/>
      <c r="T78" s="1579"/>
      <c r="U78" s="1580"/>
      <c r="V78" s="958"/>
      <c r="W78" s="958"/>
      <c r="X78" s="958"/>
      <c r="Y78" s="958"/>
      <c r="Z78" s="958"/>
      <c r="AA78" s="958"/>
    </row>
    <row r="79" spans="1:27" hidden="1" x14ac:dyDescent="0.2">
      <c r="A79" s="1080" t="s">
        <v>98</v>
      </c>
      <c r="B79" s="168">
        <f>TableC5!C79+D79</f>
        <v>2.9643675394636539</v>
      </c>
      <c r="C79" s="168" t="e">
        <f>TableB1!D81+TableC5!P79</f>
        <v>#N/A</v>
      </c>
      <c r="D79" s="168">
        <f t="shared" si="10"/>
        <v>-0.23044716821312788</v>
      </c>
      <c r="E79" s="1106">
        <f t="shared" si="8"/>
        <v>-0.23044716821312788</v>
      </c>
      <c r="F79" s="1107">
        <f>TableB1!H81-TableA6!H79/(1+TableA5!O79)-TableC5!N79</f>
        <v>-9.5394480745994992E-2</v>
      </c>
      <c r="G79" s="1113">
        <f>TableB1!I81+TableC5!O79</f>
        <v>-0.13505268746713289</v>
      </c>
      <c r="H79" s="1114">
        <f>TableB1!F81+TableB1!J81</f>
        <v>0</v>
      </c>
      <c r="I79" s="1109" t="e">
        <f>TableB1!D81/TableA1!B79</f>
        <v>#N/A</v>
      </c>
      <c r="J79" s="24" t="e">
        <f>C79/TableC5!B79</f>
        <v>#N/A</v>
      </c>
      <c r="K79" s="1582" t="e">
        <f t="shared" si="9"/>
        <v>#N/A</v>
      </c>
      <c r="L79" s="1605"/>
      <c r="M79" s="1583"/>
      <c r="N79" s="1627"/>
      <c r="O79" s="1583" t="e">
        <f>TableB1!C81/TableA1!B79</f>
        <v>#N/A</v>
      </c>
      <c r="P79" s="786"/>
      <c r="Q79" s="1626" t="e">
        <f t="shared" si="11"/>
        <v>#N/A</v>
      </c>
      <c r="R79" s="958"/>
      <c r="S79" s="958"/>
      <c r="T79" s="1579"/>
      <c r="U79" s="1580"/>
      <c r="V79" s="958"/>
      <c r="W79" s="958"/>
      <c r="X79" s="958"/>
      <c r="Y79" s="958"/>
      <c r="Z79" s="958"/>
      <c r="AA79" s="958"/>
    </row>
    <row r="80" spans="1:27" hidden="1" x14ac:dyDescent="0.2">
      <c r="A80" s="1080" t="s">
        <v>99</v>
      </c>
      <c r="B80" s="168">
        <f>TableC5!C80+D80</f>
        <v>0.3974886636831621</v>
      </c>
      <c r="C80" s="168">
        <f>TableB1!D82+TableC5!P80</f>
        <v>-0.17776312962201463</v>
      </c>
      <c r="D80" s="168">
        <f t="shared" si="10"/>
        <v>-4.4831979967603172E-2</v>
      </c>
      <c r="E80" s="1106">
        <f t="shared" si="8"/>
        <v>-3.197726316760318E-2</v>
      </c>
      <c r="F80" s="1107">
        <f>TableB1!H82-TableA6!H80/(1+TableA5!O80)-TableC5!N80</f>
        <v>-1.3009560069785375E-2</v>
      </c>
      <c r="G80" s="1113">
        <f>TableB1!I82+TableC5!O80</f>
        <v>-1.8967703097817805E-2</v>
      </c>
      <c r="H80" s="1114">
        <f>TableB1!F82+TableB1!J82</f>
        <v>-1.2854716799999995E-2</v>
      </c>
      <c r="I80" s="1109">
        <f>TableB1!D82/TableA1!B80</f>
        <v>0.10373191669812509</v>
      </c>
      <c r="J80" s="24">
        <f>C80/TableC5!B80</f>
        <v>-0.33029110600828904</v>
      </c>
      <c r="K80" s="1582">
        <f t="shared" si="9"/>
        <v>-0.43402302270641413</v>
      </c>
      <c r="L80" s="1605"/>
      <c r="M80" s="1583"/>
      <c r="N80" s="1627"/>
      <c r="O80" s="1583">
        <f>TableB1!C82/TableA1!B80</f>
        <v>1.417636038756764E-2</v>
      </c>
      <c r="P80" s="786"/>
      <c r="Q80" s="1626">
        <f t="shared" si="11"/>
        <v>-1.417636038756764E-2</v>
      </c>
      <c r="R80" s="958"/>
      <c r="S80" s="958"/>
      <c r="T80" s="1579"/>
      <c r="U80" s="1580"/>
      <c r="V80" s="958"/>
      <c r="W80" s="958"/>
      <c r="X80" s="958"/>
      <c r="Y80" s="958"/>
      <c r="Z80" s="958"/>
      <c r="AA80" s="958"/>
    </row>
    <row r="81" spans="1:21" hidden="1" x14ac:dyDescent="0.2">
      <c r="A81" s="1080" t="s">
        <v>100</v>
      </c>
      <c r="B81" s="168">
        <f>TableC5!C81+D81</f>
        <v>5.0724588540761033</v>
      </c>
      <c r="C81" s="168">
        <f>TableB1!D83+TableC5!P81</f>
        <v>-8.0364041802208224</v>
      </c>
      <c r="D81" s="168">
        <f t="shared" si="10"/>
        <v>0.98437325501648809</v>
      </c>
      <c r="E81" s="1106">
        <f t="shared" si="8"/>
        <v>-0.23294006129325223</v>
      </c>
      <c r="F81" s="1107">
        <f>TableB1!H83-TableA6!H81/(1+TableA5!O81)-TableC5!N81</f>
        <v>0.26100336376277244</v>
      </c>
      <c r="G81" s="1113">
        <f>TableB1!I83+TableC5!O81</f>
        <v>-0.49394342505602468</v>
      </c>
      <c r="H81" s="1114">
        <f>TableB1!F83+TableB1!J83</f>
        <v>1.2173133163097403</v>
      </c>
      <c r="I81" s="1109">
        <f>TableB1!D83/TableA1!B81</f>
        <v>-0.10780513904022307</v>
      </c>
      <c r="J81" s="24">
        <f>C81/TableC5!B81</f>
        <v>-1.4614912165975147</v>
      </c>
      <c r="K81" s="1582">
        <f t="shared" si="9"/>
        <v>-1.3536860775572916</v>
      </c>
      <c r="L81" s="1605"/>
      <c r="M81" s="1583"/>
      <c r="N81" s="1627"/>
      <c r="O81" s="1583">
        <f>TableB1!C83/TableA1!B81</f>
        <v>-5.0248146719658181E-2</v>
      </c>
      <c r="P81" s="786"/>
      <c r="Q81" s="1626">
        <f t="shared" si="11"/>
        <v>5.0248146719658181E-2</v>
      </c>
      <c r="R81" s="958"/>
      <c r="S81" s="958"/>
      <c r="T81" s="1579"/>
      <c r="U81" s="1580"/>
    </row>
    <row r="82" spans="1:21" hidden="1" x14ac:dyDescent="0.2">
      <c r="A82" s="1080" t="s">
        <v>101</v>
      </c>
      <c r="B82" s="168">
        <f>TableC5!C82+D82</f>
        <v>0.46446018780397402</v>
      </c>
      <c r="C82" s="168">
        <f>TableB1!D84+TableC5!P82</f>
        <v>-0.86075226018287154</v>
      </c>
      <c r="D82" s="168">
        <f t="shared" si="10"/>
        <v>-7.2975484911117466E-2</v>
      </c>
      <c r="E82" s="1106">
        <f t="shared" si="8"/>
        <v>-3.4283798711117468E-2</v>
      </c>
      <c r="F82" s="1107">
        <f>TableB1!H84-TableA6!H82/(1+TableA5!O82)-TableC5!N82</f>
        <v>1.9437910103634271E-2</v>
      </c>
      <c r="G82" s="1113">
        <f>TableB1!I84+TableC5!O82</f>
        <v>-5.3721708814751738E-2</v>
      </c>
      <c r="H82" s="1114">
        <f>TableB1!F84+TableB1!J84</f>
        <v>-3.8691686200000006E-2</v>
      </c>
      <c r="I82" s="1109">
        <f>TableB1!D84/TableA1!B82</f>
        <v>-8.6107203906184787E-2</v>
      </c>
      <c r="J82" s="24">
        <f>C82/TableC5!B82</f>
        <v>-1.2107981707234909</v>
      </c>
      <c r="K82" s="1582">
        <f t="shared" si="9"/>
        <v>-1.1246909668173062</v>
      </c>
      <c r="L82" s="1605"/>
      <c r="M82" s="1583"/>
      <c r="N82" s="1627"/>
      <c r="O82" s="1583">
        <f>TableB1!C84/TableA1!B82</f>
        <v>-0.17917942894304872</v>
      </c>
      <c r="P82" s="786"/>
      <c r="Q82" s="1626">
        <f t="shared" si="11"/>
        <v>0.17917942894304872</v>
      </c>
      <c r="R82" s="958"/>
      <c r="S82" s="958"/>
      <c r="T82" s="1579"/>
      <c r="U82" s="1580"/>
    </row>
    <row r="83" spans="1:21" hidden="1" x14ac:dyDescent="0.2">
      <c r="A83" s="1080" t="s">
        <v>102</v>
      </c>
      <c r="B83" s="168">
        <f>TableC5!C83+D83</f>
        <v>246.67847390645639</v>
      </c>
      <c r="C83" s="168">
        <f>TableB1!D85+TableC5!P83</f>
        <v>11.309740758994408</v>
      </c>
      <c r="D83" s="168">
        <f t="shared" si="10"/>
        <v>21.4832030397579</v>
      </c>
      <c r="E83" s="1106">
        <f t="shared" si="8"/>
        <v>-11.456805507112474</v>
      </c>
      <c r="F83" s="1107">
        <f>TableB1!H85-TableA6!H83/(1+TableA5!O83)-TableC5!N83</f>
        <v>-6.6724401966670115</v>
      </c>
      <c r="G83" s="1113">
        <f>TableB1!I85+TableC5!O83</f>
        <v>-4.7843653104454615</v>
      </c>
      <c r="H83" s="1114">
        <f>TableB1!F85+TableB1!J85</f>
        <v>32.940008546870374</v>
      </c>
      <c r="I83" s="1109">
        <f>TableB1!D85/TableA1!B83</f>
        <v>0.25210732215100407</v>
      </c>
      <c r="J83" s="24">
        <f>C83/TableC5!B83</f>
        <v>3.8822938406804938E-2</v>
      </c>
      <c r="K83" s="1582">
        <f t="shared" si="9"/>
        <v>-0.21328438374419911</v>
      </c>
      <c r="L83" s="1605"/>
      <c r="M83" s="1583"/>
      <c r="N83" s="1627"/>
      <c r="O83" s="1583">
        <f>TableB1!C85/TableA1!B83</f>
        <v>0.17780933689558032</v>
      </c>
      <c r="P83" s="786"/>
      <c r="Q83" s="1626">
        <f t="shared" si="11"/>
        <v>-0.17780933689558032</v>
      </c>
      <c r="R83" s="958"/>
      <c r="S83" s="958"/>
      <c r="T83" s="1579"/>
      <c r="U83" s="1580"/>
    </row>
    <row r="84" spans="1:21" hidden="1" x14ac:dyDescent="0.2">
      <c r="A84" s="1080" t="s">
        <v>103</v>
      </c>
      <c r="B84" s="168">
        <f>TableC5!C84+D84</f>
        <v>0.34880484783717763</v>
      </c>
      <c r="C84" s="168">
        <f>TableB1!D86+TableC5!P84</f>
        <v>-0.40760319917931404</v>
      </c>
      <c r="D84" s="168">
        <f t="shared" si="10"/>
        <v>-2.2370154114768802E-2</v>
      </c>
      <c r="E84" s="1106">
        <f t="shared" si="8"/>
        <v>-2.2370154114768802E-2</v>
      </c>
      <c r="F84" s="1107">
        <f>TableB1!H86-TableA6!H84/(1+TableA5!O84)-TableC5!N84</f>
        <v>7.3428728982233293E-3</v>
      </c>
      <c r="G84" s="1113">
        <f>TableB1!I86+TableC5!O84</f>
        <v>-2.9713027012992131E-2</v>
      </c>
      <c r="H84" s="1114">
        <f>TableB1!F86+TableB1!J86</f>
        <v>0</v>
      </c>
      <c r="I84" s="1109">
        <f>TableB1!D86/TableA1!B84</f>
        <v>0</v>
      </c>
      <c r="J84" s="24">
        <f>C84/TableC5!B84</f>
        <v>-0.85426346854543245</v>
      </c>
      <c r="K84" s="1582">
        <f t="shared" si="9"/>
        <v>-0.85426346854543245</v>
      </c>
      <c r="L84" s="1605"/>
      <c r="M84" s="1583"/>
      <c r="N84" s="1627"/>
      <c r="O84" s="1583">
        <f>TableB1!C86/TableA1!B84</f>
        <v>-3.4157594030163435E-4</v>
      </c>
      <c r="P84" s="786"/>
      <c r="Q84" s="1626">
        <f t="shared" si="11"/>
        <v>3.4157594030163435E-4</v>
      </c>
      <c r="R84" s="958"/>
      <c r="S84" s="958"/>
      <c r="T84" s="1579"/>
      <c r="U84" s="1580"/>
    </row>
    <row r="85" spans="1:21" hidden="1" x14ac:dyDescent="0.2">
      <c r="A85" s="1080" t="s">
        <v>104</v>
      </c>
      <c r="B85" s="168">
        <f>TableC5!C85+D85</f>
        <v>0.62518639855736424</v>
      </c>
      <c r="C85" s="168">
        <f>TableB1!D87+TableC5!P85</f>
        <v>-0.86359251435578011</v>
      </c>
      <c r="D85" s="168">
        <f t="shared" si="10"/>
        <v>-3.972764882432761E-2</v>
      </c>
      <c r="E85" s="1106">
        <f t="shared" si="8"/>
        <v>-3.972764882432761E-2</v>
      </c>
      <c r="F85" s="1107">
        <f>TableB1!H87-TableA6!H85/(1+TableA5!O85)-TableC5!N85</f>
        <v>2.3225605122000448E-2</v>
      </c>
      <c r="G85" s="1113">
        <f>TableB1!I87+TableC5!O85</f>
        <v>-6.2953253946328058E-2</v>
      </c>
      <c r="H85" s="1114">
        <f>TableB1!F87+TableB1!J87</f>
        <v>0</v>
      </c>
      <c r="I85" s="1109">
        <f>TableB1!D87/TableA1!B85</f>
        <v>0</v>
      </c>
      <c r="J85" s="24">
        <f>C85/TableC5!B85</f>
        <v>-0.99966411518495313</v>
      </c>
      <c r="K85" s="1582">
        <f t="shared" si="9"/>
        <v>-0.99966411518495313</v>
      </c>
      <c r="L85" s="1605"/>
      <c r="M85" s="1583"/>
      <c r="N85" s="1627"/>
      <c r="O85" s="1583">
        <f>TableB1!C87/TableA1!B85</f>
        <v>-4.2082539990540527E-2</v>
      </c>
      <c r="P85" s="786"/>
      <c r="Q85" s="1626">
        <f t="shared" si="11"/>
        <v>4.2082539990540527E-2</v>
      </c>
      <c r="R85" s="958"/>
      <c r="S85" s="958"/>
      <c r="T85" s="1579"/>
      <c r="U85" s="1580"/>
    </row>
    <row r="86" spans="1:21" hidden="1" x14ac:dyDescent="0.2">
      <c r="A86" s="1080" t="s">
        <v>105</v>
      </c>
      <c r="B86" s="168">
        <f>TableC5!C86+D86</f>
        <v>0.31258049726862813</v>
      </c>
      <c r="C86" s="168">
        <f>TableB1!D88+TableC5!P86</f>
        <v>-0.34874426232425215</v>
      </c>
      <c r="D86" s="168">
        <f t="shared" si="10"/>
        <v>-2.107891479290212E-2</v>
      </c>
      <c r="E86" s="1106">
        <f t="shared" si="8"/>
        <v>-2.107891479290212E-2</v>
      </c>
      <c r="F86" s="1107">
        <f>TableB1!H88-TableA6!H86/(1+TableA5!O86)-TableC5!N86</f>
        <v>4.3434756788368611E-3</v>
      </c>
      <c r="G86" s="1113">
        <f>TableB1!I88+TableC5!O86</f>
        <v>-2.5422390471738981E-2</v>
      </c>
      <c r="H86" s="1114">
        <f>TableB1!F88+TableB1!J88</f>
        <v>0</v>
      </c>
      <c r="I86" s="1109">
        <f>TableB1!D88/TableA1!B86</f>
        <v>0</v>
      </c>
      <c r="J86" s="24">
        <f>C86/TableC5!B86</f>
        <v>-0.82100883737874875</v>
      </c>
      <c r="K86" s="1582">
        <f t="shared" si="9"/>
        <v>-0.82100883737874875</v>
      </c>
      <c r="L86" s="1605"/>
      <c r="M86" s="1583"/>
      <c r="N86" s="1627"/>
      <c r="O86" s="1583">
        <f>TableB1!C88/TableA1!B86</f>
        <v>-2.1583514961480709E-2</v>
      </c>
      <c r="P86" s="786"/>
      <c r="Q86" s="1626">
        <f t="shared" si="11"/>
        <v>2.1583514961480709E-2</v>
      </c>
      <c r="R86" s="958"/>
      <c r="S86" s="958"/>
      <c r="T86" s="1579"/>
      <c r="U86" s="1580"/>
    </row>
    <row r="87" spans="1:21" hidden="1" x14ac:dyDescent="0.2">
      <c r="A87" s="1080" t="s">
        <v>106</v>
      </c>
      <c r="B87" s="168">
        <f>TableC5!C87+D87</f>
        <v>0.31314437846850474</v>
      </c>
      <c r="C87" s="168" t="e">
        <f>TableB1!D89+TableC5!P87</f>
        <v>#N/A</v>
      </c>
      <c r="D87" s="168">
        <f t="shared" si="10"/>
        <v>-3.8618942348112806E-2</v>
      </c>
      <c r="E87" s="1106">
        <f t="shared" si="8"/>
        <v>-3.8618942348112806E-2</v>
      </c>
      <c r="F87" s="1107">
        <f>TableB1!H89-TableA6!H87/(1+TableA5!O87)-TableC5!N87</f>
        <v>-2.1971366280088389E-2</v>
      </c>
      <c r="G87" s="1113">
        <f>TableB1!I89+TableC5!O87</f>
        <v>-1.664757606802442E-2</v>
      </c>
      <c r="H87" s="1114">
        <f>TableB1!F89+TableB1!J89</f>
        <v>0</v>
      </c>
      <c r="I87" s="1109" t="e">
        <f>TableB1!D89/TableA1!B87</f>
        <v>#N/A</v>
      </c>
      <c r="J87" s="24" t="e">
        <f>C87/TableC5!B87</f>
        <v>#N/A</v>
      </c>
      <c r="K87" s="1582" t="e">
        <f t="shared" si="9"/>
        <v>#N/A</v>
      </c>
      <c r="L87" s="1605"/>
      <c r="M87" s="1583"/>
      <c r="N87" s="1627"/>
      <c r="O87" s="1583" t="e">
        <f>TableB1!C89/TableA1!B87</f>
        <v>#N/A</v>
      </c>
      <c r="P87" s="786"/>
      <c r="Q87" s="1626" t="e">
        <f t="shared" si="11"/>
        <v>#N/A</v>
      </c>
      <c r="R87" s="958"/>
      <c r="S87" s="958"/>
      <c r="T87" s="1579"/>
      <c r="U87" s="1580"/>
    </row>
    <row r="88" spans="1:21" hidden="1" x14ac:dyDescent="0.2">
      <c r="A88" s="1080" t="s">
        <v>107</v>
      </c>
      <c r="B88" s="168">
        <f>TableC5!C88+D88</f>
        <v>28.165009510892176</v>
      </c>
      <c r="C88" s="168">
        <f>TableB1!D90+TableC5!P88</f>
        <v>-14.8117957803919</v>
      </c>
      <c r="D88" s="168">
        <f t="shared" si="10"/>
        <v>-1.9932846230866932</v>
      </c>
      <c r="E88" s="1106">
        <f t="shared" si="8"/>
        <v>-1.2400846230866933</v>
      </c>
      <c r="F88" s="1107">
        <f>TableB1!H90-TableA6!H88/(1+TableA5!O88)-TableC5!N88</f>
        <v>-9.1061452384050057E-2</v>
      </c>
      <c r="G88" s="1113">
        <f>TableB1!I90+TableC5!O88</f>
        <v>-1.1490231707026433</v>
      </c>
      <c r="H88" s="1114">
        <f>TableB1!F90+TableB1!J90</f>
        <v>-0.75319999999999987</v>
      </c>
      <c r="I88" s="1109">
        <f>TableB1!D90/TableA1!B88</f>
        <v>1.8232458571749183E-2</v>
      </c>
      <c r="J88" s="24">
        <f>C88/TableC5!B88</f>
        <v>-0.4063807545779034</v>
      </c>
      <c r="K88" s="1582">
        <f t="shared" si="9"/>
        <v>-0.42461321314965261</v>
      </c>
      <c r="L88" s="1605"/>
      <c r="M88" s="1583"/>
      <c r="N88" s="1627"/>
      <c r="O88" s="1583">
        <f>TableB1!C90/TableA1!B88</f>
        <v>-6.2552043435281049E-2</v>
      </c>
      <c r="P88" s="786"/>
      <c r="Q88" s="1626">
        <f t="shared" si="11"/>
        <v>6.2552043435281049E-2</v>
      </c>
      <c r="R88" s="958"/>
      <c r="S88" s="958"/>
      <c r="T88" s="1579"/>
      <c r="U88" s="1580"/>
    </row>
    <row r="89" spans="1:21" hidden="1" x14ac:dyDescent="0.2">
      <c r="A89" s="1080" t="s">
        <v>108</v>
      </c>
      <c r="B89" s="168">
        <f>TableC5!C89+D89</f>
        <v>53.766908588497742</v>
      </c>
      <c r="C89" s="168">
        <f>TableB1!D91+TableC5!P89</f>
        <v>-14.027447305651027</v>
      </c>
      <c r="D89" s="168">
        <f t="shared" si="10"/>
        <v>-2.6559052397371263</v>
      </c>
      <c r="E89" s="1106">
        <f t="shared" si="8"/>
        <v>-2.6559052397371263</v>
      </c>
      <c r="F89" s="1107">
        <f>TableB1!H91-TableA6!H89/(1+TableA5!O89)-TableC5!N89</f>
        <v>0.17621003584810069</v>
      </c>
      <c r="G89" s="1113">
        <f>TableB1!I91+TableC5!O89</f>
        <v>-2.832115275585227</v>
      </c>
      <c r="H89" s="1114">
        <f>TableB1!F91+TableB1!J91</f>
        <v>0</v>
      </c>
      <c r="I89" s="1109">
        <f>TableB1!D91/TableA1!B89</f>
        <v>0.2308722910737098</v>
      </c>
      <c r="J89" s="24">
        <f>C89/TableC5!B89</f>
        <v>-0.2042746813831583</v>
      </c>
      <c r="K89" s="1582">
        <f t="shared" si="9"/>
        <v>-0.43514697245686806</v>
      </c>
      <c r="L89" s="1605"/>
      <c r="M89" s="1583"/>
      <c r="N89" s="1627"/>
      <c r="O89" s="1583" t="e">
        <f>TableB1!C91/TableA1!B89</f>
        <v>#N/A</v>
      </c>
      <c r="P89" s="786"/>
      <c r="Q89" s="1626" t="e">
        <f t="shared" si="11"/>
        <v>#N/A</v>
      </c>
      <c r="R89" s="958"/>
      <c r="S89" s="958"/>
      <c r="T89" s="1579"/>
      <c r="U89" s="1580"/>
    </row>
    <row r="90" spans="1:21" ht="40" hidden="1" customHeight="1" x14ac:dyDescent="0.2">
      <c r="A90" s="1588" t="s">
        <v>109</v>
      </c>
      <c r="B90" s="1589">
        <f>TableC5!C90+D90</f>
        <v>8117.7876368692487</v>
      </c>
      <c r="C90" s="1589">
        <f>TableB1!D92+TableC5!P90</f>
        <v>-46.487721995686414</v>
      </c>
      <c r="D90" s="168">
        <f t="shared" si="10"/>
        <v>-135.91748030299684</v>
      </c>
      <c r="E90" s="1591">
        <f t="shared" si="8"/>
        <v>-58.618932106742115</v>
      </c>
      <c r="F90" s="1591">
        <f>TableB1!H92-TableA6!H90/(1+TableA5!O90)-TableC5!N90</f>
        <v>-84.133342431836368</v>
      </c>
      <c r="G90" s="1592">
        <f>TableB1!I92+TableC5!O90</f>
        <v>25.514410325094254</v>
      </c>
      <c r="H90" s="1593">
        <f>TableB1!F92+TableB1!J92</f>
        <v>-77.298548196254714</v>
      </c>
      <c r="I90" s="1594">
        <f>TableB1!D92/TableA1!B90</f>
        <v>-1.1798156991842206E-2</v>
      </c>
      <c r="J90" s="1595">
        <f>C90/TableC5!B90</f>
        <v>-4.8262235621530612E-3</v>
      </c>
      <c r="K90" s="1597">
        <f t="shared" si="9"/>
        <v>6.971933429689145E-3</v>
      </c>
      <c r="L90" s="1629"/>
      <c r="M90" s="1598"/>
      <c r="N90" s="1630"/>
      <c r="O90" s="1598">
        <f>TableB1!C92/TableA1!B90</f>
        <v>-8.0014620095803599E-3</v>
      </c>
      <c r="P90" s="1631"/>
      <c r="Q90" s="1632">
        <f t="shared" si="11"/>
        <v>8.0014620095803599E-3</v>
      </c>
      <c r="R90" s="958"/>
      <c r="S90" s="958"/>
      <c r="T90" s="1579"/>
      <c r="U90" s="1580"/>
    </row>
    <row r="91" spans="1:21" ht="40" hidden="1" customHeight="1" thickBot="1" x14ac:dyDescent="0.25">
      <c r="A91" s="210" t="s">
        <v>110</v>
      </c>
      <c r="B91" s="165">
        <f>TableC5!C91+D91</f>
        <v>62741.131789438376</v>
      </c>
      <c r="C91" s="165">
        <f>TableB1!D93+TableC5!P91</f>
        <v>512.22218540505105</v>
      </c>
      <c r="D91" s="449">
        <f t="shared" si="10"/>
        <v>-357.76269947620142</v>
      </c>
      <c r="E91" s="780">
        <f t="shared" si="8"/>
        <v>-105.80769947620139</v>
      </c>
      <c r="F91" s="780">
        <f>TableB1!H93-TableA6!H91/(1+TableA5!O91)-TableC5!N91</f>
        <v>-89.086514071149907</v>
      </c>
      <c r="G91" s="780">
        <f>G90+G53+G45+G9</f>
        <v>-16.721185405051486</v>
      </c>
      <c r="H91" s="166">
        <f>H90+H53+H45+H9</f>
        <v>-251.95500000000001</v>
      </c>
      <c r="I91" s="197">
        <f>(E91+H91)/D91</f>
        <v>1</v>
      </c>
      <c r="J91" s="167">
        <f>C91/TableC5!B91</f>
        <v>6.8260833073334427E-3</v>
      </c>
      <c r="K91" s="303">
        <f t="shared" si="9"/>
        <v>-0.99317391669266653</v>
      </c>
      <c r="L91" s="784"/>
      <c r="M91" s="447"/>
      <c r="N91" s="785"/>
      <c r="O91" s="447">
        <f>TableB1!C93/TableA1!B91</f>
        <v>3.7454467652643683E-3</v>
      </c>
      <c r="P91" s="447"/>
      <c r="Q91" s="1633">
        <f t="shared" si="11"/>
        <v>-3.7454467652643683E-3</v>
      </c>
      <c r="R91" s="958"/>
      <c r="S91" s="958"/>
      <c r="T91" s="1579"/>
      <c r="U91" s="1580"/>
    </row>
    <row r="92" spans="1:21" x14ac:dyDescent="0.2">
      <c r="A92" s="958"/>
      <c r="B92" s="958"/>
      <c r="C92" s="958"/>
      <c r="D92" s="958"/>
      <c r="E92" s="1634"/>
      <c r="F92" s="958"/>
      <c r="G92" s="958"/>
      <c r="H92" s="958"/>
      <c r="I92" s="958"/>
      <c r="J92" s="958"/>
      <c r="K92" s="958"/>
      <c r="L92" s="958"/>
      <c r="M92" s="958"/>
      <c r="N92" s="958"/>
      <c r="O92" s="958"/>
      <c r="P92" s="958"/>
      <c r="Q92" s="958"/>
      <c r="R92" s="958"/>
      <c r="S92" s="958"/>
      <c r="T92" s="958"/>
      <c r="U92" s="958"/>
    </row>
    <row r="93" spans="1:21" s="2" customFormat="1" x14ac:dyDescent="0.2">
      <c r="D93" s="958"/>
      <c r="E93" s="958"/>
      <c r="F93" s="958"/>
      <c r="G93" s="958"/>
      <c r="H93" s="958"/>
      <c r="I93" s="958"/>
      <c r="J93" s="958"/>
      <c r="K93" s="958"/>
      <c r="L93" s="958"/>
      <c r="M93" s="958"/>
      <c r="N93" s="958"/>
      <c r="O93" s="958"/>
      <c r="P93" s="958"/>
      <c r="Q93" s="958"/>
    </row>
  </sheetData>
  <mergeCells count="17">
    <mergeCell ref="A3:Q3"/>
    <mergeCell ref="B6:C6"/>
    <mergeCell ref="I6:I8"/>
    <mergeCell ref="J6:J8"/>
    <mergeCell ref="K6:K8"/>
    <mergeCell ref="B7:B8"/>
    <mergeCell ref="C7:C8"/>
    <mergeCell ref="Q6:Q8"/>
    <mergeCell ref="D7:D8"/>
    <mergeCell ref="E7:E8"/>
    <mergeCell ref="H7:H8"/>
    <mergeCell ref="D6:H6"/>
    <mergeCell ref="M6:M8"/>
    <mergeCell ref="L6:L8"/>
    <mergeCell ref="P6:P8"/>
    <mergeCell ref="N6:N8"/>
    <mergeCell ref="O6:O8"/>
  </mergeCells>
  <pageMargins left="0.7" right="0.7" top="0.75" bottom="0.75" header="0.3" footer="0.3"/>
  <pageSetup scale="18" orientation="portrait" horizontalDpi="4294967292" verticalDpi="4294967292"/>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Y99"/>
  <sheetViews>
    <sheetView topLeftCell="B1" zoomScale="115" zoomScaleNormal="115" zoomScalePageLayoutView="130" workbookViewId="0">
      <pane xSplit="1" ySplit="7" topLeftCell="C42" activePane="bottomRight" state="frozen"/>
      <selection pane="topRight" activeCell="C1" sqref="C1"/>
      <selection pane="bottomLeft" activeCell="B8" sqref="B8"/>
      <selection pane="bottomRight" activeCell="M58" sqref="M58"/>
    </sheetView>
  </sheetViews>
  <sheetFormatPr baseColWidth="10" defaultColWidth="8.83203125" defaultRowHeight="15" x14ac:dyDescent="0.2"/>
  <cols>
    <col min="1" max="1" width="8.83203125" style="525"/>
    <col min="2" max="2" width="12" style="525" bestFit="1" customWidth="1"/>
    <col min="3" max="13" width="12.83203125" style="525" customWidth="1"/>
    <col min="14" max="14" width="5.1640625" style="525" customWidth="1"/>
    <col min="15" max="15" width="6.1640625" style="525" customWidth="1"/>
    <col min="16" max="16" width="4.6640625" style="525" customWidth="1"/>
    <col min="17" max="17" width="14" style="525" customWidth="1"/>
    <col min="18" max="21" width="21.6640625" style="525" customWidth="1"/>
    <col min="22" max="16384" width="8.83203125" style="525"/>
  </cols>
  <sheetData>
    <row r="1" spans="2:25" hidden="1" x14ac:dyDescent="0.2"/>
    <row r="2" spans="2:25" ht="16" thickBot="1" x14ac:dyDescent="0.25"/>
    <row r="3" spans="2:25" ht="22" thickTop="1" x14ac:dyDescent="0.25">
      <c r="B3" s="2345" t="s">
        <v>732</v>
      </c>
      <c r="C3" s="2346"/>
      <c r="D3" s="2346"/>
      <c r="E3" s="2346"/>
      <c r="F3" s="2346"/>
      <c r="G3" s="2346"/>
      <c r="H3" s="2346"/>
      <c r="I3" s="2346"/>
      <c r="J3" s="2346"/>
      <c r="K3" s="2346"/>
      <c r="L3" s="2346"/>
      <c r="M3" s="2347"/>
      <c r="N3" s="541"/>
      <c r="O3" s="541"/>
      <c r="Q3" s="2333" t="s">
        <v>733</v>
      </c>
      <c r="R3" s="2334"/>
      <c r="S3" s="2334"/>
      <c r="T3" s="2334"/>
      <c r="U3" s="2335"/>
    </row>
    <row r="4" spans="2:25" x14ac:dyDescent="0.2">
      <c r="B4" s="562"/>
      <c r="C4" s="530"/>
      <c r="D4" s="530"/>
      <c r="E4" s="530"/>
      <c r="F4" s="530"/>
      <c r="G4" s="530"/>
      <c r="H4" s="530"/>
      <c r="I4" s="530"/>
      <c r="J4" s="530"/>
      <c r="K4" s="530"/>
      <c r="L4" s="530"/>
      <c r="M4" s="563"/>
      <c r="N4" s="530"/>
      <c r="O4" s="530"/>
      <c r="Q4" s="529"/>
      <c r="R4" s="530"/>
      <c r="S4" s="530"/>
      <c r="T4" s="530"/>
      <c r="U4" s="1635"/>
    </row>
    <row r="5" spans="2:25" ht="16" thickBot="1" x14ac:dyDescent="0.25">
      <c r="B5" s="562"/>
      <c r="C5" s="126" t="s">
        <v>1</v>
      </c>
      <c r="D5" s="126" t="s">
        <v>2</v>
      </c>
      <c r="E5" s="126" t="s">
        <v>3</v>
      </c>
      <c r="F5" s="126" t="s">
        <v>4</v>
      </c>
      <c r="G5" s="126" t="s">
        <v>5</v>
      </c>
      <c r="H5" s="126" t="s">
        <v>6</v>
      </c>
      <c r="I5" s="126" t="s">
        <v>7</v>
      </c>
      <c r="J5" s="126" t="s">
        <v>8</v>
      </c>
      <c r="K5" s="3" t="s">
        <v>9</v>
      </c>
      <c r="L5" s="3" t="s">
        <v>10</v>
      </c>
      <c r="M5" s="438" t="s">
        <v>11</v>
      </c>
      <c r="N5" s="84"/>
      <c r="O5" s="542"/>
      <c r="P5" s="134"/>
      <c r="Q5" s="529"/>
      <c r="R5" s="134" t="s">
        <v>1</v>
      </c>
      <c r="S5" s="134" t="s">
        <v>2</v>
      </c>
      <c r="T5" s="134" t="s">
        <v>3</v>
      </c>
      <c r="U5" s="1636" t="s">
        <v>4</v>
      </c>
    </row>
    <row r="6" spans="2:25" ht="15.75" customHeight="1" x14ac:dyDescent="0.2">
      <c r="B6" s="564"/>
      <c r="C6" s="2336" t="s">
        <v>584</v>
      </c>
      <c r="D6" s="2337"/>
      <c r="E6" s="2337"/>
      <c r="F6" s="2337"/>
      <c r="G6" s="2337"/>
      <c r="H6" s="2337"/>
      <c r="I6" s="2339" t="s">
        <v>734</v>
      </c>
      <c r="J6" s="2341" t="s">
        <v>735</v>
      </c>
      <c r="K6" s="2341" t="s">
        <v>736</v>
      </c>
      <c r="L6" s="2341" t="s">
        <v>737</v>
      </c>
      <c r="M6" s="2343" t="s">
        <v>738</v>
      </c>
      <c r="N6" s="542"/>
      <c r="O6" s="542"/>
      <c r="P6" s="526"/>
      <c r="Q6" s="531"/>
      <c r="R6" s="2336"/>
      <c r="S6" s="2337"/>
      <c r="T6" s="2337"/>
      <c r="U6" s="2338"/>
    </row>
    <row r="7" spans="2:25" ht="64.5" customHeight="1" x14ac:dyDescent="0.2">
      <c r="B7" s="1872"/>
      <c r="C7" s="1859" t="s">
        <v>18</v>
      </c>
      <c r="D7" s="1860" t="s">
        <v>134</v>
      </c>
      <c r="E7" s="1860" t="s">
        <v>739</v>
      </c>
      <c r="F7" s="1860" t="s">
        <v>740</v>
      </c>
      <c r="G7" s="1860" t="s">
        <v>741</v>
      </c>
      <c r="H7" s="1637" t="s">
        <v>742</v>
      </c>
      <c r="I7" s="2340"/>
      <c r="J7" s="2342"/>
      <c r="K7" s="2342"/>
      <c r="L7" s="2342"/>
      <c r="M7" s="2344"/>
      <c r="N7" s="542"/>
      <c r="O7" s="542"/>
      <c r="P7" s="526"/>
      <c r="Q7" s="1638"/>
      <c r="R7" s="537" t="s">
        <v>743</v>
      </c>
      <c r="S7" s="534" t="s">
        <v>744</v>
      </c>
      <c r="T7" s="533" t="s">
        <v>745</v>
      </c>
      <c r="U7" s="535" t="s">
        <v>744</v>
      </c>
      <c r="X7" s="1804"/>
      <c r="Y7" s="1804"/>
    </row>
    <row r="8" spans="2:25" ht="16" x14ac:dyDescent="0.2">
      <c r="B8" s="1639">
        <v>1975</v>
      </c>
      <c r="C8" s="1640">
        <v>5893.7420930127637</v>
      </c>
      <c r="D8" s="1641">
        <f t="shared" ref="D8:D47" si="0">I8*C8</f>
        <v>766.18647209165931</v>
      </c>
      <c r="E8" s="1641">
        <f>C8-D8</f>
        <v>5127.5556209211045</v>
      </c>
      <c r="F8" s="1641">
        <f t="shared" ref="F8:F47" si="1">J8*E8</f>
        <v>2563.7778104605522</v>
      </c>
      <c r="G8" s="1641">
        <f t="shared" ref="G8:G47" si="2">(1-K8)*F8</f>
        <v>741.9679016916815</v>
      </c>
      <c r="H8" s="1641">
        <f>+TableB7!T14*$H$48/TableB7!$T$54</f>
        <v>29.320843602943309</v>
      </c>
      <c r="I8" s="1642">
        <v>0.13</v>
      </c>
      <c r="J8" s="544">
        <v>0.5</v>
      </c>
      <c r="K8" s="543">
        <f t="shared" ref="K8:K46" si="3">K9*L8/L9</f>
        <v>0.71059586417186604</v>
      </c>
      <c r="L8" s="1643">
        <v>0.63735446570972798</v>
      </c>
      <c r="M8" s="1644">
        <f>H8/TableC6!G8</f>
        <v>3.9517671230914431E-2</v>
      </c>
      <c r="N8" s="1645"/>
      <c r="O8" s="1645"/>
      <c r="P8" s="526"/>
      <c r="Q8" s="531">
        <v>1975</v>
      </c>
      <c r="R8" s="1646">
        <v>0.53137999999999996</v>
      </c>
      <c r="S8" s="538">
        <v>16</v>
      </c>
      <c r="T8" s="1647">
        <v>0.71513000000000004</v>
      </c>
      <c r="U8" s="1648">
        <v>2</v>
      </c>
    </row>
    <row r="9" spans="2:25" ht="16" x14ac:dyDescent="0.2">
      <c r="B9" s="1639">
        <v>1976</v>
      </c>
      <c r="C9" s="1640">
        <v>6412.2453094432731</v>
      </c>
      <c r="D9" s="1641">
        <f t="shared" si="0"/>
        <v>838.25971716361755</v>
      </c>
      <c r="E9" s="1641">
        <f t="shared" ref="E9:E47" si="4">C9-D9</f>
        <v>5573.985592279656</v>
      </c>
      <c r="F9" s="1641">
        <f t="shared" si="1"/>
        <v>2792.5905002895956</v>
      </c>
      <c r="G9" s="1641">
        <f t="shared" si="2"/>
        <v>802.49374352175323</v>
      </c>
      <c r="H9" s="1641">
        <f>+TableB7!T15*$H$48/TableB7!$T$54</f>
        <v>33.977957353466813</v>
      </c>
      <c r="I9" s="1642">
        <f>I8+(I$48-I$8)/40</f>
        <v>0.13072795514063035</v>
      </c>
      <c r="J9" s="543">
        <f>J8+(J$48-J$8)/40</f>
        <v>0.50100425522403946</v>
      </c>
      <c r="K9" s="543">
        <f t="shared" si="3"/>
        <v>0.71263465107450108</v>
      </c>
      <c r="L9" s="1643">
        <v>0.63918311403508699</v>
      </c>
      <c r="M9" s="1644">
        <f>H9/TableC6!G9</f>
        <v>4.2340463869978785E-2</v>
      </c>
      <c r="N9" s="1645"/>
      <c r="O9" s="1645"/>
      <c r="P9" s="526"/>
      <c r="Q9" s="531">
        <v>1976</v>
      </c>
      <c r="R9" s="1646">
        <v>0.53154000000000001</v>
      </c>
      <c r="S9" s="538">
        <v>17</v>
      </c>
      <c r="T9" s="1647">
        <v>0.71840999999999999</v>
      </c>
      <c r="U9" s="1648">
        <v>2</v>
      </c>
    </row>
    <row r="10" spans="2:25" ht="16" x14ac:dyDescent="0.2">
      <c r="B10" s="1639">
        <v>1977</v>
      </c>
      <c r="C10" s="1640">
        <v>7252.9683068481354</v>
      </c>
      <c r="D10" s="1641">
        <f t="shared" si="0"/>
        <v>953.44555101785579</v>
      </c>
      <c r="E10" s="1641">
        <f t="shared" si="4"/>
        <v>6299.5227558302795</v>
      </c>
      <c r="F10" s="1641">
        <f t="shared" si="1"/>
        <v>3162.414035188136</v>
      </c>
      <c r="G10" s="1641">
        <f t="shared" si="2"/>
        <v>910.66784059710983</v>
      </c>
      <c r="H10" s="1641">
        <f>+TableB7!T16*$H$48/TableB7!$T$54</f>
        <v>34.746503237843683</v>
      </c>
      <c r="I10" s="1642">
        <f t="shared" ref="I10:I47" si="5">I9+(I$48-I$8)/40</f>
        <v>0.13145591028126069</v>
      </c>
      <c r="J10" s="543">
        <f t="shared" ref="J10:J47" si="6">J9+(J$48-J$8)/40</f>
        <v>0.50200851044807893</v>
      </c>
      <c r="K10" s="543">
        <f t="shared" si="3"/>
        <v>0.71203396188350998</v>
      </c>
      <c r="L10" s="1643">
        <v>0.63864433811802201</v>
      </c>
      <c r="M10" s="1644">
        <f>H10/TableC6!G10</f>
        <v>3.8154969011600294E-2</v>
      </c>
      <c r="N10" s="1645"/>
      <c r="O10" s="1645"/>
      <c r="P10" s="526"/>
      <c r="Q10" s="531">
        <v>1977</v>
      </c>
      <c r="R10" s="1646">
        <v>0.53434999999999999</v>
      </c>
      <c r="S10" s="538">
        <v>18</v>
      </c>
      <c r="T10" s="1647">
        <v>0.71557999999999999</v>
      </c>
      <c r="U10" s="1648">
        <v>2</v>
      </c>
    </row>
    <row r="11" spans="2:25" ht="16" x14ac:dyDescent="0.2">
      <c r="B11" s="1639">
        <v>1978</v>
      </c>
      <c r="C11" s="1640">
        <v>8537.7537570009863</v>
      </c>
      <c r="D11" s="1641">
        <f t="shared" si="0"/>
        <v>1128.553293620663</v>
      </c>
      <c r="E11" s="1641">
        <f t="shared" si="4"/>
        <v>7409.2004633803235</v>
      </c>
      <c r="F11" s="1641">
        <f t="shared" si="1"/>
        <v>3726.9224165040778</v>
      </c>
      <c r="G11" s="1641">
        <f t="shared" si="2"/>
        <v>1073.3057796291864</v>
      </c>
      <c r="H11" s="1641">
        <f>+TableB7!T17*$H$48/TableB7!$T$54</f>
        <v>43.623280388922893</v>
      </c>
      <c r="I11" s="1642">
        <f t="shared" si="5"/>
        <v>0.13218386542189103</v>
      </c>
      <c r="J11" s="543">
        <f t="shared" si="6"/>
        <v>0.50301276567211839</v>
      </c>
      <c r="K11" s="543">
        <f t="shared" si="3"/>
        <v>0.71201284607476023</v>
      </c>
      <c r="L11" s="1643">
        <v>0.63862539872408197</v>
      </c>
      <c r="M11" s="1644">
        <f>H11/TableC6!G11</f>
        <v>4.0643851190286316E-2</v>
      </c>
      <c r="N11" s="1645"/>
      <c r="O11" s="1645"/>
      <c r="P11" s="526"/>
      <c r="Q11" s="531">
        <v>1978</v>
      </c>
      <c r="R11" s="1646">
        <v>0.53310000000000002</v>
      </c>
      <c r="S11" s="538">
        <v>18</v>
      </c>
      <c r="T11" s="1647">
        <v>0.69645000000000001</v>
      </c>
      <c r="U11" s="1648">
        <v>3</v>
      </c>
    </row>
    <row r="12" spans="2:25" ht="16" x14ac:dyDescent="0.2">
      <c r="B12" s="1639">
        <v>1979</v>
      </c>
      <c r="C12" s="1640">
        <v>9919.0460897251069</v>
      </c>
      <c r="D12" s="1641">
        <f t="shared" si="0"/>
        <v>1318.3584740289227</v>
      </c>
      <c r="E12" s="1641">
        <f t="shared" si="4"/>
        <v>8600.6876156961844</v>
      </c>
      <c r="F12" s="1641">
        <f t="shared" si="1"/>
        <v>4334.8929497216695</v>
      </c>
      <c r="G12" s="1641">
        <f t="shared" si="2"/>
        <v>1220.4898310249257</v>
      </c>
      <c r="H12" s="1641">
        <f>+TableB7!T18*$H$48/TableB7!$T$54</f>
        <v>71.998239874306563</v>
      </c>
      <c r="I12" s="1642">
        <f t="shared" si="5"/>
        <v>0.13291182056252138</v>
      </c>
      <c r="J12" s="543">
        <f t="shared" si="6"/>
        <v>0.50401702089615785</v>
      </c>
      <c r="K12" s="543">
        <f t="shared" si="3"/>
        <v>0.71844983366814408</v>
      </c>
      <c r="L12" s="1643">
        <v>0.64439892344497596</v>
      </c>
      <c r="M12" s="1644">
        <f>H12/TableC6!G12</f>
        <v>5.8991265673917902E-2</v>
      </c>
      <c r="N12" s="1645"/>
      <c r="O12" s="1645"/>
      <c r="P12" s="526"/>
      <c r="Q12" s="531">
        <v>1979</v>
      </c>
      <c r="R12" s="1646">
        <v>0.53742000000000001</v>
      </c>
      <c r="S12" s="538">
        <v>18</v>
      </c>
      <c r="T12" s="1647">
        <v>0.67381999999999997</v>
      </c>
      <c r="U12" s="1648">
        <v>3</v>
      </c>
    </row>
    <row r="13" spans="2:25" ht="16" x14ac:dyDescent="0.2">
      <c r="B13" s="1639">
        <v>1980</v>
      </c>
      <c r="C13" s="1640">
        <v>11166.00384468405</v>
      </c>
      <c r="D13" s="1641">
        <f t="shared" si="0"/>
        <v>1492.2222493041061</v>
      </c>
      <c r="E13" s="1641">
        <f t="shared" si="4"/>
        <v>9673.7815953799436</v>
      </c>
      <c r="F13" s="1641">
        <f t="shared" si="1"/>
        <v>4885.4655262068572</v>
      </c>
      <c r="G13" s="1641">
        <f t="shared" si="2"/>
        <v>1344.0396620232009</v>
      </c>
      <c r="H13" s="1641">
        <f>+TableB7!T19*$H$48/TableB7!$T$54</f>
        <v>69.361386375889566</v>
      </c>
      <c r="I13" s="1642">
        <f t="shared" si="5"/>
        <v>0.13363977570315172</v>
      </c>
      <c r="J13" s="543">
        <f t="shared" si="6"/>
        <v>0.50502127612019732</v>
      </c>
      <c r="K13" s="543">
        <f t="shared" si="3"/>
        <v>0.72489015533659251</v>
      </c>
      <c r="L13" s="1643">
        <v>0.65017543859649096</v>
      </c>
      <c r="M13" s="1644">
        <f>H13/TableC6!G13</f>
        <v>5.1606651452144603E-2</v>
      </c>
      <c r="N13" s="1645"/>
      <c r="O13" s="1645"/>
      <c r="P13" s="526"/>
      <c r="Q13" s="531">
        <v>1980</v>
      </c>
      <c r="R13" s="1646">
        <v>0.56916</v>
      </c>
      <c r="S13" s="538">
        <v>19</v>
      </c>
      <c r="T13" s="1647">
        <v>0.67095000000000005</v>
      </c>
      <c r="U13" s="1648">
        <v>6</v>
      </c>
    </row>
    <row r="14" spans="2:25" ht="16" x14ac:dyDescent="0.2">
      <c r="B14" s="1639">
        <v>1981</v>
      </c>
      <c r="C14" s="1640">
        <v>11457.611762624569</v>
      </c>
      <c r="D14" s="1641">
        <f t="shared" si="0"/>
        <v>1539.5332934328894</v>
      </c>
      <c r="E14" s="1641">
        <f t="shared" si="4"/>
        <v>9918.0784691916797</v>
      </c>
      <c r="F14" s="1641">
        <f t="shared" si="1"/>
        <v>5018.8009272865538</v>
      </c>
      <c r="G14" s="1641">
        <f t="shared" si="2"/>
        <v>1432.3430306131424</v>
      </c>
      <c r="H14" s="1641">
        <f>+TableB7!T20*$H$48/TableB7!$T$54</f>
        <v>60.487496685866255</v>
      </c>
      <c r="I14" s="1642">
        <f t="shared" si="5"/>
        <v>0.13436773084378206</v>
      </c>
      <c r="J14" s="543">
        <f t="shared" si="6"/>
        <v>0.50602553134423678</v>
      </c>
      <c r="K14" s="543">
        <f t="shared" si="3"/>
        <v>0.71460453375911293</v>
      </c>
      <c r="L14" s="1643">
        <v>0.64094996012759098</v>
      </c>
      <c r="M14" s="1644">
        <f>H14/TableC6!G14</f>
        <v>4.2229755996350538E-2</v>
      </c>
      <c r="N14" s="1645"/>
      <c r="O14" s="1645"/>
      <c r="P14" s="526"/>
      <c r="Q14" s="531">
        <v>1981</v>
      </c>
      <c r="R14" s="1646">
        <v>0.55969999999999998</v>
      </c>
      <c r="S14" s="538">
        <v>19</v>
      </c>
      <c r="T14" s="1647">
        <v>0.66971999999999998</v>
      </c>
      <c r="U14" s="1648">
        <v>7</v>
      </c>
    </row>
    <row r="15" spans="2:25" ht="16" x14ac:dyDescent="0.2">
      <c r="B15" s="1639">
        <v>1982</v>
      </c>
      <c r="C15" s="1640">
        <v>11355.65642129017</v>
      </c>
      <c r="D15" s="1641">
        <f t="shared" si="0"/>
        <v>1534.1001940374931</v>
      </c>
      <c r="E15" s="1641">
        <f t="shared" si="4"/>
        <v>9821.5562272526768</v>
      </c>
      <c r="F15" s="1641">
        <f t="shared" si="1"/>
        <v>4979.8215576722487</v>
      </c>
      <c r="G15" s="1641">
        <f t="shared" si="2"/>
        <v>1425.7013319477085</v>
      </c>
      <c r="H15" s="1641">
        <f>+TableB7!T21*$H$48/TableB7!$T$54</f>
        <v>49.629440006935091</v>
      </c>
      <c r="I15" s="1642">
        <f t="shared" si="5"/>
        <v>0.13509568598441241</v>
      </c>
      <c r="J15" s="543">
        <f t="shared" si="6"/>
        <v>0.50702978656827624</v>
      </c>
      <c r="K15" s="543">
        <f t="shared" si="3"/>
        <v>0.71370433349139251</v>
      </c>
      <c r="L15" s="1643">
        <v>0.64014254385964897</v>
      </c>
      <c r="M15" s="1644">
        <f>H15/TableC6!G15</f>
        <v>3.4810544743711716E-2</v>
      </c>
      <c r="N15" s="1645"/>
      <c r="O15" s="1645"/>
      <c r="P15" s="526"/>
      <c r="Q15" s="531">
        <v>1982</v>
      </c>
      <c r="R15" s="1646">
        <v>0.56457000000000002</v>
      </c>
      <c r="S15" s="538">
        <v>19</v>
      </c>
      <c r="T15" s="1647">
        <v>0.66051000000000004</v>
      </c>
      <c r="U15" s="1648">
        <v>7</v>
      </c>
    </row>
    <row r="16" spans="2:25" ht="16" x14ac:dyDescent="0.2">
      <c r="B16" s="1639">
        <v>1983</v>
      </c>
      <c r="C16" s="1640">
        <v>11616.289845913423</v>
      </c>
      <c r="D16" s="1641">
        <f t="shared" si="0"/>
        <v>1577.7667832358229</v>
      </c>
      <c r="E16" s="1641">
        <f t="shared" si="4"/>
        <v>10038.523062677599</v>
      </c>
      <c r="F16" s="1641">
        <f t="shared" si="1"/>
        <v>5099.9114451574769</v>
      </c>
      <c r="G16" s="1641">
        <f t="shared" si="2"/>
        <v>1512.518468127596</v>
      </c>
      <c r="H16" s="1641">
        <f>+TableB7!T22*$H$48/TableB7!$T$54</f>
        <v>54.351401320338866</v>
      </c>
      <c r="I16" s="1642">
        <f t="shared" si="5"/>
        <v>0.13582364112504275</v>
      </c>
      <c r="J16" s="543">
        <f t="shared" si="6"/>
        <v>0.5080340417923157</v>
      </c>
      <c r="K16" s="543">
        <f t="shared" si="3"/>
        <v>0.70342260166815662</v>
      </c>
      <c r="L16" s="1643">
        <v>0.63092055422647497</v>
      </c>
      <c r="M16" s="1644">
        <f>H16/TableC6!G16</f>
        <v>3.5934372019683518E-2</v>
      </c>
      <c r="N16" s="1645"/>
      <c r="O16" s="1645"/>
      <c r="P16" s="526"/>
      <c r="Q16" s="531">
        <v>1983</v>
      </c>
      <c r="R16" s="1646">
        <v>0.56903000000000004</v>
      </c>
      <c r="S16" s="538">
        <v>19</v>
      </c>
      <c r="T16" s="1647">
        <v>0.64142999999999994</v>
      </c>
      <c r="U16" s="1648">
        <v>7</v>
      </c>
    </row>
    <row r="17" spans="2:21" ht="16" x14ac:dyDescent="0.2">
      <c r="B17" s="1639">
        <v>1984</v>
      </c>
      <c r="C17" s="1640">
        <v>12058.393957860559</v>
      </c>
      <c r="D17" s="1641">
        <f t="shared" si="0"/>
        <v>1646.5929433462068</v>
      </c>
      <c r="E17" s="1641">
        <f t="shared" si="4"/>
        <v>10411.801014514353</v>
      </c>
      <c r="F17" s="1641">
        <f t="shared" si="1"/>
        <v>5300.005457301545</v>
      </c>
      <c r="G17" s="1641">
        <f t="shared" si="2"/>
        <v>1620.1497331109906</v>
      </c>
      <c r="H17" s="1641">
        <f>+TableB7!T23*$H$48/TableB7!$T$54</f>
        <v>64.669743403572681</v>
      </c>
      <c r="I17" s="1642">
        <f t="shared" si="5"/>
        <v>0.13655159626567309</v>
      </c>
      <c r="J17" s="543">
        <f t="shared" si="6"/>
        <v>0.50903829701635517</v>
      </c>
      <c r="K17" s="543">
        <f t="shared" si="3"/>
        <v>0.69431168587213554</v>
      </c>
      <c r="L17" s="1643">
        <v>0.62274870414673</v>
      </c>
      <c r="M17" s="1644">
        <f>H17/TableC6!G17</f>
        <v>3.9915905352398924E-2</v>
      </c>
      <c r="N17" s="1645"/>
      <c r="O17" s="1645"/>
      <c r="P17" s="526"/>
      <c r="Q17" s="531">
        <v>1984</v>
      </c>
      <c r="R17" s="1646">
        <v>0.57208000000000003</v>
      </c>
      <c r="S17" s="538">
        <v>19</v>
      </c>
      <c r="T17" s="1647">
        <v>0.62982000000000005</v>
      </c>
      <c r="U17" s="1648">
        <v>7</v>
      </c>
    </row>
    <row r="18" spans="2:21" ht="16" x14ac:dyDescent="0.2">
      <c r="B18" s="1639">
        <v>1985</v>
      </c>
      <c r="C18" s="1640">
        <v>12681.690896005781</v>
      </c>
      <c r="D18" s="1641">
        <f t="shared" si="0"/>
        <v>1740.9368372770759</v>
      </c>
      <c r="E18" s="1641">
        <f t="shared" si="4"/>
        <v>10940.754058728704</v>
      </c>
      <c r="F18" s="1641">
        <f t="shared" si="1"/>
        <v>5580.2501235484442</v>
      </c>
      <c r="G18" s="1641">
        <f t="shared" si="2"/>
        <v>1727.2222738821888</v>
      </c>
      <c r="H18" s="1641">
        <f>+TableB7!T24*$H$48/TableB7!$T$54</f>
        <v>61.931708457322088</v>
      </c>
      <c r="I18" s="1642">
        <f t="shared" si="5"/>
        <v>0.13727955140630344</v>
      </c>
      <c r="J18" s="543">
        <f t="shared" si="6"/>
        <v>0.51004255224039463</v>
      </c>
      <c r="K18" s="543">
        <f t="shared" si="3"/>
        <v>0.69047583250912425</v>
      </c>
      <c r="L18" s="1643">
        <v>0.619308213716108</v>
      </c>
      <c r="M18" s="1644">
        <f>H18/TableC6!G18</f>
        <v>3.5856246989057969E-2</v>
      </c>
      <c r="N18" s="1645"/>
      <c r="O18" s="1645"/>
      <c r="P18" s="526"/>
      <c r="Q18" s="531">
        <v>1985</v>
      </c>
      <c r="R18" s="1646">
        <v>0.57572999999999996</v>
      </c>
      <c r="S18" s="538">
        <v>20</v>
      </c>
      <c r="T18" s="1647">
        <v>0.62617</v>
      </c>
      <c r="U18" s="1648">
        <v>8</v>
      </c>
    </row>
    <row r="19" spans="2:21" ht="16" x14ac:dyDescent="0.2">
      <c r="B19" s="1639">
        <v>1986</v>
      </c>
      <c r="C19" s="1640">
        <v>15014.21823002051</v>
      </c>
      <c r="D19" s="1641">
        <f t="shared" si="0"/>
        <v>2072.074820676648</v>
      </c>
      <c r="E19" s="1641">
        <f t="shared" si="4"/>
        <v>12942.143409343862</v>
      </c>
      <c r="F19" s="1641">
        <f t="shared" si="1"/>
        <v>6614.0410710920469</v>
      </c>
      <c r="G19" s="1641">
        <f t="shared" si="2"/>
        <v>2033.7172606860956</v>
      </c>
      <c r="H19" s="1641">
        <f>+TableB7!T25*$H$48/TableB7!$T$54</f>
        <v>78.111115240509491</v>
      </c>
      <c r="I19" s="1642">
        <f t="shared" si="5"/>
        <v>0.13800750654693378</v>
      </c>
      <c r="J19" s="543">
        <f t="shared" si="6"/>
        <v>0.51104680746443409</v>
      </c>
      <c r="K19" s="543">
        <f t="shared" si="3"/>
        <v>0.69251517509093607</v>
      </c>
      <c r="L19" s="1643">
        <v>0.62113736044656997</v>
      </c>
      <c r="M19" s="1644">
        <f>H19/TableC6!G19</f>
        <v>3.8408050494766366E-2</v>
      </c>
      <c r="N19" s="1645"/>
      <c r="O19" s="1645"/>
      <c r="P19" s="526"/>
      <c r="Q19" s="531">
        <v>1986</v>
      </c>
      <c r="R19" s="1646">
        <v>0.57460999999999995</v>
      </c>
      <c r="S19" s="538">
        <v>20</v>
      </c>
      <c r="T19" s="1647">
        <v>0.63441000000000003</v>
      </c>
      <c r="U19" s="1648">
        <v>8</v>
      </c>
    </row>
    <row r="20" spans="2:21" ht="16" x14ac:dyDescent="0.2">
      <c r="B20" s="1639">
        <v>1987</v>
      </c>
      <c r="C20" s="1640">
        <v>17083.141772179115</v>
      </c>
      <c r="D20" s="1641">
        <f t="shared" si="0"/>
        <v>2370.037560837382</v>
      </c>
      <c r="E20" s="1641">
        <f t="shared" si="4"/>
        <v>14713.104211341733</v>
      </c>
      <c r="F20" s="1641">
        <f t="shared" si="1"/>
        <v>7533.86064686379</v>
      </c>
      <c r="G20" s="1641">
        <f t="shared" si="2"/>
        <v>2329.9443322532161</v>
      </c>
      <c r="H20" s="1641">
        <f>+TableB7!T26*$H$48/TableB7!$T$54</f>
        <v>100.13077294187255</v>
      </c>
      <c r="I20" s="1642">
        <f t="shared" si="5"/>
        <v>0.13873546168756412</v>
      </c>
      <c r="J20" s="543">
        <f t="shared" si="6"/>
        <v>0.51205106268847356</v>
      </c>
      <c r="K20" s="543">
        <f t="shared" si="3"/>
        <v>0.69073700172259889</v>
      </c>
      <c r="L20" s="1643">
        <v>0.61954246411483205</v>
      </c>
      <c r="M20" s="1644">
        <f>H20/TableC6!G20</f>
        <v>4.2975607423649996E-2</v>
      </c>
      <c r="N20" s="1645"/>
      <c r="O20" s="1645"/>
      <c r="P20" s="526"/>
      <c r="Q20" s="531">
        <v>1987</v>
      </c>
      <c r="R20" s="1646">
        <v>0.57452999999999999</v>
      </c>
      <c r="S20" s="538">
        <v>21</v>
      </c>
      <c r="T20" s="1647">
        <v>0.64707000000000003</v>
      </c>
      <c r="U20" s="1648">
        <v>8</v>
      </c>
    </row>
    <row r="21" spans="2:21" ht="16" x14ac:dyDescent="0.2">
      <c r="B21" s="1639">
        <v>1988</v>
      </c>
      <c r="C21" s="1640">
        <v>19129.417553427633</v>
      </c>
      <c r="D21" s="1641">
        <f t="shared" si="0"/>
        <v>2667.8539339342578</v>
      </c>
      <c r="E21" s="1641">
        <f t="shared" si="4"/>
        <v>16461.563619493376</v>
      </c>
      <c r="F21" s="1641">
        <f t="shared" si="1"/>
        <v>8445.6927561362318</v>
      </c>
      <c r="G21" s="1641">
        <f t="shared" si="2"/>
        <v>2666.5819764218941</v>
      </c>
      <c r="H21" s="1641">
        <f>+TableB7!T27*$H$48/TableB7!$T$54</f>
        <v>131.19660550959392</v>
      </c>
      <c r="I21" s="1642">
        <f t="shared" si="5"/>
        <v>0.13946341682819446</v>
      </c>
      <c r="J21" s="543">
        <f t="shared" si="6"/>
        <v>0.51305531791251302</v>
      </c>
      <c r="K21" s="543">
        <f t="shared" si="3"/>
        <v>0.68426722905773663</v>
      </c>
      <c r="L21" s="1643">
        <v>0.61373953349282195</v>
      </c>
      <c r="M21" s="1644">
        <f>H21/TableC6!G21</f>
        <v>4.9200289610311462E-2</v>
      </c>
      <c r="N21" s="1645"/>
      <c r="O21" s="1645"/>
      <c r="P21" s="526"/>
      <c r="Q21" s="531">
        <v>1988</v>
      </c>
      <c r="R21" s="1646">
        <v>0.57650000000000001</v>
      </c>
      <c r="S21" s="538">
        <v>23</v>
      </c>
      <c r="T21" s="1647">
        <v>0.64141000000000004</v>
      </c>
      <c r="U21" s="1648">
        <v>8</v>
      </c>
    </row>
    <row r="22" spans="2:21" ht="16" x14ac:dyDescent="0.2">
      <c r="B22" s="1639">
        <v>1989</v>
      </c>
      <c r="C22" s="1640">
        <v>20080.076891209112</v>
      </c>
      <c r="D22" s="1641">
        <f t="shared" si="0"/>
        <v>2815.0535286180998</v>
      </c>
      <c r="E22" s="1641">
        <f t="shared" si="4"/>
        <v>17265.023362591011</v>
      </c>
      <c r="F22" s="1641">
        <f t="shared" si="1"/>
        <v>8875.2505399661404</v>
      </c>
      <c r="G22" s="1641">
        <f t="shared" si="2"/>
        <v>2817.989179937817</v>
      </c>
      <c r="H22" s="1641">
        <f>+TableB7!T28*$H$48/TableB7!$T$54</f>
        <v>138.74370684443437</v>
      </c>
      <c r="I22" s="1642">
        <f t="shared" si="5"/>
        <v>0.14019137196882481</v>
      </c>
      <c r="J22" s="543">
        <f t="shared" si="6"/>
        <v>0.51405957313655248</v>
      </c>
      <c r="K22" s="543">
        <f t="shared" si="3"/>
        <v>0.68248905568939944</v>
      </c>
      <c r="L22" s="1643">
        <v>0.61214463716108403</v>
      </c>
      <c r="M22" s="1644">
        <f>H22/TableC6!G22</f>
        <v>4.9235003396108125E-2</v>
      </c>
      <c r="N22" s="1645"/>
      <c r="O22" s="1645"/>
      <c r="P22" s="526"/>
      <c r="Q22" s="531">
        <v>1989</v>
      </c>
      <c r="R22" s="1646">
        <v>0.70777000000000001</v>
      </c>
      <c r="S22" s="538">
        <v>31</v>
      </c>
      <c r="T22" s="1647">
        <v>0.66815000000000002</v>
      </c>
      <c r="U22" s="1648">
        <v>13</v>
      </c>
    </row>
    <row r="23" spans="2:21" ht="16" x14ac:dyDescent="0.2">
      <c r="B23" s="1639">
        <v>1990</v>
      </c>
      <c r="C23" s="1640">
        <v>22579.759701369676</v>
      </c>
      <c r="D23" s="1641">
        <f t="shared" si="0"/>
        <v>3181.9245434102068</v>
      </c>
      <c r="E23" s="1641">
        <f t="shared" si="4"/>
        <v>19397.835157959467</v>
      </c>
      <c r="F23" s="1641">
        <f t="shared" si="1"/>
        <v>9991.1232383662918</v>
      </c>
      <c r="G23" s="1641">
        <f t="shared" si="2"/>
        <v>3102.1099226922647</v>
      </c>
      <c r="H23" s="1641">
        <f>+TableB7!T29*$H$48/TableB7!$T$54</f>
        <v>142.27723731158349</v>
      </c>
      <c r="I23" s="1642">
        <f t="shared" si="5"/>
        <v>0.14091932710945515</v>
      </c>
      <c r="J23" s="543">
        <f t="shared" si="6"/>
        <v>0.51506382836059195</v>
      </c>
      <c r="K23" s="543">
        <f t="shared" si="3"/>
        <v>0.68951339617351082</v>
      </c>
      <c r="L23" s="1643">
        <v>0.61844497607655402</v>
      </c>
      <c r="M23" s="1644">
        <f>H23/TableC6!G23</f>
        <v>4.5864666584124032E-2</v>
      </c>
      <c r="N23" s="1645"/>
      <c r="O23" s="1645"/>
      <c r="P23" s="526"/>
      <c r="Q23" s="531">
        <v>1990</v>
      </c>
      <c r="R23" s="1646">
        <v>0.68457000000000001</v>
      </c>
      <c r="S23" s="538">
        <v>39</v>
      </c>
      <c r="T23" s="1647">
        <v>0.72474000000000005</v>
      </c>
      <c r="U23" s="1648">
        <v>14</v>
      </c>
    </row>
    <row r="24" spans="2:21" ht="16" x14ac:dyDescent="0.2">
      <c r="B24" s="1639">
        <v>1991</v>
      </c>
      <c r="C24" s="1640">
        <v>23909.82910607454</v>
      </c>
      <c r="D24" s="1641">
        <f t="shared" si="0"/>
        <v>3386.7623119394498</v>
      </c>
      <c r="E24" s="1641">
        <f t="shared" si="4"/>
        <v>20523.066794135091</v>
      </c>
      <c r="F24" s="1641">
        <f t="shared" si="1"/>
        <v>10591.299749728681</v>
      </c>
      <c r="G24" s="1641">
        <f t="shared" si="2"/>
        <v>3210.9346651160845</v>
      </c>
      <c r="H24" s="1641">
        <f>+TableB7!T30*$H$48/TableB7!$T$54</f>
        <v>125.78863157366088</v>
      </c>
      <c r="I24" s="1642">
        <f t="shared" si="5"/>
        <v>0.14164728225008549</v>
      </c>
      <c r="J24" s="543">
        <f t="shared" si="6"/>
        <v>0.51606808358463141</v>
      </c>
      <c r="K24" s="543">
        <f t="shared" si="3"/>
        <v>0.69683280230093203</v>
      </c>
      <c r="L24" s="1643">
        <v>0.62500996810207299</v>
      </c>
      <c r="M24" s="1644">
        <f>H24/TableC6!G24</f>
        <v>3.9175082863018414E-2</v>
      </c>
      <c r="N24" s="1645"/>
      <c r="O24" s="1645"/>
      <c r="P24" s="526"/>
      <c r="Q24" s="531">
        <v>1991</v>
      </c>
      <c r="R24" s="1646">
        <v>0.68884000000000001</v>
      </c>
      <c r="S24" s="538">
        <v>43</v>
      </c>
      <c r="T24" s="1647">
        <v>0.59109999999999996</v>
      </c>
      <c r="U24" s="1648">
        <v>14</v>
      </c>
    </row>
    <row r="25" spans="2:21" ht="16" x14ac:dyDescent="0.2">
      <c r="B25" s="1639">
        <v>1992</v>
      </c>
      <c r="C25" s="1640">
        <v>25389.800980622156</v>
      </c>
      <c r="D25" s="1641">
        <f t="shared" si="0"/>
        <v>3614.8789419191094</v>
      </c>
      <c r="E25" s="1641">
        <f t="shared" si="4"/>
        <v>21774.922038703047</v>
      </c>
      <c r="F25" s="1641">
        <f t="shared" si="1"/>
        <v>11259.209865928657</v>
      </c>
      <c r="G25" s="1641">
        <f t="shared" si="2"/>
        <v>3370.6974069576563</v>
      </c>
      <c r="H25" s="1641">
        <f>+TableB7!T31*$H$48/TableB7!$T$54</f>
        <v>126.75472791861176</v>
      </c>
      <c r="I25" s="1642">
        <f t="shared" si="5"/>
        <v>0.14237523739071584</v>
      </c>
      <c r="J25" s="543">
        <f t="shared" si="6"/>
        <v>0.51707233880867087</v>
      </c>
      <c r="K25" s="543">
        <f t="shared" si="3"/>
        <v>0.70062753540479972</v>
      </c>
      <c r="L25" s="1643">
        <v>0.62841357655502295</v>
      </c>
      <c r="M25" s="1644">
        <f>H25/TableC6!G25</f>
        <v>3.7604896736494295E-2</v>
      </c>
      <c r="N25" s="1645"/>
      <c r="O25" s="1645"/>
      <c r="P25" s="526"/>
      <c r="Q25" s="531">
        <v>1992</v>
      </c>
      <c r="R25" s="1646">
        <v>0.71650999999999998</v>
      </c>
      <c r="S25" s="538">
        <v>52</v>
      </c>
      <c r="T25" s="1647">
        <v>0.53071999999999997</v>
      </c>
      <c r="U25" s="1648">
        <v>18</v>
      </c>
    </row>
    <row r="26" spans="2:21" ht="16" x14ac:dyDescent="0.2">
      <c r="B26" s="1639">
        <v>1993</v>
      </c>
      <c r="C26" s="1640">
        <v>25834.73503794018</v>
      </c>
      <c r="D26" s="1641">
        <f t="shared" si="0"/>
        <v>3697.0330621306684</v>
      </c>
      <c r="E26" s="1641">
        <f t="shared" si="4"/>
        <v>22137.701975809512</v>
      </c>
      <c r="F26" s="1641">
        <f t="shared" si="1"/>
        <v>11469.025239338594</v>
      </c>
      <c r="G26" s="1641">
        <f t="shared" si="2"/>
        <v>3453.878775252676</v>
      </c>
      <c r="H26" s="1641">
        <f>+TableB7!T32*$H$48/TableB7!$T$54</f>
        <v>148.2530785885088</v>
      </c>
      <c r="I26" s="1642">
        <f t="shared" si="5"/>
        <v>0.14310319253134618</v>
      </c>
      <c r="J26" s="543">
        <f t="shared" si="6"/>
        <v>0.51807659403271034</v>
      </c>
      <c r="K26" s="543">
        <f t="shared" si="3"/>
        <v>0.69885158475317322</v>
      </c>
      <c r="L26" s="1643">
        <v>0.62682067384369999</v>
      </c>
      <c r="M26" s="1644">
        <f>H26/TableC6!G26</f>
        <v>4.2923648522569538E-2</v>
      </c>
      <c r="N26" s="1645"/>
      <c r="O26" s="1645"/>
      <c r="P26" s="526"/>
      <c r="Q26" s="531">
        <v>1993</v>
      </c>
      <c r="R26" s="1646">
        <v>0.64585000000000004</v>
      </c>
      <c r="S26" s="538">
        <v>57</v>
      </c>
      <c r="T26" s="1647">
        <v>0.52434000000000003</v>
      </c>
      <c r="U26" s="1648">
        <v>22</v>
      </c>
    </row>
    <row r="27" spans="2:21" ht="16" x14ac:dyDescent="0.2">
      <c r="B27" s="1639">
        <v>1994</v>
      </c>
      <c r="C27" s="1640">
        <v>27740.746941930633</v>
      </c>
      <c r="D27" s="1641">
        <f t="shared" si="0"/>
        <v>3989.9834699357561</v>
      </c>
      <c r="E27" s="1641">
        <f t="shared" si="4"/>
        <v>23750.763471994876</v>
      </c>
      <c r="F27" s="1641">
        <f t="shared" si="1"/>
        <v>12328.566473539291</v>
      </c>
      <c r="G27" s="1641">
        <f t="shared" si="2"/>
        <v>3828.6288666460609</v>
      </c>
      <c r="H27" s="1641">
        <f>+TableB7!T33*$H$48/TableB7!$T$54</f>
        <v>187.68617174182157</v>
      </c>
      <c r="I27" s="1642">
        <f t="shared" si="5"/>
        <v>0.14383114767197652</v>
      </c>
      <c r="J27" s="543">
        <f t="shared" si="6"/>
        <v>0.5190808492567498</v>
      </c>
      <c r="K27" s="543">
        <f t="shared" si="3"/>
        <v>0.68945060442644179</v>
      </c>
      <c r="L27" s="1643">
        <v>0.61838865629983997</v>
      </c>
      <c r="M27" s="1644">
        <f>H27/TableC6!G27</f>
        <v>4.9021772096243324E-2</v>
      </c>
      <c r="N27" s="1645"/>
      <c r="O27" s="1645"/>
      <c r="P27" s="526"/>
      <c r="Q27" s="531">
        <v>1994</v>
      </c>
      <c r="R27" s="1646">
        <v>0.61561999999999995</v>
      </c>
      <c r="S27" s="538">
        <v>63</v>
      </c>
      <c r="T27" s="1647">
        <v>0.48715999999999998</v>
      </c>
      <c r="U27" s="1648">
        <v>28</v>
      </c>
    </row>
    <row r="28" spans="2:21" ht="16" x14ac:dyDescent="0.2">
      <c r="B28" s="1639">
        <v>1995</v>
      </c>
      <c r="C28" s="1640">
        <v>30840.585358589611</v>
      </c>
      <c r="D28" s="1641">
        <f t="shared" si="0"/>
        <v>4458.2873496533339</v>
      </c>
      <c r="E28" s="1641">
        <f t="shared" si="4"/>
        <v>26382.298008936275</v>
      </c>
      <c r="F28" s="1641">
        <f t="shared" si="1"/>
        <v>13721.040216420941</v>
      </c>
      <c r="G28" s="1641">
        <f t="shared" si="2"/>
        <v>4313.6468971301183</v>
      </c>
      <c r="H28" s="1641">
        <f>+TableB7!T34*$H$48/TableB7!$T$54</f>
        <v>225.53837996703288</v>
      </c>
      <c r="I28" s="1642">
        <f t="shared" si="5"/>
        <v>0.14455910281260687</v>
      </c>
      <c r="J28" s="543">
        <f t="shared" si="6"/>
        <v>0.52008510448078926</v>
      </c>
      <c r="K28" s="543">
        <f t="shared" si="3"/>
        <v>0.6856180851384962</v>
      </c>
      <c r="L28" s="1643">
        <v>0.61495115629983998</v>
      </c>
      <c r="M28" s="1644">
        <f>H28/TableC6!G28</f>
        <v>5.2284849767625673E-2</v>
      </c>
      <c r="N28" s="1645"/>
      <c r="O28" s="1645"/>
      <c r="P28" s="526"/>
      <c r="Q28" s="531">
        <v>1995</v>
      </c>
      <c r="R28" s="1646">
        <v>0.5595</v>
      </c>
      <c r="S28" s="538">
        <v>73</v>
      </c>
      <c r="T28" s="1647">
        <v>0.55347999999999997</v>
      </c>
      <c r="U28" s="1648">
        <v>46</v>
      </c>
    </row>
    <row r="29" spans="2:21" ht="16" x14ac:dyDescent="0.2">
      <c r="B29" s="1639">
        <v>1996</v>
      </c>
      <c r="C29" s="1640">
        <v>31518.975357769596</v>
      </c>
      <c r="D29" s="1641">
        <f t="shared" si="0"/>
        <v>4579.2991994309268</v>
      </c>
      <c r="E29" s="1641">
        <f t="shared" si="4"/>
        <v>26939.676158338669</v>
      </c>
      <c r="F29" s="1641">
        <f t="shared" si="1"/>
        <v>14037.978600004137</v>
      </c>
      <c r="G29" s="1641">
        <f t="shared" si="2"/>
        <v>4475.363866562715</v>
      </c>
      <c r="H29" s="1641">
        <f>+TableB7!T35*$H$48/TableB7!$T$54</f>
        <v>276.10143238204006</v>
      </c>
      <c r="I29" s="1642">
        <f t="shared" si="5"/>
        <v>0.14528705795323721</v>
      </c>
      <c r="J29" s="543">
        <f t="shared" si="6"/>
        <v>0.52108935970482873</v>
      </c>
      <c r="K29" s="543">
        <f t="shared" si="3"/>
        <v>0.68119599024311117</v>
      </c>
      <c r="L29" s="1643">
        <v>0.61098484848484802</v>
      </c>
      <c r="M29" s="1644">
        <f>H29/TableC6!G29</f>
        <v>6.169362773939064E-2</v>
      </c>
      <c r="N29" s="1645"/>
      <c r="O29" s="1645"/>
      <c r="P29" s="526"/>
      <c r="Q29" s="531">
        <v>1996</v>
      </c>
      <c r="R29" s="1646">
        <v>0.49248999999999998</v>
      </c>
      <c r="S29" s="538">
        <v>83</v>
      </c>
      <c r="T29" s="1647">
        <v>0.46244000000000002</v>
      </c>
      <c r="U29" s="1648">
        <v>52</v>
      </c>
    </row>
    <row r="30" spans="2:21" ht="16" x14ac:dyDescent="0.2">
      <c r="B30" s="1639">
        <v>1997</v>
      </c>
      <c r="C30" s="1640">
        <v>31403.319223790677</v>
      </c>
      <c r="D30" s="1641">
        <f t="shared" si="0"/>
        <v>4585.3560676526986</v>
      </c>
      <c r="E30" s="1641">
        <f t="shared" si="4"/>
        <v>26817.963156137979</v>
      </c>
      <c r="F30" s="1641">
        <f t="shared" si="1"/>
        <v>14001.487329217276</v>
      </c>
      <c r="G30" s="1641">
        <f t="shared" si="2"/>
        <v>4533.7533177939222</v>
      </c>
      <c r="H30" s="1641">
        <f>+TableB7!T36*$H$48/TableB7!$T$54</f>
        <v>297.48187839215478</v>
      </c>
      <c r="I30" s="1642">
        <f t="shared" si="5"/>
        <v>0.14601501309386755</v>
      </c>
      <c r="J30" s="543">
        <f t="shared" si="6"/>
        <v>0.52209361492886819</v>
      </c>
      <c r="K30" s="543">
        <f t="shared" si="3"/>
        <v>0.67619487764466146</v>
      </c>
      <c r="L30" s="1643">
        <v>0.60649920255183398</v>
      </c>
      <c r="M30" s="1644">
        <f>H30/TableC6!G30</f>
        <v>6.5614923781717002E-2</v>
      </c>
      <c r="N30" s="1645"/>
      <c r="O30" s="1645"/>
      <c r="P30" s="526"/>
      <c r="Q30" s="531">
        <v>1997</v>
      </c>
      <c r="R30" s="1646">
        <v>0.48898000000000003</v>
      </c>
      <c r="S30" s="538">
        <v>89</v>
      </c>
      <c r="T30" s="1647">
        <v>0.45422000000000001</v>
      </c>
      <c r="U30" s="1648">
        <v>55</v>
      </c>
    </row>
    <row r="31" spans="2:21" ht="16" x14ac:dyDescent="0.2">
      <c r="B31" s="1639">
        <v>1998</v>
      </c>
      <c r="C31" s="1640">
        <v>31314.851252939232</v>
      </c>
      <c r="D31" s="1641">
        <f t="shared" si="0"/>
        <v>4595.2342226780884</v>
      </c>
      <c r="E31" s="1641">
        <f t="shared" si="4"/>
        <v>26719.617030261143</v>
      </c>
      <c r="F31" s="1641">
        <f t="shared" si="1"/>
        <v>13976.974759830962</v>
      </c>
      <c r="G31" s="1641">
        <f t="shared" si="2"/>
        <v>4480.9865499803163</v>
      </c>
      <c r="H31" s="1641">
        <f>+TableB7!T37*$H$48/TableB7!$T$54</f>
        <v>293.29385675233658</v>
      </c>
      <c r="I31" s="1642">
        <f t="shared" si="5"/>
        <v>0.14674296823449789</v>
      </c>
      <c r="J31" s="543">
        <f t="shared" si="6"/>
        <v>0.52309787015290765</v>
      </c>
      <c r="K31" s="543">
        <f t="shared" si="3"/>
        <v>0.67940225785780062</v>
      </c>
      <c r="L31" s="1643">
        <v>0.60937599681020704</v>
      </c>
      <c r="M31" s="1644">
        <f>H31/TableC6!G31</f>
        <v>6.545296520776768E-2</v>
      </c>
      <c r="N31" s="1645"/>
      <c r="O31" s="1645"/>
      <c r="P31" s="526"/>
      <c r="Q31" s="531">
        <v>1998</v>
      </c>
      <c r="R31" s="1646">
        <v>0.51712999999999998</v>
      </c>
      <c r="S31" s="538">
        <v>96</v>
      </c>
      <c r="T31" s="1647">
        <v>0.55740000000000001</v>
      </c>
      <c r="U31" s="1648">
        <v>60</v>
      </c>
    </row>
    <row r="32" spans="2:21" ht="16" x14ac:dyDescent="0.2">
      <c r="B32" s="1639">
        <v>1999</v>
      </c>
      <c r="C32" s="1640">
        <v>32486.11387303469</v>
      </c>
      <c r="D32" s="1641">
        <f t="shared" si="0"/>
        <v>4790.757209725989</v>
      </c>
      <c r="E32" s="1641">
        <f t="shared" si="4"/>
        <v>27695.356663308703</v>
      </c>
      <c r="F32" s="1641">
        <f t="shared" si="1"/>
        <v>14515.195290312686</v>
      </c>
      <c r="G32" s="1641">
        <f t="shared" si="2"/>
        <v>4598.4172157911598</v>
      </c>
      <c r="H32" s="1641">
        <f>+TableB7!T38*$H$48/TableB7!$T$54</f>
        <v>379.10198068083832</v>
      </c>
      <c r="I32" s="1642">
        <f t="shared" si="5"/>
        <v>0.14747092337512824</v>
      </c>
      <c r="J32" s="543">
        <f t="shared" si="6"/>
        <v>0.52410212537694711</v>
      </c>
      <c r="K32" s="543">
        <f t="shared" si="3"/>
        <v>0.68319976935755711</v>
      </c>
      <c r="L32" s="1643">
        <v>0.61278209728867605</v>
      </c>
      <c r="M32" s="1644">
        <f>H32/TableC6!G32</f>
        <v>8.2441840940179603E-2</v>
      </c>
      <c r="N32" s="1645"/>
      <c r="O32" s="1645"/>
      <c r="P32" s="526"/>
      <c r="Q32" s="531">
        <v>1999</v>
      </c>
      <c r="R32" s="1646">
        <v>0.49095</v>
      </c>
      <c r="S32" s="538">
        <v>101</v>
      </c>
      <c r="T32" s="1647">
        <v>0.58123999999999998</v>
      </c>
      <c r="U32" s="1648">
        <v>64</v>
      </c>
    </row>
    <row r="33" spans="2:21" ht="16" x14ac:dyDescent="0.2">
      <c r="B33" s="1639">
        <v>2000</v>
      </c>
      <c r="C33" s="1640">
        <v>33543.172517932886</v>
      </c>
      <c r="D33" s="1641">
        <f t="shared" si="0"/>
        <v>4971.0605490182679</v>
      </c>
      <c r="E33" s="1641">
        <f t="shared" si="4"/>
        <v>28572.111968914618</v>
      </c>
      <c r="F33" s="1641">
        <f t="shared" si="1"/>
        <v>15003.398302122883</v>
      </c>
      <c r="G33" s="1641">
        <f t="shared" si="2"/>
        <v>4621.2208480454574</v>
      </c>
      <c r="H33" s="1641">
        <f>+TableB7!T39*$H$48/TableB7!$T$54</f>
        <v>440.6241509117329</v>
      </c>
      <c r="I33" s="1642">
        <f t="shared" si="5"/>
        <v>0.14819887851575858</v>
      </c>
      <c r="J33" s="543">
        <f t="shared" si="6"/>
        <v>0.52510638060098658</v>
      </c>
      <c r="K33" s="543">
        <f t="shared" si="3"/>
        <v>0.69198839123056644</v>
      </c>
      <c r="L33" s="1643">
        <v>0.62066487240829304</v>
      </c>
      <c r="M33" s="1644">
        <f>H33/TableC6!G33</f>
        <v>9.5347996860633624E-2</v>
      </c>
      <c r="N33" s="1645"/>
      <c r="O33" s="1645"/>
      <c r="P33" s="526"/>
      <c r="Q33" s="531">
        <v>2000</v>
      </c>
      <c r="R33" s="1646">
        <v>0.5776</v>
      </c>
      <c r="S33" s="538">
        <v>106</v>
      </c>
      <c r="T33" s="1647">
        <v>0.60068999999999995</v>
      </c>
      <c r="U33" s="1648">
        <v>67</v>
      </c>
    </row>
    <row r="34" spans="2:21" ht="16" x14ac:dyDescent="0.2">
      <c r="B34" s="1639">
        <v>2001</v>
      </c>
      <c r="C34" s="1640">
        <v>33335.98179663792</v>
      </c>
      <c r="D34" s="1641">
        <f t="shared" si="0"/>
        <v>4964.6222158003047</v>
      </c>
      <c r="E34" s="1641">
        <f t="shared" si="4"/>
        <v>28371.359580837616</v>
      </c>
      <c r="F34" s="1641">
        <f t="shared" si="1"/>
        <v>14926.474028294922</v>
      </c>
      <c r="G34" s="1641">
        <f t="shared" si="2"/>
        <v>4567.1368506129529</v>
      </c>
      <c r="H34" s="1641">
        <f>+TableB7!T40*$H$48/TableB7!$T$54</f>
        <v>369.95715089507036</v>
      </c>
      <c r="I34" s="1642">
        <f t="shared" si="5"/>
        <v>0.14892683365638892</v>
      </c>
      <c r="J34" s="543">
        <f t="shared" si="6"/>
        <v>0.52611063582502604</v>
      </c>
      <c r="K34" s="543">
        <f t="shared" si="3"/>
        <v>0.69402439973731256</v>
      </c>
      <c r="L34" s="1643">
        <v>0.622491028708133</v>
      </c>
      <c r="M34" s="1644">
        <f>H34/TableC6!G34</f>
        <v>8.1004174605676341E-2</v>
      </c>
      <c r="N34" s="1645"/>
      <c r="O34" s="1645"/>
      <c r="P34" s="526"/>
      <c r="Q34" s="531">
        <v>2001</v>
      </c>
      <c r="R34" s="1646">
        <v>0.57091999999999998</v>
      </c>
      <c r="S34" s="538">
        <v>109</v>
      </c>
      <c r="T34" s="1647">
        <v>0.59001999999999999</v>
      </c>
      <c r="U34" s="1648">
        <v>68</v>
      </c>
    </row>
    <row r="35" spans="2:21" ht="16" x14ac:dyDescent="0.2">
      <c r="B35" s="1639">
        <v>2002</v>
      </c>
      <c r="C35" s="1640">
        <v>34612.40754836415</v>
      </c>
      <c r="D35" s="1641">
        <f t="shared" si="0"/>
        <v>5179.9125414067921</v>
      </c>
      <c r="E35" s="1641">
        <f t="shared" si="4"/>
        <v>29432.495006957357</v>
      </c>
      <c r="F35" s="1641">
        <f t="shared" si="1"/>
        <v>15514.306398894492</v>
      </c>
      <c r="G35" s="1641">
        <f t="shared" si="2"/>
        <v>4874.7362295790444</v>
      </c>
      <c r="H35" s="1641">
        <f>+TableB7!T41*$H$48/TableB7!$T$54</f>
        <v>414.23877240473689</v>
      </c>
      <c r="I35" s="1642">
        <f t="shared" si="5"/>
        <v>0.14965478879701927</v>
      </c>
      <c r="J35" s="543">
        <f t="shared" si="6"/>
        <v>0.5271148910490655</v>
      </c>
      <c r="K35" s="543">
        <f t="shared" si="3"/>
        <v>0.68579090136273158</v>
      </c>
      <c r="L35" s="1643">
        <v>0.61510616028708098</v>
      </c>
      <c r="M35" s="1644">
        <f>H35/TableC6!G35</f>
        <v>8.4976653688708048E-2</v>
      </c>
      <c r="N35" s="1645"/>
      <c r="O35" s="1645"/>
      <c r="P35" s="526"/>
      <c r="Q35" s="531">
        <v>2002</v>
      </c>
      <c r="R35" s="1646">
        <v>0.57062999999999997</v>
      </c>
      <c r="S35" s="538">
        <v>114</v>
      </c>
      <c r="T35" s="1647">
        <v>0.57604</v>
      </c>
      <c r="U35" s="1648">
        <v>70</v>
      </c>
    </row>
    <row r="36" spans="2:21" ht="16" x14ac:dyDescent="0.2">
      <c r="B36" s="1639">
        <v>2003</v>
      </c>
      <c r="C36" s="1640">
        <v>38867.460637801349</v>
      </c>
      <c r="D36" s="1641">
        <f t="shared" si="0"/>
        <v>5844.9953806011554</v>
      </c>
      <c r="E36" s="1641">
        <f t="shared" si="4"/>
        <v>33022.465257200194</v>
      </c>
      <c r="F36" s="1641">
        <f t="shared" si="1"/>
        <v>17439.796159465837</v>
      </c>
      <c r="G36" s="1641">
        <f t="shared" si="2"/>
        <v>5623.3137831522918</v>
      </c>
      <c r="H36" s="1641">
        <f>+TableB7!T42*$H$48/TableB7!$T$54</f>
        <v>582.85807630747797</v>
      </c>
      <c r="I36" s="1642">
        <f t="shared" si="5"/>
        <v>0.15038274393764961</v>
      </c>
      <c r="J36" s="543">
        <f t="shared" si="6"/>
        <v>0.52811914627310497</v>
      </c>
      <c r="K36" s="543">
        <f t="shared" si="3"/>
        <v>0.67755851434650438</v>
      </c>
      <c r="L36" s="1643">
        <v>0.60772228867623501</v>
      </c>
      <c r="M36" s="1644">
        <f>H36/TableC6!G36</f>
        <v>0.10365028500699139</v>
      </c>
      <c r="N36" s="1645"/>
      <c r="O36" s="1645"/>
      <c r="P36" s="526"/>
      <c r="Q36" s="531">
        <v>2003</v>
      </c>
      <c r="R36" s="1646">
        <v>0.56552000000000002</v>
      </c>
      <c r="S36" s="538">
        <v>114</v>
      </c>
      <c r="T36" s="1647">
        <v>0.56644000000000005</v>
      </c>
      <c r="U36" s="1648">
        <v>70</v>
      </c>
    </row>
    <row r="37" spans="2:21" ht="16" x14ac:dyDescent="0.2">
      <c r="B37" s="1639">
        <v>2004</v>
      </c>
      <c r="C37" s="1640">
        <v>43770.74399911514</v>
      </c>
      <c r="D37" s="1641">
        <f t="shared" si="0"/>
        <v>6614.2277248827158</v>
      </c>
      <c r="E37" s="1641">
        <f t="shared" si="4"/>
        <v>37156.516274232425</v>
      </c>
      <c r="F37" s="1641">
        <f t="shared" si="1"/>
        <v>19660.382278805864</v>
      </c>
      <c r="G37" s="1641">
        <f t="shared" si="2"/>
        <v>6593.4133819685367</v>
      </c>
      <c r="H37" s="1641">
        <f>+TableB7!T43*$H$48/TableB7!$T$54</f>
        <v>879.34979617921624</v>
      </c>
      <c r="I37" s="1642">
        <f t="shared" si="5"/>
        <v>0.15111069907827995</v>
      </c>
      <c r="J37" s="543">
        <f t="shared" si="6"/>
        <v>0.52912340149714443</v>
      </c>
      <c r="K37" s="543">
        <f t="shared" si="3"/>
        <v>0.66463452803375456</v>
      </c>
      <c r="L37" s="1643">
        <v>0.59613038277511898</v>
      </c>
      <c r="M37" s="1644">
        <f>H37/TableC6!G37</f>
        <v>0.13336791510510093</v>
      </c>
      <c r="N37" s="1645"/>
      <c r="O37" s="1645"/>
      <c r="P37" s="526"/>
      <c r="Q37" s="531">
        <v>2004</v>
      </c>
      <c r="R37" s="1646">
        <v>0.56801000000000001</v>
      </c>
      <c r="S37" s="538">
        <v>115</v>
      </c>
      <c r="T37" s="1647">
        <v>0.55098000000000003</v>
      </c>
      <c r="U37" s="1648">
        <v>71</v>
      </c>
    </row>
    <row r="38" spans="2:21" ht="16" x14ac:dyDescent="0.2">
      <c r="B38" s="1639">
        <v>2005</v>
      </c>
      <c r="C38" s="1640">
        <v>47385.623695561335</v>
      </c>
      <c r="D38" s="1641">
        <f t="shared" si="0"/>
        <v>7194.9693312577401</v>
      </c>
      <c r="E38" s="1641">
        <f t="shared" si="4"/>
        <v>40190.654364303598</v>
      </c>
      <c r="F38" s="1641">
        <f t="shared" si="1"/>
        <v>21306.177420239288</v>
      </c>
      <c r="G38" s="1641">
        <f t="shared" si="2"/>
        <v>7258.2449171998196</v>
      </c>
      <c r="H38" s="1641">
        <f>+TableB7!T44*$H$48/TableB7!$T$54</f>
        <v>1154.5272410233706</v>
      </c>
      <c r="I38" s="1642">
        <f t="shared" si="5"/>
        <v>0.1518386542189103</v>
      </c>
      <c r="J38" s="543">
        <f t="shared" si="6"/>
        <v>0.53012765672118389</v>
      </c>
      <c r="K38" s="543">
        <f t="shared" si="3"/>
        <v>0.65933612707528544</v>
      </c>
      <c r="L38" s="1643">
        <v>0.591378090111642</v>
      </c>
      <c r="M38" s="1644">
        <f>H38/TableC6!G38</f>
        <v>0.15906424406918185</v>
      </c>
      <c r="N38" s="1645"/>
      <c r="O38" s="1645"/>
      <c r="P38" s="526"/>
      <c r="Q38" s="531">
        <v>2005</v>
      </c>
      <c r="R38" s="1646">
        <v>0.57111000000000001</v>
      </c>
      <c r="S38" s="538">
        <v>117</v>
      </c>
      <c r="T38" s="1647">
        <v>0.53764999999999996</v>
      </c>
      <c r="U38" s="1648">
        <v>70</v>
      </c>
    </row>
    <row r="39" spans="2:21" ht="16" x14ac:dyDescent="0.2">
      <c r="B39" s="1639">
        <v>2006</v>
      </c>
      <c r="C39" s="1640">
        <v>51306.757202149049</v>
      </c>
      <c r="D39" s="1641">
        <f t="shared" si="0"/>
        <v>7827.6979835650718</v>
      </c>
      <c r="E39" s="1641">
        <f t="shared" si="4"/>
        <v>43479.059218583978</v>
      </c>
      <c r="F39" s="1641">
        <f t="shared" si="1"/>
        <v>23093.115852346098</v>
      </c>
      <c r="G39" s="1641">
        <f t="shared" si="2"/>
        <v>7982.5970480585947</v>
      </c>
      <c r="H39" s="1641">
        <f>+TableB7!T45*$H$48/TableB7!$T$54</f>
        <v>1340.0586449522318</v>
      </c>
      <c r="I39" s="1642">
        <f t="shared" si="5"/>
        <v>0.15256660935954064</v>
      </c>
      <c r="J39" s="543">
        <f t="shared" si="6"/>
        <v>0.53113191194522336</v>
      </c>
      <c r="K39" s="543">
        <f t="shared" si="3"/>
        <v>0.65433001336423735</v>
      </c>
      <c r="L39" s="1643">
        <v>0.58688795853269504</v>
      </c>
      <c r="M39" s="1644">
        <f>H39/TableC6!G39</f>
        <v>0.16787251528349917</v>
      </c>
      <c r="N39" s="1645"/>
      <c r="O39" s="1645"/>
      <c r="P39" s="526"/>
      <c r="Q39" s="531">
        <v>2006</v>
      </c>
      <c r="R39" s="1646">
        <v>0.5756</v>
      </c>
      <c r="S39" s="538">
        <v>118</v>
      </c>
      <c r="T39" s="1647">
        <v>0.52773000000000003</v>
      </c>
      <c r="U39" s="1648">
        <v>70</v>
      </c>
    </row>
    <row r="40" spans="2:21" ht="16" x14ac:dyDescent="0.2">
      <c r="B40" s="1639">
        <v>2007</v>
      </c>
      <c r="C40" s="1640">
        <v>57793.33057329747</v>
      </c>
      <c r="D40" s="1641">
        <f t="shared" si="0"/>
        <v>8859.4034412480523</v>
      </c>
      <c r="E40" s="1641">
        <f t="shared" si="4"/>
        <v>48933.927132049415</v>
      </c>
      <c r="F40" s="1641">
        <f t="shared" si="1"/>
        <v>26039.512428588772</v>
      </c>
      <c r="G40" s="1641">
        <f t="shared" si="2"/>
        <v>8978.6066013275668</v>
      </c>
      <c r="H40" s="1641">
        <f>+TableB7!T46*$H$48/TableB7!$T$54</f>
        <v>1626.0616625384382</v>
      </c>
      <c r="I40" s="1642">
        <f t="shared" si="5"/>
        <v>0.15329456450017098</v>
      </c>
      <c r="J40" s="543">
        <f t="shared" si="6"/>
        <v>0.53213616716926282</v>
      </c>
      <c r="K40" s="543">
        <f t="shared" si="3"/>
        <v>0.65519298312705898</v>
      </c>
      <c r="L40" s="1643">
        <v>0.58766198165869199</v>
      </c>
      <c r="M40" s="1644">
        <f>H40/TableC6!G40</f>
        <v>0.18110401031469744</v>
      </c>
      <c r="N40" s="1645"/>
      <c r="O40" s="1645"/>
      <c r="P40" s="526"/>
      <c r="Q40" s="531">
        <v>2007</v>
      </c>
      <c r="R40" s="1646">
        <v>0.57330000000000003</v>
      </c>
      <c r="S40" s="538">
        <v>115</v>
      </c>
      <c r="T40" s="1647">
        <v>0.52429000000000003</v>
      </c>
      <c r="U40" s="1648">
        <v>74</v>
      </c>
    </row>
    <row r="41" spans="2:21" ht="16" x14ac:dyDescent="0.2">
      <c r="B41" s="1639">
        <v>2008</v>
      </c>
      <c r="C41" s="1640">
        <v>63386.360636271289</v>
      </c>
      <c r="D41" s="1641">
        <f t="shared" si="0"/>
        <v>9762.9269760590105</v>
      </c>
      <c r="E41" s="1641">
        <f t="shared" si="4"/>
        <v>53623.433660212278</v>
      </c>
      <c r="F41" s="1641">
        <f t="shared" si="1"/>
        <v>28588.820071784798</v>
      </c>
      <c r="G41" s="1641">
        <f t="shared" si="2"/>
        <v>9681.9560322836423</v>
      </c>
      <c r="H41" s="1641">
        <f>+TableB7!T47*$H$48/TableB7!$T$54</f>
        <v>1451.1898023409158</v>
      </c>
      <c r="I41" s="1642">
        <f t="shared" si="5"/>
        <v>0.15402251964080133</v>
      </c>
      <c r="J41" s="543">
        <f t="shared" si="6"/>
        <v>0.53314042239330228</v>
      </c>
      <c r="K41" s="543">
        <f t="shared" si="3"/>
        <v>0.66133768347302069</v>
      </c>
      <c r="L41" s="1643">
        <v>0.59317334529505505</v>
      </c>
      <c r="M41" s="1644">
        <f>H41/TableC6!G41</f>
        <v>0.14988601451008962</v>
      </c>
      <c r="N41" s="1645"/>
      <c r="O41" s="1645"/>
      <c r="P41" s="526"/>
      <c r="Q41" s="531">
        <v>2008</v>
      </c>
      <c r="R41" s="1646">
        <v>0.67188000000000003</v>
      </c>
      <c r="S41" s="538">
        <v>119</v>
      </c>
      <c r="T41" s="1647">
        <v>0.56511999999999996</v>
      </c>
      <c r="U41" s="1648">
        <v>76</v>
      </c>
    </row>
    <row r="42" spans="2:21" ht="16" x14ac:dyDescent="0.2">
      <c r="B42" s="1639">
        <v>2009</v>
      </c>
      <c r="C42" s="1640">
        <v>60086.989443247432</v>
      </c>
      <c r="D42" s="1641">
        <f t="shared" si="0"/>
        <v>9298.4901445294126</v>
      </c>
      <c r="E42" s="1641">
        <f t="shared" si="4"/>
        <v>50788.499298718016</v>
      </c>
      <c r="F42" s="1641">
        <f t="shared" si="1"/>
        <v>27128.406584582321</v>
      </c>
      <c r="G42" s="1641">
        <f t="shared" si="2"/>
        <v>9068.4297083077108</v>
      </c>
      <c r="H42" s="1641">
        <f>+TableB7!T48*$H$48/TableB7!$T$54</f>
        <v>1351.0670902278241</v>
      </c>
      <c r="I42" s="1642">
        <f t="shared" si="5"/>
        <v>0.15475047478143167</v>
      </c>
      <c r="J42" s="543">
        <f t="shared" si="6"/>
        <v>0.53414467761734175</v>
      </c>
      <c r="K42" s="543">
        <f t="shared" si="3"/>
        <v>0.66572199218432893</v>
      </c>
      <c r="L42" s="1582">
        <v>0.59710576156299799</v>
      </c>
      <c r="M42" s="1644">
        <f>H42/TableC6!G42</f>
        <v>0.14898578184821715</v>
      </c>
      <c r="N42" s="1649"/>
      <c r="O42" s="1649"/>
      <c r="P42" s="526"/>
      <c r="Q42" s="531">
        <v>2009</v>
      </c>
      <c r="R42" s="1646">
        <v>0.65393000000000001</v>
      </c>
      <c r="S42" s="538">
        <v>119</v>
      </c>
      <c r="T42" s="1647">
        <v>0.62566999999999995</v>
      </c>
      <c r="U42" s="1648">
        <v>77</v>
      </c>
    </row>
    <row r="43" spans="2:21" ht="16" x14ac:dyDescent="0.2">
      <c r="B43" s="1639">
        <v>2010</v>
      </c>
      <c r="C43" s="1640">
        <v>65906.150720610196</v>
      </c>
      <c r="D43" s="1641">
        <f t="shared" si="0"/>
        <v>10246.984836247249</v>
      </c>
      <c r="E43" s="1641">
        <f t="shared" si="4"/>
        <v>55659.165884362948</v>
      </c>
      <c r="F43" s="1641">
        <f t="shared" si="1"/>
        <v>29785.943225858242</v>
      </c>
      <c r="G43" s="1641">
        <f t="shared" si="2"/>
        <v>10394.173810299038</v>
      </c>
      <c r="H43" s="1641">
        <f>+TableB7!T49*$H$48/TableB7!$T$54</f>
        <v>1784.5592123315012</v>
      </c>
      <c r="I43" s="1642">
        <f t="shared" si="5"/>
        <v>0.15547842992206201</v>
      </c>
      <c r="J43" s="543">
        <f t="shared" si="6"/>
        <v>0.53514893284138121</v>
      </c>
      <c r="K43" s="543">
        <f t="shared" si="3"/>
        <v>0.65103761423692352</v>
      </c>
      <c r="L43" s="1582">
        <v>0.58393490829345995</v>
      </c>
      <c r="M43" s="1644">
        <f>H43/TableC6!G43</f>
        <v>0.17168841361525777</v>
      </c>
      <c r="N43" s="1649"/>
      <c r="O43" s="1649"/>
      <c r="P43" s="526"/>
      <c r="Q43" s="531">
        <v>2010</v>
      </c>
      <c r="R43" s="1646">
        <v>0.66044999999999998</v>
      </c>
      <c r="S43" s="538">
        <v>114</v>
      </c>
      <c r="T43" s="1647">
        <v>0.57135000000000002</v>
      </c>
      <c r="U43" s="1648">
        <v>77</v>
      </c>
    </row>
    <row r="44" spans="2:21" ht="16" x14ac:dyDescent="0.2">
      <c r="B44" s="1639">
        <v>2011</v>
      </c>
      <c r="C44" s="1640">
        <v>73241.71791843549</v>
      </c>
      <c r="D44" s="1641">
        <f t="shared" si="0"/>
        <v>11440.823991820229</v>
      </c>
      <c r="E44" s="1641">
        <f t="shared" si="4"/>
        <v>61800.893926615259</v>
      </c>
      <c r="F44" s="1641">
        <f t="shared" si="1"/>
        <v>33134.746304047665</v>
      </c>
      <c r="G44" s="1641">
        <f t="shared" si="2"/>
        <v>11437.042603226486</v>
      </c>
      <c r="H44" s="1641">
        <f>+TableB7!T50*$H$48/TableB7!$T$54</f>
        <v>1934.2740680795559</v>
      </c>
      <c r="I44" s="1642">
        <f t="shared" si="5"/>
        <v>0.15620638506269235</v>
      </c>
      <c r="J44" s="543">
        <f t="shared" si="6"/>
        <v>0.53615318806542067</v>
      </c>
      <c r="K44" s="543">
        <f t="shared" si="3"/>
        <v>0.65483234734079243</v>
      </c>
      <c r="L44" s="1582">
        <v>0.58733851674641102</v>
      </c>
      <c r="M44" s="1644">
        <f>H44/TableC6!G44</f>
        <v>0.16912362182981472</v>
      </c>
      <c r="N44" s="1649"/>
      <c r="O44" s="1649"/>
      <c r="P44" s="526"/>
      <c r="Q44" s="531">
        <v>2011</v>
      </c>
      <c r="R44" s="1646">
        <v>0.61506000000000005</v>
      </c>
      <c r="S44" s="538">
        <v>112</v>
      </c>
      <c r="T44" s="1647">
        <v>0.58191000000000004</v>
      </c>
      <c r="U44" s="1648">
        <v>76</v>
      </c>
    </row>
    <row r="45" spans="2:21" ht="16" x14ac:dyDescent="0.2">
      <c r="B45" s="1639">
        <v>2012</v>
      </c>
      <c r="C45" s="1640">
        <v>74802.287630428982</v>
      </c>
      <c r="D45" s="1641">
        <f t="shared" si="0"/>
        <v>11739.047654980539</v>
      </c>
      <c r="E45" s="1641">
        <f t="shared" si="4"/>
        <v>63063.239975448443</v>
      </c>
      <c r="F45" s="1641">
        <f t="shared" si="1"/>
        <v>33874.888750761565</v>
      </c>
      <c r="G45" s="1641">
        <f t="shared" si="2"/>
        <v>11444.590589474463</v>
      </c>
      <c r="H45" s="1641">
        <f>+TableB7!T51*$H$48/TableB7!$T$54</f>
        <v>1820.351698336842</v>
      </c>
      <c r="I45" s="1642">
        <f t="shared" si="5"/>
        <v>0.1569343402033227</v>
      </c>
      <c r="J45" s="543">
        <f t="shared" si="6"/>
        <v>0.53715744328946013</v>
      </c>
      <c r="K45" s="543">
        <f t="shared" si="3"/>
        <v>0.66215119778903575</v>
      </c>
      <c r="L45" s="1582">
        <v>0.59390301036682602</v>
      </c>
      <c r="M45" s="1644">
        <f>H45/TableC6!G45</f>
        <v>0.15905782597509527</v>
      </c>
      <c r="N45" s="1649"/>
      <c r="O45" s="1649"/>
      <c r="P45" s="526"/>
      <c r="Q45" s="531">
        <v>2012</v>
      </c>
      <c r="R45" s="1646">
        <v>0.60602</v>
      </c>
      <c r="S45" s="538">
        <v>217</v>
      </c>
      <c r="T45" s="1647">
        <v>0.58535999999999999</v>
      </c>
      <c r="U45" s="1648">
        <v>74</v>
      </c>
    </row>
    <row r="46" spans="2:21" ht="16" x14ac:dyDescent="0.2">
      <c r="B46" s="1639">
        <v>2013</v>
      </c>
      <c r="C46" s="1640">
        <v>76924.649544655607</v>
      </c>
      <c r="D46" s="1641">
        <f t="shared" si="0"/>
        <v>12128.116815739575</v>
      </c>
      <c r="E46" s="1641">
        <f t="shared" si="4"/>
        <v>64796.532728916034</v>
      </c>
      <c r="F46" s="1641">
        <f t="shared" si="1"/>
        <v>34871.012111179021</v>
      </c>
      <c r="G46" s="1641">
        <f t="shared" si="2"/>
        <v>11781.129673645861</v>
      </c>
      <c r="H46" s="1641">
        <f>+TableB7!T52*$H$48/TableB7!$T$54</f>
        <v>1891.539644452339</v>
      </c>
      <c r="I46" s="1642">
        <f t="shared" si="5"/>
        <v>0.15766229534395304</v>
      </c>
      <c r="J46" s="543">
        <f t="shared" si="6"/>
        <v>0.5381616985134996</v>
      </c>
      <c r="K46" s="543">
        <f t="shared" si="3"/>
        <v>0.66215119778903575</v>
      </c>
      <c r="L46" s="1582">
        <v>0.59390301036682602</v>
      </c>
      <c r="M46" s="1644">
        <f>H46/TableC6!G46</f>
        <v>0.16055672901077334</v>
      </c>
      <c r="N46" s="1649"/>
      <c r="O46" s="1649"/>
      <c r="P46" s="526"/>
      <c r="Q46" s="531">
        <v>2013</v>
      </c>
      <c r="R46" s="1646">
        <v>0.60607999999999995</v>
      </c>
      <c r="S46" s="538">
        <v>217</v>
      </c>
      <c r="T46" s="1647">
        <v>0.59719</v>
      </c>
      <c r="U46" s="1648">
        <v>69</v>
      </c>
    </row>
    <row r="47" spans="2:21" ht="16" x14ac:dyDescent="0.2">
      <c r="B47" s="1639">
        <v>2014</v>
      </c>
      <c r="C47" s="1640">
        <v>78870.11901370289</v>
      </c>
      <c r="D47" s="1641">
        <f t="shared" si="0"/>
        <v>12492.257906329303</v>
      </c>
      <c r="E47" s="1641">
        <f t="shared" si="4"/>
        <v>66377.861107373581</v>
      </c>
      <c r="F47" s="1641">
        <f t="shared" si="1"/>
        <v>35788.68279101498</v>
      </c>
      <c r="G47" s="1641">
        <f t="shared" si="2"/>
        <v>12091.163613652559</v>
      </c>
      <c r="H47" s="1641">
        <f>+TableB7!T53*$H$48/TableB7!$T$54</f>
        <v>1965.6631759746599</v>
      </c>
      <c r="I47" s="1642">
        <f t="shared" si="5"/>
        <v>0.15839025048458338</v>
      </c>
      <c r="J47" s="543">
        <f t="shared" si="6"/>
        <v>0.53916595373753906</v>
      </c>
      <c r="K47" s="543">
        <f>K48*L47/L48</f>
        <v>0.66215119778903575</v>
      </c>
      <c r="L47" s="1582">
        <v>0.59390301036682602</v>
      </c>
      <c r="M47" s="1644">
        <f>H47/TableC6!G47</f>
        <v>0.16257022390757828</v>
      </c>
      <c r="N47" s="1649"/>
      <c r="O47" s="1649"/>
      <c r="P47" s="526"/>
      <c r="Q47" s="531">
        <v>2014</v>
      </c>
      <c r="R47" s="1646">
        <v>0.58847000000000005</v>
      </c>
      <c r="S47" s="538">
        <v>217</v>
      </c>
      <c r="T47" s="1647">
        <v>0.50897000000000003</v>
      </c>
      <c r="U47" s="1648">
        <v>67</v>
      </c>
    </row>
    <row r="48" spans="2:21" ht="17" thickBot="1" x14ac:dyDescent="0.25">
      <c r="B48" s="1650">
        <v>2015</v>
      </c>
      <c r="C48" s="1651">
        <f>TableC5!B91</f>
        <v>75038.958996406785</v>
      </c>
      <c r="D48" s="1652">
        <f>TableA1!M91</f>
        <v>11940.064507492207</v>
      </c>
      <c r="E48" s="1652">
        <f>C48-D48</f>
        <v>63098.894488914579</v>
      </c>
      <c r="F48" s="1652">
        <f>TableC5!D91-TableC5!I91</f>
        <v>34084.143021321477</v>
      </c>
      <c r="G48" s="1652">
        <f>TableC5!$H$91</f>
        <v>11515.286894140656</v>
      </c>
      <c r="H48" s="1652">
        <f>TableA6!$E$91</f>
        <v>1703.2290592571803</v>
      </c>
      <c r="I48" s="1653">
        <f>D48/C48</f>
        <v>0.15911820562521334</v>
      </c>
      <c r="J48" s="1654">
        <f>F48/E48</f>
        <v>0.54017020896157686</v>
      </c>
      <c r="K48" s="1654">
        <f>1-G48/F48</f>
        <v>0.66215119778903575</v>
      </c>
      <c r="L48" s="1655">
        <v>0.59390301036682602</v>
      </c>
      <c r="M48" s="1656">
        <f>H48/TableC6!G48</f>
        <v>0.1479102583300671</v>
      </c>
      <c r="N48" s="1111"/>
      <c r="O48" s="1111"/>
      <c r="P48" s="526"/>
      <c r="Q48" s="532">
        <v>2015</v>
      </c>
      <c r="R48" s="1657">
        <v>0.57533000000000001</v>
      </c>
      <c r="S48" s="539">
        <v>221</v>
      </c>
      <c r="T48" s="1658">
        <v>0.56013999999999997</v>
      </c>
      <c r="U48" s="536">
        <v>49</v>
      </c>
    </row>
    <row r="49" spans="2:21" ht="17" thickTop="1" thickBot="1" x14ac:dyDescent="0.25"/>
    <row r="50" spans="2:21" ht="15.75" customHeight="1" x14ac:dyDescent="0.2">
      <c r="B50" s="2321" t="s">
        <v>746</v>
      </c>
      <c r="C50" s="2322"/>
      <c r="D50" s="2322"/>
      <c r="E50" s="2322"/>
      <c r="F50" s="2322"/>
      <c r="G50" s="2322"/>
      <c r="H50" s="2322"/>
      <c r="I50" s="2322"/>
      <c r="J50" s="2322"/>
      <c r="K50" s="2322"/>
      <c r="L50" s="2322"/>
      <c r="M50" s="2323"/>
      <c r="Q50" s="2327" t="s">
        <v>747</v>
      </c>
      <c r="R50" s="2328"/>
      <c r="S50" s="2328"/>
      <c r="T50" s="2328"/>
      <c r="U50" s="2329"/>
    </row>
    <row r="51" spans="2:21" ht="15.75" customHeight="1" thickBot="1" x14ac:dyDescent="0.25">
      <c r="B51" s="2324"/>
      <c r="C51" s="2325"/>
      <c r="D51" s="2325"/>
      <c r="E51" s="2325"/>
      <c r="F51" s="2325"/>
      <c r="G51" s="2325"/>
      <c r="H51" s="2325"/>
      <c r="I51" s="2325"/>
      <c r="J51" s="2325"/>
      <c r="K51" s="2325"/>
      <c r="L51" s="2325"/>
      <c r="M51" s="2326"/>
      <c r="Q51" s="2330"/>
      <c r="R51" s="2331"/>
      <c r="S51" s="2331"/>
      <c r="T51" s="2331"/>
      <c r="U51" s="2332"/>
    </row>
    <row r="53" spans="2:21" ht="16" x14ac:dyDescent="0.2">
      <c r="F53"/>
      <c r="G53"/>
      <c r="H53"/>
      <c r="I53"/>
    </row>
    <row r="54" spans="2:21" ht="16" x14ac:dyDescent="0.2">
      <c r="F54"/>
      <c r="G54"/>
      <c r="H54"/>
      <c r="I54"/>
    </row>
    <row r="55" spans="2:21" ht="16" x14ac:dyDescent="0.2">
      <c r="F55"/>
      <c r="G55"/>
      <c r="H55"/>
      <c r="I55"/>
    </row>
    <row r="56" spans="2:21" ht="16" x14ac:dyDescent="0.2">
      <c r="F56"/>
      <c r="G56"/>
      <c r="H56"/>
      <c r="I56"/>
    </row>
    <row r="57" spans="2:21" ht="16" x14ac:dyDescent="0.2">
      <c r="F57"/>
      <c r="G57"/>
      <c r="H57"/>
      <c r="I57"/>
    </row>
    <row r="58" spans="2:21" ht="16" x14ac:dyDescent="0.2">
      <c r="F58"/>
      <c r="G58"/>
      <c r="H58"/>
      <c r="I58"/>
    </row>
    <row r="59" spans="2:21" ht="16" x14ac:dyDescent="0.2">
      <c r="F59"/>
      <c r="G59"/>
      <c r="H59"/>
      <c r="I59"/>
    </row>
    <row r="60" spans="2:21" ht="16" x14ac:dyDescent="0.2">
      <c r="F60"/>
      <c r="G60"/>
      <c r="H60"/>
      <c r="I60"/>
    </row>
    <row r="61" spans="2:21" ht="16" x14ac:dyDescent="0.2">
      <c r="F61"/>
      <c r="G61"/>
      <c r="H61"/>
      <c r="I61"/>
    </row>
    <row r="62" spans="2:21" ht="16" x14ac:dyDescent="0.2">
      <c r="F62"/>
      <c r="G62"/>
      <c r="H62"/>
      <c r="I62"/>
    </row>
    <row r="63" spans="2:21" ht="16" x14ac:dyDescent="0.2">
      <c r="F63"/>
      <c r="G63"/>
      <c r="H63"/>
      <c r="I63"/>
    </row>
    <row r="64" spans="2:21" ht="16" x14ac:dyDescent="0.2">
      <c r="F64"/>
      <c r="G64"/>
      <c r="H64"/>
      <c r="I64"/>
    </row>
    <row r="65" spans="6:9" ht="16" x14ac:dyDescent="0.2">
      <c r="F65"/>
      <c r="G65"/>
      <c r="H65"/>
      <c r="I65"/>
    </row>
    <row r="66" spans="6:9" ht="16" x14ac:dyDescent="0.2">
      <c r="F66"/>
      <c r="G66"/>
      <c r="H66"/>
      <c r="I66"/>
    </row>
    <row r="67" spans="6:9" ht="16" x14ac:dyDescent="0.2">
      <c r="F67"/>
      <c r="G67"/>
      <c r="H67"/>
      <c r="I67"/>
    </row>
    <row r="68" spans="6:9" ht="16" x14ac:dyDescent="0.2">
      <c r="F68"/>
      <c r="G68"/>
      <c r="H68"/>
      <c r="I68"/>
    </row>
    <row r="69" spans="6:9" ht="16" x14ac:dyDescent="0.2">
      <c r="F69"/>
      <c r="G69"/>
      <c r="H69"/>
      <c r="I69"/>
    </row>
    <row r="70" spans="6:9" ht="16" x14ac:dyDescent="0.2">
      <c r="F70"/>
      <c r="G70"/>
      <c r="H70"/>
      <c r="I70"/>
    </row>
    <row r="71" spans="6:9" ht="16" x14ac:dyDescent="0.2">
      <c r="F71"/>
      <c r="G71"/>
      <c r="H71"/>
      <c r="I71"/>
    </row>
    <row r="72" spans="6:9" ht="16" x14ac:dyDescent="0.2">
      <c r="F72"/>
      <c r="G72"/>
      <c r="H72"/>
      <c r="I72"/>
    </row>
    <row r="73" spans="6:9" ht="16" x14ac:dyDescent="0.2">
      <c r="F73"/>
      <c r="G73"/>
      <c r="H73"/>
      <c r="I73"/>
    </row>
    <row r="74" spans="6:9" ht="16" x14ac:dyDescent="0.2">
      <c r="F74"/>
      <c r="G74"/>
      <c r="H74"/>
      <c r="I74"/>
    </row>
    <row r="75" spans="6:9" ht="16" x14ac:dyDescent="0.2">
      <c r="F75"/>
      <c r="G75"/>
      <c r="H75"/>
      <c r="I75"/>
    </row>
    <row r="76" spans="6:9" ht="16" x14ac:dyDescent="0.2">
      <c r="F76"/>
      <c r="G76"/>
      <c r="H76"/>
      <c r="I76"/>
    </row>
    <row r="77" spans="6:9" ht="16" x14ac:dyDescent="0.2">
      <c r="F77"/>
      <c r="G77"/>
      <c r="H77"/>
      <c r="I77"/>
    </row>
    <row r="78" spans="6:9" ht="16" x14ac:dyDescent="0.2">
      <c r="F78"/>
      <c r="G78"/>
      <c r="H78"/>
      <c r="I78"/>
    </row>
    <row r="79" spans="6:9" ht="16" x14ac:dyDescent="0.2">
      <c r="F79"/>
      <c r="G79"/>
      <c r="H79"/>
      <c r="I79"/>
    </row>
    <row r="80" spans="6:9" ht="16" x14ac:dyDescent="0.2">
      <c r="F80"/>
      <c r="G80"/>
      <c r="H80"/>
      <c r="I80"/>
    </row>
    <row r="81" spans="6:9" ht="16" x14ac:dyDescent="0.2">
      <c r="F81"/>
      <c r="G81"/>
      <c r="H81"/>
      <c r="I81"/>
    </row>
    <row r="82" spans="6:9" ht="16" x14ac:dyDescent="0.2">
      <c r="F82"/>
      <c r="G82"/>
      <c r="H82"/>
      <c r="I82"/>
    </row>
    <row r="83" spans="6:9" ht="16" x14ac:dyDescent="0.2">
      <c r="F83"/>
      <c r="G83"/>
      <c r="H83"/>
      <c r="I83"/>
    </row>
    <row r="84" spans="6:9" ht="16" x14ac:dyDescent="0.2">
      <c r="F84"/>
      <c r="G84"/>
      <c r="H84"/>
      <c r="I84"/>
    </row>
    <row r="85" spans="6:9" ht="16" x14ac:dyDescent="0.2">
      <c r="F85"/>
      <c r="G85"/>
      <c r="H85"/>
      <c r="I85"/>
    </row>
    <row r="86" spans="6:9" ht="16" x14ac:dyDescent="0.2">
      <c r="F86"/>
      <c r="G86"/>
      <c r="H86"/>
      <c r="I86"/>
    </row>
    <row r="87" spans="6:9" ht="16" x14ac:dyDescent="0.2">
      <c r="F87"/>
      <c r="G87"/>
      <c r="H87"/>
      <c r="I87"/>
    </row>
    <row r="88" spans="6:9" ht="16" x14ac:dyDescent="0.2">
      <c r="F88"/>
      <c r="G88"/>
      <c r="H88"/>
      <c r="I88"/>
    </row>
    <row r="89" spans="6:9" ht="16" x14ac:dyDescent="0.2">
      <c r="F89"/>
      <c r="G89"/>
      <c r="H89"/>
      <c r="I89"/>
    </row>
    <row r="90" spans="6:9" ht="16" x14ac:dyDescent="0.2">
      <c r="F90"/>
      <c r="G90"/>
      <c r="H90"/>
      <c r="I90"/>
    </row>
    <row r="91" spans="6:9" ht="16" x14ac:dyDescent="0.2">
      <c r="F91"/>
      <c r="G91"/>
      <c r="H91"/>
      <c r="I91"/>
    </row>
    <row r="92" spans="6:9" ht="16" x14ac:dyDescent="0.2">
      <c r="F92"/>
      <c r="G92"/>
      <c r="H92"/>
      <c r="I92"/>
    </row>
    <row r="93" spans="6:9" ht="16" x14ac:dyDescent="0.2">
      <c r="F93"/>
      <c r="G93"/>
      <c r="H93"/>
      <c r="I93"/>
    </row>
    <row r="94" spans="6:9" ht="16" x14ac:dyDescent="0.2">
      <c r="F94"/>
      <c r="G94"/>
      <c r="H94"/>
      <c r="I94"/>
    </row>
    <row r="95" spans="6:9" ht="16" x14ac:dyDescent="0.2">
      <c r="F95"/>
      <c r="G95"/>
      <c r="H95"/>
      <c r="I95"/>
    </row>
    <row r="96" spans="6:9" ht="16" x14ac:dyDescent="0.2">
      <c r="F96"/>
      <c r="G96"/>
      <c r="H96"/>
      <c r="I96"/>
    </row>
    <row r="97" spans="6:9" ht="16" x14ac:dyDescent="0.2">
      <c r="F97"/>
      <c r="G97"/>
      <c r="H97"/>
      <c r="I97"/>
    </row>
    <row r="98" spans="6:9" ht="16" x14ac:dyDescent="0.2">
      <c r="F98"/>
      <c r="G98"/>
      <c r="H98"/>
      <c r="I98"/>
    </row>
    <row r="99" spans="6:9" ht="16" x14ac:dyDescent="0.2">
      <c r="F99"/>
      <c r="G99"/>
      <c r="H99"/>
      <c r="I99"/>
    </row>
  </sheetData>
  <mergeCells count="11">
    <mergeCell ref="B50:M51"/>
    <mergeCell ref="Q50:U51"/>
    <mergeCell ref="Q3:U3"/>
    <mergeCell ref="R6:U6"/>
    <mergeCell ref="C6:H6"/>
    <mergeCell ref="I6:I7"/>
    <mergeCell ref="J6:J7"/>
    <mergeCell ref="K6:K7"/>
    <mergeCell ref="L6:L7"/>
    <mergeCell ref="M6:M7"/>
    <mergeCell ref="B3:M3"/>
  </mergeCells>
  <pageMargins left="0.7" right="0.7" top="0.75" bottom="0.75" header="0.3" footer="0.3"/>
  <pageSetup paperSize="9" scale="30" fitToHeight="0" orientation="portrait"/>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3:AU98"/>
  <sheetViews>
    <sheetView zoomScale="70" zoomScaleNormal="70" zoomScalePageLayoutView="70" workbookViewId="0">
      <pane xSplit="2" ySplit="9" topLeftCell="C28" activePane="bottomRight" state="frozen"/>
      <selection pane="topRight" activeCell="AR8" sqref="AR8"/>
      <selection pane="bottomLeft" activeCell="AR8" sqref="AR8"/>
      <selection pane="bottomRight" activeCell="Q96" sqref="Q96"/>
    </sheetView>
  </sheetViews>
  <sheetFormatPr baseColWidth="10" defaultColWidth="10.83203125" defaultRowHeight="16" x14ac:dyDescent="0.2"/>
  <cols>
    <col min="1" max="1" width="17.5" style="1" hidden="1" customWidth="1"/>
    <col min="2" max="2" width="19" style="1" customWidth="1"/>
    <col min="3" max="3" width="11.5" style="1" customWidth="1"/>
    <col min="4" max="5" width="11.5" style="2" customWidth="1"/>
    <col min="6" max="14" width="11.5" style="1" customWidth="1"/>
    <col min="15" max="16" width="11.5" style="2" customWidth="1"/>
    <col min="17" max="24" width="11.5" style="1" customWidth="1"/>
    <col min="25" max="26" width="10.83203125" style="1"/>
    <col min="27" max="27" width="13.6640625" style="1" customWidth="1"/>
    <col min="28" max="16384" width="10.83203125" style="1"/>
  </cols>
  <sheetData>
    <row r="3" spans="2:29" ht="17" thickBot="1" x14ac:dyDescent="0.25">
      <c r="B3" s="958"/>
      <c r="C3" s="958"/>
      <c r="F3" s="958"/>
      <c r="G3" s="958"/>
      <c r="H3" s="958"/>
      <c r="I3" s="958"/>
      <c r="J3" s="958"/>
      <c r="K3" s="958"/>
      <c r="L3" s="958"/>
      <c r="M3" s="1115"/>
      <c r="N3" s="958"/>
      <c r="Q3" s="958"/>
      <c r="R3" s="958"/>
      <c r="S3" s="958"/>
      <c r="T3" s="958"/>
      <c r="U3" s="958"/>
      <c r="V3" s="958"/>
      <c r="W3" s="958"/>
      <c r="X3" s="1115"/>
      <c r="Y3" s="958"/>
      <c r="Z3" s="958"/>
      <c r="AA3" s="958"/>
      <c r="AB3" s="958"/>
      <c r="AC3" s="958"/>
    </row>
    <row r="4" spans="2:29" ht="17" hidden="1" thickBot="1" x14ac:dyDescent="0.25">
      <c r="B4" s="958"/>
      <c r="C4" s="958"/>
      <c r="F4" s="958">
        <v>2</v>
      </c>
      <c r="G4" s="958">
        <v>3</v>
      </c>
      <c r="H4" s="958">
        <v>4</v>
      </c>
      <c r="I4" s="958">
        <v>5</v>
      </c>
      <c r="J4" s="958">
        <v>6</v>
      </c>
      <c r="K4" s="958">
        <v>7</v>
      </c>
      <c r="L4" s="958">
        <v>8</v>
      </c>
      <c r="M4" s="958">
        <v>9</v>
      </c>
      <c r="N4" s="958"/>
      <c r="Q4" s="958">
        <v>2</v>
      </c>
      <c r="R4" s="958">
        <v>3</v>
      </c>
      <c r="S4" s="958">
        <v>4</v>
      </c>
      <c r="T4" s="958">
        <v>5</v>
      </c>
      <c r="U4" s="958">
        <v>6</v>
      </c>
      <c r="V4" s="958">
        <v>7</v>
      </c>
      <c r="W4" s="958">
        <v>8</v>
      </c>
      <c r="X4" s="958">
        <v>9</v>
      </c>
      <c r="Y4" s="958"/>
      <c r="Z4" s="958"/>
      <c r="AA4" s="958"/>
      <c r="AB4" s="958"/>
      <c r="AC4" s="958"/>
    </row>
    <row r="5" spans="2:29" ht="32.25" customHeight="1" x14ac:dyDescent="0.2">
      <c r="B5" s="2073" t="s">
        <v>748</v>
      </c>
      <c r="C5" s="2074"/>
      <c r="D5" s="2074"/>
      <c r="E5" s="2074"/>
      <c r="F5" s="2074"/>
      <c r="G5" s="2074"/>
      <c r="H5" s="2074"/>
      <c r="I5" s="2074"/>
      <c r="J5" s="2074"/>
      <c r="K5" s="2074"/>
      <c r="L5" s="2074"/>
      <c r="M5" s="2074"/>
      <c r="N5" s="2074"/>
      <c r="O5" s="2074"/>
      <c r="P5" s="2074"/>
      <c r="Q5" s="2074"/>
      <c r="R5" s="2074"/>
      <c r="S5" s="2074"/>
      <c r="T5" s="2074"/>
      <c r="U5" s="2074"/>
      <c r="V5" s="2074"/>
      <c r="W5" s="2074"/>
      <c r="X5" s="2075"/>
      <c r="Y5" s="958"/>
      <c r="Z5" s="958"/>
      <c r="AA5" s="958"/>
      <c r="AB5" s="958"/>
      <c r="AC5" s="958"/>
    </row>
    <row r="6" spans="2:29" ht="32.25" customHeight="1" x14ac:dyDescent="0.2">
      <c r="B6" s="118"/>
      <c r="C6" s="160" t="s">
        <v>1</v>
      </c>
      <c r="D6" s="160" t="s">
        <v>2</v>
      </c>
      <c r="E6" s="160" t="s">
        <v>3</v>
      </c>
      <c r="F6" s="160" t="s">
        <v>4</v>
      </c>
      <c r="G6" s="160" t="s">
        <v>5</v>
      </c>
      <c r="H6" s="160" t="s">
        <v>6</v>
      </c>
      <c r="I6" s="160" t="s">
        <v>7</v>
      </c>
      <c r="J6" s="160" t="s">
        <v>8</v>
      </c>
      <c r="K6" s="160" t="s">
        <v>9</v>
      </c>
      <c r="L6" s="160" t="s">
        <v>10</v>
      </c>
      <c r="M6" s="160" t="s">
        <v>11</v>
      </c>
      <c r="N6" s="160" t="s">
        <v>12</v>
      </c>
      <c r="O6" s="160" t="s">
        <v>13</v>
      </c>
      <c r="P6" s="160" t="s">
        <v>177</v>
      </c>
      <c r="Q6" s="160" t="s">
        <v>178</v>
      </c>
      <c r="R6" s="160" t="s">
        <v>179</v>
      </c>
      <c r="S6" s="160" t="s">
        <v>619</v>
      </c>
      <c r="T6" s="160" t="s">
        <v>620</v>
      </c>
      <c r="U6" s="160" t="s">
        <v>621</v>
      </c>
      <c r="V6" s="160" t="s">
        <v>622</v>
      </c>
      <c r="W6" s="160" t="s">
        <v>623</v>
      </c>
      <c r="X6" s="793" t="s">
        <v>624</v>
      </c>
      <c r="Y6" s="958"/>
      <c r="Z6" s="958"/>
      <c r="AA6" s="958"/>
      <c r="AB6" s="958"/>
      <c r="AC6" s="958"/>
    </row>
    <row r="7" spans="2:29" ht="21" customHeight="1" x14ac:dyDescent="0.2">
      <c r="B7" s="959"/>
      <c r="C7" s="2098" t="s">
        <v>749</v>
      </c>
      <c r="D7" s="2099"/>
      <c r="E7" s="2099"/>
      <c r="F7" s="2099"/>
      <c r="G7" s="2099"/>
      <c r="H7" s="2099"/>
      <c r="I7" s="2099"/>
      <c r="J7" s="2099"/>
      <c r="K7" s="2099"/>
      <c r="L7" s="2099"/>
      <c r="M7" s="2100"/>
      <c r="N7" s="2099" t="s">
        <v>750</v>
      </c>
      <c r="O7" s="2099"/>
      <c r="P7" s="2099"/>
      <c r="Q7" s="2099"/>
      <c r="R7" s="2099"/>
      <c r="S7" s="2099"/>
      <c r="T7" s="2099"/>
      <c r="U7" s="2099"/>
      <c r="V7" s="2099"/>
      <c r="W7" s="2099"/>
      <c r="X7" s="2100"/>
      <c r="Y7" s="958"/>
      <c r="Z7" s="958"/>
      <c r="AA7" s="958"/>
      <c r="AB7" s="958"/>
      <c r="AC7" s="958"/>
    </row>
    <row r="8" spans="2:29" ht="85" customHeight="1" x14ac:dyDescent="0.2">
      <c r="B8" s="959"/>
      <c r="C8" s="2020" t="s">
        <v>627</v>
      </c>
      <c r="D8" s="1838" t="s">
        <v>628</v>
      </c>
      <c r="E8" s="1864" t="s">
        <v>751</v>
      </c>
      <c r="F8" s="1826" t="s">
        <v>31</v>
      </c>
      <c r="G8" s="1826" t="s">
        <v>86</v>
      </c>
      <c r="H8" s="1826" t="s">
        <v>43</v>
      </c>
      <c r="I8" s="1828" t="s">
        <v>49</v>
      </c>
      <c r="J8" s="1826" t="s">
        <v>96</v>
      </c>
      <c r="K8" s="1828" t="s">
        <v>51</v>
      </c>
      <c r="L8" s="1828" t="s">
        <v>60</v>
      </c>
      <c r="M8" s="1843" t="s">
        <v>630</v>
      </c>
      <c r="N8" s="2020" t="s">
        <v>627</v>
      </c>
      <c r="O8" s="1850" t="s">
        <v>628</v>
      </c>
      <c r="P8" s="1864" t="s">
        <v>751</v>
      </c>
      <c r="Q8" s="1826" t="s">
        <v>31</v>
      </c>
      <c r="R8" s="1826" t="s">
        <v>86</v>
      </c>
      <c r="S8" s="1826" t="s">
        <v>43</v>
      </c>
      <c r="T8" s="1828" t="s">
        <v>49</v>
      </c>
      <c r="U8" s="1826" t="s">
        <v>96</v>
      </c>
      <c r="V8" s="1828" t="s">
        <v>51</v>
      </c>
      <c r="W8" s="1828" t="s">
        <v>60</v>
      </c>
      <c r="X8" s="1843" t="s">
        <v>630</v>
      </c>
      <c r="Y8" s="958"/>
      <c r="Z8" s="958"/>
      <c r="AA8" s="958"/>
      <c r="AB8" s="958"/>
      <c r="AC8" s="958"/>
    </row>
    <row r="9" spans="2:29" ht="17.25" customHeight="1" x14ac:dyDescent="0.2">
      <c r="B9" s="959"/>
      <c r="C9" s="2020"/>
      <c r="D9" s="1838"/>
      <c r="E9" s="322"/>
      <c r="F9" s="1826"/>
      <c r="G9" s="1826"/>
      <c r="H9" s="1826"/>
      <c r="I9" s="1826"/>
      <c r="J9" s="1826"/>
      <c r="K9" s="1826"/>
      <c r="L9" s="1826"/>
      <c r="M9" s="1843"/>
      <c r="N9" s="2020"/>
      <c r="O9" s="1838"/>
      <c r="P9" s="322"/>
      <c r="Q9" s="1826"/>
      <c r="R9" s="1826"/>
      <c r="S9" s="1826"/>
      <c r="T9" s="1826"/>
      <c r="U9" s="1826"/>
      <c r="V9" s="1826"/>
      <c r="W9" s="1826"/>
      <c r="X9" s="1843"/>
      <c r="Y9" s="958"/>
      <c r="Z9" s="958"/>
      <c r="AA9" s="958"/>
      <c r="AB9" s="958"/>
      <c r="AC9" s="958"/>
    </row>
    <row r="10" spans="2:29" ht="40" customHeight="1" x14ac:dyDescent="0.2">
      <c r="B10" s="107" t="s">
        <v>28</v>
      </c>
      <c r="C10" s="264">
        <f>+SUM(C11:C45)</f>
        <v>435144.24979196122</v>
      </c>
      <c r="D10" s="258">
        <f>+SUM(F10:K10)</f>
        <v>234793.02632222942</v>
      </c>
      <c r="E10" s="1760">
        <f>+SUM(L10:M10)</f>
        <v>200351.22346973186</v>
      </c>
      <c r="F10" s="258">
        <f t="shared" ref="F10:X10" si="0">+SUM(F11:F45)</f>
        <v>29994.00888902284</v>
      </c>
      <c r="G10" s="258">
        <f t="shared" si="0"/>
        <v>1123.6946548864801</v>
      </c>
      <c r="H10" s="258">
        <f t="shared" si="0"/>
        <v>63083.945394416514</v>
      </c>
      <c r="I10" s="258">
        <f t="shared" si="0"/>
        <v>77984.996457696223</v>
      </c>
      <c r="J10" s="258">
        <f t="shared" si="0"/>
        <v>1070.9409788799055</v>
      </c>
      <c r="K10" s="258">
        <f t="shared" si="0"/>
        <v>61535.439947327446</v>
      </c>
      <c r="L10" s="258">
        <f t="shared" si="0"/>
        <v>39838.908998594576</v>
      </c>
      <c r="M10" s="259">
        <f t="shared" si="0"/>
        <v>160512.3144711373</v>
      </c>
      <c r="N10" s="264">
        <f>+SUM(N11:N45)</f>
        <v>435144.24979196116</v>
      </c>
      <c r="O10" s="258">
        <f>+SUM(Q10:V10)</f>
        <v>186519.82055248317</v>
      </c>
      <c r="P10" s="1760">
        <f>+SUM(W10:X10)</f>
        <v>248624.42923947808</v>
      </c>
      <c r="Q10" s="258">
        <f t="shared" si="0"/>
        <v>10776.273533815445</v>
      </c>
      <c r="R10" s="258">
        <f t="shared" si="0"/>
        <v>2628.1258028347488</v>
      </c>
      <c r="S10" s="258">
        <f t="shared" si="0"/>
        <v>80324.312525826448</v>
      </c>
      <c r="T10" s="258">
        <f t="shared" si="0"/>
        <v>40398.992105167221</v>
      </c>
      <c r="U10" s="258">
        <f t="shared" si="0"/>
        <v>7162.179552424268</v>
      </c>
      <c r="V10" s="258">
        <f t="shared" si="0"/>
        <v>45229.937032415037</v>
      </c>
      <c r="W10" s="258">
        <f t="shared" si="0"/>
        <v>47650.380175456703</v>
      </c>
      <c r="X10" s="259">
        <f t="shared" si="0"/>
        <v>200974.04906402138</v>
      </c>
      <c r="Y10" s="958"/>
      <c r="Z10" s="958"/>
      <c r="AA10" s="958"/>
      <c r="AB10" s="958"/>
      <c r="AC10" s="958"/>
    </row>
    <row r="11" spans="2:29" ht="14.25" customHeight="1" x14ac:dyDescent="0.2">
      <c r="B11" s="937" t="s">
        <v>29</v>
      </c>
      <c r="C11" s="1458">
        <f>+E11+D11</f>
        <v>12959.094629306808</v>
      </c>
      <c r="D11" s="1752">
        <f>+SUM(F11:K11)</f>
        <v>4114.8978838800631</v>
      </c>
      <c r="E11" s="1761">
        <f>+SUM(L11:M11)</f>
        <v>8844.1967454267451</v>
      </c>
      <c r="F11" s="1459">
        <f>1000*TableA7!$P$91*(TableC2!F9+TableC2!Q9)/(TableC2!$D$91+TableC2!$O$91)</f>
        <v>261.22630325692518</v>
      </c>
      <c r="G11" s="1459">
        <f>1000*TableA7!$P$91*(TableC2!G9+TableC2!R9)/(TableC2!$D$91+TableC2!$O$91)</f>
        <v>1.6855537143936803</v>
      </c>
      <c r="H11" s="1459">
        <f>1000*TableA7!$P$91*(TableC2!H9+TableC2!S9)/(TableC2!$D$91+TableC2!$O$91)</f>
        <v>1860.1357561312632</v>
      </c>
      <c r="I11" s="1459">
        <f>1000*TableA7!$P$91*(TableC2!I9+TableC2!T9)/(TableC2!$D$91+TableC2!$O$91)</f>
        <v>640.56120056375551</v>
      </c>
      <c r="J11" s="1459">
        <f>1000*TableA7!$P$91*(TableC2!J9+TableC2!U9)/(TableC2!$D$91+TableC2!$O$91)</f>
        <v>10.627770509239408</v>
      </c>
      <c r="K11" s="1459">
        <f>1000*TableA7!$P$91*(TableC2!K9+TableC2!V9)/(TableC2!$D$91+TableC2!$O$91)</f>
        <v>1340.6612997044863</v>
      </c>
      <c r="L11" s="1174">
        <f>1000*TableA7!$P$91*(TableC2!M9+TableC2!X9)/(TableC2!$D$91+TableC2!$O$91)</f>
        <v>726.10444662540408</v>
      </c>
      <c r="M11" s="1235">
        <f>1000*TableA7!$P$91*(TableC2!N9+TableC2!Y9)/(TableC2!$D$91+TableC2!$O$91)</f>
        <v>8118.0922988013408</v>
      </c>
      <c r="N11" s="1458">
        <f>+P11+O11</f>
        <v>12959.094629306808</v>
      </c>
      <c r="O11" s="1752">
        <f>+SUM(Q11:V11)</f>
        <v>3669.417888284946</v>
      </c>
      <c r="P11" s="1761">
        <f>+SUM(W11:X11)</f>
        <v>9289.6767410218617</v>
      </c>
      <c r="Q11" s="1459">
        <f>+SUMPRODUCT($F11:$M11,$AE$66:$AL$66)</f>
        <v>200.79107910663592</v>
      </c>
      <c r="R11" s="1459">
        <f>+SUMPRODUCT($F11:$M11,$AE$67:$AL$67)</f>
        <v>34.312571014412342</v>
      </c>
      <c r="S11" s="1459">
        <f>+SUMPRODUCT($F11:$M11,$AE$68:$AL$68)</f>
        <v>1883.9977687532078</v>
      </c>
      <c r="T11" s="1459">
        <f>+SUMPRODUCT($F11:$M11,$AE$69:$AL$69)</f>
        <v>456.50646460440083</v>
      </c>
      <c r="U11" s="1459">
        <f>+SUMPRODUCT($F11:$M11,$AE$70:$AL$70)</f>
        <v>145.94617838042541</v>
      </c>
      <c r="V11" s="1459">
        <f>+SUMPRODUCT($F11:$M11,$AE$71:$AL$71)</f>
        <v>947.86382642586398</v>
      </c>
      <c r="W11" s="1174">
        <f>+SUMPRODUCT($F11:$M11,$AE$72:$AL$72)</f>
        <v>847.04407357340165</v>
      </c>
      <c r="X11" s="1235">
        <f>+SUMPRODUCT($F11:$M11,$AE$73:$AL$73)</f>
        <v>8442.6326674484608</v>
      </c>
      <c r="Y11" s="958"/>
      <c r="Z11" s="958"/>
      <c r="AA11" s="958"/>
      <c r="AB11" s="958"/>
      <c r="AC11" s="958"/>
    </row>
    <row r="12" spans="2:29" ht="14.25" customHeight="1" x14ac:dyDescent="0.2">
      <c r="B12" s="937" t="s">
        <v>30</v>
      </c>
      <c r="C12" s="1458">
        <f>+E12+D12</f>
        <v>3589.4388002507048</v>
      </c>
      <c r="D12" s="1752">
        <f t="shared" ref="D12:D45" si="1">+SUM(F12:K12)</f>
        <v>2075.6313277908025</v>
      </c>
      <c r="E12" s="1761">
        <f t="shared" ref="E12:E45" si="2">+SUM(L12:M12)</f>
        <v>1513.8074724599023</v>
      </c>
      <c r="F12" s="1459">
        <f>1000*TableA7!$P$91*(TableC2!F10+TableC2!Q10)/(TableC2!$D$91+TableC2!$O$91)</f>
        <v>320.22850996040779</v>
      </c>
      <c r="G12" s="1459">
        <f>1000*TableA7!$P$91*(TableC2!G10+TableC2!R10)/(TableC2!$D$91+TableC2!$O$91)</f>
        <v>7.6734541214757375</v>
      </c>
      <c r="H12" s="1459">
        <f>1000*TableA7!$P$91*(TableC2!H10+TableC2!S10)/(TableC2!$D$91+TableC2!$O$91)</f>
        <v>751.32605153964062</v>
      </c>
      <c r="I12" s="1459">
        <f>1000*TableA7!$P$91*(TableC2!I10+TableC2!T10)/(TableC2!$D$91+TableC2!$O$91)</f>
        <v>629.46314143690859</v>
      </c>
      <c r="J12" s="1459">
        <f>1000*TableA7!$P$91*(TableC2!J10+TableC2!U10)/(TableC2!$D$91+TableC2!$O$91)</f>
        <v>35.723356797109524</v>
      </c>
      <c r="K12" s="1459">
        <f>1000*TableA7!$P$91*(TableC2!K10+TableC2!V10)/(TableC2!$D$91+TableC2!$O$91)</f>
        <v>331.21681393526001</v>
      </c>
      <c r="L12" s="1174">
        <f>1000*TableA7!$P$91*(TableC2!M10+TableC2!X10)/(TableC2!$D$91+TableC2!$O$91)</f>
        <v>1176.0162222051465</v>
      </c>
      <c r="M12" s="1235">
        <f>1000*TableA7!$P$91*(TableC2!N10+TableC2!Y10)/(TableC2!$D$91+TableC2!$O$91)</f>
        <v>337.79125025475571</v>
      </c>
      <c r="N12" s="1458">
        <f>+P12+O12</f>
        <v>3589.4388002507044</v>
      </c>
      <c r="O12" s="1752">
        <f t="shared" ref="O12" si="3">+SUM(Q12:V12)</f>
        <v>1973.3670319004718</v>
      </c>
      <c r="P12" s="1761">
        <f t="shared" ref="P12" si="4">+SUM(W12:X12)</f>
        <v>1616.0717683502326</v>
      </c>
      <c r="Q12" s="1459">
        <f>+SUMPRODUCT($F12:$M12,$AE$66:$AL$66)</f>
        <v>110.08115844647467</v>
      </c>
      <c r="R12" s="1459">
        <f>+SUMPRODUCT($F12:$M12,$AE$67:$AL$67)</f>
        <v>20.388464348652295</v>
      </c>
      <c r="S12" s="1459">
        <f>+SUMPRODUCT($F12:$M12,$AE$68:$AL$68)</f>
        <v>783.80466965761866</v>
      </c>
      <c r="T12" s="1459">
        <f>+SUMPRODUCT($F12:$M12,$AE$69:$AL$69)</f>
        <v>460.18729774975884</v>
      </c>
      <c r="U12" s="1459">
        <f>+SUMPRODUCT($F12:$M12,$AE$70:$AL$70)</f>
        <v>87.108160301663744</v>
      </c>
      <c r="V12" s="1459">
        <f>+SUMPRODUCT($F12:$M12,$AE$71:$AL$71)</f>
        <v>511.7972813963039</v>
      </c>
      <c r="W12" s="1174">
        <f>+SUMPRODUCT($F12:$M12,$AE$72:$AL$72)</f>
        <v>790.8831313253354</v>
      </c>
      <c r="X12" s="1235">
        <f>+SUMPRODUCT($F12:$M12,$AE$73:$AL$73)</f>
        <v>825.18863702489705</v>
      </c>
      <c r="Y12" s="958"/>
      <c r="Z12" s="958"/>
      <c r="AA12" s="958" t="s">
        <v>650</v>
      </c>
      <c r="AB12" s="958" t="s">
        <v>651</v>
      </c>
      <c r="AC12" s="958"/>
    </row>
    <row r="13" spans="2:29" ht="14.25" customHeight="1" x14ac:dyDescent="0.2">
      <c r="B13" s="937" t="s">
        <v>31</v>
      </c>
      <c r="C13" s="1458"/>
      <c r="D13" s="1752"/>
      <c r="E13" s="1761"/>
      <c r="F13" s="1459"/>
      <c r="G13" s="1459"/>
      <c r="H13" s="1459"/>
      <c r="I13" s="1459"/>
      <c r="J13" s="1459"/>
      <c r="K13" s="1459"/>
      <c r="L13" s="1174"/>
      <c r="M13" s="1235"/>
      <c r="N13" s="1458"/>
      <c r="O13" s="1752"/>
      <c r="P13" s="1761"/>
      <c r="Q13" s="1459"/>
      <c r="R13" s="1459"/>
      <c r="S13" s="1459"/>
      <c r="T13" s="1459"/>
      <c r="U13" s="1459"/>
      <c r="V13" s="1459"/>
      <c r="W13" s="1174"/>
      <c r="X13" s="1235"/>
      <c r="Y13" s="958"/>
      <c r="Z13" s="958" t="s">
        <v>169</v>
      </c>
      <c r="AA13" s="1007">
        <f>+C12+C16+C17+C18+C19+C20+C21+C22+C23+C27+C37+C36+C38+C39+C40+C41+C44</f>
        <v>216002.97279864468</v>
      </c>
      <c r="AB13" s="1483">
        <f>+TableA2!F10+TableA2!F11+TableA2!F16+TableA2!F17+TableA2!F18+TableA2!F19+TableA2!F20+TableA2!F21+TableA2!F22+TableA2!F26+TableA2!F29+TableA2!F35+TableA2!F36+TableA2!F37+TableA2!F38+TableA2!F39+TableA2!F40+TableA2!F43+TableA2!F15</f>
        <v>2118.1107471611385</v>
      </c>
      <c r="AC13" s="1475">
        <f>+AA13/(AB13*1000)</f>
        <v>0.10197907408200878</v>
      </c>
    </row>
    <row r="14" spans="2:29" ht="14.25" customHeight="1" x14ac:dyDescent="0.2">
      <c r="B14" s="937" t="s">
        <v>32</v>
      </c>
      <c r="C14" s="1458">
        <f t="shared" ref="C14:C45" si="5">+E14+D14</f>
        <v>18916.079243072258</v>
      </c>
      <c r="D14" s="1752">
        <f t="shared" si="1"/>
        <v>3337.0993099470156</v>
      </c>
      <c r="E14" s="1761">
        <f t="shared" si="2"/>
        <v>15578.979933125242</v>
      </c>
      <c r="F14" s="1459">
        <f>1000*TableA7!$P$91*(TableC2!F12+TableC2!Q12)/(TableC2!$D$91+TableC2!$O$91)</f>
        <v>252.25359267293629</v>
      </c>
      <c r="G14" s="1459">
        <f>1000*TableA7!$P$91*(TableC2!G12+TableC2!R12)/(TableC2!$D$91+TableC2!$O$91)</f>
        <v>1.6855537143936803</v>
      </c>
      <c r="H14" s="1459">
        <f>1000*TableA7!$P$91*(TableC2!H12+TableC2!S12)/(TableC2!$D$91+TableC2!$O$91)</f>
        <v>612.04224147815762</v>
      </c>
      <c r="I14" s="1459">
        <f>1000*TableA7!$P$91*(TableC2!I12+TableC2!T12)/(TableC2!$D$91+TableC2!$O$91)</f>
        <v>1092.5125068656464</v>
      </c>
      <c r="J14" s="1459">
        <f>1000*TableA7!$P$91*(TableC2!J12+TableC2!U12)/(TableC2!$D$91+TableC2!$O$91)</f>
        <v>12.243633495189517</v>
      </c>
      <c r="K14" s="1459">
        <f>1000*TableA7!$P$91*(TableC2!K12+TableC2!V12)/(TableC2!$D$91+TableC2!$O$91)</f>
        <v>1366.3617817206923</v>
      </c>
      <c r="L14" s="1174">
        <f>1000*TableA7!$P$91*(TableC2!M12+TableC2!X12)/(TableC2!$D$91+TableC2!$O$91)</f>
        <v>1279.0270195175719</v>
      </c>
      <c r="M14" s="1235">
        <f>1000*TableA7!$P$91*(TableC2!N12+TableC2!Y12)/(TableC2!$D$91+TableC2!$O$91)</f>
        <v>14299.952913607669</v>
      </c>
      <c r="N14" s="1458">
        <f t="shared" ref="N14:N24" si="6">+P14+O14</f>
        <v>18916.079243072258</v>
      </c>
      <c r="O14" s="1752">
        <f t="shared" ref="O14:O24" si="7">+SUM(Q14:V14)</f>
        <v>4331.7108199304521</v>
      </c>
      <c r="P14" s="1761">
        <f t="shared" ref="P14:P24" si="8">+SUM(W14:X14)</f>
        <v>14584.368423141805</v>
      </c>
      <c r="Q14" s="1459">
        <f t="shared" ref="Q14:Q24" si="9">+SUMPRODUCT($F14:$M14,$AE$66:$AL$66)</f>
        <v>210.95746678038381</v>
      </c>
      <c r="R14" s="1459">
        <f t="shared" ref="R14:R24" si="10">+SUMPRODUCT($F14:$M14,$AE$67:$AL$67)</f>
        <v>56.258374594694601</v>
      </c>
      <c r="S14" s="1459">
        <f t="shared" ref="S14:S24" si="11">+SUMPRODUCT($F14:$M14,$AE$68:$AL$68)</f>
        <v>2188.037920359016</v>
      </c>
      <c r="T14" s="1459">
        <f t="shared" ref="T14:T24" si="12">+SUMPRODUCT($F14:$M14,$AE$69:$AL$69)</f>
        <v>648.63594084852025</v>
      </c>
      <c r="U14" s="1459">
        <f t="shared" ref="U14:U24" si="13">+SUMPRODUCT($F14:$M14,$AE$70:$AL$70)</f>
        <v>238.83000835703055</v>
      </c>
      <c r="V14" s="1459">
        <f t="shared" ref="V14:V24" si="14">+SUMPRODUCT($F14:$M14,$AE$71:$AL$71)</f>
        <v>988.99110899080688</v>
      </c>
      <c r="W14" s="1174">
        <f t="shared" ref="W14:W24" si="15">+SUMPRODUCT($F14:$M14,$AE$72:$AL$72)</f>
        <v>1120.0513940284852</v>
      </c>
      <c r="X14" s="1235">
        <f t="shared" ref="X14:X24" si="16">+SUMPRODUCT($F14:$M14,$AE$73:$AL$73)</f>
        <v>13464.317029113319</v>
      </c>
      <c r="Y14" s="958"/>
      <c r="Z14" s="958" t="s">
        <v>652</v>
      </c>
      <c r="AA14" s="1484">
        <f>C45</f>
        <v>142565.30860350182</v>
      </c>
      <c r="AB14" s="1483">
        <f>+TableA2!F44</f>
        <v>1889.3969000000002</v>
      </c>
      <c r="AC14" s="1475">
        <f>+AA14/(AB14*1000)</f>
        <v>7.5455458090093089E-2</v>
      </c>
    </row>
    <row r="15" spans="2:29" ht="14.25" customHeight="1" x14ac:dyDescent="0.2">
      <c r="B15" s="937" t="s">
        <v>33</v>
      </c>
      <c r="C15" s="1458">
        <f t="shared" si="5"/>
        <v>5181.9143745613992</v>
      </c>
      <c r="D15" s="1752">
        <f t="shared" si="1"/>
        <v>1008.1594951876592</v>
      </c>
      <c r="E15" s="1761">
        <f t="shared" si="2"/>
        <v>4173.7548793737396</v>
      </c>
      <c r="F15" s="1459">
        <f>1000*TableA7!$P$91*(TableC2!F13+TableC2!Q13)/(TableC2!$D$91+TableC2!$O$91)</f>
        <v>42.807209501378431</v>
      </c>
      <c r="G15" s="1459">
        <f>1000*TableA7!$P$91*(TableC2!G13+TableC2!R13)/(TableC2!$D$91+TableC2!$O$91)</f>
        <v>0</v>
      </c>
      <c r="H15" s="1459">
        <f>1000*TableA7!$P$91*(TableC2!H13+TableC2!S13)/(TableC2!$D$91+TableC2!$O$91)</f>
        <v>248.53186177206933</v>
      </c>
      <c r="I15" s="1459">
        <f>1000*TableA7!$P$91*(TableC2!I13+TableC2!T13)/(TableC2!$D$91+TableC2!$O$91)</f>
        <v>266.78374649642797</v>
      </c>
      <c r="J15" s="1459">
        <f>1000*TableA7!$P$91*(TableC2!J13+TableC2!U13)/(TableC2!$D$91+TableC2!$O$91)</f>
        <v>36.746311614367301</v>
      </c>
      <c r="K15" s="1459">
        <f>1000*TableA7!$P$91*(TableC2!K13+TableC2!V13)/(TableC2!$D$91+TableC2!$O$91)</f>
        <v>413.29036580341619</v>
      </c>
      <c r="L15" s="1174">
        <f>1000*TableA7!$P$91*(TableC2!M13+TableC2!X13)/(TableC2!$D$91+TableC2!$O$91)</f>
        <v>342.6633378101676</v>
      </c>
      <c r="M15" s="1235">
        <f>1000*TableA7!$P$91*(TableC2!N13+TableC2!Y13)/(TableC2!$D$91+TableC2!$O$91)</f>
        <v>3831.0915415635718</v>
      </c>
      <c r="N15" s="1458">
        <f t="shared" si="6"/>
        <v>5181.9143745613983</v>
      </c>
      <c r="O15" s="1752">
        <f t="shared" si="7"/>
        <v>1221.0152000743967</v>
      </c>
      <c r="P15" s="1761">
        <f t="shared" si="8"/>
        <v>3960.8991744870013</v>
      </c>
      <c r="Q15" s="1459">
        <f t="shared" si="9"/>
        <v>61.069328356959751</v>
      </c>
      <c r="R15" s="1459">
        <f t="shared" si="10"/>
        <v>14.15221290174026</v>
      </c>
      <c r="S15" s="1459">
        <f t="shared" si="11"/>
        <v>603.69997135011931</v>
      </c>
      <c r="T15" s="1459">
        <f t="shared" si="12"/>
        <v>164.53451749142963</v>
      </c>
      <c r="U15" s="1459">
        <f t="shared" si="13"/>
        <v>95.53914556942199</v>
      </c>
      <c r="V15" s="1459">
        <f t="shared" si="14"/>
        <v>282.02002440472586</v>
      </c>
      <c r="W15" s="1174">
        <f t="shared" si="15"/>
        <v>309.49987060638398</v>
      </c>
      <c r="X15" s="1235">
        <f t="shared" si="16"/>
        <v>3651.3993038806175</v>
      </c>
      <c r="Y15" s="958"/>
      <c r="Z15" s="958"/>
      <c r="AA15" s="958"/>
      <c r="AB15" s="958"/>
      <c r="AC15" s="958"/>
    </row>
    <row r="16" spans="2:29" ht="14.25" customHeight="1" x14ac:dyDescent="0.2">
      <c r="B16" s="937" t="s">
        <v>34</v>
      </c>
      <c r="C16" s="1458">
        <f t="shared" si="5"/>
        <v>1760.6284926203612</v>
      </c>
      <c r="D16" s="1752">
        <f t="shared" si="1"/>
        <v>1409.2647465167706</v>
      </c>
      <c r="E16" s="1761">
        <f t="shared" si="2"/>
        <v>351.36374610359064</v>
      </c>
      <c r="F16" s="1459">
        <f>1000*TableA7!$P$91*(TableC2!F14+TableC2!Q14)/(TableC2!$D$91+TableC2!$O$91)</f>
        <v>273.86191821811997</v>
      </c>
      <c r="G16" s="1459">
        <f>1000*TableA7!$P$91*(TableC2!G14+TableC2!R14)/(TableC2!$D$91+TableC2!$O$91)</f>
        <v>15.443454198904847</v>
      </c>
      <c r="H16" s="1459">
        <f>1000*TableA7!$P$91*(TableC2!H14+TableC2!S14)/(TableC2!$D$91+TableC2!$O$91)</f>
        <v>265.74286886933061</v>
      </c>
      <c r="I16" s="1459">
        <f>1000*TableA7!$P$91*(TableC2!I14+TableC2!T14)/(TableC2!$D$91+TableC2!$O$91)</f>
        <v>348.44919289219524</v>
      </c>
      <c r="J16" s="1459">
        <f>1000*TableA7!$P$91*(TableC2!J14+TableC2!U14)/(TableC2!$D$91+TableC2!$O$91)</f>
        <v>5.1563606065816732</v>
      </c>
      <c r="K16" s="1459">
        <f>1000*TableA7!$P$91*(TableC2!K14+TableC2!V14)/(TableC2!$D$91+TableC2!$O$91)</f>
        <v>500.61095173163824</v>
      </c>
      <c r="L16" s="1174">
        <f>1000*TableA7!$P$91*(TableC2!M14+TableC2!X14)/(TableC2!$D$91+TableC2!$O$91)</f>
        <v>316.81274305999432</v>
      </c>
      <c r="M16" s="1235">
        <f>1000*TableA7!$P$91*(TableC2!N14+TableC2!Y14)/(TableC2!$D$91+TableC2!$O$91)</f>
        <v>34.551003043596332</v>
      </c>
      <c r="N16" s="1458">
        <f t="shared" si="6"/>
        <v>1760.6284926203614</v>
      </c>
      <c r="O16" s="1752">
        <f t="shared" si="7"/>
        <v>1037.3118940841377</v>
      </c>
      <c r="P16" s="1761">
        <f t="shared" si="8"/>
        <v>723.31659853622364</v>
      </c>
      <c r="Q16" s="1459">
        <f t="shared" si="9"/>
        <v>73.425953478650044</v>
      </c>
      <c r="R16" s="1459">
        <f t="shared" si="10"/>
        <v>22.287008299021252</v>
      </c>
      <c r="S16" s="1459">
        <f t="shared" si="11"/>
        <v>393.32104817865525</v>
      </c>
      <c r="T16" s="1459">
        <f t="shared" si="12"/>
        <v>236.67155948355276</v>
      </c>
      <c r="U16" s="1459">
        <f t="shared" si="13"/>
        <v>32.682558756091375</v>
      </c>
      <c r="V16" s="1459">
        <f t="shared" si="14"/>
        <v>278.92376588816694</v>
      </c>
      <c r="W16" s="1174">
        <f t="shared" si="15"/>
        <v>354.06760365907581</v>
      </c>
      <c r="X16" s="1235">
        <f t="shared" si="16"/>
        <v>369.24899487714788</v>
      </c>
      <c r="Y16" s="958"/>
      <c r="Z16" s="958"/>
      <c r="AA16" s="958"/>
      <c r="AB16" s="958"/>
      <c r="AC16" s="958"/>
    </row>
    <row r="17" spans="1:34" ht="14.25" customHeight="1" x14ac:dyDescent="0.2">
      <c r="A17" s="958"/>
      <c r="B17" s="937" t="s">
        <v>35</v>
      </c>
      <c r="C17" s="1458">
        <f t="shared" si="5"/>
        <v>2961.7661722785192</v>
      </c>
      <c r="D17" s="1752">
        <f t="shared" si="1"/>
        <v>2331.5889402003218</v>
      </c>
      <c r="E17" s="1761">
        <f t="shared" si="2"/>
        <v>630.17723207819745</v>
      </c>
      <c r="F17" s="1459">
        <f>1000*TableA7!$P$91*(TableC2!F15+TableC2!Q15)/(TableC2!$D$91+TableC2!$O$91)</f>
        <v>311.14042906841536</v>
      </c>
      <c r="G17" s="1459">
        <f>1000*TableA7!$P$91*(TableC2!G15+TableC2!R15)/(TableC2!$D$91+TableC2!$O$91)</f>
        <v>0.69758673831597617</v>
      </c>
      <c r="H17" s="1459">
        <f>1000*TableA7!$P$91*(TableC2!H15+TableC2!S15)/(TableC2!$D$91+TableC2!$O$91)</f>
        <v>1168.686206222787</v>
      </c>
      <c r="I17" s="1459">
        <f>1000*TableA7!$P$91*(TableC2!I15+TableC2!T15)/(TableC2!$D$91+TableC2!$O$91)</f>
        <v>452.68579058260491</v>
      </c>
      <c r="J17" s="1459">
        <f>1000*TableA7!$P$91*(TableC2!J15+TableC2!U15)/(TableC2!$D$91+TableC2!$O$91)</f>
        <v>12.362710740841502</v>
      </c>
      <c r="K17" s="1459">
        <f>1000*TableA7!$P$91*(TableC2!K15+TableC2!V15)/(TableC2!$D$91+TableC2!$O$91)</f>
        <v>386.0162168473571</v>
      </c>
      <c r="L17" s="1174">
        <f>1000*TableA7!$P$91*(TableC2!M15+TableC2!X15)/(TableC2!$D$91+TableC2!$O$91)</f>
        <v>366.70471853474584</v>
      </c>
      <c r="M17" s="1235">
        <f>1000*TableA7!$P$91*(TableC2!N15+TableC2!Y15)/(TableC2!$D$91+TableC2!$O$91)</f>
        <v>263.47251354345156</v>
      </c>
      <c r="N17" s="1458">
        <f t="shared" si="6"/>
        <v>2961.7661722785188</v>
      </c>
      <c r="O17" s="1752">
        <f t="shared" si="7"/>
        <v>1648.5475994161216</v>
      </c>
      <c r="P17" s="1761">
        <f t="shared" si="8"/>
        <v>1313.2185728623974</v>
      </c>
      <c r="Q17" s="1459">
        <f t="shared" si="9"/>
        <v>88.503898919171391</v>
      </c>
      <c r="R17" s="1459">
        <f t="shared" si="10"/>
        <v>9.5424029382694346</v>
      </c>
      <c r="S17" s="1459">
        <f t="shared" si="11"/>
        <v>767.4258392656825</v>
      </c>
      <c r="T17" s="1459">
        <f t="shared" si="12"/>
        <v>300.36284949325869</v>
      </c>
      <c r="U17" s="1459">
        <f t="shared" si="13"/>
        <v>48.125742357063402</v>
      </c>
      <c r="V17" s="1459">
        <f t="shared" si="14"/>
        <v>434.58686644267624</v>
      </c>
      <c r="W17" s="1174">
        <f t="shared" si="15"/>
        <v>398.79840190116948</v>
      </c>
      <c r="X17" s="1235">
        <f t="shared" si="16"/>
        <v>914.420170961228</v>
      </c>
      <c r="Y17" s="958"/>
      <c r="Z17" s="958"/>
      <c r="AA17" s="958"/>
      <c r="AB17" s="958"/>
      <c r="AC17" s="958"/>
      <c r="AD17" s="958"/>
      <c r="AE17" s="958"/>
      <c r="AF17" s="958"/>
      <c r="AG17" s="958"/>
      <c r="AH17" s="958"/>
    </row>
    <row r="18" spans="1:34" ht="14.25" customHeight="1" x14ac:dyDescent="0.2">
      <c r="A18" s="958"/>
      <c r="B18" s="1504" t="s">
        <v>36</v>
      </c>
      <c r="C18" s="1458">
        <f t="shared" si="5"/>
        <v>243.69349684162626</v>
      </c>
      <c r="D18" s="1752">
        <f t="shared" si="1"/>
        <v>174.7422033580919</v>
      </c>
      <c r="E18" s="1761">
        <f t="shared" si="2"/>
        <v>68.951293483534371</v>
      </c>
      <c r="F18" s="1459">
        <f>1000*TableA7!$P$91*(TableC2!F16+TableC2!Q16)/(TableC2!$D$91+TableC2!$O$91)</f>
        <v>30.031924019490372</v>
      </c>
      <c r="G18" s="1459">
        <f>1000*TableA7!$P$91*(TableC2!G16+TableC2!R16)/(TableC2!$D$91+TableC2!$O$91)</f>
        <v>0.97662143364236664</v>
      </c>
      <c r="H18" s="1459">
        <f>1000*TableA7!$P$91*(TableC2!H16+TableC2!S16)/(TableC2!$D$91+TableC2!$O$91)</f>
        <v>13.293757050742457</v>
      </c>
      <c r="I18" s="1459">
        <f>1000*TableA7!$P$91*(TableC2!I16+TableC2!T16)/(TableC2!$D$91+TableC2!$O$91)</f>
        <v>107.38215227672995</v>
      </c>
      <c r="J18" s="1459">
        <f>1000*TableA7!$P$91*(TableC2!J16+TableC2!U16)/(TableC2!$D$91+TableC2!$O$91)</f>
        <v>0.35347308353021395</v>
      </c>
      <c r="K18" s="1459">
        <f>1000*TableA7!$P$91*(TableC2!K16+TableC2!V16)/(TableC2!$D$91+TableC2!$O$91)</f>
        <v>22.70427549395653</v>
      </c>
      <c r="L18" s="1174">
        <f>1000*TableA7!$P$91*(TableC2!M16+TableC2!X16)/(TableC2!$D$91+TableC2!$O$91)</f>
        <v>42.81482193423912</v>
      </c>
      <c r="M18" s="1235">
        <f>1000*TableA7!$P$91*(TableC2!N16+TableC2!Y16)/(TableC2!$D$91+TableC2!$O$91)</f>
        <v>26.136471549295248</v>
      </c>
      <c r="N18" s="1458">
        <f t="shared" si="6"/>
        <v>243.69349684162626</v>
      </c>
      <c r="O18" s="1752">
        <f t="shared" si="7"/>
        <v>148.19906651511343</v>
      </c>
      <c r="P18" s="1761">
        <f t="shared" si="8"/>
        <v>95.494430326512827</v>
      </c>
      <c r="Q18" s="1459">
        <f t="shared" si="9"/>
        <v>7.5479005862953992</v>
      </c>
      <c r="R18" s="1459">
        <f t="shared" si="10"/>
        <v>2.334513126432177</v>
      </c>
      <c r="S18" s="1459">
        <f t="shared" si="11"/>
        <v>54.726103688040936</v>
      </c>
      <c r="T18" s="1459">
        <f t="shared" si="12"/>
        <v>47.428535952856329</v>
      </c>
      <c r="U18" s="1459">
        <f t="shared" si="13"/>
        <v>5.75532035473287</v>
      </c>
      <c r="V18" s="1459">
        <f t="shared" si="14"/>
        <v>30.406692806755718</v>
      </c>
      <c r="W18" s="1174">
        <f t="shared" si="15"/>
        <v>40.300369409465887</v>
      </c>
      <c r="X18" s="1235">
        <f t="shared" si="16"/>
        <v>55.194060917046947</v>
      </c>
      <c r="Y18" s="958"/>
      <c r="Z18" s="958"/>
      <c r="AA18" s="958"/>
      <c r="AB18" s="958"/>
      <c r="AC18" s="958"/>
      <c r="AD18" s="958"/>
      <c r="AE18" s="958"/>
      <c r="AF18" s="958"/>
      <c r="AG18" s="958"/>
      <c r="AH18" s="958"/>
    </row>
    <row r="19" spans="1:34" ht="14.25" customHeight="1" x14ac:dyDescent="0.2">
      <c r="A19" s="958"/>
      <c r="B19" s="937" t="s">
        <v>37</v>
      </c>
      <c r="C19" s="1458">
        <f t="shared" si="5"/>
        <v>2714.8693656359146</v>
      </c>
      <c r="D19" s="1752">
        <f t="shared" si="1"/>
        <v>1744.72661352514</v>
      </c>
      <c r="E19" s="1761">
        <f t="shared" si="2"/>
        <v>970.14275211077438</v>
      </c>
      <c r="F19" s="1459">
        <f>1000*TableA7!$P$91*(TableC2!F17+TableC2!Q17)/(TableC2!$D$91+TableC2!$O$91)</f>
        <v>206.13347519312785</v>
      </c>
      <c r="G19" s="1459">
        <f>1000*TableA7!$P$91*(TableC2!G17+TableC2!R17)/(TableC2!$D$91+TableC2!$O$91)</f>
        <v>0.69758673831597617</v>
      </c>
      <c r="H19" s="1459">
        <f>1000*TableA7!$P$91*(TableC2!H17+TableC2!S17)/(TableC2!$D$91+TableC2!$O$91)</f>
        <v>787.0328390593545</v>
      </c>
      <c r="I19" s="1459">
        <f>1000*TableA7!$P$91*(TableC2!I17+TableC2!T17)/(TableC2!$D$91+TableC2!$O$91)</f>
        <v>501.01177269976017</v>
      </c>
      <c r="J19" s="1459">
        <f>1000*TableA7!$P$91*(TableC2!J17+TableC2!U17)/(TableC2!$D$91+TableC2!$O$91)</f>
        <v>3.2054124361883396</v>
      </c>
      <c r="K19" s="1459">
        <f>1000*TableA7!$P$91*(TableC2!K17+TableC2!V17)/(TableC2!$D$91+TableC2!$O$91)</f>
        <v>246.64552739839309</v>
      </c>
      <c r="L19" s="1174">
        <f>1000*TableA7!$P$91*(TableC2!M17+TableC2!X17)/(TableC2!$D$91+TableC2!$O$91)</f>
        <v>410.10248682518784</v>
      </c>
      <c r="M19" s="1235">
        <f>1000*TableA7!$P$91*(TableC2!N17+TableC2!Y17)/(TableC2!$D$91+TableC2!$O$91)</f>
        <v>560.04026528558654</v>
      </c>
      <c r="N19" s="1458">
        <f t="shared" si="6"/>
        <v>2714.8693656359146</v>
      </c>
      <c r="O19" s="1752">
        <f t="shared" si="7"/>
        <v>1369.965930192152</v>
      </c>
      <c r="P19" s="1761">
        <f t="shared" si="8"/>
        <v>1344.9034354437624</v>
      </c>
      <c r="Q19" s="1459">
        <f t="shared" si="9"/>
        <v>70.609999736008945</v>
      </c>
      <c r="R19" s="1459">
        <f t="shared" si="10"/>
        <v>9.6230994585680598</v>
      </c>
      <c r="S19" s="1459">
        <f t="shared" si="11"/>
        <v>620.07525499882263</v>
      </c>
      <c r="T19" s="1459">
        <f t="shared" si="12"/>
        <v>286.47186468596857</v>
      </c>
      <c r="U19" s="1459">
        <f t="shared" si="13"/>
        <v>39.247146603307343</v>
      </c>
      <c r="V19" s="1459">
        <f t="shared" si="14"/>
        <v>343.93856470947651</v>
      </c>
      <c r="W19" s="1174">
        <f t="shared" si="15"/>
        <v>363.21312801811746</v>
      </c>
      <c r="X19" s="1235">
        <f t="shared" si="16"/>
        <v>981.69030742564496</v>
      </c>
      <c r="Y19" s="958"/>
      <c r="Z19" s="958"/>
      <c r="AA19" s="958"/>
      <c r="AB19" s="958"/>
      <c r="AC19" s="958"/>
      <c r="AD19" s="958"/>
      <c r="AE19" s="958"/>
      <c r="AF19" s="958"/>
      <c r="AG19" s="958"/>
      <c r="AH19" s="958"/>
    </row>
    <row r="20" spans="1:34" ht="14.25" customHeight="1" x14ac:dyDescent="0.2">
      <c r="A20" s="958"/>
      <c r="B20" s="1504" t="s">
        <v>38</v>
      </c>
      <c r="C20" s="1458">
        <f t="shared" si="5"/>
        <v>32084.12988744217</v>
      </c>
      <c r="D20" s="1752">
        <f t="shared" si="1"/>
        <v>24195.850308678229</v>
      </c>
      <c r="E20" s="1761">
        <f t="shared" si="2"/>
        <v>7888.2795787639398</v>
      </c>
      <c r="F20" s="1459">
        <f>1000*TableA7!$P$91*(TableC2!F18+TableC2!Q18)/(TableC2!$D$91+TableC2!$O$91)</f>
        <v>6196.7703325563807</v>
      </c>
      <c r="G20" s="1459">
        <f>1000*TableA7!$P$91*(TableC2!G18+TableC2!R18)/(TableC2!$D$91+TableC2!$O$91)</f>
        <v>15.137632221456686</v>
      </c>
      <c r="H20" s="1459">
        <f>1000*TableA7!$P$91*(TableC2!H18+TableC2!S18)/(TableC2!$D$91+TableC2!$O$91)</f>
        <v>5279.7309153941687</v>
      </c>
      <c r="I20" s="1459">
        <f>1000*TableA7!$P$91*(TableC2!I18+TableC2!T18)/(TableC2!$D$91+TableC2!$O$91)</f>
        <v>8875.620322386605</v>
      </c>
      <c r="J20" s="1459">
        <f>1000*TableA7!$P$91*(TableC2!J18+TableC2!U18)/(TableC2!$D$91+TableC2!$O$91)</f>
        <v>62.286956914059125</v>
      </c>
      <c r="K20" s="1459">
        <f>1000*TableA7!$P$91*(TableC2!K18+TableC2!V18)/(TableC2!$D$91+TableC2!$O$91)</f>
        <v>3766.3041492055581</v>
      </c>
      <c r="L20" s="1174">
        <f>1000*TableA7!$P$91*(TableC2!M18+TableC2!X18)/(TableC2!$D$91+TableC2!$O$91)</f>
        <v>788.9927023153565</v>
      </c>
      <c r="M20" s="1235">
        <f>1000*TableA7!$P$91*(TableC2!N18+TableC2!Y18)/(TableC2!$D$91+TableC2!$O$91)</f>
        <v>7099.2868764485829</v>
      </c>
      <c r="N20" s="1458">
        <f t="shared" si="6"/>
        <v>32084.12988744217</v>
      </c>
      <c r="O20" s="1752">
        <f t="shared" si="7"/>
        <v>17738.761514361362</v>
      </c>
      <c r="P20" s="1761">
        <f t="shared" si="8"/>
        <v>14345.36837308081</v>
      </c>
      <c r="Q20" s="1459">
        <f t="shared" si="9"/>
        <v>818.9483849335794</v>
      </c>
      <c r="R20" s="1459">
        <f t="shared" si="10"/>
        <v>176.08781657051935</v>
      </c>
      <c r="S20" s="1459">
        <f t="shared" si="11"/>
        <v>7797.5121161942698</v>
      </c>
      <c r="T20" s="1459">
        <f t="shared" si="12"/>
        <v>4444.1606649809219</v>
      </c>
      <c r="U20" s="1459">
        <f t="shared" si="13"/>
        <v>713.28020368054331</v>
      </c>
      <c r="V20" s="1459">
        <f t="shared" si="14"/>
        <v>3788.7723280015257</v>
      </c>
      <c r="W20" s="1174">
        <f t="shared" si="15"/>
        <v>3033.784636058268</v>
      </c>
      <c r="X20" s="1235">
        <f t="shared" si="16"/>
        <v>11311.583737022542</v>
      </c>
      <c r="Y20" s="958"/>
      <c r="Z20" s="958"/>
      <c r="AA20" s="958"/>
      <c r="AB20" s="958"/>
      <c r="AC20" s="958"/>
      <c r="AD20" s="958"/>
      <c r="AE20" s="958"/>
      <c r="AF20" s="958"/>
      <c r="AG20" s="958"/>
      <c r="AH20" s="958"/>
    </row>
    <row r="21" spans="1:34" ht="14.25" customHeight="1" x14ac:dyDescent="0.2">
      <c r="A21" s="958"/>
      <c r="B21" s="937" t="s">
        <v>39</v>
      </c>
      <c r="C21" s="1458">
        <f t="shared" si="5"/>
        <v>54904.338589641884</v>
      </c>
      <c r="D21" s="1752">
        <f t="shared" si="1"/>
        <v>41584.631730761786</v>
      </c>
      <c r="E21" s="1761">
        <f t="shared" si="2"/>
        <v>13319.706858880098</v>
      </c>
      <c r="F21" s="1459">
        <f>1000*TableA7!$P$91*(TableC2!F19+TableC2!Q19)/(TableC2!$D$91+TableC2!$O$91)</f>
        <v>4372.9502037112106</v>
      </c>
      <c r="G21" s="1459">
        <f>1000*TableA7!$P$91*(TableC2!G19+TableC2!R19)/(TableC2!$D$91+TableC2!$O$91)</f>
        <v>82.244917745878652</v>
      </c>
      <c r="H21" s="1459">
        <f>1000*TableA7!$P$91*(TableC2!H19+TableC2!S19)/(TableC2!$D$91+TableC2!$O$91)</f>
        <v>9156.1770841158122</v>
      </c>
      <c r="I21" s="1459">
        <f>1000*TableA7!$P$91*(TableC2!I19+TableC2!T19)/(TableC2!$D$91+TableC2!$O$91)</f>
        <v>14838.644170783664</v>
      </c>
      <c r="J21" s="1459">
        <f>1000*TableA7!$P$91*(TableC2!J19+TableC2!U19)/(TableC2!$D$91+TableC2!$O$91)</f>
        <v>167.82735789126519</v>
      </c>
      <c r="K21" s="1459">
        <f>1000*TableA7!$P$91*(TableC2!K19+TableC2!V19)/(TableC2!$D$91+TableC2!$O$91)</f>
        <v>12966.787996513951</v>
      </c>
      <c r="L21" s="1174">
        <f>1000*TableA7!$P$91*(TableC2!M19+TableC2!X19)/(TableC2!$D$91+TableC2!$O$91)</f>
        <v>8387.4313532036431</v>
      </c>
      <c r="M21" s="1235">
        <f>1000*TableA7!$P$91*(TableC2!N19+TableC2!Y19)/(TableC2!$D$91+TableC2!$O$91)</f>
        <v>4932.2755056764536</v>
      </c>
      <c r="N21" s="1458">
        <f t="shared" si="6"/>
        <v>54904.338589641877</v>
      </c>
      <c r="O21" s="1752">
        <f t="shared" si="7"/>
        <v>30450.406088704618</v>
      </c>
      <c r="P21" s="1761">
        <f t="shared" si="8"/>
        <v>24453.932500937262</v>
      </c>
      <c r="Q21" s="1459">
        <f t="shared" si="9"/>
        <v>2106.7860357406048</v>
      </c>
      <c r="R21" s="1459">
        <f t="shared" si="10"/>
        <v>284.87864394654076</v>
      </c>
      <c r="S21" s="1459">
        <f t="shared" si="11"/>
        <v>11676.36540577053</v>
      </c>
      <c r="T21" s="1459">
        <f t="shared" si="12"/>
        <v>7522.8809363545734</v>
      </c>
      <c r="U21" s="1459">
        <f t="shared" si="13"/>
        <v>972.92500496619277</v>
      </c>
      <c r="V21" s="1459">
        <f t="shared" si="14"/>
        <v>7886.570061926177</v>
      </c>
      <c r="W21" s="1174">
        <f t="shared" si="15"/>
        <v>9503.6518389584598</v>
      </c>
      <c r="X21" s="1235">
        <f t="shared" si="16"/>
        <v>14950.280661978803</v>
      </c>
      <c r="Y21" s="958"/>
      <c r="Z21" s="958"/>
      <c r="AA21" s="958"/>
      <c r="AB21" s="958"/>
      <c r="AC21" s="958"/>
      <c r="AD21" s="958"/>
      <c r="AE21" s="958"/>
      <c r="AF21" s="958"/>
      <c r="AG21" s="958"/>
      <c r="AH21" s="958"/>
    </row>
    <row r="22" spans="1:34" ht="14.25" customHeight="1" x14ac:dyDescent="0.2">
      <c r="A22" s="958"/>
      <c r="B22" s="937" t="s">
        <v>40</v>
      </c>
      <c r="C22" s="1458">
        <f t="shared" si="5"/>
        <v>1046.512460195499</v>
      </c>
      <c r="D22" s="1752">
        <f t="shared" si="1"/>
        <v>913.78755346575019</v>
      </c>
      <c r="E22" s="1761">
        <f t="shared" si="2"/>
        <v>132.72490672974874</v>
      </c>
      <c r="F22" s="1459">
        <f>1000*TableA7!$P$91*(TableC2!F20+TableC2!Q20)/(TableC2!$D$91+TableC2!$O$91)</f>
        <v>186.4987150981276</v>
      </c>
      <c r="G22" s="1459">
        <f>1000*TableA7!$P$91*(TableC2!G20+TableC2!R20)/(TableC2!$D$91+TableC2!$O$91)</f>
        <v>40.460030822326623</v>
      </c>
      <c r="H22" s="1459">
        <f>1000*TableA7!$P$91*(TableC2!H20+TableC2!S20)/(TableC2!$D$91+TableC2!$O$91)</f>
        <v>266.63089808801556</v>
      </c>
      <c r="I22" s="1459">
        <f>1000*TableA7!$P$91*(TableC2!I20+TableC2!T20)/(TableC2!$D$91+TableC2!$O$91)</f>
        <v>211.45725478711961</v>
      </c>
      <c r="J22" s="1459">
        <f>1000*TableA7!$P$91*(TableC2!J20+TableC2!U20)/(TableC2!$D$91+TableC2!$O$91)</f>
        <v>4.4622993216025071</v>
      </c>
      <c r="K22" s="1459">
        <f>1000*TableA7!$P$91*(TableC2!K20+TableC2!V20)/(TableC2!$D$91+TableC2!$O$91)</f>
        <v>204.27835534855828</v>
      </c>
      <c r="L22" s="1174">
        <f>1000*TableA7!$P$91*(TableC2!M20+TableC2!X20)/(TableC2!$D$91+TableC2!$O$91)</f>
        <v>111.01567890592571</v>
      </c>
      <c r="M22" s="1235">
        <f>1000*TableA7!$P$91*(TableC2!N20+TableC2!Y20)/(TableC2!$D$91+TableC2!$O$91)</f>
        <v>21.709227823823035</v>
      </c>
      <c r="N22" s="1458">
        <f t="shared" si="6"/>
        <v>1046.512460195499</v>
      </c>
      <c r="O22" s="1752">
        <f t="shared" si="7"/>
        <v>655.01389962074347</v>
      </c>
      <c r="P22" s="1761">
        <f t="shared" si="8"/>
        <v>391.49856057475552</v>
      </c>
      <c r="Q22" s="1459">
        <f t="shared" si="9"/>
        <v>35.835524047157037</v>
      </c>
      <c r="R22" s="1459">
        <f t="shared" si="10"/>
        <v>44.607267381437062</v>
      </c>
      <c r="S22" s="1459">
        <f t="shared" si="11"/>
        <v>262.80328033098732</v>
      </c>
      <c r="T22" s="1459">
        <f t="shared" si="12"/>
        <v>134.5310677681563</v>
      </c>
      <c r="U22" s="1459">
        <f t="shared" si="13"/>
        <v>21.206795552038901</v>
      </c>
      <c r="V22" s="1459">
        <f t="shared" si="14"/>
        <v>156.02996454096686</v>
      </c>
      <c r="W22" s="1174">
        <f t="shared" si="15"/>
        <v>156.48024052918657</v>
      </c>
      <c r="X22" s="1235">
        <f t="shared" si="16"/>
        <v>235.01832004556897</v>
      </c>
      <c r="Y22" s="958"/>
      <c r="Z22" s="958"/>
      <c r="AA22" s="1066"/>
      <c r="AB22" s="1066"/>
      <c r="AC22" s="1066"/>
      <c r="AD22" s="1066"/>
      <c r="AE22" s="1066"/>
      <c r="AF22" s="1066"/>
      <c r="AG22" s="1066"/>
      <c r="AH22" s="1066"/>
    </row>
    <row r="23" spans="1:34" ht="14.25" customHeight="1" x14ac:dyDescent="0.2">
      <c r="A23" s="958"/>
      <c r="B23" s="937" t="s">
        <v>41</v>
      </c>
      <c r="C23" s="1458">
        <f t="shared" si="5"/>
        <v>2394.8890539900785</v>
      </c>
      <c r="D23" s="1752">
        <f t="shared" si="1"/>
        <v>1689.4617331249303</v>
      </c>
      <c r="E23" s="1761">
        <f t="shared" si="2"/>
        <v>705.42732086514832</v>
      </c>
      <c r="F23" s="1459">
        <f>1000*TableA7!$P$91*(TableC2!F21+TableC2!Q21)/(TableC2!$D$91+TableC2!$O$91)</f>
        <v>214.21253386301217</v>
      </c>
      <c r="G23" s="1459">
        <f>1000*TableA7!$P$91*(TableC2!G21+TableC2!R21)/(TableC2!$D$91+TableC2!$O$91)</f>
        <v>1.1790483996020753</v>
      </c>
      <c r="H23" s="1459">
        <f>1000*TableA7!$P$91*(TableC2!H21+TableC2!S21)/(TableC2!$D$91+TableC2!$O$91)</f>
        <v>771.83101117785623</v>
      </c>
      <c r="I23" s="1459">
        <f>1000*TableA7!$P$91*(TableC2!I21+TableC2!T21)/(TableC2!$D$91+TableC2!$O$91)</f>
        <v>392.05878723658799</v>
      </c>
      <c r="J23" s="1459">
        <f>1000*TableA7!$P$91*(TableC2!J21+TableC2!U21)/(TableC2!$D$91+TableC2!$O$91)</f>
        <v>6.1322384617148691</v>
      </c>
      <c r="K23" s="1459">
        <f>1000*TableA7!$P$91*(TableC2!K21+TableC2!V21)/(TableC2!$D$91+TableC2!$O$91)</f>
        <v>304.04811398615692</v>
      </c>
      <c r="L23" s="1174">
        <f>1000*TableA7!$P$91*(TableC2!M21+TableC2!X21)/(TableC2!$D$91+TableC2!$O$91)</f>
        <v>300.45661952068173</v>
      </c>
      <c r="M23" s="1235">
        <f>1000*TableA7!$P$91*(TableC2!N21+TableC2!Y21)/(TableC2!$D$91+TableC2!$O$91)</f>
        <v>404.97070134446659</v>
      </c>
      <c r="N23" s="1458">
        <f t="shared" si="6"/>
        <v>2394.8890539900785</v>
      </c>
      <c r="O23" s="1752">
        <f t="shared" si="7"/>
        <v>1241.9635137695423</v>
      </c>
      <c r="P23" s="1761">
        <f t="shared" si="8"/>
        <v>1152.9255402205363</v>
      </c>
      <c r="Q23" s="1459">
        <f t="shared" si="9"/>
        <v>67.734386128407451</v>
      </c>
      <c r="R23" s="1459">
        <f t="shared" si="10"/>
        <v>8.6405429811114765</v>
      </c>
      <c r="S23" s="1459">
        <f t="shared" si="11"/>
        <v>567.49306075841139</v>
      </c>
      <c r="T23" s="1459">
        <f t="shared" si="12"/>
        <v>239.98901852318562</v>
      </c>
      <c r="U23" s="1459">
        <f t="shared" si="13"/>
        <v>36.294847252346301</v>
      </c>
      <c r="V23" s="1459">
        <f t="shared" si="14"/>
        <v>321.8116581260802</v>
      </c>
      <c r="W23" s="1174">
        <f t="shared" si="15"/>
        <v>313.48633923790362</v>
      </c>
      <c r="X23" s="1235">
        <f t="shared" si="16"/>
        <v>839.43920098263266</v>
      </c>
      <c r="Y23" s="958"/>
      <c r="Z23" s="958"/>
      <c r="AA23" s="1066"/>
      <c r="AB23" s="1066"/>
      <c r="AC23" s="1066"/>
      <c r="AD23" s="1066"/>
      <c r="AE23" s="1066"/>
      <c r="AF23" s="1066"/>
      <c r="AG23" s="1066"/>
      <c r="AH23" s="1066"/>
    </row>
    <row r="24" spans="1:34" ht="14.25" customHeight="1" x14ac:dyDescent="0.2">
      <c r="A24" s="958"/>
      <c r="B24" s="937" t="s">
        <v>42</v>
      </c>
      <c r="C24" s="1458">
        <f t="shared" si="5"/>
        <v>437.74676216057208</v>
      </c>
      <c r="D24" s="1752">
        <f t="shared" si="1"/>
        <v>337.64759136893497</v>
      </c>
      <c r="E24" s="1761">
        <f t="shared" si="2"/>
        <v>100.09917079163714</v>
      </c>
      <c r="F24" s="1459">
        <f>1000*TableA7!$P$91*(TableC2!F22+TableC2!Q22)/(TableC2!$D$91+TableC2!$O$91)</f>
        <v>38.482630728901484</v>
      </c>
      <c r="G24" s="1459">
        <f>1000*TableA7!$P$91*(TableC2!G22+TableC2!R22)/(TableC2!$D$91+TableC2!$O$91)</f>
        <v>0</v>
      </c>
      <c r="H24" s="1459">
        <f>1000*TableA7!$P$91*(TableC2!H22+TableC2!S22)/(TableC2!$D$91+TableC2!$O$91)</f>
        <v>71.836563071426227</v>
      </c>
      <c r="I24" s="1459">
        <f>1000*TableA7!$P$91*(TableC2!I22+TableC2!T22)/(TableC2!$D$91+TableC2!$O$91)</f>
        <v>180.71581106301579</v>
      </c>
      <c r="J24" s="1459">
        <f>1000*TableA7!$P$91*(TableC2!J22+TableC2!U22)/(TableC2!$D$91+TableC2!$O$91)</f>
        <v>0.52896277217170617</v>
      </c>
      <c r="K24" s="1459">
        <f>1000*TableA7!$P$91*(TableC2!K22+TableC2!V22)/(TableC2!$D$91+TableC2!$O$91)</f>
        <v>46.083623733419749</v>
      </c>
      <c r="L24" s="1174">
        <f>1000*TableA7!$P$91*(TableC2!M22+TableC2!X22)/(TableC2!$D$91+TableC2!$O$91)</f>
        <v>8.5151296701204231</v>
      </c>
      <c r="M24" s="1235">
        <f>1000*TableA7!$P$91*(TableC2!N22+TableC2!Y22)/(TableC2!$D$91+TableC2!$O$91)</f>
        <v>91.584041121516719</v>
      </c>
      <c r="N24" s="1458">
        <f t="shared" si="6"/>
        <v>437.74676216057208</v>
      </c>
      <c r="O24" s="1752">
        <f t="shared" si="7"/>
        <v>242.62335065273285</v>
      </c>
      <c r="P24" s="1761">
        <f t="shared" si="8"/>
        <v>195.12341150783922</v>
      </c>
      <c r="Q24" s="1459">
        <f t="shared" si="9"/>
        <v>11.952581755878668</v>
      </c>
      <c r="R24" s="1459">
        <f t="shared" si="10"/>
        <v>2.1078580611498179</v>
      </c>
      <c r="S24" s="1459">
        <f t="shared" si="11"/>
        <v>100.48898608894308</v>
      </c>
      <c r="T24" s="1459">
        <f t="shared" si="12"/>
        <v>69.984413948789538</v>
      </c>
      <c r="U24" s="1459">
        <f t="shared" si="13"/>
        <v>8.8933323414915684</v>
      </c>
      <c r="V24" s="1459">
        <f t="shared" si="14"/>
        <v>49.196178456480204</v>
      </c>
      <c r="W24" s="1174">
        <f t="shared" si="15"/>
        <v>38.311879945279287</v>
      </c>
      <c r="X24" s="1235">
        <f t="shared" si="16"/>
        <v>156.81153156255994</v>
      </c>
      <c r="Y24" s="958"/>
      <c r="Z24" s="958"/>
      <c r="AA24" s="958"/>
      <c r="AB24" s="958"/>
      <c r="AC24" s="958"/>
      <c r="AD24" s="958"/>
      <c r="AE24" s="958"/>
      <c r="AF24" s="958"/>
      <c r="AG24" s="958"/>
      <c r="AH24" s="958"/>
    </row>
    <row r="25" spans="1:34" ht="14.25" customHeight="1" x14ac:dyDescent="0.2">
      <c r="A25" s="958"/>
      <c r="B25" s="937" t="s">
        <v>43</v>
      </c>
      <c r="C25" s="1458"/>
      <c r="D25" s="1752"/>
      <c r="E25" s="1761"/>
      <c r="F25" s="1459"/>
      <c r="G25" s="1459"/>
      <c r="H25" s="1459"/>
      <c r="I25" s="1459"/>
      <c r="J25" s="1459"/>
      <c r="K25" s="1459"/>
      <c r="L25" s="1174"/>
      <c r="M25" s="1235"/>
      <c r="N25" s="1458"/>
      <c r="O25" s="1752"/>
      <c r="P25" s="1761"/>
      <c r="Q25" s="1459"/>
      <c r="R25" s="1459"/>
      <c r="S25" s="1459"/>
      <c r="T25" s="1459"/>
      <c r="U25" s="1459"/>
      <c r="V25" s="1459"/>
      <c r="W25" s="1174"/>
      <c r="X25" s="1235"/>
      <c r="Y25" s="958"/>
      <c r="Z25" s="958"/>
      <c r="AA25" s="958"/>
      <c r="AB25" s="958"/>
      <c r="AC25" s="958"/>
      <c r="AD25" s="958"/>
      <c r="AE25" s="958"/>
      <c r="AF25" s="958"/>
      <c r="AG25" s="958"/>
      <c r="AH25" s="958"/>
    </row>
    <row r="26" spans="1:34" ht="14.25" customHeight="1" x14ac:dyDescent="0.2">
      <c r="A26" s="958"/>
      <c r="B26" s="937" t="s">
        <v>44</v>
      </c>
      <c r="C26" s="1458">
        <f t="shared" si="5"/>
        <v>680.65831999156569</v>
      </c>
      <c r="D26" s="1752">
        <f t="shared" si="1"/>
        <v>277.80827531291379</v>
      </c>
      <c r="E26" s="1761">
        <f t="shared" si="2"/>
        <v>402.8500446786519</v>
      </c>
      <c r="F26" s="1459">
        <f>1000*TableA7!$P$91*(TableC2!F24+TableC2!Q24)/(TableC2!$D$91+TableC2!$O$91)</f>
        <v>21.243627527061367</v>
      </c>
      <c r="G26" s="1459">
        <f>1000*TableA7!$P$91*(TableC2!G24+TableC2!R24)/(TableC2!$D$91+TableC2!$O$91)</f>
        <v>5.5629446513001266</v>
      </c>
      <c r="H26" s="1459">
        <f>1000*TableA7!$P$91*(TableC2!H24+TableC2!S24)/(TableC2!$D$91+TableC2!$O$91)</f>
        <v>147.70398702776717</v>
      </c>
      <c r="I26" s="1459">
        <f>1000*TableA7!$P$91*(TableC2!I24+TableC2!T24)/(TableC2!$D$91+TableC2!$O$91)</f>
        <v>31.798064007740578</v>
      </c>
      <c r="J26" s="1459">
        <f>1000*TableA7!$P$91*(TableC2!J24+TableC2!U24)/(TableC2!$D$91+TableC2!$O$91)</f>
        <v>26.811934609023446</v>
      </c>
      <c r="K26" s="1459">
        <f>1000*TableA7!$P$91*(TableC2!K24+TableC2!V24)/(TableC2!$D$91+TableC2!$O$91)</f>
        <v>44.687717490021086</v>
      </c>
      <c r="L26" s="1174">
        <f>1000*TableA7!$P$91*(TableC2!M24+TableC2!X24)/(TableC2!$D$91+TableC2!$O$91)</f>
        <v>33.073801633332806</v>
      </c>
      <c r="M26" s="1235">
        <f>1000*TableA7!$P$91*(TableC2!N24+TableC2!Y24)/(TableC2!$D$91+TableC2!$O$91)</f>
        <v>369.77624304531906</v>
      </c>
      <c r="N26" s="1458">
        <f t="shared" ref="N26:N30" si="17">+P26+O26</f>
        <v>680.65831999156558</v>
      </c>
      <c r="O26" s="1752">
        <f t="shared" ref="O26:O30" si="18">+SUM(Q26:V26)</f>
        <v>237.10559067293514</v>
      </c>
      <c r="P26" s="1761">
        <f t="shared" ref="P26:P30" si="19">+SUM(W26:X26)</f>
        <v>443.5527293186305</v>
      </c>
      <c r="Q26" s="1459">
        <f>+SUMPRODUCT($F26:$M26,$AE$66:$AL$66)</f>
        <v>9.3140723209827918</v>
      </c>
      <c r="R26" s="1459">
        <f>+SUMPRODUCT($F26:$M26,$AE$67:$AL$67)</f>
        <v>7.1743744463957553</v>
      </c>
      <c r="S26" s="1459">
        <f>+SUMPRODUCT($F26:$M26,$AE$68:$AL$68)</f>
        <v>110.82597013475838</v>
      </c>
      <c r="T26" s="1459">
        <f>+SUMPRODUCT($F26:$M26,$AE$69:$AL$69)</f>
        <v>24.250872715575522</v>
      </c>
      <c r="U26" s="1459">
        <f>+SUMPRODUCT($F26:$M26,$AE$70:$AL$70)</f>
        <v>33.504522959964532</v>
      </c>
      <c r="V26" s="1459">
        <f>+SUMPRODUCT($F26:$M26,$AE$71:$AL$71)</f>
        <v>52.035778095258152</v>
      </c>
      <c r="W26" s="1174">
        <f>+SUMPRODUCT($F26:$M26,$AE$72:$AL$72)</f>
        <v>38.361003521720541</v>
      </c>
      <c r="X26" s="1235">
        <f>+SUMPRODUCT($F26:$M26,$AE$73:$AL$73)</f>
        <v>405.19172579690996</v>
      </c>
      <c r="Y26" s="958"/>
      <c r="Z26" s="958"/>
      <c r="AA26" s="958"/>
      <c r="AB26" s="958"/>
      <c r="AC26" s="958"/>
      <c r="AD26" s="958"/>
      <c r="AE26" s="958"/>
      <c r="AF26" s="958"/>
      <c r="AG26" s="958"/>
      <c r="AH26" s="958"/>
    </row>
    <row r="27" spans="1:34" ht="14.25" customHeight="1" x14ac:dyDescent="0.2">
      <c r="A27" s="958"/>
      <c r="B27" s="937" t="s">
        <v>45</v>
      </c>
      <c r="C27" s="1458">
        <f t="shared" si="5"/>
        <v>22702.482961511632</v>
      </c>
      <c r="D27" s="1752">
        <f t="shared" si="1"/>
        <v>19453.222640725442</v>
      </c>
      <c r="E27" s="1761">
        <f t="shared" si="2"/>
        <v>3249.2603207861885</v>
      </c>
      <c r="F27" s="1459">
        <f>1000*TableA7!$P$91*(TableC2!F25+TableC2!Q25)/(TableC2!$D$91+TableC2!$O$91)</f>
        <v>2138.4635697288891</v>
      </c>
      <c r="G27" s="1459">
        <f>1000*TableA7!$P$91*(TableC2!G25+TableC2!R25)/(TableC2!$D$91+TableC2!$O$91)</f>
        <v>14.963869596118068</v>
      </c>
      <c r="H27" s="1459">
        <f>1000*TableA7!$P$91*(TableC2!H25+TableC2!S25)/(TableC2!$D$91+TableC2!$O$91)</f>
        <v>5683.5093311897463</v>
      </c>
      <c r="I27" s="1459">
        <f>1000*TableA7!$P$91*(TableC2!I25+TableC2!T25)/(TableC2!$D$91+TableC2!$O$91)</f>
        <v>9176.7651206524024</v>
      </c>
      <c r="J27" s="1459">
        <f>1000*TableA7!$P$91*(TableC2!J25+TableC2!U25)/(TableC2!$D$91+TableC2!$O$91)</f>
        <v>77.291482706668518</v>
      </c>
      <c r="K27" s="1459">
        <f>1000*TableA7!$P$91*(TableC2!K25+TableC2!V25)/(TableC2!$D$91+TableC2!$O$91)</f>
        <v>2362.2292668516202</v>
      </c>
      <c r="L27" s="1174">
        <f>1000*TableA7!$P$91*(TableC2!M25+TableC2!X25)/(TableC2!$D$91+TableC2!$O$91)</f>
        <v>2248.8031473606939</v>
      </c>
      <c r="M27" s="1235">
        <f>1000*TableA7!$P$91*(TableC2!N25+TableC2!Y25)/(TableC2!$D$91+TableC2!$O$91)</f>
        <v>1000.4571734254946</v>
      </c>
      <c r="N27" s="1458">
        <f t="shared" si="17"/>
        <v>22702.482961511636</v>
      </c>
      <c r="O27" s="1752">
        <f t="shared" si="18"/>
        <v>14160.060539035479</v>
      </c>
      <c r="P27" s="1761">
        <f t="shared" si="19"/>
        <v>8542.4224224761565</v>
      </c>
      <c r="Q27" s="1459">
        <f>+SUMPRODUCT($F27:$M27,$AE$66:$AL$66)</f>
        <v>719.39163080149103</v>
      </c>
      <c r="R27" s="1459">
        <f>+SUMPRODUCT($F27:$M27,$AE$67:$AL$67)</f>
        <v>119.07582086217451</v>
      </c>
      <c r="S27" s="1459">
        <f>+SUMPRODUCT($F27:$M27,$AE$68:$AL$68)</f>
        <v>5825.0057024682737</v>
      </c>
      <c r="T27" s="1459">
        <f>+SUMPRODUCT($F27:$M27,$AE$69:$AL$69)</f>
        <v>3893.1824672894127</v>
      </c>
      <c r="U27" s="1459">
        <f>+SUMPRODUCT($F27:$M27,$AE$70:$AL$70)</f>
        <v>489.15677323062044</v>
      </c>
      <c r="V27" s="1459">
        <f>+SUMPRODUCT($F27:$M27,$AE$71:$AL$71)</f>
        <v>3114.2481443835054</v>
      </c>
      <c r="W27" s="1174">
        <f>+SUMPRODUCT($F27:$M27,$AE$72:$AL$72)</f>
        <v>2959.9951863696815</v>
      </c>
      <c r="X27" s="1235">
        <f>+SUMPRODUCT($F27:$M27,$AE$73:$AL$73)</f>
        <v>5582.4272361064759</v>
      </c>
      <c r="Y27" s="958"/>
      <c r="Z27" s="958"/>
      <c r="AA27" s="958"/>
      <c r="AB27" s="958"/>
      <c r="AC27" s="958"/>
      <c r="AD27" s="958"/>
      <c r="AE27" s="958"/>
      <c r="AF27" s="958"/>
      <c r="AG27" s="958"/>
      <c r="AH27" s="958"/>
    </row>
    <row r="28" spans="1:34" ht="14.25" customHeight="1" x14ac:dyDescent="0.2">
      <c r="A28" s="958"/>
      <c r="B28" s="937" t="s">
        <v>46</v>
      </c>
      <c r="C28" s="1458">
        <f t="shared" si="5"/>
        <v>8554.3737634504905</v>
      </c>
      <c r="D28" s="1752">
        <f t="shared" si="1"/>
        <v>4543.9112374116648</v>
      </c>
      <c r="E28" s="1761">
        <f t="shared" si="2"/>
        <v>4010.4625260388257</v>
      </c>
      <c r="F28" s="1459">
        <f>1000*TableA7!$P$91*(TableC2!F26+TableC2!Q26)/(TableC2!$D$91+TableC2!$O$91)</f>
        <v>332.45713249138208</v>
      </c>
      <c r="G28" s="1459">
        <f>1000*TableA7!$P$91*(TableC2!G26+TableC2!R26)/(TableC2!$D$91+TableC2!$O$91)</f>
        <v>71.720310547451106</v>
      </c>
      <c r="H28" s="1459">
        <f>1000*TableA7!$P$91*(TableC2!H26+TableC2!S26)/(TableC2!$D$91+TableC2!$O$91)</f>
        <v>2179.4377233081541</v>
      </c>
      <c r="I28" s="1459">
        <f>1000*TableA7!$P$91*(TableC2!I26+TableC2!T26)/(TableC2!$D$91+TableC2!$O$91)</f>
        <v>861.78348495408432</v>
      </c>
      <c r="J28" s="1459">
        <f>1000*TableA7!$P$91*(TableC2!J26+TableC2!U26)/(TableC2!$D$91+TableC2!$O$91)</f>
        <v>2.3564108669904944</v>
      </c>
      <c r="K28" s="1459">
        <f>1000*TableA7!$P$91*(TableC2!K26+TableC2!V26)/(TableC2!$D$91+TableC2!$O$91)</f>
        <v>1096.1561752436023</v>
      </c>
      <c r="L28" s="1174">
        <f>1000*TableA7!$P$91*(TableC2!M26+TableC2!X26)/(TableC2!$D$91+TableC2!$O$91)</f>
        <v>329.2571114145689</v>
      </c>
      <c r="M28" s="1235">
        <f>1000*TableA7!$P$91*(TableC2!N26+TableC2!Y26)/(TableC2!$D$91+TableC2!$O$91)</f>
        <v>3681.2054146242567</v>
      </c>
      <c r="N28" s="1458">
        <f t="shared" si="17"/>
        <v>8554.3737634504905</v>
      </c>
      <c r="O28" s="1752">
        <f t="shared" si="18"/>
        <v>3296.5052780810074</v>
      </c>
      <c r="P28" s="1761">
        <f t="shared" si="19"/>
        <v>5257.8684853694831</v>
      </c>
      <c r="Q28" s="1459">
        <f>+SUMPRODUCT($F28:$M28,$AE$66:$AL$66)</f>
        <v>180.90521578483927</v>
      </c>
      <c r="R28" s="1459">
        <f>+SUMPRODUCT($F28:$M28,$AE$67:$AL$67)</f>
        <v>93.449750030167152</v>
      </c>
      <c r="S28" s="1459">
        <f>+SUMPRODUCT($F28:$M28,$AE$68:$AL$68)</f>
        <v>1604.3670763972618</v>
      </c>
      <c r="T28" s="1459">
        <f>+SUMPRODUCT($F28:$M28,$AE$69:$AL$69)</f>
        <v>482.60678608909933</v>
      </c>
      <c r="U28" s="1459">
        <f>+SUMPRODUCT($F28:$M28,$AE$70:$AL$70)</f>
        <v>91.183310772262629</v>
      </c>
      <c r="V28" s="1459">
        <f>+SUMPRODUCT($F28:$M28,$AE$71:$AL$71)</f>
        <v>843.99313900737684</v>
      </c>
      <c r="W28" s="1174">
        <f>+SUMPRODUCT($F28:$M28,$AE$72:$AL$72)</f>
        <v>628.57529762669265</v>
      </c>
      <c r="X28" s="1235">
        <f>+SUMPRODUCT($F28:$M28,$AE$73:$AL$73)</f>
        <v>4629.2931877427909</v>
      </c>
      <c r="Y28" s="958"/>
      <c r="Z28" s="958"/>
      <c r="AA28" s="958"/>
      <c r="AB28" s="958"/>
      <c r="AC28" s="958"/>
      <c r="AD28" s="958"/>
      <c r="AE28" s="958"/>
      <c r="AF28" s="958"/>
      <c r="AG28" s="958"/>
      <c r="AH28" s="958"/>
    </row>
    <row r="29" spans="1:34" ht="14.25" customHeight="1" x14ac:dyDescent="0.2">
      <c r="A29" s="958" t="s">
        <v>308</v>
      </c>
      <c r="B29" s="937" t="s">
        <v>47</v>
      </c>
      <c r="C29" s="1458">
        <f t="shared" si="5"/>
        <v>4834.6318555725975</v>
      </c>
      <c r="D29" s="1752">
        <f t="shared" si="1"/>
        <v>1157.3392641214625</v>
      </c>
      <c r="E29" s="1761">
        <f t="shared" si="2"/>
        <v>3677.2925914511352</v>
      </c>
      <c r="F29" s="1459">
        <f>1000*TableA7!$P$91*(TableC2!F27+TableC2!Q27)/(TableC2!$D$91+TableC2!$O$91)</f>
        <v>129.49015251601665</v>
      </c>
      <c r="G29" s="1459">
        <f>1000*TableA7!$P$91*(TableC2!G27+TableC2!R27)/(TableC2!$D$91+TableC2!$O$91)</f>
        <v>28.570135458972882</v>
      </c>
      <c r="H29" s="1459">
        <f>1000*TableA7!$P$91*(TableC2!H27+TableC2!S27)/(TableC2!$D$91+TableC2!$O$91)</f>
        <v>273.04610885742335</v>
      </c>
      <c r="I29" s="1459">
        <f>1000*TableA7!$P$91*(TableC2!I27+TableC2!T27)/(TableC2!$D$91+TableC2!$O$91)</f>
        <v>252.56352758364949</v>
      </c>
      <c r="J29" s="1459">
        <f>1000*TableA7!$P$91*(TableC2!J27+TableC2!U27)/(TableC2!$D$91+TableC2!$O$91)</f>
        <v>-0.2163862266811421</v>
      </c>
      <c r="K29" s="1459">
        <f>1000*TableA7!$P$91*(TableC2!K27+TableC2!V27)/(TableC2!$D$91+TableC2!$O$91)</f>
        <v>473.88572593208124</v>
      </c>
      <c r="L29" s="1174">
        <f>1000*TableA7!$P$91*(TableC2!M27+TableC2!X27)/(TableC2!$D$91+TableC2!$O$91)</f>
        <v>301.90401446869765</v>
      </c>
      <c r="M29" s="1235">
        <f>1000*TableA7!$P$91*(TableC2!N27+TableC2!Y27)/(TableC2!$D$91+TableC2!$O$91)</f>
        <v>3375.3885769824374</v>
      </c>
      <c r="N29" s="1458">
        <f t="shared" si="17"/>
        <v>4834.6318555725984</v>
      </c>
      <c r="O29" s="1752">
        <f t="shared" si="18"/>
        <v>1239.8532290717219</v>
      </c>
      <c r="P29" s="1761">
        <f t="shared" si="19"/>
        <v>3594.7786265008763</v>
      </c>
      <c r="Q29" s="1459">
        <f>+SUMPRODUCT($F29:$M29,$AE$66:$AL$66)</f>
        <v>65.845180889684642</v>
      </c>
      <c r="R29" s="1459">
        <f>+SUMPRODUCT($F29:$M29,$AE$67:$AL$67)</f>
        <v>42.236086194780441</v>
      </c>
      <c r="S29" s="1459">
        <f>+SUMPRODUCT($F29:$M29,$AE$68:$AL$68)</f>
        <v>604.88952665880845</v>
      </c>
      <c r="T29" s="1459">
        <f>+SUMPRODUCT($F29:$M29,$AE$69:$AL$69)</f>
        <v>174.51494108242224</v>
      </c>
      <c r="U29" s="1459">
        <f>+SUMPRODUCT($F29:$M29,$AE$70:$AL$70)</f>
        <v>56.508367411394211</v>
      </c>
      <c r="V29" s="1459">
        <f>+SUMPRODUCT($F29:$M29,$AE$71:$AL$71)</f>
        <v>295.85912683463181</v>
      </c>
      <c r="W29" s="1174">
        <f>+SUMPRODUCT($F29:$M29,$AE$72:$AL$72)</f>
        <v>314.32633801418683</v>
      </c>
      <c r="X29" s="1235">
        <f>+SUMPRODUCT($F29:$M29,$AE$73:$AL$73)</f>
        <v>3280.4522884866892</v>
      </c>
      <c r="Y29" s="958"/>
      <c r="Z29" s="958"/>
      <c r="AA29" s="958"/>
      <c r="AB29" s="958"/>
      <c r="AC29" s="958"/>
      <c r="AD29" s="958"/>
      <c r="AE29" s="958"/>
      <c r="AF29" s="958"/>
      <c r="AG29" s="958"/>
      <c r="AH29" s="958"/>
    </row>
    <row r="30" spans="1:34" ht="14.25" customHeight="1" x14ac:dyDescent="0.2">
      <c r="A30" s="958"/>
      <c r="B30" s="959" t="s">
        <v>48</v>
      </c>
      <c r="C30" s="1458">
        <f t="shared" si="5"/>
        <v>200.97896727392822</v>
      </c>
      <c r="D30" s="1752">
        <f t="shared" si="1"/>
        <v>140.7084460792432</v>
      </c>
      <c r="E30" s="1761">
        <f t="shared" si="2"/>
        <v>60.27052119468501</v>
      </c>
      <c r="F30" s="1459">
        <f>1000*TableA7!$P$91*(TableC2!F28+TableC2!Q28)/(TableC2!$D$91+TableC2!$O$91)</f>
        <v>10.250657042879938</v>
      </c>
      <c r="G30" s="1459">
        <f>1000*TableA7!$P$91*(TableC2!G28+TableC2!R28)/(TableC2!$D$91+TableC2!$O$91)</f>
        <v>0.8371040859791713</v>
      </c>
      <c r="H30" s="1459">
        <f>1000*TableA7!$P$91*(TableC2!H28+TableC2!S28)/(TableC2!$D$91+TableC2!$O$91)</f>
        <v>46.363397896066367</v>
      </c>
      <c r="I30" s="1459">
        <f>1000*TableA7!$P$91*(TableC2!I28+TableC2!T28)/(TableC2!$D$91+TableC2!$O$91)</f>
        <v>65.804969798474758</v>
      </c>
      <c r="J30" s="1459">
        <f>1000*TableA7!$P$91*(TableC2!J28+TableC2!U28)/(TableC2!$D$91+TableC2!$O$91)</f>
        <v>1.9751028548097485</v>
      </c>
      <c r="K30" s="1459">
        <f>1000*TableA7!$P$91*(TableC2!K28+TableC2!V28)/(TableC2!$D$91+TableC2!$O$91)</f>
        <v>15.477214401033224</v>
      </c>
      <c r="L30" s="1174">
        <f>1000*TableA7!$P$91*(TableC2!M28+TableC2!X28)/(TableC2!$D$91+TableC2!$O$91)</f>
        <v>14.832562960491986</v>
      </c>
      <c r="M30" s="1235">
        <f>1000*TableA7!$P$91*(TableC2!N28+TableC2!Y28)/(TableC2!$D$91+TableC2!$O$91)</f>
        <v>45.437958234193026</v>
      </c>
      <c r="N30" s="1458">
        <f t="shared" si="17"/>
        <v>200.97896727392822</v>
      </c>
      <c r="O30" s="1752">
        <f t="shared" si="18"/>
        <v>105.87524044109723</v>
      </c>
      <c r="P30" s="1761">
        <f t="shared" si="19"/>
        <v>95.103726832830986</v>
      </c>
      <c r="Q30" s="1459">
        <f>+SUMPRODUCT($F30:$M30,$AE$66:$AL$66)</f>
        <v>5.0414645191732186</v>
      </c>
      <c r="R30" s="1459">
        <f>+SUMPRODUCT($F30:$M30,$AE$67:$AL$67)</f>
        <v>1.6281666065551115</v>
      </c>
      <c r="S30" s="1459">
        <f>+SUMPRODUCT($F30:$M30,$AE$68:$AL$68)</f>
        <v>44.686106504147368</v>
      </c>
      <c r="T30" s="1459">
        <f>+SUMPRODUCT($F30:$M30,$AE$69:$AL$69)</f>
        <v>26.798857005209104</v>
      </c>
      <c r="U30" s="1459">
        <f>+SUMPRODUCT($F30:$M30,$AE$70:$AL$70)</f>
        <v>5.1202707637834717</v>
      </c>
      <c r="V30" s="1459">
        <f>+SUMPRODUCT($F30:$M30,$AE$71:$AL$71)</f>
        <v>22.600375042228961</v>
      </c>
      <c r="W30" s="1174">
        <f>+SUMPRODUCT($F30:$M30,$AE$72:$AL$72)</f>
        <v>19.803955619788429</v>
      </c>
      <c r="X30" s="1235">
        <f>+SUMPRODUCT($F30:$M30,$AE$73:$AL$73)</f>
        <v>75.299771213042561</v>
      </c>
      <c r="Y30" s="958"/>
      <c r="Z30" s="958"/>
      <c r="AA30" s="958"/>
      <c r="AB30" s="958"/>
      <c r="AC30" s="958"/>
      <c r="AD30" s="958"/>
      <c r="AE30" s="958"/>
      <c r="AF30" s="958"/>
      <c r="AG30" s="958"/>
      <c r="AH30" s="958"/>
    </row>
    <row r="31" spans="1:34" ht="14.25" customHeight="1" x14ac:dyDescent="0.2">
      <c r="A31" s="958"/>
      <c r="B31" s="959" t="s">
        <v>49</v>
      </c>
      <c r="C31" s="1458"/>
      <c r="D31" s="1752"/>
      <c r="E31" s="1761"/>
      <c r="F31" s="1459"/>
      <c r="G31" s="1459"/>
      <c r="H31" s="1459"/>
      <c r="I31" s="1459"/>
      <c r="J31" s="1459"/>
      <c r="K31" s="1459"/>
      <c r="L31" s="1174"/>
      <c r="M31" s="1235"/>
      <c r="N31" s="1458"/>
      <c r="O31" s="1752"/>
      <c r="P31" s="1761"/>
      <c r="Q31" s="1459"/>
      <c r="R31" s="1459"/>
      <c r="S31" s="1459"/>
      <c r="T31" s="1459"/>
      <c r="U31" s="1459"/>
      <c r="V31" s="1459"/>
      <c r="W31" s="1174"/>
      <c r="X31" s="1235"/>
      <c r="Y31" s="958"/>
      <c r="Z31" s="958"/>
      <c r="AA31" s="958"/>
      <c r="AB31" s="958"/>
      <c r="AC31" s="958"/>
      <c r="AD31" s="958"/>
      <c r="AE31" s="958"/>
      <c r="AF31" s="958"/>
      <c r="AG31" s="958"/>
      <c r="AH31" s="958"/>
    </row>
    <row r="32" spans="1:34" ht="14.25" customHeight="1" x14ac:dyDescent="0.2">
      <c r="A32" s="958"/>
      <c r="B32" s="959" t="s">
        <v>50</v>
      </c>
      <c r="C32" s="1458">
        <f t="shared" si="5"/>
        <v>13095.889552074288</v>
      </c>
      <c r="D32" s="1752">
        <f t="shared" si="1"/>
        <v>4037.4535191870855</v>
      </c>
      <c r="E32" s="1761">
        <f t="shared" si="2"/>
        <v>9058.4360328872026</v>
      </c>
      <c r="F32" s="1459">
        <f>1000*TableA7!$P$91*(TableC2!F30+TableC2!Q30)/(TableC2!$D$91+TableC2!$O$91)</f>
        <v>430.28860415050877</v>
      </c>
      <c r="G32" s="1459">
        <f>1000*TableA7!$P$91*(TableC2!G30+TableC2!R30)/(TableC2!$D$91+TableC2!$O$91)</f>
        <v>0</v>
      </c>
      <c r="H32" s="1459">
        <f>1000*TableA7!$P$91*(TableC2!H30+TableC2!S30)/(TableC2!$D$91+TableC2!$O$91)</f>
        <v>387.15098932633583</v>
      </c>
      <c r="I32" s="1459">
        <f>1000*TableA7!$P$91*(TableC2!I30+TableC2!T30)/(TableC2!$D$91+TableC2!$O$91)</f>
        <v>743.69280995968415</v>
      </c>
      <c r="J32" s="1459">
        <f>1000*TableA7!$P$91*(TableC2!J30+TableC2!U30)/(TableC2!$D$91+TableC2!$O$91)</f>
        <v>9.5213298990907109</v>
      </c>
      <c r="K32" s="1459">
        <f>1000*TableA7!$P$91*(TableC2!K30+TableC2!V30)/(TableC2!$D$91+TableC2!$O$91)</f>
        <v>2466.7997858514659</v>
      </c>
      <c r="L32" s="1174">
        <f>1000*TableA7!$P$91*(TableC2!M30+TableC2!X30)/(TableC2!$D$91+TableC2!$O$91)</f>
        <v>743.69339265912208</v>
      </c>
      <c r="M32" s="1235">
        <f>1000*TableA7!$P$91*(TableC2!N30+TableC2!Y30)/(TableC2!$D$91+TableC2!$O$91)</f>
        <v>8314.7426402280798</v>
      </c>
      <c r="N32" s="1458">
        <f t="shared" ref="N32" si="20">+P32+O32</f>
        <v>13095.889552074288</v>
      </c>
      <c r="O32" s="1752">
        <f t="shared" ref="O32" si="21">+SUM(Q32:V32)</f>
        <v>3575.7359649430232</v>
      </c>
      <c r="P32" s="1761">
        <f t="shared" ref="P32" si="22">+SUM(W32:X32)</f>
        <v>9520.1535871312644</v>
      </c>
      <c r="Q32" s="1459">
        <f>+SUMPRODUCT($F32:$M32,$AE$66:$AL$66)</f>
        <v>269.70008081077384</v>
      </c>
      <c r="R32" s="1459">
        <f>+SUMPRODUCT($F32:$M32,$AE$67:$AL$67)</f>
        <v>36.080528924868794</v>
      </c>
      <c r="S32" s="1459">
        <f>+SUMPRODUCT($F32:$M32,$AE$68:$AL$68)</f>
        <v>1598.0318976052001</v>
      </c>
      <c r="T32" s="1459">
        <f>+SUMPRODUCT($F32:$M32,$AE$69:$AL$69)</f>
        <v>538.11383315136231</v>
      </c>
      <c r="U32" s="1459">
        <f>+SUMPRODUCT($F32:$M32,$AE$70:$AL$70)</f>
        <v>158.48713400710335</v>
      </c>
      <c r="V32" s="1459">
        <f>+SUMPRODUCT($F32:$M32,$AE$71:$AL$71)</f>
        <v>975.3224904437152</v>
      </c>
      <c r="W32" s="1174">
        <f>+SUMPRODUCT($F32:$M32,$AE$72:$AL$72)</f>
        <v>1103.9780307301712</v>
      </c>
      <c r="X32" s="1235">
        <f>+SUMPRODUCT($F32:$M32,$AE$73:$AL$73)</f>
        <v>8416.1755564010928</v>
      </c>
      <c r="Y32" s="958"/>
      <c r="Z32" s="958"/>
      <c r="AA32" s="958"/>
      <c r="AB32" s="958"/>
      <c r="AC32" s="958"/>
      <c r="AD32" s="958"/>
      <c r="AE32" s="958"/>
      <c r="AF32" s="958"/>
      <c r="AG32" s="958"/>
      <c r="AH32" s="958"/>
    </row>
    <row r="33" spans="1:36" ht="14.25" customHeight="1" x14ac:dyDescent="0.2">
      <c r="A33" s="958"/>
      <c r="B33" s="959" t="s">
        <v>51</v>
      </c>
      <c r="C33" s="1458"/>
      <c r="D33" s="1752"/>
      <c r="E33" s="1761"/>
      <c r="F33" s="1459"/>
      <c r="G33" s="1459"/>
      <c r="H33" s="1459"/>
      <c r="I33" s="1459"/>
      <c r="J33" s="1459"/>
      <c r="K33" s="1459"/>
      <c r="L33" s="1174"/>
      <c r="M33" s="1235"/>
      <c r="N33" s="1458"/>
      <c r="O33" s="1752"/>
      <c r="P33" s="1761"/>
      <c r="Q33" s="1459"/>
      <c r="R33" s="1459"/>
      <c r="S33" s="1459"/>
      <c r="T33" s="1459"/>
      <c r="U33" s="1459"/>
      <c r="V33" s="1459"/>
      <c r="W33" s="1174"/>
      <c r="X33" s="1235"/>
      <c r="Y33" s="958"/>
      <c r="Z33" s="958"/>
      <c r="AA33" s="958"/>
      <c r="AB33" s="958"/>
      <c r="AC33" s="958"/>
      <c r="AD33" s="958"/>
      <c r="AE33" s="958"/>
      <c r="AF33" s="958"/>
      <c r="AG33" s="958"/>
      <c r="AH33" s="958"/>
      <c r="AI33" s="958"/>
      <c r="AJ33" s="958"/>
    </row>
    <row r="34" spans="1:36" ht="14.25" customHeight="1" x14ac:dyDescent="0.2">
      <c r="A34" s="958"/>
      <c r="B34" s="959" t="s">
        <v>52</v>
      </c>
      <c r="C34" s="1458">
        <f t="shared" si="5"/>
        <v>1523.4433952929835</v>
      </c>
      <c r="D34" s="1752">
        <f t="shared" si="1"/>
        <v>500.75239256662854</v>
      </c>
      <c r="E34" s="1761">
        <f t="shared" si="2"/>
        <v>1022.691002726355</v>
      </c>
      <c r="F34" s="1459">
        <f>1000*TableA7!$P$91*(TableC2!F32+TableC2!Q32)/(TableC2!$D$91+TableC2!$O$91)</f>
        <v>43.161749201035775</v>
      </c>
      <c r="G34" s="1459">
        <f>1000*TableA7!$P$91*(TableC2!G32+TableC2!R32)/(TableC2!$D$91+TableC2!$O$91)</f>
        <v>0</v>
      </c>
      <c r="H34" s="1459">
        <f>1000*TableA7!$P$91*(TableC2!H32+TableC2!S32)/(TableC2!$D$91+TableC2!$O$91)</f>
        <v>214.81629912857156</v>
      </c>
      <c r="I34" s="1459">
        <f>1000*TableA7!$P$91*(TableC2!I32+TableC2!T32)/(TableC2!$D$91+TableC2!$O$91)</f>
        <v>115.22273286060243</v>
      </c>
      <c r="J34" s="1459">
        <f>1000*TableA7!$P$91*(TableC2!J32+TableC2!U32)/(TableC2!$D$91+TableC2!$O$91)</f>
        <v>8.4832806762380564</v>
      </c>
      <c r="K34" s="1459">
        <f>1000*TableA7!$P$91*(TableC2!K32+TableC2!V32)/(TableC2!$D$91+TableC2!$O$91)</f>
        <v>119.06833070018077</v>
      </c>
      <c r="L34" s="1174">
        <f>1000*TableA7!$P$91*(TableC2!M32+TableC2!X32)/(TableC2!$D$91+TableC2!$O$91)</f>
        <v>83.962456509957349</v>
      </c>
      <c r="M34" s="1235">
        <f>1000*TableA7!$P$91*(TableC2!N32+TableC2!Y32)/(TableC2!$D$91+TableC2!$O$91)</f>
        <v>938.7285462163976</v>
      </c>
      <c r="N34" s="1458">
        <f t="shared" ref="N34:N41" si="23">+P34+O34</f>
        <v>1523.4433952929835</v>
      </c>
      <c r="O34" s="1752">
        <f t="shared" ref="O34:O41" si="24">+SUM(Q34:V34)</f>
        <v>457.29853238452961</v>
      </c>
      <c r="P34" s="1761">
        <f t="shared" ref="P34:P41" si="25">+SUM(W34:X34)</f>
        <v>1066.1448629084539</v>
      </c>
      <c r="Q34" s="1459">
        <f t="shared" ref="Q34:Q41" si="26">+SUMPRODUCT($F34:$M34,$AE$66:$AL$66)</f>
        <v>21.709868163100285</v>
      </c>
      <c r="R34" s="1459">
        <f t="shared" ref="R34:R41" si="27">+SUMPRODUCT($F34:$M34,$AE$67:$AL$67)</f>
        <v>4.228496021184367</v>
      </c>
      <c r="S34" s="1459">
        <f t="shared" ref="S34:S41" si="28">+SUMPRODUCT($F34:$M34,$AE$68:$AL$68)</f>
        <v>229.85656066955045</v>
      </c>
      <c r="T34" s="1459">
        <f t="shared" ref="T34:T41" si="29">+SUMPRODUCT($F34:$M34,$AE$69:$AL$69)</f>
        <v>66.964617171974098</v>
      </c>
      <c r="U34" s="1459">
        <f t="shared" ref="U34:U41" si="30">+SUMPRODUCT($F34:$M34,$AE$70:$AL$70)</f>
        <v>25.950941733123209</v>
      </c>
      <c r="V34" s="1459">
        <f t="shared" ref="V34:V41" si="31">+SUMPRODUCT($F34:$M34,$AE$71:$AL$71)</f>
        <v>108.5880486255972</v>
      </c>
      <c r="W34" s="1174">
        <f t="shared" ref="W34:W41" si="32">+SUMPRODUCT($F34:$M34,$AE$72:$AL$72)</f>
        <v>94.281804903230011</v>
      </c>
      <c r="X34" s="1235">
        <f t="shared" ref="X34:X41" si="33">+SUMPRODUCT($F34:$M34,$AE$73:$AL$73)</f>
        <v>971.86305800522382</v>
      </c>
      <c r="Y34" s="958"/>
      <c r="Z34" s="958"/>
      <c r="AA34" s="958"/>
      <c r="AB34" s="958"/>
      <c r="AC34" s="958"/>
      <c r="AD34" s="958"/>
      <c r="AE34" s="958"/>
      <c r="AF34" s="958"/>
      <c r="AG34" s="958"/>
      <c r="AH34" s="958"/>
      <c r="AI34" s="958"/>
      <c r="AJ34" s="958"/>
    </row>
    <row r="35" spans="1:36" ht="14.25" customHeight="1" x14ac:dyDescent="0.2">
      <c r="A35" s="958"/>
      <c r="B35" s="959" t="s">
        <v>53</v>
      </c>
      <c r="C35" s="1458">
        <f t="shared" si="5"/>
        <v>5215.6647064681247</v>
      </c>
      <c r="D35" s="1752">
        <f t="shared" si="1"/>
        <v>2943.7110483106344</v>
      </c>
      <c r="E35" s="1761">
        <f t="shared" si="2"/>
        <v>2271.9536581574903</v>
      </c>
      <c r="F35" s="1459">
        <f>1000*TableA7!$P$91*(TableC2!F33+TableC2!Q33)/(TableC2!$D$91+TableC2!$O$91)</f>
        <v>274.36645656815818</v>
      </c>
      <c r="G35" s="1459">
        <f>1000*TableA7!$P$91*(TableC2!G33+TableC2!R33)/(TableC2!$D$91+TableC2!$O$91)</f>
        <v>1.6855537143936803</v>
      </c>
      <c r="H35" s="1459">
        <f>1000*TableA7!$P$91*(TableC2!H33+TableC2!S33)/(TableC2!$D$91+TableC2!$O$91)</f>
        <v>1142.4759227196676</v>
      </c>
      <c r="I35" s="1459">
        <f>1000*TableA7!$P$91*(TableC2!I33+TableC2!T33)/(TableC2!$D$91+TableC2!$O$91)</f>
        <v>715.45484209571293</v>
      </c>
      <c r="J35" s="1459">
        <f>1000*TableA7!$P$91*(TableC2!J33+TableC2!U33)/(TableC2!$D$91+TableC2!$O$91)</f>
        <v>33.889576719519631</v>
      </c>
      <c r="K35" s="1459">
        <f>1000*TableA7!$P$91*(TableC2!K33+TableC2!V33)/(TableC2!$D$91+TableC2!$O$91)</f>
        <v>775.83869649318217</v>
      </c>
      <c r="L35" s="1174">
        <f>1000*TableA7!$P$91*(TableC2!M33+TableC2!X33)/(TableC2!$D$91+TableC2!$O$91)</f>
        <v>186.52634051453447</v>
      </c>
      <c r="M35" s="1235">
        <f>1000*TableA7!$P$91*(TableC2!N33+TableC2!Y33)/(TableC2!$D$91+TableC2!$O$91)</f>
        <v>2085.4273176429556</v>
      </c>
      <c r="N35" s="1458">
        <f t="shared" si="23"/>
        <v>5215.6647064681238</v>
      </c>
      <c r="O35" s="1752">
        <f t="shared" si="24"/>
        <v>2117.3455493176098</v>
      </c>
      <c r="P35" s="1761">
        <f t="shared" si="25"/>
        <v>3098.3191571505145</v>
      </c>
      <c r="Q35" s="1459">
        <f t="shared" si="26"/>
        <v>121.85092209107856</v>
      </c>
      <c r="R35" s="1459">
        <f t="shared" si="27"/>
        <v>16.736424939050959</v>
      </c>
      <c r="S35" s="1459">
        <f t="shared" si="28"/>
        <v>985.07750447251397</v>
      </c>
      <c r="T35" s="1459">
        <f t="shared" si="29"/>
        <v>367.16203970737598</v>
      </c>
      <c r="U35" s="1459">
        <f t="shared" si="30"/>
        <v>95.043926554422768</v>
      </c>
      <c r="V35" s="1459">
        <f t="shared" si="31"/>
        <v>531.47473155316743</v>
      </c>
      <c r="W35" s="1174">
        <f t="shared" si="32"/>
        <v>420.26171585517989</v>
      </c>
      <c r="X35" s="1235">
        <f t="shared" si="33"/>
        <v>2678.0574412953347</v>
      </c>
      <c r="Y35" s="958"/>
      <c r="Z35" s="958"/>
      <c r="AA35" s="1066"/>
      <c r="AB35" s="1066"/>
      <c r="AC35" s="1066"/>
      <c r="AD35" s="1066"/>
      <c r="AE35" s="1066"/>
      <c r="AF35" s="1066"/>
      <c r="AG35" s="1066"/>
      <c r="AH35" s="1066"/>
      <c r="AI35" s="958"/>
      <c r="AJ35" s="958"/>
    </row>
    <row r="36" spans="1:36" ht="14.25" customHeight="1" x14ac:dyDescent="0.2">
      <c r="A36" s="958"/>
      <c r="B36" s="959" t="s">
        <v>54</v>
      </c>
      <c r="C36" s="1458">
        <f t="shared" si="5"/>
        <v>3695.866394203661</v>
      </c>
      <c r="D36" s="1752">
        <f t="shared" si="1"/>
        <v>2560.6127822567596</v>
      </c>
      <c r="E36" s="1761">
        <f t="shared" si="2"/>
        <v>1135.2536119469016</v>
      </c>
      <c r="F36" s="1459">
        <f>1000*TableA7!$P$91*(TableC2!F34+TableC2!Q34)/(TableC2!$D$91+TableC2!$O$91)</f>
        <v>492.85065707137016</v>
      </c>
      <c r="G36" s="1459">
        <f>1000*TableA7!$P$91*(TableC2!G34+TableC2!R34)/(TableC2!$D$91+TableC2!$O$91)</f>
        <v>12.758683785637997</v>
      </c>
      <c r="H36" s="1459">
        <f>1000*TableA7!$P$91*(TableC2!H34+TableC2!S34)/(TableC2!$D$91+TableC2!$O$91)</f>
        <v>828.18108863991836</v>
      </c>
      <c r="I36" s="1459">
        <f>1000*TableA7!$P$91*(TableC2!I34+TableC2!T34)/(TableC2!$D$91+TableC2!$O$91)</f>
        <v>575.59399021059494</v>
      </c>
      <c r="J36" s="1459">
        <f>1000*TableA7!$P$91*(TableC2!J34+TableC2!U34)/(TableC2!$D$91+TableC2!$O$91)</f>
        <v>16.287146686298474</v>
      </c>
      <c r="K36" s="1459">
        <f>1000*TableA7!$P$91*(TableC2!K34+TableC2!V34)/(TableC2!$D$91+TableC2!$O$91)</f>
        <v>634.94121586293977</v>
      </c>
      <c r="L36" s="1174">
        <f>1000*TableA7!$P$91*(TableC2!M34+TableC2!X34)/(TableC2!$D$91+TableC2!$O$91)</f>
        <v>1033.4183448501033</v>
      </c>
      <c r="M36" s="1235">
        <f>1000*TableA7!$P$91*(TableC2!N34+TableC2!Y34)/(TableC2!$D$91+TableC2!$O$91)</f>
        <v>101.8352670967983</v>
      </c>
      <c r="N36" s="1458">
        <f t="shared" si="23"/>
        <v>3695.866394203661</v>
      </c>
      <c r="O36" s="1752">
        <f t="shared" si="24"/>
        <v>2138.8653678263263</v>
      </c>
      <c r="P36" s="1761">
        <f t="shared" si="25"/>
        <v>1557.0010263773349</v>
      </c>
      <c r="Q36" s="1459">
        <f t="shared" si="26"/>
        <v>132.38531709391054</v>
      </c>
      <c r="R36" s="1459">
        <f t="shared" si="27"/>
        <v>26.031434512711538</v>
      </c>
      <c r="S36" s="1459">
        <f t="shared" si="28"/>
        <v>859.43268190396839</v>
      </c>
      <c r="T36" s="1459">
        <f t="shared" si="29"/>
        <v>471.55882537588843</v>
      </c>
      <c r="U36" s="1459">
        <f t="shared" si="30"/>
        <v>70.017081050408834</v>
      </c>
      <c r="V36" s="1459">
        <f t="shared" si="31"/>
        <v>579.44002788943862</v>
      </c>
      <c r="W36" s="1174">
        <f t="shared" si="32"/>
        <v>813.20629885671042</v>
      </c>
      <c r="X36" s="1235">
        <f t="shared" si="33"/>
        <v>743.79472752062452</v>
      </c>
      <c r="Y36" s="958"/>
      <c r="Z36" s="958"/>
      <c r="AA36" s="958"/>
      <c r="AB36" s="958"/>
      <c r="AC36" s="958"/>
      <c r="AD36" s="958"/>
      <c r="AE36" s="958"/>
      <c r="AF36" s="958"/>
      <c r="AG36" s="958"/>
      <c r="AH36" s="958"/>
      <c r="AI36" s="958"/>
      <c r="AJ36" s="958"/>
    </row>
    <row r="37" spans="1:36" ht="14.25" customHeight="1" x14ac:dyDescent="0.2">
      <c r="A37" s="958"/>
      <c r="B37" s="959" t="s">
        <v>55</v>
      </c>
      <c r="C37" s="1458">
        <f t="shared" si="5"/>
        <v>2638.1822918681351</v>
      </c>
      <c r="D37" s="1752">
        <f t="shared" si="1"/>
        <v>2356.8932486324629</v>
      </c>
      <c r="E37" s="1761">
        <f t="shared" si="2"/>
        <v>281.28904323567201</v>
      </c>
      <c r="F37" s="1459">
        <f>1000*TableA7!$P$91*(TableC2!F35+TableC2!Q35)/(TableC2!$D$91+TableC2!$O$91)</f>
        <v>372.51566773606618</v>
      </c>
      <c r="G37" s="1459">
        <f>1000*TableA7!$P$91*(TableC2!G35+TableC2!R35)/(TableC2!$D$91+TableC2!$O$91)</f>
        <v>1.0463801074739643</v>
      </c>
      <c r="H37" s="1459">
        <f>1000*TableA7!$P$91*(TableC2!H35+TableC2!S35)/(TableC2!$D$91+TableC2!$O$91)</f>
        <v>532.88055199577332</v>
      </c>
      <c r="I37" s="1459">
        <f>1000*TableA7!$P$91*(TableC2!I35+TableC2!T35)/(TableC2!$D$91+TableC2!$O$91)</f>
        <v>741.87476236474674</v>
      </c>
      <c r="J37" s="1459">
        <f>1000*TableA7!$P$91*(TableC2!J35+TableC2!U35)/(TableC2!$D$91+TableC2!$O$91)</f>
        <v>8.3980050693946318</v>
      </c>
      <c r="K37" s="1459">
        <f>1000*TableA7!$P$91*(TableC2!K35+TableC2!V35)/(TableC2!$D$91+TableC2!$O$91)</f>
        <v>700.17788135900787</v>
      </c>
      <c r="L37" s="1174">
        <f>1000*TableA7!$P$91*(TableC2!M35+TableC2!X35)/(TableC2!$D$91+TableC2!$O$91)</f>
        <v>226.85015138945425</v>
      </c>
      <c r="M37" s="1235">
        <f>1000*TableA7!$P$91*(TableC2!N35+TableC2!Y35)/(TableC2!$D$91+TableC2!$O$91)</f>
        <v>54.438891846217764</v>
      </c>
      <c r="N37" s="1458">
        <f t="shared" si="23"/>
        <v>2638.1822918681346</v>
      </c>
      <c r="O37" s="1752">
        <f t="shared" si="24"/>
        <v>1594.6556485045778</v>
      </c>
      <c r="P37" s="1761">
        <f t="shared" si="25"/>
        <v>1043.526643363557</v>
      </c>
      <c r="Q37" s="1459">
        <f t="shared" si="26"/>
        <v>106.32572948869198</v>
      </c>
      <c r="R37" s="1459">
        <f t="shared" si="27"/>
        <v>11.873381783429434</v>
      </c>
      <c r="S37" s="1459">
        <f t="shared" si="28"/>
        <v>635.89435534090728</v>
      </c>
      <c r="T37" s="1459">
        <f t="shared" si="29"/>
        <v>383.42966712342121</v>
      </c>
      <c r="U37" s="1459">
        <f t="shared" si="30"/>
        <v>51.561534885630557</v>
      </c>
      <c r="V37" s="1459">
        <f t="shared" si="31"/>
        <v>405.57097988249728</v>
      </c>
      <c r="W37" s="1174">
        <f t="shared" si="32"/>
        <v>413.36442173162686</v>
      </c>
      <c r="X37" s="1235">
        <f t="shared" si="33"/>
        <v>630.16222163193015</v>
      </c>
      <c r="Y37" s="958"/>
      <c r="Z37" s="958"/>
      <c r="AA37" s="958"/>
      <c r="AB37" s="958"/>
      <c r="AC37" s="1066"/>
      <c r="AD37" s="1066"/>
      <c r="AE37" s="1066"/>
      <c r="AF37" s="1066"/>
      <c r="AG37" s="1066"/>
      <c r="AH37" s="1066"/>
      <c r="AI37" s="1066"/>
      <c r="AJ37" s="1066"/>
    </row>
    <row r="38" spans="1:36" ht="14.25" customHeight="1" x14ac:dyDescent="0.2">
      <c r="A38" s="958" t="s">
        <v>336</v>
      </c>
      <c r="B38" s="959" t="s">
        <v>56</v>
      </c>
      <c r="C38" s="1458">
        <f t="shared" si="5"/>
        <v>636.81356041207437</v>
      </c>
      <c r="D38" s="1752">
        <f t="shared" si="1"/>
        <v>535.34568700679756</v>
      </c>
      <c r="E38" s="1761">
        <f t="shared" si="2"/>
        <v>101.46787340527675</v>
      </c>
      <c r="F38" s="1459">
        <f>1000*TableA7!$P$91*(TableC2!F36+TableC2!Q36)/(TableC2!$D$91+TableC2!$O$91)</f>
        <v>119.53462150435155</v>
      </c>
      <c r="G38" s="1459">
        <f>1000*TableA7!$P$91*(TableC2!G36+TableC2!R36)/(TableC2!$D$91+TableC2!$O$91)</f>
        <v>0.55806939065278094</v>
      </c>
      <c r="H38" s="1459">
        <f>1000*TableA7!$P$91*(TableC2!H36+TableC2!S36)/(TableC2!$D$91+TableC2!$O$91)</f>
        <v>96.859254026411776</v>
      </c>
      <c r="I38" s="1459">
        <f>1000*TableA7!$P$91*(TableC2!I36+TableC2!T36)/(TableC2!$D$91+TableC2!$O$91)</f>
        <v>194.0487617403175</v>
      </c>
      <c r="J38" s="1459">
        <f>1000*TableA7!$P$91*(TableC2!J36+TableC2!U36)/(TableC2!$D$91+TableC2!$O$91)</f>
        <v>4.6571518766799249</v>
      </c>
      <c r="K38" s="1459">
        <f>1000*TableA7!$P$91*(TableC2!K36+TableC2!V36)/(TableC2!$D$91+TableC2!$O$91)</f>
        <v>119.68782846838401</v>
      </c>
      <c r="L38" s="1174">
        <f>1000*TableA7!$P$91*(TableC2!M36+TableC2!X36)/(TableC2!$D$91+TableC2!$O$91)</f>
        <v>81.407464927208082</v>
      </c>
      <c r="M38" s="1235">
        <f>1000*TableA7!$P$91*(TableC2!N36+TableC2!Y36)/(TableC2!$D$91+TableC2!$O$91)</f>
        <v>20.06040847806867</v>
      </c>
      <c r="N38" s="1458">
        <f t="shared" si="23"/>
        <v>636.81356041207437</v>
      </c>
      <c r="O38" s="1752">
        <f t="shared" si="24"/>
        <v>399.19947216701627</v>
      </c>
      <c r="P38" s="1761">
        <f t="shared" si="25"/>
        <v>237.61408824505804</v>
      </c>
      <c r="Q38" s="1459">
        <f t="shared" si="26"/>
        <v>22.721270102225567</v>
      </c>
      <c r="R38" s="1459">
        <f t="shared" si="27"/>
        <v>3.7050738466322732</v>
      </c>
      <c r="S38" s="1459">
        <f t="shared" si="28"/>
        <v>157.95010427823979</v>
      </c>
      <c r="T38" s="1459">
        <f t="shared" si="29"/>
        <v>104.13917965988429</v>
      </c>
      <c r="U38" s="1459">
        <f t="shared" si="30"/>
        <v>17.288412850896062</v>
      </c>
      <c r="V38" s="1459">
        <f t="shared" si="31"/>
        <v>93.395431429138284</v>
      </c>
      <c r="W38" s="1174">
        <f t="shared" si="32"/>
        <v>104.8523889961817</v>
      </c>
      <c r="X38" s="1235">
        <f t="shared" si="33"/>
        <v>132.76169924887634</v>
      </c>
      <c r="Y38" s="958"/>
      <c r="Z38" s="958"/>
      <c r="AA38" s="958"/>
      <c r="AB38" s="958"/>
      <c r="AC38" s="1066"/>
      <c r="AD38" s="1066"/>
      <c r="AE38" s="1066"/>
      <c r="AF38" s="1066"/>
      <c r="AG38" s="1066"/>
      <c r="AH38" s="1066"/>
      <c r="AI38" s="1066"/>
      <c r="AJ38" s="1066"/>
    </row>
    <row r="39" spans="1:36" ht="14.25" customHeight="1" x14ac:dyDescent="0.2">
      <c r="A39" s="958"/>
      <c r="B39" s="959" t="s">
        <v>57</v>
      </c>
      <c r="C39" s="1458">
        <f t="shared" si="5"/>
        <v>225.29901009808276</v>
      </c>
      <c r="D39" s="1752">
        <f t="shared" si="1"/>
        <v>115.10063901304478</v>
      </c>
      <c r="E39" s="1761">
        <f t="shared" si="2"/>
        <v>110.19837108503798</v>
      </c>
      <c r="F39" s="1459">
        <f>1000*TableA7!$P$91*(TableC2!F37+TableC2!Q37)/(TableC2!$D$91+TableC2!$O$91)</f>
        <v>28.604646552711809</v>
      </c>
      <c r="G39" s="1459">
        <f>1000*TableA7!$P$91*(TableC2!G37+TableC2!R37)/(TableC2!$D$91+TableC2!$O$91)</f>
        <v>0.27000411128270535</v>
      </c>
      <c r="H39" s="1459">
        <f>1000*TableA7!$P$91*(TableC2!H37+TableC2!S37)/(TableC2!$D$91+TableC2!$O$91)</f>
        <v>40.238802202293925</v>
      </c>
      <c r="I39" s="1459">
        <f>1000*TableA7!$P$91*(TableC2!I37+TableC2!T37)/(TableC2!$D$91+TableC2!$O$91)</f>
        <v>29.320698916191361</v>
      </c>
      <c r="J39" s="1459">
        <f>1000*TableA7!$P$91*(TableC2!J37+TableC2!U37)/(TableC2!$D$91+TableC2!$O$91)</f>
        <v>0.18277521286921036</v>
      </c>
      <c r="K39" s="1459">
        <f>1000*TableA7!$P$91*(TableC2!K37+TableC2!V37)/(TableC2!$D$91+TableC2!$O$91)</f>
        <v>16.483712017695762</v>
      </c>
      <c r="L39" s="1174">
        <f>1000*TableA7!$P$91*(TableC2!M37+TableC2!X37)/(TableC2!$D$91+TableC2!$O$91)</f>
        <v>80.16801629536981</v>
      </c>
      <c r="M39" s="1235">
        <f>1000*TableA7!$P$91*(TableC2!N37+TableC2!Y37)/(TableC2!$D$91+TableC2!$O$91)</f>
        <v>30.030354789668166</v>
      </c>
      <c r="N39" s="1458">
        <f t="shared" si="23"/>
        <v>225.29901009808276</v>
      </c>
      <c r="O39" s="1752">
        <f t="shared" si="24"/>
        <v>119.73409676215402</v>
      </c>
      <c r="P39" s="1761">
        <f t="shared" si="25"/>
        <v>105.56491333592874</v>
      </c>
      <c r="Q39" s="1459">
        <f t="shared" si="26"/>
        <v>6.4194805021118606</v>
      </c>
      <c r="R39" s="1459">
        <f t="shared" si="27"/>
        <v>1.1275450797817164</v>
      </c>
      <c r="S39" s="1459">
        <f t="shared" si="28"/>
        <v>49.055043515086886</v>
      </c>
      <c r="T39" s="1459">
        <f t="shared" si="29"/>
        <v>27.872239941543999</v>
      </c>
      <c r="U39" s="1459">
        <f t="shared" si="30"/>
        <v>3.6841049864531303</v>
      </c>
      <c r="V39" s="1459">
        <f t="shared" si="31"/>
        <v>31.575682737176425</v>
      </c>
      <c r="W39" s="1174">
        <f t="shared" si="32"/>
        <v>51.701590305353832</v>
      </c>
      <c r="X39" s="1235">
        <f t="shared" si="33"/>
        <v>53.863323030574897</v>
      </c>
      <c r="Y39" s="958"/>
      <c r="Z39" s="958"/>
      <c r="AA39" s="958"/>
      <c r="AB39" s="958"/>
      <c r="AC39" s="958"/>
      <c r="AD39" s="958"/>
      <c r="AE39" s="958"/>
      <c r="AF39" s="958"/>
      <c r="AG39" s="958"/>
      <c r="AH39" s="958"/>
      <c r="AI39" s="958"/>
      <c r="AJ39" s="958"/>
    </row>
    <row r="40" spans="1:36" ht="14.25" customHeight="1" x14ac:dyDescent="0.2">
      <c r="A40" s="958"/>
      <c r="B40" s="959" t="s">
        <v>58</v>
      </c>
      <c r="C40" s="1458">
        <f t="shared" si="5"/>
        <v>14362.071520602969</v>
      </c>
      <c r="D40" s="1752">
        <f t="shared" si="1"/>
        <v>11306.512195320998</v>
      </c>
      <c r="E40" s="1761">
        <f t="shared" si="2"/>
        <v>3055.5593252819713</v>
      </c>
      <c r="F40" s="1459">
        <f>1000*TableA7!$P$91*(TableC2!F38+TableC2!Q38)/(TableC2!$D$91+TableC2!$O$91)</f>
        <v>895.78485377474146</v>
      </c>
      <c r="G40" s="1459">
        <f>1000*TableA7!$P$91*(TableC2!G38+TableC2!R38)/(TableC2!$D$91+TableC2!$O$91)</f>
        <v>9.0686275981076907</v>
      </c>
      <c r="H40" s="1459">
        <f>1000*TableA7!$P$91*(TableC2!H38+TableC2!S38)/(TableC2!$D$91+TableC2!$O$91)</f>
        <v>2265.3946828007824</v>
      </c>
      <c r="I40" s="1459">
        <f>1000*TableA7!$P$91*(TableC2!I38+TableC2!T38)/(TableC2!$D$91+TableC2!$O$91)</f>
        <v>3148.3773772843465</v>
      </c>
      <c r="J40" s="1459">
        <f>1000*TableA7!$P$91*(TableC2!J38+TableC2!U38)/(TableC2!$D$91+TableC2!$O$91)</f>
        <v>17.477186541687171</v>
      </c>
      <c r="K40" s="1459">
        <f>1000*TableA7!$P$91*(TableC2!K38+TableC2!V38)/(TableC2!$D$91+TableC2!$O$91)</f>
        <v>4970.4094673213331</v>
      </c>
      <c r="L40" s="1174">
        <f>1000*TableA7!$P$91*(TableC2!M38+TableC2!X38)/(TableC2!$D$91+TableC2!$O$91)</f>
        <v>1723.6309312557178</v>
      </c>
      <c r="M40" s="1235">
        <f>1000*TableA7!$P$91*(TableC2!N38+TableC2!Y38)/(TableC2!$D$91+TableC2!$O$91)</f>
        <v>1331.9283940262535</v>
      </c>
      <c r="N40" s="1458">
        <f t="shared" si="23"/>
        <v>14362.071520602971</v>
      </c>
      <c r="O40" s="1752">
        <f t="shared" si="24"/>
        <v>7546.8343517136655</v>
      </c>
      <c r="P40" s="1761">
        <f t="shared" si="25"/>
        <v>6815.2371688893054</v>
      </c>
      <c r="Q40" s="1459">
        <f t="shared" si="26"/>
        <v>636.03819011033283</v>
      </c>
      <c r="R40" s="1459">
        <f t="shared" si="27"/>
        <v>52.740627001315247</v>
      </c>
      <c r="S40" s="1459">
        <f t="shared" si="28"/>
        <v>2818.1768064257026</v>
      </c>
      <c r="T40" s="1459">
        <f t="shared" si="29"/>
        <v>1681.7422400663186</v>
      </c>
      <c r="U40" s="1459">
        <f t="shared" si="30"/>
        <v>190.23546842931052</v>
      </c>
      <c r="V40" s="1459">
        <f t="shared" si="31"/>
        <v>2167.9010196806853</v>
      </c>
      <c r="W40" s="1174">
        <f t="shared" si="32"/>
        <v>2536.9461785645308</v>
      </c>
      <c r="X40" s="1235">
        <f t="shared" si="33"/>
        <v>4278.2909903247746</v>
      </c>
      <c r="Y40" s="958"/>
      <c r="Z40" s="958"/>
      <c r="AA40" s="958"/>
      <c r="AB40" s="958"/>
      <c r="AC40" s="958"/>
      <c r="AD40" s="958"/>
      <c r="AE40" s="958"/>
      <c r="AF40" s="958"/>
      <c r="AG40" s="958"/>
      <c r="AH40" s="958"/>
      <c r="AI40" s="958"/>
      <c r="AJ40" s="958"/>
    </row>
    <row r="41" spans="1:36" s="25" customFormat="1" ht="14.25" customHeight="1" x14ac:dyDescent="0.2">
      <c r="A41" s="1115"/>
      <c r="B41" s="1237" t="s">
        <v>59</v>
      </c>
      <c r="C41" s="1458">
        <f t="shared" si="5"/>
        <v>8541.0900580049929</v>
      </c>
      <c r="D41" s="1752">
        <f t="shared" si="1"/>
        <v>6671.3504213313172</v>
      </c>
      <c r="E41" s="1761">
        <f t="shared" si="2"/>
        <v>1869.7396366736762</v>
      </c>
      <c r="F41" s="1459">
        <f>1000*TableA7!$P$91*(TableC2!F39+TableC2!Q39)/(TableC2!$D$91+TableC2!$O$91)</f>
        <v>939.40284480831576</v>
      </c>
      <c r="G41" s="1459">
        <f>1000*TableA7!$P$91*(TableC2!G39+TableC2!R39)/(TableC2!$D$91+TableC2!$O$91)</f>
        <v>3.4879336915798809</v>
      </c>
      <c r="H41" s="1459">
        <f>1000*TableA7!$P$91*(TableC2!H39+TableC2!S39)/(TableC2!$D$91+TableC2!$O$91)</f>
        <v>2191.6935682166823</v>
      </c>
      <c r="I41" s="1459">
        <f>1000*TableA7!$P$91*(TableC2!I39+TableC2!T39)/(TableC2!$D$91+TableC2!$O$91)</f>
        <v>2387.5842328405784</v>
      </c>
      <c r="J41" s="1459">
        <f>1000*TableA7!$P$91*(TableC2!J39+TableC2!U39)/(TableC2!$D$91+TableC2!$O$91)</f>
        <v>106.30369615594229</v>
      </c>
      <c r="K41" s="1459">
        <f>1000*TableA7!$P$91*(TableC2!K39+TableC2!V39)/(TableC2!$D$91+TableC2!$O$91)</f>
        <v>1042.8781456182198</v>
      </c>
      <c r="L41" s="1174">
        <f>1000*TableA7!$P$91*(TableC2!M39+TableC2!X39)/(TableC2!$D$91+TableC2!$O$91)</f>
        <v>680.45759325108077</v>
      </c>
      <c r="M41" s="1235">
        <f>1000*TableA7!$P$91*(TableC2!N39+TableC2!Y39)/(TableC2!$D$91+TableC2!$O$91)</f>
        <v>1189.2820434225953</v>
      </c>
      <c r="N41" s="1458">
        <f t="shared" si="23"/>
        <v>8541.0900580049947</v>
      </c>
      <c r="O41" s="1752">
        <f t="shared" si="24"/>
        <v>4837.4448773986851</v>
      </c>
      <c r="P41" s="1761">
        <f t="shared" si="25"/>
        <v>3703.6451806063101</v>
      </c>
      <c r="Q41" s="1459">
        <f t="shared" si="26"/>
        <v>246.27439715283222</v>
      </c>
      <c r="R41" s="1459">
        <f t="shared" si="27"/>
        <v>37.855338711827216</v>
      </c>
      <c r="S41" s="1459">
        <f t="shared" si="28"/>
        <v>2066.137808617942</v>
      </c>
      <c r="T41" s="1459">
        <f t="shared" si="29"/>
        <v>1136.3577939485888</v>
      </c>
      <c r="U41" s="1459">
        <f t="shared" si="30"/>
        <v>243.89242650986336</v>
      </c>
      <c r="V41" s="1459">
        <f t="shared" si="31"/>
        <v>1106.9271124576314</v>
      </c>
      <c r="W41" s="1174">
        <f t="shared" si="32"/>
        <v>996.64429737852436</v>
      </c>
      <c r="X41" s="1235">
        <f t="shared" si="33"/>
        <v>2707.0008832277858</v>
      </c>
      <c r="Y41" s="1115"/>
      <c r="Z41" s="1115"/>
      <c r="AA41" s="1115"/>
      <c r="AB41" s="1115"/>
      <c r="AC41" s="1115"/>
      <c r="AD41" s="1115"/>
      <c r="AE41" s="1115"/>
      <c r="AF41" s="1115"/>
      <c r="AG41" s="1115"/>
      <c r="AH41" s="1115"/>
      <c r="AI41" s="1115"/>
      <c r="AJ41" s="1115"/>
    </row>
    <row r="42" spans="1:36" ht="14.25" customHeight="1" x14ac:dyDescent="0.2">
      <c r="A42" s="958"/>
      <c r="B42" s="959" t="s">
        <v>60</v>
      </c>
      <c r="C42" s="1458"/>
      <c r="D42" s="1752"/>
      <c r="E42" s="1761"/>
      <c r="F42" s="1459"/>
      <c r="G42" s="1459"/>
      <c r="H42" s="1459"/>
      <c r="I42" s="1459"/>
      <c r="J42" s="1459"/>
      <c r="K42" s="1459"/>
      <c r="L42" s="1174"/>
      <c r="M42" s="1235"/>
      <c r="N42" s="1458"/>
      <c r="O42" s="1752"/>
      <c r="P42" s="1761"/>
      <c r="Q42" s="1459"/>
      <c r="R42" s="1459"/>
      <c r="S42" s="1459"/>
      <c r="T42" s="1459"/>
      <c r="U42" s="1459"/>
      <c r="V42" s="1459"/>
      <c r="W42" s="1174"/>
      <c r="X42" s="1235"/>
      <c r="Y42" s="958"/>
      <c r="Z42" s="958"/>
      <c r="AA42" s="958"/>
      <c r="AB42" s="958"/>
      <c r="AC42" s="958"/>
      <c r="AD42" s="958"/>
      <c r="AE42" s="958"/>
      <c r="AF42" s="958"/>
      <c r="AG42" s="958"/>
      <c r="AH42" s="958"/>
      <c r="AI42" s="958"/>
      <c r="AJ42" s="958"/>
    </row>
    <row r="43" spans="1:36" ht="14.25" customHeight="1" x14ac:dyDescent="0.2">
      <c r="A43" s="958"/>
      <c r="B43" s="959" t="s">
        <v>61</v>
      </c>
      <c r="C43" s="1458">
        <f t="shared" si="5"/>
        <v>4975.4928205897586</v>
      </c>
      <c r="D43" s="1752">
        <f t="shared" si="1"/>
        <v>1616.4255905617981</v>
      </c>
      <c r="E43" s="1761">
        <f t="shared" si="2"/>
        <v>3359.0672300279607</v>
      </c>
      <c r="F43" s="1459">
        <f>1000*TableA7!$P$91*(TableC2!F41+TableC2!Q41)/(TableC2!$D$91+TableC2!$O$91)</f>
        <v>171.90102514779218</v>
      </c>
      <c r="G43" s="1459">
        <f>1000*TableA7!$P$91*(TableC2!G41+TableC2!R41)/(TableC2!$D$91+TableC2!$O$91)</f>
        <v>0</v>
      </c>
      <c r="H43" s="1459">
        <f>1000*TableA7!$P$91*(TableC2!H41+TableC2!S41)/(TableC2!$D$91+TableC2!$O$91)</f>
        <v>521.24259846847565</v>
      </c>
      <c r="I43" s="1459">
        <f>1000*TableA7!$P$91*(TableC2!I41+TableC2!T41)/(TableC2!$D$91+TableC2!$O$91)</f>
        <v>268.27102188390865</v>
      </c>
      <c r="J43" s="1459">
        <f>1000*TableA7!$P$91*(TableC2!J41+TableC2!U41)/(TableC2!$D$91+TableC2!$O$91)</f>
        <v>21.934346218198151</v>
      </c>
      <c r="K43" s="1459">
        <f>1000*TableA7!$P$91*(TableC2!K41+TableC2!V41)/(TableC2!$D$91+TableC2!$O$91)</f>
        <v>633.07659884342354</v>
      </c>
      <c r="L43" s="1174">
        <f>1000*TableA7!$P$91*(TableC2!M41+TableC2!X41)/(TableC2!$D$91+TableC2!$O$91)</f>
        <v>275.77786004118281</v>
      </c>
      <c r="M43" s="1235">
        <f>1000*TableA7!$P$91*(TableC2!N41+TableC2!Y41)/(TableC2!$D$91+TableC2!$O$91)</f>
        <v>3083.2893699867777</v>
      </c>
      <c r="N43" s="1458">
        <f t="shared" ref="N43:N45" si="34">+P43+O43</f>
        <v>4975.4928205897586</v>
      </c>
      <c r="O43" s="1752">
        <f t="shared" ref="O43:O46" si="35">+SUM(Q43:V43)</f>
        <v>1440.22948925323</v>
      </c>
      <c r="P43" s="1761">
        <f t="shared" ref="P43:P46" si="36">+SUM(W43:X43)</f>
        <v>3535.2633313365286</v>
      </c>
      <c r="Q43" s="1459">
        <f>+SUMPRODUCT($F43:$M43,$AE$66:$AL$66)</f>
        <v>84.433425530700362</v>
      </c>
      <c r="R43" s="1459">
        <f>+SUMPRODUCT($F43:$M43,$AE$67:$AL$67)</f>
        <v>13.424191813755595</v>
      </c>
      <c r="S43" s="1459">
        <f>+SUMPRODUCT($F43:$M43,$AE$68:$AL$68)</f>
        <v>699.9193895852203</v>
      </c>
      <c r="T43" s="1459">
        <f>+SUMPRODUCT($F43:$M43,$AE$69:$AL$69)</f>
        <v>196.59934322801391</v>
      </c>
      <c r="U43" s="1459">
        <f>+SUMPRODUCT($F43:$M43,$AE$70:$AL$70)</f>
        <v>77.524853040181469</v>
      </c>
      <c r="V43" s="1459">
        <f>+SUMPRODUCT($F43:$M43,$AE$71:$AL$71)</f>
        <v>368.32828605535826</v>
      </c>
      <c r="W43" s="1174">
        <f>+SUMPRODUCT($F43:$M43,$AE$72:$AL$72)</f>
        <v>355.99747819987329</v>
      </c>
      <c r="X43" s="1235">
        <f>+SUMPRODUCT($F43:$M43,$AE$73:$AL$73)</f>
        <v>3179.2658531366556</v>
      </c>
      <c r="Y43" s="958"/>
      <c r="Z43" s="958"/>
      <c r="AA43" s="958"/>
      <c r="AB43" s="958"/>
      <c r="AC43" s="958"/>
      <c r="AD43" s="958"/>
      <c r="AE43" s="958"/>
      <c r="AF43" s="958"/>
      <c r="AG43" s="958"/>
      <c r="AH43" s="958"/>
      <c r="AI43" s="958"/>
      <c r="AJ43" s="958"/>
    </row>
    <row r="44" spans="1:36" ht="14.25" customHeight="1" x14ac:dyDescent="0.2">
      <c r="A44" s="958"/>
      <c r="B44" s="959" t="s">
        <v>62</v>
      </c>
      <c r="C44" s="1458">
        <f t="shared" si="5"/>
        <v>61500.900683046377</v>
      </c>
      <c r="D44" s="1752">
        <f t="shared" si="1"/>
        <v>48545.269178069379</v>
      </c>
      <c r="E44" s="1761">
        <f t="shared" si="2"/>
        <v>12955.631504976998</v>
      </c>
      <c r="F44" s="1459">
        <f>1000*TableA7!$P$91*(TableC2!F42+TableC2!Q42)/(TableC2!$D$91+TableC2!$O$91)</f>
        <v>5175.2327460793467</v>
      </c>
      <c r="G44" s="1459">
        <f>1000*TableA7!$P$91*(TableC2!G42+TableC2!R42)/(TableC2!$D$91+TableC2!$O$91)</f>
        <v>505.89624321914977</v>
      </c>
      <c r="H44" s="1459">
        <f>1000*TableA7!$P$91*(TableC2!H42+TableC2!S42)/(TableC2!$D$91+TableC2!$O$91)</f>
        <v>16919.754255845513</v>
      </c>
      <c r="I44" s="1459">
        <f>1000*TableA7!$P$91*(TableC2!I42+TableC2!T42)/(TableC2!$D$91+TableC2!$O$91)</f>
        <v>15955.786856875593</v>
      </c>
      <c r="J44" s="1459">
        <f>1000*TableA7!$P$91*(TableC2!J42+TableC2!U42)/(TableC2!$D$91+TableC2!$O$91)</f>
        <v>232.81328640864103</v>
      </c>
      <c r="K44" s="1459">
        <f>1000*TableA7!$P$91*(TableC2!K42+TableC2!V42)/(TableC2!$D$91+TableC2!$O$91)</f>
        <v>9755.7857896411315</v>
      </c>
      <c r="L44" s="1174">
        <f>1000*TableA7!$P$91*(TableC2!M42+TableC2!X42)/(TableC2!$D$91+TableC2!$O$91)</f>
        <v>3806.9935847933366</v>
      </c>
      <c r="M44" s="1235">
        <f>1000*TableA7!$P$91*(TableC2!N42+TableC2!Y42)/(TableC2!$D$91+TableC2!$O$91)</f>
        <v>9148.6379201836626</v>
      </c>
      <c r="N44" s="1458">
        <f t="shared" si="34"/>
        <v>61500.90068304637</v>
      </c>
      <c r="O44" s="1752">
        <f t="shared" si="35"/>
        <v>33645.243351368743</v>
      </c>
      <c r="P44" s="1761">
        <f t="shared" si="36"/>
        <v>27855.657331677627</v>
      </c>
      <c r="Q44" s="1459">
        <f>+SUMPRODUCT($F44:$M44,$AE$66:$AL$66)</f>
        <v>1884.3399701726571</v>
      </c>
      <c r="R44" s="1459">
        <f>+SUMPRODUCT($F44:$M44,$AE$67:$AL$67)</f>
        <v>724.90502209716055</v>
      </c>
      <c r="S44" s="1459">
        <f>+SUMPRODUCT($F44:$M44,$AE$68:$AL$68)</f>
        <v>14424.310589346544</v>
      </c>
      <c r="T44" s="1459">
        <f>+SUMPRODUCT($F44:$M44,$AE$69:$AL$69)</f>
        <v>7440.4545965083425</v>
      </c>
      <c r="U44" s="1459">
        <f>+SUMPRODUCT($F44:$M44,$AE$70:$AL$70)</f>
        <v>1106.8248020419958</v>
      </c>
      <c r="V44" s="1459">
        <f>+SUMPRODUCT($F44:$M44,$AE$71:$AL$71)</f>
        <v>8064.4083712020465</v>
      </c>
      <c r="W44" s="1174">
        <f>+SUMPRODUCT($F44:$M44,$AE$72:$AL$72)</f>
        <v>6917.4447440460799</v>
      </c>
      <c r="X44" s="1235">
        <f>+SUMPRODUCT($F44:$M44,$AE$73:$AL$73)</f>
        <v>20938.212587631548</v>
      </c>
      <c r="Y44" s="958"/>
      <c r="Z44" s="958"/>
      <c r="AA44" s="958"/>
      <c r="AB44" s="958"/>
      <c r="AC44" s="958"/>
      <c r="AD44" s="958"/>
      <c r="AE44" s="958"/>
      <c r="AF44" s="958"/>
      <c r="AG44" s="958"/>
      <c r="AH44" s="958"/>
      <c r="AI44" s="958"/>
      <c r="AJ44" s="958"/>
    </row>
    <row r="45" spans="1:36" ht="14.25" customHeight="1" x14ac:dyDescent="0.2">
      <c r="A45" s="958"/>
      <c r="B45" s="959" t="s">
        <v>63</v>
      </c>
      <c r="C45" s="1458">
        <f t="shared" si="5"/>
        <v>142565.30860350182</v>
      </c>
      <c r="D45" s="1752">
        <f t="shared" si="1"/>
        <v>43113.120318516289</v>
      </c>
      <c r="E45" s="1761">
        <f t="shared" si="2"/>
        <v>99452.188284985517</v>
      </c>
      <c r="F45" s="1459">
        <f>1000*TableA7!$P$91*(TableC2!F43+TableC2!Q43)/(TableC2!$D$91+TableC2!$O$91)</f>
        <v>5711.8620992737888</v>
      </c>
      <c r="G45" s="1459">
        <f>1000*TableA7!$P$91*(TableC2!G43+TableC2!R43)/(TableC2!$D$91+TableC2!$O$91)</f>
        <v>299.38735507967397</v>
      </c>
      <c r="H45" s="1459">
        <f>1000*TableA7!$P$91*(TableC2!H43+TableC2!S43)/(TableC2!$D$91+TableC2!$O$91)</f>
        <v>8360.1987787962989</v>
      </c>
      <c r="I45" s="1459">
        <f>1000*TableA7!$P$91*(TableC2!I43+TableC2!T43)/(TableC2!$D$91+TableC2!$O$91)</f>
        <v>14183.70735359657</v>
      </c>
      <c r="J45" s="1459">
        <f>1000*TableA7!$P$91*(TableC2!J43+TableC2!U43)/(TableC2!$D$91+TableC2!$O$91)</f>
        <v>145.1178079606745</v>
      </c>
      <c r="K45" s="1459">
        <f>1000*TableA7!$P$91*(TableC2!K43+TableC2!V43)/(TableC2!$D$91+TableC2!$O$91)</f>
        <v>14412.846923809282</v>
      </c>
      <c r="L45" s="1174">
        <f>1000*TableA7!$P$91*(TableC2!M43+TableC2!X43)/(TableC2!$D$91+TableC2!$O$91)</f>
        <v>13731.49494414153</v>
      </c>
      <c r="M45" s="1235">
        <f>1000*TableA7!$P$91*(TableC2!N43+TableC2!Y43)/(TableC2!$D$91+TableC2!$O$91)</f>
        <v>85720.693340843995</v>
      </c>
      <c r="N45" s="1458">
        <f t="shared" si="34"/>
        <v>142565.30860350179</v>
      </c>
      <c r="O45" s="1752">
        <f t="shared" si="35"/>
        <v>43879.530176034583</v>
      </c>
      <c r="P45" s="1761">
        <f t="shared" si="36"/>
        <v>98685.778427467216</v>
      </c>
      <c r="Q45" s="1459">
        <f>+SUMPRODUCT($F45:$M45,$AE$66:$AL$66)</f>
        <v>2399.3336202646519</v>
      </c>
      <c r="R45" s="1459">
        <f>+SUMPRODUCT($F45:$M45,$AE$67:$AL$67)</f>
        <v>750.63276434040927</v>
      </c>
      <c r="S45" s="1459">
        <f>+SUMPRODUCT($F45:$M45,$AE$68:$AL$68)</f>
        <v>19910.943976508021</v>
      </c>
      <c r="T45" s="1459">
        <f>+SUMPRODUCT($F45:$M45,$AE$69:$AL$69)</f>
        <v>8370.898673217418</v>
      </c>
      <c r="U45" s="1459">
        <f>+SUMPRODUCT($F45:$M45,$AE$70:$AL$70)</f>
        <v>2000.361176724505</v>
      </c>
      <c r="V45" s="1459">
        <f>+SUMPRODUCT($F45:$M45,$AE$71:$AL$71)</f>
        <v>10447.359964979581</v>
      </c>
      <c r="W45" s="1174">
        <f>+SUMPRODUCT($F45:$M45,$AE$72:$AL$72)</f>
        <v>12611.066537486642</v>
      </c>
      <c r="X45" s="1235">
        <f>+SUMPRODUCT($F45:$M45,$AE$73:$AL$73)</f>
        <v>86074.711889980579</v>
      </c>
      <c r="Y45" s="958"/>
      <c r="Z45" s="958"/>
      <c r="AA45" s="958"/>
      <c r="AB45" s="958"/>
      <c r="AC45" s="958"/>
      <c r="AD45" s="958"/>
      <c r="AE45" s="958"/>
      <c r="AF45" s="958"/>
      <c r="AG45" s="958"/>
      <c r="AH45" s="958"/>
      <c r="AI45" s="958"/>
      <c r="AJ45" s="958"/>
    </row>
    <row r="46" spans="1:36" ht="40" customHeight="1" x14ac:dyDescent="0.2">
      <c r="A46" s="958"/>
      <c r="B46" s="1816" t="s">
        <v>64</v>
      </c>
      <c r="C46" s="1207">
        <f>1000*TableA7!$P$91*(TableC2!D44+TableC2!O44)/(TableC2!$D$91+TableC2!$O$91)</f>
        <v>102599.15789568896</v>
      </c>
      <c r="D46" s="1752">
        <f t="shared" ref="D46" si="37">+SUM(F46:K46)</f>
        <v>24168.578575766107</v>
      </c>
      <c r="E46" s="1761">
        <f t="shared" ref="E46" si="38">+SUM(L46:M46)</f>
        <v>78430.579319922836</v>
      </c>
      <c r="F46" s="245">
        <f>1000*TableA7!$P$91*(TableC2!F44+TableC2!Q44)/(TableC2!$D$91+TableC2!$O$91)</f>
        <v>1314.6666118979697</v>
      </c>
      <c r="G46" s="245">
        <f>1000*TableA7!$P$91*(TableC2!G44+TableC2!R44)/(TableC2!$D$91+TableC2!$O$91)</f>
        <v>483.11237721889592</v>
      </c>
      <c r="H46" s="245">
        <f>1000*TableA7!$P$91*(TableC2!H44+TableC2!S44)/(TableC2!$D$91+TableC2!$O$91)</f>
        <v>8661.3083472477738</v>
      </c>
      <c r="I46" s="245">
        <f>1000*TableA7!$P$91*(TableC2!I44+TableC2!T44)/(TableC2!$D$91+TableC2!$O$91)</f>
        <v>6015.4991953982708</v>
      </c>
      <c r="J46" s="245">
        <f>1000*TableA7!$P$91*(TableC2!J44+TableC2!U44)/(TableC2!$D$91+TableC2!$O$91)</f>
        <v>131.07076394522778</v>
      </c>
      <c r="K46" s="245">
        <f>1000*TableA7!$P$91*(TableC2!K44+TableC2!V44)/(TableC2!$D$91+TableC2!$O$91)</f>
        <v>7562.9212800579689</v>
      </c>
      <c r="L46" s="245">
        <f>1000*TableA7!$P$91*(TableC2!M44+TableC2!X44)/(TableC2!$D$91+TableC2!$O$91)</f>
        <v>6439.1141485008411</v>
      </c>
      <c r="M46" s="623">
        <f>1000*TableA7!$P$91*(TableC2!N44+TableC2!Y44)/(TableC2!$D$91+TableC2!$O$91)</f>
        <v>71991.465171421994</v>
      </c>
      <c r="N46" s="1207">
        <f>1000*TableA7!$P$91*TableC3!C44/TableC3!$C$91</f>
        <v>63262.528917943157</v>
      </c>
      <c r="O46" s="1752">
        <f t="shared" si="35"/>
        <v>6749.7835324544558</v>
      </c>
      <c r="P46" s="1761">
        <f t="shared" si="36"/>
        <v>56512.745385488721</v>
      </c>
      <c r="Q46" s="1752">
        <f>1000*TableA7!$P$91*TableC3!E44/TableC3!$C$91</f>
        <v>3761.8475550589555</v>
      </c>
      <c r="R46" s="1752">
        <f>1000*TableA7!$P$91*TableC3!F44/TableC3!$C$91</f>
        <v>1233.5591768474981</v>
      </c>
      <c r="S46" s="1752">
        <f>1000*TableA7!$P$91*TableC3!G44/TableC3!$C$91</f>
        <v>-67.433807822032804</v>
      </c>
      <c r="T46" s="1752">
        <f>1000*TableA7!$P$91*TableC3!H44/TableC3!$C$91</f>
        <v>-184.42734347212144</v>
      </c>
      <c r="U46" s="1752">
        <f>1000*TableA7!$P$91*TableC3!I44/TableC3!$C$91</f>
        <v>0</v>
      </c>
      <c r="V46" s="1752">
        <f>1000*TableA7!$P$91*TableC3!J44/TableC3!$C$91</f>
        <v>2006.2379518421562</v>
      </c>
      <c r="W46" s="245">
        <f>1000*TableA7!$P$91*TableC3!L44/TableC3!$C$91</f>
        <v>0</v>
      </c>
      <c r="X46" s="623">
        <f>1000*TableA7!$P$91*TableC3!M44/TableC3!$C$91</f>
        <v>56512.745385488721</v>
      </c>
      <c r="Y46" s="958"/>
      <c r="Z46" s="958"/>
      <c r="AA46" s="958"/>
      <c r="AB46" s="958"/>
      <c r="AC46" s="958"/>
      <c r="AD46" s="958"/>
      <c r="AE46" s="958"/>
      <c r="AF46" s="958"/>
      <c r="AG46" s="958"/>
      <c r="AH46" s="958"/>
      <c r="AI46" s="958"/>
      <c r="AJ46" s="958"/>
    </row>
    <row r="47" spans="1:36" x14ac:dyDescent="0.2">
      <c r="A47" s="958"/>
      <c r="B47" s="937" t="s">
        <v>65</v>
      </c>
      <c r="C47" s="1458">
        <f t="shared" ref="C47" si="39">+E47+D47</f>
        <v>14212.064614009523</v>
      </c>
      <c r="D47" s="1752">
        <f t="shared" ref="D47" si="40">+SUM(F47:K47)</f>
        <v>5267.4280287716592</v>
      </c>
      <c r="E47" s="1761">
        <f t="shared" ref="E47" si="41">+SUM(L47:M47)</f>
        <v>8944.636585237864</v>
      </c>
      <c r="F47" s="1459">
        <f>1000*TableA7!$P$91*(TableC2!F45+TableC2!Q45)/(TableC2!$D$91+TableC2!$O$91)</f>
        <v>339.21721308535604</v>
      </c>
      <c r="G47" s="1459">
        <f>1000*TableA7!$P$91*(TableC2!G45+TableC2!R45)/(TableC2!$D$91+TableC2!$O$91)</f>
        <v>8.4277685719684026E-2</v>
      </c>
      <c r="H47" s="1459">
        <f>1000*TableA7!$P$91*(TableC2!H45+TableC2!S45)/(TableC2!$D$91+TableC2!$O$91)</f>
        <v>890.91438861660788</v>
      </c>
      <c r="I47" s="1459">
        <f>1000*TableA7!$P$91*(TableC2!I45+TableC2!T45)/(TableC2!$D$91+TableC2!$O$91)</f>
        <v>956.9795768028215</v>
      </c>
      <c r="J47" s="1459">
        <f>1000*TableA7!$P$91*(TableC2!J45+TableC2!U45)/(TableC2!$D$91+TableC2!$O$91)</f>
        <v>4.3374947318079906</v>
      </c>
      <c r="K47" s="1459">
        <f>1000*TableA7!$P$91*(TableC2!K45+TableC2!V45)/(TableC2!$D$91+TableC2!$O$91)</f>
        <v>3075.8950778493468</v>
      </c>
      <c r="L47" s="1174">
        <f>1000*TableA7!$P$91*(TableC2!M45+TableC2!X45)/(TableC2!$D$91+TableC2!$O$91)</f>
        <v>734.35051084179634</v>
      </c>
      <c r="M47" s="1235">
        <f>1000*TableA7!$P$91*(TableC2!N45+TableC2!Y45)/(TableC2!$D$91+TableC2!$O$91)</f>
        <v>8210.2860743960682</v>
      </c>
      <c r="N47" s="1458">
        <f t="shared" ref="N47:N53" si="42">+P47+O47</f>
        <v>14212.064614009523</v>
      </c>
      <c r="O47" s="1752">
        <f t="shared" ref="O47:O53" si="43">+SUM(Q47:V47)</f>
        <v>4178.5524357928825</v>
      </c>
      <c r="P47" s="1761">
        <f t="shared" ref="P47:P53" si="44">+SUM(W47:X47)</f>
        <v>10033.512178216641</v>
      </c>
      <c r="Q47" s="1459">
        <f t="shared" ref="Q47:Q53" si="45">+SUMPRODUCT($F47:$M47,$AE$66:$AL$66)</f>
        <v>336.28643320134626</v>
      </c>
      <c r="R47" s="1459">
        <f t="shared" ref="R47:R53" si="46">+SUMPRODUCT($F47:$M47,$AE$67:$AL$67)</f>
        <v>36.574853341503797</v>
      </c>
      <c r="S47" s="1459">
        <f t="shared" ref="S47:S53" si="47">+SUMPRODUCT($F47:$M47,$AE$68:$AL$68)</f>
        <v>1840.2015152662257</v>
      </c>
      <c r="T47" s="1459">
        <f t="shared" ref="T47:T53" si="48">+SUMPRODUCT($F47:$M47,$AE$69:$AL$69)</f>
        <v>623.74462144661595</v>
      </c>
      <c r="U47" s="1459">
        <f t="shared" ref="U47:U53" si="49">+SUMPRODUCT($F47:$M47,$AE$70:$AL$70)</f>
        <v>154.23645148379569</v>
      </c>
      <c r="V47" s="1459">
        <f t="shared" ref="V47:V53" si="50">+SUMPRODUCT($F47:$M47,$AE$71:$AL$71)</f>
        <v>1187.5085610533949</v>
      </c>
      <c r="W47" s="1174">
        <f t="shared" ref="W47:W53" si="51">+SUMPRODUCT($F47:$M47,$AE$72:$AL$72)</f>
        <v>1273.4667374381334</v>
      </c>
      <c r="X47" s="1235">
        <f t="shared" ref="X47:X53" si="52">+SUMPRODUCT($F47:$M47,$AE$73:$AL$73)</f>
        <v>8760.0454407785073</v>
      </c>
      <c r="Y47" s="958"/>
      <c r="Z47" s="958"/>
      <c r="AA47" s="958"/>
      <c r="AB47" s="958"/>
      <c r="AC47" s="958"/>
      <c r="AD47" s="958"/>
      <c r="AE47" s="958"/>
      <c r="AF47" s="958"/>
      <c r="AG47" s="958"/>
      <c r="AH47" s="958"/>
      <c r="AI47" s="958"/>
      <c r="AJ47" s="958"/>
    </row>
    <row r="48" spans="1:36" x14ac:dyDescent="0.2">
      <c r="A48" s="329" t="s">
        <v>337</v>
      </c>
      <c r="B48" s="959" t="s">
        <v>66</v>
      </c>
      <c r="C48" s="1458">
        <f t="shared" ref="C48:C53" si="53">+E48+D48</f>
        <v>60525.807931300944</v>
      </c>
      <c r="D48" s="1752">
        <f t="shared" ref="D48:D53" si="54">+SUM(F48:K48)</f>
        <v>6129.6719549179961</v>
      </c>
      <c r="E48" s="1761">
        <f t="shared" ref="E48:E53" si="55">+SUM(L48:M48)</f>
        <v>54396.135976382946</v>
      </c>
      <c r="F48" s="1459">
        <f>1000*TableA7!$P$91*(TableC2!F46+TableC2!Q46)/(TableC2!$D$91+TableC2!$O$91)</f>
        <v>371.35817910358179</v>
      </c>
      <c r="G48" s="1459">
        <f>1000*TableA7!$P$91*(TableC2!G46+TableC2!R46)/(TableC2!$D$91+TableC2!$O$91)</f>
        <v>58.572991575180389</v>
      </c>
      <c r="H48" s="1459">
        <f>1000*TableA7!$P$91*(TableC2!H46+TableC2!S46)/(TableC2!$D$91+TableC2!$O$91)</f>
        <v>3076.7859166666258</v>
      </c>
      <c r="I48" s="1459">
        <f>1000*TableA7!$P$91*(TableC2!I46+TableC2!T46)/(TableC2!$D$91+TableC2!$O$91)</f>
        <v>1321.0129909379252</v>
      </c>
      <c r="J48" s="1459">
        <f>1000*TableA7!$P$91*(TableC2!J46+TableC2!U46)/(TableC2!$D$91+TableC2!$O$91)</f>
        <v>3.2411602449649015</v>
      </c>
      <c r="K48" s="1459">
        <f>1000*TableA7!$P$91*(TableC2!K46+TableC2!V46)/(TableC2!$D$91+TableC2!$O$91)</f>
        <v>1298.7007163897183</v>
      </c>
      <c r="L48" s="1174">
        <f>1000*TableA7!$P$91*(TableC2!M46+TableC2!X46)/(TableC2!$D$91+TableC2!$O$91)</f>
        <v>4465.8975086816627</v>
      </c>
      <c r="M48" s="1235">
        <f>1000*TableA7!$P$91*(TableC2!N46+TableC2!Y46)/(TableC2!$D$91+TableC2!$O$91)</f>
        <v>49930.238467701281</v>
      </c>
      <c r="N48" s="1458">
        <f t="shared" si="42"/>
        <v>60525.807931300944</v>
      </c>
      <c r="O48" s="1752">
        <f t="shared" si="43"/>
        <v>11892.931928501215</v>
      </c>
      <c r="P48" s="1761">
        <f t="shared" si="44"/>
        <v>48632.876002799727</v>
      </c>
      <c r="Q48" s="1459">
        <f t="shared" si="45"/>
        <v>380.73888996962853</v>
      </c>
      <c r="R48" s="1459">
        <f t="shared" si="46"/>
        <v>223.65750461088845</v>
      </c>
      <c r="S48" s="1459">
        <f t="shared" si="47"/>
        <v>6782.9075955757125</v>
      </c>
      <c r="T48" s="1459">
        <f t="shared" si="48"/>
        <v>1246.4842268556722</v>
      </c>
      <c r="U48" s="1459">
        <f t="shared" si="49"/>
        <v>695.61204542161875</v>
      </c>
      <c r="V48" s="1459">
        <f t="shared" si="50"/>
        <v>2563.5316660676963</v>
      </c>
      <c r="W48" s="1174">
        <f t="shared" si="51"/>
        <v>2826.2431941825544</v>
      </c>
      <c r="X48" s="1235">
        <f t="shared" si="52"/>
        <v>45806.632808617171</v>
      </c>
      <c r="Y48" s="958"/>
      <c r="Z48" s="958"/>
      <c r="AA48" s="958"/>
      <c r="AB48" s="958"/>
      <c r="AC48" s="958"/>
      <c r="AD48" s="958"/>
      <c r="AE48" s="958"/>
      <c r="AF48" s="958"/>
      <c r="AG48" s="958"/>
      <c r="AH48" s="958"/>
      <c r="AI48" s="958"/>
      <c r="AJ48" s="958"/>
    </row>
    <row r="49" spans="1:38" x14ac:dyDescent="0.2">
      <c r="A49" s="958"/>
      <c r="B49" s="959" t="s">
        <v>67</v>
      </c>
      <c r="C49" s="1458">
        <f t="shared" si="53"/>
        <v>1403.6174395306298</v>
      </c>
      <c r="D49" s="1752">
        <f t="shared" si="54"/>
        <v>572.88147169047193</v>
      </c>
      <c r="E49" s="1761">
        <f t="shared" si="55"/>
        <v>830.73596784015774</v>
      </c>
      <c r="F49" s="1459">
        <f>1000*TableA7!$P$91*(TableC2!F47+TableC2!Q47)/(TableC2!$D$91+TableC2!$O$91)</f>
        <v>43.807480493657621</v>
      </c>
      <c r="G49" s="1459">
        <f>1000*TableA7!$P$91*(TableC2!G47+TableC2!R47)/(TableC2!$D$91+TableC2!$O$91)</f>
        <v>11.471609026692352</v>
      </c>
      <c r="H49" s="1459">
        <f>1000*TableA7!$P$91*(TableC2!H47+TableC2!S47)/(TableC2!$D$91+TableC2!$O$91)</f>
        <v>304.58731788211873</v>
      </c>
      <c r="I49" s="1459">
        <f>1000*TableA7!$P$91*(TableC2!I47+TableC2!T47)/(TableC2!$D$91+TableC2!$O$91)</f>
        <v>65.572278886018694</v>
      </c>
      <c r="J49" s="1459">
        <f>1000*TableA7!$P$91*(TableC2!J47+TableC2!U47)/(TableC2!$D$91+TableC2!$O$91)</f>
        <v>55.29014764007659</v>
      </c>
      <c r="K49" s="1459">
        <f>1000*TableA7!$P$91*(TableC2!K47+TableC2!V47)/(TableC2!$D$91+TableC2!$O$91)</f>
        <v>92.152637761907911</v>
      </c>
      <c r="L49" s="1174">
        <f>1000*TableA7!$P$91*(TableC2!M47+TableC2!X47)/(TableC2!$D$91+TableC2!$O$91)</f>
        <v>68.203037266477253</v>
      </c>
      <c r="M49" s="1235">
        <f>1000*TableA7!$P$91*(TableC2!N47+TableC2!Y47)/(TableC2!$D$91+TableC2!$O$91)</f>
        <v>762.53293057368046</v>
      </c>
      <c r="N49" s="1458">
        <f t="shared" si="42"/>
        <v>1403.6174395306298</v>
      </c>
      <c r="O49" s="1752">
        <f t="shared" si="43"/>
        <v>488.94655703740864</v>
      </c>
      <c r="P49" s="1761">
        <f t="shared" si="44"/>
        <v>914.67088249322114</v>
      </c>
      <c r="Q49" s="1459">
        <f t="shared" si="45"/>
        <v>19.206985294682028</v>
      </c>
      <c r="R49" s="1459">
        <f t="shared" si="46"/>
        <v>14.794613971381079</v>
      </c>
      <c r="S49" s="1459">
        <f t="shared" si="47"/>
        <v>228.53942993890854</v>
      </c>
      <c r="T49" s="1459">
        <f t="shared" si="48"/>
        <v>50.008861814604877</v>
      </c>
      <c r="U49" s="1459">
        <f t="shared" si="49"/>
        <v>69.091247911791271</v>
      </c>
      <c r="V49" s="1459">
        <f t="shared" si="50"/>
        <v>107.30541810604083</v>
      </c>
      <c r="W49" s="1174">
        <f t="shared" si="51"/>
        <v>79.106024211457623</v>
      </c>
      <c r="X49" s="1235">
        <f t="shared" si="52"/>
        <v>835.56485828176346</v>
      </c>
      <c r="Y49" s="958"/>
      <c r="Z49" s="958"/>
      <c r="AA49" s="958"/>
      <c r="AB49" s="958"/>
      <c r="AC49" s="958"/>
      <c r="AD49" s="958"/>
      <c r="AE49" s="958"/>
      <c r="AF49" s="958"/>
      <c r="AG49" s="958"/>
      <c r="AH49" s="958"/>
      <c r="AI49" s="958"/>
      <c r="AJ49" s="958"/>
      <c r="AK49" s="958"/>
      <c r="AL49" s="958"/>
    </row>
    <row r="50" spans="1:38" x14ac:dyDescent="0.2">
      <c r="A50" s="958"/>
      <c r="B50" s="959" t="s">
        <v>68</v>
      </c>
      <c r="C50" s="1458">
        <f t="shared" si="53"/>
        <v>1057.5199886874607</v>
      </c>
      <c r="D50" s="1752">
        <f t="shared" si="54"/>
        <v>431.62302661610897</v>
      </c>
      <c r="E50" s="1761">
        <f t="shared" si="55"/>
        <v>625.89696207135182</v>
      </c>
      <c r="F50" s="1174">
        <f>1000*TableA7!$P$91*(TableC2!F48+TableC2!Q48)/(TableC2!$D$91+TableC2!$O$91)</f>
        <v>33.005635988372184</v>
      </c>
      <c r="G50" s="1174">
        <f>1000*TableA7!$P$91*(TableC2!G48+TableC2!R48)/(TableC2!$D$91+TableC2!$O$91)</f>
        <v>8.6429931023024587</v>
      </c>
      <c r="H50" s="1174">
        <f>1000*TableA7!$P$91*(TableC2!H48+TableC2!S48)/(TableC2!$D$91+TableC2!$O$91)</f>
        <v>229.48359566460999</v>
      </c>
      <c r="I50" s="1174">
        <f>1000*TableA7!$P$91*(TableC2!I48+TableC2!T48)/(TableC2!$D$91+TableC2!$O$91)</f>
        <v>49.403771763438748</v>
      </c>
      <c r="J50" s="1174">
        <f>1000*TableA7!$P$91*(TableC2!J48+TableC2!U48)/(TableC2!$D$91+TableC2!$O$91)</f>
        <v>41.656960550742639</v>
      </c>
      <c r="K50" s="1174">
        <f>1000*TableA7!$P$91*(TableC2!K48+TableC2!V48)/(TableC2!$D$91+TableC2!$O$91)</f>
        <v>69.430069546642926</v>
      </c>
      <c r="L50" s="1174">
        <f>1000*TableA7!$P$91*(TableC2!M48+TableC2!X48)/(TableC2!$D$91+TableC2!$O$91)</f>
        <v>51.385849995291089</v>
      </c>
      <c r="M50" s="1235">
        <f>1000*TableA7!$P$91*(TableC2!N48+TableC2!Y48)/(TableC2!$D$91+TableC2!$O$91)</f>
        <v>574.51111207606073</v>
      </c>
      <c r="N50" s="1458">
        <f t="shared" si="42"/>
        <v>1057.5199886874607</v>
      </c>
      <c r="O50" s="1752">
        <f t="shared" si="43"/>
        <v>368.38439228845851</v>
      </c>
      <c r="P50" s="1761">
        <f t="shared" si="44"/>
        <v>689.13559639900222</v>
      </c>
      <c r="Q50" s="1459">
        <f t="shared" si="45"/>
        <v>14.471016317911115</v>
      </c>
      <c r="R50" s="1459">
        <f t="shared" si="46"/>
        <v>11.14662696473917</v>
      </c>
      <c r="S50" s="1459">
        <f t="shared" si="47"/>
        <v>172.1872417347941</v>
      </c>
      <c r="T50" s="1459">
        <f t="shared" si="48"/>
        <v>37.677909586346146</v>
      </c>
      <c r="U50" s="1459">
        <f t="shared" si="49"/>
        <v>52.055049796555068</v>
      </c>
      <c r="V50" s="1459">
        <f t="shared" si="50"/>
        <v>80.846547888112937</v>
      </c>
      <c r="W50" s="1174">
        <f t="shared" si="51"/>
        <v>59.600429200413274</v>
      </c>
      <c r="X50" s="1235">
        <f t="shared" si="52"/>
        <v>629.53516719858897</v>
      </c>
      <c r="Y50" s="958"/>
      <c r="Z50" s="958"/>
      <c r="AA50" s="958"/>
      <c r="AB50" s="958"/>
      <c r="AC50" s="958"/>
      <c r="AD50" s="958"/>
      <c r="AE50" s="958"/>
      <c r="AF50" s="958"/>
      <c r="AG50" s="958"/>
      <c r="AH50" s="958"/>
      <c r="AI50" s="958"/>
      <c r="AJ50" s="958"/>
      <c r="AK50" s="958"/>
      <c r="AL50" s="958"/>
    </row>
    <row r="51" spans="1:38" ht="14.25" customHeight="1" x14ac:dyDescent="0.2">
      <c r="A51" s="958"/>
      <c r="B51" s="959" t="s">
        <v>69</v>
      </c>
      <c r="C51" s="1458">
        <f t="shared" si="53"/>
        <v>9476.3990387445938</v>
      </c>
      <c r="D51" s="1752">
        <f t="shared" si="54"/>
        <v>2762.2316274337295</v>
      </c>
      <c r="E51" s="1761">
        <f t="shared" si="55"/>
        <v>6714.1674113108638</v>
      </c>
      <c r="F51" s="1459">
        <f>1000*TableA7!$P$91*(TableC2!F49+TableC2!Q49)/(TableC2!$D$91+TableC2!$O$91)</f>
        <v>90.297762300830257</v>
      </c>
      <c r="G51" s="1459">
        <f>1000*TableA7!$P$91*(TableC2!G49+TableC2!R49)/(TableC2!$D$91+TableC2!$O$91)</f>
        <v>7.5849917147715615</v>
      </c>
      <c r="H51" s="1459">
        <f>1000*TableA7!$P$91*(TableC2!H49+TableC2!S49)/(TableC2!$D$91+TableC2!$O$91)</f>
        <v>2052.7961140941075</v>
      </c>
      <c r="I51" s="1459">
        <f>1000*TableA7!$P$91*(TableC2!I49+TableC2!T49)/(TableC2!$D$91+TableC2!$O$91)</f>
        <v>136.84646951055055</v>
      </c>
      <c r="J51" s="1459">
        <f>1000*TableA7!$P$91*(TableC2!J49+TableC2!U49)/(TableC2!$D$91+TableC2!$O$91)</f>
        <v>2.3420075135531158</v>
      </c>
      <c r="K51" s="1459">
        <f>1000*TableA7!$P$91*(TableC2!K49+TableC2!V49)/(TableC2!$D$91+TableC2!$O$91)</f>
        <v>472.36428229991668</v>
      </c>
      <c r="L51" s="1174">
        <f>1000*TableA7!$P$91*(TableC2!M49+TableC2!X49)/(TableC2!$D$91+TableC2!$O$91)</f>
        <v>551.23002722221349</v>
      </c>
      <c r="M51" s="1235">
        <f>1000*TableA7!$P$91*(TableC2!N49+TableC2!Y49)/(TableC2!$D$91+TableC2!$O$91)</f>
        <v>6162.9373840886501</v>
      </c>
      <c r="N51" s="1458">
        <f t="shared" si="42"/>
        <v>9476.399038744592</v>
      </c>
      <c r="O51" s="1752">
        <f t="shared" si="43"/>
        <v>2560.7626204795897</v>
      </c>
      <c r="P51" s="1761">
        <f t="shared" si="44"/>
        <v>6915.6364182650032</v>
      </c>
      <c r="Q51" s="1459">
        <f t="shared" si="45"/>
        <v>107.8892090738405</v>
      </c>
      <c r="R51" s="1459">
        <f t="shared" si="46"/>
        <v>28.376316081231376</v>
      </c>
      <c r="S51" s="1459">
        <f t="shared" si="47"/>
        <v>1467.2288788430596</v>
      </c>
      <c r="T51" s="1459">
        <f t="shared" si="48"/>
        <v>205.92452522894831</v>
      </c>
      <c r="U51" s="1459">
        <f t="shared" si="49"/>
        <v>89.567262348868709</v>
      </c>
      <c r="V51" s="1459">
        <f t="shared" si="50"/>
        <v>661.77642890364132</v>
      </c>
      <c r="W51" s="1174">
        <f t="shared" si="51"/>
        <v>491.45584918238114</v>
      </c>
      <c r="X51" s="1235">
        <f t="shared" si="52"/>
        <v>6424.1805690826222</v>
      </c>
      <c r="Y51" s="958"/>
      <c r="Z51" s="958"/>
      <c r="AA51" s="958"/>
      <c r="AB51" s="958"/>
      <c r="AC51" s="958"/>
      <c r="AD51" s="958"/>
      <c r="AE51" s="958"/>
      <c r="AF51" s="958"/>
      <c r="AG51" s="958"/>
      <c r="AH51" s="958"/>
      <c r="AI51" s="958"/>
      <c r="AJ51" s="958"/>
      <c r="AK51" s="958"/>
      <c r="AL51" s="958"/>
    </row>
    <row r="52" spans="1:38" ht="14.25" customHeight="1" x14ac:dyDescent="0.2">
      <c r="A52" s="329" t="s">
        <v>338</v>
      </c>
      <c r="B52" s="959" t="s">
        <v>70</v>
      </c>
      <c r="C52" s="1458">
        <f t="shared" si="53"/>
        <v>11843.104349333911</v>
      </c>
      <c r="D52" s="1752">
        <f t="shared" si="54"/>
        <v>7268.3665538305768</v>
      </c>
      <c r="E52" s="1761">
        <f t="shared" si="55"/>
        <v>4574.7377955033344</v>
      </c>
      <c r="F52" s="1459">
        <f>1000*TableA7!$P$91*(TableC2!F50+TableC2!Q50)/(TableC2!$D$91+TableC2!$O$91)</f>
        <v>371.1875899889485</v>
      </c>
      <c r="G52" s="1459">
        <f>1000*TableA7!$P$91*(TableC2!G50+TableC2!R50)/(TableC2!$D$91+TableC2!$O$91)</f>
        <v>390.01329925665482</v>
      </c>
      <c r="H52" s="1459">
        <f>1000*TableA7!$P$91*(TableC2!H50+TableC2!S50)/(TableC2!$D$91+TableC2!$O$91)</f>
        <v>1241.6960070705322</v>
      </c>
      <c r="I52" s="1459">
        <f>1000*TableA7!$P$91*(TableC2!I50+TableC2!T50)/(TableC2!$D$91+TableC2!$O$91)</f>
        <v>3134.9805065173923</v>
      </c>
      <c r="J52" s="1459">
        <f>1000*TableA7!$P$91*(TableC2!J50+TableC2!U50)/(TableC2!$D$91+TableC2!$O$91)</f>
        <v>22.019758563461046</v>
      </c>
      <c r="K52" s="1459">
        <f>1000*TableA7!$P$91*(TableC2!K50+TableC2!V50)/(TableC2!$D$91+TableC2!$O$91)</f>
        <v>2108.469392433587</v>
      </c>
      <c r="L52" s="1174">
        <f>1000*TableA7!$P$91*(TableC2!M50+TableC2!X50)/(TableC2!$D$91+TableC2!$O$91)</f>
        <v>375.5838490564912</v>
      </c>
      <c r="M52" s="1235">
        <f>1000*TableA7!$P$91*(TableC2!N50+TableC2!Y50)/(TableC2!$D$91+TableC2!$O$91)</f>
        <v>4199.1539464468433</v>
      </c>
      <c r="N52" s="1458">
        <f t="shared" si="42"/>
        <v>11843.104349333909</v>
      </c>
      <c r="O52" s="1752">
        <f t="shared" si="43"/>
        <v>5348.7637363554932</v>
      </c>
      <c r="P52" s="1761">
        <f t="shared" si="44"/>
        <v>6494.3406129784171</v>
      </c>
      <c r="Q52" s="1459">
        <f t="shared" si="45"/>
        <v>320.49366242837351</v>
      </c>
      <c r="R52" s="1459">
        <f t="shared" si="46"/>
        <v>431.29769979193816</v>
      </c>
      <c r="S52" s="1459">
        <f t="shared" si="47"/>
        <v>2013.9676980956676</v>
      </c>
      <c r="T52" s="1459">
        <f t="shared" si="48"/>
        <v>1241.7680614268083</v>
      </c>
      <c r="U52" s="1459">
        <f t="shared" si="49"/>
        <v>186.55819252328047</v>
      </c>
      <c r="V52" s="1459">
        <f t="shared" si="50"/>
        <v>1154.6784220894256</v>
      </c>
      <c r="W52" s="1174">
        <f t="shared" si="51"/>
        <v>1060.4325325829257</v>
      </c>
      <c r="X52" s="1235">
        <f t="shared" si="52"/>
        <v>5433.9080803954912</v>
      </c>
      <c r="Y52" s="958"/>
      <c r="Z52" s="958"/>
      <c r="AA52" s="958"/>
      <c r="AB52" s="958"/>
      <c r="AC52" s="958"/>
      <c r="AD52" s="958"/>
      <c r="AE52" s="958"/>
      <c r="AF52" s="958"/>
      <c r="AG52" s="958"/>
      <c r="AH52" s="958"/>
      <c r="AI52" s="958"/>
      <c r="AJ52" s="958"/>
      <c r="AK52" s="958"/>
      <c r="AL52" s="958"/>
    </row>
    <row r="53" spans="1:38" ht="14.25" customHeight="1" x14ac:dyDescent="0.2">
      <c r="A53" s="958"/>
      <c r="B53" s="959" t="s">
        <v>71</v>
      </c>
      <c r="C53" s="1458">
        <f t="shared" si="53"/>
        <v>4080.6445340819</v>
      </c>
      <c r="D53" s="1752">
        <f t="shared" si="54"/>
        <v>1736.3759125055642</v>
      </c>
      <c r="E53" s="1761">
        <f t="shared" si="55"/>
        <v>2344.268621576336</v>
      </c>
      <c r="F53" s="1459">
        <f>1000*TableA7!$P$91*(TableC2!F51+TableC2!Q51)/(TableC2!$D$91+TableC2!$O$91)</f>
        <v>65.792750937223403</v>
      </c>
      <c r="G53" s="1459">
        <f>1000*TableA7!$P$91*(TableC2!G51+TableC2!R51)/(TableC2!$D$91+TableC2!$O$91)</f>
        <v>6.7422148575747212</v>
      </c>
      <c r="H53" s="1459">
        <f>1000*TableA7!$P$91*(TableC2!H51+TableC2!S51)/(TableC2!$D$91+TableC2!$O$91)</f>
        <v>865.04500725317155</v>
      </c>
      <c r="I53" s="1459">
        <f>1000*TableA7!$P$91*(TableC2!I51+TableC2!T51)/(TableC2!$D$91+TableC2!$O$91)</f>
        <v>350.70360098012389</v>
      </c>
      <c r="J53" s="1459">
        <f>1000*TableA7!$P$91*(TableC2!J51+TableC2!U51)/(TableC2!$D$91+TableC2!$O$91)</f>
        <v>2.1832347006214894</v>
      </c>
      <c r="K53" s="1459">
        <f>1000*TableA7!$P$91*(TableC2!K51+TableC2!V51)/(TableC2!$D$91+TableC2!$O$91)</f>
        <v>445.90910377684901</v>
      </c>
      <c r="L53" s="1174">
        <f>1000*TableA7!$P$91*(TableC2!M51+TableC2!X51)/(TableC2!$D$91+TableC2!$O$91)</f>
        <v>192.46336543690848</v>
      </c>
      <c r="M53" s="1235">
        <f>1000*TableA7!$P$91*(TableC2!N51+TableC2!Y51)/(TableC2!$D$91+TableC2!$O$91)</f>
        <v>2151.8052561394275</v>
      </c>
      <c r="N53" s="1458">
        <f t="shared" si="42"/>
        <v>4080.6445340818996</v>
      </c>
      <c r="O53" s="1752">
        <f t="shared" si="43"/>
        <v>1357.1867514037572</v>
      </c>
      <c r="P53" s="1761">
        <f t="shared" si="44"/>
        <v>2723.4577826781424</v>
      </c>
      <c r="Q53" s="1459">
        <f t="shared" si="45"/>
        <v>74.335092461312357</v>
      </c>
      <c r="R53" s="1459">
        <f t="shared" si="46"/>
        <v>16.764904939351091</v>
      </c>
      <c r="S53" s="1459">
        <f t="shared" si="47"/>
        <v>682.57859963068859</v>
      </c>
      <c r="T53" s="1459">
        <f t="shared" si="48"/>
        <v>190.34405915062598</v>
      </c>
      <c r="U53" s="1459">
        <f t="shared" si="49"/>
        <v>43.332946694770158</v>
      </c>
      <c r="V53" s="1459">
        <f t="shared" si="50"/>
        <v>349.83114852700908</v>
      </c>
      <c r="W53" s="1174">
        <f t="shared" si="51"/>
        <v>275.57412199965535</v>
      </c>
      <c r="X53" s="1235">
        <f t="shared" si="52"/>
        <v>2447.8836606784871</v>
      </c>
      <c r="Y53" s="958"/>
      <c r="Z53" s="958"/>
      <c r="AA53" s="958"/>
      <c r="AB53" s="958"/>
      <c r="AC53" s="958"/>
      <c r="AD53" s="958"/>
      <c r="AE53" s="958"/>
      <c r="AF53" s="958"/>
      <c r="AG53" s="958"/>
      <c r="AH53" s="958"/>
      <c r="AI53" s="958"/>
      <c r="AJ53" s="958"/>
      <c r="AK53" s="958"/>
      <c r="AL53" s="958"/>
    </row>
    <row r="54" spans="1:38" ht="40" hidden="1" customHeight="1" x14ac:dyDescent="0.2">
      <c r="A54" s="958"/>
      <c r="B54" s="1816" t="s">
        <v>72</v>
      </c>
      <c r="C54" s="1458">
        <f>1000*TableA7!$P$91*(TableC2!D52+TableC2!O52)/(TableC2!$D$91+TableC2!$O$91)</f>
        <v>0</v>
      </c>
      <c r="D54" s="1756"/>
      <c r="E54" s="1762"/>
      <c r="F54" s="245">
        <f>1000*TableA7!$P$91*(TableC2!F52+TableC2!Q52)/(TableC2!$D$91+TableC2!$O$91)</f>
        <v>0</v>
      </c>
      <c r="G54" s="245">
        <f>1000*TableA7!$P$91*(TableC2!G52+TableC2!R52)/(TableC2!$D$91+TableC2!$O$91)</f>
        <v>0</v>
      </c>
      <c r="H54" s="245">
        <f>1000*TableA7!$P$91*(TableC2!H52+TableC2!S52)/(TableC2!$D$91+TableC2!$O$91)</f>
        <v>0</v>
      </c>
      <c r="I54" s="13">
        <f>1000*TableA7!$P$91*(TableC2!I52+TableC2!T52)/(TableC2!$D$91+TableC2!$O$91)</f>
        <v>0</v>
      </c>
      <c r="J54" s="13">
        <f>1000*TableA7!$P$91*(TableC2!J52+TableC2!U52)/(TableC2!$D$91+TableC2!$O$91)</f>
        <v>0</v>
      </c>
      <c r="K54" s="13">
        <f>1000*TableA7!$P$91*(TableC2!K52+TableC2!V52)/(TableC2!$D$91+TableC2!$O$91)</f>
        <v>0</v>
      </c>
      <c r="L54" s="13">
        <f>1000*TableA7!$P$91*(TableC2!M52+TableC2!X52)/(TableC2!$D$91+TableC2!$O$91)</f>
        <v>0</v>
      </c>
      <c r="M54" s="632">
        <f>1000*TableA7!$P$91*(TableC2!N52+TableC2!Y52)/(TableC2!$D$91+TableC2!$O$91)</f>
        <v>0</v>
      </c>
      <c r="N54" s="299">
        <v>0</v>
      </c>
      <c r="O54" s="13"/>
      <c r="P54" s="1765"/>
      <c r="Q54" s="245">
        <v>0</v>
      </c>
      <c r="R54" s="245">
        <v>0</v>
      </c>
      <c r="S54" s="245">
        <v>0</v>
      </c>
      <c r="T54" s="13">
        <v>0</v>
      </c>
      <c r="U54" s="13">
        <v>0</v>
      </c>
      <c r="V54" s="13">
        <v>0</v>
      </c>
      <c r="W54" s="13">
        <v>0</v>
      </c>
      <c r="X54" s="632">
        <v>0</v>
      </c>
      <c r="Y54" s="958"/>
      <c r="Z54" s="958"/>
      <c r="AA54" s="958"/>
      <c r="AB54" s="958"/>
      <c r="AC54" s="958"/>
      <c r="AD54" s="958"/>
      <c r="AE54" s="958"/>
      <c r="AF54" s="958"/>
      <c r="AG54" s="958"/>
      <c r="AH54" s="958"/>
      <c r="AI54" s="958"/>
      <c r="AJ54" s="958"/>
      <c r="AK54" s="958"/>
      <c r="AL54" s="958"/>
    </row>
    <row r="55" spans="1:38" ht="14.25" hidden="1" customHeight="1" x14ac:dyDescent="0.2">
      <c r="A55" s="958"/>
      <c r="B55" s="959" t="s">
        <v>73</v>
      </c>
      <c r="C55" s="1458">
        <f>1000*TableA7!$P$91*(TableC2!D53+TableC2!O53)/(TableC2!$D$91+TableC2!$O$91)</f>
        <v>0</v>
      </c>
      <c r="D55" s="1756"/>
      <c r="E55" s="1762"/>
      <c r="F55" s="1159">
        <f>1000*TableA7!$P$91*(TableC2!F53+TableC2!Q53)/(TableC2!$D$91+TableC2!$O$91)</f>
        <v>0</v>
      </c>
      <c r="G55" s="1159">
        <f>1000*TableA7!$P$91*(TableC2!G53+TableC2!R53)/(TableC2!$D$91+TableC2!$O$91)</f>
        <v>0</v>
      </c>
      <c r="H55" s="1159">
        <f>1000*TableA7!$P$91*(TableC2!H53+TableC2!S53)/(TableC2!$D$91+TableC2!$O$91)</f>
        <v>0</v>
      </c>
      <c r="I55" s="1174">
        <f>1000*TableA7!$P$91*(TableC2!I53+TableC2!T53)/(TableC2!$D$91+TableC2!$O$91)</f>
        <v>0</v>
      </c>
      <c r="J55" s="1174">
        <f>1000*TableA7!$P$91*(TableC2!J53+TableC2!U53)/(TableC2!$D$91+TableC2!$O$91)</f>
        <v>0</v>
      </c>
      <c r="K55" s="1174">
        <f>1000*TableA7!$P$91*(TableC2!K53+TableC2!V53)/(TableC2!$D$91+TableC2!$O$91)</f>
        <v>0</v>
      </c>
      <c r="L55" s="1174">
        <f>1000*TableA7!$P$91*(TableC2!M53+TableC2!X53)/(TableC2!$D$91+TableC2!$O$91)</f>
        <v>0</v>
      </c>
      <c r="M55" s="1235">
        <f>1000*TableA7!$P$91*(TableC2!N53+TableC2!Y53)/(TableC2!$D$91+TableC2!$O$91)</f>
        <v>0</v>
      </c>
      <c r="N55" s="1465">
        <v>0</v>
      </c>
      <c r="O55" s="1759"/>
      <c r="P55" s="1766"/>
      <c r="Q55" s="1459">
        <f t="shared" ref="Q55:Q90" si="56">+SUMPRODUCT($F55:$M55,$AE$66:$AL$66)</f>
        <v>0</v>
      </c>
      <c r="R55" s="1459">
        <f t="shared" ref="R55:R90" si="57">+SUMPRODUCT($F55:$M55,$AE$67:$AL$67)</f>
        <v>0</v>
      </c>
      <c r="S55" s="1459">
        <f t="shared" ref="S55:S90" si="58">+SUMPRODUCT($F55:$M55,$AE$68:$AL$68)</f>
        <v>0</v>
      </c>
      <c r="T55" s="1459">
        <f t="shared" ref="T55:T90" si="59">+SUMPRODUCT($F55:$M55,$AE$69:$AL$69)</f>
        <v>0</v>
      </c>
      <c r="U55" s="1459">
        <f t="shared" ref="U55:U90" si="60">+SUMPRODUCT($F55:$M55,$AE$70:$AL$70)</f>
        <v>0</v>
      </c>
      <c r="V55" s="1459">
        <f t="shared" ref="V55:V90" si="61">+SUMPRODUCT($F55:$M55,$AE$71:$AL$71)</f>
        <v>0</v>
      </c>
      <c r="W55" s="1174">
        <f t="shared" ref="W55:W90" si="62">+SUMPRODUCT($F55:$M55,$AE$72:$AL$72)</f>
        <v>0</v>
      </c>
      <c r="X55" s="1235">
        <f t="shared" ref="X55:X90" si="63">+SUMPRODUCT($F55:$M55,$AE$73:$AL$73)</f>
        <v>0</v>
      </c>
      <c r="Y55" s="958"/>
      <c r="Z55" s="958"/>
      <c r="AA55" s="958"/>
      <c r="AB55" s="958"/>
      <c r="AC55" s="958"/>
      <c r="AD55" s="958"/>
      <c r="AE55" s="958">
        <f>+TableC4x!AE50</f>
        <v>1.3156054921771854E-2</v>
      </c>
      <c r="AF55" s="958">
        <f>+TableC4x!AF50</f>
        <v>0</v>
      </c>
      <c r="AG55" s="958">
        <f>+TableC4x!AG50</f>
        <v>2.1027378247023165E-2</v>
      </c>
      <c r="AH55" s="958">
        <f>+TableC4x!AH50</f>
        <v>3.2062503349144303E-2</v>
      </c>
      <c r="AI55" s="958">
        <f>+TableC4x!AI50</f>
        <v>0</v>
      </c>
      <c r="AJ55" s="958">
        <f>+TableC4x!AJ50</f>
        <v>8.3220806142414241E-2</v>
      </c>
      <c r="AK55" s="958">
        <f>+TableC4x!AK50</f>
        <v>3.5988876995160027E-2</v>
      </c>
      <c r="AL55" s="958">
        <f>+TableC4x!AL50</f>
        <v>0</v>
      </c>
    </row>
    <row r="56" spans="1:38" ht="14.25" hidden="1" customHeight="1" x14ac:dyDescent="0.2">
      <c r="A56" s="958"/>
      <c r="B56" s="959" t="s">
        <v>74</v>
      </c>
      <c r="C56" s="1458">
        <f>1000*TableA7!$P$91*(TableC2!D54+TableC2!O54)/(TableC2!$D$91+TableC2!$O$91)</f>
        <v>0</v>
      </c>
      <c r="D56" s="1756"/>
      <c r="E56" s="1762"/>
      <c r="F56" s="1159">
        <f>1000*TableA7!$P$91*(TableC2!F54+TableC2!Q54)/(TableC2!$D$91+TableC2!$O$91)</f>
        <v>0</v>
      </c>
      <c r="G56" s="1159">
        <f>1000*TableA7!$P$91*(TableC2!G54+TableC2!R54)/(TableC2!$D$91+TableC2!$O$91)</f>
        <v>0</v>
      </c>
      <c r="H56" s="1159">
        <f>1000*TableA7!$P$91*(TableC2!H54+TableC2!S54)/(TableC2!$D$91+TableC2!$O$91)</f>
        <v>0</v>
      </c>
      <c r="I56" s="1174">
        <f>1000*TableA7!$P$91*(TableC2!I54+TableC2!T54)/(TableC2!$D$91+TableC2!$O$91)</f>
        <v>0</v>
      </c>
      <c r="J56" s="1174">
        <f>1000*TableA7!$P$91*(TableC2!J54+TableC2!U54)/(TableC2!$D$91+TableC2!$O$91)</f>
        <v>0</v>
      </c>
      <c r="K56" s="1174">
        <f>1000*TableA7!$P$91*(TableC2!K54+TableC2!V54)/(TableC2!$D$91+TableC2!$O$91)</f>
        <v>0</v>
      </c>
      <c r="L56" s="1174">
        <f>1000*TableA7!$P$91*(TableC2!M54+TableC2!X54)/(TableC2!$D$91+TableC2!$O$91)</f>
        <v>0</v>
      </c>
      <c r="M56" s="1235">
        <f>1000*TableA7!$P$91*(TableC2!N54+TableC2!Y54)/(TableC2!$D$91+TableC2!$O$91)</f>
        <v>0</v>
      </c>
      <c r="N56" s="1465">
        <v>0</v>
      </c>
      <c r="O56" s="1759"/>
      <c r="P56" s="1766"/>
      <c r="Q56" s="1459">
        <f t="shared" si="56"/>
        <v>0</v>
      </c>
      <c r="R56" s="1459">
        <f t="shared" si="57"/>
        <v>0</v>
      </c>
      <c r="S56" s="1459">
        <f t="shared" si="58"/>
        <v>0</v>
      </c>
      <c r="T56" s="1459">
        <f t="shared" si="59"/>
        <v>0</v>
      </c>
      <c r="U56" s="1459">
        <f t="shared" si="60"/>
        <v>0</v>
      </c>
      <c r="V56" s="1459">
        <f t="shared" si="61"/>
        <v>0</v>
      </c>
      <c r="W56" s="1174">
        <f t="shared" si="62"/>
        <v>0</v>
      </c>
      <c r="X56" s="1235">
        <f t="shared" si="63"/>
        <v>0</v>
      </c>
      <c r="Y56" s="958"/>
      <c r="Z56" s="958"/>
      <c r="AA56" s="958"/>
      <c r="AB56" s="958"/>
      <c r="AC56" s="958"/>
      <c r="AD56" s="958"/>
      <c r="AE56" s="958">
        <f>+TableC4x!AE51</f>
        <v>1.1350097129326076E-2</v>
      </c>
      <c r="AF56" s="958">
        <f>+TableC4x!AF51</f>
        <v>1</v>
      </c>
      <c r="AG56" s="958">
        <f>+TableC4x!AG51</f>
        <v>3.2931743099270126E-5</v>
      </c>
      <c r="AH56" s="958">
        <f>+TableC4x!AH51</f>
        <v>7.6566674554956471E-3</v>
      </c>
      <c r="AI56" s="958">
        <f>+TableC4x!AI51</f>
        <v>0</v>
      </c>
      <c r="AJ56" s="958">
        <f>+TableC4x!AJ51</f>
        <v>1.7854378987558053E-4</v>
      </c>
      <c r="AK56" s="958">
        <f>+TableC4x!AK51</f>
        <v>2.7572562502523714E-3</v>
      </c>
      <c r="AL56" s="958">
        <f>+TableC4x!AL51</f>
        <v>2.7660228752252776E-3</v>
      </c>
    </row>
    <row r="57" spans="1:38" ht="14.25" hidden="1" customHeight="1" x14ac:dyDescent="0.2">
      <c r="A57" s="958"/>
      <c r="B57" s="959" t="str">
        <f>+TableA1!A56</f>
        <v>Antigua and Barbuda</v>
      </c>
      <c r="C57" s="1458">
        <f>1000*TableA7!$P$91*(TableC2!D55+TableC2!O55)/(TableC2!$D$91+TableC2!$O$91)</f>
        <v>0</v>
      </c>
      <c r="D57" s="1756"/>
      <c r="E57" s="1762"/>
      <c r="F57" s="1159">
        <f>1000*TableA7!$P$91*(TableC2!F55+TableC2!Q55)/(TableC2!$D$91+TableC2!$O$91)</f>
        <v>0</v>
      </c>
      <c r="G57" s="1159">
        <f>1000*TableA7!$P$91*(TableC2!G55+TableC2!R55)/(TableC2!$D$91+TableC2!$O$91)</f>
        <v>0</v>
      </c>
      <c r="H57" s="1159">
        <f>1000*TableA7!$P$91*(TableC2!H55+TableC2!S55)/(TableC2!$D$91+TableC2!$O$91)</f>
        <v>0</v>
      </c>
      <c r="I57" s="1174">
        <f>1000*TableA7!$P$91*(TableC2!I55+TableC2!T55)/(TableC2!$D$91+TableC2!$O$91)</f>
        <v>0</v>
      </c>
      <c r="J57" s="1174">
        <f>1000*TableA7!$P$91*(TableC2!J55+TableC2!U55)/(TableC2!$D$91+TableC2!$O$91)</f>
        <v>0</v>
      </c>
      <c r="K57" s="1174">
        <f>1000*TableA7!$P$91*(TableC2!K55+TableC2!V55)/(TableC2!$D$91+TableC2!$O$91)</f>
        <v>0</v>
      </c>
      <c r="L57" s="1174">
        <f>1000*TableA7!$P$91*(TableC2!M55+TableC2!X55)/(TableC2!$D$91+TableC2!$O$91)</f>
        <v>0</v>
      </c>
      <c r="M57" s="1235">
        <f>1000*TableA7!$P$91*(TableC2!N55+TableC2!Y55)/(TableC2!$D$91+TableC2!$O$91)</f>
        <v>0</v>
      </c>
      <c r="N57" s="1465">
        <v>0</v>
      </c>
      <c r="O57" s="1759"/>
      <c r="P57" s="1766"/>
      <c r="Q57" s="1459">
        <f t="shared" si="56"/>
        <v>0</v>
      </c>
      <c r="R57" s="1459">
        <f t="shared" si="57"/>
        <v>0</v>
      </c>
      <c r="S57" s="1459">
        <f t="shared" si="58"/>
        <v>0</v>
      </c>
      <c r="T57" s="1459">
        <f t="shared" si="59"/>
        <v>0</v>
      </c>
      <c r="U57" s="1459">
        <f t="shared" si="60"/>
        <v>0</v>
      </c>
      <c r="V57" s="1459">
        <f t="shared" si="61"/>
        <v>0</v>
      </c>
      <c r="W57" s="1174">
        <f t="shared" si="62"/>
        <v>0</v>
      </c>
      <c r="X57" s="1235">
        <f t="shared" si="63"/>
        <v>0</v>
      </c>
      <c r="Y57" s="958"/>
      <c r="Z57" s="958"/>
      <c r="AA57" s="958"/>
      <c r="AB57" s="958"/>
      <c r="AC57" s="958"/>
      <c r="AD57" s="958"/>
      <c r="AE57" s="958">
        <f>+TableC4x!AE52</f>
        <v>0.42082270990149789</v>
      </c>
      <c r="AF57" s="958">
        <f>+TableC4x!AF52</f>
        <v>0</v>
      </c>
      <c r="AG57" s="958">
        <f>+TableC4x!AG52</f>
        <v>0.35050929813553466</v>
      </c>
      <c r="AH57" s="958">
        <f>+TableC4x!AH52</f>
        <v>0.24954501918761166</v>
      </c>
      <c r="AI57" s="958">
        <f>+TableC4x!AI52</f>
        <v>0</v>
      </c>
      <c r="AJ57" s="958">
        <f>+TableC4x!AJ52</f>
        <v>0.10070665416112184</v>
      </c>
      <c r="AK57" s="958">
        <f>+TableC4x!AK52</f>
        <v>0.14037608601858761</v>
      </c>
      <c r="AL57" s="958">
        <f>+TableC4x!AL52</f>
        <v>8.9341538837610715E-2</v>
      </c>
    </row>
    <row r="58" spans="1:38" ht="14.25" hidden="1" customHeight="1" x14ac:dyDescent="0.2">
      <c r="A58" s="958"/>
      <c r="B58" s="959" t="s">
        <v>76</v>
      </c>
      <c r="C58" s="1458">
        <f>1000*TableA7!$P$91*(TableC2!D56+TableC2!O56)/(TableC2!$D$91+TableC2!$O$91)</f>
        <v>0</v>
      </c>
      <c r="D58" s="1756"/>
      <c r="E58" s="1762"/>
      <c r="F58" s="1159">
        <f>1000*TableA7!$P$91*(TableC2!F56+TableC2!Q56)/(TableC2!$D$91+TableC2!$O$91)</f>
        <v>0</v>
      </c>
      <c r="G58" s="1159">
        <f>1000*TableA7!$P$91*(TableC2!G56+TableC2!R56)/(TableC2!$D$91+TableC2!$O$91)</f>
        <v>0</v>
      </c>
      <c r="H58" s="1159">
        <f>1000*TableA7!$P$91*(TableC2!H56+TableC2!S56)/(TableC2!$D$91+TableC2!$O$91)</f>
        <v>0</v>
      </c>
      <c r="I58" s="1174">
        <f>1000*TableA7!$P$91*(TableC2!I56+TableC2!T56)/(TableC2!$D$91+TableC2!$O$91)</f>
        <v>0</v>
      </c>
      <c r="J58" s="1174">
        <f>1000*TableA7!$P$91*(TableC2!J56+TableC2!U56)/(TableC2!$D$91+TableC2!$O$91)</f>
        <v>0</v>
      </c>
      <c r="K58" s="1174">
        <f>1000*TableA7!$P$91*(TableC2!K56+TableC2!V56)/(TableC2!$D$91+TableC2!$O$91)</f>
        <v>0</v>
      </c>
      <c r="L58" s="1174">
        <f>1000*TableA7!$P$91*(TableC2!M56+TableC2!X56)/(TableC2!$D$91+TableC2!$O$91)</f>
        <v>0</v>
      </c>
      <c r="M58" s="1235">
        <f>1000*TableA7!$P$91*(TableC2!N56+TableC2!Y56)/(TableC2!$D$91+TableC2!$O$91)</f>
        <v>0</v>
      </c>
      <c r="N58" s="1465">
        <v>0</v>
      </c>
      <c r="O58" s="1759"/>
      <c r="P58" s="1766"/>
      <c r="Q58" s="1459">
        <f t="shared" si="56"/>
        <v>0</v>
      </c>
      <c r="R58" s="1459">
        <f t="shared" si="57"/>
        <v>0</v>
      </c>
      <c r="S58" s="1459">
        <f t="shared" si="58"/>
        <v>0</v>
      </c>
      <c r="T58" s="1459">
        <f t="shared" si="59"/>
        <v>0</v>
      </c>
      <c r="U58" s="1459">
        <f t="shared" si="60"/>
        <v>0</v>
      </c>
      <c r="V58" s="1459">
        <f t="shared" si="61"/>
        <v>0</v>
      </c>
      <c r="W58" s="1174">
        <f t="shared" si="62"/>
        <v>0</v>
      </c>
      <c r="X58" s="1235">
        <f t="shared" si="63"/>
        <v>0</v>
      </c>
      <c r="Y58" s="958"/>
      <c r="Z58" s="958"/>
      <c r="AA58" s="958"/>
      <c r="AB58" s="958"/>
      <c r="AC58" s="958"/>
      <c r="AD58" s="958"/>
      <c r="AE58" s="958">
        <f>+TableC4x!AE53</f>
        <v>0.19781425288944915</v>
      </c>
      <c r="AF58" s="958">
        <f>+TableC4x!AF53</f>
        <v>0</v>
      </c>
      <c r="AG58" s="958">
        <f>+TableC4x!AG53</f>
        <v>2.3099299451586702E-2</v>
      </c>
      <c r="AH58" s="958">
        <f>+TableC4x!AH53</f>
        <v>0.3187337348777961</v>
      </c>
      <c r="AI58" s="958">
        <f>+TableC4x!AI53</f>
        <v>0</v>
      </c>
      <c r="AJ58" s="958">
        <f>+TableC4x!AJ53</f>
        <v>4.1601354325983483E-2</v>
      </c>
      <c r="AK58" s="958">
        <f>+TableC4x!AK53</f>
        <v>0.14036900142829006</v>
      </c>
      <c r="AL58" s="958">
        <f>+TableC4x!AL53</f>
        <v>0</v>
      </c>
    </row>
    <row r="59" spans="1:38" ht="14.25" hidden="1" customHeight="1" x14ac:dyDescent="0.2">
      <c r="A59" s="329" t="s">
        <v>77</v>
      </c>
      <c r="B59" s="959" t="s">
        <v>152</v>
      </c>
      <c r="C59" s="1458">
        <f>1000*TableA7!$P$91*(TableC2!D57+TableC2!O57)/(TableC2!$D$91+TableC2!$O$91)</f>
        <v>0</v>
      </c>
      <c r="D59" s="1756"/>
      <c r="E59" s="1762"/>
      <c r="F59" s="1159">
        <f>1000*TableA7!$P$91*(TableC2!F57+TableC2!Q57)/(TableC2!$D$91+TableC2!$O$91)</f>
        <v>0</v>
      </c>
      <c r="G59" s="1159">
        <f>1000*TableA7!$P$91*(TableC2!G57+TableC2!R57)/(TableC2!$D$91+TableC2!$O$91)</f>
        <v>0</v>
      </c>
      <c r="H59" s="1159">
        <f>1000*TableA7!$P$91*(TableC2!H57+TableC2!S57)/(TableC2!$D$91+TableC2!$O$91)</f>
        <v>0</v>
      </c>
      <c r="I59" s="1174">
        <f>1000*TableA7!$P$91*(TableC2!I57+TableC2!T57)/(TableC2!$D$91+TableC2!$O$91)</f>
        <v>0</v>
      </c>
      <c r="J59" s="1174">
        <f>1000*TableA7!$P$91*(TableC2!J57+TableC2!U57)/(TableC2!$D$91+TableC2!$O$91)</f>
        <v>0</v>
      </c>
      <c r="K59" s="1174">
        <f>1000*TableA7!$P$91*(TableC2!K57+TableC2!V57)/(TableC2!$D$91+TableC2!$O$91)</f>
        <v>0</v>
      </c>
      <c r="L59" s="1174">
        <f>1000*TableA7!$P$91*(TableC2!M57+TableC2!X57)/(TableC2!$D$91+TableC2!$O$91)</f>
        <v>0</v>
      </c>
      <c r="M59" s="1235">
        <f>1000*TableA7!$P$91*(TableC2!N57+TableC2!Y57)/(TableC2!$D$91+TableC2!$O$91)</f>
        <v>0</v>
      </c>
      <c r="N59" s="1465">
        <v>0</v>
      </c>
      <c r="O59" s="1759"/>
      <c r="P59" s="1766"/>
      <c r="Q59" s="1459">
        <f t="shared" si="56"/>
        <v>0</v>
      </c>
      <c r="R59" s="1459">
        <f t="shared" si="57"/>
        <v>0</v>
      </c>
      <c r="S59" s="1459">
        <f t="shared" si="58"/>
        <v>0</v>
      </c>
      <c r="T59" s="1459">
        <f t="shared" si="59"/>
        <v>0</v>
      </c>
      <c r="U59" s="1459">
        <f t="shared" si="60"/>
        <v>0</v>
      </c>
      <c r="V59" s="1459">
        <f t="shared" si="61"/>
        <v>0</v>
      </c>
      <c r="W59" s="1174">
        <f t="shared" si="62"/>
        <v>0</v>
      </c>
      <c r="X59" s="1235">
        <f t="shared" si="63"/>
        <v>0</v>
      </c>
      <c r="Y59" s="958"/>
      <c r="Z59" s="958"/>
      <c r="AA59" s="958"/>
      <c r="AB59" s="958"/>
      <c r="AC59" s="958"/>
      <c r="AD59" s="958"/>
      <c r="AE59" s="958">
        <f>+TableC4x!AE54</f>
        <v>4.7539048172534647E-2</v>
      </c>
      <c r="AF59" s="958">
        <f>+TableC4x!AF54</f>
        <v>0</v>
      </c>
      <c r="AG59" s="958">
        <f>+TableC4x!AG54</f>
        <v>1.9608844479923395E-4</v>
      </c>
      <c r="AH59" s="958">
        <f>+TableC4x!AH54</f>
        <v>2.9541300346180445E-2</v>
      </c>
      <c r="AI59" s="958">
        <f>+TableC4x!AI54</f>
        <v>1</v>
      </c>
      <c r="AJ59" s="958">
        <f>+TableC4x!AJ54</f>
        <v>3.1331110662627089E-4</v>
      </c>
      <c r="AK59" s="958">
        <f>+TableC4x!AK54</f>
        <v>1.1364422497616567E-2</v>
      </c>
      <c r="AL59" s="958">
        <f>+TableC4x!AL54</f>
        <v>1.1694914375754321E-2</v>
      </c>
    </row>
    <row r="60" spans="1:38" ht="14.25" hidden="1" customHeight="1" x14ac:dyDescent="0.2">
      <c r="A60" s="329" t="s">
        <v>340</v>
      </c>
      <c r="B60" s="959" t="s">
        <v>78</v>
      </c>
      <c r="C60" s="1458">
        <f>1000*TableA7!$P$91*(TableC2!D58+TableC2!O58)/(TableC2!$D$91+TableC2!$O$91)</f>
        <v>0</v>
      </c>
      <c r="D60" s="1756"/>
      <c r="E60" s="1762"/>
      <c r="F60" s="1159">
        <f>1000*TableA7!$P$91*(TableC2!F58+TableC2!Q58)/(TableC2!$D$91+TableC2!$O$91)</f>
        <v>0</v>
      </c>
      <c r="G60" s="1159">
        <f>1000*TableA7!$P$91*(TableC2!G58+TableC2!R58)/(TableC2!$D$91+TableC2!$O$91)</f>
        <v>0</v>
      </c>
      <c r="H60" s="1159">
        <f>1000*TableA7!$P$91*(TableC2!H58+TableC2!S58)/(TableC2!$D$91+TableC2!$O$91)</f>
        <v>0</v>
      </c>
      <c r="I60" s="1174">
        <f>1000*TableA7!$P$91*(TableC2!I58+TableC2!T58)/(TableC2!$D$91+TableC2!$O$91)</f>
        <v>0</v>
      </c>
      <c r="J60" s="1174">
        <f>1000*TableA7!$P$91*(TableC2!J58+TableC2!U58)/(TableC2!$D$91+TableC2!$O$91)</f>
        <v>0</v>
      </c>
      <c r="K60" s="1174">
        <f>1000*TableA7!$P$91*(TableC2!K58+TableC2!V58)/(TableC2!$D$91+TableC2!$O$91)</f>
        <v>0</v>
      </c>
      <c r="L60" s="1174">
        <f>1000*TableA7!$P$91*(TableC2!M58+TableC2!X58)/(TableC2!$D$91+TableC2!$O$91)</f>
        <v>0</v>
      </c>
      <c r="M60" s="1235">
        <f>1000*TableA7!$P$91*(TableC2!N58+TableC2!Y58)/(TableC2!$D$91+TableC2!$O$91)</f>
        <v>0</v>
      </c>
      <c r="N60" s="1465">
        <v>0</v>
      </c>
      <c r="O60" s="1759"/>
      <c r="P60" s="1766"/>
      <c r="Q60" s="1459">
        <f t="shared" si="56"/>
        <v>0</v>
      </c>
      <c r="R60" s="1459">
        <f t="shared" si="57"/>
        <v>0</v>
      </c>
      <c r="S60" s="1459">
        <f t="shared" si="58"/>
        <v>0</v>
      </c>
      <c r="T60" s="1459">
        <f t="shared" si="59"/>
        <v>0</v>
      </c>
      <c r="U60" s="1459">
        <f t="shared" si="60"/>
        <v>0</v>
      </c>
      <c r="V60" s="1459">
        <f t="shared" si="61"/>
        <v>0</v>
      </c>
      <c r="W60" s="1174">
        <f t="shared" si="62"/>
        <v>0</v>
      </c>
      <c r="X60" s="1235">
        <f t="shared" si="63"/>
        <v>0</v>
      </c>
      <c r="Y60" s="958"/>
      <c r="Z60" s="958"/>
      <c r="AA60" s="958"/>
      <c r="AB60" s="958"/>
      <c r="AC60" s="958"/>
      <c r="AD60" s="958"/>
      <c r="AE60" s="958">
        <f>+TableC4x!AE55</f>
        <v>0.15563117895981135</v>
      </c>
      <c r="AF60" s="958">
        <f>+TableC4x!AF55</f>
        <v>0</v>
      </c>
      <c r="AG60" s="958">
        <f>+TableC4x!AG55</f>
        <v>0.16605835956332329</v>
      </c>
      <c r="AH60" s="958">
        <f>+TableC4x!AH55</f>
        <v>0.10483220922531135</v>
      </c>
      <c r="AI60" s="958">
        <f>+TableC4x!AI55</f>
        <v>0</v>
      </c>
      <c r="AJ60" s="958">
        <f>+TableC4x!AJ55</f>
        <v>0.20305200061975415</v>
      </c>
      <c r="AK60" s="958">
        <f>+TableC4x!AK55</f>
        <v>0.16859701815626024</v>
      </c>
      <c r="AL60" s="958">
        <f>+TableC4x!AL55</f>
        <v>1.681716863923282E-2</v>
      </c>
    </row>
    <row r="61" spans="1:38" ht="14.25" hidden="1" customHeight="1" x14ac:dyDescent="0.2">
      <c r="A61" s="958"/>
      <c r="B61" s="959" t="str">
        <f>+TableA1!A60</f>
        <v>Barbados</v>
      </c>
      <c r="C61" s="1458">
        <f>1000*TableA7!$P$91*(TableC2!D59+TableC2!O59)/(TableC2!$D$91+TableC2!$O$91)</f>
        <v>0</v>
      </c>
      <c r="D61" s="1756"/>
      <c r="E61" s="1762"/>
      <c r="F61" s="1159">
        <f>1000*TableA7!$P$91*(TableC2!F59+TableC2!Q59)/(TableC2!$D$91+TableC2!$O$91)</f>
        <v>0</v>
      </c>
      <c r="G61" s="1159">
        <f>1000*TableA7!$P$91*(TableC2!G59+TableC2!R59)/(TableC2!$D$91+TableC2!$O$91)</f>
        <v>0</v>
      </c>
      <c r="H61" s="1159">
        <f>1000*TableA7!$P$91*(TableC2!H59+TableC2!S59)/(TableC2!$D$91+TableC2!$O$91)</f>
        <v>0</v>
      </c>
      <c r="I61" s="1174">
        <f>1000*TableA7!$P$91*(TableC2!I59+TableC2!T59)/(TableC2!$D$91+TableC2!$O$91)</f>
        <v>0</v>
      </c>
      <c r="J61" s="1174">
        <f>1000*TableA7!$P$91*(TableC2!J59+TableC2!U59)/(TableC2!$D$91+TableC2!$O$91)</f>
        <v>0</v>
      </c>
      <c r="K61" s="1174">
        <f>1000*TableA7!$P$91*(TableC2!K59+TableC2!V59)/(TableC2!$D$91+TableC2!$O$91)</f>
        <v>0</v>
      </c>
      <c r="L61" s="1174">
        <f>1000*TableA7!$P$91*(TableC2!M59+TableC2!X59)/(TableC2!$D$91+TableC2!$O$91)</f>
        <v>0</v>
      </c>
      <c r="M61" s="1235">
        <f>1000*TableA7!$P$91*(TableC2!N59+TableC2!Y59)/(TableC2!$D$91+TableC2!$O$91)</f>
        <v>0</v>
      </c>
      <c r="N61" s="1465">
        <v>0</v>
      </c>
      <c r="O61" s="1759"/>
      <c r="P61" s="1766"/>
      <c r="Q61" s="1459">
        <f t="shared" si="56"/>
        <v>0</v>
      </c>
      <c r="R61" s="1459">
        <f t="shared" si="57"/>
        <v>0</v>
      </c>
      <c r="S61" s="1459">
        <f t="shared" si="58"/>
        <v>0</v>
      </c>
      <c r="T61" s="1459">
        <f t="shared" si="59"/>
        <v>0</v>
      </c>
      <c r="U61" s="1459">
        <f t="shared" si="60"/>
        <v>0</v>
      </c>
      <c r="V61" s="1459">
        <f t="shared" si="61"/>
        <v>0</v>
      </c>
      <c r="W61" s="1174">
        <f t="shared" si="62"/>
        <v>0</v>
      </c>
      <c r="X61" s="1235">
        <f t="shared" si="63"/>
        <v>0</v>
      </c>
      <c r="Y61" s="958"/>
      <c r="Z61" s="958"/>
      <c r="AA61" s="958"/>
      <c r="AB61" s="958"/>
      <c r="AC61" s="958"/>
      <c r="AD61" s="958"/>
      <c r="AE61" s="958">
        <f>+TableC4x!AE56</f>
        <v>0.12406614179616818</v>
      </c>
      <c r="AF61" s="958">
        <f>+TableC4x!AF56</f>
        <v>0</v>
      </c>
      <c r="AG61" s="958">
        <f>+TableC4x!AG56</f>
        <v>3.7860858532582815E-2</v>
      </c>
      <c r="AH61" s="958">
        <f>+TableC4x!AH56</f>
        <v>8.4861839410136003E-2</v>
      </c>
      <c r="AI61" s="958">
        <f>+TableC4x!AI56</f>
        <v>0</v>
      </c>
      <c r="AJ61" s="958">
        <f>+TableC4x!AJ56</f>
        <v>0.24346160157873961</v>
      </c>
      <c r="AK61" s="958">
        <f>+TableC4x!AK56</f>
        <v>0.50054733865383305</v>
      </c>
      <c r="AL61" s="958">
        <f>+TableC4x!AL56</f>
        <v>0</v>
      </c>
    </row>
    <row r="62" spans="1:38" ht="14.25" hidden="1" customHeight="1" x14ac:dyDescent="0.2">
      <c r="A62" s="958"/>
      <c r="B62" s="959" t="s">
        <v>80</v>
      </c>
      <c r="C62" s="1458">
        <f>1000*TableA7!$P$91*(TableC2!D60+TableC2!O60)/(TableC2!$D$91+TableC2!$O$91)</f>
        <v>0</v>
      </c>
      <c r="D62" s="1756"/>
      <c r="E62" s="1762"/>
      <c r="F62" s="1159">
        <f>1000*TableA7!$P$91*(TableC2!F60+TableC2!Q60)/(TableC2!$D$91+TableC2!$O$91)</f>
        <v>0</v>
      </c>
      <c r="G62" s="1159">
        <f>1000*TableA7!$P$91*(TableC2!G60+TableC2!R60)/(TableC2!$D$91+TableC2!$O$91)</f>
        <v>0</v>
      </c>
      <c r="H62" s="1159">
        <f>1000*TableA7!$P$91*(TableC2!H60+TableC2!S60)/(TableC2!$D$91+TableC2!$O$91)</f>
        <v>0</v>
      </c>
      <c r="I62" s="1174">
        <f>1000*TableA7!$P$91*(TableC2!I60+TableC2!T60)/(TableC2!$D$91+TableC2!$O$91)</f>
        <v>0</v>
      </c>
      <c r="J62" s="1174">
        <f>1000*TableA7!$P$91*(TableC2!J60+TableC2!U60)/(TableC2!$D$91+TableC2!$O$91)</f>
        <v>0</v>
      </c>
      <c r="K62" s="1174">
        <f>1000*TableA7!$P$91*(TableC2!K60+TableC2!V60)/(TableC2!$D$91+TableC2!$O$91)</f>
        <v>0</v>
      </c>
      <c r="L62" s="1174">
        <f>1000*TableA7!$P$91*(TableC2!M60+TableC2!X60)/(TableC2!$D$91+TableC2!$O$91)</f>
        <v>0</v>
      </c>
      <c r="M62" s="1235">
        <f>1000*TableA7!$P$91*(TableC2!N60+TableC2!Y60)/(TableC2!$D$91+TableC2!$O$91)</f>
        <v>0</v>
      </c>
      <c r="N62" s="1465">
        <v>0</v>
      </c>
      <c r="O62" s="1759"/>
      <c r="P62" s="1766"/>
      <c r="Q62" s="1459">
        <f t="shared" si="56"/>
        <v>0</v>
      </c>
      <c r="R62" s="1459">
        <f t="shared" si="57"/>
        <v>0</v>
      </c>
      <c r="S62" s="1459">
        <f t="shared" si="58"/>
        <v>0</v>
      </c>
      <c r="T62" s="1459">
        <f t="shared" si="59"/>
        <v>0</v>
      </c>
      <c r="U62" s="1459">
        <f t="shared" si="60"/>
        <v>0</v>
      </c>
      <c r="V62" s="1459">
        <f t="shared" si="61"/>
        <v>0</v>
      </c>
      <c r="W62" s="1174">
        <f t="shared" si="62"/>
        <v>0</v>
      </c>
      <c r="X62" s="1235">
        <f t="shared" si="63"/>
        <v>0</v>
      </c>
      <c r="Y62" s="958"/>
      <c r="Z62" s="958"/>
      <c r="AA62" s="958"/>
      <c r="AB62" s="958"/>
      <c r="AC62" s="958"/>
      <c r="AD62" s="958"/>
      <c r="AE62" s="958">
        <f>+TableC4x!AE57</f>
        <v>2.9620516229440969E-2</v>
      </c>
      <c r="AF62" s="958">
        <f>+TableC4x!AF57</f>
        <v>0</v>
      </c>
      <c r="AG62" s="958">
        <f>+TableC4x!AG57</f>
        <v>0.40121578588205087</v>
      </c>
      <c r="AH62" s="958">
        <f>+TableC4x!AH57</f>
        <v>0.17276672614832453</v>
      </c>
      <c r="AI62" s="958">
        <f>+TableC4x!AI57</f>
        <v>0</v>
      </c>
      <c r="AJ62" s="958">
        <f>+TableC4x!AJ57</f>
        <v>0.32746572827548487</v>
      </c>
      <c r="AK62" s="958">
        <f>+TableC4x!AK57</f>
        <v>0</v>
      </c>
      <c r="AL62" s="958">
        <f>+TableC4x!AL57</f>
        <v>0.87938035527217684</v>
      </c>
    </row>
    <row r="63" spans="1:38" ht="14.25" hidden="1" customHeight="1" x14ac:dyDescent="0.2">
      <c r="A63" s="958"/>
      <c r="B63" s="959" t="s">
        <v>81</v>
      </c>
      <c r="C63" s="1458">
        <f>1000*TableA7!$P$91*(TableC2!D61+TableC2!O61)/(TableC2!$D$91+TableC2!$O$91)</f>
        <v>0</v>
      </c>
      <c r="D63" s="1756"/>
      <c r="E63" s="1762"/>
      <c r="F63" s="1159">
        <f>1000*TableA7!$P$91*(TableC2!F61+TableC2!Q61)/(TableC2!$D$91+TableC2!$O$91)</f>
        <v>0</v>
      </c>
      <c r="G63" s="1159">
        <f>1000*TableA7!$P$91*(TableC2!G61+TableC2!R61)/(TableC2!$D$91+TableC2!$O$91)</f>
        <v>0</v>
      </c>
      <c r="H63" s="1159">
        <f>1000*TableA7!$P$91*(TableC2!H61+TableC2!S61)/(TableC2!$D$91+TableC2!$O$91)</f>
        <v>0</v>
      </c>
      <c r="I63" s="1174">
        <f>1000*TableA7!$P$91*(TableC2!I61+TableC2!T61)/(TableC2!$D$91+TableC2!$O$91)</f>
        <v>0</v>
      </c>
      <c r="J63" s="1174">
        <f>1000*TableA7!$P$91*(TableC2!J61+TableC2!U61)/(TableC2!$D$91+TableC2!$O$91)</f>
        <v>0</v>
      </c>
      <c r="K63" s="1174">
        <f>1000*TableA7!$P$91*(TableC2!K61+TableC2!V61)/(TableC2!$D$91+TableC2!$O$91)</f>
        <v>0</v>
      </c>
      <c r="L63" s="1174">
        <f>1000*TableA7!$P$91*(TableC2!M61+TableC2!X61)/(TableC2!$D$91+TableC2!$O$91)</f>
        <v>0</v>
      </c>
      <c r="M63" s="1235">
        <f>1000*TableA7!$P$91*(TableC2!N61+TableC2!Y61)/(TableC2!$D$91+TableC2!$O$91)</f>
        <v>0</v>
      </c>
      <c r="N63" s="1465">
        <v>0</v>
      </c>
      <c r="O63" s="1759"/>
      <c r="P63" s="1766"/>
      <c r="Q63" s="1459">
        <f t="shared" si="56"/>
        <v>0</v>
      </c>
      <c r="R63" s="1459">
        <f t="shared" si="57"/>
        <v>0</v>
      </c>
      <c r="S63" s="1459">
        <f t="shared" si="58"/>
        <v>0</v>
      </c>
      <c r="T63" s="1459">
        <f t="shared" si="59"/>
        <v>0</v>
      </c>
      <c r="U63" s="1459">
        <f t="shared" si="60"/>
        <v>0</v>
      </c>
      <c r="V63" s="1459">
        <f t="shared" si="61"/>
        <v>0</v>
      </c>
      <c r="W63" s="1174">
        <f t="shared" si="62"/>
        <v>0</v>
      </c>
      <c r="X63" s="1235">
        <f t="shared" si="63"/>
        <v>0</v>
      </c>
      <c r="Y63" s="958"/>
      <c r="Z63" s="958"/>
      <c r="AA63" s="958"/>
      <c r="AB63" s="958"/>
      <c r="AC63" s="958"/>
      <c r="AD63" s="958"/>
      <c r="AE63" s="958"/>
      <c r="AF63" s="958"/>
      <c r="AG63" s="958"/>
      <c r="AH63" s="958"/>
      <c r="AI63" s="958"/>
      <c r="AJ63" s="958"/>
      <c r="AK63" s="958"/>
      <c r="AL63" s="958"/>
    </row>
    <row r="64" spans="1:38" ht="14.25" hidden="1" customHeight="1" x14ac:dyDescent="0.2">
      <c r="A64" s="329" t="s">
        <v>645</v>
      </c>
      <c r="B64" s="959" t="s">
        <v>82</v>
      </c>
      <c r="C64" s="1458">
        <f>1000*TableA7!$P$91*(TableC2!D62+TableC2!O62)/(TableC2!$D$91+TableC2!$O$91)</f>
        <v>0</v>
      </c>
      <c r="D64" s="1756"/>
      <c r="E64" s="1762"/>
      <c r="F64" s="1159">
        <f>1000*TableA7!$P$91*(TableC2!F62+TableC2!Q62)/(TableC2!$D$91+TableC2!$O$91)</f>
        <v>0</v>
      </c>
      <c r="G64" s="1159">
        <f>1000*TableA7!$P$91*(TableC2!G62+TableC2!R62)/(TableC2!$D$91+TableC2!$O$91)</f>
        <v>0</v>
      </c>
      <c r="H64" s="1159">
        <f>1000*TableA7!$P$91*(TableC2!H62+TableC2!S62)/(TableC2!$D$91+TableC2!$O$91)</f>
        <v>0</v>
      </c>
      <c r="I64" s="1174">
        <f>1000*TableA7!$P$91*(TableC2!I62+TableC2!T62)/(TableC2!$D$91+TableC2!$O$91)</f>
        <v>0</v>
      </c>
      <c r="J64" s="1174">
        <f>1000*TableA7!$P$91*(TableC2!J62+TableC2!U62)/(TableC2!$D$91+TableC2!$O$91)</f>
        <v>0</v>
      </c>
      <c r="K64" s="1174">
        <f>1000*TableA7!$P$91*(TableC2!K62+TableC2!V62)/(TableC2!$D$91+TableC2!$O$91)</f>
        <v>0</v>
      </c>
      <c r="L64" s="1174">
        <f>1000*TableA7!$P$91*(TableC2!M62+TableC2!X62)/(TableC2!$D$91+TableC2!$O$91)</f>
        <v>0</v>
      </c>
      <c r="M64" s="1235">
        <f>1000*TableA7!$P$91*(TableC2!N62+TableC2!Y62)/(TableC2!$D$91+TableC2!$O$91)</f>
        <v>0</v>
      </c>
      <c r="N64" s="1465">
        <v>0</v>
      </c>
      <c r="O64" s="1759"/>
      <c r="P64" s="1766"/>
      <c r="Q64" s="1459">
        <f t="shared" si="56"/>
        <v>0</v>
      </c>
      <c r="R64" s="1459">
        <f t="shared" si="57"/>
        <v>0</v>
      </c>
      <c r="S64" s="1459">
        <f t="shared" si="58"/>
        <v>0</v>
      </c>
      <c r="T64" s="1459">
        <f t="shared" si="59"/>
        <v>0</v>
      </c>
      <c r="U64" s="1459">
        <f t="shared" si="60"/>
        <v>0</v>
      </c>
      <c r="V64" s="1459">
        <f t="shared" si="61"/>
        <v>0</v>
      </c>
      <c r="W64" s="1174">
        <f t="shared" si="62"/>
        <v>0</v>
      </c>
      <c r="X64" s="1235">
        <f t="shared" si="63"/>
        <v>0</v>
      </c>
      <c r="Y64" s="958"/>
      <c r="Z64" s="958"/>
      <c r="AA64" s="958"/>
      <c r="AB64" s="958"/>
      <c r="AC64" s="958"/>
      <c r="AD64" s="958"/>
      <c r="AE64" s="958"/>
      <c r="AF64" s="958"/>
      <c r="AG64" s="958"/>
      <c r="AH64" s="958"/>
      <c r="AI64" s="958"/>
      <c r="AJ64" s="958"/>
      <c r="AK64" s="958"/>
      <c r="AL64" s="958"/>
    </row>
    <row r="65" spans="1:47" ht="14.25" hidden="1" customHeight="1" x14ac:dyDescent="0.2">
      <c r="A65" s="329" t="s">
        <v>372</v>
      </c>
      <c r="B65" s="959" t="s">
        <v>153</v>
      </c>
      <c r="C65" s="1458">
        <f>1000*TableA7!$P$91*(TableC2!D63+TableC2!O63)/(TableC2!$D$91+TableC2!$O$91)</f>
        <v>0</v>
      </c>
      <c r="D65" s="1756"/>
      <c r="E65" s="1762"/>
      <c r="F65" s="1159">
        <f>1000*TableA7!$P$91*(TableC2!F63+TableC2!Q63)/(TableC2!$D$91+TableC2!$O$91)</f>
        <v>0</v>
      </c>
      <c r="G65" s="1159">
        <f>1000*TableA7!$P$91*(TableC2!G63+TableC2!R63)/(TableC2!$D$91+TableC2!$O$91)</f>
        <v>0</v>
      </c>
      <c r="H65" s="1159">
        <f>1000*TableA7!$P$91*(TableC2!H63+TableC2!S63)/(TableC2!$D$91+TableC2!$O$91)</f>
        <v>0</v>
      </c>
      <c r="I65" s="1174">
        <f>1000*TableA7!$P$91*(TableC2!I63+TableC2!T63)/(TableC2!$D$91+TableC2!$O$91)</f>
        <v>0</v>
      </c>
      <c r="J65" s="1174">
        <f>1000*TableA7!$P$91*(TableC2!J63+TableC2!U63)/(TableC2!$D$91+TableC2!$O$91)</f>
        <v>0</v>
      </c>
      <c r="K65" s="1174">
        <f>1000*TableA7!$P$91*(TableC2!K63+TableC2!V63)/(TableC2!$D$91+TableC2!$O$91)</f>
        <v>0</v>
      </c>
      <c r="L65" s="1174">
        <f>1000*TableA7!$P$91*(TableC2!M63+TableC2!X63)/(TableC2!$D$91+TableC2!$O$91)</f>
        <v>0</v>
      </c>
      <c r="M65" s="1235">
        <f>1000*TableA7!$P$91*(TableC2!N63+TableC2!Y63)/(TableC2!$D$91+TableC2!$O$91)</f>
        <v>0</v>
      </c>
      <c r="N65" s="1465">
        <v>0</v>
      </c>
      <c r="O65" s="1759"/>
      <c r="P65" s="1766"/>
      <c r="Q65" s="1459">
        <f t="shared" si="56"/>
        <v>0</v>
      </c>
      <c r="R65" s="1459">
        <f t="shared" si="57"/>
        <v>0</v>
      </c>
      <c r="S65" s="1459">
        <f t="shared" si="58"/>
        <v>0</v>
      </c>
      <c r="T65" s="1459">
        <f t="shared" si="59"/>
        <v>0</v>
      </c>
      <c r="U65" s="1459">
        <f t="shared" si="60"/>
        <v>0</v>
      </c>
      <c r="V65" s="1459">
        <f t="shared" si="61"/>
        <v>0</v>
      </c>
      <c r="W65" s="1174">
        <f t="shared" si="62"/>
        <v>0</v>
      </c>
      <c r="X65" s="1235">
        <f t="shared" si="63"/>
        <v>0</v>
      </c>
      <c r="Y65" s="958"/>
      <c r="Z65" s="958"/>
      <c r="AA65" s="958"/>
      <c r="AB65" s="958"/>
      <c r="AC65" s="958"/>
      <c r="AD65" s="958"/>
      <c r="AE65" s="958"/>
      <c r="AF65" s="958"/>
      <c r="AG65" s="958"/>
      <c r="AH65" s="958"/>
      <c r="AI65" s="958"/>
      <c r="AJ65" s="958"/>
      <c r="AK65" s="958"/>
      <c r="AL65" s="958"/>
      <c r="AM65" s="958" t="s">
        <v>752</v>
      </c>
      <c r="AN65" s="958"/>
      <c r="AO65" s="958"/>
      <c r="AP65" s="958"/>
      <c r="AQ65" s="958"/>
      <c r="AR65" s="958"/>
      <c r="AS65" s="958"/>
      <c r="AT65" s="958"/>
      <c r="AU65" s="958"/>
    </row>
    <row r="66" spans="1:47" ht="14.25" hidden="1" customHeight="1" x14ac:dyDescent="0.2">
      <c r="A66" s="958"/>
      <c r="B66" s="123" t="s">
        <v>84</v>
      </c>
      <c r="C66" s="1458">
        <f>1000*TableA7!$P$91*(TableC2!D64+TableC2!O64)/(TableC2!$D$91+TableC2!$O$91)</f>
        <v>0</v>
      </c>
      <c r="D66" s="1756"/>
      <c r="E66" s="1762"/>
      <c r="F66" s="1159">
        <f>1000*TableA7!$P$91*(TableC2!F64+TableC2!Q64)/(TableC2!$D$91+TableC2!$O$91)</f>
        <v>0</v>
      </c>
      <c r="G66" s="1159">
        <f>1000*TableA7!$P$91*(TableC2!G64+TableC2!R64)/(TableC2!$D$91+TableC2!$O$91)</f>
        <v>0</v>
      </c>
      <c r="H66" s="1159">
        <f>1000*TableA7!$P$91*(TableC2!H64+TableC2!S64)/(TableC2!$D$91+TableC2!$O$91)</f>
        <v>0</v>
      </c>
      <c r="I66" s="1174">
        <f>1000*TableA7!$P$91*(TableC2!I64+TableC2!T64)/(TableC2!$D$91+TableC2!$O$91)</f>
        <v>0</v>
      </c>
      <c r="J66" s="1174">
        <f>1000*TableA7!$P$91*(TableC2!J64+TableC2!U64)/(TableC2!$D$91+TableC2!$O$91)</f>
        <v>0</v>
      </c>
      <c r="K66" s="1174">
        <f>1000*TableA7!$P$91*(TableC2!K64+TableC2!V64)/(TableC2!$D$91+TableC2!$O$91)</f>
        <v>0</v>
      </c>
      <c r="L66" s="1174">
        <f>1000*TableA7!$P$91*(TableC2!M64+TableC2!X64)/(TableC2!$D$91+TableC2!$O$91)</f>
        <v>0</v>
      </c>
      <c r="M66" s="1235">
        <f>1000*TableA7!$P$91*(TableC2!N64+TableC2!Y64)/(TableC2!$D$91+TableC2!$O$91)</f>
        <v>0</v>
      </c>
      <c r="N66" s="1465">
        <v>0</v>
      </c>
      <c r="O66" s="1759"/>
      <c r="P66" s="1766"/>
      <c r="Q66" s="1459">
        <f t="shared" si="56"/>
        <v>0</v>
      </c>
      <c r="R66" s="1459">
        <f t="shared" si="57"/>
        <v>0</v>
      </c>
      <c r="S66" s="1459">
        <f t="shared" si="58"/>
        <v>0</v>
      </c>
      <c r="T66" s="1459">
        <f t="shared" si="59"/>
        <v>0</v>
      </c>
      <c r="U66" s="1459">
        <f t="shared" si="60"/>
        <v>0</v>
      </c>
      <c r="V66" s="1459">
        <f t="shared" si="61"/>
        <v>0</v>
      </c>
      <c r="W66" s="1174">
        <f t="shared" si="62"/>
        <v>0</v>
      </c>
      <c r="X66" s="1235">
        <f t="shared" si="63"/>
        <v>0</v>
      </c>
      <c r="Y66" s="958"/>
      <c r="Z66" s="958"/>
      <c r="AA66" s="958"/>
      <c r="AB66" s="958"/>
      <c r="AC66" s="958"/>
      <c r="AD66" s="958"/>
      <c r="AE66" s="958">
        <f>+AE55*$AM66</f>
        <v>1.3156054921771854E-2</v>
      </c>
      <c r="AF66" s="958">
        <f t="shared" ref="AF66:AL66" si="64">+AF55*$AM66</f>
        <v>0</v>
      </c>
      <c r="AG66" s="958">
        <f t="shared" si="64"/>
        <v>2.1027378247023165E-2</v>
      </c>
      <c r="AH66" s="958">
        <f t="shared" si="64"/>
        <v>3.2062503349144303E-2</v>
      </c>
      <c r="AI66" s="958">
        <f t="shared" si="64"/>
        <v>0</v>
      </c>
      <c r="AJ66" s="958">
        <f t="shared" si="64"/>
        <v>8.3220806142414241E-2</v>
      </c>
      <c r="AK66" s="958">
        <f t="shared" si="64"/>
        <v>3.5988876995160027E-2</v>
      </c>
      <c r="AL66" s="958">
        <f t="shared" si="64"/>
        <v>0</v>
      </c>
      <c r="AM66" s="958">
        <v>1</v>
      </c>
      <c r="AN66" s="958"/>
      <c r="AO66" s="958"/>
      <c r="AP66" s="958"/>
      <c r="AQ66" s="958"/>
      <c r="AR66" s="958"/>
      <c r="AS66" s="958"/>
      <c r="AT66" s="958"/>
      <c r="AU66" s="958"/>
    </row>
    <row r="67" spans="1:47" ht="14.25" hidden="1" customHeight="1" x14ac:dyDescent="0.2">
      <c r="A67" s="958"/>
      <c r="B67" s="959" t="s">
        <v>85</v>
      </c>
      <c r="C67" s="1458">
        <f>1000*TableA7!$P$91*(TableC2!D65+TableC2!O65)/(TableC2!$D$91+TableC2!$O$91)</f>
        <v>0</v>
      </c>
      <c r="D67" s="1756"/>
      <c r="E67" s="1762"/>
      <c r="F67" s="1159">
        <f>1000*TableA7!$P$91*(TableC2!F65+TableC2!Q65)/(TableC2!$D$91+TableC2!$O$91)</f>
        <v>0</v>
      </c>
      <c r="G67" s="1159">
        <f>1000*TableA7!$P$91*(TableC2!G65+TableC2!R65)/(TableC2!$D$91+TableC2!$O$91)</f>
        <v>0</v>
      </c>
      <c r="H67" s="1159">
        <f>1000*TableA7!$P$91*(TableC2!H65+TableC2!S65)/(TableC2!$D$91+TableC2!$O$91)</f>
        <v>0</v>
      </c>
      <c r="I67" s="1174">
        <f>1000*TableA7!$P$91*(TableC2!I65+TableC2!T65)/(TableC2!$D$91+TableC2!$O$91)</f>
        <v>0</v>
      </c>
      <c r="J67" s="1174">
        <f>1000*TableA7!$P$91*(TableC2!J65+TableC2!U65)/(TableC2!$D$91+TableC2!$O$91)</f>
        <v>0</v>
      </c>
      <c r="K67" s="1174">
        <f>1000*TableA7!$P$91*(TableC2!K65+TableC2!V65)/(TableC2!$D$91+TableC2!$O$91)</f>
        <v>0</v>
      </c>
      <c r="L67" s="1174">
        <f>1000*TableA7!$P$91*(TableC2!M65+TableC2!X65)/(TableC2!$D$91+TableC2!$O$91)</f>
        <v>0</v>
      </c>
      <c r="M67" s="1235">
        <f>1000*TableA7!$P$91*(TableC2!N65+TableC2!Y65)/(TableC2!$D$91+TableC2!$O$91)</f>
        <v>0</v>
      </c>
      <c r="N67" s="1465">
        <v>0</v>
      </c>
      <c r="O67" s="1759"/>
      <c r="P67" s="1766"/>
      <c r="Q67" s="1459">
        <f t="shared" si="56"/>
        <v>0</v>
      </c>
      <c r="R67" s="1459">
        <f t="shared" si="57"/>
        <v>0</v>
      </c>
      <c r="S67" s="1459">
        <f t="shared" si="58"/>
        <v>0</v>
      </c>
      <c r="T67" s="1459">
        <f t="shared" si="59"/>
        <v>0</v>
      </c>
      <c r="U67" s="1459">
        <f t="shared" si="60"/>
        <v>0</v>
      </c>
      <c r="V67" s="1459">
        <f t="shared" si="61"/>
        <v>0</v>
      </c>
      <c r="W67" s="1174">
        <f t="shared" si="62"/>
        <v>0</v>
      </c>
      <c r="X67" s="1235">
        <f t="shared" si="63"/>
        <v>0</v>
      </c>
      <c r="Y67" s="958"/>
      <c r="Z67" s="958"/>
      <c r="AA67" s="958"/>
      <c r="AB67" s="958"/>
      <c r="AC67" s="958"/>
      <c r="AD67" s="958"/>
      <c r="AE67" s="958">
        <f t="shared" ref="AE67:AL67" si="65">+AE56*$AM67</f>
        <v>1.1350097129326076E-2</v>
      </c>
      <c r="AF67" s="958">
        <f t="shared" si="65"/>
        <v>1</v>
      </c>
      <c r="AG67" s="958">
        <f t="shared" si="65"/>
        <v>3.2931743099270126E-5</v>
      </c>
      <c r="AH67" s="958">
        <f t="shared" si="65"/>
        <v>7.6566674554956471E-3</v>
      </c>
      <c r="AI67" s="958">
        <f t="shared" si="65"/>
        <v>0</v>
      </c>
      <c r="AJ67" s="958">
        <f t="shared" si="65"/>
        <v>1.7854378987558053E-4</v>
      </c>
      <c r="AK67" s="958">
        <f t="shared" si="65"/>
        <v>2.7572562502523714E-3</v>
      </c>
      <c r="AL67" s="958">
        <f t="shared" si="65"/>
        <v>2.7660228752252776E-3</v>
      </c>
      <c r="AM67" s="958">
        <v>1</v>
      </c>
      <c r="AN67" s="958"/>
      <c r="AO67" s="958"/>
      <c r="AP67" s="958"/>
      <c r="AQ67" s="958"/>
      <c r="AR67" s="958"/>
      <c r="AS67" s="958"/>
      <c r="AT67" s="958"/>
      <c r="AU67" s="958"/>
    </row>
    <row r="68" spans="1:47" ht="14.25" hidden="1" customHeight="1" x14ac:dyDescent="0.2">
      <c r="A68" s="958"/>
      <c r="B68" s="959" t="str">
        <f>+TableA1!A67</f>
        <v>Cyprus</v>
      </c>
      <c r="C68" s="1458">
        <f>1000*TableA7!$P$91*(TableC2!D66+TableC2!O66)/(TableC2!$D$91+TableC2!$O$91)</f>
        <v>0</v>
      </c>
      <c r="D68" s="1756"/>
      <c r="E68" s="1762"/>
      <c r="F68" s="1159">
        <f>1000*TableA7!$P$91*(TableC2!F66+TableC2!Q66)/(TableC2!$D$91+TableC2!$O$91)</f>
        <v>0</v>
      </c>
      <c r="G68" s="1159">
        <f>1000*TableA7!$P$91*(TableC2!G66+TableC2!R66)/(TableC2!$D$91+TableC2!$O$91)</f>
        <v>0</v>
      </c>
      <c r="H68" s="1159">
        <f>1000*TableA7!$P$91*(TableC2!H66+TableC2!S66)/(TableC2!$D$91+TableC2!$O$91)</f>
        <v>0</v>
      </c>
      <c r="I68" s="1174">
        <f>1000*TableA7!$P$91*(TableC2!I66+TableC2!T66)/(TableC2!$D$91+TableC2!$O$91)</f>
        <v>0</v>
      </c>
      <c r="J68" s="1174">
        <f>1000*TableA7!$P$91*(TableC2!J66+TableC2!U66)/(TableC2!$D$91+TableC2!$O$91)</f>
        <v>0</v>
      </c>
      <c r="K68" s="1174">
        <f>1000*TableA7!$P$91*(TableC2!K66+TableC2!V66)/(TableC2!$D$91+TableC2!$O$91)</f>
        <v>0</v>
      </c>
      <c r="L68" s="1174">
        <f>1000*TableA7!$P$91*(TableC2!M66+TableC2!X66)/(TableC2!$D$91+TableC2!$O$91)</f>
        <v>0</v>
      </c>
      <c r="M68" s="1235">
        <f>1000*TableA7!$P$91*(TableC2!N66+TableC2!Y66)/(TableC2!$D$91+TableC2!$O$91)</f>
        <v>0</v>
      </c>
      <c r="N68" s="1465">
        <v>0</v>
      </c>
      <c r="O68" s="1759"/>
      <c r="P68" s="1766"/>
      <c r="Q68" s="1459">
        <f t="shared" si="56"/>
        <v>0</v>
      </c>
      <c r="R68" s="1459">
        <f t="shared" si="57"/>
        <v>0</v>
      </c>
      <c r="S68" s="1459">
        <f t="shared" si="58"/>
        <v>0</v>
      </c>
      <c r="T68" s="1459">
        <f t="shared" si="59"/>
        <v>0</v>
      </c>
      <c r="U68" s="1459">
        <f t="shared" si="60"/>
        <v>0</v>
      </c>
      <c r="V68" s="1459">
        <f t="shared" si="61"/>
        <v>0</v>
      </c>
      <c r="W68" s="1174">
        <f t="shared" si="62"/>
        <v>0</v>
      </c>
      <c r="X68" s="1235">
        <f t="shared" si="63"/>
        <v>0</v>
      </c>
      <c r="Y68" s="958"/>
      <c r="Z68" s="958"/>
      <c r="AA68" s="958"/>
      <c r="AB68" s="958"/>
      <c r="AC68" s="958"/>
      <c r="AD68" s="958"/>
      <c r="AE68" s="958">
        <f t="shared" ref="AE68:AL68" si="66">+AE57*$AM68</f>
        <v>0.42082270990149789</v>
      </c>
      <c r="AF68" s="958">
        <f t="shared" si="66"/>
        <v>0</v>
      </c>
      <c r="AG68" s="958">
        <f t="shared" si="66"/>
        <v>0.35050929813553466</v>
      </c>
      <c r="AH68" s="958">
        <f t="shared" si="66"/>
        <v>0.24954501918761166</v>
      </c>
      <c r="AI68" s="958">
        <f t="shared" si="66"/>
        <v>0</v>
      </c>
      <c r="AJ68" s="958">
        <f t="shared" si="66"/>
        <v>0.10070665416112184</v>
      </c>
      <c r="AK68" s="958">
        <f t="shared" si="66"/>
        <v>0.14037608601858761</v>
      </c>
      <c r="AL68" s="958">
        <f t="shared" si="66"/>
        <v>8.9341538837610715E-2</v>
      </c>
      <c r="AM68" s="958">
        <v>1</v>
      </c>
      <c r="AN68" s="958"/>
      <c r="AO68" s="958"/>
      <c r="AP68" s="958"/>
      <c r="AQ68" s="958"/>
      <c r="AR68" s="958"/>
      <c r="AS68" s="958"/>
      <c r="AT68" s="958"/>
      <c r="AU68" s="958"/>
    </row>
    <row r="69" spans="1:47" ht="14.25" hidden="1" customHeight="1" x14ac:dyDescent="0.2">
      <c r="A69" s="958"/>
      <c r="B69" s="959" t="s">
        <v>87</v>
      </c>
      <c r="C69" s="1458">
        <f>1000*TableA7!$P$91*(TableC2!D67+TableC2!O67)/(TableC2!$D$91+TableC2!$O$91)</f>
        <v>0</v>
      </c>
      <c r="D69" s="1756"/>
      <c r="E69" s="1762"/>
      <c r="F69" s="1159">
        <f>1000*TableA7!$P$91*(TableC2!F67+TableC2!Q67)/(TableC2!$D$91+TableC2!$O$91)</f>
        <v>0</v>
      </c>
      <c r="G69" s="1159">
        <f>1000*TableA7!$P$91*(TableC2!G67+TableC2!R67)/(TableC2!$D$91+TableC2!$O$91)</f>
        <v>0</v>
      </c>
      <c r="H69" s="1159">
        <f>1000*TableA7!$P$91*(TableC2!H67+TableC2!S67)/(TableC2!$D$91+TableC2!$O$91)</f>
        <v>0</v>
      </c>
      <c r="I69" s="1174">
        <f>1000*TableA7!$P$91*(TableC2!I67+TableC2!T67)/(TableC2!$D$91+TableC2!$O$91)</f>
        <v>0</v>
      </c>
      <c r="J69" s="1174">
        <f>1000*TableA7!$P$91*(TableC2!J67+TableC2!U67)/(TableC2!$D$91+TableC2!$O$91)</f>
        <v>0</v>
      </c>
      <c r="K69" s="1174">
        <f>1000*TableA7!$P$91*(TableC2!K67+TableC2!V67)/(TableC2!$D$91+TableC2!$O$91)</f>
        <v>0</v>
      </c>
      <c r="L69" s="1174">
        <f>1000*TableA7!$P$91*(TableC2!M67+TableC2!X67)/(TableC2!$D$91+TableC2!$O$91)</f>
        <v>0</v>
      </c>
      <c r="M69" s="1235">
        <f>1000*TableA7!$P$91*(TableC2!N67+TableC2!Y67)/(TableC2!$D$91+TableC2!$O$91)</f>
        <v>0</v>
      </c>
      <c r="N69" s="1465">
        <v>0</v>
      </c>
      <c r="O69" s="1759"/>
      <c r="P69" s="1766"/>
      <c r="Q69" s="1459">
        <f t="shared" si="56"/>
        <v>0</v>
      </c>
      <c r="R69" s="1459">
        <f t="shared" si="57"/>
        <v>0</v>
      </c>
      <c r="S69" s="1459">
        <f t="shared" si="58"/>
        <v>0</v>
      </c>
      <c r="T69" s="1459">
        <f t="shared" si="59"/>
        <v>0</v>
      </c>
      <c r="U69" s="1459">
        <f t="shared" si="60"/>
        <v>0</v>
      </c>
      <c r="V69" s="1459">
        <f t="shared" si="61"/>
        <v>0</v>
      </c>
      <c r="W69" s="1174">
        <f t="shared" si="62"/>
        <v>0</v>
      </c>
      <c r="X69" s="1235">
        <f t="shared" si="63"/>
        <v>0</v>
      </c>
      <c r="Y69" s="958"/>
      <c r="Z69" s="958"/>
      <c r="AA69" s="958"/>
      <c r="AB69" s="958"/>
      <c r="AC69" s="958"/>
      <c r="AD69" s="958"/>
      <c r="AE69" s="958">
        <f t="shared" ref="AE69:AL69" si="67">+AE58*$AM69</f>
        <v>0.19781425288944915</v>
      </c>
      <c r="AF69" s="958">
        <f t="shared" si="67"/>
        <v>0</v>
      </c>
      <c r="AG69" s="958">
        <f t="shared" si="67"/>
        <v>2.3099299451586702E-2</v>
      </c>
      <c r="AH69" s="958">
        <f t="shared" si="67"/>
        <v>0.3187337348777961</v>
      </c>
      <c r="AI69" s="958">
        <f t="shared" si="67"/>
        <v>0</v>
      </c>
      <c r="AJ69" s="958">
        <f t="shared" si="67"/>
        <v>4.1601354325983483E-2</v>
      </c>
      <c r="AK69" s="958">
        <f t="shared" si="67"/>
        <v>0.14036900142829006</v>
      </c>
      <c r="AL69" s="958">
        <f t="shared" si="67"/>
        <v>0</v>
      </c>
      <c r="AM69" s="958">
        <v>1</v>
      </c>
      <c r="AN69" s="958"/>
      <c r="AO69" s="958"/>
      <c r="AP69" s="958"/>
      <c r="AQ69" s="958"/>
      <c r="AR69" s="958"/>
      <c r="AS69" s="958"/>
      <c r="AT69" s="958"/>
      <c r="AU69" s="958"/>
    </row>
    <row r="70" spans="1:47" ht="14.25" hidden="1" customHeight="1" x14ac:dyDescent="0.2">
      <c r="A70" s="958"/>
      <c r="B70" s="959" t="str">
        <f>+TableA1!A69</f>
        <v>Grenada</v>
      </c>
      <c r="C70" s="1458">
        <f>1000*TableA7!$P$91*(TableC2!D68+TableC2!O68)/(TableC2!$D$91+TableC2!$O$91)</f>
        <v>0</v>
      </c>
      <c r="D70" s="1756"/>
      <c r="E70" s="1762"/>
      <c r="F70" s="1159">
        <f>1000*TableA7!$P$91*(TableC2!F68+TableC2!Q68)/(TableC2!$D$91+TableC2!$O$91)</f>
        <v>0</v>
      </c>
      <c r="G70" s="1159">
        <f>1000*TableA7!$P$91*(TableC2!G68+TableC2!R68)/(TableC2!$D$91+TableC2!$O$91)</f>
        <v>0</v>
      </c>
      <c r="H70" s="1159">
        <f>1000*TableA7!$P$91*(TableC2!H68+TableC2!S68)/(TableC2!$D$91+TableC2!$O$91)</f>
        <v>0</v>
      </c>
      <c r="I70" s="1174">
        <f>1000*TableA7!$P$91*(TableC2!I68+TableC2!T68)/(TableC2!$D$91+TableC2!$O$91)</f>
        <v>0</v>
      </c>
      <c r="J70" s="1174">
        <f>1000*TableA7!$P$91*(TableC2!J68+TableC2!U68)/(TableC2!$D$91+TableC2!$O$91)</f>
        <v>0</v>
      </c>
      <c r="K70" s="1174">
        <f>1000*TableA7!$P$91*(TableC2!K68+TableC2!V68)/(TableC2!$D$91+TableC2!$O$91)</f>
        <v>0</v>
      </c>
      <c r="L70" s="1174">
        <f>1000*TableA7!$P$91*(TableC2!M68+TableC2!X68)/(TableC2!$D$91+TableC2!$O$91)</f>
        <v>0</v>
      </c>
      <c r="M70" s="1235">
        <f>1000*TableA7!$P$91*(TableC2!N68+TableC2!Y68)/(TableC2!$D$91+TableC2!$O$91)</f>
        <v>0</v>
      </c>
      <c r="N70" s="1465">
        <v>0</v>
      </c>
      <c r="O70" s="1759"/>
      <c r="P70" s="1766"/>
      <c r="Q70" s="1459">
        <f t="shared" si="56"/>
        <v>0</v>
      </c>
      <c r="R70" s="1459">
        <f t="shared" si="57"/>
        <v>0</v>
      </c>
      <c r="S70" s="1459">
        <f t="shared" si="58"/>
        <v>0</v>
      </c>
      <c r="T70" s="1459">
        <f t="shared" si="59"/>
        <v>0</v>
      </c>
      <c r="U70" s="1459">
        <f t="shared" si="60"/>
        <v>0</v>
      </c>
      <c r="V70" s="1459">
        <f t="shared" si="61"/>
        <v>0</v>
      </c>
      <c r="W70" s="1174">
        <f t="shared" si="62"/>
        <v>0</v>
      </c>
      <c r="X70" s="1235">
        <f t="shared" si="63"/>
        <v>0</v>
      </c>
      <c r="Y70" s="958"/>
      <c r="Z70" s="958"/>
      <c r="AA70" s="958"/>
      <c r="AB70" s="958"/>
      <c r="AC70" s="958"/>
      <c r="AD70" s="958"/>
      <c r="AE70" s="958">
        <f t="shared" ref="AE70:AL70" si="68">+AE59*$AM70</f>
        <v>4.7539048172534647E-2</v>
      </c>
      <c r="AF70" s="958">
        <f t="shared" si="68"/>
        <v>0</v>
      </c>
      <c r="AG70" s="958">
        <f t="shared" si="68"/>
        <v>1.9608844479923395E-4</v>
      </c>
      <c r="AH70" s="958">
        <f t="shared" si="68"/>
        <v>2.9541300346180445E-2</v>
      </c>
      <c r="AI70" s="958">
        <f t="shared" si="68"/>
        <v>1</v>
      </c>
      <c r="AJ70" s="958">
        <f t="shared" si="68"/>
        <v>3.1331110662627089E-4</v>
      </c>
      <c r="AK70" s="958">
        <f t="shared" si="68"/>
        <v>1.1364422497616567E-2</v>
      </c>
      <c r="AL70" s="958">
        <f t="shared" si="68"/>
        <v>1.1694914375754321E-2</v>
      </c>
      <c r="AM70" s="958">
        <v>1</v>
      </c>
      <c r="AN70" s="958"/>
      <c r="AO70" s="958"/>
      <c r="AP70" s="958"/>
      <c r="AQ70" s="958"/>
      <c r="AR70" s="958"/>
      <c r="AS70" s="958"/>
      <c r="AT70" s="958"/>
      <c r="AU70" s="958"/>
    </row>
    <row r="71" spans="1:47" ht="14.25" hidden="1" customHeight="1" x14ac:dyDescent="0.2">
      <c r="A71" s="958"/>
      <c r="B71" s="959" t="s">
        <v>89</v>
      </c>
      <c r="C71" s="1458">
        <f>1000*TableA7!$P$91*(TableC2!D69+TableC2!O69)/(TableC2!$D$91+TableC2!$O$91)</f>
        <v>0</v>
      </c>
      <c r="D71" s="1756"/>
      <c r="E71" s="1762"/>
      <c r="F71" s="1159">
        <f>1000*TableA7!$P$91*(TableC2!F69+TableC2!Q69)/(TableC2!$D$91+TableC2!$O$91)</f>
        <v>0</v>
      </c>
      <c r="G71" s="1159">
        <f>1000*TableA7!$P$91*(TableC2!G69+TableC2!R69)/(TableC2!$D$91+TableC2!$O$91)</f>
        <v>0</v>
      </c>
      <c r="H71" s="1159">
        <f>1000*TableA7!$P$91*(TableC2!H69+TableC2!S69)/(TableC2!$D$91+TableC2!$O$91)</f>
        <v>0</v>
      </c>
      <c r="I71" s="1174">
        <f>1000*TableA7!$P$91*(TableC2!I69+TableC2!T69)/(TableC2!$D$91+TableC2!$O$91)</f>
        <v>0</v>
      </c>
      <c r="J71" s="1174">
        <f>1000*TableA7!$P$91*(TableC2!J69+TableC2!U69)/(TableC2!$D$91+TableC2!$O$91)</f>
        <v>0</v>
      </c>
      <c r="K71" s="1174">
        <f>1000*TableA7!$P$91*(TableC2!K69+TableC2!V69)/(TableC2!$D$91+TableC2!$O$91)</f>
        <v>0</v>
      </c>
      <c r="L71" s="1174">
        <f>1000*TableA7!$P$91*(TableC2!M69+TableC2!X69)/(TableC2!$D$91+TableC2!$O$91)</f>
        <v>0</v>
      </c>
      <c r="M71" s="1235">
        <f>1000*TableA7!$P$91*(TableC2!N69+TableC2!Y69)/(TableC2!$D$91+TableC2!$O$91)</f>
        <v>0</v>
      </c>
      <c r="N71" s="1465">
        <v>0</v>
      </c>
      <c r="O71" s="1759"/>
      <c r="P71" s="1766"/>
      <c r="Q71" s="1459">
        <f t="shared" si="56"/>
        <v>0</v>
      </c>
      <c r="R71" s="1459">
        <f t="shared" si="57"/>
        <v>0</v>
      </c>
      <c r="S71" s="1459">
        <f t="shared" si="58"/>
        <v>0</v>
      </c>
      <c r="T71" s="1459">
        <f t="shared" si="59"/>
        <v>0</v>
      </c>
      <c r="U71" s="1459">
        <f t="shared" si="60"/>
        <v>0</v>
      </c>
      <c r="V71" s="1459">
        <f t="shared" si="61"/>
        <v>0</v>
      </c>
      <c r="W71" s="1174">
        <f t="shared" si="62"/>
        <v>0</v>
      </c>
      <c r="X71" s="1235">
        <f t="shared" si="63"/>
        <v>0</v>
      </c>
      <c r="Y71" s="958"/>
      <c r="Z71" s="958"/>
      <c r="AA71" s="958"/>
      <c r="AB71" s="958"/>
      <c r="AC71" s="958"/>
      <c r="AD71" s="958"/>
      <c r="AE71" s="958">
        <f t="shared" ref="AE71:AL71" si="69">+AE60*$AM71</f>
        <v>0.15563117895981135</v>
      </c>
      <c r="AF71" s="958">
        <f t="shared" si="69"/>
        <v>0</v>
      </c>
      <c r="AG71" s="958">
        <f t="shared" si="69"/>
        <v>0.16605835956332329</v>
      </c>
      <c r="AH71" s="958">
        <f t="shared" si="69"/>
        <v>0.10483220922531135</v>
      </c>
      <c r="AI71" s="958">
        <f t="shared" si="69"/>
        <v>0</v>
      </c>
      <c r="AJ71" s="958">
        <f t="shared" si="69"/>
        <v>0.20305200061975415</v>
      </c>
      <c r="AK71" s="958">
        <f t="shared" si="69"/>
        <v>0.16859701815626024</v>
      </c>
      <c r="AL71" s="958">
        <f t="shared" si="69"/>
        <v>1.681716863923282E-2</v>
      </c>
      <c r="AM71" s="958">
        <v>1</v>
      </c>
      <c r="AN71" s="958"/>
      <c r="AO71" s="958"/>
      <c r="AP71" s="958"/>
      <c r="AQ71" s="958"/>
      <c r="AR71" s="958"/>
      <c r="AS71" s="958"/>
      <c r="AT71" s="958"/>
      <c r="AU71" s="958"/>
    </row>
    <row r="72" spans="1:47" ht="14.25" hidden="1" customHeight="1" x14ac:dyDescent="0.2">
      <c r="A72" s="329" t="s">
        <v>90</v>
      </c>
      <c r="B72" s="959" t="s">
        <v>154</v>
      </c>
      <c r="C72" s="1458">
        <f>1000*TableA7!$P$91*(TableC2!D70+TableC2!O70)/(TableC2!$D$91+TableC2!$O$91)</f>
        <v>0</v>
      </c>
      <c r="D72" s="1756"/>
      <c r="E72" s="1762"/>
      <c r="F72" s="1159">
        <f>1000*TableA7!$P$91*(TableC2!F70+TableC2!Q70)/(TableC2!$D$91+TableC2!$O$91)</f>
        <v>0</v>
      </c>
      <c r="G72" s="1159">
        <f>1000*TableA7!$P$91*(TableC2!G70+TableC2!R70)/(TableC2!$D$91+TableC2!$O$91)</f>
        <v>0</v>
      </c>
      <c r="H72" s="1159">
        <f>1000*TableA7!$P$91*(TableC2!H70+TableC2!S70)/(TableC2!$D$91+TableC2!$O$91)</f>
        <v>0</v>
      </c>
      <c r="I72" s="1174">
        <f>1000*TableA7!$P$91*(TableC2!I70+TableC2!T70)/(TableC2!$D$91+TableC2!$O$91)</f>
        <v>0</v>
      </c>
      <c r="J72" s="1174">
        <f>1000*TableA7!$P$91*(TableC2!J70+TableC2!U70)/(TableC2!$D$91+TableC2!$O$91)</f>
        <v>0</v>
      </c>
      <c r="K72" s="1174">
        <f>1000*TableA7!$P$91*(TableC2!K70+TableC2!V70)/(TableC2!$D$91+TableC2!$O$91)</f>
        <v>0</v>
      </c>
      <c r="L72" s="1174">
        <f>1000*TableA7!$P$91*(TableC2!M70+TableC2!X70)/(TableC2!$D$91+TableC2!$O$91)</f>
        <v>0</v>
      </c>
      <c r="M72" s="1235">
        <f>1000*TableA7!$P$91*(TableC2!N70+TableC2!Y70)/(TableC2!$D$91+TableC2!$O$91)</f>
        <v>0</v>
      </c>
      <c r="N72" s="1465">
        <v>0</v>
      </c>
      <c r="O72" s="1759"/>
      <c r="P72" s="1766"/>
      <c r="Q72" s="1459">
        <f t="shared" si="56"/>
        <v>0</v>
      </c>
      <c r="R72" s="1459">
        <f t="shared" si="57"/>
        <v>0</v>
      </c>
      <c r="S72" s="1459">
        <f t="shared" si="58"/>
        <v>0</v>
      </c>
      <c r="T72" s="1459">
        <f t="shared" si="59"/>
        <v>0</v>
      </c>
      <c r="U72" s="1459">
        <f t="shared" si="60"/>
        <v>0</v>
      </c>
      <c r="V72" s="1459">
        <f t="shared" si="61"/>
        <v>0</v>
      </c>
      <c r="W72" s="1174">
        <f t="shared" si="62"/>
        <v>0</v>
      </c>
      <c r="X72" s="1235">
        <f t="shared" si="63"/>
        <v>0</v>
      </c>
      <c r="Y72" s="958"/>
      <c r="Z72" s="958"/>
      <c r="AA72" s="958"/>
      <c r="AB72" s="958"/>
      <c r="AC72" s="958"/>
      <c r="AD72" s="958"/>
      <c r="AE72" s="958">
        <f t="shared" ref="AE72:AL72" si="70">+AE61*$AM72</f>
        <v>0.12406614179616818</v>
      </c>
      <c r="AF72" s="958">
        <f t="shared" si="70"/>
        <v>0</v>
      </c>
      <c r="AG72" s="958">
        <f t="shared" si="70"/>
        <v>3.7860858532582815E-2</v>
      </c>
      <c r="AH72" s="958">
        <f t="shared" si="70"/>
        <v>8.4861839410136003E-2</v>
      </c>
      <c r="AI72" s="958">
        <f t="shared" si="70"/>
        <v>0</v>
      </c>
      <c r="AJ72" s="958">
        <f t="shared" si="70"/>
        <v>0.24346160157873961</v>
      </c>
      <c r="AK72" s="958">
        <f t="shared" si="70"/>
        <v>0.50054733865383305</v>
      </c>
      <c r="AL72" s="958">
        <f t="shared" si="70"/>
        <v>0</v>
      </c>
      <c r="AM72" s="958">
        <v>1</v>
      </c>
      <c r="AN72" s="958"/>
      <c r="AO72" s="958"/>
      <c r="AP72" s="958"/>
      <c r="AQ72" s="958"/>
      <c r="AR72" s="958"/>
      <c r="AS72" s="958"/>
      <c r="AT72" s="958"/>
      <c r="AU72" s="958"/>
    </row>
    <row r="73" spans="1:47" ht="14.25" hidden="1" customHeight="1" x14ac:dyDescent="0.2">
      <c r="A73" s="329" t="s">
        <v>341</v>
      </c>
      <c r="B73" s="959" t="s">
        <v>91</v>
      </c>
      <c r="C73" s="1458">
        <f>1000*TableA7!$P$91*(TableC2!D71+TableC2!O71)/(TableC2!$D$91+TableC2!$O$91)</f>
        <v>0</v>
      </c>
      <c r="D73" s="1756"/>
      <c r="E73" s="1762"/>
      <c r="F73" s="1159">
        <f>1000*TableA7!$P$91*(TableC2!F71+TableC2!Q71)/(TableC2!$D$91+TableC2!$O$91)</f>
        <v>0</v>
      </c>
      <c r="G73" s="1159">
        <f>1000*TableA7!$P$91*(TableC2!G71+TableC2!R71)/(TableC2!$D$91+TableC2!$O$91)</f>
        <v>0</v>
      </c>
      <c r="H73" s="1159">
        <f>1000*TableA7!$P$91*(TableC2!H71+TableC2!S71)/(TableC2!$D$91+TableC2!$O$91)</f>
        <v>0</v>
      </c>
      <c r="I73" s="1174">
        <f>1000*TableA7!$P$91*(TableC2!I71+TableC2!T71)/(TableC2!$D$91+TableC2!$O$91)</f>
        <v>0</v>
      </c>
      <c r="J73" s="1174">
        <f>1000*TableA7!$P$91*(TableC2!J71+TableC2!U71)/(TableC2!$D$91+TableC2!$O$91)</f>
        <v>0</v>
      </c>
      <c r="K73" s="1174">
        <f>1000*TableA7!$P$91*(TableC2!K71+TableC2!V71)/(TableC2!$D$91+TableC2!$O$91)</f>
        <v>0</v>
      </c>
      <c r="L73" s="1174">
        <f>1000*TableA7!$P$91*(TableC2!M71+TableC2!X71)/(TableC2!$D$91+TableC2!$O$91)</f>
        <v>0</v>
      </c>
      <c r="M73" s="1235">
        <f>1000*TableA7!$P$91*(TableC2!N71+TableC2!Y71)/(TableC2!$D$91+TableC2!$O$91)</f>
        <v>0</v>
      </c>
      <c r="N73" s="1465">
        <v>0</v>
      </c>
      <c r="O73" s="1759"/>
      <c r="P73" s="1766"/>
      <c r="Q73" s="1459">
        <f t="shared" si="56"/>
        <v>0</v>
      </c>
      <c r="R73" s="1459">
        <f t="shared" si="57"/>
        <v>0</v>
      </c>
      <c r="S73" s="1459">
        <f t="shared" si="58"/>
        <v>0</v>
      </c>
      <c r="T73" s="1459">
        <f t="shared" si="59"/>
        <v>0</v>
      </c>
      <c r="U73" s="1459">
        <f t="shared" si="60"/>
        <v>0</v>
      </c>
      <c r="V73" s="1459">
        <f t="shared" si="61"/>
        <v>0</v>
      </c>
      <c r="W73" s="1174">
        <f t="shared" si="62"/>
        <v>0</v>
      </c>
      <c r="X73" s="1235">
        <f t="shared" si="63"/>
        <v>0</v>
      </c>
      <c r="Y73" s="958"/>
      <c r="Z73" s="958"/>
      <c r="AA73" s="958"/>
      <c r="AB73" s="958"/>
      <c r="AC73" s="958"/>
      <c r="AD73" s="958"/>
      <c r="AE73" s="958">
        <f t="shared" ref="AE73:AL73" si="71">+AE62*$AM73</f>
        <v>2.9620516229440969E-2</v>
      </c>
      <c r="AF73" s="958">
        <f t="shared" si="71"/>
        <v>0</v>
      </c>
      <c r="AG73" s="958">
        <f t="shared" si="71"/>
        <v>0.40121578588205087</v>
      </c>
      <c r="AH73" s="958">
        <f t="shared" si="71"/>
        <v>0.17276672614832453</v>
      </c>
      <c r="AI73" s="958">
        <f t="shared" si="71"/>
        <v>0</v>
      </c>
      <c r="AJ73" s="958">
        <f t="shared" si="71"/>
        <v>0.32746572827548487</v>
      </c>
      <c r="AK73" s="958">
        <f t="shared" si="71"/>
        <v>0</v>
      </c>
      <c r="AL73" s="958">
        <f t="shared" si="71"/>
        <v>0.87938035527217684</v>
      </c>
      <c r="AM73" s="958">
        <v>1</v>
      </c>
      <c r="AN73" s="958"/>
      <c r="AO73" s="958"/>
      <c r="AP73" s="958"/>
      <c r="AQ73" s="958"/>
      <c r="AR73" s="958"/>
      <c r="AS73" s="958"/>
      <c r="AT73" s="958"/>
      <c r="AU73" s="958"/>
    </row>
    <row r="74" spans="1:47" ht="14.25" hidden="1" customHeight="1" x14ac:dyDescent="0.2">
      <c r="A74" s="958"/>
      <c r="B74" s="959" t="s">
        <v>92</v>
      </c>
      <c r="C74" s="1458">
        <f>1000*TableA7!$P$91*(TableC2!D72+TableC2!O72)/(TableC2!$D$91+TableC2!$O$91)</f>
        <v>0</v>
      </c>
      <c r="D74" s="1756"/>
      <c r="E74" s="1762"/>
      <c r="F74" s="1159">
        <f>1000*TableA7!$P$91*(TableC2!F72+TableC2!Q72)/(TableC2!$D$91+TableC2!$O$91)</f>
        <v>0</v>
      </c>
      <c r="G74" s="1159">
        <f>1000*TableA7!$P$91*(TableC2!G72+TableC2!R72)/(TableC2!$D$91+TableC2!$O$91)</f>
        <v>0</v>
      </c>
      <c r="H74" s="1159">
        <f>1000*TableA7!$P$91*(TableC2!H72+TableC2!S72)/(TableC2!$D$91+TableC2!$O$91)</f>
        <v>0</v>
      </c>
      <c r="I74" s="1174">
        <f>1000*TableA7!$P$91*(TableC2!I72+TableC2!T72)/(TableC2!$D$91+TableC2!$O$91)</f>
        <v>0</v>
      </c>
      <c r="J74" s="1174">
        <f>1000*TableA7!$P$91*(TableC2!J72+TableC2!U72)/(TableC2!$D$91+TableC2!$O$91)</f>
        <v>0</v>
      </c>
      <c r="K74" s="1174">
        <f>1000*TableA7!$P$91*(TableC2!K72+TableC2!V72)/(TableC2!$D$91+TableC2!$O$91)</f>
        <v>0</v>
      </c>
      <c r="L74" s="1174">
        <f>1000*TableA7!$P$91*(TableC2!M72+TableC2!X72)/(TableC2!$D$91+TableC2!$O$91)</f>
        <v>0</v>
      </c>
      <c r="M74" s="1235">
        <f>1000*TableA7!$P$91*(TableC2!N72+TableC2!Y72)/(TableC2!$D$91+TableC2!$O$91)</f>
        <v>0</v>
      </c>
      <c r="N74" s="1465">
        <v>0</v>
      </c>
      <c r="O74" s="1759"/>
      <c r="P74" s="1766"/>
      <c r="Q74" s="1459">
        <f t="shared" si="56"/>
        <v>0</v>
      </c>
      <c r="R74" s="1459">
        <f t="shared" si="57"/>
        <v>0</v>
      </c>
      <c r="S74" s="1459">
        <f t="shared" si="58"/>
        <v>0</v>
      </c>
      <c r="T74" s="1459">
        <f t="shared" si="59"/>
        <v>0</v>
      </c>
      <c r="U74" s="1459">
        <f t="shared" si="60"/>
        <v>0</v>
      </c>
      <c r="V74" s="1459">
        <f t="shared" si="61"/>
        <v>0</v>
      </c>
      <c r="W74" s="1174">
        <f t="shared" si="62"/>
        <v>0</v>
      </c>
      <c r="X74" s="1235">
        <f t="shared" si="63"/>
        <v>0</v>
      </c>
      <c r="Y74" s="958"/>
      <c r="Z74" s="958"/>
      <c r="AA74" s="958"/>
      <c r="AB74" s="958"/>
      <c r="AC74" s="958"/>
      <c r="AD74" s="958"/>
      <c r="AE74" s="958"/>
      <c r="AF74" s="958"/>
      <c r="AG74" s="958"/>
      <c r="AH74" s="958"/>
      <c r="AI74" s="958"/>
      <c r="AJ74" s="958"/>
      <c r="AK74" s="958"/>
      <c r="AL74" s="958"/>
      <c r="AM74" s="958"/>
      <c r="AN74" s="958"/>
      <c r="AO74" s="958"/>
      <c r="AP74" s="958"/>
      <c r="AQ74" s="958"/>
      <c r="AR74" s="958"/>
      <c r="AS74" s="958"/>
      <c r="AT74" s="958"/>
      <c r="AU74" s="958"/>
    </row>
    <row r="75" spans="1:47" ht="14.25" hidden="1" customHeight="1" x14ac:dyDescent="0.2">
      <c r="A75" s="958"/>
      <c r="B75" s="959" t="s">
        <v>93</v>
      </c>
      <c r="C75" s="1458">
        <f>1000*TableA7!$P$91*(TableC2!D73+TableC2!O73)/(TableC2!$D$91+TableC2!$O$91)</f>
        <v>0</v>
      </c>
      <c r="D75" s="1756"/>
      <c r="E75" s="1762"/>
      <c r="F75" s="1159">
        <f>1000*TableA7!$P$91*(TableC2!F73+TableC2!Q73)/(TableC2!$D$91+TableC2!$O$91)</f>
        <v>0</v>
      </c>
      <c r="G75" s="1159">
        <f>1000*TableA7!$P$91*(TableC2!G73+TableC2!R73)/(TableC2!$D$91+TableC2!$O$91)</f>
        <v>0</v>
      </c>
      <c r="H75" s="1159">
        <f>1000*TableA7!$P$91*(TableC2!H73+TableC2!S73)/(TableC2!$D$91+TableC2!$O$91)</f>
        <v>0</v>
      </c>
      <c r="I75" s="1174">
        <f>1000*TableA7!$P$91*(TableC2!I73+TableC2!T73)/(TableC2!$D$91+TableC2!$O$91)</f>
        <v>0</v>
      </c>
      <c r="J75" s="1174">
        <f>1000*TableA7!$P$91*(TableC2!J73+TableC2!U73)/(TableC2!$D$91+TableC2!$O$91)</f>
        <v>0</v>
      </c>
      <c r="K75" s="1174">
        <f>1000*TableA7!$P$91*(TableC2!K73+TableC2!V73)/(TableC2!$D$91+TableC2!$O$91)</f>
        <v>0</v>
      </c>
      <c r="L75" s="1174">
        <f>1000*TableA7!$P$91*(TableC2!M73+TableC2!X73)/(TableC2!$D$91+TableC2!$O$91)</f>
        <v>0</v>
      </c>
      <c r="M75" s="1235">
        <f>1000*TableA7!$P$91*(TableC2!N73+TableC2!Y73)/(TableC2!$D$91+TableC2!$O$91)</f>
        <v>0</v>
      </c>
      <c r="N75" s="1465">
        <v>0</v>
      </c>
      <c r="O75" s="1759"/>
      <c r="P75" s="1766"/>
      <c r="Q75" s="1459">
        <f t="shared" si="56"/>
        <v>0</v>
      </c>
      <c r="R75" s="1459">
        <f t="shared" si="57"/>
        <v>0</v>
      </c>
      <c r="S75" s="1459">
        <f t="shared" si="58"/>
        <v>0</v>
      </c>
      <c r="T75" s="1459">
        <f t="shared" si="59"/>
        <v>0</v>
      </c>
      <c r="U75" s="1459">
        <f t="shared" si="60"/>
        <v>0</v>
      </c>
      <c r="V75" s="1459">
        <f t="shared" si="61"/>
        <v>0</v>
      </c>
      <c r="W75" s="1174">
        <f t="shared" si="62"/>
        <v>0</v>
      </c>
      <c r="X75" s="1235">
        <f t="shared" si="63"/>
        <v>0</v>
      </c>
      <c r="Y75" s="958"/>
      <c r="Z75" s="958"/>
      <c r="AA75" s="958"/>
      <c r="AB75" s="958"/>
      <c r="AC75" s="958"/>
      <c r="AD75" s="958"/>
      <c r="AE75" s="958"/>
      <c r="AF75" s="958"/>
      <c r="AG75" s="958"/>
      <c r="AH75" s="958"/>
      <c r="AI75" s="958"/>
      <c r="AJ75" s="958"/>
      <c r="AK75" s="958"/>
      <c r="AL75" s="958"/>
      <c r="AM75" s="958"/>
      <c r="AN75" s="958"/>
      <c r="AO75" s="958"/>
      <c r="AP75" s="958"/>
      <c r="AQ75" s="958"/>
      <c r="AR75" s="958"/>
      <c r="AS75" s="958"/>
      <c r="AT75" s="958"/>
      <c r="AU75" s="958"/>
    </row>
    <row r="76" spans="1:47" ht="14.25" hidden="1" customHeight="1" x14ac:dyDescent="0.2">
      <c r="A76" s="958"/>
      <c r="B76" s="959" t="s">
        <v>94</v>
      </c>
      <c r="C76" s="1458">
        <f>1000*TableA7!$P$91*(TableC2!D74+TableC2!O74)/(TableC2!$D$91+TableC2!$O$91)</f>
        <v>0</v>
      </c>
      <c r="D76" s="1756"/>
      <c r="E76" s="1762"/>
      <c r="F76" s="1159">
        <f>1000*TableA7!$P$91*(TableC2!F74+TableC2!Q74)/(TableC2!$D$91+TableC2!$O$91)</f>
        <v>0</v>
      </c>
      <c r="G76" s="1159">
        <f>1000*TableA7!$P$91*(TableC2!G74+TableC2!R74)/(TableC2!$D$91+TableC2!$O$91)</f>
        <v>0</v>
      </c>
      <c r="H76" s="1159">
        <f>1000*TableA7!$P$91*(TableC2!H74+TableC2!S74)/(TableC2!$D$91+TableC2!$O$91)</f>
        <v>0</v>
      </c>
      <c r="I76" s="1174">
        <f>1000*TableA7!$P$91*(TableC2!I74+TableC2!T74)/(TableC2!$D$91+TableC2!$O$91)</f>
        <v>0</v>
      </c>
      <c r="J76" s="1174">
        <f>1000*TableA7!$P$91*(TableC2!J74+TableC2!U74)/(TableC2!$D$91+TableC2!$O$91)</f>
        <v>0</v>
      </c>
      <c r="K76" s="1174">
        <f>1000*TableA7!$P$91*(TableC2!K74+TableC2!V74)/(TableC2!$D$91+TableC2!$O$91)</f>
        <v>0</v>
      </c>
      <c r="L76" s="1174">
        <f>1000*TableA7!$P$91*(TableC2!M74+TableC2!X74)/(TableC2!$D$91+TableC2!$O$91)</f>
        <v>0</v>
      </c>
      <c r="M76" s="1235">
        <f>1000*TableA7!$P$91*(TableC2!N74+TableC2!Y74)/(TableC2!$D$91+TableC2!$O$91)</f>
        <v>0</v>
      </c>
      <c r="N76" s="1465">
        <v>0</v>
      </c>
      <c r="O76" s="1759"/>
      <c r="P76" s="1766"/>
      <c r="Q76" s="1459">
        <f t="shared" si="56"/>
        <v>0</v>
      </c>
      <c r="R76" s="1459">
        <f t="shared" si="57"/>
        <v>0</v>
      </c>
      <c r="S76" s="1459">
        <f t="shared" si="58"/>
        <v>0</v>
      </c>
      <c r="T76" s="1459">
        <f t="shared" si="59"/>
        <v>0</v>
      </c>
      <c r="U76" s="1459">
        <f t="shared" si="60"/>
        <v>0</v>
      </c>
      <c r="V76" s="1459">
        <f t="shared" si="61"/>
        <v>0</v>
      </c>
      <c r="W76" s="1174">
        <f t="shared" si="62"/>
        <v>0</v>
      </c>
      <c r="X76" s="1235">
        <f t="shared" si="63"/>
        <v>0</v>
      </c>
      <c r="Y76" s="958"/>
      <c r="Z76" s="958"/>
      <c r="AA76" s="958"/>
      <c r="AB76" s="958"/>
      <c r="AC76" s="958"/>
      <c r="AD76" s="958"/>
      <c r="AE76" s="958"/>
      <c r="AF76" s="958"/>
      <c r="AG76" s="958"/>
      <c r="AH76" s="958"/>
      <c r="AI76" s="958"/>
      <c r="AJ76" s="958"/>
      <c r="AK76" s="958"/>
      <c r="AL76" s="958"/>
      <c r="AM76" s="958"/>
      <c r="AN76" s="958"/>
      <c r="AO76" s="958"/>
      <c r="AP76" s="958"/>
      <c r="AQ76" s="958"/>
      <c r="AR76" s="958"/>
      <c r="AS76" s="958"/>
      <c r="AT76" s="958"/>
      <c r="AU76" s="958"/>
    </row>
    <row r="77" spans="1:47" ht="14.25" hidden="1" customHeight="1" x14ac:dyDescent="0.2">
      <c r="A77" s="329" t="s">
        <v>342</v>
      </c>
      <c r="B77" s="959" t="s">
        <v>95</v>
      </c>
      <c r="C77" s="1458">
        <f>1000*TableA7!$P$91*(TableC2!D75+TableC2!O75)/(TableC2!$D$91+TableC2!$O$91)</f>
        <v>0</v>
      </c>
      <c r="D77" s="1756"/>
      <c r="E77" s="1762"/>
      <c r="F77" s="1159">
        <f>1000*TableA7!$P$91*(TableC2!F75+TableC2!Q75)/(TableC2!$D$91+TableC2!$O$91)</f>
        <v>0</v>
      </c>
      <c r="G77" s="1159">
        <f>1000*TableA7!$P$91*(TableC2!G75+TableC2!R75)/(TableC2!$D$91+TableC2!$O$91)</f>
        <v>0</v>
      </c>
      <c r="H77" s="1159">
        <f>1000*TableA7!$P$91*(TableC2!H75+TableC2!S75)/(TableC2!$D$91+TableC2!$O$91)</f>
        <v>0</v>
      </c>
      <c r="I77" s="1174">
        <f>1000*TableA7!$P$91*(TableC2!I75+TableC2!T75)/(TableC2!$D$91+TableC2!$O$91)</f>
        <v>0</v>
      </c>
      <c r="J77" s="1174">
        <f>1000*TableA7!$P$91*(TableC2!J75+TableC2!U75)/(TableC2!$D$91+TableC2!$O$91)</f>
        <v>0</v>
      </c>
      <c r="K77" s="1174">
        <f>1000*TableA7!$P$91*(TableC2!K75+TableC2!V75)/(TableC2!$D$91+TableC2!$O$91)</f>
        <v>0</v>
      </c>
      <c r="L77" s="1174">
        <f>1000*TableA7!$P$91*(TableC2!M75+TableC2!X75)/(TableC2!$D$91+TableC2!$O$91)</f>
        <v>0</v>
      </c>
      <c r="M77" s="1235">
        <f>1000*TableA7!$P$91*(TableC2!N75+TableC2!Y75)/(TableC2!$D$91+TableC2!$O$91)</f>
        <v>0</v>
      </c>
      <c r="N77" s="1465">
        <v>0</v>
      </c>
      <c r="O77" s="1759"/>
      <c r="P77" s="1766"/>
      <c r="Q77" s="1459">
        <f t="shared" si="56"/>
        <v>0</v>
      </c>
      <c r="R77" s="1459">
        <f t="shared" si="57"/>
        <v>0</v>
      </c>
      <c r="S77" s="1459">
        <f t="shared" si="58"/>
        <v>0</v>
      </c>
      <c r="T77" s="1459">
        <f t="shared" si="59"/>
        <v>0</v>
      </c>
      <c r="U77" s="1459">
        <f t="shared" si="60"/>
        <v>0</v>
      </c>
      <c r="V77" s="1459">
        <f t="shared" si="61"/>
        <v>0</v>
      </c>
      <c r="W77" s="1174">
        <f t="shared" si="62"/>
        <v>0</v>
      </c>
      <c r="X77" s="1235">
        <f t="shared" si="63"/>
        <v>0</v>
      </c>
      <c r="Y77" s="958"/>
      <c r="Z77" s="958"/>
      <c r="AA77" s="958"/>
      <c r="AB77" s="958"/>
      <c r="AC77" s="958"/>
      <c r="AD77" s="958"/>
      <c r="AE77" s="958"/>
      <c r="AF77" s="958"/>
      <c r="AG77" s="958"/>
      <c r="AH77" s="958"/>
      <c r="AI77" s="958"/>
      <c r="AJ77" s="958"/>
      <c r="AK77" s="958"/>
      <c r="AL77" s="958"/>
      <c r="AM77" s="958"/>
      <c r="AN77" s="958"/>
      <c r="AO77" s="958"/>
      <c r="AP77" s="958"/>
      <c r="AQ77" s="958"/>
      <c r="AR77" s="958"/>
      <c r="AS77" s="958"/>
      <c r="AT77" s="958"/>
      <c r="AU77" s="958"/>
    </row>
    <row r="78" spans="1:47" ht="14.25" hidden="1" customHeight="1" x14ac:dyDescent="0.2">
      <c r="A78" s="958"/>
      <c r="B78" s="959" t="s">
        <v>96</v>
      </c>
      <c r="C78" s="1458">
        <f>1000*TableA7!$P$91*(TableC2!D76+TableC2!O76)/(TableC2!$D$91+TableC2!$O$91)</f>
        <v>0</v>
      </c>
      <c r="D78" s="1756"/>
      <c r="E78" s="1762"/>
      <c r="F78" s="1159">
        <f>1000*TableA7!$P$91*(TableC2!F76+TableC2!Q76)/(TableC2!$D$91+TableC2!$O$91)</f>
        <v>0</v>
      </c>
      <c r="G78" s="1159">
        <f>1000*TableA7!$P$91*(TableC2!G76+TableC2!R76)/(TableC2!$D$91+TableC2!$O$91)</f>
        <v>0</v>
      </c>
      <c r="H78" s="1159">
        <f>1000*TableA7!$P$91*(TableC2!H76+TableC2!S76)/(TableC2!$D$91+TableC2!$O$91)</f>
        <v>0</v>
      </c>
      <c r="I78" s="1174">
        <f>1000*TableA7!$P$91*(TableC2!I76+TableC2!T76)/(TableC2!$D$91+TableC2!$O$91)</f>
        <v>0</v>
      </c>
      <c r="J78" s="1174">
        <f>1000*TableA7!$P$91*(TableC2!J76+TableC2!U76)/(TableC2!$D$91+TableC2!$O$91)</f>
        <v>0</v>
      </c>
      <c r="K78" s="1174">
        <f>1000*TableA7!$P$91*(TableC2!K76+TableC2!V76)/(TableC2!$D$91+TableC2!$O$91)</f>
        <v>0</v>
      </c>
      <c r="L78" s="1174">
        <f>1000*TableA7!$P$91*(TableC2!M76+TableC2!X76)/(TableC2!$D$91+TableC2!$O$91)</f>
        <v>0</v>
      </c>
      <c r="M78" s="634">
        <f>1000*TableA7!$P$91*(TableC2!N76+TableC2!Y76)/(TableC2!$D$91+TableC2!$O$91)</f>
        <v>0</v>
      </c>
      <c r="N78" s="1465">
        <v>0</v>
      </c>
      <c r="O78" s="1759"/>
      <c r="P78" s="1766"/>
      <c r="Q78" s="1459">
        <f t="shared" si="56"/>
        <v>0</v>
      </c>
      <c r="R78" s="1459">
        <f t="shared" si="57"/>
        <v>0</v>
      </c>
      <c r="S78" s="1459">
        <f t="shared" si="58"/>
        <v>0</v>
      </c>
      <c r="T78" s="1459">
        <f t="shared" si="59"/>
        <v>0</v>
      </c>
      <c r="U78" s="1459">
        <f t="shared" si="60"/>
        <v>0</v>
      </c>
      <c r="V78" s="1459">
        <f t="shared" si="61"/>
        <v>0</v>
      </c>
      <c r="W78" s="1174">
        <f t="shared" si="62"/>
        <v>0</v>
      </c>
      <c r="X78" s="1235">
        <f t="shared" si="63"/>
        <v>0</v>
      </c>
      <c r="Y78" s="958"/>
      <c r="Z78" s="958"/>
      <c r="AA78" s="958"/>
      <c r="AB78" s="958"/>
      <c r="AC78" s="958"/>
      <c r="AD78" s="958"/>
      <c r="AE78" s="958"/>
      <c r="AF78" s="958"/>
      <c r="AG78" s="958"/>
      <c r="AH78" s="958"/>
      <c r="AI78" s="958"/>
      <c r="AJ78" s="958"/>
      <c r="AK78" s="958"/>
      <c r="AL78" s="958"/>
      <c r="AM78" s="958"/>
      <c r="AN78" s="958"/>
      <c r="AO78" s="958"/>
      <c r="AP78" s="958"/>
      <c r="AQ78" s="958"/>
      <c r="AR78" s="958"/>
      <c r="AS78" s="958"/>
      <c r="AT78" s="958"/>
      <c r="AU78" s="958"/>
    </row>
    <row r="79" spans="1:47" ht="14.25" hidden="1" customHeight="1" x14ac:dyDescent="0.2">
      <c r="A79" s="329" t="s">
        <v>373</v>
      </c>
      <c r="B79" s="959" t="s">
        <v>97</v>
      </c>
      <c r="C79" s="1458">
        <f>1000*TableA7!$P$91*(TableC2!D77+TableC2!O77)/(TableC2!$D$91+TableC2!$O$91)</f>
        <v>0</v>
      </c>
      <c r="D79" s="1756"/>
      <c r="E79" s="1762"/>
      <c r="F79" s="1159">
        <f>1000*TableA7!$P$91*(TableC2!F77+TableC2!Q77)/(TableC2!$D$91+TableC2!$O$91)</f>
        <v>0</v>
      </c>
      <c r="G79" s="1159">
        <f>1000*TableA7!$P$91*(TableC2!G77+TableC2!R77)/(TableC2!$D$91+TableC2!$O$91)</f>
        <v>0</v>
      </c>
      <c r="H79" s="1159">
        <f>1000*TableA7!$P$91*(TableC2!H77+TableC2!S77)/(TableC2!$D$91+TableC2!$O$91)</f>
        <v>0</v>
      </c>
      <c r="I79" s="1174">
        <f>1000*TableA7!$P$91*(TableC2!I77+TableC2!T77)/(TableC2!$D$91+TableC2!$O$91)</f>
        <v>0</v>
      </c>
      <c r="J79" s="1174">
        <f>1000*TableA7!$P$91*(TableC2!J77+TableC2!U77)/(TableC2!$D$91+TableC2!$O$91)</f>
        <v>0</v>
      </c>
      <c r="K79" s="1174">
        <f>1000*TableA7!$P$91*(TableC2!K77+TableC2!V77)/(TableC2!$D$91+TableC2!$O$91)</f>
        <v>0</v>
      </c>
      <c r="L79" s="1174">
        <f>1000*TableA7!$P$91*(TableC2!M77+TableC2!X77)/(TableC2!$D$91+TableC2!$O$91)</f>
        <v>0</v>
      </c>
      <c r="M79" s="1235">
        <f>1000*TableA7!$P$91*(TableC2!N77+TableC2!Y77)/(TableC2!$D$91+TableC2!$O$91)</f>
        <v>0</v>
      </c>
      <c r="N79" s="1465">
        <v>0</v>
      </c>
      <c r="O79" s="1759"/>
      <c r="P79" s="1766"/>
      <c r="Q79" s="1459">
        <f t="shared" si="56"/>
        <v>0</v>
      </c>
      <c r="R79" s="1459">
        <f t="shared" si="57"/>
        <v>0</v>
      </c>
      <c r="S79" s="1459">
        <f t="shared" si="58"/>
        <v>0</v>
      </c>
      <c r="T79" s="1459">
        <f t="shared" si="59"/>
        <v>0</v>
      </c>
      <c r="U79" s="1459">
        <f t="shared" si="60"/>
        <v>0</v>
      </c>
      <c r="V79" s="1459">
        <f t="shared" si="61"/>
        <v>0</v>
      </c>
      <c r="W79" s="1174">
        <f t="shared" si="62"/>
        <v>0</v>
      </c>
      <c r="X79" s="1235">
        <f t="shared" si="63"/>
        <v>0</v>
      </c>
      <c r="Y79" s="958"/>
      <c r="Z79" s="958"/>
      <c r="AA79" s="958"/>
      <c r="AB79" s="958"/>
      <c r="AC79" s="958"/>
      <c r="AD79" s="958"/>
      <c r="AE79" s="958"/>
      <c r="AF79" s="958"/>
      <c r="AG79" s="958"/>
      <c r="AH79" s="958"/>
      <c r="AI79" s="958"/>
      <c r="AJ79" s="958"/>
      <c r="AK79" s="958"/>
      <c r="AL79" s="958"/>
      <c r="AM79" s="958"/>
      <c r="AN79" s="958"/>
      <c r="AO79" s="958"/>
      <c r="AP79" s="958"/>
      <c r="AQ79" s="958"/>
      <c r="AR79" s="958"/>
      <c r="AS79" s="958"/>
      <c r="AT79" s="958"/>
      <c r="AU79" s="958"/>
    </row>
    <row r="80" spans="1:47" ht="14.25" hidden="1" customHeight="1" x14ac:dyDescent="0.2">
      <c r="A80" s="958"/>
      <c r="B80" s="959" t="str">
        <f>+TableA1!A79</f>
        <v>Monaco</v>
      </c>
      <c r="C80" s="1458">
        <f>1000*TableA7!$P$91*(TableC2!D78+TableC2!O78)/(TableC2!$D$91+TableC2!$O$91)</f>
        <v>0</v>
      </c>
      <c r="D80" s="1756"/>
      <c r="E80" s="1762"/>
      <c r="F80" s="1159">
        <f>1000*TableA7!$P$91*(TableC2!F78+TableC2!Q78)/(TableC2!$D$91+TableC2!$O$91)</f>
        <v>0</v>
      </c>
      <c r="G80" s="1159">
        <f>1000*TableA7!$P$91*(TableC2!G78+TableC2!R78)/(TableC2!$D$91+TableC2!$O$91)</f>
        <v>0</v>
      </c>
      <c r="H80" s="1159">
        <f>1000*TableA7!$P$91*(TableC2!H78+TableC2!S78)/(TableC2!$D$91+TableC2!$O$91)</f>
        <v>0</v>
      </c>
      <c r="I80" s="1174">
        <f>1000*TableA7!$P$91*(TableC2!I78+TableC2!T78)/(TableC2!$D$91+TableC2!$O$91)</f>
        <v>0</v>
      </c>
      <c r="J80" s="1174">
        <f>1000*TableA7!$P$91*(TableC2!J78+TableC2!U78)/(TableC2!$D$91+TableC2!$O$91)</f>
        <v>0</v>
      </c>
      <c r="K80" s="1174">
        <f>1000*TableA7!$P$91*(TableC2!K78+TableC2!V78)/(TableC2!$D$91+TableC2!$O$91)</f>
        <v>0</v>
      </c>
      <c r="L80" s="1174">
        <f>1000*TableA7!$P$91*(TableC2!M78+TableC2!X78)/(TableC2!$D$91+TableC2!$O$91)</f>
        <v>0</v>
      </c>
      <c r="M80" s="1235">
        <f>1000*TableA7!$P$91*(TableC2!N78+TableC2!Y78)/(TableC2!$D$91+TableC2!$O$91)</f>
        <v>0</v>
      </c>
      <c r="N80" s="1465">
        <v>0</v>
      </c>
      <c r="O80" s="1759"/>
      <c r="P80" s="1766"/>
      <c r="Q80" s="1459">
        <f t="shared" si="56"/>
        <v>0</v>
      </c>
      <c r="R80" s="1459">
        <f t="shared" si="57"/>
        <v>0</v>
      </c>
      <c r="S80" s="1459">
        <f t="shared" si="58"/>
        <v>0</v>
      </c>
      <c r="T80" s="1459">
        <f t="shared" si="59"/>
        <v>0</v>
      </c>
      <c r="U80" s="1459">
        <f t="shared" si="60"/>
        <v>0</v>
      </c>
      <c r="V80" s="1459">
        <f t="shared" si="61"/>
        <v>0</v>
      </c>
      <c r="W80" s="1174">
        <f t="shared" si="62"/>
        <v>0</v>
      </c>
      <c r="X80" s="1235">
        <f t="shared" si="63"/>
        <v>0</v>
      </c>
      <c r="Y80" s="958"/>
      <c r="Z80" s="958"/>
      <c r="AA80" s="958"/>
      <c r="AB80" s="958"/>
      <c r="AC80" s="958"/>
      <c r="AD80" s="958"/>
      <c r="AE80" s="958"/>
      <c r="AF80" s="958"/>
      <c r="AG80" s="958"/>
      <c r="AH80" s="958"/>
      <c r="AI80" s="958"/>
      <c r="AJ80" s="958"/>
      <c r="AK80" s="958"/>
      <c r="AL80" s="958"/>
      <c r="AM80" s="958"/>
      <c r="AN80" s="958"/>
      <c r="AO80" s="958"/>
      <c r="AP80" s="958"/>
      <c r="AQ80" s="958"/>
      <c r="AR80" s="958"/>
      <c r="AS80" s="958"/>
      <c r="AT80" s="958"/>
      <c r="AU80" s="958"/>
    </row>
    <row r="81" spans="1:35" ht="14.25" hidden="1" customHeight="1" x14ac:dyDescent="0.2">
      <c r="A81" s="958"/>
      <c r="B81" s="959" t="s">
        <v>99</v>
      </c>
      <c r="C81" s="1458">
        <f>1000*TableA7!$P$91*(TableC2!D79+TableC2!O79)/(TableC2!$D$91+TableC2!$O$91)</f>
        <v>0</v>
      </c>
      <c r="D81" s="1756"/>
      <c r="E81" s="1762"/>
      <c r="F81" s="1159">
        <f>1000*TableA7!$P$91*(TableC2!F79+TableC2!Q79)/(TableC2!$D$91+TableC2!$O$91)</f>
        <v>0</v>
      </c>
      <c r="G81" s="1159">
        <f>1000*TableA7!$P$91*(TableC2!G79+TableC2!R79)/(TableC2!$D$91+TableC2!$O$91)</f>
        <v>0</v>
      </c>
      <c r="H81" s="1159">
        <f>1000*TableA7!$P$91*(TableC2!H79+TableC2!S79)/(TableC2!$D$91+TableC2!$O$91)</f>
        <v>0</v>
      </c>
      <c r="I81" s="1174">
        <f>1000*TableA7!$P$91*(TableC2!I79+TableC2!T79)/(TableC2!$D$91+TableC2!$O$91)</f>
        <v>0</v>
      </c>
      <c r="J81" s="1174">
        <f>1000*TableA7!$P$91*(TableC2!J79+TableC2!U79)/(TableC2!$D$91+TableC2!$O$91)</f>
        <v>0</v>
      </c>
      <c r="K81" s="1174">
        <f>1000*TableA7!$P$91*(TableC2!K79+TableC2!V79)/(TableC2!$D$91+TableC2!$O$91)</f>
        <v>0</v>
      </c>
      <c r="L81" s="1174">
        <f>1000*TableA7!$P$91*(TableC2!M79+TableC2!X79)/(TableC2!$D$91+TableC2!$O$91)</f>
        <v>0</v>
      </c>
      <c r="M81" s="1235">
        <f>1000*TableA7!$P$91*(TableC2!N79+TableC2!Y79)/(TableC2!$D$91+TableC2!$O$91)</f>
        <v>0</v>
      </c>
      <c r="N81" s="1465">
        <v>0</v>
      </c>
      <c r="O81" s="1759"/>
      <c r="P81" s="1766"/>
      <c r="Q81" s="1459">
        <f t="shared" si="56"/>
        <v>0</v>
      </c>
      <c r="R81" s="1459">
        <f t="shared" si="57"/>
        <v>0</v>
      </c>
      <c r="S81" s="1459">
        <f t="shared" si="58"/>
        <v>0</v>
      </c>
      <c r="T81" s="1459">
        <f t="shared" si="59"/>
        <v>0</v>
      </c>
      <c r="U81" s="1459">
        <f t="shared" si="60"/>
        <v>0</v>
      </c>
      <c r="V81" s="1459">
        <f t="shared" si="61"/>
        <v>0</v>
      </c>
      <c r="W81" s="1174">
        <f t="shared" si="62"/>
        <v>0</v>
      </c>
      <c r="X81" s="1235">
        <f t="shared" si="63"/>
        <v>0</v>
      </c>
      <c r="Y81" s="958"/>
      <c r="Z81" s="958"/>
      <c r="AA81" s="958"/>
      <c r="AB81" s="958"/>
      <c r="AC81" s="958"/>
      <c r="AD81" s="958"/>
      <c r="AE81" s="958"/>
      <c r="AF81" s="958"/>
      <c r="AG81" s="958"/>
      <c r="AH81" s="958"/>
      <c r="AI81" s="958"/>
    </row>
    <row r="82" spans="1:35" ht="14.25" hidden="1" customHeight="1" x14ac:dyDescent="0.2">
      <c r="A82" s="958"/>
      <c r="B82" s="959" t="s">
        <v>100</v>
      </c>
      <c r="C82" s="1458">
        <f>1000*TableA7!$P$91*(TableC2!D80+TableC2!O80)/(TableC2!$D$91+TableC2!$O$91)</f>
        <v>0</v>
      </c>
      <c r="D82" s="1756"/>
      <c r="E82" s="1762"/>
      <c r="F82" s="1159">
        <f>1000*TableA7!$P$91*(TableC2!F80+TableC2!Q80)/(TableC2!$D$91+TableC2!$O$91)</f>
        <v>0</v>
      </c>
      <c r="G82" s="1159">
        <f>1000*TableA7!$P$91*(TableC2!G80+TableC2!R80)/(TableC2!$D$91+TableC2!$O$91)</f>
        <v>0</v>
      </c>
      <c r="H82" s="1159">
        <f>1000*TableA7!$P$91*(TableC2!H80+TableC2!S80)/(TableC2!$D$91+TableC2!$O$91)</f>
        <v>0</v>
      </c>
      <c r="I82" s="1174">
        <f>1000*TableA7!$P$91*(TableC2!I80+TableC2!T80)/(TableC2!$D$91+TableC2!$O$91)</f>
        <v>0</v>
      </c>
      <c r="J82" s="1174">
        <f>1000*TableA7!$P$91*(TableC2!J80+TableC2!U80)/(TableC2!$D$91+TableC2!$O$91)</f>
        <v>0</v>
      </c>
      <c r="K82" s="1174">
        <f>1000*TableA7!$P$91*(TableC2!K80+TableC2!V80)/(TableC2!$D$91+TableC2!$O$91)</f>
        <v>0</v>
      </c>
      <c r="L82" s="1174">
        <f>1000*TableA7!$P$91*(TableC2!M80+TableC2!X80)/(TableC2!$D$91+TableC2!$O$91)</f>
        <v>0</v>
      </c>
      <c r="M82" s="1235">
        <f>1000*TableA7!$P$91*(TableC2!N80+TableC2!Y80)/(TableC2!$D$91+TableC2!$O$91)</f>
        <v>0</v>
      </c>
      <c r="N82" s="1465">
        <v>0</v>
      </c>
      <c r="O82" s="1759"/>
      <c r="P82" s="1766"/>
      <c r="Q82" s="1459">
        <f t="shared" si="56"/>
        <v>0</v>
      </c>
      <c r="R82" s="1459">
        <f t="shared" si="57"/>
        <v>0</v>
      </c>
      <c r="S82" s="1459">
        <f t="shared" si="58"/>
        <v>0</v>
      </c>
      <c r="T82" s="1459">
        <f t="shared" si="59"/>
        <v>0</v>
      </c>
      <c r="U82" s="1459">
        <f t="shared" si="60"/>
        <v>0</v>
      </c>
      <c r="V82" s="1459">
        <f t="shared" si="61"/>
        <v>0</v>
      </c>
      <c r="W82" s="1174">
        <f t="shared" si="62"/>
        <v>0</v>
      </c>
      <c r="X82" s="1235">
        <f t="shared" si="63"/>
        <v>0</v>
      </c>
      <c r="Y82" s="958"/>
      <c r="Z82" s="958"/>
      <c r="AA82" s="958"/>
      <c r="AB82" s="958"/>
      <c r="AC82" s="958"/>
      <c r="AD82" s="958"/>
      <c r="AE82" s="958"/>
      <c r="AF82" s="958"/>
      <c r="AG82" s="958"/>
      <c r="AH82" s="958"/>
      <c r="AI82" s="958"/>
    </row>
    <row r="83" spans="1:35" ht="14.25" hidden="1" customHeight="1" x14ac:dyDescent="0.2">
      <c r="A83" s="958"/>
      <c r="B83" s="959" t="str">
        <f>+TableA1!A82</f>
        <v>Seychelles</v>
      </c>
      <c r="C83" s="1458">
        <f>1000*TableA7!$P$91*(TableC2!D81+TableC2!O81)/(TableC2!$D$91+TableC2!$O$91)</f>
        <v>0</v>
      </c>
      <c r="D83" s="1756"/>
      <c r="E83" s="1762"/>
      <c r="F83" s="1159">
        <f>1000*TableA7!$P$91*(TableC2!F81+TableC2!Q81)/(TableC2!$D$91+TableC2!$O$91)</f>
        <v>0</v>
      </c>
      <c r="G83" s="1159">
        <f>1000*TableA7!$P$91*(TableC2!G81+TableC2!R81)/(TableC2!$D$91+TableC2!$O$91)</f>
        <v>0</v>
      </c>
      <c r="H83" s="1159">
        <f>1000*TableA7!$P$91*(TableC2!H81+TableC2!S81)/(TableC2!$D$91+TableC2!$O$91)</f>
        <v>0</v>
      </c>
      <c r="I83" s="1174">
        <f>1000*TableA7!$P$91*(TableC2!I81+TableC2!T81)/(TableC2!$D$91+TableC2!$O$91)</f>
        <v>0</v>
      </c>
      <c r="J83" s="1174">
        <f>1000*TableA7!$P$91*(TableC2!J81+TableC2!U81)/(TableC2!$D$91+TableC2!$O$91)</f>
        <v>0</v>
      </c>
      <c r="K83" s="1174">
        <f>1000*TableA7!$P$91*(TableC2!K81+TableC2!V81)/(TableC2!$D$91+TableC2!$O$91)</f>
        <v>0</v>
      </c>
      <c r="L83" s="1174">
        <f>1000*TableA7!$P$91*(TableC2!M81+TableC2!X81)/(TableC2!$D$91+TableC2!$O$91)</f>
        <v>0</v>
      </c>
      <c r="M83" s="1235">
        <f>1000*TableA7!$P$91*(TableC2!N81+TableC2!Y81)/(TableC2!$D$91+TableC2!$O$91)</f>
        <v>0</v>
      </c>
      <c r="N83" s="1465">
        <v>0</v>
      </c>
      <c r="O83" s="1759"/>
      <c r="P83" s="1766"/>
      <c r="Q83" s="1459">
        <f t="shared" si="56"/>
        <v>0</v>
      </c>
      <c r="R83" s="1459">
        <f t="shared" si="57"/>
        <v>0</v>
      </c>
      <c r="S83" s="1459">
        <f t="shared" si="58"/>
        <v>0</v>
      </c>
      <c r="T83" s="1459">
        <f t="shared" si="59"/>
        <v>0</v>
      </c>
      <c r="U83" s="1459">
        <f t="shared" si="60"/>
        <v>0</v>
      </c>
      <c r="V83" s="1459">
        <f t="shared" si="61"/>
        <v>0</v>
      </c>
      <c r="W83" s="1174">
        <f t="shared" si="62"/>
        <v>0</v>
      </c>
      <c r="X83" s="1235">
        <f t="shared" si="63"/>
        <v>0</v>
      </c>
      <c r="Y83" s="958"/>
      <c r="Z83" s="958"/>
      <c r="AA83" s="958"/>
      <c r="AB83" s="958"/>
      <c r="AC83" s="958"/>
      <c r="AD83" s="958"/>
      <c r="AE83" s="958"/>
      <c r="AF83" s="958"/>
      <c r="AG83" s="958"/>
      <c r="AH83" s="958"/>
      <c r="AI83" s="958"/>
    </row>
    <row r="84" spans="1:35" hidden="1" x14ac:dyDescent="0.2">
      <c r="A84" s="958"/>
      <c r="B84" s="959" t="s">
        <v>102</v>
      </c>
      <c r="C84" s="1458">
        <f>1000*TableA7!$P$91*(TableC2!D82+TableC2!O82)/(TableC2!$D$91+TableC2!$O$91)</f>
        <v>0</v>
      </c>
      <c r="D84" s="1756"/>
      <c r="E84" s="1762"/>
      <c r="F84" s="1159">
        <f>1000*TableA7!$P$91*(TableC2!F82+TableC2!Q82)/(TableC2!$D$91+TableC2!$O$91)</f>
        <v>0</v>
      </c>
      <c r="G84" s="1159">
        <f>1000*TableA7!$P$91*(TableC2!G82+TableC2!R82)/(TableC2!$D$91+TableC2!$O$91)</f>
        <v>0</v>
      </c>
      <c r="H84" s="1159">
        <f>1000*TableA7!$P$91*(TableC2!H82+TableC2!S82)/(TableC2!$D$91+TableC2!$O$91)</f>
        <v>0</v>
      </c>
      <c r="I84" s="1174">
        <f>1000*TableA7!$P$91*(TableC2!I82+TableC2!T82)/(TableC2!$D$91+TableC2!$O$91)</f>
        <v>0</v>
      </c>
      <c r="J84" s="1174">
        <f>1000*TableA7!$P$91*(TableC2!J82+TableC2!U82)/(TableC2!$D$91+TableC2!$O$91)</f>
        <v>0</v>
      </c>
      <c r="K84" s="1174">
        <f>1000*TableA7!$P$91*(TableC2!K82+TableC2!V82)/(TableC2!$D$91+TableC2!$O$91)</f>
        <v>0</v>
      </c>
      <c r="L84" s="1174">
        <f>1000*TableA7!$P$91*(TableC2!M82+TableC2!X82)/(TableC2!$D$91+TableC2!$O$91)</f>
        <v>0</v>
      </c>
      <c r="M84" s="1235">
        <f>1000*TableA7!$P$91*(TableC2!N82+TableC2!Y82)/(TableC2!$D$91+TableC2!$O$91)</f>
        <v>0</v>
      </c>
      <c r="N84" s="1465">
        <v>0</v>
      </c>
      <c r="O84" s="1759"/>
      <c r="P84" s="1766"/>
      <c r="Q84" s="1459">
        <f t="shared" si="56"/>
        <v>0</v>
      </c>
      <c r="R84" s="1459">
        <f t="shared" si="57"/>
        <v>0</v>
      </c>
      <c r="S84" s="1459">
        <f t="shared" si="58"/>
        <v>0</v>
      </c>
      <c r="T84" s="1459">
        <f t="shared" si="59"/>
        <v>0</v>
      </c>
      <c r="U84" s="1459">
        <f t="shared" si="60"/>
        <v>0</v>
      </c>
      <c r="V84" s="1459">
        <f t="shared" si="61"/>
        <v>0</v>
      </c>
      <c r="W84" s="1174">
        <f t="shared" si="62"/>
        <v>0</v>
      </c>
      <c r="X84" s="1235">
        <f t="shared" si="63"/>
        <v>0</v>
      </c>
      <c r="Y84" s="958"/>
      <c r="Z84" s="958"/>
      <c r="AA84" s="958"/>
      <c r="AB84" s="958"/>
      <c r="AC84" s="958"/>
      <c r="AD84" s="958"/>
      <c r="AE84" s="958"/>
      <c r="AF84" s="958"/>
      <c r="AG84" s="958"/>
      <c r="AH84" s="958"/>
      <c r="AI84" s="958"/>
    </row>
    <row r="85" spans="1:35" hidden="1" x14ac:dyDescent="0.2">
      <c r="A85" s="958"/>
      <c r="B85" s="959" t="str">
        <f>+TableA1!A84</f>
        <v>St. Kitts and Nevis</v>
      </c>
      <c r="C85" s="1458">
        <f>1000*TableA7!$P$91*(TableC2!D83+TableC2!O83)/(TableC2!$D$91+TableC2!$O$91)</f>
        <v>0</v>
      </c>
      <c r="D85" s="1756"/>
      <c r="E85" s="1762"/>
      <c r="F85" s="1159">
        <f>1000*TableA7!$P$91*(TableC2!F83+TableC2!Q83)/(TableC2!$D$91+TableC2!$O$91)</f>
        <v>0</v>
      </c>
      <c r="G85" s="1159">
        <f>1000*TableA7!$P$91*(TableC2!G83+TableC2!R83)/(TableC2!$D$91+TableC2!$O$91)</f>
        <v>0</v>
      </c>
      <c r="H85" s="1159">
        <f>1000*TableA7!$P$91*(TableC2!H83+TableC2!S83)/(TableC2!$D$91+TableC2!$O$91)</f>
        <v>0</v>
      </c>
      <c r="I85" s="1174">
        <f>1000*TableA7!$P$91*(TableC2!I83+TableC2!T83)/(TableC2!$D$91+TableC2!$O$91)</f>
        <v>0</v>
      </c>
      <c r="J85" s="1174">
        <f>1000*TableA7!$P$91*(TableC2!J83+TableC2!U83)/(TableC2!$D$91+TableC2!$O$91)</f>
        <v>0</v>
      </c>
      <c r="K85" s="1174">
        <f>1000*TableA7!$P$91*(TableC2!K83+TableC2!V83)/(TableC2!$D$91+TableC2!$O$91)</f>
        <v>0</v>
      </c>
      <c r="L85" s="1174">
        <f>1000*TableA7!$P$91*(TableC2!M83+TableC2!X83)/(TableC2!$D$91+TableC2!$O$91)</f>
        <v>0</v>
      </c>
      <c r="M85" s="1235">
        <f>1000*TableA7!$P$91*(TableC2!N83+TableC2!Y83)/(TableC2!$D$91+TableC2!$O$91)</f>
        <v>0</v>
      </c>
      <c r="N85" s="1465">
        <v>0</v>
      </c>
      <c r="O85" s="1759"/>
      <c r="P85" s="1766"/>
      <c r="Q85" s="1459">
        <f t="shared" si="56"/>
        <v>0</v>
      </c>
      <c r="R85" s="1459">
        <f t="shared" si="57"/>
        <v>0</v>
      </c>
      <c r="S85" s="1459">
        <f t="shared" si="58"/>
        <v>0</v>
      </c>
      <c r="T85" s="1459">
        <f t="shared" si="59"/>
        <v>0</v>
      </c>
      <c r="U85" s="1459">
        <f t="shared" si="60"/>
        <v>0</v>
      </c>
      <c r="V85" s="1459">
        <f t="shared" si="61"/>
        <v>0</v>
      </c>
      <c r="W85" s="1174">
        <f t="shared" si="62"/>
        <v>0</v>
      </c>
      <c r="X85" s="1235">
        <f t="shared" si="63"/>
        <v>0</v>
      </c>
      <c r="Y85" s="958"/>
      <c r="Z85" s="958"/>
      <c r="AA85" s="958"/>
      <c r="AB85" s="958"/>
      <c r="AC85" s="958"/>
      <c r="AD85" s="958"/>
      <c r="AE85" s="958"/>
      <c r="AF85" s="958"/>
      <c r="AG85" s="958"/>
      <c r="AH85" s="958"/>
      <c r="AI85" s="958"/>
    </row>
    <row r="86" spans="1:35" hidden="1" x14ac:dyDescent="0.2">
      <c r="A86" s="958"/>
      <c r="B86" s="959" t="str">
        <f>+TableA1!A85</f>
        <v>St. Lucia</v>
      </c>
      <c r="C86" s="1458">
        <f>1000*TableA7!$P$91*(TableC2!D84+TableC2!O84)/(TableC2!$D$91+TableC2!$O$91)</f>
        <v>0</v>
      </c>
      <c r="D86" s="1756"/>
      <c r="E86" s="1762"/>
      <c r="F86" s="1159">
        <f>1000*TableA7!$P$91*(TableC2!F84+TableC2!Q84)/(TableC2!$D$91+TableC2!$O$91)</f>
        <v>0</v>
      </c>
      <c r="G86" s="1159">
        <f>1000*TableA7!$P$91*(TableC2!G84+TableC2!R84)/(TableC2!$D$91+TableC2!$O$91)</f>
        <v>0</v>
      </c>
      <c r="H86" s="1159">
        <f>1000*TableA7!$P$91*(TableC2!H84+TableC2!S84)/(TableC2!$D$91+TableC2!$O$91)</f>
        <v>0</v>
      </c>
      <c r="I86" s="1174">
        <f>1000*TableA7!$P$91*(TableC2!I84+TableC2!T84)/(TableC2!$D$91+TableC2!$O$91)</f>
        <v>0</v>
      </c>
      <c r="J86" s="1174">
        <f>1000*TableA7!$P$91*(TableC2!J84+TableC2!U84)/(TableC2!$D$91+TableC2!$O$91)</f>
        <v>0</v>
      </c>
      <c r="K86" s="1174">
        <f>1000*TableA7!$P$91*(TableC2!K84+TableC2!V84)/(TableC2!$D$91+TableC2!$O$91)</f>
        <v>0</v>
      </c>
      <c r="L86" s="1174">
        <f>1000*TableA7!$P$91*(TableC2!M84+TableC2!X84)/(TableC2!$D$91+TableC2!$O$91)</f>
        <v>0</v>
      </c>
      <c r="M86" s="1235">
        <f>1000*TableA7!$P$91*(TableC2!N84+TableC2!Y84)/(TableC2!$D$91+TableC2!$O$91)</f>
        <v>0</v>
      </c>
      <c r="N86" s="1465">
        <v>0</v>
      </c>
      <c r="O86" s="1759"/>
      <c r="P86" s="1766"/>
      <c r="Q86" s="1459">
        <f t="shared" si="56"/>
        <v>0</v>
      </c>
      <c r="R86" s="1459">
        <f t="shared" si="57"/>
        <v>0</v>
      </c>
      <c r="S86" s="1459">
        <f t="shared" si="58"/>
        <v>0</v>
      </c>
      <c r="T86" s="1459">
        <f t="shared" si="59"/>
        <v>0</v>
      </c>
      <c r="U86" s="1459">
        <f t="shared" si="60"/>
        <v>0</v>
      </c>
      <c r="V86" s="1459">
        <f t="shared" si="61"/>
        <v>0</v>
      </c>
      <c r="W86" s="1174">
        <f t="shared" si="62"/>
        <v>0</v>
      </c>
      <c r="X86" s="1235">
        <f t="shared" si="63"/>
        <v>0</v>
      </c>
      <c r="Y86" s="958"/>
      <c r="Z86" s="958"/>
      <c r="AA86" s="958"/>
      <c r="AB86" s="958"/>
      <c r="AC86" s="958"/>
      <c r="AD86" s="958"/>
      <c r="AE86" s="958"/>
      <c r="AF86" s="958"/>
      <c r="AG86" s="958"/>
      <c r="AH86" s="958"/>
      <c r="AI86" s="958"/>
    </row>
    <row r="87" spans="1:35" hidden="1" x14ac:dyDescent="0.2">
      <c r="A87" s="958"/>
      <c r="B87" s="959" t="str">
        <f>+TableA1!A86</f>
        <v>St. Vincent and the Grenadines</v>
      </c>
      <c r="C87" s="1458">
        <f>1000*TableA7!$P$91*(TableC2!D85+TableC2!O85)/(TableC2!$D$91+TableC2!$O$91)</f>
        <v>0</v>
      </c>
      <c r="D87" s="1756"/>
      <c r="E87" s="1762"/>
      <c r="F87" s="1159">
        <f>1000*TableA7!$P$91*(TableC2!F85+TableC2!Q85)/(TableC2!$D$91+TableC2!$O$91)</f>
        <v>0</v>
      </c>
      <c r="G87" s="1159">
        <f>1000*TableA7!$P$91*(TableC2!G85+TableC2!R85)/(TableC2!$D$91+TableC2!$O$91)</f>
        <v>0</v>
      </c>
      <c r="H87" s="1159">
        <f>1000*TableA7!$P$91*(TableC2!H85+TableC2!S85)/(TableC2!$D$91+TableC2!$O$91)</f>
        <v>0</v>
      </c>
      <c r="I87" s="1174">
        <f>1000*TableA7!$P$91*(TableC2!I85+TableC2!T85)/(TableC2!$D$91+TableC2!$O$91)</f>
        <v>0</v>
      </c>
      <c r="J87" s="1174">
        <f>1000*TableA7!$P$91*(TableC2!J85+TableC2!U85)/(TableC2!$D$91+TableC2!$O$91)</f>
        <v>0</v>
      </c>
      <c r="K87" s="1174">
        <f>1000*TableA7!$P$91*(TableC2!K85+TableC2!V85)/(TableC2!$D$91+TableC2!$O$91)</f>
        <v>0</v>
      </c>
      <c r="L87" s="1174">
        <f>1000*TableA7!$P$91*(TableC2!M85+TableC2!X85)/(TableC2!$D$91+TableC2!$O$91)</f>
        <v>0</v>
      </c>
      <c r="M87" s="1235">
        <f>1000*TableA7!$P$91*(TableC2!N85+TableC2!Y85)/(TableC2!$D$91+TableC2!$O$91)</f>
        <v>0</v>
      </c>
      <c r="N87" s="1465">
        <v>0</v>
      </c>
      <c r="O87" s="1759"/>
      <c r="P87" s="1766"/>
      <c r="Q87" s="1459">
        <f t="shared" si="56"/>
        <v>0</v>
      </c>
      <c r="R87" s="1459">
        <f t="shared" si="57"/>
        <v>0</v>
      </c>
      <c r="S87" s="1459">
        <f t="shared" si="58"/>
        <v>0</v>
      </c>
      <c r="T87" s="1459">
        <f t="shared" si="59"/>
        <v>0</v>
      </c>
      <c r="U87" s="1459">
        <f t="shared" si="60"/>
        <v>0</v>
      </c>
      <c r="V87" s="1459">
        <f t="shared" si="61"/>
        <v>0</v>
      </c>
      <c r="W87" s="1174">
        <f t="shared" si="62"/>
        <v>0</v>
      </c>
      <c r="X87" s="1235">
        <f t="shared" si="63"/>
        <v>0</v>
      </c>
      <c r="Y87" s="958"/>
      <c r="Z87" s="958"/>
      <c r="AA87" s="958"/>
      <c r="AB87" s="958"/>
      <c r="AC87" s="958"/>
      <c r="AD87" s="958"/>
      <c r="AE87" s="958"/>
      <c r="AF87" s="958"/>
      <c r="AG87" s="958"/>
      <c r="AH87" s="958"/>
      <c r="AI87" s="958"/>
    </row>
    <row r="88" spans="1:35" hidden="1" x14ac:dyDescent="0.2">
      <c r="A88" s="329" t="s">
        <v>374</v>
      </c>
      <c r="B88" s="959" t="str">
        <f>+TableA1!A87</f>
        <v>Turks and Caicos</v>
      </c>
      <c r="C88" s="1458">
        <f>1000*TableA7!$P$91*(TableC2!D86+TableC2!O86)/(TableC2!$D$91+TableC2!$O$91)</f>
        <v>0</v>
      </c>
      <c r="D88" s="1756"/>
      <c r="E88" s="1762"/>
      <c r="F88" s="1159">
        <f>1000*TableA7!$P$91*(TableC2!F86+TableC2!Q86)/(TableC2!$D$91+TableC2!$O$91)</f>
        <v>0</v>
      </c>
      <c r="G88" s="1159">
        <f>1000*TableA7!$P$91*(TableC2!G86+TableC2!R86)/(TableC2!$D$91+TableC2!$O$91)</f>
        <v>0</v>
      </c>
      <c r="H88" s="1159">
        <f>1000*TableA7!$P$91*(TableC2!H86+TableC2!S86)/(TableC2!$D$91+TableC2!$O$91)</f>
        <v>0</v>
      </c>
      <c r="I88" s="1174">
        <f>1000*TableA7!$P$91*(TableC2!I86+TableC2!T86)/(TableC2!$D$91+TableC2!$O$91)</f>
        <v>0</v>
      </c>
      <c r="J88" s="1174">
        <f>1000*TableA7!$P$91*(TableC2!J86+TableC2!U86)/(TableC2!$D$91+TableC2!$O$91)</f>
        <v>0</v>
      </c>
      <c r="K88" s="1174">
        <f>1000*TableA7!$P$91*(TableC2!K86+TableC2!V86)/(TableC2!$D$91+TableC2!$O$91)</f>
        <v>0</v>
      </c>
      <c r="L88" s="1174">
        <f>1000*TableA7!$P$91*(TableC2!M86+TableC2!X86)/(TableC2!$D$91+TableC2!$O$91)</f>
        <v>0</v>
      </c>
      <c r="M88" s="1235">
        <f>1000*TableA7!$P$91*(TableC2!N86+TableC2!Y86)/(TableC2!$D$91+TableC2!$O$91)</f>
        <v>0</v>
      </c>
      <c r="N88" s="1465">
        <v>0</v>
      </c>
      <c r="O88" s="1759"/>
      <c r="P88" s="1766"/>
      <c r="Q88" s="1459">
        <f t="shared" si="56"/>
        <v>0</v>
      </c>
      <c r="R88" s="1459">
        <f t="shared" si="57"/>
        <v>0</v>
      </c>
      <c r="S88" s="1459">
        <f t="shared" si="58"/>
        <v>0</v>
      </c>
      <c r="T88" s="1459">
        <f t="shared" si="59"/>
        <v>0</v>
      </c>
      <c r="U88" s="1459">
        <f t="shared" si="60"/>
        <v>0</v>
      </c>
      <c r="V88" s="1459">
        <f t="shared" si="61"/>
        <v>0</v>
      </c>
      <c r="W88" s="1174">
        <f t="shared" si="62"/>
        <v>0</v>
      </c>
      <c r="X88" s="1235">
        <f t="shared" si="63"/>
        <v>0</v>
      </c>
      <c r="Y88" s="958"/>
      <c r="Z88" s="958"/>
      <c r="AA88" s="958"/>
      <c r="AB88" s="958"/>
      <c r="AC88" s="958"/>
      <c r="AD88" s="958"/>
      <c r="AE88" s="958"/>
      <c r="AF88" s="958"/>
      <c r="AG88" s="958"/>
      <c r="AH88" s="958"/>
      <c r="AI88" s="958"/>
    </row>
    <row r="89" spans="1:35" hidden="1" x14ac:dyDescent="0.2">
      <c r="A89" s="958"/>
      <c r="B89" s="959" t="str">
        <f>+TableA1!A88</f>
        <v>Panama</v>
      </c>
      <c r="C89" s="1458">
        <f>1000*TableA7!$P$91*(TableC2!D87+TableC2!O87)/(TableC2!$D$91+TableC2!$O$91)</f>
        <v>0</v>
      </c>
      <c r="D89" s="1756"/>
      <c r="E89" s="1762"/>
      <c r="F89" s="1159">
        <f>1000*TableA7!$P$91*(TableC2!F87+TableC2!Q87)/(TableC2!$D$91+TableC2!$O$91)</f>
        <v>0</v>
      </c>
      <c r="G89" s="1159">
        <f>1000*TableA7!$P$91*(TableC2!G87+TableC2!R87)/(TableC2!$D$91+TableC2!$O$91)</f>
        <v>0</v>
      </c>
      <c r="H89" s="1159">
        <f>1000*TableA7!$P$91*(TableC2!H87+TableC2!S87)/(TableC2!$D$91+TableC2!$O$91)</f>
        <v>0</v>
      </c>
      <c r="I89" s="1174">
        <f>1000*TableA7!$P$91*(TableC2!I87+TableC2!T87)/(TableC2!$D$91+TableC2!$O$91)</f>
        <v>0</v>
      </c>
      <c r="J89" s="1174">
        <f>1000*TableA7!$P$91*(TableC2!J87+TableC2!U87)/(TableC2!$D$91+TableC2!$O$91)</f>
        <v>0</v>
      </c>
      <c r="K89" s="1174">
        <f>1000*TableA7!$P$91*(TableC2!K87+TableC2!V87)/(TableC2!$D$91+TableC2!$O$91)</f>
        <v>0</v>
      </c>
      <c r="L89" s="1174">
        <f>1000*TableA7!$P$91*(TableC2!M87+TableC2!X87)/(TableC2!$D$91+TableC2!$O$91)</f>
        <v>0</v>
      </c>
      <c r="M89" s="1235">
        <f>1000*TableA7!$P$91*(TableC2!N87+TableC2!Y87)/(TableC2!$D$91+TableC2!$O$91)</f>
        <v>0</v>
      </c>
      <c r="N89" s="1465">
        <v>0</v>
      </c>
      <c r="O89" s="1759"/>
      <c r="P89" s="1766"/>
      <c r="Q89" s="1459">
        <f t="shared" si="56"/>
        <v>0</v>
      </c>
      <c r="R89" s="1459">
        <f t="shared" si="57"/>
        <v>0</v>
      </c>
      <c r="S89" s="1459">
        <f t="shared" si="58"/>
        <v>0</v>
      </c>
      <c r="T89" s="1459">
        <f t="shared" si="59"/>
        <v>0</v>
      </c>
      <c r="U89" s="1459">
        <f t="shared" si="60"/>
        <v>0</v>
      </c>
      <c r="V89" s="1459">
        <f t="shared" si="61"/>
        <v>0</v>
      </c>
      <c r="W89" s="1174">
        <f t="shared" si="62"/>
        <v>0</v>
      </c>
      <c r="X89" s="1235">
        <f t="shared" si="63"/>
        <v>0</v>
      </c>
      <c r="Y89" s="958"/>
      <c r="Z89" s="958"/>
      <c r="AA89" s="958"/>
      <c r="AB89" s="958"/>
      <c r="AC89" s="958"/>
      <c r="AD89" s="958"/>
      <c r="AE89" s="958"/>
      <c r="AF89" s="958"/>
      <c r="AG89" s="958"/>
      <c r="AH89" s="958"/>
      <c r="AI89" s="958"/>
    </row>
    <row r="90" spans="1:35" hidden="1" x14ac:dyDescent="0.2">
      <c r="A90" s="958"/>
      <c r="B90" s="959" t="s">
        <v>108</v>
      </c>
      <c r="C90" s="1458">
        <f>1000*TableA7!$P$91*(TableC2!D88+TableC2!O88)/(TableC2!$D$91+TableC2!$O$91)</f>
        <v>0</v>
      </c>
      <c r="D90" s="1756"/>
      <c r="E90" s="1762"/>
      <c r="F90" s="1159">
        <f>1000*TableA7!$P$91*(TableC2!F88+TableC2!Q88)/(TableC2!$D$91+TableC2!$O$91)</f>
        <v>0</v>
      </c>
      <c r="G90" s="1159">
        <f>1000*TableA7!$P$91*(TableC2!G88+TableC2!R88)/(TableC2!$D$91+TableC2!$O$91)</f>
        <v>0</v>
      </c>
      <c r="H90" s="1159">
        <f>1000*TableA7!$P$91*(TableC2!H88+TableC2!S88)/(TableC2!$D$91+TableC2!$O$91)</f>
        <v>0</v>
      </c>
      <c r="I90" s="1174">
        <f>1000*TableA7!$P$91*(TableC2!I88+TableC2!T88)/(TableC2!$D$91+TableC2!$O$91)</f>
        <v>0</v>
      </c>
      <c r="J90" s="1174">
        <f>1000*TableA7!$P$91*(TableC2!J88+TableC2!U88)/(TableC2!$D$91+TableC2!$O$91)</f>
        <v>0</v>
      </c>
      <c r="K90" s="1174">
        <f>1000*TableA7!$P$91*(TableC2!K88+TableC2!V88)/(TableC2!$D$91+TableC2!$O$91)</f>
        <v>0</v>
      </c>
      <c r="L90" s="1174">
        <f>1000*TableA7!$P$91*(TableC2!M88+TableC2!X88)/(TableC2!$D$91+TableC2!$O$91)</f>
        <v>0</v>
      </c>
      <c r="M90" s="1235">
        <f>1000*TableA7!$P$91*(TableC2!N88+TableC2!Y88)/(TableC2!$D$91+TableC2!$O$91)</f>
        <v>0</v>
      </c>
      <c r="N90" s="1465">
        <v>0</v>
      </c>
      <c r="O90" s="1759"/>
      <c r="P90" s="1766"/>
      <c r="Q90" s="1459">
        <f t="shared" si="56"/>
        <v>0</v>
      </c>
      <c r="R90" s="1459">
        <f t="shared" si="57"/>
        <v>0</v>
      </c>
      <c r="S90" s="1459">
        <f t="shared" si="58"/>
        <v>0</v>
      </c>
      <c r="T90" s="1459">
        <f t="shared" si="59"/>
        <v>0</v>
      </c>
      <c r="U90" s="1459">
        <f t="shared" si="60"/>
        <v>0</v>
      </c>
      <c r="V90" s="1459">
        <f t="shared" si="61"/>
        <v>0</v>
      </c>
      <c r="W90" s="1174">
        <f t="shared" si="62"/>
        <v>0</v>
      </c>
      <c r="X90" s="1235">
        <f t="shared" si="63"/>
        <v>0</v>
      </c>
      <c r="Y90" s="958"/>
      <c r="Z90" s="958"/>
      <c r="AA90" s="958"/>
      <c r="AB90" s="958"/>
      <c r="AC90" s="958"/>
      <c r="AD90" s="958"/>
      <c r="AE90" s="958"/>
      <c r="AF90" s="958"/>
      <c r="AG90" s="958"/>
      <c r="AH90" s="958"/>
      <c r="AI90" s="958"/>
    </row>
    <row r="91" spans="1:35" ht="40" customHeight="1" x14ac:dyDescent="0.2">
      <c r="A91" s="958"/>
      <c r="B91" s="1509" t="s">
        <v>155</v>
      </c>
      <c r="C91" s="1468">
        <f t="shared" ref="C91" si="72">+E91+D91</f>
        <v>78717.942430662981</v>
      </c>
      <c r="D91" s="1757">
        <f t="shared" ref="D91" si="73">+SUM(F91:K91)</f>
        <v>32128.448563024547</v>
      </c>
      <c r="E91" s="1763">
        <f t="shared" ref="E91" si="74">+SUM(L91:M91)</f>
        <v>46589.493867638434</v>
      </c>
      <c r="F91" s="1348">
        <f>1000*TableA7!$P$91*(TableC2!F89+TableC2!Q89)/(TableC2!$D$91+TableC2!$O$91)</f>
        <v>2456.8195224799219</v>
      </c>
      <c r="G91" s="1348">
        <f>1000*TableA7!$P$91*(TableC2!G89+TableC2!R89)/(TableC2!$D$91+TableC2!$O$91)</f>
        <v>643.35297746956837</v>
      </c>
      <c r="H91" s="1348">
        <f>1000*TableA7!$P$91*(TableC2!H89+TableC2!S89)/(TableC2!$D$91+TableC2!$O$91)</f>
        <v>17081.92437547115</v>
      </c>
      <c r="I91" s="1469">
        <f>1000*TableA7!$P$91*(TableC2!I89+TableC2!T89)/(TableC2!$D$91+TableC2!$O$91)</f>
        <v>3677.4371199912403</v>
      </c>
      <c r="J91" s="1469">
        <f>1000*TableA7!$P$91*(TableC2!J89+TableC2!U89)/(TableC2!$D$91+TableC2!$O$91)</f>
        <v>3100.7926635407334</v>
      </c>
      <c r="K91" s="1469">
        <f>1000*TableA7!$P$91*(TableC2!K89+TableC2!V89)/(TableC2!$D$91+TableC2!$O$91)</f>
        <v>5168.1219040719297</v>
      </c>
      <c r="L91" s="1469">
        <f>1000*TableA7!$P$91*(TableC2!M89+TableC2!X89)/(TableC2!$D$91+TableC2!$O$91)</f>
        <v>3824.9758160131223</v>
      </c>
      <c r="M91" s="1472">
        <f>1000*TableA7!$P$91*(TableC2!N89+TableC2!Y89)/(TableC2!$D$91+TableC2!$O$91)</f>
        <v>42764.518051625309</v>
      </c>
      <c r="N91" s="1468">
        <f t="shared" ref="N91" si="75">+P91+O91</f>
        <v>19924.194321217783</v>
      </c>
      <c r="O91" s="1757">
        <f t="shared" ref="O91" si="76">+SUM(Q91:V91)</f>
        <v>2481.0410131236144</v>
      </c>
      <c r="P91" s="1763">
        <f t="shared" ref="P91" si="77">+SUM(W91:X91)</f>
        <v>17443.15330809417</v>
      </c>
      <c r="Q91" s="1348">
        <f>1000*TableA7!$P$91*TableC3!E89/TableC3!$C$91</f>
        <v>516.06991313591834</v>
      </c>
      <c r="R91" s="1348">
        <f>1000*TableA7!$P$91*TableC3!F89/TableC3!$C$91</f>
        <v>48.035185488895884</v>
      </c>
      <c r="S91" s="1348">
        <f>1000*TableA7!$P$91*TableC3!G89/TableC3!$C$91</f>
        <v>15.894548048324211</v>
      </c>
      <c r="T91" s="1469">
        <f>1000*TableA7!$P$91*TableC3!H89/TableC3!$C$91</f>
        <v>1490.2721495788899</v>
      </c>
      <c r="U91" s="1469">
        <f>1000*TableA7!$P$91*TableC3!I89/TableC3!$C$91</f>
        <v>15.481920664578277</v>
      </c>
      <c r="V91" s="1469">
        <f>1000*TableA7!$P$91*TableC3!J89/TableC3!$C$91</f>
        <v>395.28729620700761</v>
      </c>
      <c r="W91" s="1469">
        <f>1000*TableA7!$P$91*TableC3!L89/TableC3!$C$91</f>
        <v>0</v>
      </c>
      <c r="X91" s="1472">
        <f>1000*TableA7!$P$91*TableC3!M89/TableC3!$C$91</f>
        <v>17443.15330809417</v>
      </c>
      <c r="Y91" s="958"/>
      <c r="Z91" s="958"/>
      <c r="AA91" s="958"/>
      <c r="AB91" s="958"/>
      <c r="AC91" s="958"/>
      <c r="AD91" s="958"/>
      <c r="AE91" s="958"/>
      <c r="AF91" s="958"/>
      <c r="AG91" s="958"/>
      <c r="AH91" s="958"/>
      <c r="AI91" s="958"/>
    </row>
    <row r="92" spans="1:35" ht="40" hidden="1" customHeight="1" x14ac:dyDescent="0.2">
      <c r="A92" s="958"/>
      <c r="B92" s="310"/>
      <c r="C92" s="1476"/>
      <c r="D92" s="1752"/>
      <c r="E92" s="1761"/>
      <c r="F92" s="245">
        <f>1000*TableA7!$P$91*(TableC2!F90+TableC2!Q90)/(TableC2!$D$91+TableC2!$O$91)</f>
        <v>45844.245734219949</v>
      </c>
      <c r="G92" s="245">
        <f>1000*TableA7!$P$91*(TableC2!G90+TableC2!R90)/(TableC2!$D$91+TableC2!$O$91)</f>
        <v>2352.407244170844</v>
      </c>
      <c r="H92" s="245">
        <f>1000*TableA7!$P$91*(TableC2!H90+TableC2!S90)/(TableC2!$D$91+TableC2!$O$91)</f>
        <v>103151.35752398905</v>
      </c>
      <c r="I92" s="245">
        <f>1000*TableA7!$P$91*(TableC2!I90+TableC2!T90)/(TableC2!$D$91+TableC2!$O$91)</f>
        <v>105662.19970888982</v>
      </c>
      <c r="J92" s="245">
        <f>1000*TableA7!$P$91*(TableC2!J90+TableC2!U90)/(TableC2!$D$91+TableC2!$O$91)</f>
        <v>4443.316159951034</v>
      </c>
      <c r="K92" s="245">
        <f>1000*TableA7!$P$91*(TableC2!K90+TableC2!V90)/(TableC2!$D$91+TableC2!$O$91)</f>
        <v>103785.40677992148</v>
      </c>
      <c r="L92" s="245">
        <f>1000*TableA7!$P$91*(TableC2!M90+TableC2!X90)/(TableC2!$D$91+TableC2!$O$91)</f>
        <v>81651.693762084658</v>
      </c>
      <c r="M92" s="623">
        <f>1000*TableA7!$P$91*(TableC2!N90+TableC2!Y90)/(TableC2!$D$91+TableC2!$O$91)</f>
        <v>347865.48583864461</v>
      </c>
      <c r="N92" s="1476"/>
      <c r="O92" s="1752"/>
      <c r="P92" s="1761"/>
      <c r="Q92" s="1752">
        <f>+SUMPRODUCT($F92:$M92,$AE$66:$AL$66)</f>
        <v>17735.584639415265</v>
      </c>
      <c r="R92" s="1752">
        <f>+SUMPRODUCT($F92:$M92,$AE$67:$AL$67)</f>
        <v>4891.0299400289041</v>
      </c>
      <c r="S92" s="1752">
        <f>+SUMPRODUCT($F92:$M92,$AE$68:$AL$68)</f>
        <v>134807.94937247006</v>
      </c>
      <c r="T92" s="1752">
        <f>+SUMPRODUCT($F92:$M92,$AE$69:$AL$69)</f>
        <v>60908.457063727583</v>
      </c>
      <c r="U92" s="1752">
        <f>+SUMPRODUCT($F92:$M92,$AE$70:$AL$70)</f>
        <v>14793.032069829187</v>
      </c>
      <c r="V92" s="1752">
        <f>+SUMPRODUCT($F92:$M92,$AE$71:$AL$71)</f>
        <v>76030.920173003193</v>
      </c>
      <c r="W92" s="1752">
        <f>+SUMPRODUCT($F92:$M92,$AE$72:$AL$72)</f>
        <v>84698.105634207182</v>
      </c>
      <c r="X92" s="632">
        <f>+SUMPRODUCT($F92:$M92,$AE$73:$AL$73)</f>
        <v>400891.03385919007</v>
      </c>
      <c r="Y92" s="958"/>
      <c r="Z92" s="958"/>
      <c r="AA92" s="958"/>
      <c r="AB92" s="958"/>
      <c r="AC92" s="958"/>
      <c r="AD92" s="958"/>
      <c r="AE92" s="958"/>
      <c r="AF92" s="958"/>
      <c r="AG92" s="958"/>
      <c r="AH92" s="958"/>
      <c r="AI92" s="958"/>
    </row>
    <row r="93" spans="1:35" ht="40" customHeight="1" thickBot="1" x14ac:dyDescent="0.25">
      <c r="A93" s="958"/>
      <c r="B93" s="330" t="str">
        <f>+TableC3!B91</f>
        <v>Non-haven total</v>
      </c>
      <c r="C93" s="1755">
        <f>1000*TableA7!$P$91*(TableC2!D91+TableC2!O91)/(TableC2!$D$91+TableC2!$O$91)</f>
        <v>616461.62984891725</v>
      </c>
      <c r="D93" s="1758">
        <f t="shared" ref="D93" si="78">+SUM(F93:K93)</f>
        <v>291090.05346102011</v>
      </c>
      <c r="E93" s="1764">
        <f t="shared" ref="E93" si="79">+SUM(L93:M93)</f>
        <v>325371.29665729316</v>
      </c>
      <c r="F93" s="1753">
        <f>1000*TableA7!$P$91*(TableC2!F91+TableC2!Q91)/(TableC2!$D$91+TableC2!$O$91)</f>
        <v>33765.495023400748</v>
      </c>
      <c r="G93" s="1753">
        <f>1000*TableA7!$P$91*(TableC2!G91+TableC2!R91)/(TableC2!$D$91+TableC2!$O$91)</f>
        <v>2250.1600095749436</v>
      </c>
      <c r="H93" s="1753">
        <f>1000*TableA7!$P$91*(TableC2!H91+TableC2!S91)/(TableC2!$D$91+TableC2!$O$91)</f>
        <v>88827.178117135452</v>
      </c>
      <c r="I93" s="1753">
        <f>1000*TableA7!$P$91*(TableC2!I91+TableC2!T91)/(TableC2!$D$91+TableC2!$O$91)</f>
        <v>87677.932773085748</v>
      </c>
      <c r="J93" s="1753">
        <f>1000*TableA7!$P$91*(TableC2!J91+TableC2!U91)/(TableC2!$D$91+TableC2!$O$91)</f>
        <v>4302.8044063658681</v>
      </c>
      <c r="K93" s="1753">
        <f>1000*TableA7!$P$91*(TableC2!K91+TableC2!V91)/(TableC2!$D$91+TableC2!$O$91)</f>
        <v>74266.483131457338</v>
      </c>
      <c r="L93" s="1753">
        <f>1000*TableA7!$P$91*(TableC2!M91+TableC2!X91)/(TableC2!$D$91+TableC2!$O$91)</f>
        <v>50102.998963108526</v>
      </c>
      <c r="M93" s="1754">
        <f>1000*TableA7!$P$91*(TableC2!N91+TableC2!Y91)/(TableC2!$D$91+TableC2!$O$91)</f>
        <v>275268.29769418464</v>
      </c>
      <c r="N93" s="1755">
        <v>616462</v>
      </c>
      <c r="O93" s="1758">
        <f t="shared" ref="O93" si="80">+SUM(Q93:V93)</f>
        <v>240136.54355668652</v>
      </c>
      <c r="P93" s="1764">
        <f t="shared" ref="P93" si="81">+SUM(W93:X93)</f>
        <v>376324.80656162673</v>
      </c>
      <c r="Q93" s="1758">
        <f>+SUMPRODUCT($F93:$M93,$AE$66:$AL$66)</f>
        <v>13106.864655390324</v>
      </c>
      <c r="R93" s="1758">
        <f>+SUMPRODUCT($F93:$M93,$AE$67:$AL$67)</f>
        <v>4220.4527006020026</v>
      </c>
      <c r="S93" s="1758">
        <f>+SUMPRODUCT($F93:$M93,$AE$68:$AL$68)</f>
        <v>106328.9156242251</v>
      </c>
      <c r="T93" s="1758">
        <f>+SUMPRODUCT($F93:$M93,$AE$69:$AL$69)</f>
        <v>46799.550949704149</v>
      </c>
      <c r="U93" s="1758">
        <f>+SUMPRODUCT($F93:$M93,$AE$70:$AL$70)</f>
        <v>12327.421364370341</v>
      </c>
      <c r="V93" s="1758">
        <f>+SUMPRODUCT($F93:$M93,$AE$71:$AL$71)</f>
        <v>57353.338262394631</v>
      </c>
      <c r="W93" s="1758">
        <f>+SUMPRODUCT($F93:$M93,$AE$72:$AL$72)</f>
        <v>58152.698285099534</v>
      </c>
      <c r="X93" s="1754">
        <f>+SUMPRODUCT($F93:$M93,$AE$73:$AL$73)</f>
        <v>318172.1082765272</v>
      </c>
      <c r="Y93" s="958"/>
      <c r="Z93" s="958"/>
      <c r="AA93" s="958"/>
      <c r="AB93" s="958"/>
      <c r="AC93" s="958"/>
      <c r="AD93" s="958"/>
      <c r="AE93" s="958"/>
      <c r="AF93" s="958"/>
      <c r="AG93" s="958"/>
      <c r="AH93" s="958"/>
      <c r="AI93" s="958"/>
    </row>
    <row r="94" spans="1:35" s="2" customFormat="1" x14ac:dyDescent="0.2">
      <c r="F94" s="958"/>
      <c r="G94" s="958"/>
      <c r="H94" s="958"/>
      <c r="I94" s="958"/>
      <c r="J94" s="958"/>
      <c r="K94" s="958"/>
      <c r="L94" s="958"/>
      <c r="M94" s="958"/>
      <c r="Q94" s="958"/>
      <c r="R94" s="958"/>
      <c r="S94" s="958"/>
      <c r="T94" s="958"/>
      <c r="U94" s="958"/>
      <c r="V94" s="958"/>
      <c r="W94" s="958"/>
      <c r="X94" s="958"/>
    </row>
    <row r="95" spans="1:35" x14ac:dyDescent="0.2">
      <c r="A95" s="958"/>
      <c r="B95" s="958"/>
      <c r="C95" s="958"/>
      <c r="F95" s="958"/>
      <c r="G95" s="958"/>
      <c r="H95" s="958"/>
      <c r="I95" s="958"/>
      <c r="J95" s="958"/>
      <c r="K95" s="958"/>
      <c r="L95" s="958"/>
      <c r="M95" s="958"/>
      <c r="N95" s="958"/>
      <c r="Q95" s="958"/>
      <c r="R95" s="958"/>
      <c r="S95" s="958"/>
      <c r="T95" s="958"/>
      <c r="U95" s="958"/>
      <c r="V95" s="958"/>
      <c r="W95" s="958"/>
      <c r="X95" s="958"/>
      <c r="Y95" s="958"/>
      <c r="Z95" s="958"/>
      <c r="AA95" s="958"/>
      <c r="AB95" s="958">
        <v>13.106870602869716</v>
      </c>
      <c r="AC95" s="958">
        <v>4.220454615709551</v>
      </c>
      <c r="AD95" s="958">
        <v>106.3289638729139</v>
      </c>
      <c r="AE95" s="958">
        <v>46.799572185855702</v>
      </c>
      <c r="AF95" s="958">
        <v>12.327426958163089</v>
      </c>
      <c r="AG95" s="958">
        <v>57.353364287520073</v>
      </c>
      <c r="AH95" s="958">
        <v>58.152724672949248</v>
      </c>
      <c r="AI95" s="958">
        <f>616.4-SUM(AB95:AH95)</f>
        <v>318.1106228040187</v>
      </c>
    </row>
    <row r="96" spans="1:35" x14ac:dyDescent="0.2">
      <c r="A96" s="958"/>
      <c r="B96" s="958"/>
      <c r="C96" s="958"/>
      <c r="F96" s="958"/>
      <c r="G96" s="958"/>
      <c r="H96" s="958"/>
      <c r="I96" s="958"/>
      <c r="J96" s="958"/>
      <c r="K96" s="958"/>
      <c r="L96" s="958"/>
      <c r="M96" s="958"/>
      <c r="N96" s="958"/>
      <c r="Q96" s="958"/>
      <c r="R96" s="958"/>
      <c r="S96" s="958"/>
      <c r="T96" s="958"/>
      <c r="U96" s="958"/>
      <c r="V96" s="958"/>
      <c r="W96" s="958"/>
      <c r="X96" s="958"/>
      <c r="Y96" s="958"/>
      <c r="Z96" s="958"/>
      <c r="AA96" s="958"/>
      <c r="AB96" s="958">
        <v>13451.757542997082</v>
      </c>
      <c r="AC96" s="958">
        <v>4239.7805356675117</v>
      </c>
      <c r="AD96" s="958">
        <v>103692.43974123732</v>
      </c>
      <c r="AE96" s="958">
        <v>47800.070538824817</v>
      </c>
      <c r="AF96" s="958">
        <v>12408.29736024392</v>
      </c>
      <c r="AG96" s="958">
        <v>51913.634027380635</v>
      </c>
      <c r="AH96" s="958">
        <v>60242.565516298455</v>
      </c>
      <c r="AI96" s="958">
        <v>322695.94950579893</v>
      </c>
    </row>
    <row r="97" spans="17:35" x14ac:dyDescent="0.2">
      <c r="Q97" s="958"/>
      <c r="R97" s="958"/>
      <c r="S97" s="958"/>
      <c r="T97" s="958"/>
      <c r="U97" s="958"/>
      <c r="V97" s="958"/>
      <c r="W97" s="958"/>
      <c r="X97" s="958"/>
      <c r="Y97" s="958"/>
      <c r="Z97" s="958"/>
      <c r="AA97" s="958"/>
      <c r="AB97" s="958">
        <f t="shared" ref="AB97:AI97" si="82">1000*AB95/AB96</f>
        <v>0.97436119859988757</v>
      </c>
      <c r="AC97" s="958">
        <f t="shared" si="82"/>
        <v>0.9954417640735459</v>
      </c>
      <c r="AD97" s="958">
        <f t="shared" si="82"/>
        <v>1.0254263872877905</v>
      </c>
      <c r="AE97" s="958">
        <f t="shared" si="82"/>
        <v>0.9790691030015013</v>
      </c>
      <c r="AF97" s="958">
        <f t="shared" si="82"/>
        <v>0.9934825544768181</v>
      </c>
      <c r="AG97" s="958">
        <f t="shared" si="82"/>
        <v>1.1047842317736876</v>
      </c>
      <c r="AH97" s="958">
        <f t="shared" si="82"/>
        <v>0.96530956433480897</v>
      </c>
      <c r="AI97" s="958">
        <f t="shared" si="82"/>
        <v>0.98579056629374329</v>
      </c>
    </row>
    <row r="98" spans="17:35" x14ac:dyDescent="0.2">
      <c r="Q98" s="958"/>
      <c r="R98" s="958"/>
      <c r="S98" s="958"/>
      <c r="T98" s="958"/>
      <c r="U98" s="958"/>
      <c r="V98" s="958"/>
      <c r="W98" s="958"/>
      <c r="X98" s="958"/>
      <c r="Y98" s="958"/>
      <c r="Z98" s="958"/>
      <c r="AA98" s="958"/>
      <c r="AB98" s="958"/>
      <c r="AC98" s="958"/>
      <c r="AD98" s="958"/>
      <c r="AE98" s="958"/>
      <c r="AF98" s="958"/>
      <c r="AG98" s="958"/>
      <c r="AH98" s="958"/>
      <c r="AI98" s="958"/>
    </row>
  </sheetData>
  <mergeCells count="5">
    <mergeCell ref="B5:X5"/>
    <mergeCell ref="C7:M7"/>
    <mergeCell ref="N7:X7"/>
    <mergeCell ref="C8:C9"/>
    <mergeCell ref="N8:N9"/>
  </mergeCells>
  <pageMargins left="0.7" right="0.7" top="0.75" bottom="0.75" header="0.3" footer="0.3"/>
  <pageSetup scale="35" orientation="landscape" horizontalDpi="4294967292" verticalDpi="429496729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I11"/>
  <sheetViews>
    <sheetView topLeftCell="B1" workbookViewId="0">
      <selection activeCell="G10" sqref="G10"/>
    </sheetView>
  </sheetViews>
  <sheetFormatPr baseColWidth="10" defaultColWidth="8.83203125" defaultRowHeight="16" x14ac:dyDescent="0.2"/>
  <cols>
    <col min="1" max="1" width="0" hidden="1" customWidth="1"/>
    <col min="2" max="2" width="21.5" bestFit="1" customWidth="1"/>
    <col min="3" max="9" width="19.1640625" customWidth="1"/>
  </cols>
  <sheetData>
    <row r="1" spans="2:9" ht="17" thickBot="1" x14ac:dyDescent="0.25"/>
    <row r="2" spans="2:9" ht="40" customHeight="1" x14ac:dyDescent="0.2">
      <c r="B2" s="2073" t="s">
        <v>753</v>
      </c>
      <c r="C2" s="2074"/>
      <c r="D2" s="2074"/>
      <c r="E2" s="2074"/>
      <c r="F2" s="2074"/>
      <c r="G2" s="2074"/>
      <c r="H2" s="2074"/>
      <c r="I2" s="2075"/>
    </row>
    <row r="3" spans="2:9" x14ac:dyDescent="0.2">
      <c r="B3" s="527"/>
      <c r="C3" s="528"/>
      <c r="D3" s="528"/>
      <c r="E3" s="528"/>
      <c r="F3" s="528"/>
      <c r="G3" s="528"/>
      <c r="H3" s="528"/>
      <c r="I3" s="1065"/>
    </row>
    <row r="4" spans="2:9" ht="17" thickBot="1" x14ac:dyDescent="0.25">
      <c r="B4" s="527"/>
      <c r="C4" s="126" t="s">
        <v>1</v>
      </c>
      <c r="D4" s="126" t="s">
        <v>2</v>
      </c>
      <c r="E4" s="126" t="s">
        <v>3</v>
      </c>
      <c r="F4" s="126" t="s">
        <v>4</v>
      </c>
      <c r="G4" s="126" t="s">
        <v>5</v>
      </c>
      <c r="H4" s="126" t="s">
        <v>6</v>
      </c>
      <c r="I4" s="1659" t="s">
        <v>7</v>
      </c>
    </row>
    <row r="5" spans="2:9" x14ac:dyDescent="0.2">
      <c r="B5" s="527"/>
      <c r="C5" s="2348" t="s">
        <v>754</v>
      </c>
      <c r="D5" s="2349"/>
      <c r="E5" s="2349"/>
      <c r="F5" s="2349"/>
      <c r="G5" s="2349"/>
      <c r="H5" s="2349"/>
      <c r="I5" s="2350"/>
    </row>
    <row r="6" spans="2:9" ht="48" customHeight="1" x14ac:dyDescent="0.2">
      <c r="B6" s="1660"/>
      <c r="C6" s="1660" t="s">
        <v>755</v>
      </c>
      <c r="D6" s="1661" t="s">
        <v>756</v>
      </c>
      <c r="E6" s="1662" t="s">
        <v>757</v>
      </c>
      <c r="F6" s="1662" t="s">
        <v>758</v>
      </c>
      <c r="G6" s="1663" t="s">
        <v>759</v>
      </c>
      <c r="H6" s="1663" t="s">
        <v>760</v>
      </c>
      <c r="I6" s="1664" t="s">
        <v>761</v>
      </c>
    </row>
    <row r="7" spans="2:9" x14ac:dyDescent="0.2">
      <c r="B7" s="959" t="s">
        <v>762</v>
      </c>
      <c r="C7" s="1840">
        <v>2015</v>
      </c>
      <c r="D7" s="1866">
        <v>2012</v>
      </c>
      <c r="E7" s="1866">
        <v>2014</v>
      </c>
      <c r="F7" s="1866">
        <v>2012</v>
      </c>
      <c r="G7" s="1866">
        <v>2013</v>
      </c>
      <c r="H7" s="1866">
        <v>2013</v>
      </c>
      <c r="I7" s="1867">
        <v>2013</v>
      </c>
    </row>
    <row r="8" spans="2:9" ht="7.5" customHeight="1" x14ac:dyDescent="0.2">
      <c r="B8" s="527"/>
      <c r="C8" s="527"/>
      <c r="D8" s="528"/>
      <c r="E8" s="528"/>
      <c r="F8" s="528"/>
      <c r="G8" s="528"/>
      <c r="H8" s="528"/>
      <c r="I8" s="1065"/>
    </row>
    <row r="9" spans="2:9" x14ac:dyDescent="0.2">
      <c r="B9" s="959" t="s">
        <v>763</v>
      </c>
      <c r="C9" s="1665">
        <f>+TableD1b!C91</f>
        <v>181.40240730377607</v>
      </c>
      <c r="D9" s="1202">
        <v>279</v>
      </c>
      <c r="E9" s="1666" t="s">
        <v>764</v>
      </c>
      <c r="F9" s="1866">
        <v>200</v>
      </c>
      <c r="G9" s="1202">
        <v>600</v>
      </c>
      <c r="H9" s="1202">
        <v>123</v>
      </c>
      <c r="I9" s="1667">
        <f>+TableD1b!D91</f>
        <v>450.90414750000002</v>
      </c>
    </row>
    <row r="10" spans="2:9" ht="17" thickBot="1" x14ac:dyDescent="0.25">
      <c r="B10" s="993" t="s">
        <v>765</v>
      </c>
      <c r="C10" s="1668">
        <f>+TableC4!C93/1000</f>
        <v>616.46162984891726</v>
      </c>
      <c r="D10" s="1669">
        <v>1076</v>
      </c>
      <c r="E10" s="1670"/>
      <c r="F10" s="1670">
        <v>700</v>
      </c>
      <c r="G10" s="1670"/>
      <c r="H10" s="1670"/>
      <c r="I10" s="1671"/>
    </row>
    <row r="11" spans="2:9" x14ac:dyDescent="0.2">
      <c r="B11" s="958"/>
      <c r="C11" s="958"/>
      <c r="D11" s="958"/>
      <c r="E11" s="958"/>
      <c r="F11" s="958"/>
      <c r="G11" s="958"/>
      <c r="H11" s="958"/>
      <c r="I11" s="958"/>
    </row>
  </sheetData>
  <mergeCells count="2">
    <mergeCell ref="B2:I2"/>
    <mergeCell ref="C5:I5"/>
  </mergeCells>
  <pageMargins left="0.7" right="0.7" top="0.75" bottom="0.75" header="0.3" footer="0.3"/>
  <pageSetup paperSize="9" scale="56"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H92"/>
  <sheetViews>
    <sheetView topLeftCell="B1" workbookViewId="0">
      <pane xSplit="1" ySplit="7" topLeftCell="C9" activePane="bottomRight" state="frozen"/>
      <selection pane="topRight" activeCell="C1" sqref="C1"/>
      <selection pane="bottomLeft" activeCell="B8" sqref="B8"/>
      <selection pane="bottomRight" activeCell="F21" sqref="F21"/>
    </sheetView>
  </sheetViews>
  <sheetFormatPr baseColWidth="10" defaultColWidth="8.83203125" defaultRowHeight="16" x14ac:dyDescent="0.2"/>
  <cols>
    <col min="1" max="1" width="0" hidden="1" customWidth="1"/>
    <col min="2" max="2" width="28.5" bestFit="1" customWidth="1"/>
    <col min="3" max="8" width="13.83203125" customWidth="1"/>
  </cols>
  <sheetData>
    <row r="1" spans="2:8" ht="17" thickBot="1" x14ac:dyDescent="0.25"/>
    <row r="2" spans="2:8" ht="34" customHeight="1" thickTop="1" x14ac:dyDescent="0.2">
      <c r="B2" s="1934" t="s">
        <v>766</v>
      </c>
      <c r="C2" s="1935"/>
      <c r="D2" s="1935"/>
      <c r="E2" s="1935"/>
      <c r="F2" s="1935"/>
      <c r="G2" s="1935"/>
      <c r="H2" s="1936"/>
    </row>
    <row r="3" spans="2:8" ht="20" x14ac:dyDescent="0.2">
      <c r="B3" s="4"/>
      <c r="C3" s="620"/>
      <c r="D3" s="620"/>
      <c r="E3" s="620"/>
      <c r="F3" s="620"/>
      <c r="G3" s="620"/>
      <c r="H3" s="5"/>
    </row>
    <row r="4" spans="2:8" ht="20" x14ac:dyDescent="0.2">
      <c r="B4" s="4"/>
      <c r="C4" s="126" t="s">
        <v>1</v>
      </c>
      <c r="D4" s="126" t="s">
        <v>2</v>
      </c>
      <c r="E4" s="126" t="s">
        <v>3</v>
      </c>
      <c r="F4" s="126" t="s">
        <v>4</v>
      </c>
      <c r="G4" s="126" t="s">
        <v>5</v>
      </c>
      <c r="H4" s="185" t="s">
        <v>6</v>
      </c>
    </row>
    <row r="5" spans="2:8" s="690" customFormat="1" ht="37" customHeight="1" x14ac:dyDescent="0.2">
      <c r="B5" s="694"/>
      <c r="C5" s="2351" t="s">
        <v>767</v>
      </c>
      <c r="D5" s="2352"/>
      <c r="E5" s="2352"/>
      <c r="F5" s="2353" t="s">
        <v>768</v>
      </c>
      <c r="G5" s="2352"/>
      <c r="H5" s="2354"/>
    </row>
    <row r="6" spans="2:8" ht="24.75" customHeight="1" x14ac:dyDescent="0.2">
      <c r="B6" s="1154"/>
      <c r="C6" s="2055" t="s">
        <v>769</v>
      </c>
      <c r="D6" s="2273" t="s">
        <v>770</v>
      </c>
      <c r="E6" s="2273" t="s">
        <v>771</v>
      </c>
      <c r="F6" s="2355" t="s">
        <v>769</v>
      </c>
      <c r="G6" s="2273" t="s">
        <v>770</v>
      </c>
      <c r="H6" s="2176" t="s">
        <v>771</v>
      </c>
    </row>
    <row r="7" spans="2:8" ht="76" customHeight="1" x14ac:dyDescent="0.2">
      <c r="B7" s="1805"/>
      <c r="C7" s="2011"/>
      <c r="D7" s="2088"/>
      <c r="E7" s="2088"/>
      <c r="F7" s="2356"/>
      <c r="G7" s="2088"/>
      <c r="H7" s="2357"/>
    </row>
    <row r="8" spans="2:8" ht="36" customHeight="1" x14ac:dyDescent="0.2">
      <c r="B8" s="622" t="s">
        <v>28</v>
      </c>
      <c r="C8" s="521">
        <f>+SUM(C9:C43)</f>
        <v>135.29200400789469</v>
      </c>
      <c r="D8" s="517">
        <f>+SUM(D9:D43)</f>
        <v>298.88243619999997</v>
      </c>
      <c r="E8" s="517">
        <f>+SUM(E9:E43)</f>
        <v>205.59999999999997</v>
      </c>
      <c r="F8" s="699">
        <f>+TableC4d!K10</f>
        <v>0.12000189394058862</v>
      </c>
      <c r="G8" s="516"/>
      <c r="H8" s="269"/>
    </row>
    <row r="9" spans="2:8" x14ac:dyDescent="0.2">
      <c r="B9" s="1155" t="s">
        <v>29</v>
      </c>
      <c r="C9" s="1672">
        <f>+TableC4d!E11</f>
        <v>3.8877283887920422</v>
      </c>
      <c r="D9" s="1515">
        <v>6.0546769999999999</v>
      </c>
      <c r="E9" s="1515">
        <v>7.4</v>
      </c>
      <c r="F9" s="815">
        <f>+TableC4d!K11</f>
        <v>7.3234785047652198E-2</v>
      </c>
      <c r="G9" s="1673"/>
      <c r="H9" s="1164">
        <v>0.09</v>
      </c>
    </row>
    <row r="10" spans="2:8" x14ac:dyDescent="0.2">
      <c r="B10" s="1155" t="s">
        <v>30</v>
      </c>
      <c r="C10" s="1672">
        <f>+TableC4d!E12</f>
        <v>0.89735970006267607</v>
      </c>
      <c r="D10" s="1515">
        <v>0.54273579999999999</v>
      </c>
      <c r="E10" s="1515"/>
      <c r="F10" s="815">
        <f>+TableC4d!K12</f>
        <v>0.10563824176055445</v>
      </c>
      <c r="G10" s="1643">
        <v>5.5407900000000003E-2</v>
      </c>
      <c r="H10" s="1164"/>
    </row>
    <row r="11" spans="2:8" x14ac:dyDescent="0.2">
      <c r="B11" s="1155" t="s">
        <v>31</v>
      </c>
      <c r="C11" s="1672"/>
      <c r="D11" s="1515">
        <v>3.4911379999999999</v>
      </c>
      <c r="E11" s="1515"/>
      <c r="F11" s="815"/>
      <c r="G11" s="1643">
        <v>0.22103329999999999</v>
      </c>
      <c r="H11" s="1164"/>
    </row>
    <row r="12" spans="2:8" x14ac:dyDescent="0.2">
      <c r="B12" s="1155" t="s">
        <v>32</v>
      </c>
      <c r="C12" s="1672">
        <f>+TableC4d!E14</f>
        <v>5.0127609994141498</v>
      </c>
      <c r="D12" s="1515">
        <v>3.3886159999999999</v>
      </c>
      <c r="E12" s="1515"/>
      <c r="F12" s="815">
        <f>+TableC4d!K14</f>
        <v>0.10131006286761744</v>
      </c>
      <c r="G12" s="1643">
        <v>6.7325999999999997E-2</v>
      </c>
      <c r="H12" s="1164"/>
    </row>
    <row r="13" spans="2:8" x14ac:dyDescent="0.2">
      <c r="B13" s="1155" t="s">
        <v>33</v>
      </c>
      <c r="C13" s="1672">
        <f>+TableC4d!E15</f>
        <v>1.2436594498947362</v>
      </c>
      <c r="D13" s="1515">
        <v>-0.17879149999999999</v>
      </c>
      <c r="E13" s="1515">
        <v>0.8</v>
      </c>
      <c r="F13" s="815">
        <f>+TableC4d!K15</f>
        <v>0.11894894394587266</v>
      </c>
      <c r="G13" s="1643"/>
      <c r="H13" s="1164"/>
    </row>
    <row r="14" spans="2:8" x14ac:dyDescent="0.2">
      <c r="B14" s="1155" t="s">
        <v>34</v>
      </c>
      <c r="C14" s="1672">
        <f>+TableC4d!E16</f>
        <v>0.33451941359786869</v>
      </c>
      <c r="D14" s="1515">
        <v>-0.18294589999999999</v>
      </c>
      <c r="E14" s="1515"/>
      <c r="F14" s="815">
        <f>+TableC4d!K16</f>
        <v>4.9844079449585167E-2</v>
      </c>
      <c r="G14" s="1643"/>
      <c r="H14" s="1164">
        <v>0.08</v>
      </c>
    </row>
    <row r="15" spans="2:8" x14ac:dyDescent="0.2">
      <c r="B15" s="1155" t="s">
        <v>35</v>
      </c>
      <c r="C15" s="1672">
        <f>+TableC4d!E17</f>
        <v>0.65158855790127423</v>
      </c>
      <c r="D15" s="1515">
        <v>0.42116629999999999</v>
      </c>
      <c r="E15" s="1515">
        <v>1.3</v>
      </c>
      <c r="F15" s="815">
        <f>+TableC4d!K17</f>
        <v>8.4310816146709378E-2</v>
      </c>
      <c r="G15" s="1643">
        <v>3.95492E-2</v>
      </c>
      <c r="H15" s="1164">
        <v>0.13</v>
      </c>
    </row>
    <row r="16" spans="2:8" x14ac:dyDescent="0.2">
      <c r="B16" s="1094" t="s">
        <v>36</v>
      </c>
      <c r="C16" s="1672">
        <f>+TableC4d!E18</f>
        <v>4.8738699368325256E-2</v>
      </c>
      <c r="D16" s="1515">
        <v>-7.6499999999999997E-3</v>
      </c>
      <c r="E16" s="1515"/>
      <c r="F16" s="815">
        <f>+TableC4d!K18</f>
        <v>0.10357464690128163</v>
      </c>
      <c r="G16" s="1643"/>
      <c r="H16" s="1164"/>
    </row>
    <row r="17" spans="1:8" x14ac:dyDescent="0.2">
      <c r="B17" s="1155" t="s">
        <v>37</v>
      </c>
      <c r="C17" s="1672">
        <f>+TableC4d!E19</f>
        <v>0.5429738731271827</v>
      </c>
      <c r="D17" s="1515">
        <v>0.2772077</v>
      </c>
      <c r="E17" s="1515">
        <v>1</v>
      </c>
      <c r="F17" s="815">
        <f>+TableC4d!K19</f>
        <v>0.10767039354958928</v>
      </c>
      <c r="G17" s="1643"/>
      <c r="H17" s="1164">
        <v>0.18</v>
      </c>
    </row>
    <row r="18" spans="1:8" x14ac:dyDescent="0.2">
      <c r="B18" s="1094" t="s">
        <v>38</v>
      </c>
      <c r="C18" s="1672">
        <f>+TableC4d!E20</f>
        <v>10.693640491484475</v>
      </c>
      <c r="D18" s="1515">
        <v>19.78098</v>
      </c>
      <c r="E18" s="1515">
        <v>15.3</v>
      </c>
      <c r="F18" s="815">
        <f>+TableC4d!K20</f>
        <v>0.20997996704769475</v>
      </c>
      <c r="G18" s="1643">
        <v>0.28272059999999999</v>
      </c>
      <c r="H18" s="1164">
        <v>0.23</v>
      </c>
    </row>
    <row r="19" spans="1:8" x14ac:dyDescent="0.2">
      <c r="B19" s="1155" t="s">
        <v>39</v>
      </c>
      <c r="C19" s="1672">
        <f>+TableC4d!E21</f>
        <v>16.317569428841562</v>
      </c>
      <c r="D19" s="1515">
        <v>15.02406</v>
      </c>
      <c r="E19" s="1515">
        <v>17.2</v>
      </c>
      <c r="F19" s="815">
        <f>+TableC4d!K21</f>
        <v>0.27916595513803488</v>
      </c>
      <c r="G19" s="1643">
        <v>0.22871900000000001</v>
      </c>
      <c r="H19" s="1164">
        <v>0.28000000000000003</v>
      </c>
    </row>
    <row r="20" spans="1:8" x14ac:dyDescent="0.2">
      <c r="B20" s="1155" t="s">
        <v>40</v>
      </c>
      <c r="C20" s="1672">
        <f>+TableC4d!E22</f>
        <v>0.30348861345669476</v>
      </c>
      <c r="D20" s="1515">
        <v>0.43454910000000002</v>
      </c>
      <c r="E20" s="1515">
        <v>0.7</v>
      </c>
      <c r="F20" s="815">
        <f>+TableC4d!K22</f>
        <v>7.2011378873881565E-2</v>
      </c>
      <c r="G20" s="1643"/>
      <c r="H20" s="1164">
        <v>0.26</v>
      </c>
    </row>
    <row r="21" spans="1:8" x14ac:dyDescent="0.2">
      <c r="B21" s="1155" t="s">
        <v>41</v>
      </c>
      <c r="C21" s="1672">
        <f>+TableC4d!E23</f>
        <v>0.45502892025811503</v>
      </c>
      <c r="D21" s="1515">
        <v>-0.120253</v>
      </c>
      <c r="E21" s="1515"/>
      <c r="F21" s="815">
        <f>+TableC4d!K23</f>
        <v>0.20717165133116644</v>
      </c>
      <c r="G21" s="1643">
        <v>-6.66129E-4</v>
      </c>
      <c r="H21" s="1164"/>
    </row>
    <row r="22" spans="1:8" x14ac:dyDescent="0.2">
      <c r="B22" s="1155" t="s">
        <v>42</v>
      </c>
      <c r="C22" s="1672">
        <f>+TableC4d!E24</f>
        <v>8.7549352432114438E-2</v>
      </c>
      <c r="D22" s="1515">
        <v>-9.2580000000000006E-3</v>
      </c>
      <c r="E22" s="1515"/>
      <c r="F22" s="815">
        <f>+TableC4d!K24</f>
        <v>0.21980592416387462</v>
      </c>
      <c r="G22" s="1643"/>
      <c r="H22" s="1164"/>
    </row>
    <row r="23" spans="1:8" x14ac:dyDescent="0.2">
      <c r="B23" s="1155" t="s">
        <v>43</v>
      </c>
      <c r="C23" s="1514"/>
      <c r="D23" s="1515">
        <v>-0.45094679999999998</v>
      </c>
      <c r="E23" s="1515"/>
      <c r="F23" s="815"/>
      <c r="G23" s="1643">
        <v>-8.3434199999999996E-4</v>
      </c>
      <c r="H23" s="1164"/>
    </row>
    <row r="24" spans="1:8" x14ac:dyDescent="0.2">
      <c r="B24" s="1155" t="s">
        <v>44</v>
      </c>
      <c r="C24" s="1514">
        <f>+TableC4d!E26</f>
        <v>0.17016457999789139</v>
      </c>
      <c r="D24" s="1515">
        <v>0.35420950000000001</v>
      </c>
      <c r="E24" s="1515"/>
      <c r="F24" s="815">
        <f>+TableC4d!K26</f>
        <v>1.9073748557127242E-2</v>
      </c>
      <c r="G24" s="1643"/>
      <c r="H24" s="1164"/>
    </row>
    <row r="25" spans="1:8" x14ac:dyDescent="0.2">
      <c r="B25" s="1155" t="s">
        <v>45</v>
      </c>
      <c r="C25" s="1514">
        <f>+TableC4d!E27</f>
        <v>7.128579649914653</v>
      </c>
      <c r="D25" s="1515">
        <v>5.3349219999999997</v>
      </c>
      <c r="E25" s="1515">
        <v>9</v>
      </c>
      <c r="F25" s="815">
        <f>+TableC4d!K27</f>
        <v>0.19118227241411057</v>
      </c>
      <c r="G25" s="1643">
        <v>8.6582199999999998E-2</v>
      </c>
      <c r="H25" s="1164">
        <v>0.16</v>
      </c>
    </row>
    <row r="26" spans="1:8" x14ac:dyDescent="0.2">
      <c r="B26" s="1155" t="s">
        <v>46</v>
      </c>
      <c r="C26" s="1514">
        <f>+TableC4d!E28</f>
        <v>2.8965109563043363</v>
      </c>
      <c r="D26" s="1515">
        <v>46.791370000000001</v>
      </c>
      <c r="E26" s="1515">
        <v>39.799999999999997</v>
      </c>
      <c r="F26" s="815">
        <f>+TableC4d!K28</f>
        <v>1.7437633144078594E-2</v>
      </c>
      <c r="G26" s="1643">
        <v>0.23993980000000001</v>
      </c>
      <c r="H26" s="1164">
        <v>0.18</v>
      </c>
    </row>
    <row r="27" spans="1:8" x14ac:dyDescent="0.2">
      <c r="A27" t="s">
        <v>637</v>
      </c>
      <c r="B27" s="1155" t="s">
        <v>47</v>
      </c>
      <c r="C27" s="1514">
        <f>+TableC4d!E29</f>
        <v>1.1699809090485687</v>
      </c>
      <c r="D27" s="1515">
        <v>1.117426</v>
      </c>
      <c r="E27" s="1515"/>
      <c r="F27" s="815">
        <f>+TableC4d!K29</f>
        <v>2.5672298890945015E-2</v>
      </c>
      <c r="G27" s="1643">
        <v>2.7490799999999996E-2</v>
      </c>
      <c r="H27" s="1164"/>
    </row>
    <row r="28" spans="1:8" x14ac:dyDescent="0.2">
      <c r="B28" s="1154" t="s">
        <v>48</v>
      </c>
      <c r="C28" s="1514">
        <f>+TableC4d!E30</f>
        <v>3.0146845091089225E-2</v>
      </c>
      <c r="D28" s="1515">
        <v>-0.30267640000000001</v>
      </c>
      <c r="E28" s="1515"/>
      <c r="F28" s="815">
        <f>+TableC4d!K30</f>
        <v>6.9945021635384561E-2</v>
      </c>
      <c r="G28" s="1643">
        <v>-6.2269200000000004E-3</v>
      </c>
      <c r="H28" s="1164"/>
    </row>
    <row r="29" spans="1:8" x14ac:dyDescent="0.2">
      <c r="B29" s="1154" t="s">
        <v>49</v>
      </c>
      <c r="C29" s="1514"/>
      <c r="D29" s="1515">
        <v>0.2251773</v>
      </c>
      <c r="E29" s="1515"/>
      <c r="F29" s="815"/>
      <c r="G29" s="1643">
        <v>0.1024834</v>
      </c>
      <c r="H29" s="1164"/>
    </row>
    <row r="30" spans="1:8" x14ac:dyDescent="0.2">
      <c r="B30" s="1154" t="s">
        <v>50</v>
      </c>
      <c r="C30" s="1514">
        <f>+TableC4d!E32</f>
        <v>3.9287668656222849</v>
      </c>
      <c r="D30" s="1515"/>
      <c r="E30" s="1515">
        <v>5.7</v>
      </c>
      <c r="F30" s="815">
        <f>+TableC4d!K32</f>
        <v>0.10509727731973387</v>
      </c>
      <c r="G30" s="1673"/>
      <c r="H30" s="1164"/>
    </row>
    <row r="31" spans="1:8" x14ac:dyDescent="0.2">
      <c r="B31" s="1154" t="s">
        <v>51</v>
      </c>
      <c r="C31" s="1514"/>
      <c r="D31" s="1515">
        <v>1.0396730000000001</v>
      </c>
      <c r="E31" s="1515"/>
      <c r="F31" s="815"/>
      <c r="G31" s="1643"/>
      <c r="H31" s="1164"/>
    </row>
    <row r="32" spans="1:8" x14ac:dyDescent="0.2">
      <c r="B32" s="1154" t="s">
        <v>52</v>
      </c>
      <c r="C32" s="1514">
        <f>+TableC4d!E34</f>
        <v>0.42656415068203546</v>
      </c>
      <c r="D32" s="1515">
        <v>0.51807639999999999</v>
      </c>
      <c r="E32" s="1515"/>
      <c r="F32" s="815">
        <f>+TableC4d!K34</f>
        <v>5.3623417899033209E-2</v>
      </c>
      <c r="G32" s="1643">
        <v>6.3262799999999994E-2</v>
      </c>
      <c r="H32" s="1164"/>
    </row>
    <row r="33" spans="2:8" x14ac:dyDescent="0.2">
      <c r="B33" s="1154" t="s">
        <v>53</v>
      </c>
      <c r="C33" s="1514">
        <f>+TableC4d!E35</f>
        <v>1.4082294707463936</v>
      </c>
      <c r="D33" s="1515"/>
      <c r="E33" s="1515">
        <v>2.2999999999999998</v>
      </c>
      <c r="F33" s="815">
        <f>+TableC4d!K35</f>
        <v>8.2933723016851785E-2</v>
      </c>
      <c r="G33" s="1673"/>
      <c r="H33" s="1164">
        <v>0.04</v>
      </c>
    </row>
    <row r="34" spans="2:8" x14ac:dyDescent="0.2">
      <c r="B34" s="1154" t="s">
        <v>54</v>
      </c>
      <c r="C34" s="1514">
        <f>+TableC4d!E36</f>
        <v>0.70221461489869563</v>
      </c>
      <c r="D34" s="1515">
        <v>-0.47335290000000002</v>
      </c>
      <c r="E34" s="1515">
        <v>1.3</v>
      </c>
      <c r="F34" s="815">
        <f>+TableC4d!K36</f>
        <v>7.996006497283209E-2</v>
      </c>
      <c r="G34" s="1643"/>
      <c r="H34" s="1164">
        <v>0.13</v>
      </c>
    </row>
    <row r="35" spans="2:8" x14ac:dyDescent="0.2">
      <c r="B35" s="1154" t="s">
        <v>55</v>
      </c>
      <c r="C35" s="1514">
        <f>+TableC4d!E37</f>
        <v>0.55401828129230823</v>
      </c>
      <c r="D35" s="1515">
        <v>1.110344</v>
      </c>
      <c r="E35" s="1515">
        <v>1.1000000000000001</v>
      </c>
      <c r="F35" s="815">
        <f>+TableC4d!K37</f>
        <v>8.8987018527531159E-2</v>
      </c>
      <c r="G35" s="1643">
        <v>0.1556527</v>
      </c>
      <c r="H35" s="1164">
        <v>0.19</v>
      </c>
    </row>
    <row r="36" spans="2:8" x14ac:dyDescent="0.2">
      <c r="B36" s="1154" t="s">
        <v>56</v>
      </c>
      <c r="C36" s="1514">
        <f>+TableC4d!E38</f>
        <v>0.14009898329065634</v>
      </c>
      <c r="D36" s="1515">
        <v>4.1199800000000002E-2</v>
      </c>
      <c r="E36" s="1515"/>
      <c r="F36" s="815">
        <f>+TableC4d!K38</f>
        <v>4.8028448162720727E-2</v>
      </c>
      <c r="G36" s="1643">
        <v>1.6635199999999999E-2</v>
      </c>
      <c r="H36" s="1164"/>
    </row>
    <row r="37" spans="2:8" x14ac:dyDescent="0.2">
      <c r="B37" s="1154" t="s">
        <v>57</v>
      </c>
      <c r="C37" s="1514">
        <f>+TableC4d!E39</f>
        <v>3.8300831716674075E-2</v>
      </c>
      <c r="D37" s="1515">
        <v>-6.5226199999999998E-2</v>
      </c>
      <c r="E37" s="1515"/>
      <c r="F37" s="815">
        <f>+TableC4d!K39</f>
        <v>6.0803338265822897E-2</v>
      </c>
      <c r="G37" s="1643">
        <v>0</v>
      </c>
      <c r="H37" s="1164"/>
    </row>
    <row r="38" spans="2:8" x14ac:dyDescent="0.2">
      <c r="B38" s="1154" t="s">
        <v>58</v>
      </c>
      <c r="C38" s="1514">
        <f>+TableC4d!E40</f>
        <v>4.0213800257688312</v>
      </c>
      <c r="D38" s="1515">
        <v>5.516292</v>
      </c>
      <c r="E38" s="1515">
        <v>6.6</v>
      </c>
      <c r="F38" s="815">
        <f>+TableC4d!K40</f>
        <v>0.14169566205750209</v>
      </c>
      <c r="G38" s="1643">
        <v>0.20176680000000002</v>
      </c>
      <c r="H38" s="1164">
        <v>0.24</v>
      </c>
    </row>
    <row r="39" spans="2:8" x14ac:dyDescent="0.2">
      <c r="B39" s="1080" t="s">
        <v>59</v>
      </c>
      <c r="C39" s="1514">
        <f>+TableC4d!E41</f>
        <v>1.8790398127610988</v>
      </c>
      <c r="D39" s="1515">
        <v>2.1090999999999999E-2</v>
      </c>
      <c r="E39" s="1515"/>
      <c r="F39" s="815">
        <f>+TableC4d!K41</f>
        <v>0.12759064303400486</v>
      </c>
      <c r="G39" s="1643">
        <v>1.4819E-3</v>
      </c>
      <c r="H39" s="1164"/>
    </row>
    <row r="40" spans="2:8" x14ac:dyDescent="0.2">
      <c r="B40" s="1154" t="s">
        <v>60</v>
      </c>
      <c r="C40" s="1514"/>
      <c r="D40" s="1515">
        <v>-0.17759559999999999</v>
      </c>
      <c r="E40" s="1515"/>
      <c r="F40" s="815"/>
      <c r="G40" s="1643">
        <v>-9.636499999999999E-5</v>
      </c>
      <c r="H40" s="1164"/>
    </row>
    <row r="41" spans="2:8" x14ac:dyDescent="0.2">
      <c r="B41" s="1154" t="s">
        <v>61</v>
      </c>
      <c r="C41" s="1514">
        <f>+TableC4d!E43</f>
        <v>0.99509856411795194</v>
      </c>
      <c r="D41" s="1515">
        <v>-0.52164840000000001</v>
      </c>
      <c r="E41" s="1515">
        <v>2.2999999999999998</v>
      </c>
      <c r="F41" s="815">
        <f>+TableC4d!K43</f>
        <v>8.1066999260363509E-2</v>
      </c>
      <c r="G41" s="1643">
        <v>-3.4273900000000005E-4</v>
      </c>
      <c r="H41" s="1164">
        <v>0.14000000000000001</v>
      </c>
    </row>
    <row r="42" spans="2:8" x14ac:dyDescent="0.2">
      <c r="B42" s="1154" t="s">
        <v>62</v>
      </c>
      <c r="C42" s="1514">
        <f>+TableC4d!E44</f>
        <v>12.300180136609274</v>
      </c>
      <c r="D42" s="1515">
        <v>1.0578700000000001</v>
      </c>
      <c r="E42" s="1515"/>
      <c r="F42" s="815">
        <f>+TableC4d!K44</f>
        <v>0.17523172069902965</v>
      </c>
      <c r="G42" s="1643">
        <v>1.6709000000000002E-2</v>
      </c>
      <c r="H42" s="1164"/>
    </row>
    <row r="43" spans="2:8" x14ac:dyDescent="0.2">
      <c r="B43" s="1154" t="s">
        <v>63</v>
      </c>
      <c r="C43" s="1514">
        <f>+TableC4d!E45</f>
        <v>57.026123441400721</v>
      </c>
      <c r="D43" s="1515">
        <v>188.83</v>
      </c>
      <c r="E43" s="1515">
        <v>93.8</v>
      </c>
      <c r="F43" s="815">
        <f>+TableC4d!K45</f>
        <v>0.14080811485538131</v>
      </c>
      <c r="G43" s="1643">
        <v>0.49270219999999992</v>
      </c>
      <c r="H43" s="1164">
        <v>0.26</v>
      </c>
    </row>
    <row r="44" spans="2:8" ht="37.5" customHeight="1" x14ac:dyDescent="0.2">
      <c r="B44" s="7" t="s">
        <v>64</v>
      </c>
      <c r="C44" s="522">
        <f>SUM(C45:C51)</f>
        <v>27.422697354796586</v>
      </c>
      <c r="D44" s="691">
        <f>SUM(D45:D51)</f>
        <v>95.918962999999991</v>
      </c>
      <c r="E44" s="691">
        <f>SUM(E45:E51)</f>
        <v>61.7</v>
      </c>
      <c r="F44" s="699">
        <f>+TableC4d!K46</f>
        <v>4.630666039475545E-2</v>
      </c>
      <c r="G44" s="518"/>
      <c r="H44" s="695"/>
    </row>
    <row r="45" spans="2:8" x14ac:dyDescent="0.2">
      <c r="B45" s="1155" t="s">
        <v>65</v>
      </c>
      <c r="C45" s="1514">
        <f>+TableC4d!E47</f>
        <v>4.8321019687632383</v>
      </c>
      <c r="D45" s="1515">
        <v>-21.821300000000001</v>
      </c>
      <c r="E45" s="1515">
        <v>13.5</v>
      </c>
      <c r="F45" s="815">
        <f>+TableC4d!K47</f>
        <v>9.0271246129663765E-2</v>
      </c>
      <c r="G45" s="1673"/>
      <c r="H45" s="1164">
        <v>0.17</v>
      </c>
    </row>
    <row r="46" spans="2:8" x14ac:dyDescent="0.2">
      <c r="B46" s="1154" t="s">
        <v>66</v>
      </c>
      <c r="C46" s="1514">
        <f>+TableC4d!E48</f>
        <v>15.131451982825235</v>
      </c>
      <c r="D46" s="1515">
        <v>66.806979999999996</v>
      </c>
      <c r="E46" s="1515">
        <v>32.700000000000003</v>
      </c>
      <c r="F46" s="815">
        <f>+TableC4d!K48</f>
        <v>3.5861224922702772E-2</v>
      </c>
      <c r="G46" s="1673"/>
      <c r="H46" s="1164">
        <v>0.11</v>
      </c>
    </row>
    <row r="47" spans="2:8" x14ac:dyDescent="0.2">
      <c r="B47" s="1154" t="s">
        <v>67</v>
      </c>
      <c r="C47" s="1514">
        <f>+TableC4d!E49</f>
        <v>0.35090435988265745</v>
      </c>
      <c r="D47" s="1515">
        <v>2.7593570000000001</v>
      </c>
      <c r="E47" s="1515"/>
      <c r="F47" s="815">
        <f>+TableC4d!K49</f>
        <v>2.060605590013246E-2</v>
      </c>
      <c r="G47" s="1673"/>
      <c r="H47" s="1164"/>
    </row>
    <row r="48" spans="2:8" x14ac:dyDescent="0.2">
      <c r="B48" s="1154" t="s">
        <v>68</v>
      </c>
      <c r="C48" s="1514">
        <f>+TableC4d!E50</f>
        <v>0.31725599660623816</v>
      </c>
      <c r="D48" s="1515">
        <v>1.1794260000000001</v>
      </c>
      <c r="E48" s="1515"/>
      <c r="F48" s="815">
        <f>+TableC4d!K50</f>
        <v>0.20608794998489571</v>
      </c>
      <c r="G48" s="1673"/>
      <c r="H48" s="1164"/>
    </row>
    <row r="49" spans="2:8" x14ac:dyDescent="0.2">
      <c r="B49" s="1154" t="s">
        <v>69</v>
      </c>
      <c r="C49" s="1514">
        <f>+TableC4d!E51</f>
        <v>3.2797817073095037</v>
      </c>
      <c r="D49" s="1515">
        <v>41.16892</v>
      </c>
      <c r="E49" s="1515">
        <v>9.6999999999999993</v>
      </c>
      <c r="F49" s="815">
        <f>+TableC4d!K51</f>
        <v>8.7746373397239688E-2</v>
      </c>
      <c r="G49" s="1673"/>
      <c r="H49" s="1164">
        <v>0.14000000000000001</v>
      </c>
    </row>
    <row r="50" spans="2:8" x14ac:dyDescent="0.2">
      <c r="B50" s="1154" t="s">
        <v>70</v>
      </c>
      <c r="C50" s="1514">
        <f>+TableC4d!E52</f>
        <v>2.3686208698667821</v>
      </c>
      <c r="D50" s="1515"/>
      <c r="E50" s="1515">
        <v>5.8</v>
      </c>
      <c r="F50" s="815">
        <f>+TableC4d!K52</f>
        <v>5.640790843651218E-2</v>
      </c>
      <c r="G50" s="1673"/>
      <c r="H50" s="1164">
        <v>7.0000000000000007E-2</v>
      </c>
    </row>
    <row r="51" spans="2:8" x14ac:dyDescent="0.2">
      <c r="B51" s="1154" t="s">
        <v>71</v>
      </c>
      <c r="C51" s="1514">
        <f>+TableC4d!E53</f>
        <v>1.1425804695429322</v>
      </c>
      <c r="D51" s="1515">
        <v>5.8255800000000004</v>
      </c>
      <c r="E51" s="1515"/>
      <c r="F51" s="815">
        <f>+TableC4d!K53</f>
        <v>6.0818162944512984E-2</v>
      </c>
      <c r="G51" s="1673"/>
      <c r="H51" s="1164"/>
    </row>
    <row r="52" spans="2:8" ht="37.5" hidden="1" customHeight="1" x14ac:dyDescent="0.2">
      <c r="B52" s="7" t="s">
        <v>72</v>
      </c>
      <c r="C52" s="521"/>
      <c r="D52" s="519"/>
      <c r="E52" s="266"/>
      <c r="F52" s="700"/>
      <c r="G52" s="246"/>
      <c r="H52" s="684"/>
    </row>
    <row r="53" spans="2:8" hidden="1" x14ac:dyDescent="0.2">
      <c r="B53" s="1154" t="str">
        <f>+TableC5!A54</f>
        <v>Andorra</v>
      </c>
      <c r="C53" s="1674"/>
      <c r="D53" s="519"/>
      <c r="E53" s="1184"/>
      <c r="F53" s="700"/>
      <c r="G53" s="1675"/>
      <c r="H53" s="1164"/>
    </row>
    <row r="54" spans="2:8" hidden="1" x14ac:dyDescent="0.2">
      <c r="B54" s="1154" t="str">
        <f>+TableC5!A55</f>
        <v>Anguilla</v>
      </c>
      <c r="C54" s="1674"/>
      <c r="D54" s="519"/>
      <c r="E54" s="1184"/>
      <c r="F54" s="700"/>
      <c r="G54" s="1675"/>
      <c r="H54" s="1164"/>
    </row>
    <row r="55" spans="2:8" hidden="1" x14ac:dyDescent="0.2">
      <c r="B55" s="1154" t="str">
        <f>+TableC5!A56</f>
        <v>Antigua and Barbuda</v>
      </c>
      <c r="C55" s="1674"/>
      <c r="D55" s="519"/>
      <c r="E55" s="1184"/>
      <c r="F55" s="700"/>
      <c r="G55" s="1675"/>
      <c r="H55" s="1164"/>
    </row>
    <row r="56" spans="2:8" hidden="1" x14ac:dyDescent="0.2">
      <c r="B56" s="1154" t="str">
        <f>+TableC5!A57</f>
        <v>Aruba</v>
      </c>
      <c r="C56" s="1674"/>
      <c r="D56" s="519"/>
      <c r="E56" s="1184"/>
      <c r="F56" s="700"/>
      <c r="G56" s="1675"/>
      <c r="H56" s="1164"/>
    </row>
    <row r="57" spans="2:8" hidden="1" x14ac:dyDescent="0.2">
      <c r="B57" s="1154" t="str">
        <f>+TableC5!A58</f>
        <v>Bahamas, The</v>
      </c>
      <c r="C57" s="1674"/>
      <c r="D57" s="519"/>
      <c r="E57" s="1184"/>
      <c r="F57" s="700"/>
      <c r="G57" s="1675"/>
      <c r="H57" s="1164"/>
    </row>
    <row r="58" spans="2:8" hidden="1" x14ac:dyDescent="0.2">
      <c r="B58" s="1154" t="str">
        <f>+TableC5!A59</f>
        <v>Bahrain</v>
      </c>
      <c r="C58" s="1674"/>
      <c r="D58" s="519"/>
      <c r="E58" s="1184"/>
      <c r="F58" s="700"/>
      <c r="G58" s="1675"/>
      <c r="H58" s="1164"/>
    </row>
    <row r="59" spans="2:8" hidden="1" x14ac:dyDescent="0.2">
      <c r="B59" s="1154" t="str">
        <f>+TableC5!A60</f>
        <v>Barbados</v>
      </c>
      <c r="C59" s="1674"/>
      <c r="D59" s="519"/>
      <c r="E59" s="1184"/>
      <c r="F59" s="700"/>
      <c r="G59" s="1675"/>
      <c r="H59" s="1164"/>
    </row>
    <row r="60" spans="2:8" hidden="1" x14ac:dyDescent="0.2">
      <c r="B60" s="1154" t="str">
        <f>+TableC5!A61</f>
        <v>Belize</v>
      </c>
      <c r="C60" s="1674"/>
      <c r="D60" s="519"/>
      <c r="E60" s="1184"/>
      <c r="F60" s="700"/>
      <c r="G60" s="1675"/>
      <c r="H60" s="1164"/>
    </row>
    <row r="61" spans="2:8" hidden="1" x14ac:dyDescent="0.2">
      <c r="B61" s="1154" t="str">
        <f>+TableC5!A62</f>
        <v>Bermuda</v>
      </c>
      <c r="C61" s="1674"/>
      <c r="D61" s="519"/>
      <c r="E61" s="1184"/>
      <c r="F61" s="700"/>
      <c r="G61" s="1675"/>
      <c r="H61" s="1164"/>
    </row>
    <row r="62" spans="2:8" hidden="1" x14ac:dyDescent="0.2">
      <c r="B62" s="1154" t="str">
        <f>+TableC5!A63</f>
        <v>Bonaire</v>
      </c>
      <c r="C62" s="1674"/>
      <c r="D62" s="519"/>
      <c r="E62" s="1184"/>
      <c r="F62" s="700"/>
      <c r="G62" s="1675"/>
      <c r="H62" s="1164"/>
    </row>
    <row r="63" spans="2:8" hidden="1" x14ac:dyDescent="0.2">
      <c r="B63" s="1154" t="str">
        <f>+TableC5!A64</f>
        <v>British Virgin Islands</v>
      </c>
      <c r="C63" s="1674"/>
      <c r="D63" s="519"/>
      <c r="E63" s="1184"/>
      <c r="F63" s="700"/>
      <c r="G63" s="1675"/>
      <c r="H63" s="1164"/>
    </row>
    <row r="64" spans="2:8" hidden="1" x14ac:dyDescent="0.2">
      <c r="B64" s="1154" t="str">
        <f>+TableC5!A65</f>
        <v>Cayman Islands</v>
      </c>
      <c r="C64" s="523"/>
      <c r="D64" s="519"/>
      <c r="E64" s="1184"/>
      <c r="F64" s="700"/>
      <c r="G64" s="520"/>
      <c r="H64" s="1164"/>
    </row>
    <row r="65" spans="2:8" hidden="1" x14ac:dyDescent="0.2">
      <c r="B65" s="1154" t="str">
        <f>+TableC5!A66</f>
        <v>Curacao</v>
      </c>
      <c r="C65" s="1674"/>
      <c r="D65" s="519"/>
      <c r="E65" s="1184"/>
      <c r="F65" s="700"/>
      <c r="G65" s="1675"/>
      <c r="H65" s="1164"/>
    </row>
    <row r="66" spans="2:8" hidden="1" x14ac:dyDescent="0.2">
      <c r="B66" s="1154" t="str">
        <f>+TableC5!A67</f>
        <v>Cyprus</v>
      </c>
      <c r="C66" s="1674"/>
      <c r="D66" s="519"/>
      <c r="E66" s="1184"/>
      <c r="F66" s="700"/>
      <c r="G66" s="1675"/>
      <c r="H66" s="1164"/>
    </row>
    <row r="67" spans="2:8" hidden="1" x14ac:dyDescent="0.2">
      <c r="B67" s="1154" t="str">
        <f>+TableC5!A68</f>
        <v>Jersey</v>
      </c>
      <c r="C67" s="1674"/>
      <c r="D67" s="519"/>
      <c r="E67" s="1184"/>
      <c r="F67" s="700"/>
      <c r="G67" s="1675"/>
      <c r="H67" s="1164"/>
    </row>
    <row r="68" spans="2:8" hidden="1" x14ac:dyDescent="0.2">
      <c r="B68" s="1154" t="str">
        <f>+TableC5!A69</f>
        <v>Grenada</v>
      </c>
      <c r="C68" s="1674"/>
      <c r="D68" s="519"/>
      <c r="E68" s="1184"/>
      <c r="F68" s="700"/>
      <c r="G68" s="1675"/>
      <c r="H68" s="1164"/>
    </row>
    <row r="69" spans="2:8" hidden="1" x14ac:dyDescent="0.2">
      <c r="B69" s="1154" t="str">
        <f>+TableC5!A70</f>
        <v>Guernsey</v>
      </c>
      <c r="C69" s="1674"/>
      <c r="D69" s="519"/>
      <c r="E69" s="1184"/>
      <c r="F69" s="700"/>
      <c r="G69" s="1675"/>
      <c r="H69" s="1164"/>
    </row>
    <row r="70" spans="2:8" hidden="1" x14ac:dyDescent="0.2">
      <c r="B70" s="1154" t="str">
        <f>+TableC5!A71</f>
        <v>Gibraltar</v>
      </c>
      <c r="C70" s="1674"/>
      <c r="D70" s="519"/>
      <c r="E70" s="1184"/>
      <c r="F70" s="700"/>
      <c r="G70" s="1675"/>
      <c r="H70" s="1164"/>
    </row>
    <row r="71" spans="2:8" hidden="1" x14ac:dyDescent="0.2">
      <c r="B71" s="1154" t="str">
        <f>+TableC5!A72</f>
        <v>Hong Kong</v>
      </c>
      <c r="C71" s="1674"/>
      <c r="D71" s="519"/>
      <c r="E71" s="1184"/>
      <c r="F71" s="700"/>
      <c r="G71" s="1675"/>
      <c r="H71" s="1164"/>
    </row>
    <row r="72" spans="2:8" hidden="1" x14ac:dyDescent="0.2">
      <c r="B72" s="1154" t="str">
        <f>+TableC5!A73</f>
        <v>Isle of man</v>
      </c>
      <c r="C72" s="1674"/>
      <c r="D72" s="519"/>
      <c r="E72" s="1184"/>
      <c r="F72" s="700"/>
      <c r="G72" s="1675"/>
      <c r="H72" s="1164"/>
    </row>
    <row r="73" spans="2:8" hidden="1" x14ac:dyDescent="0.2">
      <c r="B73" s="1154" t="str">
        <f>+TableC5!A74</f>
        <v>Lebanon</v>
      </c>
      <c r="C73" s="1674"/>
      <c r="D73" s="519"/>
      <c r="E73" s="1184"/>
      <c r="F73" s="700"/>
      <c r="G73" s="1675"/>
      <c r="H73" s="1164"/>
    </row>
    <row r="74" spans="2:8" hidden="1" x14ac:dyDescent="0.2">
      <c r="B74" s="1154" t="str">
        <f>+TableC5!A75</f>
        <v>Liechtenstein</v>
      </c>
      <c r="C74" s="1674"/>
      <c r="D74" s="519"/>
      <c r="E74" s="1184"/>
      <c r="F74" s="700"/>
      <c r="G74" s="1675"/>
      <c r="H74" s="1164"/>
    </row>
    <row r="75" spans="2:8" hidden="1" x14ac:dyDescent="0.2">
      <c r="B75" s="1154" t="str">
        <f>+TableC5!A76</f>
        <v>Macau</v>
      </c>
      <c r="C75" s="1674"/>
      <c r="D75" s="519"/>
      <c r="E75" s="1184"/>
      <c r="F75" s="700"/>
      <c r="G75" s="1675"/>
      <c r="H75" s="1164"/>
    </row>
    <row r="76" spans="2:8" hidden="1" x14ac:dyDescent="0.2">
      <c r="B76" s="1154" t="str">
        <f>+TableC5!A77</f>
        <v>Malta</v>
      </c>
      <c r="C76" s="1674"/>
      <c r="D76" s="519"/>
      <c r="E76" s="1184"/>
      <c r="F76" s="700"/>
      <c r="G76" s="1675"/>
      <c r="H76" s="1164"/>
    </row>
    <row r="77" spans="2:8" hidden="1" x14ac:dyDescent="0.2">
      <c r="B77" s="1154" t="str">
        <f>+TableC5!A78</f>
        <v>Marshall Islands</v>
      </c>
      <c r="C77" s="1674"/>
      <c r="D77" s="519"/>
      <c r="E77" s="1184"/>
      <c r="F77" s="700"/>
      <c r="G77" s="1675"/>
      <c r="H77" s="1164"/>
    </row>
    <row r="78" spans="2:8" hidden="1" x14ac:dyDescent="0.2">
      <c r="B78" s="1154" t="str">
        <f>+TableC5!A79</f>
        <v>Monaco</v>
      </c>
      <c r="C78" s="1674"/>
      <c r="D78" s="519"/>
      <c r="E78" s="1184"/>
      <c r="F78" s="700"/>
      <c r="G78" s="1675"/>
      <c r="H78" s="1164"/>
    </row>
    <row r="79" spans="2:8" hidden="1" x14ac:dyDescent="0.2">
      <c r="B79" s="1154" t="str">
        <f>+TableC5!A80</f>
        <v>Sint Maarten</v>
      </c>
      <c r="C79" s="1674"/>
      <c r="D79" s="519"/>
      <c r="E79" s="1184"/>
      <c r="F79" s="700"/>
      <c r="G79" s="1675"/>
      <c r="H79" s="1164"/>
    </row>
    <row r="80" spans="2:8" hidden="1" x14ac:dyDescent="0.2">
      <c r="B80" s="1154" t="str">
        <f>+TableC5!A81</f>
        <v>Mauritius</v>
      </c>
      <c r="C80" s="1674"/>
      <c r="D80" s="519"/>
      <c r="E80" s="1184"/>
      <c r="F80" s="700"/>
      <c r="G80" s="1675"/>
      <c r="H80" s="1164"/>
    </row>
    <row r="81" spans="2:8" hidden="1" x14ac:dyDescent="0.2">
      <c r="B81" s="1154" t="str">
        <f>+TableC5!A82</f>
        <v>Seychelles</v>
      </c>
      <c r="C81" s="1674"/>
      <c r="D81" s="519"/>
      <c r="E81" s="1184"/>
      <c r="F81" s="700"/>
      <c r="G81" s="1675"/>
      <c r="H81" s="1164"/>
    </row>
    <row r="82" spans="2:8" hidden="1" x14ac:dyDescent="0.2">
      <c r="B82" s="1154" t="str">
        <f>+TableC5!A83</f>
        <v>Singapore</v>
      </c>
      <c r="C82" s="1674"/>
      <c r="D82" s="519"/>
      <c r="E82" s="1184"/>
      <c r="F82" s="700"/>
      <c r="G82" s="1675"/>
      <c r="H82" s="1164"/>
    </row>
    <row r="83" spans="2:8" hidden="1" x14ac:dyDescent="0.2">
      <c r="B83" s="1154" t="str">
        <f>+TableC5!A84</f>
        <v>St. Kitts and Nevis</v>
      </c>
      <c r="C83" s="1674"/>
      <c r="D83" s="519"/>
      <c r="E83" s="1184"/>
      <c r="F83" s="700"/>
      <c r="G83" s="1675"/>
      <c r="H83" s="1164"/>
    </row>
    <row r="84" spans="2:8" hidden="1" x14ac:dyDescent="0.2">
      <c r="B84" s="1154" t="str">
        <f>+TableC5!A85</f>
        <v>St. Lucia</v>
      </c>
      <c r="C84" s="1674"/>
      <c r="D84" s="519"/>
      <c r="E84" s="1184"/>
      <c r="F84" s="700"/>
      <c r="G84" s="1675"/>
      <c r="H84" s="1164"/>
    </row>
    <row r="85" spans="2:8" hidden="1" x14ac:dyDescent="0.2">
      <c r="B85" s="1154" t="str">
        <f>+TableC5!A86</f>
        <v>St. Vincent and the Grenadines</v>
      </c>
      <c r="C85" s="1674"/>
      <c r="D85" s="519"/>
      <c r="E85" s="1184"/>
      <c r="F85" s="700"/>
      <c r="G85" s="1675"/>
      <c r="H85" s="1164"/>
    </row>
    <row r="86" spans="2:8" hidden="1" x14ac:dyDescent="0.2">
      <c r="B86" s="1154" t="str">
        <f>+TableC5!A87</f>
        <v>Turks and Caicos</v>
      </c>
      <c r="C86" s="1674"/>
      <c r="D86" s="519"/>
      <c r="E86" s="1184"/>
      <c r="F86" s="700"/>
      <c r="G86" s="1675"/>
      <c r="H86" s="1164"/>
    </row>
    <row r="87" spans="2:8" hidden="1" x14ac:dyDescent="0.2">
      <c r="B87" s="1154" t="str">
        <f>+TableC5!A88</f>
        <v>Panama</v>
      </c>
      <c r="C87" s="1674"/>
      <c r="D87" s="519"/>
      <c r="E87" s="1184"/>
      <c r="F87" s="700"/>
      <c r="G87" s="1675"/>
      <c r="H87" s="1164"/>
    </row>
    <row r="88" spans="2:8" hidden="1" x14ac:dyDescent="0.2">
      <c r="B88" s="1154" t="str">
        <f>+TableC5!A89</f>
        <v>Puerto Rico</v>
      </c>
      <c r="C88" s="1674"/>
      <c r="D88" s="519"/>
      <c r="E88" s="1184"/>
      <c r="F88" s="700"/>
      <c r="G88" s="1675"/>
      <c r="H88" s="1164"/>
    </row>
    <row r="89" spans="2:8" ht="39" customHeight="1" x14ac:dyDescent="0.2">
      <c r="B89" s="622" t="s">
        <v>155</v>
      </c>
      <c r="C89" s="522">
        <f>+TableC4d!E91</f>
        <v>18.687705941084808</v>
      </c>
      <c r="D89" s="691">
        <v>56.102748300000087</v>
      </c>
      <c r="E89" s="691">
        <v>11.700000000000045</v>
      </c>
      <c r="F89" s="699">
        <f>+TableC4d!K91</f>
        <v>7.0004884806695672E-2</v>
      </c>
      <c r="G89" s="266"/>
      <c r="H89" s="684"/>
    </row>
    <row r="90" spans="2:8" hidden="1" x14ac:dyDescent="0.2">
      <c r="B90" s="622"/>
      <c r="C90" s="265"/>
      <c r="D90" s="266"/>
      <c r="E90" s="266"/>
      <c r="F90" s="699"/>
      <c r="G90" s="266"/>
      <c r="H90" s="684"/>
    </row>
    <row r="91" spans="2:8" ht="40" customHeight="1" thickBot="1" x14ac:dyDescent="0.25">
      <c r="B91" s="263" t="s">
        <v>772</v>
      </c>
      <c r="C91" s="696">
        <f>+C89+C8+C44</f>
        <v>181.40240730377607</v>
      </c>
      <c r="D91" s="697">
        <v>450.90414750000002</v>
      </c>
      <c r="E91" s="698">
        <f>+E89+E44+E8</f>
        <v>279</v>
      </c>
      <c r="F91" s="816">
        <f>+TableC4d!K93</f>
        <v>9.1314753737725546E-2</v>
      </c>
      <c r="G91" s="283"/>
      <c r="H91" s="685"/>
    </row>
    <row r="92" spans="2:8" ht="17" thickTop="1" x14ac:dyDescent="0.2"/>
  </sheetData>
  <mergeCells count="9">
    <mergeCell ref="C5:E5"/>
    <mergeCell ref="F5:H5"/>
    <mergeCell ref="F6:F7"/>
    <mergeCell ref="B2:H2"/>
    <mergeCell ref="H6:H7"/>
    <mergeCell ref="E6:E7"/>
    <mergeCell ref="C6:C7"/>
    <mergeCell ref="D6:D7"/>
    <mergeCell ref="G6:G7"/>
  </mergeCells>
  <pageMargins left="0.7" right="0.7" top="0.75" bottom="0.75" header="0.3" footer="0.3"/>
  <pageSetup paperSize="9" scale="77" orientation="portrait"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E15"/>
  <sheetViews>
    <sheetView workbookViewId="0">
      <selection activeCell="A3" sqref="A3:E14"/>
    </sheetView>
  </sheetViews>
  <sheetFormatPr baseColWidth="10" defaultColWidth="7.6640625" defaultRowHeight="15" x14ac:dyDescent="0.2"/>
  <cols>
    <col min="1" max="1" width="38.1640625" style="540" bestFit="1" customWidth="1"/>
    <col min="2" max="2" width="20" style="540" customWidth="1"/>
    <col min="3" max="4" width="14.1640625" style="540" customWidth="1"/>
    <col min="5" max="5" width="17.5" style="540" bestFit="1" customWidth="1"/>
    <col min="6" max="6" width="12" style="540" customWidth="1"/>
    <col min="7" max="7" width="51.33203125" style="540" bestFit="1" customWidth="1"/>
    <col min="8" max="9" width="25.1640625" style="540" bestFit="1" customWidth="1"/>
    <col min="10" max="10" width="18" style="540" customWidth="1"/>
    <col min="11" max="16384" width="7.6640625" style="540"/>
  </cols>
  <sheetData>
    <row r="2" spans="1:5" ht="16" thickBot="1" x14ac:dyDescent="0.25"/>
    <row r="3" spans="1:5" ht="26.25" customHeight="1" thickTop="1" x14ac:dyDescent="0.2">
      <c r="A3" s="1934" t="s">
        <v>773</v>
      </c>
      <c r="B3" s="1935"/>
      <c r="C3" s="1935"/>
      <c r="D3" s="1935"/>
      <c r="E3" s="1936"/>
    </row>
    <row r="4" spans="1:5" ht="16" x14ac:dyDescent="0.2">
      <c r="A4" s="1154"/>
      <c r="B4" s="1031"/>
      <c r="C4" s="1031"/>
      <c r="D4" s="1031"/>
      <c r="E4" s="1079"/>
    </row>
    <row r="5" spans="1:5" ht="17" thickBot="1" x14ac:dyDescent="0.25">
      <c r="A5" s="1154"/>
      <c r="B5" s="126" t="s">
        <v>1</v>
      </c>
      <c r="C5" s="126" t="s">
        <v>2</v>
      </c>
      <c r="D5" s="126" t="s">
        <v>3</v>
      </c>
      <c r="E5" s="185" t="s">
        <v>4</v>
      </c>
    </row>
    <row r="6" spans="1:5" ht="41.25" customHeight="1" x14ac:dyDescent="0.2">
      <c r="A6" s="1873"/>
      <c r="B6" s="1676" t="s">
        <v>774</v>
      </c>
      <c r="C6" s="1817" t="s">
        <v>775</v>
      </c>
      <c r="D6" s="1677" t="s">
        <v>776</v>
      </c>
      <c r="E6" s="1678" t="s">
        <v>777</v>
      </c>
    </row>
    <row r="7" spans="1:5" ht="20.25" customHeight="1" x14ac:dyDescent="0.2">
      <c r="A7" s="692" t="s">
        <v>762</v>
      </c>
      <c r="B7" s="1840">
        <v>2006</v>
      </c>
      <c r="C7" s="1866">
        <v>2010</v>
      </c>
      <c r="D7" s="1866">
        <v>1999</v>
      </c>
      <c r="E7" s="1679">
        <v>2004</v>
      </c>
    </row>
    <row r="8" spans="1:5" ht="8.25" customHeight="1" x14ac:dyDescent="0.2">
      <c r="A8" s="692"/>
      <c r="B8" s="1840"/>
      <c r="C8" s="1866"/>
      <c r="D8" s="1866"/>
      <c r="E8" s="1679"/>
    </row>
    <row r="9" spans="1:5" ht="16" x14ac:dyDescent="0.2">
      <c r="A9" s="692" t="s">
        <v>778</v>
      </c>
      <c r="B9" s="1840" t="s">
        <v>779</v>
      </c>
      <c r="C9" s="1866" t="s">
        <v>780</v>
      </c>
      <c r="D9" s="1866" t="s">
        <v>781</v>
      </c>
      <c r="E9" s="1679" t="s">
        <v>652</v>
      </c>
    </row>
    <row r="10" spans="1:5" ht="16" x14ac:dyDescent="0.2">
      <c r="A10" s="692" t="s">
        <v>782</v>
      </c>
      <c r="B10" s="1665">
        <v>31.546979865771814</v>
      </c>
      <c r="C10" s="1202">
        <v>196.19979116778524</v>
      </c>
      <c r="D10" s="1202">
        <v>340</v>
      </c>
      <c r="E10" s="1192">
        <v>4396.92</v>
      </c>
    </row>
    <row r="11" spans="1:5" ht="16" x14ac:dyDescent="0.2">
      <c r="A11" s="692" t="s">
        <v>783</v>
      </c>
      <c r="B11" s="1214">
        <v>8344.4295302013415</v>
      </c>
      <c r="C11" s="1159">
        <v>50983.9</v>
      </c>
      <c r="D11" s="1159">
        <v>36872</v>
      </c>
      <c r="E11" s="1192">
        <v>218486.95200000002</v>
      </c>
    </row>
    <row r="12" spans="1:5" ht="16" x14ac:dyDescent="0.2">
      <c r="A12" s="692" t="s">
        <v>784</v>
      </c>
      <c r="B12" s="1680">
        <v>3.7806035453463315E-3</v>
      </c>
      <c r="C12" s="1681">
        <v>3.8482695746654381E-3</v>
      </c>
      <c r="D12" s="1681">
        <v>9.2210891733564768E-3</v>
      </c>
      <c r="E12" s="1682">
        <v>2.0124405415294547E-2</v>
      </c>
    </row>
    <row r="13" spans="1:5" ht="16" x14ac:dyDescent="0.2">
      <c r="A13" s="692" t="s">
        <v>785</v>
      </c>
      <c r="B13" s="1840" t="s">
        <v>786</v>
      </c>
      <c r="C13" s="1184">
        <v>0.79310344827586221</v>
      </c>
      <c r="D13" s="1184">
        <v>0.68382352941176472</v>
      </c>
      <c r="E13" s="1679" t="s">
        <v>786</v>
      </c>
    </row>
    <row r="14" spans="1:5" ht="17" thickBot="1" x14ac:dyDescent="0.25">
      <c r="A14" s="693" t="s">
        <v>787</v>
      </c>
      <c r="B14" s="1265" t="s">
        <v>786</v>
      </c>
      <c r="C14" s="1683">
        <v>0.93628185907046479</v>
      </c>
      <c r="D14" s="1683">
        <v>1</v>
      </c>
      <c r="E14" s="1684" t="s">
        <v>786</v>
      </c>
    </row>
    <row r="15" spans="1:5" ht="16" thickTop="1" x14ac:dyDescent="0.2"/>
  </sheetData>
  <mergeCells count="1">
    <mergeCell ref="A3:E3"/>
  </mergeCells>
  <pageMargins left="0.7" right="0.7" top="0.75" bottom="0.75" header="0.3" footer="0.3"/>
  <pageSetup paperSize="9" scale="84"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31"/>
  <sheetViews>
    <sheetView workbookViewId="0">
      <selection activeCell="A2" sqref="A2:E10"/>
    </sheetView>
  </sheetViews>
  <sheetFormatPr baseColWidth="10" defaultColWidth="7.6640625" defaultRowHeight="15" x14ac:dyDescent="0.2"/>
  <cols>
    <col min="1" max="1" width="34.6640625" style="725" bestFit="1" customWidth="1"/>
    <col min="2" max="2" width="20" style="725" customWidth="1"/>
    <col min="3" max="5" width="14.1640625" style="725" customWidth="1"/>
    <col min="6" max="7" width="7.6640625" style="725"/>
    <col min="8" max="8" width="12" style="725" customWidth="1"/>
    <col min="9" max="9" width="51.33203125" style="725" bestFit="1" customWidth="1"/>
    <col min="10" max="11" width="25.1640625" style="725" bestFit="1" customWidth="1"/>
    <col min="12" max="12" width="18" style="725" customWidth="1"/>
    <col min="13" max="16384" width="7.6640625" style="725"/>
  </cols>
  <sheetData>
    <row r="1" spans="1:12" ht="30.75" customHeight="1" x14ac:dyDescent="0.2"/>
    <row r="2" spans="1:12" ht="16.5" customHeight="1" thickBot="1" x14ac:dyDescent="0.25">
      <c r="A2" s="2358" t="s">
        <v>788</v>
      </c>
      <c r="B2" s="2358"/>
      <c r="C2" s="2358"/>
      <c r="D2" s="2358"/>
      <c r="E2" s="2358"/>
      <c r="H2" s="2359" t="s">
        <v>789</v>
      </c>
      <c r="I2" s="2359"/>
      <c r="J2" s="2359"/>
      <c r="K2" s="2359"/>
      <c r="L2" s="2359"/>
    </row>
    <row r="3" spans="1:12" s="745" customFormat="1" ht="18" customHeight="1" thickTop="1" x14ac:dyDescent="0.2">
      <c r="A3" s="746"/>
      <c r="B3" s="746" t="s">
        <v>774</v>
      </c>
      <c r="C3" s="746" t="s">
        <v>775</v>
      </c>
      <c r="D3" s="746" t="s">
        <v>776</v>
      </c>
      <c r="E3" s="746" t="s">
        <v>777</v>
      </c>
      <c r="H3" s="1685"/>
      <c r="I3" s="1685" t="s">
        <v>790</v>
      </c>
      <c r="J3" s="1686" t="s">
        <v>791</v>
      </c>
      <c r="K3" s="1686" t="s">
        <v>792</v>
      </c>
      <c r="L3" s="1685" t="s">
        <v>793</v>
      </c>
    </row>
    <row r="4" spans="1:12" x14ac:dyDescent="0.2">
      <c r="A4" s="726" t="s">
        <v>794</v>
      </c>
      <c r="B4" s="744">
        <v>2006</v>
      </c>
      <c r="C4" s="726">
        <v>2010</v>
      </c>
      <c r="D4" s="726">
        <v>1999</v>
      </c>
      <c r="E4" s="726">
        <v>2004</v>
      </c>
      <c r="H4" s="725" t="s">
        <v>30</v>
      </c>
      <c r="I4" s="736">
        <v>3880.5</v>
      </c>
      <c r="J4" s="735">
        <v>4.71</v>
      </c>
      <c r="K4" s="735">
        <f t="shared" ref="K4:K25" si="0">+J4*$H$31</f>
        <v>5.0271489971346703</v>
      </c>
      <c r="L4" s="734">
        <f t="shared" ref="L4:L25" si="1">+K4/I4</f>
        <v>1.2954900134350394E-3</v>
      </c>
    </row>
    <row r="5" spans="1:12" x14ac:dyDescent="0.2">
      <c r="A5" s="725" t="s">
        <v>795</v>
      </c>
      <c r="B5" s="737" t="s">
        <v>779</v>
      </c>
      <c r="C5" s="737" t="s">
        <v>780</v>
      </c>
      <c r="D5" s="737" t="s">
        <v>781</v>
      </c>
      <c r="E5" s="737" t="s">
        <v>652</v>
      </c>
      <c r="H5" s="725" t="s">
        <v>31</v>
      </c>
      <c r="I5" s="736">
        <v>7697.1</v>
      </c>
      <c r="J5" s="735">
        <v>8.7799999999999994</v>
      </c>
      <c r="K5" s="735">
        <f t="shared" si="0"/>
        <v>9.3712034383954137</v>
      </c>
      <c r="L5" s="734">
        <f t="shared" si="1"/>
        <v>1.2174979457711883E-3</v>
      </c>
    </row>
    <row r="6" spans="1:12" x14ac:dyDescent="0.2">
      <c r="A6" s="725" t="s">
        <v>796</v>
      </c>
      <c r="B6" s="743">
        <v>31.546979865771814</v>
      </c>
      <c r="C6" s="743">
        <v>196.19979116778524</v>
      </c>
      <c r="D6" s="743">
        <v>340</v>
      </c>
      <c r="E6" s="743">
        <f>5500*0.79944</f>
        <v>4396.92</v>
      </c>
      <c r="H6" s="725" t="s">
        <v>451</v>
      </c>
      <c r="I6" s="736">
        <v>388.7</v>
      </c>
      <c r="J6" s="735">
        <v>0.45</v>
      </c>
      <c r="K6" s="735">
        <f t="shared" si="0"/>
        <v>0.48030085959885388</v>
      </c>
      <c r="L6" s="734">
        <f t="shared" si="1"/>
        <v>1.2356595307405555E-3</v>
      </c>
    </row>
    <row r="7" spans="1:12" x14ac:dyDescent="0.2">
      <c r="A7" s="725" t="s">
        <v>797</v>
      </c>
      <c r="B7" s="743">
        <v>8344.4295302013415</v>
      </c>
      <c r="C7" s="743">
        <v>50983.9</v>
      </c>
      <c r="D7" s="743">
        <v>36872</v>
      </c>
      <c r="E7" s="743">
        <f>273300*0.79944</f>
        <v>218486.95200000002</v>
      </c>
      <c r="H7" s="725" t="s">
        <v>34</v>
      </c>
      <c r="I7" s="736">
        <v>2154.3000000000002</v>
      </c>
      <c r="J7" s="735">
        <v>37.14</v>
      </c>
      <c r="K7" s="735">
        <f t="shared" si="0"/>
        <v>39.64083094555874</v>
      </c>
      <c r="L7" s="734">
        <f t="shared" si="1"/>
        <v>1.8400794200231507E-2</v>
      </c>
    </row>
    <row r="8" spans="1:12" x14ac:dyDescent="0.2">
      <c r="A8" s="725" t="s">
        <v>784</v>
      </c>
      <c r="B8" s="734">
        <f>+B6/B7</f>
        <v>3.7806035453463315E-3</v>
      </c>
      <c r="C8" s="734">
        <f>+C6/C7</f>
        <v>3.8482695746654381E-3</v>
      </c>
      <c r="D8" s="734">
        <f>+D6/D7</f>
        <v>9.2210891733564768E-3</v>
      </c>
      <c r="E8" s="734">
        <f>+E6/E7</f>
        <v>2.0124405415294547E-2</v>
      </c>
      <c r="H8" s="725" t="s">
        <v>35</v>
      </c>
      <c r="I8" s="736">
        <v>3888.9</v>
      </c>
      <c r="J8" s="735">
        <v>16.87</v>
      </c>
      <c r="K8" s="735">
        <f t="shared" si="0"/>
        <v>18.005945558739256</v>
      </c>
      <c r="L8" s="734">
        <f t="shared" si="1"/>
        <v>4.6300870577127866E-3</v>
      </c>
    </row>
    <row r="9" spans="1:12" x14ac:dyDescent="0.2">
      <c r="A9" s="725" t="s">
        <v>785</v>
      </c>
      <c r="B9" s="742" t="s">
        <v>786</v>
      </c>
      <c r="C9" s="741">
        <f>+(118.6+8.5+6.3)/168.2</f>
        <v>0.79310344827586221</v>
      </c>
      <c r="D9" s="741">
        <f>232.5/D6</f>
        <v>0.68382352941176472</v>
      </c>
      <c r="E9" s="741" t="s">
        <v>786</v>
      </c>
      <c r="H9" s="725" t="s">
        <v>36</v>
      </c>
      <c r="I9" s="736">
        <v>104.5</v>
      </c>
      <c r="J9" s="735">
        <v>0.19</v>
      </c>
      <c r="K9" s="735">
        <f t="shared" si="0"/>
        <v>0.20279369627507163</v>
      </c>
      <c r="L9" s="734">
        <f t="shared" si="1"/>
        <v>1.9406095337327429E-3</v>
      </c>
    </row>
    <row r="10" spans="1:12" ht="16" thickBot="1" x14ac:dyDescent="0.25">
      <c r="A10" s="740" t="s">
        <v>787</v>
      </c>
      <c r="B10" s="739" t="s">
        <v>786</v>
      </c>
      <c r="C10" s="738">
        <f>1-(8.5)/(118.6+8.5+6.3)</f>
        <v>0.93628185907046479</v>
      </c>
      <c r="D10" s="738">
        <v>1</v>
      </c>
      <c r="E10" s="738" t="s">
        <v>786</v>
      </c>
      <c r="H10" s="725" t="s">
        <v>37</v>
      </c>
      <c r="I10" s="736">
        <v>5296.3</v>
      </c>
      <c r="J10" s="735">
        <v>72.510000000000005</v>
      </c>
      <c r="K10" s="735">
        <f t="shared" si="0"/>
        <v>77.392478510028653</v>
      </c>
      <c r="L10" s="734">
        <f t="shared" si="1"/>
        <v>1.4612555653952504E-2</v>
      </c>
    </row>
    <row r="11" spans="1:12" ht="16" thickTop="1" x14ac:dyDescent="0.2">
      <c r="E11" s="737"/>
      <c r="H11" s="725" t="s">
        <v>38</v>
      </c>
      <c r="I11" s="736">
        <v>36872</v>
      </c>
      <c r="J11" s="735">
        <v>4.9800000000000004</v>
      </c>
      <c r="K11" s="735">
        <f t="shared" si="0"/>
        <v>5.3153295128939835</v>
      </c>
      <c r="L11" s="734">
        <f t="shared" si="1"/>
        <v>1.4415625712990842E-4</v>
      </c>
    </row>
    <row r="12" spans="1:12" x14ac:dyDescent="0.2">
      <c r="H12" s="729" t="s">
        <v>39</v>
      </c>
      <c r="I12" s="736">
        <v>53829</v>
      </c>
      <c r="J12" s="735">
        <v>-1260.1400000000001</v>
      </c>
      <c r="K12" s="735">
        <f t="shared" si="0"/>
        <v>-1344.9918338108882</v>
      </c>
      <c r="L12" s="734">
        <f t="shared" si="1"/>
        <v>-2.4986379717455057E-2</v>
      </c>
    </row>
    <row r="13" spans="1:12" x14ac:dyDescent="0.2">
      <c r="H13" s="725" t="s">
        <v>41</v>
      </c>
      <c r="I13" s="736">
        <v>1038.3</v>
      </c>
      <c r="J13" s="735">
        <v>0.89</v>
      </c>
      <c r="K13" s="735">
        <f t="shared" si="0"/>
        <v>0.94992836676217762</v>
      </c>
      <c r="L13" s="734">
        <f t="shared" si="1"/>
        <v>9.1488815059441171E-4</v>
      </c>
    </row>
    <row r="14" spans="1:12" x14ac:dyDescent="0.2">
      <c r="H14" s="725" t="s">
        <v>45</v>
      </c>
      <c r="I14" s="736">
        <v>31769</v>
      </c>
      <c r="J14" s="735">
        <v>-55.53</v>
      </c>
      <c r="K14" s="735">
        <f t="shared" si="0"/>
        <v>-59.269126074498566</v>
      </c>
      <c r="L14" s="734">
        <f t="shared" si="1"/>
        <v>-1.8656276897131973E-3</v>
      </c>
    </row>
    <row r="15" spans="1:12" x14ac:dyDescent="0.2">
      <c r="H15" s="725" t="s">
        <v>49</v>
      </c>
      <c r="I15" s="736">
        <v>1328.4</v>
      </c>
      <c r="J15" s="735">
        <v>0.62</v>
      </c>
      <c r="K15" s="735">
        <f t="shared" si="0"/>
        <v>0.66174785100286526</v>
      </c>
      <c r="L15" s="734">
        <f t="shared" si="1"/>
        <v>4.9815405826773959E-4</v>
      </c>
    </row>
    <row r="16" spans="1:12" x14ac:dyDescent="0.2">
      <c r="H16" s="725" t="s">
        <v>51</v>
      </c>
      <c r="I16" s="736">
        <v>17215</v>
      </c>
      <c r="J16" s="735">
        <v>7.94</v>
      </c>
      <c r="K16" s="735">
        <f t="shared" si="0"/>
        <v>8.4746418338108889</v>
      </c>
      <c r="L16" s="734">
        <f t="shared" si="1"/>
        <v>4.9228241846127727E-4</v>
      </c>
    </row>
    <row r="17" spans="8:12" x14ac:dyDescent="0.2">
      <c r="H17" s="725" t="s">
        <v>53</v>
      </c>
      <c r="I17" s="736">
        <v>6776</v>
      </c>
      <c r="J17" s="735">
        <v>11.46</v>
      </c>
      <c r="K17" s="735">
        <f t="shared" si="0"/>
        <v>12.231661891117479</v>
      </c>
      <c r="L17" s="734">
        <f t="shared" si="1"/>
        <v>1.8051449071897106E-3</v>
      </c>
    </row>
    <row r="18" spans="8:12" x14ac:dyDescent="0.2">
      <c r="H18" s="725" t="s">
        <v>54</v>
      </c>
      <c r="I18" s="736">
        <v>3766.9</v>
      </c>
      <c r="J18" s="735">
        <v>4.82</v>
      </c>
      <c r="K18" s="735">
        <f t="shared" si="0"/>
        <v>5.1445558739255013</v>
      </c>
      <c r="L18" s="734">
        <f t="shared" si="1"/>
        <v>1.3657266914241157E-3</v>
      </c>
    </row>
    <row r="19" spans="8:12" x14ac:dyDescent="0.2">
      <c r="H19" s="725" t="s">
        <v>55</v>
      </c>
      <c r="I19" s="736">
        <v>4141.3999999999996</v>
      </c>
      <c r="J19" s="735">
        <v>-1.1399999999999999</v>
      </c>
      <c r="K19" s="735">
        <f t="shared" si="0"/>
        <v>-1.2167621776504296</v>
      </c>
      <c r="L19" s="734">
        <f t="shared" si="1"/>
        <v>-2.9380455344821309E-4</v>
      </c>
    </row>
    <row r="20" spans="8:12" x14ac:dyDescent="0.2">
      <c r="H20" s="725" t="s">
        <v>543</v>
      </c>
      <c r="I20" s="736">
        <v>1282</v>
      </c>
      <c r="J20" s="735">
        <v>0.56000000000000005</v>
      </c>
      <c r="K20" s="735">
        <f t="shared" si="0"/>
        <v>0.59770773638968488</v>
      </c>
      <c r="L20" s="734">
        <f t="shared" si="1"/>
        <v>4.6623068361129869E-4</v>
      </c>
    </row>
    <row r="21" spans="8:12" x14ac:dyDescent="0.2">
      <c r="H21" s="725" t="s">
        <v>56</v>
      </c>
      <c r="I21" s="736">
        <v>595</v>
      </c>
      <c r="J21" s="735">
        <v>-0.05</v>
      </c>
      <c r="K21" s="735">
        <f t="shared" si="0"/>
        <v>-5.3366762177650434E-2</v>
      </c>
      <c r="L21" s="734">
        <f t="shared" si="1"/>
        <v>-8.9692037273362071E-5</v>
      </c>
    </row>
    <row r="22" spans="8:12" x14ac:dyDescent="0.2">
      <c r="H22" s="725" t="s">
        <v>58</v>
      </c>
      <c r="I22" s="736">
        <v>16499</v>
      </c>
      <c r="J22" s="735">
        <v>33.130000000000003</v>
      </c>
      <c r="K22" s="735">
        <f t="shared" si="0"/>
        <v>35.36081661891118</v>
      </c>
      <c r="L22" s="734">
        <f t="shared" si="1"/>
        <v>2.1432096865816827E-3</v>
      </c>
    </row>
    <row r="23" spans="8:12" x14ac:dyDescent="0.2">
      <c r="H23" s="725" t="s">
        <v>59</v>
      </c>
      <c r="I23" s="736">
        <v>7396.8</v>
      </c>
      <c r="J23" s="735">
        <v>77.599999999999994</v>
      </c>
      <c r="K23" s="735">
        <f t="shared" si="0"/>
        <v>82.825214899713458</v>
      </c>
      <c r="L23" s="734">
        <f t="shared" si="1"/>
        <v>1.1197438743742356E-2</v>
      </c>
    </row>
    <row r="24" spans="8:12" x14ac:dyDescent="0.2">
      <c r="H24" s="1687" t="s">
        <v>62</v>
      </c>
      <c r="I24" s="1688">
        <v>49896.800000000003</v>
      </c>
      <c r="J24" s="1689">
        <v>127.14</v>
      </c>
      <c r="K24" s="1689">
        <f t="shared" si="0"/>
        <v>135.70100286532951</v>
      </c>
      <c r="L24" s="1690">
        <f t="shared" si="1"/>
        <v>2.7196333806041571E-3</v>
      </c>
    </row>
    <row r="25" spans="8:12" ht="16" thickBot="1" x14ac:dyDescent="0.25">
      <c r="H25" s="733" t="s">
        <v>231</v>
      </c>
      <c r="I25" s="732">
        <f>SUM(I4:I24)</f>
        <v>255815.89999999997</v>
      </c>
      <c r="J25" s="731">
        <f>-907.07</f>
        <v>-907.07</v>
      </c>
      <c r="K25" s="731">
        <f t="shared" si="0"/>
        <v>-968.14777936962753</v>
      </c>
      <c r="L25" s="730">
        <f t="shared" si="1"/>
        <v>-3.7845488860138391E-3</v>
      </c>
    </row>
    <row r="26" spans="8:12" ht="16" thickTop="1" x14ac:dyDescent="0.2"/>
    <row r="27" spans="8:12" x14ac:dyDescent="0.2">
      <c r="H27" s="729" t="s">
        <v>798</v>
      </c>
    </row>
    <row r="29" spans="8:12" x14ac:dyDescent="0.2">
      <c r="H29" s="728" t="s">
        <v>799</v>
      </c>
      <c r="I29" s="726"/>
    </row>
    <row r="31" spans="8:12" x14ac:dyDescent="0.2">
      <c r="H31" s="727">
        <f>745/698</f>
        <v>1.0673352435530086</v>
      </c>
      <c r="I31" s="726"/>
    </row>
  </sheetData>
  <mergeCells count="2">
    <mergeCell ref="A2:E2"/>
    <mergeCell ref="H2:L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2:S100"/>
  <sheetViews>
    <sheetView topLeftCell="A3" zoomScale="84" zoomScaleNormal="150" zoomScalePageLayoutView="150" workbookViewId="0">
      <pane xSplit="2" ySplit="6" topLeftCell="C9" activePane="bottomRight" state="frozen"/>
      <selection pane="topRight" activeCell="D18" sqref="D18"/>
      <selection pane="bottomLeft" activeCell="D18" sqref="D18"/>
      <selection pane="bottomRight" activeCell="B4" sqref="A1:B1048576"/>
    </sheetView>
  </sheetViews>
  <sheetFormatPr baseColWidth="10" defaultColWidth="10.83203125" defaultRowHeight="16" x14ac:dyDescent="0.2"/>
  <cols>
    <col min="1" max="1" width="7.6640625" style="145" customWidth="1"/>
    <col min="2" max="2" width="19" style="837" customWidth="1"/>
    <col min="3" max="3" width="10.5" style="837" bestFit="1" customWidth="1"/>
    <col min="4" max="4" width="10.5" style="837" customWidth="1"/>
    <col min="5" max="7" width="11.33203125" style="837" customWidth="1"/>
    <col min="8" max="8" width="14.6640625" style="837" bestFit="1" customWidth="1"/>
    <col min="9" max="9" width="14.6640625" style="837" customWidth="1"/>
    <col min="10" max="11" width="11.33203125" style="837" customWidth="1"/>
    <col min="12" max="12" width="14.33203125" style="837" bestFit="1" customWidth="1"/>
    <col min="13" max="14" width="11.33203125" style="837" customWidth="1"/>
    <col min="15" max="15" width="10.83203125" style="837"/>
    <col min="16" max="16" width="12" style="837" bestFit="1" customWidth="1"/>
    <col min="17" max="17" width="10.83203125" style="837"/>
    <col min="18" max="18" width="7.6640625" style="145" customWidth="1"/>
    <col min="19" max="19" width="20.5" style="837" bestFit="1" customWidth="1"/>
    <col min="20" max="20" width="19.83203125" style="837" bestFit="1" customWidth="1"/>
    <col min="21" max="21" width="10.83203125" style="837"/>
    <col min="22" max="22" width="15.33203125" style="837" bestFit="1" customWidth="1"/>
    <col min="23" max="23" width="11.83203125" style="837" bestFit="1" customWidth="1"/>
    <col min="24" max="25" width="10.83203125" style="837"/>
    <col min="26" max="26" width="21.1640625" style="837" bestFit="1" customWidth="1"/>
    <col min="27" max="16384" width="10.83203125" style="837"/>
  </cols>
  <sheetData>
    <row r="2" spans="1:18" ht="17" thickBot="1" x14ac:dyDescent="0.25"/>
    <row r="3" spans="1:18" ht="32.25" customHeight="1" x14ac:dyDescent="0.2">
      <c r="B3" s="2365" t="s">
        <v>800</v>
      </c>
      <c r="C3" s="2366"/>
      <c r="D3" s="2366"/>
      <c r="E3" s="2366"/>
      <c r="F3" s="2366"/>
      <c r="G3" s="2366"/>
      <c r="H3" s="2366"/>
      <c r="I3" s="2366"/>
      <c r="J3" s="2366"/>
      <c r="K3" s="2366"/>
      <c r="L3" s="2366"/>
      <c r="M3" s="2366"/>
      <c r="N3" s="2366"/>
      <c r="O3" s="2366"/>
      <c r="P3" s="2366"/>
      <c r="Q3" s="2367"/>
    </row>
    <row r="4" spans="1:18" ht="12" customHeight="1" x14ac:dyDescent="0.2">
      <c r="B4" s="890"/>
      <c r="C4" s="889"/>
      <c r="D4" s="889"/>
      <c r="E4" s="889"/>
      <c r="F4" s="889"/>
      <c r="G4" s="889"/>
      <c r="H4" s="889"/>
      <c r="I4" s="889"/>
      <c r="J4" s="889"/>
      <c r="K4" s="889"/>
      <c r="L4" s="889"/>
      <c r="M4" s="889"/>
      <c r="N4" s="889"/>
      <c r="Q4" s="888"/>
    </row>
    <row r="5" spans="1:18" ht="17" thickBot="1" x14ac:dyDescent="0.25">
      <c r="B5" s="860"/>
      <c r="C5" s="887" t="s">
        <v>1</v>
      </c>
      <c r="D5" s="887" t="s">
        <v>2</v>
      </c>
      <c r="E5" s="887" t="s">
        <v>3</v>
      </c>
      <c r="F5" s="887" t="s">
        <v>4</v>
      </c>
      <c r="G5" s="887" t="s">
        <v>5</v>
      </c>
      <c r="H5" s="887" t="s">
        <v>6</v>
      </c>
      <c r="I5" s="887" t="s">
        <v>7</v>
      </c>
      <c r="J5" s="887" t="s">
        <v>8</v>
      </c>
      <c r="K5" s="887" t="s">
        <v>9</v>
      </c>
      <c r="L5" s="887" t="s">
        <v>10</v>
      </c>
      <c r="M5" s="887" t="s">
        <v>11</v>
      </c>
      <c r="N5" s="887" t="s">
        <v>12</v>
      </c>
      <c r="O5" s="887" t="s">
        <v>13</v>
      </c>
      <c r="P5" s="887" t="s">
        <v>177</v>
      </c>
      <c r="Q5" s="886" t="s">
        <v>178</v>
      </c>
    </row>
    <row r="6" spans="1:18" ht="35.25" customHeight="1" x14ac:dyDescent="0.2">
      <c r="B6" s="885"/>
      <c r="C6" s="2370" t="s">
        <v>801</v>
      </c>
      <c r="D6" s="2370"/>
      <c r="E6" s="2370"/>
      <c r="F6" s="2370"/>
      <c r="G6" s="2370"/>
      <c r="H6" s="2370" t="s">
        <v>802</v>
      </c>
      <c r="I6" s="2370"/>
      <c r="J6" s="2370"/>
      <c r="K6" s="2370"/>
      <c r="L6" s="2370"/>
      <c r="M6" s="2370" t="s">
        <v>162</v>
      </c>
      <c r="N6" s="2370"/>
      <c r="O6" s="2370"/>
      <c r="P6" s="2370"/>
      <c r="Q6" s="2371"/>
    </row>
    <row r="7" spans="1:18" ht="85" customHeight="1" x14ac:dyDescent="0.2">
      <c r="A7" s="148"/>
      <c r="B7" s="860"/>
      <c r="C7" s="2368" t="s">
        <v>803</v>
      </c>
      <c r="D7" s="2360" t="s">
        <v>804</v>
      </c>
      <c r="E7" s="882" t="s">
        <v>805</v>
      </c>
      <c r="F7" s="882" t="s">
        <v>806</v>
      </c>
      <c r="G7" s="884" t="s">
        <v>807</v>
      </c>
      <c r="H7" s="2369" t="s">
        <v>803</v>
      </c>
      <c r="I7" s="2360" t="s">
        <v>804</v>
      </c>
      <c r="J7" s="882" t="s">
        <v>805</v>
      </c>
      <c r="K7" s="882" t="s">
        <v>806</v>
      </c>
      <c r="L7" s="883" t="s">
        <v>807</v>
      </c>
      <c r="M7" s="2360" t="s">
        <v>803</v>
      </c>
      <c r="N7" s="2360" t="s">
        <v>804</v>
      </c>
      <c r="O7" s="882" t="s">
        <v>805</v>
      </c>
      <c r="P7" s="882" t="s">
        <v>806</v>
      </c>
      <c r="Q7" s="881" t="s">
        <v>807</v>
      </c>
      <c r="R7" s="148"/>
    </row>
    <row r="8" spans="1:18" ht="33" customHeight="1" x14ac:dyDescent="0.2">
      <c r="A8" s="148"/>
      <c r="B8" s="860"/>
      <c r="C8" s="2368"/>
      <c r="D8" s="2361"/>
      <c r="E8" s="879" t="s">
        <v>754</v>
      </c>
      <c r="F8" s="879" t="s">
        <v>808</v>
      </c>
      <c r="G8" s="880" t="s">
        <v>754</v>
      </c>
      <c r="H8" s="2369"/>
      <c r="I8" s="2361"/>
      <c r="J8" s="879" t="s">
        <v>754</v>
      </c>
      <c r="K8" s="879" t="s">
        <v>808</v>
      </c>
      <c r="L8" s="880" t="s">
        <v>754</v>
      </c>
      <c r="M8" s="2361"/>
      <c r="N8" s="2361"/>
      <c r="O8" s="879" t="s">
        <v>754</v>
      </c>
      <c r="P8" s="879" t="s">
        <v>808</v>
      </c>
      <c r="Q8" s="878" t="s">
        <v>754</v>
      </c>
      <c r="R8" s="148"/>
    </row>
    <row r="9" spans="1:18" ht="40" customHeight="1" x14ac:dyDescent="0.2">
      <c r="B9" s="877" t="s">
        <v>28</v>
      </c>
      <c r="C9" s="870">
        <f t="shared" ref="C9:C52" si="0">+IF(G9&gt;0,G9/E9,"")</f>
        <v>3.0900158166991041</v>
      </c>
      <c r="D9" s="868">
        <f t="shared" ref="D9:D49" si="1">+G9/F9</f>
        <v>0.13295330543030764</v>
      </c>
      <c r="E9" s="875">
        <f>+SUM(E10:E44)</f>
        <v>15382.439705866644</v>
      </c>
      <c r="F9" s="875">
        <f>+SUM(F10:F44)</f>
        <v>357508.8399397778</v>
      </c>
      <c r="G9" s="876">
        <f>+SUM(G10:G44)</f>
        <v>47531.981990548244</v>
      </c>
      <c r="H9" s="868">
        <f>+IF(L9&gt;0,L9/J9,"")</f>
        <v>3.296693683253737</v>
      </c>
      <c r="I9" s="868">
        <f t="shared" ref="I9:I22" si="2">+L9/K9</f>
        <v>0.20563597055527447</v>
      </c>
      <c r="J9" s="875">
        <f>+SUM(J10:J44)</f>
        <v>2276.3407946990947</v>
      </c>
      <c r="K9" s="875">
        <f>+SUM(K10:K44)</f>
        <v>36493.607118216372</v>
      </c>
      <c r="L9" s="876">
        <f>+SUM(L10:L44)</f>
        <v>7504.398318817297</v>
      </c>
      <c r="M9" s="868">
        <f>+IF(Q9&gt;0,Q9/O9,"")</f>
        <v>3.0528371746490119</v>
      </c>
      <c r="N9" s="868">
        <f t="shared" ref="N9:N22" si="3">+Q9/P9</f>
        <v>0.12468410759526835</v>
      </c>
      <c r="O9" s="875">
        <f>+SUM(O10:O44)</f>
        <v>13106.098911167552</v>
      </c>
      <c r="P9" s="875">
        <f>+SUM(P10:P44)</f>
        <v>320897.23977105814</v>
      </c>
      <c r="Q9" s="874">
        <f>+SUM(Q10:Q44)</f>
        <v>40010.785970639241</v>
      </c>
    </row>
    <row r="10" spans="1:18" ht="14.25" customHeight="1" x14ac:dyDescent="0.2">
      <c r="A10" s="145" t="s">
        <v>809</v>
      </c>
      <c r="B10" s="866" t="s">
        <v>29</v>
      </c>
      <c r="C10" s="826">
        <f t="shared" si="0"/>
        <v>3.481317291595619</v>
      </c>
      <c r="D10" s="827">
        <f t="shared" si="1"/>
        <v>0.23694866782897228</v>
      </c>
      <c r="E10" s="856">
        <v>496.98457655004552</v>
      </c>
      <c r="F10" s="856">
        <v>7301.8388997604197</v>
      </c>
      <c r="G10" s="859">
        <v>1730.1610000000001</v>
      </c>
      <c r="H10" s="827">
        <f t="shared" ref="H10:H52" si="4">+IFERROR(L10/J10,"")</f>
        <v>2.9571700000000001</v>
      </c>
      <c r="I10" s="827">
        <f t="shared" si="2"/>
        <v>0.43762637385941966</v>
      </c>
      <c r="J10" s="858">
        <v>103.34199428911158</v>
      </c>
      <c r="K10" s="858">
        <v>698.31222135186272</v>
      </c>
      <c r="L10" s="857">
        <v>305.59984525193209</v>
      </c>
      <c r="M10" s="827">
        <f t="shared" ref="M10:M49" si="5">+IFERROR(Q10/O10,"")</f>
        <v>3.6189203580718536</v>
      </c>
      <c r="N10" s="827">
        <f t="shared" si="3"/>
        <v>0.21572732634001954</v>
      </c>
      <c r="O10" s="856">
        <f t="shared" ref="O10:O44" si="6">+IF(AND(E10&gt;0,J10&gt;0),E10-J10,"")</f>
        <v>393.64258226093392</v>
      </c>
      <c r="P10" s="856">
        <f t="shared" ref="P10:P44" si="7">+IFERROR(IF(AND(F10&gt;0,K10&gt;0),F10-K10,""),"")</f>
        <v>6603.526678408557</v>
      </c>
      <c r="Q10" s="855">
        <f t="shared" ref="Q10:Q44" si="8">+IFERROR(IF(AND(G10&gt;0,L10&gt;0),G10-L10,""),"")</f>
        <v>1424.561154748068</v>
      </c>
    </row>
    <row r="11" spans="1:18" ht="14.25" customHeight="1" x14ac:dyDescent="0.2">
      <c r="A11" s="145" t="s">
        <v>810</v>
      </c>
      <c r="B11" s="866" t="s">
        <v>30</v>
      </c>
      <c r="C11" s="826">
        <f t="shared" si="0"/>
        <v>5.5589601654952894</v>
      </c>
      <c r="D11" s="827">
        <f t="shared" si="1"/>
        <v>0.25199362023294941</v>
      </c>
      <c r="E11" s="872">
        <v>124.3274896607254</v>
      </c>
      <c r="F11" s="856">
        <v>2742.6550000000002</v>
      </c>
      <c r="G11" s="859">
        <v>691.13156249999997</v>
      </c>
      <c r="H11" s="827">
        <f t="shared" si="4"/>
        <v>4.8111471682326874</v>
      </c>
      <c r="I11" s="827">
        <f t="shared" si="2"/>
        <v>0.30122861727115979</v>
      </c>
      <c r="J11" s="858">
        <v>34.166269406006975</v>
      </c>
      <c r="K11" s="858">
        <v>545.69500000000005</v>
      </c>
      <c r="L11" s="857">
        <v>164.37895030178555</v>
      </c>
      <c r="M11" s="827">
        <f t="shared" si="5"/>
        <v>5.8423412051219179</v>
      </c>
      <c r="N11" s="827">
        <f t="shared" si="3"/>
        <v>0.23976431623616923</v>
      </c>
      <c r="O11" s="856">
        <f t="shared" si="6"/>
        <v>90.16122025471843</v>
      </c>
      <c r="P11" s="856">
        <f t="shared" si="7"/>
        <v>2196.96</v>
      </c>
      <c r="Q11" s="855">
        <f t="shared" si="8"/>
        <v>526.75261219821436</v>
      </c>
    </row>
    <row r="12" spans="1:18" x14ac:dyDescent="0.2">
      <c r="A12" s="145" t="s">
        <v>811</v>
      </c>
      <c r="B12" s="866" t="s">
        <v>31</v>
      </c>
      <c r="C12" s="826">
        <f t="shared" si="0"/>
        <v>3.0069536965468577</v>
      </c>
      <c r="D12" s="827">
        <f t="shared" si="1"/>
        <v>0.18083148404617411</v>
      </c>
      <c r="E12" s="872">
        <v>166.52659153848629</v>
      </c>
      <c r="F12" s="856">
        <v>2769.085</v>
      </c>
      <c r="G12" s="859">
        <v>500.73775000000001</v>
      </c>
      <c r="H12" s="827">
        <f t="shared" si="4"/>
        <v>2.1784300742147589</v>
      </c>
      <c r="I12" s="827">
        <f t="shared" si="2"/>
        <v>0.23510719634065672</v>
      </c>
      <c r="J12" s="858">
        <v>47.376726963536328</v>
      </c>
      <c r="K12" s="858">
        <v>438.97800000000001</v>
      </c>
      <c r="L12" s="857">
        <v>103.2068868352288</v>
      </c>
      <c r="M12" s="827">
        <f t="shared" si="5"/>
        <v>3.3363937473441996</v>
      </c>
      <c r="N12" s="827">
        <f t="shared" si="3"/>
        <v>0.17060626965404216</v>
      </c>
      <c r="O12" s="856">
        <f t="shared" si="6"/>
        <v>119.14986457494996</v>
      </c>
      <c r="P12" s="856">
        <f t="shared" si="7"/>
        <v>2330.107</v>
      </c>
      <c r="Q12" s="855">
        <f t="shared" si="8"/>
        <v>397.53086316477118</v>
      </c>
    </row>
    <row r="13" spans="1:18" x14ac:dyDescent="0.2">
      <c r="A13" s="145" t="s">
        <v>812</v>
      </c>
      <c r="B13" s="866" t="s">
        <v>32</v>
      </c>
      <c r="C13" s="826">
        <f t="shared" si="0"/>
        <v>2.2053567966313423</v>
      </c>
      <c r="D13" s="827">
        <f t="shared" si="1"/>
        <v>0.11840889506314953</v>
      </c>
      <c r="E13" s="856">
        <v>613.39428253347273</v>
      </c>
      <c r="F13" s="856">
        <v>11424.42254256788</v>
      </c>
      <c r="G13" s="859">
        <v>1352.75325</v>
      </c>
      <c r="H13" s="827">
        <f t="shared" si="4"/>
        <v>3.2777000000000003</v>
      </c>
      <c r="I13" s="827">
        <f t="shared" si="2"/>
        <v>0.22644356487007861</v>
      </c>
      <c r="J13" s="858">
        <v>91.55391880071636</v>
      </c>
      <c r="K13" s="858">
        <v>1325.2144295877065</v>
      </c>
      <c r="L13" s="857">
        <v>300.08627965310802</v>
      </c>
      <c r="M13" s="827">
        <f t="shared" si="5"/>
        <v>2.0172202909278618</v>
      </c>
      <c r="N13" s="827">
        <f t="shared" si="3"/>
        <v>0.10423262483262766</v>
      </c>
      <c r="O13" s="856">
        <f t="shared" si="6"/>
        <v>521.84036373275637</v>
      </c>
      <c r="P13" s="856">
        <f t="shared" si="7"/>
        <v>10099.208112980174</v>
      </c>
      <c r="Q13" s="855">
        <f t="shared" si="8"/>
        <v>1052.666970346892</v>
      </c>
    </row>
    <row r="14" spans="1:18" x14ac:dyDescent="0.2">
      <c r="A14" s="145" t="s">
        <v>813</v>
      </c>
      <c r="B14" s="866" t="s">
        <v>33</v>
      </c>
      <c r="C14" s="826">
        <f t="shared" si="0"/>
        <v>3.4537554555269896</v>
      </c>
      <c r="D14" s="827">
        <f t="shared" si="1"/>
        <v>4.4822137481688472E-2</v>
      </c>
      <c r="E14" s="856">
        <v>67.029473521292758</v>
      </c>
      <c r="F14" s="856">
        <v>5164.9346252138157</v>
      </c>
      <c r="G14" s="859">
        <v>231.50340985526677</v>
      </c>
      <c r="H14" s="827">
        <f t="shared" si="4"/>
        <v>6.7684900000000008</v>
      </c>
      <c r="I14" s="827">
        <f t="shared" si="2"/>
        <v>0.15444711315829332</v>
      </c>
      <c r="J14" s="858">
        <v>9.9875864667598862</v>
      </c>
      <c r="K14" s="858">
        <v>437.69597075676825</v>
      </c>
      <c r="L14" s="857">
        <v>67.600879124399626</v>
      </c>
      <c r="M14" s="827">
        <f t="shared" si="5"/>
        <v>2.8733714677807547</v>
      </c>
      <c r="N14" s="827">
        <f t="shared" si="3"/>
        <v>3.4671939098385202E-2</v>
      </c>
      <c r="O14" s="856">
        <f t="shared" si="6"/>
        <v>57.041887054532872</v>
      </c>
      <c r="P14" s="856">
        <f t="shared" si="7"/>
        <v>4727.2386544570472</v>
      </c>
      <c r="Q14" s="855">
        <f t="shared" si="8"/>
        <v>163.90253073086714</v>
      </c>
    </row>
    <row r="15" spans="1:18" x14ac:dyDescent="0.2">
      <c r="A15" s="145" t="s">
        <v>814</v>
      </c>
      <c r="B15" s="866" t="s">
        <v>34</v>
      </c>
      <c r="C15" s="826">
        <f t="shared" si="0"/>
        <v>5.8567195984267206</v>
      </c>
      <c r="D15" s="827">
        <f t="shared" si="1"/>
        <v>8.8064214554096215E-2</v>
      </c>
      <c r="E15" s="872">
        <v>54.009329742364955</v>
      </c>
      <c r="F15" s="856">
        <v>3591.8960000000002</v>
      </c>
      <c r="G15" s="859">
        <v>316.3175</v>
      </c>
      <c r="H15" s="827">
        <f t="shared" si="4"/>
        <v>5.0574983418529955</v>
      </c>
      <c r="I15" s="827">
        <f t="shared" si="2"/>
        <v>0.12008709361182347</v>
      </c>
      <c r="J15" s="858">
        <v>22.880712544827599</v>
      </c>
      <c r="K15" s="858">
        <v>963.62699999999995</v>
      </c>
      <c r="L15" s="857">
        <v>115.71916575588061</v>
      </c>
      <c r="M15" s="827">
        <f t="shared" si="5"/>
        <v>6.4441774901581264</v>
      </c>
      <c r="N15" s="827">
        <f t="shared" si="3"/>
        <v>7.6323365014813682E-2</v>
      </c>
      <c r="O15" s="856">
        <f t="shared" si="6"/>
        <v>31.128617197537356</v>
      </c>
      <c r="P15" s="856">
        <f t="shared" si="7"/>
        <v>2628.2690000000002</v>
      </c>
      <c r="Q15" s="855">
        <f t="shared" si="8"/>
        <v>200.59833424411937</v>
      </c>
    </row>
    <row r="16" spans="1:18" x14ac:dyDescent="0.2">
      <c r="A16" s="145" t="s">
        <v>815</v>
      </c>
      <c r="B16" s="866" t="s">
        <v>35</v>
      </c>
      <c r="C16" s="826">
        <f t="shared" si="0"/>
        <v>4.2101555979239409</v>
      </c>
      <c r="D16" s="827">
        <f t="shared" si="1"/>
        <v>0.24911472763689882</v>
      </c>
      <c r="E16" s="872">
        <v>98.579989289388223</v>
      </c>
      <c r="F16" s="856">
        <v>1666.048</v>
      </c>
      <c r="G16" s="859">
        <v>415.03709375</v>
      </c>
      <c r="H16" s="827">
        <f t="shared" si="4"/>
        <v>2.9473841846386866</v>
      </c>
      <c r="I16" s="827">
        <f t="shared" si="2"/>
        <v>0.18914404956710307</v>
      </c>
      <c r="J16" s="858">
        <v>22.761452923037087</v>
      </c>
      <c r="K16" s="858">
        <v>354.68599999999998</v>
      </c>
      <c r="L16" s="857">
        <v>67.086746364757516</v>
      </c>
      <c r="M16" s="827">
        <f t="shared" si="5"/>
        <v>4.5892517062577536</v>
      </c>
      <c r="N16" s="827">
        <f t="shared" si="3"/>
        <v>0.26533508473269962</v>
      </c>
      <c r="O16" s="856">
        <f t="shared" si="6"/>
        <v>75.81853636635114</v>
      </c>
      <c r="P16" s="856">
        <f t="shared" si="7"/>
        <v>1311.3620000000001</v>
      </c>
      <c r="Q16" s="855">
        <f t="shared" si="8"/>
        <v>347.95034738524248</v>
      </c>
    </row>
    <row r="17" spans="1:19" x14ac:dyDescent="0.2">
      <c r="A17" s="145" t="s">
        <v>816</v>
      </c>
      <c r="B17" s="866" t="s">
        <v>36</v>
      </c>
      <c r="C17" s="826">
        <f t="shared" si="0"/>
        <v>4.2523415263833346</v>
      </c>
      <c r="D17" s="827">
        <f t="shared" si="1"/>
        <v>0.13831160795229278</v>
      </c>
      <c r="E17" s="872">
        <v>7.9577756114007627</v>
      </c>
      <c r="F17" s="856">
        <v>244.65899999999999</v>
      </c>
      <c r="G17" s="859">
        <v>33.839179689999995</v>
      </c>
      <c r="H17" s="827">
        <f t="shared" si="4"/>
        <v>2.9073120151665002</v>
      </c>
      <c r="I17" s="827">
        <f t="shared" si="2"/>
        <v>0.10047777000456205</v>
      </c>
      <c r="J17" s="858">
        <v>3.2197474636718431</v>
      </c>
      <c r="K17" s="858">
        <v>93.162999999999997</v>
      </c>
      <c r="L17" s="857">
        <v>9.3608104869350139</v>
      </c>
      <c r="M17" s="827">
        <f t="shared" si="5"/>
        <v>5.166362132060824</v>
      </c>
      <c r="N17" s="827">
        <f t="shared" si="3"/>
        <v>0.16157766015647265</v>
      </c>
      <c r="O17" s="856">
        <f t="shared" si="6"/>
        <v>4.7380281477289197</v>
      </c>
      <c r="P17" s="856">
        <f t="shared" si="7"/>
        <v>151.49599999999998</v>
      </c>
      <c r="Q17" s="855">
        <f t="shared" si="8"/>
        <v>24.478369203064979</v>
      </c>
    </row>
    <row r="18" spans="1:19" x14ac:dyDescent="0.2">
      <c r="A18" s="145" t="s">
        <v>817</v>
      </c>
      <c r="B18" s="866" t="s">
        <v>37</v>
      </c>
      <c r="C18" s="826">
        <f t="shared" si="0"/>
        <v>3.4863289788377578</v>
      </c>
      <c r="D18" s="827">
        <f t="shared" si="1"/>
        <v>0.18095028521661602</v>
      </c>
      <c r="E18" s="872">
        <v>75.447591606139355</v>
      </c>
      <c r="F18" s="856">
        <v>1453.6320000000001</v>
      </c>
      <c r="G18" s="859">
        <v>263.03512499999999</v>
      </c>
      <c r="H18" s="827">
        <f t="shared" si="4"/>
        <v>2.7544524513892781</v>
      </c>
      <c r="I18" s="827">
        <f t="shared" si="2"/>
        <v>0.18420637943609547</v>
      </c>
      <c r="J18" s="858">
        <v>16.339177250094341</v>
      </c>
      <c r="K18" s="858">
        <v>244.321</v>
      </c>
      <c r="L18" s="857">
        <v>45.00548683020628</v>
      </c>
      <c r="M18" s="827">
        <f t="shared" si="5"/>
        <v>3.6886396047857408</v>
      </c>
      <c r="N18" s="827">
        <f t="shared" si="3"/>
        <v>0.1802924460042071</v>
      </c>
      <c r="O18" s="856">
        <f t="shared" si="6"/>
        <v>59.108414356045017</v>
      </c>
      <c r="P18" s="856">
        <f t="shared" si="7"/>
        <v>1209.3110000000001</v>
      </c>
      <c r="Q18" s="855">
        <f t="shared" si="8"/>
        <v>218.02963816979371</v>
      </c>
    </row>
    <row r="19" spans="1:19" x14ac:dyDescent="0.2">
      <c r="A19" s="145" t="s">
        <v>818</v>
      </c>
      <c r="B19" s="866" t="s">
        <v>38</v>
      </c>
      <c r="C19" s="826">
        <f t="shared" si="0"/>
        <v>2.6507328962746661</v>
      </c>
      <c r="D19" s="827">
        <f t="shared" si="1"/>
        <v>0.14506478214910593</v>
      </c>
      <c r="E19" s="872">
        <v>871.38042208861668</v>
      </c>
      <c r="F19" s="856">
        <v>15922.519</v>
      </c>
      <c r="G19" s="859">
        <v>2309.79675</v>
      </c>
      <c r="H19" s="827">
        <f t="shared" si="4"/>
        <v>1.8651390114912509</v>
      </c>
      <c r="I19" s="827">
        <f t="shared" si="2"/>
        <v>0.1604858759321765</v>
      </c>
      <c r="J19" s="858">
        <v>153.37468637532214</v>
      </c>
      <c r="K19" s="858">
        <v>1782.4939999999999</v>
      </c>
      <c r="L19" s="857">
        <v>286.06511093384898</v>
      </c>
      <c r="M19" s="827">
        <f t="shared" si="5"/>
        <v>2.8185452266000328</v>
      </c>
      <c r="N19" s="827">
        <f t="shared" si="3"/>
        <v>0.14312079639648098</v>
      </c>
      <c r="O19" s="856">
        <f t="shared" si="6"/>
        <v>718.0057357132946</v>
      </c>
      <c r="P19" s="856">
        <f t="shared" si="7"/>
        <v>14140.025</v>
      </c>
      <c r="Q19" s="855">
        <f t="shared" si="8"/>
        <v>2023.731639066151</v>
      </c>
    </row>
    <row r="20" spans="1:19" x14ac:dyDescent="0.2">
      <c r="A20" s="145" t="s">
        <v>819</v>
      </c>
      <c r="B20" s="866" t="s">
        <v>39</v>
      </c>
      <c r="C20" s="826">
        <f t="shared" si="0"/>
        <v>2.9519903642634002</v>
      </c>
      <c r="D20" s="827">
        <f t="shared" si="1"/>
        <v>0.12776033754199193</v>
      </c>
      <c r="E20" s="872">
        <v>1223.0067020902579</v>
      </c>
      <c r="F20" s="856">
        <v>28258.41</v>
      </c>
      <c r="G20" s="859">
        <v>3610.3040000000001</v>
      </c>
      <c r="H20" s="827">
        <f t="shared" si="4"/>
        <v>3.3795864752042459</v>
      </c>
      <c r="I20" s="827">
        <f t="shared" si="2"/>
        <v>0.2581822877163451</v>
      </c>
      <c r="J20" s="858">
        <v>234.01373793675208</v>
      </c>
      <c r="K20" s="858">
        <v>3063.2220000000002</v>
      </c>
      <c r="L20" s="857">
        <v>790.86966374303813</v>
      </c>
      <c r="M20" s="827">
        <f t="shared" si="5"/>
        <v>2.8508133408918219</v>
      </c>
      <c r="N20" s="827">
        <f t="shared" si="3"/>
        <v>0.11190368320557728</v>
      </c>
      <c r="O20" s="856">
        <f t="shared" si="6"/>
        <v>988.99296415350591</v>
      </c>
      <c r="P20" s="856">
        <f t="shared" si="7"/>
        <v>25195.187999999998</v>
      </c>
      <c r="Q20" s="855">
        <f t="shared" si="8"/>
        <v>2819.4343362569621</v>
      </c>
      <c r="S20" s="873"/>
    </row>
    <row r="21" spans="1:19" x14ac:dyDescent="0.2">
      <c r="A21" s="145" t="s">
        <v>820</v>
      </c>
      <c r="B21" s="866" t="s">
        <v>40</v>
      </c>
      <c r="C21" s="826">
        <f t="shared" si="0"/>
        <v>4.800780294954893</v>
      </c>
      <c r="D21" s="827">
        <f t="shared" si="1"/>
        <v>6.147764241837958E-2</v>
      </c>
      <c r="E21" s="872">
        <v>27.693378982519995</v>
      </c>
      <c r="F21" s="856">
        <v>2162.5720000000001</v>
      </c>
      <c r="G21" s="859">
        <v>132.94982811999998</v>
      </c>
      <c r="H21" s="827">
        <f t="shared" si="4"/>
        <v>4.0765586258133419</v>
      </c>
      <c r="I21" s="827">
        <f t="shared" si="2"/>
        <v>0.13824577991346368</v>
      </c>
      <c r="J21" s="858">
        <v>4.1948249888750162</v>
      </c>
      <c r="K21" s="858">
        <v>123.696</v>
      </c>
      <c r="L21" s="857">
        <v>17.100449992175804</v>
      </c>
      <c r="M21" s="827">
        <f t="shared" si="5"/>
        <v>4.9300641290163991</v>
      </c>
      <c r="N21" s="827">
        <f t="shared" si="3"/>
        <v>5.6820217672788415E-2</v>
      </c>
      <c r="O21" s="856">
        <f t="shared" si="6"/>
        <v>23.498553993644979</v>
      </c>
      <c r="P21" s="856">
        <f t="shared" si="7"/>
        <v>2038.8760000000002</v>
      </c>
      <c r="Q21" s="855">
        <f t="shared" si="8"/>
        <v>115.84937812782417</v>
      </c>
      <c r="S21" s="873"/>
    </row>
    <row r="22" spans="1:19" x14ac:dyDescent="0.2">
      <c r="A22" s="145" t="s">
        <v>821</v>
      </c>
      <c r="B22" s="866" t="s">
        <v>41</v>
      </c>
      <c r="C22" s="826">
        <f t="shared" si="0"/>
        <v>5.4496531444664109</v>
      </c>
      <c r="D22" s="827">
        <f t="shared" si="1"/>
        <v>7.1800964935391079E-2</v>
      </c>
      <c r="E22" s="872">
        <v>34.2062595652135</v>
      </c>
      <c r="F22" s="856">
        <v>2596.2359999999999</v>
      </c>
      <c r="G22" s="859">
        <v>186.41225</v>
      </c>
      <c r="H22" s="827">
        <f t="shared" si="4"/>
        <v>5.5143268311945191</v>
      </c>
      <c r="I22" s="827">
        <f t="shared" si="2"/>
        <v>0.12931448405704929</v>
      </c>
      <c r="J22" s="858">
        <v>15.828195934347765</v>
      </c>
      <c r="K22" s="858">
        <v>674.95799999999997</v>
      </c>
      <c r="L22" s="857">
        <v>87.281845530177876</v>
      </c>
      <c r="M22" s="827">
        <f t="shared" si="5"/>
        <v>5.3939526198687116</v>
      </c>
      <c r="N22" s="827">
        <f t="shared" si="3"/>
        <v>5.15960753570395E-2</v>
      </c>
      <c r="O22" s="856">
        <f t="shared" si="6"/>
        <v>18.378063630865736</v>
      </c>
      <c r="P22" s="856">
        <f t="shared" si="7"/>
        <v>1921.2779999999998</v>
      </c>
      <c r="Q22" s="855">
        <f t="shared" si="8"/>
        <v>99.130404469822125</v>
      </c>
      <c r="S22" s="873"/>
    </row>
    <row r="23" spans="1:19" ht="17" x14ac:dyDescent="0.2">
      <c r="A23" s="145" t="s">
        <v>822</v>
      </c>
      <c r="B23" s="866" t="s">
        <v>42</v>
      </c>
      <c r="C23" s="826">
        <f t="shared" si="0"/>
        <v>3.2759700275955947</v>
      </c>
      <c r="D23" s="827">
        <f t="shared" si="1"/>
        <v>0.142361783342771</v>
      </c>
      <c r="E23" s="856">
        <v>5.1275502981429524</v>
      </c>
      <c r="F23" s="856">
        <v>117.99305050331219</v>
      </c>
      <c r="G23" s="859">
        <v>16.797701091705168</v>
      </c>
      <c r="H23" s="827" t="str">
        <f t="shared" si="4"/>
        <v/>
      </c>
      <c r="I23" s="827"/>
      <c r="J23" s="858">
        <v>1.4154993051686313</v>
      </c>
      <c r="K23" s="858" t="s">
        <v>262</v>
      </c>
      <c r="L23" s="857" t="s">
        <v>262</v>
      </c>
      <c r="M23" s="827" t="str">
        <f t="shared" si="5"/>
        <v/>
      </c>
      <c r="N23" s="827"/>
      <c r="O23" s="856">
        <f t="shared" si="6"/>
        <v>3.7120509929743211</v>
      </c>
      <c r="P23" s="856" t="str">
        <f t="shared" si="7"/>
        <v/>
      </c>
      <c r="Q23" s="855" t="str">
        <f t="shared" si="8"/>
        <v/>
      </c>
      <c r="S23" s="873"/>
    </row>
    <row r="24" spans="1:19" x14ac:dyDescent="0.2">
      <c r="A24" s="145" t="s">
        <v>823</v>
      </c>
      <c r="B24" s="866" t="s">
        <v>43</v>
      </c>
      <c r="C24" s="826">
        <f t="shared" si="0"/>
        <v>3.2206512748704248</v>
      </c>
      <c r="D24" s="827">
        <f t="shared" si="1"/>
        <v>0.1510853378572892</v>
      </c>
      <c r="E24" s="872">
        <v>61.361034049457722</v>
      </c>
      <c r="F24" s="856">
        <v>1308.019</v>
      </c>
      <c r="G24" s="859">
        <v>197.62249253875356</v>
      </c>
      <c r="H24" s="827">
        <f t="shared" si="4"/>
        <v>5.4716008479763198</v>
      </c>
      <c r="I24" s="827">
        <f>+L24/K24</f>
        <v>0.33424889387920881</v>
      </c>
      <c r="J24" s="858">
        <v>14.534778765501809</v>
      </c>
      <c r="K24" s="858">
        <v>237.93199999999999</v>
      </c>
      <c r="L24" s="857">
        <v>79.528507818467901</v>
      </c>
      <c r="M24" s="827">
        <f t="shared" si="5"/>
        <v>2.521960895744491</v>
      </c>
      <c r="N24" s="827">
        <f>+Q24/P24</f>
        <v>0.11035923688474457</v>
      </c>
      <c r="O24" s="856">
        <f t="shared" si="6"/>
        <v>46.826255283955916</v>
      </c>
      <c r="P24" s="856">
        <f t="shared" si="7"/>
        <v>1070.087</v>
      </c>
      <c r="Q24" s="855">
        <f t="shared" si="8"/>
        <v>118.09398472028566</v>
      </c>
      <c r="S24" s="873"/>
    </row>
    <row r="25" spans="1:19" x14ac:dyDescent="0.2">
      <c r="A25" s="145" t="s">
        <v>824</v>
      </c>
      <c r="B25" s="866" t="s">
        <v>44</v>
      </c>
      <c r="C25" s="826">
        <f t="shared" si="0"/>
        <v>1.7168739622418689</v>
      </c>
      <c r="D25" s="827">
        <f t="shared" si="1"/>
        <v>7.6088109021998335E-2</v>
      </c>
      <c r="E25" s="856">
        <v>91.954332974943853</v>
      </c>
      <c r="F25" s="856">
        <v>2074.884</v>
      </c>
      <c r="G25" s="859">
        <v>157.874</v>
      </c>
      <c r="H25" s="827">
        <f t="shared" si="4"/>
        <v>1.1980599999999999</v>
      </c>
      <c r="I25" s="827">
        <f>+L25/K25</f>
        <v>8.1275159193857013E-2</v>
      </c>
      <c r="J25" s="858">
        <v>11.482695813055287</v>
      </c>
      <c r="K25" s="858">
        <v>169.26400000000001</v>
      </c>
      <c r="L25" s="857">
        <v>13.756958545789015</v>
      </c>
      <c r="M25" s="827">
        <f t="shared" si="5"/>
        <v>1.7909048024496379</v>
      </c>
      <c r="N25" s="827">
        <f>+Q25/P25</f>
        <v>7.5627376630288817E-2</v>
      </c>
      <c r="O25" s="856">
        <f t="shared" si="6"/>
        <v>80.471637161888566</v>
      </c>
      <c r="P25" s="856">
        <f t="shared" si="7"/>
        <v>1905.62</v>
      </c>
      <c r="Q25" s="855">
        <f t="shared" si="8"/>
        <v>144.11704145421098</v>
      </c>
      <c r="S25" s="873"/>
    </row>
    <row r="26" spans="1:19" x14ac:dyDescent="0.2">
      <c r="A26" s="145" t="s">
        <v>825</v>
      </c>
      <c r="B26" s="866" t="s">
        <v>45</v>
      </c>
      <c r="C26" s="826">
        <f t="shared" si="0"/>
        <v>4.0971874872271385</v>
      </c>
      <c r="D26" s="827">
        <f t="shared" si="1"/>
        <v>0.1416191303959051</v>
      </c>
      <c r="E26" s="872">
        <v>491.69619556839115</v>
      </c>
      <c r="F26" s="856">
        <v>14225.278</v>
      </c>
      <c r="G26" s="859">
        <v>2014.5715</v>
      </c>
      <c r="H26" s="827">
        <f t="shared" si="4"/>
        <v>3.3803340314423336</v>
      </c>
      <c r="I26" s="827">
        <f>+L26/K26</f>
        <v>0.23520857895128969</v>
      </c>
      <c r="J26" s="858">
        <v>81.299813448428011</v>
      </c>
      <c r="K26" s="858">
        <v>1168.412</v>
      </c>
      <c r="L26" s="857">
        <v>274.8205261496343</v>
      </c>
      <c r="M26" s="827">
        <f t="shared" si="5"/>
        <v>4.2391966636338871</v>
      </c>
      <c r="N26" s="827">
        <f>+Q26/P26</f>
        <v>0.13324414709091489</v>
      </c>
      <c r="O26" s="856">
        <f t="shared" si="6"/>
        <v>410.39638211996316</v>
      </c>
      <c r="P26" s="856">
        <f t="shared" si="7"/>
        <v>13056.866</v>
      </c>
      <c r="Q26" s="855">
        <f t="shared" si="8"/>
        <v>1739.7509738503657</v>
      </c>
      <c r="S26" s="873"/>
    </row>
    <row r="27" spans="1:19" x14ac:dyDescent="0.2">
      <c r="A27" s="145" t="s">
        <v>826</v>
      </c>
      <c r="B27" s="866" t="s">
        <v>46</v>
      </c>
      <c r="C27" s="826">
        <f t="shared" si="0"/>
        <v>3.7052171564949217</v>
      </c>
      <c r="D27" s="827">
        <f t="shared" si="1"/>
        <v>0.14545222977998268</v>
      </c>
      <c r="E27" s="856">
        <v>1514.0182782989034</v>
      </c>
      <c r="F27" s="856">
        <v>38567.758696347075</v>
      </c>
      <c r="G27" s="859">
        <v>5609.7664999999997</v>
      </c>
      <c r="H27" s="827">
        <f t="shared" si="4"/>
        <v>1.0523800000000001</v>
      </c>
      <c r="I27" s="827">
        <f>+L27/K27</f>
        <v>0.10940132347603941</v>
      </c>
      <c r="J27" s="858">
        <v>135.22206240620594</v>
      </c>
      <c r="K27" s="858">
        <v>1300.7611746690618</v>
      </c>
      <c r="L27" s="857">
        <v>142.30499403504302</v>
      </c>
      <c r="M27" s="827">
        <f t="shared" si="5"/>
        <v>3.9653876642133552</v>
      </c>
      <c r="N27" s="827">
        <f>+Q27/P27</f>
        <v>0.14671054470606501</v>
      </c>
      <c r="O27" s="856">
        <f t="shared" si="6"/>
        <v>1378.7962158926975</v>
      </c>
      <c r="P27" s="856">
        <f t="shared" si="7"/>
        <v>37266.997521678015</v>
      </c>
      <c r="Q27" s="855">
        <f t="shared" si="8"/>
        <v>5467.4615059649568</v>
      </c>
      <c r="S27" s="873"/>
    </row>
    <row r="28" spans="1:19" x14ac:dyDescent="0.2">
      <c r="A28" s="145" t="s">
        <v>827</v>
      </c>
      <c r="B28" s="866" t="s">
        <v>47</v>
      </c>
      <c r="C28" s="826">
        <f t="shared" si="0"/>
        <v>4.7798663945429567</v>
      </c>
      <c r="D28" s="827">
        <f t="shared" si="1"/>
        <v>0.12414683693476472</v>
      </c>
      <c r="E28" s="856">
        <v>414.68018379403401</v>
      </c>
      <c r="F28" s="856">
        <v>15965.899123483427</v>
      </c>
      <c r="G28" s="859">
        <v>1982.115875</v>
      </c>
      <c r="H28" s="827">
        <f t="shared" si="4"/>
        <v>2.0147200000000001</v>
      </c>
      <c r="I28" s="827">
        <f>+L28/K28</f>
        <v>0.15303662955804084</v>
      </c>
      <c r="J28" s="858">
        <v>64.003009513839302</v>
      </c>
      <c r="K28" s="858">
        <v>842.59659729906241</v>
      </c>
      <c r="L28" s="857">
        <v>128.94814332772233</v>
      </c>
      <c r="M28" s="827">
        <f t="shared" si="5"/>
        <v>5.2845405050275023</v>
      </c>
      <c r="N28" s="827"/>
      <c r="O28" s="856">
        <f t="shared" si="6"/>
        <v>350.67717428019472</v>
      </c>
      <c r="P28" s="856">
        <f t="shared" si="7"/>
        <v>15123.302526184365</v>
      </c>
      <c r="Q28" s="855">
        <f t="shared" si="8"/>
        <v>1853.1677316722776</v>
      </c>
      <c r="S28" s="873"/>
    </row>
    <row r="29" spans="1:19" x14ac:dyDescent="0.2">
      <c r="A29" s="145" t="s">
        <v>828</v>
      </c>
      <c r="B29" s="866" t="s">
        <v>48</v>
      </c>
      <c r="C29" s="826">
        <f t="shared" si="0"/>
        <v>6.0780889422493036</v>
      </c>
      <c r="D29" s="827">
        <f t="shared" si="1"/>
        <v>8.8296635740784585E-2</v>
      </c>
      <c r="E29" s="872">
        <v>9.2021529203390635</v>
      </c>
      <c r="F29" s="856">
        <v>633.45000000000005</v>
      </c>
      <c r="G29" s="859">
        <v>55.931503909999996</v>
      </c>
      <c r="H29" s="827">
        <f t="shared" si="4"/>
        <v>5.5547658732680256</v>
      </c>
      <c r="I29" s="827">
        <f t="shared" ref="I29:I52" si="9">+L29/K29</f>
        <v>0.12839451804317503</v>
      </c>
      <c r="J29" s="858">
        <v>2.9223870232507698</v>
      </c>
      <c r="K29" s="858">
        <v>126.432</v>
      </c>
      <c r="L29" s="857">
        <v>16.233175705234707</v>
      </c>
      <c r="M29" s="827">
        <f t="shared" si="5"/>
        <v>6.321625496130677</v>
      </c>
      <c r="N29" s="827">
        <f t="shared" ref="N29:N52" si="10">+Q29/P29</f>
        <v>7.8297670309072434E-2</v>
      </c>
      <c r="O29" s="856">
        <f t="shared" si="6"/>
        <v>6.2797658970882937</v>
      </c>
      <c r="P29" s="856">
        <f t="shared" si="7"/>
        <v>507.01800000000003</v>
      </c>
      <c r="Q29" s="855">
        <f t="shared" si="8"/>
        <v>39.698328204765289</v>
      </c>
      <c r="S29" s="873"/>
    </row>
    <row r="30" spans="1:19" x14ac:dyDescent="0.2">
      <c r="A30" s="145" t="s">
        <v>829</v>
      </c>
      <c r="B30" s="866" t="s">
        <v>49</v>
      </c>
      <c r="C30" s="826">
        <f t="shared" si="0"/>
        <v>2.2956882192748305</v>
      </c>
      <c r="D30" s="827">
        <f t="shared" si="1"/>
        <v>0.1933696418088944</v>
      </c>
      <c r="E30" s="872">
        <v>21.552271978652684</v>
      </c>
      <c r="F30" s="856">
        <v>255.869</v>
      </c>
      <c r="G30" s="859">
        <v>49.477296880000004</v>
      </c>
      <c r="H30" s="827">
        <f t="shared" si="4"/>
        <v>1.448858085801517</v>
      </c>
      <c r="I30" s="827">
        <f t="shared" si="9"/>
        <v>0.16146643743375119</v>
      </c>
      <c r="J30" s="858">
        <v>11.134697263599653</v>
      </c>
      <c r="K30" s="858">
        <v>99.912999999999997</v>
      </c>
      <c r="L30" s="857">
        <v>16.132596163318382</v>
      </c>
      <c r="M30" s="827">
        <f t="shared" si="5"/>
        <v>3.2008122455315533</v>
      </c>
      <c r="N30" s="827">
        <f t="shared" si="10"/>
        <v>0.21380838644670047</v>
      </c>
      <c r="O30" s="856">
        <f t="shared" si="6"/>
        <v>10.41757471505303</v>
      </c>
      <c r="P30" s="856">
        <f t="shared" si="7"/>
        <v>155.95600000000002</v>
      </c>
      <c r="Q30" s="855">
        <f t="shared" si="8"/>
        <v>33.344700716681622</v>
      </c>
      <c r="S30" s="873"/>
    </row>
    <row r="31" spans="1:19" x14ac:dyDescent="0.2">
      <c r="A31" s="145" t="s">
        <v>830</v>
      </c>
      <c r="B31" s="860" t="s">
        <v>50</v>
      </c>
      <c r="C31" s="826">
        <f t="shared" si="0"/>
        <v>9.5797899597877514</v>
      </c>
      <c r="D31" s="827">
        <f t="shared" si="1"/>
        <v>4.2736244821519324E-2</v>
      </c>
      <c r="E31" s="856">
        <v>140.22820286912128</v>
      </c>
      <c r="F31" s="856">
        <v>31433.663288269461</v>
      </c>
      <c r="G31" s="859">
        <v>1343.3567299246879</v>
      </c>
      <c r="H31" s="827">
        <f t="shared" si="4"/>
        <v>2.7238899999999999</v>
      </c>
      <c r="I31" s="827">
        <f t="shared" si="9"/>
        <v>5.4253262422202644E-2</v>
      </c>
      <c r="J31" s="858">
        <v>32.357373994477598</v>
      </c>
      <c r="K31" s="858">
        <v>1624.5645610013667</v>
      </c>
      <c r="L31" s="857">
        <v>88.137927449817582</v>
      </c>
      <c r="M31" s="827">
        <f t="shared" si="5"/>
        <v>11.636313687118838</v>
      </c>
      <c r="N31" s="827">
        <f t="shared" si="10"/>
        <v>4.2108579462909072E-2</v>
      </c>
      <c r="O31" s="856">
        <f t="shared" si="6"/>
        <v>107.87082887464368</v>
      </c>
      <c r="P31" s="856">
        <f t="shared" si="7"/>
        <v>29809.098727268094</v>
      </c>
      <c r="Q31" s="855">
        <f t="shared" si="8"/>
        <v>1255.2188024748702</v>
      </c>
      <c r="S31" s="873"/>
    </row>
    <row r="32" spans="1:19" x14ac:dyDescent="0.2">
      <c r="A32" s="145" t="s">
        <v>831</v>
      </c>
      <c r="B32" s="860" t="s">
        <v>51</v>
      </c>
      <c r="C32" s="826">
        <f t="shared" si="0"/>
        <v>2.9202643827552666</v>
      </c>
      <c r="D32" s="827">
        <f t="shared" si="1"/>
        <v>0.15081767375249652</v>
      </c>
      <c r="E32" s="872">
        <v>282.03899700441076</v>
      </c>
      <c r="F32" s="856">
        <v>5461.0870000000004</v>
      </c>
      <c r="G32" s="859">
        <v>823.62843750000002</v>
      </c>
      <c r="H32" s="827">
        <f t="shared" si="4"/>
        <v>2.9254487115313106</v>
      </c>
      <c r="I32" s="827">
        <f t="shared" si="9"/>
        <v>0.24817144798456189</v>
      </c>
      <c r="J32" s="858">
        <v>77.710709775013825</v>
      </c>
      <c r="K32" s="858">
        <v>916.05499999999995</v>
      </c>
      <c r="L32" s="857">
        <v>227.33869578349783</v>
      </c>
      <c r="M32" s="827">
        <f t="shared" si="5"/>
        <v>2.9182926642313349</v>
      </c>
      <c r="N32" s="827">
        <f t="shared" si="10"/>
        <v>0.13119593915213407</v>
      </c>
      <c r="O32" s="856">
        <f t="shared" si="6"/>
        <v>204.32828722939695</v>
      </c>
      <c r="P32" s="856">
        <f t="shared" si="7"/>
        <v>4545.0320000000002</v>
      </c>
      <c r="Q32" s="855">
        <f t="shared" si="8"/>
        <v>596.28974171650225</v>
      </c>
      <c r="S32" s="873"/>
    </row>
    <row r="33" spans="1:19" x14ac:dyDescent="0.2">
      <c r="A33" s="145" t="s">
        <v>832</v>
      </c>
      <c r="B33" s="860" t="s">
        <v>52</v>
      </c>
      <c r="C33" s="826">
        <f t="shared" si="0"/>
        <v>2.7719727366678355</v>
      </c>
      <c r="D33" s="827">
        <f t="shared" si="1"/>
        <v>0.12442219910297715</v>
      </c>
      <c r="E33" s="856">
        <v>57.141860911103748</v>
      </c>
      <c r="F33" s="856">
        <v>1273.05</v>
      </c>
      <c r="G33" s="859">
        <v>158.39568056804507</v>
      </c>
      <c r="H33" s="827">
        <f t="shared" si="4"/>
        <v>1.8212900000000001</v>
      </c>
      <c r="I33" s="827">
        <f t="shared" si="9"/>
        <v>5.7446548961500678E-2</v>
      </c>
      <c r="J33" s="858">
        <v>9.1720055414100905</v>
      </c>
      <c r="K33" s="858">
        <v>290.79000000000002</v>
      </c>
      <c r="L33" s="857">
        <v>16.704881972514784</v>
      </c>
      <c r="M33" s="827">
        <f t="shared" si="5"/>
        <v>2.9537466290767167</v>
      </c>
      <c r="N33" s="827">
        <f t="shared" si="10"/>
        <v>0.14424978986778478</v>
      </c>
      <c r="O33" s="856">
        <f t="shared" si="6"/>
        <v>47.969855369693661</v>
      </c>
      <c r="P33" s="856">
        <f t="shared" si="7"/>
        <v>982.26</v>
      </c>
      <c r="Q33" s="855">
        <f t="shared" si="8"/>
        <v>141.69079859553028</v>
      </c>
      <c r="S33" s="873"/>
    </row>
    <row r="34" spans="1:19" x14ac:dyDescent="0.2">
      <c r="A34" s="145" t="s">
        <v>833</v>
      </c>
      <c r="B34" s="860" t="s">
        <v>53</v>
      </c>
      <c r="C34" s="826">
        <f t="shared" si="0"/>
        <v>3.8328112451296037</v>
      </c>
      <c r="D34" s="827">
        <f t="shared" si="1"/>
        <v>0.28659257722826242</v>
      </c>
      <c r="E34" s="872">
        <v>120.45063054869772</v>
      </c>
      <c r="F34" s="856">
        <v>1610.874</v>
      </c>
      <c r="G34" s="859">
        <v>461.66453124999998</v>
      </c>
      <c r="H34" s="827">
        <f t="shared" si="4"/>
        <v>3.4946060559333687</v>
      </c>
      <c r="I34" s="827">
        <f t="shared" si="9"/>
        <v>0.34417605887332126</v>
      </c>
      <c r="J34" s="858">
        <v>33.195608121398337</v>
      </c>
      <c r="K34" s="858">
        <v>337.053</v>
      </c>
      <c r="L34" s="857">
        <v>116.00557317142955</v>
      </c>
      <c r="M34" s="827">
        <f t="shared" si="5"/>
        <v>3.9614792187644263</v>
      </c>
      <c r="N34" s="827">
        <f t="shared" si="10"/>
        <v>0.27135598963949448</v>
      </c>
      <c r="O34" s="856">
        <f t="shared" si="6"/>
        <v>87.25502242729938</v>
      </c>
      <c r="P34" s="856">
        <f t="shared" si="7"/>
        <v>1273.8209999999999</v>
      </c>
      <c r="Q34" s="855">
        <f t="shared" si="8"/>
        <v>345.65895807857044</v>
      </c>
      <c r="S34" s="873"/>
    </row>
    <row r="35" spans="1:19" x14ac:dyDescent="0.2">
      <c r="A35" s="145" t="s">
        <v>834</v>
      </c>
      <c r="B35" s="860" t="s">
        <v>54</v>
      </c>
      <c r="C35" s="826">
        <f t="shared" si="0"/>
        <v>2.9962995153441319</v>
      </c>
      <c r="D35" s="827">
        <f t="shared" si="1"/>
        <v>6.1047230498978568E-2</v>
      </c>
      <c r="E35" s="872">
        <v>110.83432816023345</v>
      </c>
      <c r="F35" s="856">
        <v>5439.933</v>
      </c>
      <c r="G35" s="859">
        <v>332.09284374999999</v>
      </c>
      <c r="H35" s="827">
        <f t="shared" si="4"/>
        <v>2.695840785956483</v>
      </c>
      <c r="I35" s="827">
        <f t="shared" si="9"/>
        <v>6.7428599473708828E-2</v>
      </c>
      <c r="J35" s="858">
        <v>39.193037102238662</v>
      </c>
      <c r="K35" s="858">
        <v>1566.9639999999999</v>
      </c>
      <c r="L35" s="857">
        <v>105.65818794572068</v>
      </c>
      <c r="M35" s="827">
        <f t="shared" si="5"/>
        <v>3.1606724622114468</v>
      </c>
      <c r="N35" s="827">
        <f t="shared" si="10"/>
        <v>5.8465393294983591E-2</v>
      </c>
      <c r="O35" s="856">
        <f t="shared" si="6"/>
        <v>71.641291057994792</v>
      </c>
      <c r="P35" s="856">
        <f t="shared" si="7"/>
        <v>3872.9690000000001</v>
      </c>
      <c r="Q35" s="855">
        <f t="shared" si="8"/>
        <v>226.43465580427932</v>
      </c>
      <c r="S35" s="873"/>
    </row>
    <row r="36" spans="1:19" x14ac:dyDescent="0.2">
      <c r="A36" s="145" t="s">
        <v>835</v>
      </c>
      <c r="B36" s="860" t="s">
        <v>55</v>
      </c>
      <c r="C36" s="826">
        <f t="shared" si="0"/>
        <v>4.0327758755141243</v>
      </c>
      <c r="D36" s="827">
        <f t="shared" si="1"/>
        <v>7.7770166463602797E-2</v>
      </c>
      <c r="E36" s="872">
        <v>57.993657247362911</v>
      </c>
      <c r="F36" s="856">
        <v>3007.2640000000001</v>
      </c>
      <c r="G36" s="859">
        <v>233.87542188</v>
      </c>
      <c r="H36" s="827">
        <f t="shared" si="4"/>
        <v>3.8364912067746038</v>
      </c>
      <c r="I36" s="827">
        <f t="shared" si="9"/>
        <v>0.12788421869713573</v>
      </c>
      <c r="J36" s="858">
        <v>13.115654195957454</v>
      </c>
      <c r="K36" s="858">
        <v>393.46600000000001</v>
      </c>
      <c r="L36" s="857">
        <v>50.318091993887208</v>
      </c>
      <c r="M36" s="827">
        <f t="shared" si="5"/>
        <v>4.0901403227736592</v>
      </c>
      <c r="N36" s="827">
        <f t="shared" si="10"/>
        <v>7.0226287527235379E-2</v>
      </c>
      <c r="O36" s="856">
        <f t="shared" si="6"/>
        <v>44.878003051405457</v>
      </c>
      <c r="P36" s="856">
        <f t="shared" si="7"/>
        <v>2613.7980000000002</v>
      </c>
      <c r="Q36" s="855">
        <f t="shared" si="8"/>
        <v>183.5573298861128</v>
      </c>
      <c r="S36" s="873"/>
    </row>
    <row r="37" spans="1:19" x14ac:dyDescent="0.2">
      <c r="A37" s="145" t="s">
        <v>836</v>
      </c>
      <c r="B37" s="860" t="s">
        <v>56</v>
      </c>
      <c r="C37" s="826">
        <f t="shared" si="0"/>
        <v>2.042816863001891</v>
      </c>
      <c r="D37" s="827">
        <f t="shared" si="1"/>
        <v>2.8874183365466183E-2</v>
      </c>
      <c r="E37" s="872">
        <v>21.242901141118761</v>
      </c>
      <c r="F37" s="856">
        <v>1502.912</v>
      </c>
      <c r="G37" s="859">
        <v>43.395356670159515</v>
      </c>
      <c r="H37" s="827">
        <f t="shared" si="4"/>
        <v>1.844812201348802</v>
      </c>
      <c r="I37" s="827">
        <f t="shared" si="9"/>
        <v>4.5380937888974411E-2</v>
      </c>
      <c r="J37" s="858">
        <v>9.6007058772968481</v>
      </c>
      <c r="K37" s="858">
        <v>390.28500000000003</v>
      </c>
      <c r="L37" s="857">
        <v>17.71149934399838</v>
      </c>
      <c r="M37" s="827">
        <f t="shared" si="5"/>
        <v>2.2061008894064544</v>
      </c>
      <c r="N37" s="827">
        <f t="shared" si="10"/>
        <v>2.3083978122192914E-2</v>
      </c>
      <c r="O37" s="856">
        <f t="shared" si="6"/>
        <v>11.642195263821913</v>
      </c>
      <c r="P37" s="856">
        <f t="shared" si="7"/>
        <v>1112.627</v>
      </c>
      <c r="Q37" s="855">
        <f t="shared" si="8"/>
        <v>25.683857326161135</v>
      </c>
      <c r="S37" s="873"/>
    </row>
    <row r="38" spans="1:19" x14ac:dyDescent="0.2">
      <c r="A38" s="145" t="s">
        <v>837</v>
      </c>
      <c r="B38" s="860" t="s">
        <v>57</v>
      </c>
      <c r="C38" s="826">
        <f t="shared" si="0"/>
        <v>4.3221762235348162</v>
      </c>
      <c r="D38" s="827">
        <f t="shared" si="1"/>
        <v>0.10921944096458891</v>
      </c>
      <c r="E38" s="872">
        <v>14.942894708531718</v>
      </c>
      <c r="F38" s="856">
        <v>591.34</v>
      </c>
      <c r="G38" s="859">
        <v>64.585824220000006</v>
      </c>
      <c r="H38" s="827">
        <f t="shared" si="4"/>
        <v>3.3996080988515156</v>
      </c>
      <c r="I38" s="827">
        <f t="shared" si="9"/>
        <v>0.1119093004510788</v>
      </c>
      <c r="J38" s="858">
        <v>3.988545148405708</v>
      </c>
      <c r="K38" s="858">
        <v>121.16500000000001</v>
      </c>
      <c r="L38" s="857">
        <v>13.559490389154965</v>
      </c>
      <c r="M38" s="827">
        <f t="shared" si="5"/>
        <v>4.6580888760918882</v>
      </c>
      <c r="N38" s="827">
        <f t="shared" si="10"/>
        <v>0.10852625901174039</v>
      </c>
      <c r="O38" s="856">
        <f t="shared" si="6"/>
        <v>10.95434956012601</v>
      </c>
      <c r="P38" s="856">
        <f t="shared" si="7"/>
        <v>470.17500000000001</v>
      </c>
      <c r="Q38" s="855">
        <f t="shared" si="8"/>
        <v>51.02633383084504</v>
      </c>
      <c r="S38" s="873"/>
    </row>
    <row r="39" spans="1:19" x14ac:dyDescent="0.2">
      <c r="A39" s="145" t="s">
        <v>838</v>
      </c>
      <c r="B39" s="860" t="s">
        <v>58</v>
      </c>
      <c r="C39" s="826">
        <f t="shared" si="0"/>
        <v>2.9600268366574625</v>
      </c>
      <c r="D39" s="827">
        <f t="shared" si="1"/>
        <v>0.10475523411099644</v>
      </c>
      <c r="E39" s="872">
        <v>393.17191976124013</v>
      </c>
      <c r="F39" s="856">
        <v>11109.701999999999</v>
      </c>
      <c r="G39" s="859">
        <v>1163.7994339134052</v>
      </c>
      <c r="H39" s="827">
        <f t="shared" si="4"/>
        <v>2.8500573972468635</v>
      </c>
      <c r="I39" s="827">
        <f t="shared" si="9"/>
        <v>0.17196455041775643</v>
      </c>
      <c r="J39" s="858">
        <v>84.581926770837981</v>
      </c>
      <c r="K39" s="858">
        <v>1401.82</v>
      </c>
      <c r="L39" s="857">
        <v>241.06334606661932</v>
      </c>
      <c r="M39" s="827">
        <f t="shared" si="5"/>
        <v>2.9901685369152107</v>
      </c>
      <c r="N39" s="827">
        <f t="shared" si="10"/>
        <v>9.5050196103206239E-2</v>
      </c>
      <c r="O39" s="856">
        <f t="shared" si="6"/>
        <v>308.58999299040215</v>
      </c>
      <c r="P39" s="856">
        <f t="shared" si="7"/>
        <v>9707.8819999999996</v>
      </c>
      <c r="Q39" s="855">
        <f t="shared" si="8"/>
        <v>922.73608784678595</v>
      </c>
      <c r="S39" s="873"/>
    </row>
    <row r="40" spans="1:19" x14ac:dyDescent="0.2">
      <c r="A40" s="145" t="s">
        <v>839</v>
      </c>
      <c r="B40" s="860" t="s">
        <v>59</v>
      </c>
      <c r="C40" s="826">
        <f t="shared" si="0"/>
        <v>4.3866430452995058</v>
      </c>
      <c r="D40" s="827">
        <f t="shared" si="1"/>
        <v>0.23198890791914323</v>
      </c>
      <c r="E40" s="872">
        <v>164.05430760342725</v>
      </c>
      <c r="F40" s="856">
        <v>3102.078</v>
      </c>
      <c r="G40" s="859">
        <v>719.64768749999996</v>
      </c>
      <c r="H40" s="827">
        <f t="shared" si="4"/>
        <v>3.3811703204576546</v>
      </c>
      <c r="I40" s="827">
        <f t="shared" si="9"/>
        <v>0.22751533146991837</v>
      </c>
      <c r="J40" s="858">
        <v>45.364312208613207</v>
      </c>
      <c r="K40" s="858">
        <v>674.17200000000003</v>
      </c>
      <c r="L40" s="857">
        <v>153.38446604773782</v>
      </c>
      <c r="M40" s="827">
        <f t="shared" si="5"/>
        <v>4.7709431580027175</v>
      </c>
      <c r="N40" s="827">
        <f t="shared" si="10"/>
        <v>0.23323111415856385</v>
      </c>
      <c r="O40" s="856">
        <f t="shared" si="6"/>
        <v>118.68999539481405</v>
      </c>
      <c r="P40" s="856">
        <f t="shared" si="7"/>
        <v>2427.9059999999999</v>
      </c>
      <c r="Q40" s="855">
        <f t="shared" si="8"/>
        <v>566.26322145226209</v>
      </c>
      <c r="S40" s="873"/>
    </row>
    <row r="41" spans="1:19" x14ac:dyDescent="0.2">
      <c r="A41" s="145" t="s">
        <v>840</v>
      </c>
      <c r="B41" s="860" t="s">
        <v>60</v>
      </c>
      <c r="C41" s="826">
        <f t="shared" si="0"/>
        <v>1.7770127969844032</v>
      </c>
      <c r="D41" s="827">
        <f t="shared" si="1"/>
        <v>0.1231524981241746</v>
      </c>
      <c r="E41" s="856">
        <v>321.15382930461016</v>
      </c>
      <c r="F41" s="856">
        <v>4634.0469999999996</v>
      </c>
      <c r="G41" s="859">
        <v>570.69446447483688</v>
      </c>
      <c r="H41" s="827">
        <f t="shared" si="4"/>
        <v>0.85955000000000004</v>
      </c>
      <c r="I41" s="827">
        <f t="shared" si="9"/>
        <v>3.849423923889609E-2</v>
      </c>
      <c r="J41" s="858">
        <v>18.886427858840669</v>
      </c>
      <c r="K41" s="858">
        <v>421.721</v>
      </c>
      <c r="L41" s="857">
        <v>16.233829066066498</v>
      </c>
      <c r="M41" s="827">
        <f t="shared" si="5"/>
        <v>1.8343381812155071</v>
      </c>
      <c r="N41" s="827">
        <f t="shared" si="10"/>
        <v>0.13162813975194951</v>
      </c>
      <c r="O41" s="856">
        <f t="shared" si="6"/>
        <v>302.26740144576951</v>
      </c>
      <c r="P41" s="856">
        <f t="shared" si="7"/>
        <v>4212.3259999999991</v>
      </c>
      <c r="Q41" s="855">
        <f t="shared" si="8"/>
        <v>554.46063540877037</v>
      </c>
      <c r="S41" s="873"/>
    </row>
    <row r="42" spans="1:19" x14ac:dyDescent="0.2">
      <c r="A42" s="145" t="s">
        <v>841</v>
      </c>
      <c r="B42" s="860" t="s">
        <v>61</v>
      </c>
      <c r="C42" s="826">
        <f t="shared" si="0"/>
        <v>4.6600757408108189</v>
      </c>
      <c r="D42" s="827">
        <f t="shared" si="1"/>
        <v>4.8533754489864959E-2</v>
      </c>
      <c r="E42" s="856">
        <v>180.37437743772173</v>
      </c>
      <c r="F42" s="856">
        <v>17319.04464009498</v>
      </c>
      <c r="G42" s="859">
        <v>840.55826056138142</v>
      </c>
      <c r="H42" s="827">
        <f t="shared" si="4"/>
        <v>1.05114</v>
      </c>
      <c r="I42" s="827">
        <f t="shared" si="9"/>
        <v>7.1316210841993452E-2</v>
      </c>
      <c r="J42" s="858">
        <v>8.3567244424339737</v>
      </c>
      <c r="K42" s="858">
        <v>123.1709765102617</v>
      </c>
      <c r="L42" s="857">
        <v>8.7840873304200464</v>
      </c>
      <c r="M42" s="827">
        <f t="shared" si="5"/>
        <v>4.8354000810239341</v>
      </c>
      <c r="N42" s="827">
        <f t="shared" si="10"/>
        <v>4.837056781781255E-2</v>
      </c>
      <c r="O42" s="856">
        <f t="shared" si="6"/>
        <v>172.01765299528776</v>
      </c>
      <c r="P42" s="856">
        <f t="shared" si="7"/>
        <v>17195.87366358472</v>
      </c>
      <c r="Q42" s="855">
        <f t="shared" si="8"/>
        <v>831.77417323096142</v>
      </c>
      <c r="S42" s="873"/>
    </row>
    <row r="43" spans="1:19" x14ac:dyDescent="0.2">
      <c r="A43" s="145" t="s">
        <v>842</v>
      </c>
      <c r="B43" s="860" t="s">
        <v>62</v>
      </c>
      <c r="C43" s="826">
        <f t="shared" si="0"/>
        <v>2.7521182749327822</v>
      </c>
      <c r="D43" s="827">
        <f t="shared" si="1"/>
        <v>0.14514875312203893</v>
      </c>
      <c r="E43" s="872">
        <v>1012.5690365062753</v>
      </c>
      <c r="F43" s="856">
        <v>19198.991999999998</v>
      </c>
      <c r="G43" s="859">
        <v>2786.70975</v>
      </c>
      <c r="H43" s="827">
        <f t="shared" si="4"/>
        <v>3.112146330796818</v>
      </c>
      <c r="I43" s="827">
        <f t="shared" si="9"/>
        <v>0.23782860019575947</v>
      </c>
      <c r="J43" s="858">
        <v>280.65878878006157</v>
      </c>
      <c r="K43" s="858">
        <v>3672.6080000000002</v>
      </c>
      <c r="L43" s="857">
        <v>873.45121970774778</v>
      </c>
      <c r="M43" s="827">
        <f t="shared" si="5"/>
        <v>2.6140616779667583</v>
      </c>
      <c r="N43" s="827">
        <f t="shared" si="10"/>
        <v>0.12322627923489798</v>
      </c>
      <c r="O43" s="856">
        <f t="shared" si="6"/>
        <v>731.91024772621381</v>
      </c>
      <c r="P43" s="856">
        <f t="shared" si="7"/>
        <v>15526.383999999998</v>
      </c>
      <c r="Q43" s="855">
        <f t="shared" si="8"/>
        <v>1913.2585302922521</v>
      </c>
      <c r="S43" s="873"/>
    </row>
    <row r="44" spans="1:19" x14ac:dyDescent="0.2">
      <c r="A44" s="145" t="s">
        <v>242</v>
      </c>
      <c r="B44" s="860" t="s">
        <v>63</v>
      </c>
      <c r="C44" s="826">
        <f t="shared" si="0"/>
        <v>2.6724911051525608</v>
      </c>
      <c r="D44" s="827">
        <f t="shared" si="1"/>
        <v>0.17275643440163449</v>
      </c>
      <c r="E44" s="872">
        <v>6036.1069000000007</v>
      </c>
      <c r="F44" s="856">
        <v>93376.794073537414</v>
      </c>
      <c r="G44" s="859">
        <v>16131.441999999999</v>
      </c>
      <c r="H44" s="827">
        <f t="shared" si="4"/>
        <v>4.720713033639087</v>
      </c>
      <c r="I44" s="827">
        <f t="shared" si="9"/>
        <v>0.25788985140996118</v>
      </c>
      <c r="J44" s="858">
        <v>539.10500000000002</v>
      </c>
      <c r="K44" s="858">
        <v>9868.3991870402824</v>
      </c>
      <c r="L44" s="857">
        <v>2544.96</v>
      </c>
      <c r="M44" s="827">
        <f t="shared" si="5"/>
        <v>2.4716167553080157</v>
      </c>
      <c r="N44" s="827">
        <f t="shared" si="10"/>
        <v>0.16269600222188993</v>
      </c>
      <c r="O44" s="856">
        <f t="shared" si="6"/>
        <v>5497.0019000000011</v>
      </c>
      <c r="P44" s="856">
        <f t="shared" si="7"/>
        <v>83508.394886497132</v>
      </c>
      <c r="Q44" s="855">
        <f t="shared" si="8"/>
        <v>13586.482</v>
      </c>
      <c r="R44" s="853"/>
      <c r="S44" s="871"/>
    </row>
    <row r="45" spans="1:19" ht="40" customHeight="1" x14ac:dyDescent="0.2">
      <c r="A45" s="853"/>
      <c r="B45" s="846" t="s">
        <v>64</v>
      </c>
      <c r="C45" s="870">
        <f t="shared" si="0"/>
        <v>1.6801622963746727</v>
      </c>
      <c r="D45" s="868">
        <f t="shared" si="1"/>
        <v>1.3538521803939461E-2</v>
      </c>
      <c r="E45" s="845">
        <v>4635.4243070321654</v>
      </c>
      <c r="F45" s="845">
        <f>+F46+F47+F48+F49+F51</f>
        <v>575267.02406372735</v>
      </c>
      <c r="G45" s="869">
        <f>SUM(G46:G52)</f>
        <v>7788.2651483741392</v>
      </c>
      <c r="H45" s="868">
        <f t="shared" si="4"/>
        <v>1.9118246661948899</v>
      </c>
      <c r="I45" s="868">
        <f t="shared" si="9"/>
        <v>7.2171752825818419E-2</v>
      </c>
      <c r="J45" s="845">
        <f>+SUM(J46:J52)</f>
        <v>419.75893109651639</v>
      </c>
      <c r="K45" s="845">
        <f>+SUM(K46:K52)</f>
        <v>11119.384619391372</v>
      </c>
      <c r="L45" s="869">
        <f>+SUM(L46:L52)</f>
        <v>802.50547832592122</v>
      </c>
      <c r="M45" s="868">
        <f t="shared" si="5"/>
        <v>2.0306095706622829</v>
      </c>
      <c r="N45" s="868">
        <f t="shared" si="10"/>
        <v>9.9419204706696282E-3</v>
      </c>
      <c r="O45" s="845">
        <f>+SUM(O46:O52)</f>
        <v>4215.6653759356486</v>
      </c>
      <c r="P45" s="845">
        <f>+SUM(P46:P52)</f>
        <v>861037.91358411103</v>
      </c>
      <c r="Q45" s="867">
        <f>+SUM(Q46:Q52)</f>
        <v>8560.3704590845391</v>
      </c>
    </row>
    <row r="46" spans="1:19" x14ac:dyDescent="0.2">
      <c r="A46" s="145" t="s">
        <v>843</v>
      </c>
      <c r="B46" s="866" t="s">
        <v>65</v>
      </c>
      <c r="C46" s="826">
        <f t="shared" si="0"/>
        <v>2.9575235233458526</v>
      </c>
      <c r="D46" s="827">
        <f t="shared" si="1"/>
        <v>3.422710872748267E-2</v>
      </c>
      <c r="E46" s="856">
        <v>683.84777930021517</v>
      </c>
      <c r="F46" s="856">
        <v>59090.468604035057</v>
      </c>
      <c r="G46" s="859">
        <v>2022.4958936682092</v>
      </c>
      <c r="H46" s="827">
        <f t="shared" si="4"/>
        <v>1.9422399999999997</v>
      </c>
      <c r="I46" s="827">
        <f t="shared" si="9"/>
        <v>0.10715394693222455</v>
      </c>
      <c r="J46" s="858">
        <v>104.04870666105121</v>
      </c>
      <c r="K46" s="858">
        <v>1885.9553549920245</v>
      </c>
      <c r="L46" s="857">
        <v>202.08756002536009</v>
      </c>
      <c r="M46" s="827">
        <f t="shared" si="5"/>
        <v>3.13972274111548</v>
      </c>
      <c r="N46" s="827">
        <f t="shared" si="10"/>
        <v>3.1822809604507951E-2</v>
      </c>
      <c r="O46" s="856">
        <f t="shared" ref="O46:O52" si="11">+IF(AND(E46&gt;0,J46&gt;0),E46-J46,"")</f>
        <v>579.79907263916391</v>
      </c>
      <c r="P46" s="856">
        <f t="shared" ref="P46:Q49" si="12">+IFERROR(IF(AND(F46&gt;0,K46&gt;0),F46-K46,""),"")</f>
        <v>57204.513249043033</v>
      </c>
      <c r="Q46" s="855">
        <f t="shared" si="12"/>
        <v>1820.4083336428491</v>
      </c>
    </row>
    <row r="47" spans="1:19" x14ac:dyDescent="0.2">
      <c r="A47" s="145" t="s">
        <v>844</v>
      </c>
      <c r="B47" s="860" t="s">
        <v>66</v>
      </c>
      <c r="C47" s="826">
        <f t="shared" si="0"/>
        <v>1.0124827596699679</v>
      </c>
      <c r="D47" s="827">
        <f t="shared" si="1"/>
        <v>6.6557315636438736E-3</v>
      </c>
      <c r="E47" s="856">
        <v>3000.3468631285727</v>
      </c>
      <c r="F47" s="856">
        <v>456418.56840218144</v>
      </c>
      <c r="G47" s="859">
        <v>3037.7994719475491</v>
      </c>
      <c r="H47" s="827">
        <f t="shared" si="4"/>
        <v>1.96011</v>
      </c>
      <c r="I47" s="827">
        <f t="shared" si="9"/>
        <v>6.4526259113114659E-2</v>
      </c>
      <c r="J47" s="858">
        <v>188.62094795395103</v>
      </c>
      <c r="K47" s="858">
        <v>5729.726337395492</v>
      </c>
      <c r="L47" s="857">
        <v>369.71780629401894</v>
      </c>
      <c r="M47" s="827">
        <f t="shared" si="5"/>
        <v>0.94891242821860522</v>
      </c>
      <c r="N47" s="827">
        <f t="shared" si="10"/>
        <v>5.9200082554295786E-3</v>
      </c>
      <c r="O47" s="856">
        <f t="shared" si="11"/>
        <v>2811.7259151746216</v>
      </c>
      <c r="P47" s="856">
        <f t="shared" si="12"/>
        <v>450688.84206478595</v>
      </c>
      <c r="Q47" s="855">
        <f t="shared" si="12"/>
        <v>2668.0816656535303</v>
      </c>
      <c r="S47" s="865"/>
    </row>
    <row r="48" spans="1:19" x14ac:dyDescent="0.2">
      <c r="A48" s="145" t="s">
        <v>845</v>
      </c>
      <c r="B48" s="860" t="s">
        <v>67</v>
      </c>
      <c r="C48" s="826">
        <f t="shared" si="0"/>
        <v>5.8654591343026388</v>
      </c>
      <c r="D48" s="827">
        <f t="shared" si="1"/>
        <v>2.1524734512741107E-2</v>
      </c>
      <c r="E48" s="856">
        <v>54.170478374899503</v>
      </c>
      <c r="F48" s="856">
        <v>14761.377289253976</v>
      </c>
      <c r="G48" s="859">
        <v>317.73472719359785</v>
      </c>
      <c r="H48" s="827">
        <f t="shared" si="4"/>
        <v>2.4127800000000001</v>
      </c>
      <c r="I48" s="827">
        <f t="shared" si="9"/>
        <v>0.10036365100009582</v>
      </c>
      <c r="J48" s="858">
        <v>11.396413822804858</v>
      </c>
      <c r="K48" s="858">
        <v>273.97408393762851</v>
      </c>
      <c r="L48" s="857">
        <v>27.497039343387108</v>
      </c>
      <c r="M48" s="827">
        <f t="shared" si="5"/>
        <v>6.7853661065276958</v>
      </c>
      <c r="N48" s="827">
        <f t="shared" si="10"/>
        <v>2.003379651528606E-2</v>
      </c>
      <c r="O48" s="856">
        <f t="shared" si="11"/>
        <v>42.774064552094643</v>
      </c>
      <c r="P48" s="856">
        <f t="shared" si="12"/>
        <v>14487.403205316348</v>
      </c>
      <c r="Q48" s="855">
        <f t="shared" si="12"/>
        <v>290.23768785021076</v>
      </c>
    </row>
    <row r="49" spans="1:19" x14ac:dyDescent="0.2">
      <c r="A49" s="145" t="s">
        <v>846</v>
      </c>
      <c r="B49" s="860" t="s">
        <v>68</v>
      </c>
      <c r="C49" s="826">
        <f t="shared" si="0"/>
        <v>4.1451078495310663</v>
      </c>
      <c r="D49" s="827">
        <f t="shared" si="1"/>
        <v>4.7831781660845021E-2</v>
      </c>
      <c r="E49" s="856">
        <v>15.631819704056245</v>
      </c>
      <c r="F49" s="856">
        <v>1354.6553422821678</v>
      </c>
      <c r="G49" s="859">
        <v>64.795578557737926</v>
      </c>
      <c r="H49" s="827">
        <f t="shared" si="4"/>
        <v>1.80599</v>
      </c>
      <c r="I49" s="827">
        <f t="shared" si="9"/>
        <v>3.9950500372258176E-2</v>
      </c>
      <c r="J49" s="858">
        <v>1.8941195373363828</v>
      </c>
      <c r="K49" s="858">
        <v>85.624983701318726</v>
      </c>
      <c r="L49" s="857">
        <v>3.4207609432341339</v>
      </c>
      <c r="M49" s="827">
        <f t="shared" si="5"/>
        <v>4.4676195338130027</v>
      </c>
      <c r="N49" s="827">
        <f t="shared" si="10"/>
        <v>4.8363553479633836E-2</v>
      </c>
      <c r="O49" s="856">
        <f t="shared" si="11"/>
        <v>13.737700166719861</v>
      </c>
      <c r="P49" s="856">
        <f t="shared" si="12"/>
        <v>1269.030358580849</v>
      </c>
      <c r="Q49" s="855">
        <f t="shared" si="12"/>
        <v>61.37481761450379</v>
      </c>
    </row>
    <row r="50" spans="1:19" x14ac:dyDescent="0.2">
      <c r="A50" s="145" t="s">
        <v>847</v>
      </c>
      <c r="B50" s="860" t="s">
        <v>69</v>
      </c>
      <c r="C50" s="826" t="str">
        <f t="shared" si="0"/>
        <v/>
      </c>
      <c r="D50" s="827"/>
      <c r="E50" s="856">
        <v>318.62573018831665</v>
      </c>
      <c r="F50" s="856">
        <v>284452.38605557522</v>
      </c>
      <c r="G50" s="864"/>
      <c r="H50" s="827">
        <f t="shared" si="4"/>
        <v>0.89122000000000001</v>
      </c>
      <c r="I50" s="827">
        <f t="shared" si="9"/>
        <v>1.9789899575823135E-2</v>
      </c>
      <c r="J50" s="858">
        <v>21.047688887867402</v>
      </c>
      <c r="K50" s="858">
        <v>947.86338954248913</v>
      </c>
      <c r="L50" s="857">
        <v>18.758121290645185</v>
      </c>
      <c r="M50" s="827">
        <v>4.16</v>
      </c>
      <c r="N50" s="827">
        <f t="shared" si="10"/>
        <v>4.3665075963113982E-3</v>
      </c>
      <c r="O50" s="856">
        <f t="shared" si="11"/>
        <v>297.57804130044923</v>
      </c>
      <c r="P50" s="856">
        <f>+IFERROR(IF(AND(F50&gt;0,K50&gt;0),F50-K50,""),"")</f>
        <v>283504.52266603272</v>
      </c>
      <c r="Q50" s="855">
        <f>+M50*O50</f>
        <v>1237.9246518098689</v>
      </c>
    </row>
    <row r="51" spans="1:19" x14ac:dyDescent="0.2">
      <c r="A51" s="145" t="s">
        <v>848</v>
      </c>
      <c r="B51" s="860" t="s">
        <v>70</v>
      </c>
      <c r="C51" s="826">
        <f t="shared" si="0"/>
        <v>5.0367582488930687</v>
      </c>
      <c r="D51" s="827">
        <f>+G51/F51</f>
        <v>5.3742769036280592E-2</v>
      </c>
      <c r="E51" s="856">
        <v>465.66449313355542</v>
      </c>
      <c r="F51" s="856">
        <v>43641.954425974756</v>
      </c>
      <c r="G51" s="859">
        <v>2345.4394770070448</v>
      </c>
      <c r="H51" s="827">
        <f t="shared" si="4"/>
        <v>2.3278099999999999</v>
      </c>
      <c r="I51" s="827">
        <f t="shared" si="9"/>
        <v>8.7326556684011569E-2</v>
      </c>
      <c r="J51" s="858">
        <v>64.762767723495699</v>
      </c>
      <c r="K51" s="858">
        <v>1726.3410359798602</v>
      </c>
      <c r="L51" s="857">
        <v>150.75541833443052</v>
      </c>
      <c r="M51" s="827">
        <f>+IFERROR(Q51/O51,"")</f>
        <v>5.4743692021474741</v>
      </c>
      <c r="N51" s="827">
        <f t="shared" si="10"/>
        <v>5.2359583486292896E-2</v>
      </c>
      <c r="O51" s="856">
        <f t="shared" si="11"/>
        <v>400.90172541005973</v>
      </c>
      <c r="P51" s="856">
        <f>+IFERROR(IF(AND(F51&gt;0,K51&gt;0),F51-K51,""),"")</f>
        <v>41915.613389994898</v>
      </c>
      <c r="Q51" s="855">
        <f>+IFERROR(IF(AND(G51&gt;0,L51&gt;0),G51-L51,""),"")</f>
        <v>2194.6840586726144</v>
      </c>
    </row>
    <row r="52" spans="1:19" x14ac:dyDescent="0.2">
      <c r="A52" s="145" t="s">
        <v>849</v>
      </c>
      <c r="B52" s="860" t="s">
        <v>71</v>
      </c>
      <c r="C52" s="826" t="str">
        <f t="shared" si="0"/>
        <v/>
      </c>
      <c r="D52" s="827"/>
      <c r="E52" s="856">
        <v>97.137143202548756</v>
      </c>
      <c r="F52" s="856">
        <v>12437.888084199702</v>
      </c>
      <c r="G52" s="859"/>
      <c r="H52" s="827">
        <f t="shared" si="4"/>
        <v>1.08148</v>
      </c>
      <c r="I52" s="827">
        <f t="shared" si="9"/>
        <v>6.4415425758922895E-2</v>
      </c>
      <c r="J52" s="858">
        <v>27.988286510009779</v>
      </c>
      <c r="K52" s="858">
        <v>469.89943384256077</v>
      </c>
      <c r="L52" s="857">
        <v>30.268772094845374</v>
      </c>
      <c r="M52" s="827">
        <v>4.16</v>
      </c>
      <c r="N52" s="827">
        <f t="shared" si="10"/>
        <v>2.403572164420276E-2</v>
      </c>
      <c r="O52" s="856">
        <f t="shared" si="11"/>
        <v>69.14885669253897</v>
      </c>
      <c r="P52" s="856">
        <f>+IFERROR(IF(AND(F52&gt;0,K52&gt;0),F52-K52,""),"")</f>
        <v>11967.988650357142</v>
      </c>
      <c r="Q52" s="855">
        <f>+M52*O52</f>
        <v>287.65924384096212</v>
      </c>
      <c r="R52" s="863"/>
    </row>
    <row r="53" spans="1:19" ht="40" customHeight="1" x14ac:dyDescent="0.2">
      <c r="A53" s="863"/>
      <c r="B53" s="846" t="s">
        <v>72</v>
      </c>
      <c r="C53" s="827"/>
      <c r="D53" s="827"/>
      <c r="E53" s="845"/>
      <c r="F53" s="845"/>
      <c r="G53" s="859"/>
      <c r="H53" s="827"/>
      <c r="I53" s="827"/>
      <c r="J53" s="845"/>
      <c r="K53" s="858"/>
      <c r="L53" s="857"/>
      <c r="M53" s="827"/>
      <c r="N53" s="827"/>
      <c r="O53" s="856"/>
      <c r="P53" s="856"/>
      <c r="Q53" s="855"/>
    </row>
    <row r="54" spans="1:19" ht="17" x14ac:dyDescent="0.2">
      <c r="A54" s="145" t="s">
        <v>850</v>
      </c>
      <c r="B54" s="860" t="s">
        <v>73</v>
      </c>
      <c r="C54" s="827" t="str">
        <f t="shared" ref="C54:C89" si="13">+IFERROR(IF(G54&gt;0,G54/E54,""),"")</f>
        <v/>
      </c>
      <c r="D54" s="827" t="str">
        <f t="shared" ref="D54:D89" si="14">+IFERROR(G54/F54,"")</f>
        <v/>
      </c>
      <c r="E54" s="856">
        <v>0.50910500000000003</v>
      </c>
      <c r="F54" s="856" t="s">
        <v>262</v>
      </c>
      <c r="G54" s="859" t="s">
        <v>262</v>
      </c>
      <c r="H54" s="827" t="str">
        <f t="shared" ref="H54:H89" si="15">+IFERROR(L54/J54,"")</f>
        <v/>
      </c>
      <c r="I54" s="827" t="str">
        <f t="shared" ref="I54:I89" si="16">+IFERROR(L54/K54,"")</f>
        <v/>
      </c>
      <c r="J54" s="861">
        <v>0.20364200000000002</v>
      </c>
      <c r="K54" s="858" t="s">
        <v>262</v>
      </c>
      <c r="L54" s="857" t="s">
        <v>262</v>
      </c>
      <c r="M54" s="827" t="str">
        <f t="shared" ref="M54:M88" si="17">+IFERROR(Q54/O54,"")</f>
        <v/>
      </c>
      <c r="N54" s="827" t="str">
        <f t="shared" ref="N54:N89" si="18">+IFERROR(Q54/P54,"")</f>
        <v/>
      </c>
      <c r="O54" s="856">
        <f t="shared" ref="O54:O89" si="19">+IF(AND(E54&gt;0,J54&gt;0),E54-J54,"")</f>
        <v>0.30546300000000004</v>
      </c>
      <c r="P54" s="856" t="str">
        <f t="shared" ref="P54:P88" si="20">+IFERROR(IF(AND(F54&gt;0,K54&gt;0),F54-K54,""),"")</f>
        <v/>
      </c>
      <c r="Q54" s="855" t="str">
        <f t="shared" ref="Q54:Q88" si="21">+IFERROR(IF(AND(G54&gt;0,L54&gt;0),G54-L54,""),"")</f>
        <v/>
      </c>
      <c r="S54" s="854"/>
    </row>
    <row r="55" spans="1:19" ht="17" x14ac:dyDescent="0.2">
      <c r="A55" s="145" t="s">
        <v>851</v>
      </c>
      <c r="B55" s="860" t="s">
        <v>74</v>
      </c>
      <c r="C55" s="827">
        <f t="shared" si="13"/>
        <v>12.648108876539794</v>
      </c>
      <c r="D55" s="827" t="str">
        <f t="shared" si="14"/>
        <v/>
      </c>
      <c r="E55" s="856">
        <v>4.8179904000000003E-2</v>
      </c>
      <c r="F55" s="856" t="s">
        <v>262</v>
      </c>
      <c r="G55" s="859">
        <v>0.60938467145323516</v>
      </c>
      <c r="H55" s="827" t="str">
        <f t="shared" si="15"/>
        <v/>
      </c>
      <c r="I55" s="827" t="str">
        <f t="shared" si="16"/>
        <v/>
      </c>
      <c r="J55" s="861">
        <v>1.9271961600000002E-2</v>
      </c>
      <c r="K55" s="858" t="s">
        <v>262</v>
      </c>
      <c r="L55" s="857" t="s">
        <v>262</v>
      </c>
      <c r="M55" s="827" t="str">
        <f t="shared" si="17"/>
        <v/>
      </c>
      <c r="N55" s="827" t="str">
        <f t="shared" si="18"/>
        <v/>
      </c>
      <c r="O55" s="856">
        <f t="shared" si="19"/>
        <v>2.8907942400000001E-2</v>
      </c>
      <c r="P55" s="856" t="str">
        <f t="shared" si="20"/>
        <v/>
      </c>
      <c r="Q55" s="855" t="str">
        <f t="shared" si="21"/>
        <v/>
      </c>
      <c r="S55" s="854"/>
    </row>
    <row r="56" spans="1:19" ht="17" x14ac:dyDescent="0.2">
      <c r="A56" s="145" t="s">
        <v>852</v>
      </c>
      <c r="B56" s="860" t="s">
        <v>76</v>
      </c>
      <c r="C56" s="827">
        <f t="shared" si="13"/>
        <v>50.584994261622356</v>
      </c>
      <c r="D56" s="827" t="str">
        <f t="shared" si="14"/>
        <v/>
      </c>
      <c r="E56" s="856">
        <v>9.4220399999999996E-2</v>
      </c>
      <c r="F56" s="856" t="s">
        <v>262</v>
      </c>
      <c r="G56" s="859">
        <v>4.766138393327763</v>
      </c>
      <c r="H56" s="827" t="str">
        <f t="shared" si="15"/>
        <v/>
      </c>
      <c r="I56" s="827" t="str">
        <f t="shared" si="16"/>
        <v/>
      </c>
      <c r="J56" s="858">
        <v>3.7688159999999998E-2</v>
      </c>
      <c r="K56" s="858" t="s">
        <v>262</v>
      </c>
      <c r="L56" s="857" t="s">
        <v>262</v>
      </c>
      <c r="M56" s="827" t="str">
        <f t="shared" si="17"/>
        <v/>
      </c>
      <c r="N56" s="827" t="str">
        <f t="shared" si="18"/>
        <v/>
      </c>
      <c r="O56" s="856">
        <f t="shared" si="19"/>
        <v>5.6532239999999997E-2</v>
      </c>
      <c r="P56" s="856" t="str">
        <f t="shared" si="20"/>
        <v/>
      </c>
      <c r="Q56" s="855" t="str">
        <f t="shared" si="21"/>
        <v/>
      </c>
      <c r="S56" s="854"/>
    </row>
    <row r="57" spans="1:19" ht="17" x14ac:dyDescent="0.2">
      <c r="A57" s="145" t="s">
        <v>853</v>
      </c>
      <c r="B57" s="860" t="str">
        <f>+TableA1!A56</f>
        <v>Antigua and Barbuda</v>
      </c>
      <c r="C57" s="827">
        <f t="shared" si="13"/>
        <v>4.796343106708739</v>
      </c>
      <c r="D57" s="827" t="str">
        <f t="shared" si="14"/>
        <v/>
      </c>
      <c r="E57" s="856">
        <v>0.45270100000000002</v>
      </c>
      <c r="F57" s="856" t="s">
        <v>262</v>
      </c>
      <c r="G57" s="859">
        <v>2.171309320750153</v>
      </c>
      <c r="H57" s="827" t="str">
        <f t="shared" si="15"/>
        <v/>
      </c>
      <c r="I57" s="827" t="str">
        <f t="shared" si="16"/>
        <v/>
      </c>
      <c r="J57" s="858">
        <v>0.18108040000000003</v>
      </c>
      <c r="K57" s="858" t="s">
        <v>262</v>
      </c>
      <c r="L57" s="857" t="s">
        <v>262</v>
      </c>
      <c r="M57" s="827" t="str">
        <f t="shared" si="17"/>
        <v/>
      </c>
      <c r="N57" s="827" t="str">
        <f t="shared" si="18"/>
        <v/>
      </c>
      <c r="O57" s="856">
        <f t="shared" si="19"/>
        <v>0.27162059999999999</v>
      </c>
      <c r="P57" s="856" t="str">
        <f t="shared" si="20"/>
        <v/>
      </c>
      <c r="Q57" s="855" t="str">
        <f t="shared" si="21"/>
        <v/>
      </c>
      <c r="S57" s="854"/>
    </row>
    <row r="58" spans="1:19" ht="17" x14ac:dyDescent="0.2">
      <c r="A58" s="145" t="s">
        <v>854</v>
      </c>
      <c r="B58" s="860" t="s">
        <v>152</v>
      </c>
      <c r="C58" s="827">
        <f t="shared" si="13"/>
        <v>26.453686752262247</v>
      </c>
      <c r="D58" s="827">
        <f t="shared" si="14"/>
        <v>0.10548458423996171</v>
      </c>
      <c r="E58" s="856">
        <v>0.49227100000000001</v>
      </c>
      <c r="F58" s="856">
        <v>123.45294741456162</v>
      </c>
      <c r="G58" s="859">
        <v>13.022382831222888</v>
      </c>
      <c r="H58" s="827" t="str">
        <f t="shared" si="15"/>
        <v/>
      </c>
      <c r="I58" s="827" t="str">
        <f t="shared" si="16"/>
        <v/>
      </c>
      <c r="J58" s="858">
        <v>0.19690840000000001</v>
      </c>
      <c r="K58" s="858" t="s">
        <v>262</v>
      </c>
      <c r="L58" s="857" t="s">
        <v>262</v>
      </c>
      <c r="M58" s="827" t="str">
        <f t="shared" si="17"/>
        <v/>
      </c>
      <c r="N58" s="827" t="str">
        <f t="shared" si="18"/>
        <v/>
      </c>
      <c r="O58" s="856">
        <f t="shared" si="19"/>
        <v>0.29536260000000003</v>
      </c>
      <c r="P58" s="856" t="str">
        <f t="shared" si="20"/>
        <v/>
      </c>
      <c r="Q58" s="855" t="str">
        <f t="shared" si="21"/>
        <v/>
      </c>
      <c r="S58" s="854"/>
    </row>
    <row r="59" spans="1:19" ht="17" x14ac:dyDescent="0.2">
      <c r="A59" s="145" t="e">
        <v>#REF!</v>
      </c>
      <c r="B59" s="860" t="s">
        <v>78</v>
      </c>
      <c r="C59" s="827" t="str">
        <f t="shared" si="13"/>
        <v/>
      </c>
      <c r="D59" s="827" t="str">
        <f t="shared" si="14"/>
        <v/>
      </c>
      <c r="E59" s="856">
        <v>10.122538414747584</v>
      </c>
      <c r="F59" s="856" t="s">
        <v>262</v>
      </c>
      <c r="G59" s="859" t="s">
        <v>262</v>
      </c>
      <c r="H59" s="827" t="str">
        <f t="shared" si="15"/>
        <v/>
      </c>
      <c r="I59" s="827" t="str">
        <f t="shared" si="16"/>
        <v/>
      </c>
      <c r="J59" s="858">
        <v>4.0490153658990335</v>
      </c>
      <c r="K59" s="858" t="s">
        <v>262</v>
      </c>
      <c r="L59" s="857" t="s">
        <v>262</v>
      </c>
      <c r="M59" s="827" t="str">
        <f t="shared" si="17"/>
        <v/>
      </c>
      <c r="N59" s="827" t="str">
        <f t="shared" si="18"/>
        <v/>
      </c>
      <c r="O59" s="856">
        <f t="shared" si="19"/>
        <v>6.0735230488485508</v>
      </c>
      <c r="P59" s="856" t="str">
        <f t="shared" si="20"/>
        <v/>
      </c>
      <c r="Q59" s="855" t="str">
        <f t="shared" si="21"/>
        <v/>
      </c>
      <c r="S59" s="854"/>
    </row>
    <row r="60" spans="1:19" x14ac:dyDescent="0.2">
      <c r="A60" s="145" t="s">
        <v>855</v>
      </c>
      <c r="B60" s="860" t="str">
        <f>+TableA1!A60</f>
        <v>Barbados</v>
      </c>
      <c r="C60" s="827">
        <f t="shared" si="13"/>
        <v>10.842095805347817</v>
      </c>
      <c r="D60" s="827">
        <f t="shared" si="14"/>
        <v>4.2028099593696959E-2</v>
      </c>
      <c r="E60" s="856">
        <v>0.34493299999999999</v>
      </c>
      <c r="F60" s="856">
        <v>88.98324379594132</v>
      </c>
      <c r="G60" s="859">
        <v>3.7397966324260388</v>
      </c>
      <c r="H60" s="827">
        <f t="shared" si="15"/>
        <v>25.265309999999999</v>
      </c>
      <c r="I60" s="827">
        <f t="shared" si="16"/>
        <v>13.562922493796524</v>
      </c>
      <c r="J60" s="858">
        <v>0.13797319999999999</v>
      </c>
      <c r="K60" s="858">
        <v>0.25701950824288894</v>
      </c>
      <c r="L60" s="857">
        <v>3.4859356696919996</v>
      </c>
      <c r="M60" s="827">
        <f t="shared" si="17"/>
        <v>1.2266196755796979</v>
      </c>
      <c r="N60" s="827"/>
      <c r="O60" s="856">
        <f t="shared" si="19"/>
        <v>0.2069598</v>
      </c>
      <c r="P60" s="856">
        <f t="shared" si="20"/>
        <v>88.726224287698429</v>
      </c>
      <c r="Q60" s="855">
        <f t="shared" si="21"/>
        <v>0.25386096273403913</v>
      </c>
      <c r="S60" s="854"/>
    </row>
    <row r="61" spans="1:19" ht="17" x14ac:dyDescent="0.2">
      <c r="A61" s="145" t="s">
        <v>856</v>
      </c>
      <c r="B61" s="860" t="s">
        <v>80</v>
      </c>
      <c r="C61" s="827">
        <f t="shared" si="13"/>
        <v>9.1198659571085141</v>
      </c>
      <c r="D61" s="827">
        <f t="shared" si="14"/>
        <v>1.2906584576894699E-2</v>
      </c>
      <c r="E61" s="856">
        <v>0.13389599999999999</v>
      </c>
      <c r="F61" s="856">
        <v>94.61167398066199</v>
      </c>
      <c r="G61" s="859">
        <v>1.2211135721930015</v>
      </c>
      <c r="H61" s="827" t="str">
        <f t="shared" si="15"/>
        <v/>
      </c>
      <c r="I61" s="827" t="str">
        <f t="shared" si="16"/>
        <v/>
      </c>
      <c r="J61" s="858">
        <v>5.3558399999999999E-2</v>
      </c>
      <c r="K61" s="858" t="s">
        <v>262</v>
      </c>
      <c r="L61" s="857" t="s">
        <v>262</v>
      </c>
      <c r="M61" s="827" t="str">
        <f t="shared" si="17"/>
        <v/>
      </c>
      <c r="N61" s="827"/>
      <c r="O61" s="856">
        <f t="shared" si="19"/>
        <v>8.0337599999999981E-2</v>
      </c>
      <c r="P61" s="856" t="str">
        <f t="shared" si="20"/>
        <v/>
      </c>
      <c r="Q61" s="855" t="str">
        <f t="shared" si="21"/>
        <v/>
      </c>
      <c r="S61" s="854"/>
    </row>
    <row r="62" spans="1:19" ht="17" x14ac:dyDescent="0.2">
      <c r="A62" s="145" t="s">
        <v>857</v>
      </c>
      <c r="B62" s="860" t="s">
        <v>81</v>
      </c>
      <c r="C62" s="827">
        <f t="shared" si="13"/>
        <v>1.2200064964025406</v>
      </c>
      <c r="D62" s="827" t="str">
        <f t="shared" si="14"/>
        <v/>
      </c>
      <c r="E62" s="856">
        <v>3.0988699999999998</v>
      </c>
      <c r="F62" s="856" t="s">
        <v>262</v>
      </c>
      <c r="G62" s="859">
        <v>3.7806415315069404</v>
      </c>
      <c r="H62" s="827">
        <f t="shared" si="15"/>
        <v>6.3358299999999996</v>
      </c>
      <c r="I62" s="827">
        <f t="shared" si="16"/>
        <v>21.531764361161525</v>
      </c>
      <c r="J62" s="858">
        <v>1.2395480000000001</v>
      </c>
      <c r="K62" s="858">
        <v>0.36474323576594919</v>
      </c>
      <c r="L62" s="857">
        <v>7.8535654048400003</v>
      </c>
      <c r="M62" s="827"/>
      <c r="N62" s="827"/>
      <c r="O62" s="856">
        <f t="shared" si="19"/>
        <v>1.8593219999999997</v>
      </c>
      <c r="P62" s="856" t="str">
        <f t="shared" si="20"/>
        <v/>
      </c>
      <c r="Q62" s="855">
        <f>+M62*O62</f>
        <v>0</v>
      </c>
      <c r="S62" s="854"/>
    </row>
    <row r="63" spans="1:19" ht="17" x14ac:dyDescent="0.2">
      <c r="A63" s="145" t="s">
        <v>858</v>
      </c>
      <c r="B63" s="860" t="s">
        <v>82</v>
      </c>
      <c r="C63" s="827" t="str">
        <f t="shared" si="13"/>
        <v/>
      </c>
      <c r="D63" s="827" t="str">
        <f t="shared" si="14"/>
        <v/>
      </c>
      <c r="E63" s="856">
        <v>7.2464799999999996E-2</v>
      </c>
      <c r="F63" s="856" t="s">
        <v>262</v>
      </c>
      <c r="G63" s="859" t="s">
        <v>262</v>
      </c>
      <c r="H63" s="827" t="str">
        <f t="shared" si="15"/>
        <v/>
      </c>
      <c r="I63" s="827" t="str">
        <f t="shared" si="16"/>
        <v/>
      </c>
      <c r="J63" s="858">
        <v>2.8985919999999998E-2</v>
      </c>
      <c r="K63" s="858" t="s">
        <v>262</v>
      </c>
      <c r="L63" s="857" t="s">
        <v>262</v>
      </c>
      <c r="M63" s="827" t="str">
        <f t="shared" si="17"/>
        <v/>
      </c>
      <c r="N63" s="827" t="str">
        <f t="shared" si="18"/>
        <v/>
      </c>
      <c r="O63" s="856">
        <f t="shared" si="19"/>
        <v>4.3478879999999998E-2</v>
      </c>
      <c r="P63" s="856" t="str">
        <f t="shared" si="20"/>
        <v/>
      </c>
      <c r="Q63" s="855" t="str">
        <f t="shared" si="21"/>
        <v/>
      </c>
      <c r="S63" s="854"/>
    </row>
    <row r="64" spans="1:19" ht="17" x14ac:dyDescent="0.2">
      <c r="A64" s="145" t="e">
        <v>#REF!</v>
      </c>
      <c r="B64" s="860" t="s">
        <v>153</v>
      </c>
      <c r="C64" s="827" t="str">
        <f t="shared" si="13"/>
        <v/>
      </c>
      <c r="D64" s="827" t="str">
        <f t="shared" si="14"/>
        <v/>
      </c>
      <c r="E64" s="856">
        <v>0.16297200000000001</v>
      </c>
      <c r="F64" s="856" t="s">
        <v>262</v>
      </c>
      <c r="G64" s="859" t="s">
        <v>262</v>
      </c>
      <c r="H64" s="827" t="str">
        <f t="shared" si="15"/>
        <v/>
      </c>
      <c r="I64" s="827" t="str">
        <f t="shared" si="16"/>
        <v/>
      </c>
      <c r="J64" s="858">
        <v>6.5188800000000005E-2</v>
      </c>
      <c r="K64" s="858" t="s">
        <v>262</v>
      </c>
      <c r="L64" s="857" t="s">
        <v>262</v>
      </c>
      <c r="M64" s="827" t="str">
        <f t="shared" si="17"/>
        <v/>
      </c>
      <c r="N64" s="827" t="str">
        <f t="shared" si="18"/>
        <v/>
      </c>
      <c r="O64" s="856">
        <f t="shared" si="19"/>
        <v>9.7783200000000001E-2</v>
      </c>
      <c r="P64" s="856" t="str">
        <f t="shared" si="20"/>
        <v/>
      </c>
      <c r="Q64" s="855" t="str">
        <f t="shared" si="21"/>
        <v/>
      </c>
      <c r="S64" s="854"/>
    </row>
    <row r="65" spans="1:19" ht="17" x14ac:dyDescent="0.2">
      <c r="A65" s="145" t="s">
        <v>859</v>
      </c>
      <c r="B65" s="862" t="s">
        <v>84</v>
      </c>
      <c r="C65" s="827">
        <f t="shared" si="13"/>
        <v>2.8773186948383258</v>
      </c>
      <c r="D65" s="827" t="str">
        <f t="shared" si="14"/>
        <v/>
      </c>
      <c r="E65" s="856">
        <v>1.41639</v>
      </c>
      <c r="F65" s="856" t="s">
        <v>262</v>
      </c>
      <c r="G65" s="859">
        <v>4.0754054261820567</v>
      </c>
      <c r="H65" s="827" t="str">
        <f t="shared" si="15"/>
        <v/>
      </c>
      <c r="I65" s="827" t="str">
        <f t="shared" si="16"/>
        <v/>
      </c>
      <c r="J65" s="858">
        <v>0.56655600000000006</v>
      </c>
      <c r="K65" s="858" t="s">
        <v>262</v>
      </c>
      <c r="L65" s="857" t="s">
        <v>262</v>
      </c>
      <c r="M65" s="827" t="str">
        <f t="shared" si="17"/>
        <v/>
      </c>
      <c r="N65" s="827" t="str">
        <f t="shared" si="18"/>
        <v/>
      </c>
      <c r="O65" s="856">
        <f t="shared" si="19"/>
        <v>0.84983399999999998</v>
      </c>
      <c r="P65" s="856" t="str">
        <f t="shared" si="20"/>
        <v/>
      </c>
      <c r="Q65" s="855" t="str">
        <f t="shared" si="21"/>
        <v/>
      </c>
      <c r="S65" s="854"/>
    </row>
    <row r="66" spans="1:19" ht="17" x14ac:dyDescent="0.2">
      <c r="A66" s="145" t="s">
        <v>860</v>
      </c>
      <c r="B66" s="860" t="s">
        <v>85</v>
      </c>
      <c r="C66" s="827" t="str">
        <f t="shared" si="13"/>
        <v/>
      </c>
      <c r="D66" s="827" t="str">
        <f t="shared" si="14"/>
        <v/>
      </c>
      <c r="E66" s="856">
        <v>1.3583099999999999</v>
      </c>
      <c r="F66" s="856" t="s">
        <v>262</v>
      </c>
      <c r="G66" s="859">
        <v>0</v>
      </c>
      <c r="H66" s="827" t="str">
        <f t="shared" si="15"/>
        <v/>
      </c>
      <c r="I66" s="827" t="str">
        <f t="shared" si="16"/>
        <v/>
      </c>
      <c r="J66" s="858">
        <v>0.54332400000000003</v>
      </c>
      <c r="K66" s="858" t="s">
        <v>262</v>
      </c>
      <c r="L66" s="857" t="s">
        <v>262</v>
      </c>
      <c r="M66" s="827" t="str">
        <f t="shared" si="17"/>
        <v/>
      </c>
      <c r="N66" s="827" t="str">
        <f t="shared" si="18"/>
        <v/>
      </c>
      <c r="O66" s="856">
        <f t="shared" si="19"/>
        <v>0.81498599999999988</v>
      </c>
      <c r="P66" s="856" t="str">
        <f t="shared" si="20"/>
        <v/>
      </c>
      <c r="Q66" s="855" t="str">
        <f t="shared" si="21"/>
        <v/>
      </c>
      <c r="S66" s="854"/>
    </row>
    <row r="67" spans="1:19" x14ac:dyDescent="0.2">
      <c r="A67" s="145" t="s">
        <v>861</v>
      </c>
      <c r="B67" s="860" t="str">
        <f>+TableA1!A67</f>
        <v>Cyprus</v>
      </c>
      <c r="C67" s="827">
        <f t="shared" si="13"/>
        <v>5.7580469835039052</v>
      </c>
      <c r="D67" s="827">
        <f t="shared" si="14"/>
        <v>0.14801994603568444</v>
      </c>
      <c r="E67" s="856">
        <v>5.5453299999999999</v>
      </c>
      <c r="F67" s="856">
        <v>215.71600000000001</v>
      </c>
      <c r="G67" s="859">
        <v>31.930270679033708</v>
      </c>
      <c r="H67" s="827">
        <f t="shared" si="15"/>
        <v>1.5469715044664523</v>
      </c>
      <c r="I67" s="827">
        <f t="shared" si="16"/>
        <v>0.22964710193716911</v>
      </c>
      <c r="J67" s="858">
        <v>2.2181320000000002</v>
      </c>
      <c r="K67" s="858">
        <v>14.942</v>
      </c>
      <c r="L67" s="857">
        <v>3.4313869971451809</v>
      </c>
      <c r="M67" s="827">
        <f t="shared" si="17"/>
        <v>8.5654306361955399</v>
      </c>
      <c r="N67" s="827">
        <f t="shared" si="18"/>
        <v>0.14194509090763011</v>
      </c>
      <c r="O67" s="856">
        <f t="shared" si="19"/>
        <v>3.3271979999999997</v>
      </c>
      <c r="P67" s="856">
        <f t="shared" si="20"/>
        <v>200.774</v>
      </c>
      <c r="Q67" s="855">
        <f t="shared" si="21"/>
        <v>28.498883681888525</v>
      </c>
      <c r="S67" s="854"/>
    </row>
    <row r="68" spans="1:19" ht="17" x14ac:dyDescent="0.2">
      <c r="A68" s="145" t="s">
        <v>862</v>
      </c>
      <c r="B68" s="860" t="s">
        <v>87</v>
      </c>
      <c r="C68" s="827" t="str">
        <f t="shared" si="13"/>
        <v/>
      </c>
      <c r="D68" s="827" t="str">
        <f t="shared" si="14"/>
        <v/>
      </c>
      <c r="E68" s="856">
        <v>1.2626299999999999</v>
      </c>
      <c r="F68" s="856" t="s">
        <v>262</v>
      </c>
      <c r="G68" s="859" t="s">
        <v>262</v>
      </c>
      <c r="H68" s="827" t="str">
        <f t="shared" si="15"/>
        <v/>
      </c>
      <c r="I68" s="827" t="str">
        <f t="shared" si="16"/>
        <v/>
      </c>
      <c r="J68" s="858">
        <v>0.50505199999999995</v>
      </c>
      <c r="K68" s="858" t="s">
        <v>262</v>
      </c>
      <c r="L68" s="857" t="s">
        <v>262</v>
      </c>
      <c r="M68" s="827" t="str">
        <f t="shared" si="17"/>
        <v/>
      </c>
      <c r="N68" s="827" t="str">
        <f t="shared" si="18"/>
        <v/>
      </c>
      <c r="O68" s="856">
        <f t="shared" si="19"/>
        <v>0.75757799999999997</v>
      </c>
      <c r="P68" s="856" t="str">
        <f t="shared" si="20"/>
        <v/>
      </c>
      <c r="Q68" s="855" t="str">
        <f t="shared" si="21"/>
        <v/>
      </c>
      <c r="S68" s="854"/>
    </row>
    <row r="69" spans="1:19" ht="17" x14ac:dyDescent="0.2">
      <c r="A69" s="145" t="s">
        <v>863</v>
      </c>
      <c r="B69" s="860" t="str">
        <f>+TableA1!A69</f>
        <v>Grenada</v>
      </c>
      <c r="C69" s="827">
        <f t="shared" si="13"/>
        <v>18.178054423338033</v>
      </c>
      <c r="D69" s="827" t="str">
        <f t="shared" si="14"/>
        <v/>
      </c>
      <c r="E69" s="856">
        <v>7.3907048000000003E-2</v>
      </c>
      <c r="F69" s="856" t="s">
        <v>262</v>
      </c>
      <c r="G69" s="859">
        <v>1.3434863408122564</v>
      </c>
      <c r="H69" s="827" t="str">
        <f t="shared" si="15"/>
        <v/>
      </c>
      <c r="I69" s="827" t="str">
        <f t="shared" si="16"/>
        <v/>
      </c>
      <c r="J69" s="858">
        <v>2.9562819200000003E-2</v>
      </c>
      <c r="K69" s="858" t="s">
        <v>262</v>
      </c>
      <c r="L69" s="857" t="s">
        <v>262</v>
      </c>
      <c r="M69" s="827" t="str">
        <f t="shared" si="17"/>
        <v/>
      </c>
      <c r="N69" s="827" t="str">
        <f t="shared" si="18"/>
        <v/>
      </c>
      <c r="O69" s="856">
        <f t="shared" si="19"/>
        <v>4.4344228799999996E-2</v>
      </c>
      <c r="P69" s="856" t="str">
        <f t="shared" si="20"/>
        <v/>
      </c>
      <c r="Q69" s="855" t="str">
        <f t="shared" si="21"/>
        <v/>
      </c>
      <c r="S69" s="854"/>
    </row>
    <row r="70" spans="1:19" ht="17" x14ac:dyDescent="0.2">
      <c r="A70" s="145" t="s">
        <v>864</v>
      </c>
      <c r="B70" s="860" t="s">
        <v>89</v>
      </c>
      <c r="C70" s="827" t="str">
        <f t="shared" si="13"/>
        <v/>
      </c>
      <c r="D70" s="827" t="str">
        <f t="shared" si="14"/>
        <v/>
      </c>
      <c r="E70" s="856">
        <v>0.84902900000000003</v>
      </c>
      <c r="F70" s="856" t="s">
        <v>262</v>
      </c>
      <c r="G70" s="859" t="s">
        <v>262</v>
      </c>
      <c r="H70" s="827" t="str">
        <f t="shared" si="15"/>
        <v/>
      </c>
      <c r="I70" s="827" t="str">
        <f t="shared" si="16"/>
        <v/>
      </c>
      <c r="J70" s="858">
        <v>0.33961160000000001</v>
      </c>
      <c r="K70" s="858" t="s">
        <v>262</v>
      </c>
      <c r="L70" s="857" t="s">
        <v>262</v>
      </c>
      <c r="M70" s="827" t="str">
        <f t="shared" si="17"/>
        <v/>
      </c>
      <c r="N70" s="827" t="str">
        <f t="shared" si="18"/>
        <v/>
      </c>
      <c r="O70" s="856">
        <f t="shared" si="19"/>
        <v>0.50941740000000002</v>
      </c>
      <c r="P70" s="856" t="str">
        <f t="shared" si="20"/>
        <v/>
      </c>
      <c r="Q70" s="855" t="str">
        <f t="shared" si="21"/>
        <v/>
      </c>
      <c r="S70" s="854"/>
    </row>
    <row r="71" spans="1:19" ht="17" x14ac:dyDescent="0.2">
      <c r="A71" s="145" t="s">
        <v>865</v>
      </c>
      <c r="B71" s="860" t="s">
        <v>154</v>
      </c>
      <c r="C71" s="827" t="str">
        <f t="shared" si="13"/>
        <v/>
      </c>
      <c r="D71" s="827" t="str">
        <f t="shared" si="14"/>
        <v/>
      </c>
      <c r="E71" s="856">
        <v>0.45451200000000003</v>
      </c>
      <c r="F71" s="856" t="s">
        <v>262</v>
      </c>
      <c r="G71" s="859" t="s">
        <v>262</v>
      </c>
      <c r="H71" s="827" t="str">
        <f t="shared" si="15"/>
        <v/>
      </c>
      <c r="I71" s="827" t="str">
        <f t="shared" si="16"/>
        <v/>
      </c>
      <c r="J71" s="858">
        <v>0.18180480000000002</v>
      </c>
      <c r="K71" s="858" t="s">
        <v>262</v>
      </c>
      <c r="L71" s="857" t="s">
        <v>262</v>
      </c>
      <c r="M71" s="827" t="str">
        <f t="shared" si="17"/>
        <v/>
      </c>
      <c r="N71" s="827" t="str">
        <f t="shared" si="18"/>
        <v/>
      </c>
      <c r="O71" s="856">
        <f t="shared" si="19"/>
        <v>0.27270720000000004</v>
      </c>
      <c r="P71" s="856" t="str">
        <f t="shared" si="20"/>
        <v/>
      </c>
      <c r="Q71" s="855" t="str">
        <f t="shared" si="21"/>
        <v/>
      </c>
      <c r="S71" s="854"/>
    </row>
    <row r="72" spans="1:19" x14ac:dyDescent="0.2">
      <c r="A72" s="145" t="s">
        <v>866</v>
      </c>
      <c r="B72" s="860" t="s">
        <v>91</v>
      </c>
      <c r="C72" s="827">
        <f t="shared" si="13"/>
        <v>2.8127670309221471</v>
      </c>
      <c r="D72" s="827">
        <f t="shared" si="14"/>
        <v>0.14403407545691116</v>
      </c>
      <c r="E72" s="856">
        <v>117.069</v>
      </c>
      <c r="F72" s="856">
        <v>2286.1800063522724</v>
      </c>
      <c r="G72" s="859">
        <v>329.28782354302484</v>
      </c>
      <c r="H72" s="827">
        <f t="shared" si="15"/>
        <v>0.49170999999999998</v>
      </c>
      <c r="I72" s="827">
        <f t="shared" si="16"/>
        <v>0.11734003212757226</v>
      </c>
      <c r="J72" s="858">
        <v>23.587237340311784</v>
      </c>
      <c r="K72" s="858">
        <v>98.841633688963512</v>
      </c>
      <c r="L72" s="857">
        <v>11.598080472604707</v>
      </c>
      <c r="M72" s="827">
        <f t="shared" si="17"/>
        <v>3.398414129469729</v>
      </c>
      <c r="N72" s="827">
        <f t="shared" si="18"/>
        <v>0.14524032817272817</v>
      </c>
      <c r="O72" s="856">
        <f t="shared" si="19"/>
        <v>93.481762659688215</v>
      </c>
      <c r="P72" s="856">
        <f t="shared" si="20"/>
        <v>2187.3383726633087</v>
      </c>
      <c r="Q72" s="855">
        <f t="shared" si="21"/>
        <v>317.68974307042015</v>
      </c>
      <c r="S72" s="854"/>
    </row>
    <row r="73" spans="1:19" ht="17" x14ac:dyDescent="0.2">
      <c r="A73" s="145" t="s">
        <v>867</v>
      </c>
      <c r="B73" s="860" t="s">
        <v>92</v>
      </c>
      <c r="C73" s="827" t="str">
        <f t="shared" si="13"/>
        <v/>
      </c>
      <c r="D73" s="827" t="str">
        <f t="shared" si="14"/>
        <v/>
      </c>
      <c r="E73" s="856">
        <v>1.22997</v>
      </c>
      <c r="F73" s="856" t="s">
        <v>262</v>
      </c>
      <c r="G73" s="859" t="s">
        <v>262</v>
      </c>
      <c r="H73" s="827" t="str">
        <f t="shared" si="15"/>
        <v/>
      </c>
      <c r="I73" s="827" t="str">
        <f t="shared" si="16"/>
        <v/>
      </c>
      <c r="J73" s="858">
        <v>0.49198800000000004</v>
      </c>
      <c r="K73" s="858" t="s">
        <v>262</v>
      </c>
      <c r="L73" s="857" t="s">
        <v>262</v>
      </c>
      <c r="M73" s="827" t="str">
        <f t="shared" si="17"/>
        <v/>
      </c>
      <c r="N73" s="827" t="str">
        <f t="shared" si="18"/>
        <v/>
      </c>
      <c r="O73" s="856">
        <f t="shared" si="19"/>
        <v>0.73798199999999992</v>
      </c>
      <c r="P73" s="856" t="str">
        <f t="shared" si="20"/>
        <v/>
      </c>
      <c r="Q73" s="855" t="str">
        <f t="shared" si="21"/>
        <v/>
      </c>
      <c r="S73" s="854"/>
    </row>
    <row r="74" spans="1:19" ht="17" x14ac:dyDescent="0.2">
      <c r="A74" s="145" t="s">
        <v>868</v>
      </c>
      <c r="B74" s="860" t="s">
        <v>93</v>
      </c>
      <c r="C74" s="827" t="str">
        <f t="shared" si="13"/>
        <v/>
      </c>
      <c r="D74" s="827" t="str">
        <f t="shared" si="14"/>
        <v/>
      </c>
      <c r="E74" s="856">
        <v>15.218728393333157</v>
      </c>
      <c r="F74" s="856">
        <v>1292.2352669821701</v>
      </c>
      <c r="G74" s="859" t="s">
        <v>262</v>
      </c>
      <c r="H74" s="827" t="str">
        <f t="shared" si="15"/>
        <v/>
      </c>
      <c r="I74" s="827" t="str">
        <f t="shared" si="16"/>
        <v/>
      </c>
      <c r="J74" s="858">
        <v>6.0874913573332634</v>
      </c>
      <c r="K74" s="858" t="s">
        <v>262</v>
      </c>
      <c r="L74" s="857" t="s">
        <v>262</v>
      </c>
      <c r="M74" s="827" t="str">
        <f t="shared" si="17"/>
        <v/>
      </c>
      <c r="N74" s="827" t="str">
        <f t="shared" si="18"/>
        <v/>
      </c>
      <c r="O74" s="856">
        <f t="shared" si="19"/>
        <v>9.1312370359998933</v>
      </c>
      <c r="P74" s="856" t="str">
        <f t="shared" si="20"/>
        <v/>
      </c>
      <c r="Q74" s="855" t="str">
        <f t="shared" si="21"/>
        <v/>
      </c>
      <c r="S74" s="854"/>
    </row>
    <row r="75" spans="1:19" ht="17" x14ac:dyDescent="0.2">
      <c r="A75" s="145" t="s">
        <v>869</v>
      </c>
      <c r="B75" s="860" t="s">
        <v>94</v>
      </c>
      <c r="C75" s="827" t="str">
        <f t="shared" si="13"/>
        <v/>
      </c>
      <c r="D75" s="827" t="str">
        <f t="shared" si="14"/>
        <v/>
      </c>
      <c r="E75" s="856">
        <v>2.9184000000000001</v>
      </c>
      <c r="F75" s="856" t="s">
        <v>262</v>
      </c>
      <c r="G75" s="859" t="s">
        <v>262</v>
      </c>
      <c r="H75" s="827" t="str">
        <f t="shared" si="15"/>
        <v/>
      </c>
      <c r="I75" s="827" t="str">
        <f t="shared" si="16"/>
        <v/>
      </c>
      <c r="J75" s="858">
        <v>1.1673600000000002</v>
      </c>
      <c r="K75" s="858" t="s">
        <v>262</v>
      </c>
      <c r="L75" s="857" t="s">
        <v>262</v>
      </c>
      <c r="M75" s="827" t="str">
        <f t="shared" si="17"/>
        <v/>
      </c>
      <c r="N75" s="827" t="str">
        <f t="shared" si="18"/>
        <v/>
      </c>
      <c r="O75" s="856">
        <f t="shared" si="19"/>
        <v>1.7510399999999999</v>
      </c>
      <c r="P75" s="856" t="str">
        <f t="shared" si="20"/>
        <v/>
      </c>
      <c r="Q75" s="855" t="str">
        <f t="shared" si="21"/>
        <v/>
      </c>
      <c r="S75" s="854"/>
    </row>
    <row r="76" spans="1:19" ht="17" x14ac:dyDescent="0.2">
      <c r="A76" s="145" t="e">
        <v>#REF!</v>
      </c>
      <c r="B76" s="860" t="s">
        <v>95</v>
      </c>
      <c r="C76" s="827" t="str">
        <f t="shared" si="13"/>
        <v/>
      </c>
      <c r="D76" s="827" t="str">
        <f t="shared" si="14"/>
        <v/>
      </c>
      <c r="E76" s="856">
        <v>10.102600000000001</v>
      </c>
      <c r="F76" s="856" t="s">
        <v>262</v>
      </c>
      <c r="G76" s="859" t="s">
        <v>262</v>
      </c>
      <c r="H76" s="827" t="str">
        <f t="shared" si="15"/>
        <v/>
      </c>
      <c r="I76" s="827" t="str">
        <f t="shared" si="16"/>
        <v/>
      </c>
      <c r="J76" s="858">
        <v>3.7507153715351045</v>
      </c>
      <c r="K76" s="858" t="s">
        <v>262</v>
      </c>
      <c r="L76" s="857" t="s">
        <v>262</v>
      </c>
      <c r="M76" s="827" t="str">
        <f t="shared" si="17"/>
        <v/>
      </c>
      <c r="N76" s="827" t="str">
        <f t="shared" si="18"/>
        <v/>
      </c>
      <c r="O76" s="856">
        <f t="shared" si="19"/>
        <v>6.3518846284648962</v>
      </c>
      <c r="P76" s="856" t="str">
        <f t="shared" si="20"/>
        <v/>
      </c>
      <c r="Q76" s="855" t="str">
        <f t="shared" si="21"/>
        <v/>
      </c>
      <c r="S76" s="854"/>
    </row>
    <row r="77" spans="1:19" x14ac:dyDescent="0.2">
      <c r="A77" s="145" t="s">
        <v>870</v>
      </c>
      <c r="B77" s="860" t="s">
        <v>96</v>
      </c>
      <c r="C77" s="827">
        <f t="shared" si="13"/>
        <v>5.3662034595534234</v>
      </c>
      <c r="D77" s="827">
        <f t="shared" si="14"/>
        <v>0.10988418309679379</v>
      </c>
      <c r="E77" s="856">
        <v>2.7482700000000002</v>
      </c>
      <c r="F77" s="856">
        <v>134.21199999999999</v>
      </c>
      <c r="G77" s="859">
        <v>14.747775981786887</v>
      </c>
      <c r="H77" s="827">
        <f t="shared" si="15"/>
        <v>4.2653950159185055</v>
      </c>
      <c r="I77" s="827">
        <f t="shared" si="16"/>
        <v>0.22763157746295162</v>
      </c>
      <c r="J77" s="858">
        <v>1.0993080000000002</v>
      </c>
      <c r="K77" s="858">
        <v>20.599</v>
      </c>
      <c r="L77" s="857">
        <v>4.6889828641593407</v>
      </c>
      <c r="M77" s="827">
        <f t="shared" si="17"/>
        <v>6.1000757553100353</v>
      </c>
      <c r="N77" s="827">
        <f t="shared" si="18"/>
        <v>8.853558235085375E-2</v>
      </c>
      <c r="O77" s="856">
        <f t="shared" si="19"/>
        <v>1.648962</v>
      </c>
      <c r="P77" s="856">
        <f t="shared" si="20"/>
        <v>113.61299999999999</v>
      </c>
      <c r="Q77" s="855">
        <f t="shared" si="21"/>
        <v>10.058793117627546</v>
      </c>
      <c r="S77" s="854"/>
    </row>
    <row r="78" spans="1:19" ht="17" x14ac:dyDescent="0.2">
      <c r="A78" s="145" t="e">
        <v>#REF!</v>
      </c>
      <c r="B78" s="860" t="s">
        <v>97</v>
      </c>
      <c r="C78" s="827" t="str">
        <f t="shared" si="13"/>
        <v/>
      </c>
      <c r="D78" s="827" t="str">
        <f t="shared" si="14"/>
        <v/>
      </c>
      <c r="E78" s="856">
        <v>8.3486143999999998E-2</v>
      </c>
      <c r="F78" s="856" t="s">
        <v>262</v>
      </c>
      <c r="G78" s="859" t="s">
        <v>262</v>
      </c>
      <c r="H78" s="827" t="str">
        <f t="shared" si="15"/>
        <v/>
      </c>
      <c r="I78" s="827" t="str">
        <f t="shared" si="16"/>
        <v/>
      </c>
      <c r="J78" s="858">
        <v>3.3394457600000003E-2</v>
      </c>
      <c r="K78" s="858" t="s">
        <v>262</v>
      </c>
      <c r="L78" s="857" t="s">
        <v>262</v>
      </c>
      <c r="M78" s="827" t="str">
        <f t="shared" si="17"/>
        <v/>
      </c>
      <c r="N78" s="827" t="str">
        <f t="shared" si="18"/>
        <v/>
      </c>
      <c r="O78" s="856">
        <f t="shared" si="19"/>
        <v>5.0091686399999995E-2</v>
      </c>
      <c r="P78" s="856" t="str">
        <f t="shared" si="20"/>
        <v/>
      </c>
      <c r="Q78" s="855" t="str">
        <f t="shared" si="21"/>
        <v/>
      </c>
      <c r="S78" s="854"/>
    </row>
    <row r="79" spans="1:19" ht="17" x14ac:dyDescent="0.2">
      <c r="A79" s="145" t="s">
        <v>871</v>
      </c>
      <c r="B79" s="860" t="str">
        <f>+TableA1!A79</f>
        <v>Monaco</v>
      </c>
      <c r="C79" s="827" t="str">
        <f t="shared" si="13"/>
        <v/>
      </c>
      <c r="D79" s="827" t="str">
        <f t="shared" si="14"/>
        <v/>
      </c>
      <c r="E79" s="856">
        <v>1.0394000000000001</v>
      </c>
      <c r="F79" s="856" t="s">
        <v>262</v>
      </c>
      <c r="G79" s="859" t="s">
        <v>262</v>
      </c>
      <c r="H79" s="827" t="str">
        <f t="shared" si="15"/>
        <v/>
      </c>
      <c r="I79" s="827" t="str">
        <f t="shared" si="16"/>
        <v/>
      </c>
      <c r="J79" s="858">
        <v>0.41576000000000007</v>
      </c>
      <c r="K79" s="858" t="s">
        <v>262</v>
      </c>
      <c r="L79" s="857" t="s">
        <v>262</v>
      </c>
      <c r="M79" s="827" t="str">
        <f t="shared" si="17"/>
        <v/>
      </c>
      <c r="N79" s="827" t="str">
        <f t="shared" si="18"/>
        <v/>
      </c>
      <c r="O79" s="856">
        <f t="shared" si="19"/>
        <v>0.62363999999999997</v>
      </c>
      <c r="P79" s="856" t="str">
        <f t="shared" si="20"/>
        <v/>
      </c>
      <c r="Q79" s="855" t="str">
        <f t="shared" si="21"/>
        <v/>
      </c>
      <c r="S79" s="854"/>
    </row>
    <row r="80" spans="1:19" ht="17" x14ac:dyDescent="0.2">
      <c r="A80" s="145" t="s">
        <v>872</v>
      </c>
      <c r="B80" s="860" t="s">
        <v>99</v>
      </c>
      <c r="C80" s="827" t="str">
        <f t="shared" si="13"/>
        <v/>
      </c>
      <c r="D80" s="827" t="str">
        <f t="shared" si="14"/>
        <v/>
      </c>
      <c r="E80" s="856">
        <v>0.14390500000000001</v>
      </c>
      <c r="F80" s="856" t="s">
        <v>262</v>
      </c>
      <c r="G80" s="859">
        <v>0</v>
      </c>
      <c r="H80" s="827" t="str">
        <f t="shared" si="15"/>
        <v/>
      </c>
      <c r="I80" s="827" t="str">
        <f t="shared" si="16"/>
        <v/>
      </c>
      <c r="J80" s="858">
        <v>5.7562000000000002E-2</v>
      </c>
      <c r="K80" s="858" t="s">
        <v>262</v>
      </c>
      <c r="L80" s="857" t="s">
        <v>262</v>
      </c>
      <c r="M80" s="827" t="str">
        <f t="shared" si="17"/>
        <v/>
      </c>
      <c r="N80" s="827" t="str">
        <f t="shared" si="18"/>
        <v/>
      </c>
      <c r="O80" s="856">
        <f t="shared" si="19"/>
        <v>8.6343000000000003E-2</v>
      </c>
      <c r="P80" s="856" t="str">
        <f t="shared" si="20"/>
        <v/>
      </c>
      <c r="Q80" s="855" t="str">
        <f t="shared" si="21"/>
        <v/>
      </c>
      <c r="S80" s="854"/>
    </row>
    <row r="81" spans="1:19" ht="17" x14ac:dyDescent="0.2">
      <c r="A81" s="145" t="s">
        <v>873</v>
      </c>
      <c r="B81" s="860" t="s">
        <v>100</v>
      </c>
      <c r="C81" s="827">
        <f t="shared" si="13"/>
        <v>39.175420846309876</v>
      </c>
      <c r="D81" s="827">
        <f t="shared" si="14"/>
        <v>4.0537821446121156E-2</v>
      </c>
      <c r="E81" s="856">
        <v>0.36308000000000001</v>
      </c>
      <c r="F81" s="856">
        <v>350.87755812884683</v>
      </c>
      <c r="G81" s="859">
        <v>14.22381180087819</v>
      </c>
      <c r="H81" s="827" t="str">
        <f t="shared" si="15"/>
        <v/>
      </c>
      <c r="I81" s="827" t="str">
        <f t="shared" si="16"/>
        <v/>
      </c>
      <c r="J81" s="858">
        <v>0.18809294843367241</v>
      </c>
      <c r="K81" s="858" t="s">
        <v>262</v>
      </c>
      <c r="L81" s="857" t="s">
        <v>262</v>
      </c>
      <c r="M81" s="827" t="str">
        <f t="shared" si="17"/>
        <v/>
      </c>
      <c r="N81" s="827" t="str">
        <f t="shared" si="18"/>
        <v/>
      </c>
      <c r="O81" s="856">
        <f t="shared" si="19"/>
        <v>0.1749870515663276</v>
      </c>
      <c r="P81" s="856" t="str">
        <f t="shared" si="20"/>
        <v/>
      </c>
      <c r="Q81" s="855" t="str">
        <f t="shared" si="21"/>
        <v/>
      </c>
      <c r="S81" s="854"/>
    </row>
    <row r="82" spans="1:19" ht="17" x14ac:dyDescent="0.2">
      <c r="A82" s="145" t="s">
        <v>874</v>
      </c>
      <c r="B82" s="860" t="str">
        <f>+TableA1!A82</f>
        <v>Seychelles</v>
      </c>
      <c r="C82" s="827" t="str">
        <f t="shared" si="13"/>
        <v/>
      </c>
      <c r="D82" s="827" t="str">
        <f t="shared" si="14"/>
        <v/>
      </c>
      <c r="E82" s="856">
        <v>6.9840823999999996E-2</v>
      </c>
      <c r="F82" s="856" t="s">
        <v>262</v>
      </c>
      <c r="G82" s="859" t="s">
        <v>262</v>
      </c>
      <c r="H82" s="827" t="str">
        <f t="shared" si="15"/>
        <v/>
      </c>
      <c r="I82" s="827" t="str">
        <f t="shared" si="16"/>
        <v/>
      </c>
      <c r="J82" s="858">
        <v>4.0218179796021394E-2</v>
      </c>
      <c r="K82" s="858" t="s">
        <v>262</v>
      </c>
      <c r="L82" s="857" t="s">
        <v>262</v>
      </c>
      <c r="M82" s="827" t="str">
        <f t="shared" si="17"/>
        <v/>
      </c>
      <c r="N82" s="827" t="str">
        <f t="shared" si="18"/>
        <v/>
      </c>
      <c r="O82" s="856">
        <f t="shared" si="19"/>
        <v>2.9622644203978601E-2</v>
      </c>
      <c r="P82" s="856" t="str">
        <f t="shared" si="20"/>
        <v/>
      </c>
      <c r="Q82" s="855" t="str">
        <f t="shared" si="21"/>
        <v/>
      </c>
      <c r="S82" s="854"/>
    </row>
    <row r="83" spans="1:19" x14ac:dyDescent="0.2">
      <c r="A83" s="145" t="s">
        <v>875</v>
      </c>
      <c r="B83" s="860" t="s">
        <v>102</v>
      </c>
      <c r="C83" s="827">
        <f t="shared" si="13"/>
        <v>2.6155068597736881</v>
      </c>
      <c r="D83" s="827">
        <f t="shared" si="14"/>
        <v>0.13975175828398759</v>
      </c>
      <c r="E83" s="856">
        <v>103.461294</v>
      </c>
      <c r="F83" s="856">
        <v>1936.3171347595662</v>
      </c>
      <c r="G83" s="859">
        <v>270.60372417806229</v>
      </c>
      <c r="H83" s="827">
        <f t="shared" si="15"/>
        <v>2.2711700000000001</v>
      </c>
      <c r="I83" s="827">
        <f t="shared" si="16"/>
        <v>0.33081796705761152</v>
      </c>
      <c r="J83" s="858">
        <v>41.384517600000002</v>
      </c>
      <c r="K83" s="858">
        <v>284.11780555202904</v>
      </c>
      <c r="L83" s="857">
        <v>93.991274837592016</v>
      </c>
      <c r="M83" s="827">
        <f t="shared" si="17"/>
        <v>2.8450647662894797</v>
      </c>
      <c r="N83" s="827">
        <f t="shared" si="18"/>
        <v>0.10689536438994977</v>
      </c>
      <c r="O83" s="856">
        <f t="shared" si="19"/>
        <v>62.076776399999993</v>
      </c>
      <c r="P83" s="856">
        <f t="shared" si="20"/>
        <v>1652.1993292075372</v>
      </c>
      <c r="Q83" s="855">
        <f t="shared" si="21"/>
        <v>176.61244934047028</v>
      </c>
      <c r="S83" s="854"/>
    </row>
    <row r="84" spans="1:19" ht="17" x14ac:dyDescent="0.2">
      <c r="A84" s="145" t="s">
        <v>876</v>
      </c>
      <c r="B84" s="860" t="str">
        <f>+TableA1!A84</f>
        <v>St. Kitts and Nevis</v>
      </c>
      <c r="C84" s="827" t="str">
        <f t="shared" si="13"/>
        <v/>
      </c>
      <c r="D84" s="827" t="str">
        <f t="shared" si="14"/>
        <v/>
      </c>
      <c r="E84" s="856">
        <v>7.3737880000000006E-2</v>
      </c>
      <c r="F84" s="856" t="s">
        <v>262</v>
      </c>
      <c r="G84" s="859" t="s">
        <v>262</v>
      </c>
      <c r="H84" s="827" t="str">
        <f t="shared" si="15"/>
        <v/>
      </c>
      <c r="I84" s="827" t="str">
        <f t="shared" si="16"/>
        <v/>
      </c>
      <c r="J84" s="858">
        <v>2.9495152000000004E-2</v>
      </c>
      <c r="K84" s="858" t="s">
        <v>262</v>
      </c>
      <c r="L84" s="857" t="s">
        <v>262</v>
      </c>
      <c r="M84" s="827" t="str">
        <f t="shared" si="17"/>
        <v/>
      </c>
      <c r="N84" s="827" t="str">
        <f t="shared" si="18"/>
        <v/>
      </c>
      <c r="O84" s="856">
        <f t="shared" si="19"/>
        <v>4.4242728000000002E-2</v>
      </c>
      <c r="P84" s="856" t="str">
        <f t="shared" si="20"/>
        <v/>
      </c>
      <c r="Q84" s="855" t="str">
        <f t="shared" si="21"/>
        <v/>
      </c>
      <c r="S84" s="854"/>
    </row>
    <row r="85" spans="1:19" ht="17" x14ac:dyDescent="0.2">
      <c r="A85" s="145" t="s">
        <v>877</v>
      </c>
      <c r="B85" s="860" t="str">
        <f>+TableA1!A85</f>
        <v>St. Lucia</v>
      </c>
      <c r="C85" s="827" t="str">
        <f t="shared" si="13"/>
        <v/>
      </c>
      <c r="D85" s="827" t="str">
        <f t="shared" si="14"/>
        <v/>
      </c>
      <c r="E85" s="856">
        <v>0.115233</v>
      </c>
      <c r="F85" s="856">
        <v>56.083805366697902</v>
      </c>
      <c r="G85" s="859" t="s">
        <v>262</v>
      </c>
      <c r="H85" s="827" t="str">
        <f t="shared" si="15"/>
        <v/>
      </c>
      <c r="I85" s="827" t="str">
        <f t="shared" si="16"/>
        <v/>
      </c>
      <c r="J85" s="858">
        <v>4.6093200000000001E-2</v>
      </c>
      <c r="K85" s="858" t="s">
        <v>262</v>
      </c>
      <c r="L85" s="857" t="s">
        <v>262</v>
      </c>
      <c r="M85" s="827" t="str">
        <f t="shared" si="17"/>
        <v/>
      </c>
      <c r="N85" s="827" t="str">
        <f t="shared" si="18"/>
        <v/>
      </c>
      <c r="O85" s="856">
        <f t="shared" si="19"/>
        <v>6.9139800000000001E-2</v>
      </c>
      <c r="P85" s="856" t="str">
        <f t="shared" si="20"/>
        <v/>
      </c>
      <c r="Q85" s="855" t="str">
        <f t="shared" si="21"/>
        <v/>
      </c>
      <c r="S85" s="854"/>
    </row>
    <row r="86" spans="1:19" ht="17" x14ac:dyDescent="0.2">
      <c r="A86" s="145" t="s">
        <v>878</v>
      </c>
      <c r="B86" s="860" t="str">
        <f>+TableA1!A86</f>
        <v>St. Vincent and the Grenadines</v>
      </c>
      <c r="C86" s="827" t="str">
        <f t="shared" si="13"/>
        <v/>
      </c>
      <c r="D86" s="827" t="str">
        <f t="shared" si="14"/>
        <v/>
      </c>
      <c r="E86" s="856">
        <v>7.3914943999999996E-2</v>
      </c>
      <c r="F86" s="856">
        <v>33.117369386318295</v>
      </c>
      <c r="G86" s="859" t="s">
        <v>262</v>
      </c>
      <c r="H86" s="827" t="str">
        <f t="shared" si="15"/>
        <v/>
      </c>
      <c r="I86" s="827" t="str">
        <f t="shared" si="16"/>
        <v/>
      </c>
      <c r="J86" s="858">
        <v>2.9565977600000001E-2</v>
      </c>
      <c r="K86" s="858" t="s">
        <v>262</v>
      </c>
      <c r="L86" s="857" t="s">
        <v>262</v>
      </c>
      <c r="M86" s="827" t="str">
        <f t="shared" si="17"/>
        <v/>
      </c>
      <c r="N86" s="827" t="str">
        <f t="shared" si="18"/>
        <v/>
      </c>
      <c r="O86" s="856">
        <f t="shared" si="19"/>
        <v>4.4348966399999995E-2</v>
      </c>
      <c r="P86" s="856" t="str">
        <f t="shared" si="20"/>
        <v/>
      </c>
      <c r="Q86" s="855" t="str">
        <f t="shared" si="21"/>
        <v/>
      </c>
      <c r="S86" s="854"/>
    </row>
    <row r="87" spans="1:19" ht="17" x14ac:dyDescent="0.2">
      <c r="A87" s="145" t="s">
        <v>879</v>
      </c>
      <c r="B87" s="860" t="str">
        <f>+TableA1!A87</f>
        <v>Turks and Caicos</v>
      </c>
      <c r="C87" s="827" t="str">
        <f t="shared" si="13"/>
        <v/>
      </c>
      <c r="D87" s="827" t="str">
        <f t="shared" si="14"/>
        <v/>
      </c>
      <c r="E87" s="856">
        <v>0.114443</v>
      </c>
      <c r="F87" s="856" t="s">
        <v>262</v>
      </c>
      <c r="G87" s="859" t="s">
        <v>262</v>
      </c>
      <c r="H87" s="827" t="str">
        <f t="shared" si="15"/>
        <v/>
      </c>
      <c r="I87" s="827" t="str">
        <f t="shared" si="16"/>
        <v/>
      </c>
      <c r="J87" s="861">
        <v>4.5777200000000004E-2</v>
      </c>
      <c r="K87" s="858" t="s">
        <v>262</v>
      </c>
      <c r="L87" s="857" t="s">
        <v>262</v>
      </c>
      <c r="M87" s="827" t="str">
        <f t="shared" si="17"/>
        <v/>
      </c>
      <c r="N87" s="827" t="str">
        <f t="shared" si="18"/>
        <v/>
      </c>
      <c r="O87" s="856">
        <f t="shared" si="19"/>
        <v>6.8665799999999999E-2</v>
      </c>
      <c r="P87" s="856" t="str">
        <f t="shared" si="20"/>
        <v/>
      </c>
      <c r="Q87" s="855" t="str">
        <f t="shared" si="21"/>
        <v/>
      </c>
      <c r="S87" s="854"/>
    </row>
    <row r="88" spans="1:19" x14ac:dyDescent="0.2">
      <c r="A88" s="145" t="s">
        <v>880</v>
      </c>
      <c r="B88" s="860" t="str">
        <f>+TableA1!A88</f>
        <v>Panama</v>
      </c>
      <c r="C88" s="827">
        <f t="shared" si="13"/>
        <v>4.9029684997175886</v>
      </c>
      <c r="D88" s="827">
        <f t="shared" si="14"/>
        <v>4.6619983642402885E-2</v>
      </c>
      <c r="E88" s="856">
        <v>10.2681</v>
      </c>
      <c r="F88" s="856">
        <v>1079.8839235576218</v>
      </c>
      <c r="G88" s="859">
        <v>50.344170851950174</v>
      </c>
      <c r="H88" s="827">
        <f t="shared" si="15"/>
        <v>4.5942299999999996</v>
      </c>
      <c r="I88" s="827">
        <f t="shared" si="16"/>
        <v>0.29853202215285468</v>
      </c>
      <c r="J88" s="858">
        <v>1.9793235988718809</v>
      </c>
      <c r="K88" s="858">
        <v>30.460611200325818</v>
      </c>
      <c r="L88" s="857">
        <v>9.0934678576451606</v>
      </c>
      <c r="M88" s="827">
        <f t="shared" si="17"/>
        <v>4.9766939048676369</v>
      </c>
      <c r="N88" s="827">
        <f t="shared" si="18"/>
        <v>3.9307972777586277E-2</v>
      </c>
      <c r="O88" s="856">
        <f t="shared" si="19"/>
        <v>8.2887764011281195</v>
      </c>
      <c r="P88" s="856">
        <f t="shared" si="20"/>
        <v>1049.423312357296</v>
      </c>
      <c r="Q88" s="855">
        <f t="shared" si="21"/>
        <v>41.250702994305016</v>
      </c>
      <c r="S88" s="854"/>
    </row>
    <row r="89" spans="1:19" x14ac:dyDescent="0.2">
      <c r="A89" s="145" t="s">
        <v>881</v>
      </c>
      <c r="B89" s="860" t="s">
        <v>108</v>
      </c>
      <c r="C89" s="827">
        <f t="shared" si="13"/>
        <v>4.3912528815495406</v>
      </c>
      <c r="D89" s="827">
        <f t="shared" si="14"/>
        <v>0.14792782283040815</v>
      </c>
      <c r="E89" s="856">
        <v>23.088800000000003</v>
      </c>
      <c r="F89" s="856">
        <v>685.39344114973017</v>
      </c>
      <c r="G89" s="859">
        <f>+L89+Q89</f>
        <v>101.38875953152105</v>
      </c>
      <c r="H89" s="827">
        <f t="shared" si="15"/>
        <v>6.2435226334310059</v>
      </c>
      <c r="I89" s="827">
        <f t="shared" si="16"/>
        <v>0.24695258440129056</v>
      </c>
      <c r="J89" s="858">
        <v>2.5626558818459046</v>
      </c>
      <c r="K89" s="858">
        <v>64.789765366457871</v>
      </c>
      <c r="L89" s="857">
        <v>16</v>
      </c>
      <c r="M89" s="827">
        <v>4.16</v>
      </c>
      <c r="N89" s="827">
        <f t="shared" si="18"/>
        <v>0.13758983851288142</v>
      </c>
      <c r="O89" s="856">
        <f t="shared" si="19"/>
        <v>20.526144118154097</v>
      </c>
      <c r="P89" s="856">
        <f>+IFERROR(IF(AND(F89&gt;0,K89&gt;0),F89-K89,""),"")</f>
        <v>620.60367578327225</v>
      </c>
      <c r="Q89" s="855">
        <f>+O89*M89</f>
        <v>85.388759531521046</v>
      </c>
      <c r="R89" s="853"/>
      <c r="S89" s="854"/>
    </row>
    <row r="90" spans="1:19" ht="40" customHeight="1" x14ac:dyDescent="0.2">
      <c r="A90" s="853" t="e">
        <v>#REF!</v>
      </c>
      <c r="B90" s="1691" t="s">
        <v>155</v>
      </c>
      <c r="C90" s="1692"/>
      <c r="D90" s="1692"/>
      <c r="E90" s="1693"/>
      <c r="F90" s="1693"/>
      <c r="G90" s="1694"/>
      <c r="H90" s="1692"/>
      <c r="I90" s="1692"/>
      <c r="J90" s="1693"/>
      <c r="K90" s="1693"/>
      <c r="L90" s="1695"/>
      <c r="M90" s="1692"/>
      <c r="N90" s="1692"/>
      <c r="O90" s="1696"/>
      <c r="P90" s="1696"/>
      <c r="Q90" s="1697"/>
      <c r="R90" s="853"/>
    </row>
    <row r="91" spans="1:19" ht="40" customHeight="1" thickBot="1" x14ac:dyDescent="0.25">
      <c r="A91" s="853" t="e">
        <v>#REF!</v>
      </c>
      <c r="B91" s="852" t="s">
        <v>110</v>
      </c>
      <c r="C91" s="822"/>
      <c r="D91" s="822"/>
      <c r="E91" s="850"/>
      <c r="F91" s="850"/>
      <c r="G91" s="851"/>
      <c r="H91" s="822"/>
      <c r="I91" s="822"/>
      <c r="J91" s="850"/>
      <c r="K91" s="850"/>
      <c r="L91" s="849"/>
      <c r="M91" s="822"/>
      <c r="N91" s="822"/>
      <c r="O91" s="848"/>
      <c r="P91" s="848"/>
      <c r="Q91" s="847"/>
    </row>
    <row r="92" spans="1:19" ht="18" customHeight="1" x14ac:dyDescent="0.2">
      <c r="A92" s="145" t="e">
        <v>#REF!</v>
      </c>
      <c r="B92" s="846"/>
      <c r="C92" s="845"/>
      <c r="D92" s="845"/>
      <c r="E92" s="845"/>
      <c r="F92" s="845"/>
      <c r="G92" s="845"/>
      <c r="H92" s="845"/>
      <c r="I92" s="845"/>
      <c r="J92" s="845"/>
      <c r="K92" s="845"/>
      <c r="L92" s="845"/>
      <c r="M92" s="844"/>
      <c r="N92" s="844"/>
      <c r="O92" s="843"/>
      <c r="P92" s="843"/>
      <c r="Q92" s="842"/>
    </row>
    <row r="93" spans="1:19" s="838" customFormat="1" ht="17" thickBot="1" x14ac:dyDescent="0.25">
      <c r="A93" s="145" t="e">
        <v>#REF!</v>
      </c>
      <c r="B93" s="841"/>
      <c r="C93" s="837"/>
      <c r="D93" s="837"/>
      <c r="E93" s="837"/>
      <c r="F93" s="837"/>
      <c r="G93" s="837"/>
      <c r="H93" s="837"/>
      <c r="I93" s="837"/>
      <c r="J93" s="837"/>
      <c r="K93" s="837"/>
      <c r="L93" s="837"/>
      <c r="M93" s="837"/>
      <c r="N93" s="837"/>
      <c r="O93" s="837"/>
      <c r="P93" s="837"/>
      <c r="Q93" s="840"/>
      <c r="R93" s="145"/>
    </row>
    <row r="94" spans="1:19" s="838" customFormat="1" ht="66" customHeight="1" thickBot="1" x14ac:dyDescent="0.25">
      <c r="A94" s="145"/>
      <c r="B94" s="2362" t="s">
        <v>882</v>
      </c>
      <c r="C94" s="2363"/>
      <c r="D94" s="2363"/>
      <c r="E94" s="2363"/>
      <c r="F94" s="2363"/>
      <c r="G94" s="2363"/>
      <c r="H94" s="2363"/>
      <c r="I94" s="2363"/>
      <c r="J94" s="2363"/>
      <c r="K94" s="2363"/>
      <c r="L94" s="2363"/>
      <c r="M94" s="2363"/>
      <c r="N94" s="2363"/>
      <c r="O94" s="2363"/>
      <c r="P94" s="2363"/>
      <c r="Q94" s="2364"/>
      <c r="R94" s="145"/>
    </row>
    <row r="95" spans="1:19" s="838" customFormat="1" x14ac:dyDescent="0.2">
      <c r="A95" s="145"/>
      <c r="B95" s="837"/>
      <c r="C95" s="837"/>
      <c r="D95" s="837"/>
      <c r="E95" s="837"/>
      <c r="F95" s="837"/>
      <c r="G95" s="837"/>
      <c r="H95" s="837"/>
      <c r="I95" s="837"/>
      <c r="J95" s="837"/>
      <c r="K95" s="837"/>
      <c r="L95" s="837"/>
      <c r="M95" s="837"/>
      <c r="N95" s="837"/>
      <c r="O95" s="837"/>
      <c r="P95" s="837"/>
      <c r="R95" s="145"/>
    </row>
    <row r="96" spans="1:19" s="838" customFormat="1" x14ac:dyDescent="0.2">
      <c r="A96" s="145"/>
      <c r="B96" s="837"/>
      <c r="C96" s="837"/>
      <c r="D96" s="837"/>
      <c r="E96" s="837"/>
      <c r="F96" s="837"/>
      <c r="G96" s="837"/>
      <c r="H96" s="837"/>
      <c r="I96" s="837"/>
      <c r="J96" s="837"/>
      <c r="K96" s="837"/>
      <c r="L96" s="837"/>
      <c r="M96" s="837"/>
      <c r="N96" s="837"/>
      <c r="O96" s="837"/>
      <c r="P96" s="837"/>
      <c r="R96" s="145"/>
    </row>
    <row r="97" spans="1:18" s="838" customFormat="1" x14ac:dyDescent="0.2">
      <c r="A97" s="145"/>
      <c r="B97" s="837"/>
      <c r="C97" s="837"/>
      <c r="D97" s="837"/>
      <c r="E97" s="837"/>
      <c r="F97" s="837"/>
      <c r="G97" s="837"/>
      <c r="H97" s="837"/>
      <c r="I97" s="837"/>
      <c r="J97" s="837"/>
      <c r="K97" s="837"/>
      <c r="L97" s="837"/>
      <c r="M97" s="837"/>
      <c r="N97" s="837"/>
      <c r="O97" s="837"/>
      <c r="P97" s="837"/>
      <c r="R97" s="145"/>
    </row>
    <row r="98" spans="1:18" s="838" customFormat="1" x14ac:dyDescent="0.2">
      <c r="A98" s="145"/>
      <c r="B98" s="837"/>
      <c r="C98" s="837"/>
      <c r="D98" s="837"/>
      <c r="E98" s="837"/>
      <c r="F98" s="837"/>
      <c r="G98" s="837"/>
      <c r="H98" s="837"/>
      <c r="I98" s="837"/>
      <c r="J98" s="837"/>
      <c r="K98" s="837"/>
      <c r="L98" s="837"/>
      <c r="M98" s="837"/>
      <c r="N98" s="837"/>
      <c r="O98" s="837"/>
      <c r="P98" s="837"/>
      <c r="R98" s="145"/>
    </row>
    <row r="99" spans="1:18" x14ac:dyDescent="0.2">
      <c r="B99" s="839"/>
    </row>
    <row r="100" spans="1:18" s="838" customFormat="1" x14ac:dyDescent="0.2">
      <c r="A100" s="145"/>
      <c r="B100" s="837"/>
      <c r="C100" s="837"/>
      <c r="D100" s="837"/>
      <c r="E100" s="837"/>
      <c r="F100" s="837"/>
      <c r="G100" s="837"/>
      <c r="H100" s="837"/>
      <c r="I100" s="837"/>
      <c r="J100" s="837"/>
      <c r="K100" s="837"/>
      <c r="L100" s="837"/>
      <c r="M100" s="837"/>
      <c r="N100" s="837"/>
      <c r="O100" s="837"/>
      <c r="P100" s="837"/>
      <c r="R100" s="145"/>
    </row>
  </sheetData>
  <mergeCells count="11">
    <mergeCell ref="N7:N8"/>
    <mergeCell ref="B94:Q94"/>
    <mergeCell ref="B3:Q3"/>
    <mergeCell ref="C7:C8"/>
    <mergeCell ref="H7:H8"/>
    <mergeCell ref="M7:M8"/>
    <mergeCell ref="C6:G6"/>
    <mergeCell ref="H6:L6"/>
    <mergeCell ref="M6:Q6"/>
    <mergeCell ref="D7:D8"/>
    <mergeCell ref="I7:I8"/>
  </mergeCells>
  <pageMargins left="0.75" right="0.75" top="1" bottom="1" header="0.5" footer="0.5"/>
  <pageSetup scale="63" fitToHeight="2" orientation="portrait" horizontalDpi="4294967292" verticalDpi="429496729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96"/>
  <sheetViews>
    <sheetView zoomScale="94" workbookViewId="0">
      <selection activeCell="B7" sqref="B7"/>
    </sheetView>
  </sheetViews>
  <sheetFormatPr baseColWidth="10" defaultColWidth="10.83203125" defaultRowHeight="16" x14ac:dyDescent="0.2"/>
  <cols>
    <col min="1" max="1" width="18.83203125" style="817" bestFit="1" customWidth="1"/>
    <col min="2" max="7" width="16.33203125" style="817" customWidth="1"/>
    <col min="8" max="8" width="21.1640625" style="817" bestFit="1" customWidth="1"/>
    <col min="9" max="16384" width="10.83203125" style="817"/>
  </cols>
  <sheetData>
    <row r="1" spans="1:14" ht="17" thickBot="1" x14ac:dyDescent="0.25"/>
    <row r="2" spans="1:14" x14ac:dyDescent="0.2">
      <c r="A2" s="2374" t="s">
        <v>883</v>
      </c>
      <c r="B2" s="2375"/>
      <c r="C2" s="2375"/>
      <c r="D2" s="2375"/>
      <c r="E2" s="2375"/>
      <c r="F2" s="2375"/>
      <c r="G2" s="2375"/>
      <c r="H2" s="2376"/>
    </row>
    <row r="3" spans="1:14" x14ac:dyDescent="0.2">
      <c r="A3" s="2377"/>
      <c r="B3" s="2378"/>
      <c r="C3" s="2378"/>
      <c r="D3" s="2378"/>
      <c r="E3" s="2378"/>
      <c r="F3" s="2378"/>
      <c r="G3" s="2378"/>
      <c r="H3" s="2379"/>
    </row>
    <row r="4" spans="1:14" ht="20" x14ac:dyDescent="0.2">
      <c r="A4" s="1863"/>
      <c r="B4" s="892" t="s">
        <v>1</v>
      </c>
      <c r="C4" s="892" t="s">
        <v>2</v>
      </c>
      <c r="D4" s="892" t="s">
        <v>3</v>
      </c>
      <c r="E4" s="892" t="s">
        <v>4</v>
      </c>
      <c r="F4" s="892" t="s">
        <v>5</v>
      </c>
      <c r="G4" s="892" t="s">
        <v>6</v>
      </c>
      <c r="H4" s="836" t="s">
        <v>7</v>
      </c>
      <c r="K4" s="891"/>
      <c r="L4" s="891"/>
      <c r="M4" s="891"/>
    </row>
    <row r="5" spans="1:14" x14ac:dyDescent="0.2">
      <c r="A5" s="1698"/>
      <c r="B5" s="2373" t="s">
        <v>884</v>
      </c>
      <c r="C5" s="2373"/>
      <c r="D5" s="2373"/>
      <c r="E5" s="2372" t="s">
        <v>885</v>
      </c>
      <c r="F5" s="2372"/>
      <c r="G5" s="2372"/>
      <c r="H5" s="1699" t="s">
        <v>886</v>
      </c>
      <c r="K5" s="891"/>
      <c r="L5" s="891"/>
      <c r="M5" s="891"/>
    </row>
    <row r="6" spans="1:14" x14ac:dyDescent="0.2">
      <c r="A6" s="835"/>
      <c r="B6" s="834" t="s">
        <v>887</v>
      </c>
      <c r="C6" s="832" t="s">
        <v>888</v>
      </c>
      <c r="D6" s="831" t="s">
        <v>889</v>
      </c>
      <c r="E6" s="833" t="s">
        <v>887</v>
      </c>
      <c r="F6" s="832" t="s">
        <v>888</v>
      </c>
      <c r="G6" s="831" t="s">
        <v>889</v>
      </c>
      <c r="H6" s="830" t="s">
        <v>887</v>
      </c>
      <c r="K6" s="891"/>
      <c r="L6" s="891"/>
      <c r="M6" s="891"/>
    </row>
    <row r="7" spans="1:14" x14ac:dyDescent="0.2">
      <c r="A7" s="828" t="s">
        <v>890</v>
      </c>
      <c r="B7" s="893">
        <f>+D7/C7</f>
        <v>3.0527454726222341</v>
      </c>
      <c r="C7" s="894">
        <f>+'Table E1'!J9+'Table E1'!J45+'Table E1'!J60+'Table E1'!J62+'Table E1'!J67+'Table E1'!J72+'Table E1'!J83+'Table E1'!J77+'Table E1'!J88+'Table E1'!J89</f>
        <v>2770.3084214166402</v>
      </c>
      <c r="D7" s="829">
        <f>+'Table E1'!L9+'Table E1'!L45+'Table E1'!L60+'Table E1'!L62+'Table E1'!L67+'Table E1'!L72+'Table E1'!L83+'Table E1'!L77+'Table E1'!L88+'Table E1'!L89</f>
        <v>8457.046491246896</v>
      </c>
      <c r="E7" s="826">
        <f>+G7/F7</f>
        <v>2.8110776622283749</v>
      </c>
      <c r="F7" s="894">
        <f>+'Table E1'!O9+'Table E1'!O45+'Table E1'!O60+'Table E1'!O62+'Table E1'!O67+'Table E1'!O72+'Table E1'!O83+'Table E1'!O77+'Table E1'!O88+'Table E1'!O89</f>
        <v>17513.180188482173</v>
      </c>
      <c r="G7" s="829">
        <f>+'Table E1'!Q9+'Table E1'!Q45+'Table E1'!Q60+'Table E1'!Q62+'Table E1'!Q67+'Table E1'!Q72+'Table E1'!Q83+'Table E1'!Q77+'Table E1'!Q88+'Table E1'!Q89</f>
        <v>49230.909622422754</v>
      </c>
      <c r="H7" s="824">
        <f>+B7/E7</f>
        <v>1.0859698092447172</v>
      </c>
      <c r="K7" s="891"/>
      <c r="L7" s="891"/>
      <c r="M7" s="891"/>
    </row>
    <row r="8" spans="1:14" x14ac:dyDescent="0.2">
      <c r="A8" s="828" t="s">
        <v>116</v>
      </c>
      <c r="B8" s="893">
        <f>+D8/C8</f>
        <v>2.4524009228573944</v>
      </c>
      <c r="C8" s="895">
        <f>+'Table E1'!J12+'Table E1'!J24++'Table E1'!J30+'Table E1'!J41+'Table E1'!J32+'Table E1'!J60+'Table E1'!J62+'Table E1'!J72+'Table E1'!J77+'Table E1'!J83+'Table E1'!J88+'Table E1'!J89</f>
        <v>241.63390424752185</v>
      </c>
      <c r="D8" s="825">
        <f>+'Table E1'!L12+'Table E1'!L24++'Table E1'!L30+'Table E1'!L41+'Table E1'!L32+'Table E1'!L60+'Table E1'!L62+'Table E1'!L67+'Table E1'!L72+'Table E1'!L77+'Table E1'!L83+'Table E1'!L88+'Table E1'!L89</f>
        <v>592.58320977025789</v>
      </c>
      <c r="E8" s="826">
        <f>+G8/F8</f>
        <v>2.708681523099028</v>
      </c>
      <c r="F8" s="895">
        <f>+'Table E1'!O12+'Table E1'!O24++'Table E1'!O30+'Table E1'!O41+'Table E1'!O32+'Table E1'!O60+'Table E1'!O62+'Table E1'!O72+'Table E1'!O77+'Table E1'!O83+'Table E1'!O88+'Table E1'!O89</f>
        <v>871.07808662809578</v>
      </c>
      <c r="G8" s="825">
        <f>+'Table E1'!Q12+'Table E1'!Q24++'Table E1'!Q30+'Table E1'!Q41+'Table E1'!Q32+'Table E1'!Q60+'Table E1'!Q62+'Table E1'!Q67+'Table E1'!Q72+'Table E1'!Q77+'Table E1'!Q83+'Table E1'!Q88+'Table E1'!Q89</f>
        <v>2359.4731184259776</v>
      </c>
      <c r="H8" s="824">
        <f>+B8/E8</f>
        <v>0.90538548070117131</v>
      </c>
      <c r="K8" s="891"/>
      <c r="L8" s="891"/>
      <c r="M8" s="891"/>
    </row>
    <row r="9" spans="1:14" ht="17" thickBot="1" x14ac:dyDescent="0.25">
      <c r="A9" s="823" t="s">
        <v>891</v>
      </c>
      <c r="B9" s="822">
        <f>+D9/C9</f>
        <v>3.1101129180836606</v>
      </c>
      <c r="C9" s="820">
        <f>+C7-C8</f>
        <v>2528.6745171691182</v>
      </c>
      <c r="D9" s="819">
        <f>+D7-D8</f>
        <v>7864.4632814766383</v>
      </c>
      <c r="E9" s="821">
        <f>+G9/F9</f>
        <v>2.8164372635819173</v>
      </c>
      <c r="F9" s="820">
        <f>+F7-F8</f>
        <v>16642.102101854078</v>
      </c>
      <c r="G9" s="819">
        <f>+G7-G8</f>
        <v>46871.436503996774</v>
      </c>
      <c r="H9" s="818">
        <f>+B9/E9</f>
        <v>1.1042720384008304</v>
      </c>
      <c r="K9" s="891"/>
      <c r="L9" s="891"/>
      <c r="M9" s="891"/>
    </row>
    <row r="10" spans="1:14" x14ac:dyDescent="0.2">
      <c r="G10" s="891"/>
      <c r="H10" s="891"/>
      <c r="I10" s="891"/>
      <c r="J10" s="891"/>
      <c r="K10" s="891"/>
      <c r="L10" s="891"/>
      <c r="M10" s="891"/>
      <c r="N10" s="891"/>
    </row>
    <row r="11" spans="1:14" x14ac:dyDescent="0.2">
      <c r="G11" s="891"/>
      <c r="H11" s="891"/>
      <c r="I11" s="891"/>
      <c r="J11" s="891"/>
      <c r="K11" s="891"/>
      <c r="L11" s="891"/>
      <c r="M11" s="891"/>
      <c r="N11" s="891"/>
    </row>
    <row r="12" spans="1:14" x14ac:dyDescent="0.2">
      <c r="G12" s="891"/>
      <c r="H12" s="891"/>
      <c r="I12" s="891"/>
      <c r="J12" s="891"/>
      <c r="K12" s="891"/>
      <c r="L12" s="891"/>
      <c r="M12" s="891"/>
      <c r="N12" s="891"/>
    </row>
    <row r="13" spans="1:14" x14ac:dyDescent="0.2">
      <c r="G13" s="891"/>
      <c r="H13" s="891"/>
      <c r="I13" s="891"/>
      <c r="J13" s="891"/>
      <c r="K13" s="891"/>
      <c r="L13" s="891"/>
      <c r="M13" s="891"/>
      <c r="N13" s="891"/>
    </row>
    <row r="14" spans="1:14" x14ac:dyDescent="0.2">
      <c r="G14" s="891"/>
      <c r="H14" s="891"/>
      <c r="I14" s="891"/>
      <c r="J14" s="891"/>
      <c r="K14" s="891"/>
      <c r="L14" s="891"/>
      <c r="M14" s="891"/>
      <c r="N14" s="891"/>
    </row>
    <row r="15" spans="1:14" x14ac:dyDescent="0.2">
      <c r="G15" s="891"/>
      <c r="H15" s="891"/>
      <c r="I15" s="891"/>
      <c r="J15" s="891"/>
      <c r="K15" s="891"/>
      <c r="L15" s="891"/>
      <c r="M15" s="891"/>
      <c r="N15" s="891"/>
    </row>
    <row r="16" spans="1:14" x14ac:dyDescent="0.2">
      <c r="G16" s="891"/>
      <c r="H16" s="891"/>
      <c r="I16" s="891"/>
      <c r="J16" s="891"/>
      <c r="K16" s="891"/>
      <c r="L16" s="891"/>
      <c r="M16" s="891"/>
      <c r="N16" s="891"/>
    </row>
    <row r="17" spans="7:14" x14ac:dyDescent="0.2">
      <c r="G17" s="891"/>
      <c r="H17" s="891"/>
      <c r="I17" s="891"/>
      <c r="J17" s="891"/>
      <c r="K17" s="891"/>
      <c r="L17" s="891"/>
      <c r="M17" s="891"/>
      <c r="N17" s="891"/>
    </row>
    <row r="18" spans="7:14" x14ac:dyDescent="0.2">
      <c r="G18" s="891"/>
      <c r="H18" s="891"/>
      <c r="I18" s="891"/>
      <c r="J18" s="891"/>
      <c r="K18" s="891"/>
      <c r="L18" s="891"/>
      <c r="M18" s="891"/>
      <c r="N18" s="891"/>
    </row>
    <row r="19" spans="7:14" x14ac:dyDescent="0.2">
      <c r="G19" s="891"/>
      <c r="H19" s="891"/>
      <c r="I19" s="891"/>
      <c r="J19" s="891"/>
      <c r="K19" s="891"/>
      <c r="L19" s="891"/>
      <c r="M19" s="891"/>
      <c r="N19" s="891"/>
    </row>
    <row r="20" spans="7:14" x14ac:dyDescent="0.2">
      <c r="G20" s="891"/>
      <c r="H20" s="891"/>
      <c r="I20" s="891"/>
      <c r="J20" s="891"/>
      <c r="K20" s="891"/>
      <c r="L20" s="891"/>
      <c r="M20" s="891"/>
      <c r="N20" s="891"/>
    </row>
    <row r="21" spans="7:14" x14ac:dyDescent="0.2">
      <c r="G21" s="891"/>
      <c r="H21" s="891"/>
      <c r="I21" s="891"/>
      <c r="J21" s="891"/>
      <c r="K21" s="891"/>
      <c r="L21" s="891"/>
      <c r="M21" s="891"/>
      <c r="N21" s="891"/>
    </row>
    <row r="22" spans="7:14" x14ac:dyDescent="0.2">
      <c r="G22" s="891"/>
      <c r="H22" s="891"/>
      <c r="I22" s="891"/>
      <c r="J22" s="891"/>
      <c r="K22" s="891"/>
      <c r="L22" s="891"/>
      <c r="M22" s="891"/>
      <c r="N22" s="891"/>
    </row>
    <row r="23" spans="7:14" x14ac:dyDescent="0.2">
      <c r="G23" s="891"/>
      <c r="H23" s="891"/>
      <c r="I23" s="891"/>
      <c r="J23" s="891"/>
      <c r="K23" s="891"/>
      <c r="L23" s="891"/>
      <c r="M23" s="891"/>
      <c r="N23" s="891"/>
    </row>
    <row r="24" spans="7:14" x14ac:dyDescent="0.2">
      <c r="G24" s="891"/>
      <c r="H24" s="891"/>
      <c r="I24" s="891"/>
      <c r="J24" s="891"/>
      <c r="K24" s="891"/>
      <c r="L24" s="891"/>
      <c r="M24" s="891"/>
      <c r="N24" s="891"/>
    </row>
    <row r="25" spans="7:14" x14ac:dyDescent="0.2">
      <c r="G25" s="891"/>
      <c r="H25" s="891"/>
      <c r="I25" s="891"/>
      <c r="J25" s="891"/>
      <c r="K25" s="891"/>
      <c r="L25" s="891"/>
      <c r="M25" s="891"/>
      <c r="N25" s="891"/>
    </row>
    <row r="26" spans="7:14" x14ac:dyDescent="0.2">
      <c r="G26" s="891"/>
      <c r="H26" s="891"/>
      <c r="I26" s="891"/>
      <c r="J26" s="891"/>
      <c r="K26" s="891"/>
      <c r="L26" s="891"/>
      <c r="M26" s="891"/>
      <c r="N26" s="891"/>
    </row>
    <row r="27" spans="7:14" x14ac:dyDescent="0.2">
      <c r="G27" s="891"/>
      <c r="H27" s="891"/>
      <c r="I27" s="891"/>
      <c r="J27" s="891"/>
      <c r="K27" s="891"/>
      <c r="L27" s="891"/>
      <c r="M27" s="891"/>
      <c r="N27" s="891"/>
    </row>
    <row r="28" spans="7:14" x14ac:dyDescent="0.2">
      <c r="G28" s="891"/>
      <c r="H28" s="891"/>
      <c r="I28" s="891"/>
      <c r="J28" s="891"/>
      <c r="K28" s="891"/>
      <c r="L28" s="891"/>
      <c r="M28" s="891"/>
      <c r="N28" s="891"/>
    </row>
    <row r="29" spans="7:14" x14ac:dyDescent="0.2">
      <c r="G29" s="891"/>
      <c r="H29" s="891"/>
      <c r="I29" s="891"/>
      <c r="J29" s="891"/>
      <c r="K29" s="891"/>
      <c r="L29" s="891"/>
      <c r="M29" s="891"/>
      <c r="N29" s="891"/>
    </row>
    <row r="30" spans="7:14" x14ac:dyDescent="0.2">
      <c r="G30" s="891"/>
      <c r="H30" s="891"/>
      <c r="I30" s="891"/>
      <c r="J30" s="891"/>
      <c r="K30" s="891"/>
      <c r="L30" s="891"/>
      <c r="M30" s="891"/>
      <c r="N30" s="891"/>
    </row>
    <row r="31" spans="7:14" x14ac:dyDescent="0.2">
      <c r="G31" s="891"/>
      <c r="H31" s="891"/>
      <c r="I31" s="891"/>
      <c r="J31" s="891"/>
      <c r="K31" s="891"/>
      <c r="L31" s="891"/>
      <c r="M31" s="891"/>
      <c r="N31" s="891"/>
    </row>
    <row r="32" spans="7:14" x14ac:dyDescent="0.2">
      <c r="G32" s="891"/>
      <c r="H32" s="891"/>
      <c r="I32" s="891"/>
      <c r="J32" s="891"/>
      <c r="K32" s="891"/>
      <c r="L32" s="891"/>
      <c r="M32" s="891"/>
      <c r="N32" s="891"/>
    </row>
    <row r="33" spans="7:14" x14ac:dyDescent="0.2">
      <c r="G33" s="891"/>
      <c r="H33" s="891"/>
      <c r="I33" s="891"/>
      <c r="J33" s="891"/>
      <c r="K33" s="891"/>
      <c r="L33" s="891"/>
      <c r="M33" s="891"/>
      <c r="N33" s="891"/>
    </row>
    <row r="34" spans="7:14" x14ac:dyDescent="0.2">
      <c r="G34" s="891"/>
      <c r="H34" s="891"/>
      <c r="I34" s="891"/>
      <c r="J34" s="891"/>
      <c r="K34" s="891"/>
      <c r="L34" s="891"/>
      <c r="M34" s="891"/>
      <c r="N34" s="891"/>
    </row>
    <row r="35" spans="7:14" x14ac:dyDescent="0.2">
      <c r="G35" s="891"/>
      <c r="H35" s="891"/>
      <c r="I35" s="891"/>
      <c r="J35" s="891"/>
      <c r="K35" s="891"/>
      <c r="L35" s="891"/>
      <c r="M35" s="891"/>
      <c r="N35" s="891"/>
    </row>
    <row r="36" spans="7:14" x14ac:dyDescent="0.2">
      <c r="G36" s="891"/>
      <c r="H36" s="891"/>
      <c r="I36" s="891"/>
      <c r="J36" s="891"/>
      <c r="K36" s="891"/>
      <c r="L36" s="891"/>
      <c r="M36" s="891"/>
      <c r="N36" s="891"/>
    </row>
    <row r="37" spans="7:14" x14ac:dyDescent="0.2">
      <c r="G37" s="891"/>
      <c r="H37" s="891"/>
      <c r="I37" s="891"/>
      <c r="J37" s="891"/>
      <c r="K37" s="891"/>
      <c r="L37" s="891"/>
      <c r="M37" s="891"/>
      <c r="N37" s="891"/>
    </row>
    <row r="38" spans="7:14" x14ac:dyDescent="0.2">
      <c r="G38" s="891"/>
      <c r="H38" s="891"/>
      <c r="I38" s="891"/>
      <c r="J38" s="891"/>
      <c r="K38" s="891"/>
      <c r="L38" s="891"/>
      <c r="M38" s="891"/>
      <c r="N38" s="891"/>
    </row>
    <row r="39" spans="7:14" x14ac:dyDescent="0.2">
      <c r="G39" s="891"/>
      <c r="H39" s="891"/>
      <c r="I39" s="891"/>
      <c r="J39" s="891"/>
      <c r="K39" s="891"/>
      <c r="L39" s="891"/>
      <c r="M39" s="891"/>
      <c r="N39" s="891"/>
    </row>
    <row r="40" spans="7:14" x14ac:dyDescent="0.2">
      <c r="G40" s="891"/>
      <c r="H40" s="891"/>
      <c r="I40" s="891"/>
      <c r="J40" s="891"/>
      <c r="K40" s="891"/>
      <c r="L40" s="891"/>
      <c r="M40" s="891"/>
      <c r="N40" s="891"/>
    </row>
    <row r="41" spans="7:14" x14ac:dyDescent="0.2">
      <c r="G41" s="891"/>
      <c r="H41" s="891"/>
      <c r="I41" s="891"/>
      <c r="J41" s="891"/>
      <c r="K41" s="891"/>
      <c r="L41" s="891"/>
      <c r="M41" s="891"/>
      <c r="N41" s="891"/>
    </row>
    <row r="42" spans="7:14" x14ac:dyDescent="0.2">
      <c r="G42" s="891"/>
      <c r="H42" s="891"/>
      <c r="I42" s="891"/>
      <c r="J42" s="891"/>
      <c r="K42" s="891"/>
      <c r="L42" s="891"/>
      <c r="M42" s="891"/>
      <c r="N42" s="891"/>
    </row>
    <row r="43" spans="7:14" x14ac:dyDescent="0.2">
      <c r="G43" s="891"/>
      <c r="H43" s="891"/>
      <c r="I43" s="891"/>
      <c r="J43" s="891"/>
      <c r="K43" s="891"/>
      <c r="L43" s="891"/>
      <c r="M43" s="891"/>
      <c r="N43" s="891"/>
    </row>
    <row r="44" spans="7:14" x14ac:dyDescent="0.2">
      <c r="G44" s="891"/>
      <c r="H44" s="891"/>
      <c r="I44" s="891"/>
      <c r="J44" s="891"/>
      <c r="K44" s="891"/>
      <c r="L44" s="891"/>
      <c r="M44" s="891"/>
      <c r="N44" s="891"/>
    </row>
    <row r="45" spans="7:14" x14ac:dyDescent="0.2">
      <c r="G45" s="891"/>
      <c r="H45" s="891"/>
      <c r="I45" s="891"/>
      <c r="J45" s="891"/>
      <c r="K45" s="891"/>
      <c r="L45" s="891"/>
      <c r="M45" s="891"/>
      <c r="N45" s="891"/>
    </row>
    <row r="46" spans="7:14" x14ac:dyDescent="0.2">
      <c r="G46" s="891"/>
      <c r="H46" s="891"/>
      <c r="I46" s="891"/>
      <c r="J46" s="891"/>
      <c r="K46" s="891"/>
      <c r="L46" s="891"/>
      <c r="M46" s="891"/>
      <c r="N46" s="891"/>
    </row>
    <row r="47" spans="7:14" x14ac:dyDescent="0.2">
      <c r="G47" s="891"/>
      <c r="H47" s="891"/>
      <c r="I47" s="891"/>
      <c r="J47" s="891"/>
      <c r="K47" s="891"/>
      <c r="L47" s="891"/>
      <c r="M47" s="891"/>
      <c r="N47" s="891"/>
    </row>
    <row r="48" spans="7:14" x14ac:dyDescent="0.2">
      <c r="G48" s="891"/>
      <c r="H48" s="891"/>
      <c r="I48" s="891"/>
      <c r="J48" s="891"/>
      <c r="K48" s="891"/>
      <c r="L48" s="891"/>
      <c r="M48" s="891"/>
      <c r="N48" s="891"/>
    </row>
    <row r="49" spans="7:14" x14ac:dyDescent="0.2">
      <c r="G49" s="891"/>
      <c r="H49" s="891"/>
      <c r="I49" s="891"/>
      <c r="J49" s="891"/>
      <c r="K49" s="891"/>
      <c r="L49" s="891"/>
      <c r="M49" s="891"/>
      <c r="N49" s="891"/>
    </row>
    <row r="50" spans="7:14" x14ac:dyDescent="0.2">
      <c r="G50" s="891"/>
      <c r="H50" s="891"/>
      <c r="I50" s="891"/>
      <c r="J50" s="891"/>
      <c r="K50" s="891"/>
      <c r="L50" s="891"/>
      <c r="M50" s="891"/>
      <c r="N50" s="891"/>
    </row>
    <row r="51" spans="7:14" x14ac:dyDescent="0.2">
      <c r="G51" s="891"/>
      <c r="H51" s="891"/>
      <c r="I51" s="891"/>
      <c r="J51" s="891"/>
      <c r="K51" s="891"/>
      <c r="L51" s="891"/>
      <c r="M51" s="891"/>
      <c r="N51" s="891"/>
    </row>
    <row r="52" spans="7:14" x14ac:dyDescent="0.2">
      <c r="G52" s="891"/>
      <c r="H52" s="891"/>
      <c r="I52" s="891"/>
      <c r="J52" s="891"/>
      <c r="K52" s="891"/>
      <c r="L52" s="891"/>
      <c r="M52" s="891"/>
      <c r="N52" s="891"/>
    </row>
    <row r="53" spans="7:14" x14ac:dyDescent="0.2">
      <c r="G53" s="891"/>
      <c r="H53" s="891"/>
      <c r="I53" s="891"/>
      <c r="J53" s="891"/>
      <c r="K53" s="891"/>
      <c r="L53" s="891"/>
      <c r="M53" s="891"/>
      <c r="N53" s="891"/>
    </row>
    <row r="54" spans="7:14" x14ac:dyDescent="0.2">
      <c r="G54" s="891"/>
      <c r="H54" s="891"/>
      <c r="I54" s="891"/>
      <c r="J54" s="891"/>
      <c r="K54" s="891"/>
      <c r="L54" s="891"/>
      <c r="M54" s="891"/>
      <c r="N54" s="891"/>
    </row>
    <row r="55" spans="7:14" x14ac:dyDescent="0.2">
      <c r="G55" s="891"/>
      <c r="H55" s="891"/>
      <c r="I55" s="891"/>
      <c r="J55" s="891"/>
      <c r="K55" s="891"/>
      <c r="L55" s="891"/>
      <c r="M55" s="891"/>
      <c r="N55" s="891"/>
    </row>
    <row r="56" spans="7:14" x14ac:dyDescent="0.2">
      <c r="G56" s="891"/>
      <c r="H56" s="891"/>
      <c r="I56" s="891"/>
      <c r="J56" s="891"/>
      <c r="K56" s="891"/>
      <c r="L56" s="891"/>
      <c r="M56" s="891"/>
      <c r="N56" s="891"/>
    </row>
    <row r="57" spans="7:14" x14ac:dyDescent="0.2">
      <c r="G57" s="891"/>
      <c r="H57" s="891"/>
      <c r="I57" s="891"/>
      <c r="J57" s="891"/>
      <c r="K57" s="891"/>
      <c r="L57" s="891"/>
      <c r="M57" s="891"/>
      <c r="N57" s="891"/>
    </row>
    <row r="58" spans="7:14" x14ac:dyDescent="0.2">
      <c r="G58" s="891"/>
      <c r="H58" s="891"/>
      <c r="I58" s="891"/>
      <c r="J58" s="891"/>
      <c r="K58" s="891"/>
      <c r="L58" s="891"/>
      <c r="M58" s="891"/>
      <c r="N58" s="891"/>
    </row>
    <row r="59" spans="7:14" x14ac:dyDescent="0.2">
      <c r="G59" s="891"/>
      <c r="H59" s="891"/>
      <c r="I59" s="891"/>
      <c r="J59" s="891"/>
      <c r="K59" s="891"/>
      <c r="L59" s="891"/>
      <c r="M59" s="891"/>
      <c r="N59" s="891"/>
    </row>
    <row r="60" spans="7:14" x14ac:dyDescent="0.2">
      <c r="G60" s="891"/>
      <c r="H60" s="891"/>
      <c r="I60" s="891"/>
      <c r="J60" s="891"/>
      <c r="K60" s="891"/>
      <c r="L60" s="891"/>
      <c r="M60" s="891"/>
      <c r="N60" s="891"/>
    </row>
    <row r="61" spans="7:14" x14ac:dyDescent="0.2">
      <c r="G61" s="891"/>
      <c r="H61" s="891"/>
      <c r="I61" s="891"/>
      <c r="J61" s="891"/>
      <c r="K61" s="891"/>
      <c r="L61" s="891"/>
      <c r="M61" s="891"/>
      <c r="N61" s="891"/>
    </row>
    <row r="62" spans="7:14" x14ac:dyDescent="0.2">
      <c r="G62" s="891"/>
      <c r="H62" s="891"/>
      <c r="I62" s="891"/>
      <c r="J62" s="891"/>
      <c r="K62" s="891"/>
      <c r="L62" s="891"/>
      <c r="M62" s="891"/>
      <c r="N62" s="891"/>
    </row>
    <row r="63" spans="7:14" x14ac:dyDescent="0.2">
      <c r="G63" s="891"/>
      <c r="H63" s="891"/>
      <c r="I63" s="891"/>
      <c r="J63" s="891"/>
      <c r="K63" s="891"/>
      <c r="L63" s="891"/>
      <c r="M63" s="891"/>
      <c r="N63" s="891"/>
    </row>
    <row r="64" spans="7:14" x14ac:dyDescent="0.2">
      <c r="G64" s="891"/>
      <c r="H64" s="891"/>
      <c r="I64" s="891"/>
      <c r="J64" s="891"/>
      <c r="K64" s="891"/>
      <c r="L64" s="891"/>
      <c r="M64" s="891"/>
      <c r="N64" s="891"/>
    </row>
    <row r="65" spans="7:14" x14ac:dyDescent="0.2">
      <c r="G65" s="891"/>
      <c r="H65" s="891"/>
      <c r="I65" s="891"/>
      <c r="J65" s="891"/>
      <c r="K65" s="891"/>
      <c r="L65" s="891"/>
      <c r="M65" s="891"/>
      <c r="N65" s="891"/>
    </row>
    <row r="66" spans="7:14" x14ac:dyDescent="0.2">
      <c r="G66" s="891"/>
      <c r="H66" s="891"/>
      <c r="I66" s="891"/>
      <c r="J66" s="891"/>
      <c r="K66" s="891"/>
      <c r="L66" s="891"/>
      <c r="M66" s="891"/>
      <c r="N66" s="891"/>
    </row>
    <row r="67" spans="7:14" x14ac:dyDescent="0.2">
      <c r="G67" s="891"/>
      <c r="H67" s="891"/>
      <c r="I67" s="891"/>
      <c r="J67" s="891"/>
      <c r="K67" s="891"/>
      <c r="L67" s="891"/>
      <c r="M67" s="891"/>
      <c r="N67" s="891"/>
    </row>
    <row r="68" spans="7:14" x14ac:dyDescent="0.2">
      <c r="G68" s="891"/>
      <c r="H68" s="891"/>
      <c r="I68" s="891"/>
      <c r="J68" s="891"/>
      <c r="K68" s="891"/>
      <c r="L68" s="891"/>
      <c r="M68" s="891"/>
      <c r="N68" s="891"/>
    </row>
    <row r="69" spans="7:14" x14ac:dyDescent="0.2">
      <c r="G69" s="891"/>
      <c r="H69" s="891"/>
      <c r="I69" s="891"/>
      <c r="J69" s="891"/>
      <c r="K69" s="891"/>
      <c r="L69" s="891"/>
      <c r="M69" s="891"/>
      <c r="N69" s="891"/>
    </row>
    <row r="70" spans="7:14" x14ac:dyDescent="0.2">
      <c r="G70" s="891"/>
      <c r="H70" s="891"/>
      <c r="I70" s="891"/>
      <c r="J70" s="891"/>
      <c r="K70" s="891"/>
      <c r="L70" s="891"/>
      <c r="M70" s="891"/>
      <c r="N70" s="891"/>
    </row>
    <row r="71" spans="7:14" x14ac:dyDescent="0.2">
      <c r="G71" s="891"/>
      <c r="H71" s="891"/>
      <c r="I71" s="891"/>
      <c r="J71" s="891"/>
      <c r="K71" s="891"/>
      <c r="L71" s="891"/>
      <c r="M71" s="891"/>
      <c r="N71" s="891"/>
    </row>
    <row r="72" spans="7:14" x14ac:dyDescent="0.2">
      <c r="G72" s="891"/>
      <c r="H72" s="891"/>
      <c r="I72" s="891"/>
      <c r="J72" s="891"/>
      <c r="K72" s="891"/>
      <c r="L72" s="891"/>
      <c r="M72" s="891"/>
      <c r="N72" s="891"/>
    </row>
    <row r="73" spans="7:14" x14ac:dyDescent="0.2">
      <c r="G73" s="891"/>
      <c r="H73" s="891"/>
      <c r="I73" s="891"/>
      <c r="J73" s="891"/>
      <c r="K73" s="891"/>
      <c r="L73" s="891"/>
      <c r="M73" s="891"/>
      <c r="N73" s="891"/>
    </row>
    <row r="74" spans="7:14" x14ac:dyDescent="0.2">
      <c r="G74" s="891"/>
      <c r="H74" s="891"/>
      <c r="I74" s="891"/>
      <c r="J74" s="891"/>
      <c r="K74" s="891"/>
      <c r="L74" s="891"/>
      <c r="M74" s="891"/>
      <c r="N74" s="891"/>
    </row>
    <row r="75" spans="7:14" x14ac:dyDescent="0.2">
      <c r="G75" s="891"/>
      <c r="H75" s="891"/>
      <c r="I75" s="891"/>
      <c r="J75" s="891"/>
      <c r="K75" s="891"/>
      <c r="L75" s="891"/>
      <c r="M75" s="891"/>
      <c r="N75" s="891"/>
    </row>
    <row r="76" spans="7:14" x14ac:dyDescent="0.2">
      <c r="G76" s="891"/>
      <c r="H76" s="891"/>
      <c r="I76" s="891"/>
      <c r="J76" s="891"/>
      <c r="K76" s="891"/>
      <c r="L76" s="891"/>
      <c r="M76" s="891"/>
      <c r="N76" s="891"/>
    </row>
    <row r="77" spans="7:14" x14ac:dyDescent="0.2">
      <c r="G77" s="891"/>
      <c r="H77" s="891"/>
      <c r="I77" s="891"/>
      <c r="J77" s="891"/>
      <c r="K77" s="891"/>
      <c r="L77" s="891"/>
      <c r="M77" s="891"/>
      <c r="N77" s="891"/>
    </row>
    <row r="78" spans="7:14" x14ac:dyDescent="0.2">
      <c r="G78" s="891"/>
      <c r="H78" s="891"/>
      <c r="I78" s="891"/>
      <c r="J78" s="891"/>
      <c r="K78" s="891"/>
      <c r="L78" s="891"/>
      <c r="M78" s="891"/>
      <c r="N78" s="891"/>
    </row>
    <row r="79" spans="7:14" x14ac:dyDescent="0.2">
      <c r="G79" s="891"/>
      <c r="H79" s="891"/>
      <c r="I79" s="891"/>
      <c r="J79" s="891"/>
      <c r="K79" s="891"/>
      <c r="L79" s="891"/>
      <c r="M79" s="891"/>
      <c r="N79" s="891"/>
    </row>
    <row r="80" spans="7:14" x14ac:dyDescent="0.2">
      <c r="G80" s="891"/>
      <c r="H80" s="891"/>
      <c r="I80" s="891"/>
      <c r="J80" s="891"/>
      <c r="K80" s="891"/>
      <c r="L80" s="891"/>
      <c r="M80" s="891"/>
      <c r="N80" s="891"/>
    </row>
    <row r="81" spans="7:14" x14ac:dyDescent="0.2">
      <c r="G81" s="891"/>
      <c r="H81" s="891"/>
      <c r="I81" s="891"/>
      <c r="J81" s="891"/>
      <c r="K81" s="891"/>
      <c r="L81" s="891"/>
      <c r="M81" s="891"/>
      <c r="N81" s="891"/>
    </row>
    <row r="82" spans="7:14" x14ac:dyDescent="0.2">
      <c r="G82" s="891"/>
      <c r="H82" s="891"/>
      <c r="I82" s="891"/>
      <c r="J82" s="891"/>
      <c r="K82" s="891"/>
      <c r="L82" s="891"/>
      <c r="M82" s="891"/>
      <c r="N82" s="891"/>
    </row>
    <row r="83" spans="7:14" x14ac:dyDescent="0.2">
      <c r="G83" s="891"/>
      <c r="H83" s="891"/>
      <c r="I83" s="891"/>
      <c r="J83" s="891"/>
      <c r="K83" s="891"/>
      <c r="L83" s="891"/>
      <c r="M83" s="891"/>
      <c r="N83" s="891"/>
    </row>
    <row r="84" spans="7:14" x14ac:dyDescent="0.2">
      <c r="G84" s="891"/>
      <c r="H84" s="891"/>
      <c r="I84" s="891"/>
      <c r="J84" s="891"/>
      <c r="K84" s="891"/>
      <c r="L84" s="891"/>
      <c r="M84" s="891"/>
      <c r="N84" s="891"/>
    </row>
    <row r="85" spans="7:14" x14ac:dyDescent="0.2">
      <c r="G85" s="891"/>
      <c r="H85" s="891"/>
      <c r="I85" s="891"/>
      <c r="J85" s="891"/>
      <c r="K85" s="891"/>
      <c r="L85" s="891"/>
      <c r="M85" s="891"/>
      <c r="N85" s="891"/>
    </row>
    <row r="86" spans="7:14" x14ac:dyDescent="0.2">
      <c r="G86" s="891"/>
      <c r="H86" s="891"/>
      <c r="I86" s="891"/>
      <c r="J86" s="891"/>
      <c r="K86" s="891"/>
      <c r="L86" s="891"/>
      <c r="M86" s="891"/>
      <c r="N86" s="891"/>
    </row>
    <row r="87" spans="7:14" x14ac:dyDescent="0.2">
      <c r="G87" s="891"/>
      <c r="H87" s="891"/>
      <c r="I87" s="891"/>
      <c r="J87" s="891"/>
      <c r="K87" s="891"/>
      <c r="L87" s="891"/>
      <c r="M87" s="891"/>
      <c r="N87" s="891"/>
    </row>
    <row r="88" spans="7:14" x14ac:dyDescent="0.2">
      <c r="G88" s="891"/>
      <c r="H88" s="891"/>
      <c r="I88" s="891"/>
      <c r="J88" s="891"/>
      <c r="K88" s="891"/>
      <c r="L88" s="891"/>
      <c r="M88" s="891"/>
      <c r="N88" s="891"/>
    </row>
    <row r="89" spans="7:14" x14ac:dyDescent="0.2">
      <c r="G89" s="891"/>
      <c r="H89" s="891"/>
      <c r="I89" s="891"/>
      <c r="J89" s="891"/>
      <c r="K89" s="891"/>
      <c r="L89" s="891"/>
      <c r="M89" s="891"/>
      <c r="N89" s="891"/>
    </row>
    <row r="90" spans="7:14" x14ac:dyDescent="0.2">
      <c r="G90" s="891"/>
      <c r="H90" s="891"/>
      <c r="I90" s="891"/>
      <c r="J90" s="891"/>
      <c r="K90" s="891"/>
      <c r="L90" s="891"/>
      <c r="M90" s="891"/>
      <c r="N90" s="891"/>
    </row>
    <row r="91" spans="7:14" x14ac:dyDescent="0.2">
      <c r="G91" s="891"/>
      <c r="H91" s="891"/>
      <c r="I91" s="891"/>
      <c r="J91" s="891"/>
      <c r="K91" s="891"/>
      <c r="L91" s="891"/>
      <c r="M91" s="891"/>
      <c r="N91" s="891"/>
    </row>
    <row r="92" spans="7:14" x14ac:dyDescent="0.2">
      <c r="G92" s="891"/>
      <c r="H92" s="891"/>
      <c r="I92" s="891"/>
      <c r="J92" s="891"/>
      <c r="K92" s="891"/>
      <c r="L92" s="891"/>
      <c r="M92" s="891"/>
      <c r="N92" s="891"/>
    </row>
    <row r="93" spans="7:14" x14ac:dyDescent="0.2">
      <c r="G93" s="891"/>
      <c r="H93" s="891"/>
      <c r="I93" s="891"/>
      <c r="J93" s="891"/>
      <c r="K93" s="891"/>
      <c r="L93" s="891"/>
      <c r="M93" s="891"/>
      <c r="N93" s="891"/>
    </row>
    <row r="94" spans="7:14" x14ac:dyDescent="0.2">
      <c r="G94" s="891"/>
      <c r="H94" s="891"/>
      <c r="I94" s="891"/>
      <c r="J94" s="891"/>
      <c r="K94" s="891"/>
      <c r="L94" s="891"/>
      <c r="M94" s="891"/>
      <c r="N94" s="891"/>
    </row>
    <row r="95" spans="7:14" x14ac:dyDescent="0.2">
      <c r="G95" s="891"/>
      <c r="H95" s="891"/>
      <c r="I95" s="891"/>
      <c r="J95" s="891"/>
      <c r="K95" s="891"/>
      <c r="L95" s="891"/>
      <c r="M95" s="891"/>
      <c r="N95" s="891"/>
    </row>
    <row r="96" spans="7:14" x14ac:dyDescent="0.2">
      <c r="G96" s="891"/>
      <c r="H96" s="891"/>
      <c r="I96" s="891"/>
      <c r="J96" s="891"/>
      <c r="K96" s="891"/>
      <c r="L96" s="891"/>
      <c r="M96" s="891"/>
      <c r="N96" s="891"/>
    </row>
  </sheetData>
  <mergeCells count="3">
    <mergeCell ref="E5:G5"/>
    <mergeCell ref="B5:D5"/>
    <mergeCell ref="A2:H3"/>
  </mergeCell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104"/>
  <sheetViews>
    <sheetView zoomScale="85" zoomScaleNormal="85" zoomScalePageLayoutView="85" workbookViewId="0">
      <pane xSplit="1" ySplit="8" topLeftCell="B9" activePane="bottomRight" state="frozen"/>
      <selection pane="topRight" activeCell="B1" sqref="B1"/>
      <selection pane="bottomLeft" activeCell="A9" sqref="A9"/>
      <selection pane="bottomRight" activeCell="I27" sqref="I27"/>
    </sheetView>
  </sheetViews>
  <sheetFormatPr baseColWidth="10" defaultColWidth="10.83203125" defaultRowHeight="16" x14ac:dyDescent="0.2"/>
  <cols>
    <col min="1" max="1" width="19" style="1" customWidth="1"/>
    <col min="2" max="11" width="11.33203125" style="1" customWidth="1"/>
    <col min="12" max="16384" width="10.83203125" style="1"/>
  </cols>
  <sheetData>
    <row r="1" spans="1:15" x14ac:dyDescent="0.2">
      <c r="A1" s="958"/>
      <c r="B1" s="958"/>
      <c r="C1" s="958"/>
      <c r="D1" s="958"/>
      <c r="E1" s="958"/>
      <c r="F1" s="958"/>
      <c r="G1" s="958"/>
      <c r="H1" s="958"/>
      <c r="I1" s="958"/>
      <c r="J1" s="958"/>
      <c r="K1" s="958"/>
      <c r="L1" s="958"/>
      <c r="M1" s="958"/>
      <c r="N1" s="958"/>
      <c r="O1" s="958"/>
    </row>
    <row r="2" spans="1:15" ht="17" thickBot="1" x14ac:dyDescent="0.25">
      <c r="A2" s="958"/>
      <c r="B2" s="958"/>
      <c r="C2" s="958"/>
      <c r="D2" s="958"/>
      <c r="E2" s="958"/>
      <c r="F2" s="958"/>
      <c r="G2" s="958"/>
      <c r="H2" s="958"/>
      <c r="I2" s="958"/>
      <c r="J2" s="958"/>
      <c r="K2" s="958"/>
      <c r="L2" s="958"/>
      <c r="M2" s="958"/>
      <c r="N2" s="958"/>
      <c r="O2" s="958"/>
    </row>
    <row r="3" spans="1:15" ht="32.25" customHeight="1" thickTop="1" x14ac:dyDescent="0.2">
      <c r="A3" s="1934" t="s">
        <v>142</v>
      </c>
      <c r="B3" s="1935"/>
      <c r="C3" s="1935"/>
      <c r="D3" s="1935"/>
      <c r="E3" s="1935"/>
      <c r="F3" s="1935"/>
      <c r="G3" s="1935"/>
      <c r="H3" s="1935"/>
      <c r="I3" s="1935"/>
      <c r="J3" s="1935"/>
      <c r="K3" s="1936"/>
      <c r="L3" s="958"/>
      <c r="M3" s="958"/>
      <c r="N3" s="958"/>
      <c r="O3" s="958"/>
    </row>
    <row r="4" spans="1:15" ht="12" customHeight="1" x14ac:dyDescent="0.2">
      <c r="A4" s="4"/>
      <c r="B4" s="620"/>
      <c r="C4" s="620"/>
      <c r="D4" s="620"/>
      <c r="E4" s="620"/>
      <c r="F4" s="620"/>
      <c r="G4" s="620"/>
      <c r="H4" s="620"/>
      <c r="I4" s="620"/>
      <c r="J4" s="620"/>
      <c r="K4" s="5"/>
      <c r="L4" s="958"/>
      <c r="M4" s="958"/>
      <c r="N4" s="958"/>
      <c r="O4" s="958"/>
    </row>
    <row r="5" spans="1:15" ht="17" thickBot="1" x14ac:dyDescent="0.25">
      <c r="A5" s="1094"/>
      <c r="B5" s="134" t="s">
        <v>1</v>
      </c>
      <c r="C5" s="134" t="s">
        <v>2</v>
      </c>
      <c r="D5" s="134" t="s">
        <v>3</v>
      </c>
      <c r="E5" s="134" t="s">
        <v>4</v>
      </c>
      <c r="F5" s="134" t="s">
        <v>5</v>
      </c>
      <c r="G5" s="134" t="s">
        <v>6</v>
      </c>
      <c r="H5" s="134" t="s">
        <v>7</v>
      </c>
      <c r="I5" s="134" t="s">
        <v>8</v>
      </c>
      <c r="J5" s="134" t="s">
        <v>9</v>
      </c>
      <c r="K5" s="135" t="s">
        <v>10</v>
      </c>
      <c r="L5" s="958"/>
      <c r="M5" s="958"/>
      <c r="N5" s="958"/>
      <c r="O5" s="958"/>
    </row>
    <row r="6" spans="1:15" ht="21" customHeight="1" x14ac:dyDescent="0.2">
      <c r="A6" s="1094"/>
      <c r="B6" s="1979" t="s">
        <v>136</v>
      </c>
      <c r="C6" s="1980"/>
      <c r="D6" s="1980"/>
      <c r="E6" s="1980"/>
      <c r="F6" s="1980"/>
      <c r="G6" s="1980"/>
      <c r="H6" s="1980"/>
      <c r="I6" s="1981"/>
      <c r="J6" s="2002" t="s">
        <v>143</v>
      </c>
      <c r="K6" s="1997" t="s">
        <v>144</v>
      </c>
      <c r="L6" s="958"/>
      <c r="M6" s="958"/>
      <c r="N6" s="958"/>
      <c r="O6" s="958"/>
    </row>
    <row r="7" spans="1:15" ht="85" customHeight="1" x14ac:dyDescent="0.2">
      <c r="A7" s="1094"/>
      <c r="B7" s="1999" t="s">
        <v>128</v>
      </c>
      <c r="C7" s="1989" t="s">
        <v>145</v>
      </c>
      <c r="D7" s="1812" t="s">
        <v>146</v>
      </c>
      <c r="E7" s="1812" t="s">
        <v>147</v>
      </c>
      <c r="F7" s="2000" t="s">
        <v>148</v>
      </c>
      <c r="G7" s="1996" t="s">
        <v>149</v>
      </c>
      <c r="H7" s="1812" t="s">
        <v>150</v>
      </c>
      <c r="I7" s="1810" t="s">
        <v>151</v>
      </c>
      <c r="J7" s="1999"/>
      <c r="K7" s="1998"/>
      <c r="L7" s="1104"/>
      <c r="M7" s="958"/>
      <c r="N7" s="172" t="s">
        <v>26</v>
      </c>
      <c r="O7" s="958"/>
    </row>
    <row r="8" spans="1:15" ht="33" customHeight="1" x14ac:dyDescent="0.2">
      <c r="A8" s="1094"/>
      <c r="B8" s="1999"/>
      <c r="C8" s="1989"/>
      <c r="D8" s="1812"/>
      <c r="E8" s="1812"/>
      <c r="F8" s="2001"/>
      <c r="G8" s="1996"/>
      <c r="H8" s="1812"/>
      <c r="I8" s="1810"/>
      <c r="J8" s="1999"/>
      <c r="K8" s="1998"/>
      <c r="L8" s="1104"/>
      <c r="M8" s="958"/>
      <c r="N8" s="172"/>
      <c r="O8" s="958"/>
    </row>
    <row r="9" spans="1:15" ht="40" customHeight="1" x14ac:dyDescent="0.2">
      <c r="A9" s="137" t="s">
        <v>28</v>
      </c>
      <c r="B9" s="214">
        <f>SUM(B10:B44)</f>
        <v>6329.8496989524356</v>
      </c>
      <c r="C9" s="219">
        <f t="shared" ref="C9:I9" si="0">SUM(C10:C44)</f>
        <v>3086.0234288681959</v>
      </c>
      <c r="D9" s="227"/>
      <c r="E9" s="227"/>
      <c r="F9" s="230">
        <f t="shared" si="0"/>
        <v>1983.292784565713</v>
      </c>
      <c r="G9" s="227">
        <f t="shared" si="0"/>
        <v>1260.5334855185267</v>
      </c>
      <c r="H9" s="227">
        <f t="shared" si="0"/>
        <v>1193.1837521092455</v>
      </c>
      <c r="I9" s="243">
        <f t="shared" si="0"/>
        <v>67.349733409280944</v>
      </c>
      <c r="J9" s="229">
        <f>H9/B9</f>
        <v>0.18850111911926007</v>
      </c>
      <c r="K9" s="231">
        <f t="shared" ref="K9:K44" si="1">F9/(B9-G9)</f>
        <v>0.39123477428965675</v>
      </c>
      <c r="L9" s="1104"/>
      <c r="M9" s="958"/>
      <c r="N9" s="228">
        <f>B9-C9-F9-G9</f>
        <v>0</v>
      </c>
      <c r="O9" s="1007"/>
    </row>
    <row r="10" spans="1:15" ht="14.25" customHeight="1" x14ac:dyDescent="0.2">
      <c r="A10" s="1094" t="s">
        <v>29</v>
      </c>
      <c r="B10" s="150">
        <f>+TableA2!F10</f>
        <v>178.84741076861815</v>
      </c>
      <c r="C10" s="1140">
        <f>D10-E10</f>
        <v>37.420459923821838</v>
      </c>
      <c r="D10" s="1141">
        <v>76.124078762517939</v>
      </c>
      <c r="E10" s="1141">
        <v>38.703618838696102</v>
      </c>
      <c r="F10" s="1142">
        <f>B10-C10-G10</f>
        <v>89.054834759482759</v>
      </c>
      <c r="G10" s="1141">
        <v>52.372116085313536</v>
      </c>
      <c r="H10" s="1141">
        <v>53.085816886912227</v>
      </c>
      <c r="I10" s="1143">
        <f t="shared" ref="I10:I44" si="2">G10-H10</f>
        <v>-0.71370080159869076</v>
      </c>
      <c r="J10" s="138">
        <f t="shared" ref="J10:J44" si="3">H10/B10</f>
        <v>0.29682183632835152</v>
      </c>
      <c r="K10" s="1144">
        <f t="shared" si="1"/>
        <v>0.70412830412830385</v>
      </c>
      <c r="L10" s="1104"/>
      <c r="M10" s="958"/>
      <c r="N10" s="228">
        <f>B10-C10-F10-G10</f>
        <v>0</v>
      </c>
      <c r="O10" s="1007"/>
    </row>
    <row r="11" spans="1:15" ht="14.25" customHeight="1" x14ac:dyDescent="0.2">
      <c r="A11" s="1094" t="s">
        <v>30</v>
      </c>
      <c r="B11" s="150">
        <f>+TableA2!F11</f>
        <v>47.957043627358011</v>
      </c>
      <c r="C11" s="1140">
        <f>D11-E11</f>
        <v>25.185796404183851</v>
      </c>
      <c r="D11" s="1141">
        <v>44.896463075286782</v>
      </c>
      <c r="E11" s="1141">
        <v>19.710666671102931</v>
      </c>
      <c r="F11" s="1142">
        <f t="shared" ref="F11:F47" si="4">B11-C11-G11</f>
        <v>14.135720932192758</v>
      </c>
      <c r="G11" s="1141">
        <v>8.635526290981403</v>
      </c>
      <c r="H11" s="1141">
        <v>8.4946481984874556</v>
      </c>
      <c r="I11" s="1143">
        <f t="shared" si="2"/>
        <v>0.14087809249394745</v>
      </c>
      <c r="J11" s="138">
        <f>H11/B11</f>
        <v>0.1771303557511523</v>
      </c>
      <c r="K11" s="1144">
        <f t="shared" si="1"/>
        <v>0.35949072898862183</v>
      </c>
      <c r="L11" s="1104"/>
      <c r="M11" s="958"/>
      <c r="N11" s="228">
        <f t="shared" ref="N11:N74" si="5">B11-C11-F11-G11</f>
        <v>0</v>
      </c>
      <c r="O11" s="1007"/>
    </row>
    <row r="12" spans="1:15" x14ac:dyDescent="0.2">
      <c r="A12" s="1094" t="s">
        <v>31</v>
      </c>
      <c r="B12" s="150">
        <f>+TableA2!F12</f>
        <v>76.673664877742027</v>
      </c>
      <c r="C12" s="1140">
        <f t="shared" ref="C12:C20" si="6">D12-E12</f>
        <v>45.775176646603654</v>
      </c>
      <c r="D12" s="1141">
        <v>78.250092329805398</v>
      </c>
      <c r="E12" s="1141">
        <v>32.474915683201743</v>
      </c>
      <c r="F12" s="1142">
        <f t="shared" si="4"/>
        <v>15.506749225594151</v>
      </c>
      <c r="G12" s="1141">
        <v>15.391739005544222</v>
      </c>
      <c r="H12" s="1141">
        <v>15.039277598293811</v>
      </c>
      <c r="I12" s="1143">
        <f t="shared" si="2"/>
        <v>0.35246140725041109</v>
      </c>
      <c r="J12" s="138">
        <f t="shared" si="3"/>
        <v>0.19614658595326434</v>
      </c>
      <c r="K12" s="1144">
        <f t="shared" si="1"/>
        <v>0.25303952192907836</v>
      </c>
      <c r="L12" s="958"/>
      <c r="M12" s="958"/>
      <c r="N12" s="228">
        <f t="shared" si="5"/>
        <v>0</v>
      </c>
      <c r="O12" s="1007"/>
    </row>
    <row r="13" spans="1:15" x14ac:dyDescent="0.2">
      <c r="A13" s="1094" t="s">
        <v>32</v>
      </c>
      <c r="B13" s="150">
        <f>+TableA2!F13</f>
        <v>142.9569900038934</v>
      </c>
      <c r="C13" s="1140">
        <f>D13-E13</f>
        <v>79.470845861693135</v>
      </c>
      <c r="D13" s="1141">
        <v>191.43099277772302</v>
      </c>
      <c r="E13" s="1141">
        <v>111.96014691602988</v>
      </c>
      <c r="F13" s="1142">
        <f t="shared" si="4"/>
        <v>9.7443667334325212</v>
      </c>
      <c r="G13" s="1141">
        <v>53.741777408767739</v>
      </c>
      <c r="H13" s="1141">
        <v>49.479398763816377</v>
      </c>
      <c r="I13" s="1143">
        <f t="shared" si="2"/>
        <v>4.2623786449513617</v>
      </c>
      <c r="J13" s="138">
        <f t="shared" si="3"/>
        <v>0.34611388196176218</v>
      </c>
      <c r="K13" s="1144">
        <f t="shared" si="1"/>
        <v>0.10922315208342522</v>
      </c>
      <c r="L13" s="958"/>
      <c r="M13" s="958"/>
      <c r="N13" s="228">
        <f t="shared" si="5"/>
        <v>0</v>
      </c>
      <c r="O13" s="1007"/>
    </row>
    <row r="14" spans="1:15" x14ac:dyDescent="0.2">
      <c r="A14" s="1094" t="s">
        <v>33</v>
      </c>
      <c r="B14" s="150">
        <f>+TableA2!F14</f>
        <v>67.542484958596845</v>
      </c>
      <c r="C14" s="1140">
        <f t="shared" si="6"/>
        <v>22.689559824796547</v>
      </c>
      <c r="D14" s="1141">
        <v>50.822839020083165</v>
      </c>
      <c r="E14" s="1141">
        <v>28.133279195286619</v>
      </c>
      <c r="F14" s="1142">
        <f t="shared" si="4"/>
        <v>34.564080576969431</v>
      </c>
      <c r="G14" s="1141">
        <v>10.288844556830869</v>
      </c>
      <c r="H14" s="1141">
        <v>10.455405560058267</v>
      </c>
      <c r="I14" s="1143">
        <f t="shared" si="2"/>
        <v>-0.16656100322739853</v>
      </c>
      <c r="J14" s="138">
        <f t="shared" si="3"/>
        <v>0.15479746660886656</v>
      </c>
      <c r="K14" s="1144">
        <f t="shared" si="1"/>
        <v>0.60370101070295101</v>
      </c>
      <c r="L14" s="958"/>
      <c r="M14" s="958"/>
      <c r="N14" s="228">
        <f t="shared" si="5"/>
        <v>0</v>
      </c>
      <c r="O14" s="1007"/>
    </row>
    <row r="15" spans="1:15" x14ac:dyDescent="0.2">
      <c r="A15" s="1094" t="s">
        <v>34</v>
      </c>
      <c r="B15" s="150">
        <f>+TableA2!F15</f>
        <v>33.577437877940952</v>
      </c>
      <c r="C15" s="1140">
        <f t="shared" si="6"/>
        <v>16.264241069160022</v>
      </c>
      <c r="D15" s="1141">
        <v>20.940820163626203</v>
      </c>
      <c r="E15" s="1141">
        <v>4.6765790944661818</v>
      </c>
      <c r="F15" s="1142">
        <f t="shared" si="4"/>
        <v>11.21947253417348</v>
      </c>
      <c r="G15" s="1141">
        <v>6.0937242746074496</v>
      </c>
      <c r="H15" s="1141">
        <v>6.7113169165099862</v>
      </c>
      <c r="I15" s="1143">
        <f t="shared" si="2"/>
        <v>-0.6175926419025366</v>
      </c>
      <c r="J15" s="138">
        <f t="shared" si="3"/>
        <v>0.19987578983562221</v>
      </c>
      <c r="K15" s="1144">
        <f t="shared" si="1"/>
        <v>0.40822258214816609</v>
      </c>
      <c r="L15" s="958"/>
      <c r="M15" s="958"/>
      <c r="N15" s="228">
        <f t="shared" si="5"/>
        <v>0</v>
      </c>
      <c r="O15" s="1007"/>
    </row>
    <row r="16" spans="1:15" x14ac:dyDescent="0.2">
      <c r="A16" s="1094" t="s">
        <v>35</v>
      </c>
      <c r="B16" s="150">
        <f>+TableA2!F16</f>
        <v>51.69259919912686</v>
      </c>
      <c r="C16" s="1140">
        <f t="shared" si="6"/>
        <v>11.986640124484481</v>
      </c>
      <c r="D16" s="1141">
        <v>48.429325791810143</v>
      </c>
      <c r="E16" s="1141">
        <v>36.442685667325662</v>
      </c>
      <c r="F16" s="1142">
        <f t="shared" si="4"/>
        <v>31.328167883414558</v>
      </c>
      <c r="G16" s="1141">
        <v>8.3777911912278213</v>
      </c>
      <c r="H16" s="1141">
        <v>7.7284100389615968</v>
      </c>
      <c r="I16" s="1143">
        <f t="shared" si="2"/>
        <v>0.6493811522662245</v>
      </c>
      <c r="J16" s="138">
        <f t="shared" si="3"/>
        <v>0.14950708919067349</v>
      </c>
      <c r="K16" s="1144">
        <f t="shared" si="1"/>
        <v>0.72326692242757817</v>
      </c>
      <c r="L16" s="958"/>
      <c r="M16" s="958"/>
      <c r="N16" s="228">
        <f t="shared" si="5"/>
        <v>0</v>
      </c>
      <c r="O16" s="1007"/>
    </row>
    <row r="17" spans="1:17" x14ac:dyDescent="0.2">
      <c r="A17" s="1094" t="s">
        <v>36</v>
      </c>
      <c r="B17" s="150">
        <f>+TableA2!F17</f>
        <v>4.0797019715879275</v>
      </c>
      <c r="C17" s="1140">
        <f t="shared" si="6"/>
        <v>1.5808637189891079</v>
      </c>
      <c r="D17" s="1141">
        <v>2.0400173458036797</v>
      </c>
      <c r="E17" s="1141">
        <v>0.45915362681457178</v>
      </c>
      <c r="F17" s="1142">
        <f t="shared" si="4"/>
        <v>2.0312557186253324</v>
      </c>
      <c r="G17" s="1126">
        <v>0.4675825339734867</v>
      </c>
      <c r="H17" s="1126">
        <v>0.47056592348104992</v>
      </c>
      <c r="I17" s="1143">
        <f t="shared" si="2"/>
        <v>-2.9833895075632166E-3</v>
      </c>
      <c r="J17" s="138">
        <f t="shared" si="3"/>
        <v>0.11534321054777766</v>
      </c>
      <c r="K17" s="1144">
        <f t="shared" si="1"/>
        <v>0.56234456077865436</v>
      </c>
      <c r="L17" s="958"/>
      <c r="M17" s="958"/>
      <c r="N17" s="228">
        <f t="shared" si="5"/>
        <v>0</v>
      </c>
      <c r="O17" s="1007"/>
      <c r="P17" s="958"/>
      <c r="Q17" s="958"/>
    </row>
    <row r="18" spans="1:17" x14ac:dyDescent="0.2">
      <c r="A18" s="1094" t="s">
        <v>37</v>
      </c>
      <c r="B18" s="150">
        <f>+TableA2!F18</f>
        <v>25.094852932206081</v>
      </c>
      <c r="C18" s="1140">
        <f t="shared" si="6"/>
        <v>9.0499845285190972</v>
      </c>
      <c r="D18" s="1141">
        <v>28.723719277465207</v>
      </c>
      <c r="E18" s="1141">
        <v>19.67373474894611</v>
      </c>
      <c r="F18" s="1142">
        <f t="shared" si="4"/>
        <v>10.226704330572868</v>
      </c>
      <c r="G18" s="1141">
        <v>5.8181640731141151</v>
      </c>
      <c r="H18" s="1141">
        <v>5.0429264278402366</v>
      </c>
      <c r="I18" s="1143">
        <f t="shared" si="2"/>
        <v>0.77523764527387851</v>
      </c>
      <c r="J18" s="138">
        <f t="shared" si="3"/>
        <v>0.20095461174702786</v>
      </c>
      <c r="K18" s="1144">
        <f t="shared" si="1"/>
        <v>0.53052183418675569</v>
      </c>
      <c r="L18" s="958"/>
      <c r="M18" s="958"/>
      <c r="N18" s="228">
        <f t="shared" si="5"/>
        <v>0</v>
      </c>
      <c r="O18" s="1007"/>
      <c r="P18" s="958"/>
      <c r="Q18" s="958"/>
    </row>
    <row r="19" spans="1:17" x14ac:dyDescent="0.2">
      <c r="A19" s="1094" t="s">
        <v>38</v>
      </c>
      <c r="B19" s="150">
        <f>+TableA2!F19</f>
        <v>187.65852722592464</v>
      </c>
      <c r="C19" s="1140">
        <f t="shared" si="6"/>
        <v>89.293180681388407</v>
      </c>
      <c r="D19" s="1141">
        <v>340.14300306435138</v>
      </c>
      <c r="E19" s="1141">
        <v>250.84982238296297</v>
      </c>
      <c r="F19" s="1142">
        <f t="shared" si="4"/>
        <v>38.033225421140365</v>
      </c>
      <c r="G19" s="1141">
        <v>60.332121123395872</v>
      </c>
      <c r="H19" s="1141">
        <v>50.926955756000886</v>
      </c>
      <c r="I19" s="1143">
        <f t="shared" si="2"/>
        <v>9.4051653673949858</v>
      </c>
      <c r="J19" s="138">
        <f t="shared" si="3"/>
        <v>0.27138098390108983</v>
      </c>
      <c r="K19" s="1144">
        <f t="shared" si="1"/>
        <v>0.29870650233003793</v>
      </c>
      <c r="L19" s="958"/>
      <c r="M19" s="958"/>
      <c r="N19" s="228">
        <f t="shared" si="5"/>
        <v>0</v>
      </c>
      <c r="O19" s="1007"/>
      <c r="P19" s="958"/>
      <c r="Q19" s="958"/>
    </row>
    <row r="20" spans="1:17" x14ac:dyDescent="0.2">
      <c r="A20" s="1094" t="s">
        <v>39</v>
      </c>
      <c r="B20" s="150">
        <f>+TableA2!F20</f>
        <v>553.04943443142031</v>
      </c>
      <c r="C20" s="1140">
        <f t="shared" si="6"/>
        <v>353.87657639972542</v>
      </c>
      <c r="D20" s="1141">
        <v>502.57580748376051</v>
      </c>
      <c r="E20" s="1141">
        <v>148.69923108403509</v>
      </c>
      <c r="F20" s="1142">
        <f>B20-C20-G20</f>
        <v>119.66497312176774</v>
      </c>
      <c r="G20" s="1141">
        <v>79.507884909927142</v>
      </c>
      <c r="H20" s="1141">
        <v>58.451143946880144</v>
      </c>
      <c r="I20" s="1143">
        <f>G20-H20</f>
        <v>21.056740963046998</v>
      </c>
      <c r="J20" s="138">
        <f>H20/B20</f>
        <v>0.10568882329112707</v>
      </c>
      <c r="K20" s="1144">
        <f t="shared" si="1"/>
        <v>0.25270216149498909</v>
      </c>
      <c r="L20" s="958"/>
      <c r="M20" s="958"/>
      <c r="N20" s="228">
        <f t="shared" si="5"/>
        <v>0</v>
      </c>
      <c r="O20" s="1145"/>
      <c r="P20" s="958"/>
      <c r="Q20" s="958"/>
    </row>
    <row r="21" spans="1:17" x14ac:dyDescent="0.2">
      <c r="A21" s="1094" t="s">
        <v>40</v>
      </c>
      <c r="B21" s="150">
        <f>+TableA2!F21</f>
        <v>22.607784095761257</v>
      </c>
      <c r="C21" s="1140">
        <f>D21-E21</f>
        <v>4.3339220259543785</v>
      </c>
      <c r="D21" s="1141">
        <v>5.6233335440560115</v>
      </c>
      <c r="E21" s="1141">
        <v>1.289411518101633</v>
      </c>
      <c r="F21" s="1142">
        <f t="shared" si="4"/>
        <v>11.450849822382963</v>
      </c>
      <c r="G21" s="1141">
        <v>6.8230122474239154</v>
      </c>
      <c r="H21" s="1141">
        <v>4.2144535794574223</v>
      </c>
      <c r="I21" s="1143">
        <f t="shared" si="2"/>
        <v>2.6085586679664932</v>
      </c>
      <c r="J21" s="138">
        <f t="shared" si="3"/>
        <v>0.18641603978549989</v>
      </c>
      <c r="K21" s="1144">
        <f t="shared" si="1"/>
        <v>0.72543651136706899</v>
      </c>
      <c r="L21" s="958"/>
      <c r="M21" s="958"/>
      <c r="N21" s="228">
        <f t="shared" si="5"/>
        <v>0</v>
      </c>
      <c r="O21" s="1007"/>
      <c r="P21" s="958"/>
      <c r="Q21" s="958"/>
    </row>
    <row r="22" spans="1:17" x14ac:dyDescent="0.2">
      <c r="A22" s="1094" t="s">
        <v>41</v>
      </c>
      <c r="B22" s="150">
        <f>+TableA2!F22</f>
        <v>20.668289583202817</v>
      </c>
      <c r="C22" s="1140">
        <f>D22-E22</f>
        <v>7.9993556066694707</v>
      </c>
      <c r="D22" s="1141">
        <v>11.575087037849158</v>
      </c>
      <c r="E22" s="1141">
        <v>3.5757314311796877</v>
      </c>
      <c r="F22" s="1142">
        <f t="shared" si="4"/>
        <v>10.276731135832748</v>
      </c>
      <c r="G22" s="1141">
        <v>2.3922028407005986</v>
      </c>
      <c r="H22" s="1141">
        <v>2.1963860274046167</v>
      </c>
      <c r="I22" s="1143">
        <f t="shared" si="2"/>
        <v>0.19581681329598188</v>
      </c>
      <c r="J22" s="138">
        <f t="shared" si="3"/>
        <v>0.10626839819341541</v>
      </c>
      <c r="K22" s="1144">
        <f t="shared" si="1"/>
        <v>0.56230479098862807</v>
      </c>
      <c r="L22" s="958"/>
      <c r="M22" s="958"/>
      <c r="N22" s="228">
        <f t="shared" si="5"/>
        <v>0</v>
      </c>
      <c r="O22" s="1007"/>
      <c r="P22" s="958"/>
      <c r="Q22" s="958"/>
    </row>
    <row r="23" spans="1:17" x14ac:dyDescent="0.2">
      <c r="A23" s="1094" t="s">
        <v>42</v>
      </c>
      <c r="B23" s="150">
        <f>+TableA2!F23</f>
        <v>2.1489969781260903</v>
      </c>
      <c r="C23" s="1140">
        <f>+B23-F23-G23</f>
        <v>1.0773591067773185</v>
      </c>
      <c r="D23" s="1141"/>
      <c r="E23" s="1141"/>
      <c r="F23" s="1142">
        <f>+B23*$F$100</f>
        <v>0.67333197524047927</v>
      </c>
      <c r="G23" s="1126">
        <v>0.3983058961082927</v>
      </c>
      <c r="H23" s="1126">
        <v>0.3983029700639128</v>
      </c>
      <c r="I23" s="1143">
        <f t="shared" si="2"/>
        <v>2.9260443799028479E-6</v>
      </c>
      <c r="J23" s="138">
        <f t="shared" si="3"/>
        <v>0.18534366223782692</v>
      </c>
      <c r="K23" s="1144">
        <f t="shared" si="1"/>
        <v>0.38460924497565591</v>
      </c>
      <c r="L23" s="958"/>
      <c r="M23" s="958"/>
      <c r="N23" s="228">
        <f t="shared" si="5"/>
        <v>0</v>
      </c>
      <c r="O23" s="1007"/>
      <c r="P23" s="958"/>
      <c r="Q23" s="958"/>
    </row>
    <row r="24" spans="1:17" x14ac:dyDescent="0.2">
      <c r="A24" s="1094" t="s">
        <v>43</v>
      </c>
      <c r="B24" s="150">
        <f>+TableA2!F24</f>
        <v>125.53464036847635</v>
      </c>
      <c r="C24" s="1140">
        <f t="shared" ref="C24:C30" si="7">D24-E24</f>
        <v>52.107020503316669</v>
      </c>
      <c r="D24" s="1141">
        <v>65.133674704073272</v>
      </c>
      <c r="E24" s="1141">
        <v>13.026654200756605</v>
      </c>
      <c r="F24" s="1142">
        <f t="shared" si="4"/>
        <v>65.374953946003984</v>
      </c>
      <c r="G24" s="1141">
        <v>8.0526659191556895</v>
      </c>
      <c r="H24" s="1141">
        <v>7.6225346832893583</v>
      </c>
      <c r="I24" s="1143">
        <f t="shared" si="2"/>
        <v>0.43013123586633117</v>
      </c>
      <c r="J24" s="138">
        <f t="shared" si="3"/>
        <v>6.0720568130957837E-2</v>
      </c>
      <c r="K24" s="1144">
        <f t="shared" si="1"/>
        <v>0.55646795393454518</v>
      </c>
      <c r="L24" s="958"/>
      <c r="M24" s="958"/>
      <c r="N24" s="228">
        <f t="shared" si="5"/>
        <v>0</v>
      </c>
      <c r="O24" s="1007"/>
      <c r="P24" s="958"/>
      <c r="Q24" s="958"/>
    </row>
    <row r="25" spans="1:17" x14ac:dyDescent="0.2">
      <c r="A25" s="1094" t="s">
        <v>44</v>
      </c>
      <c r="B25" s="150">
        <f>+TableA2!F25</f>
        <v>53.821062621875072</v>
      </c>
      <c r="C25" s="1140">
        <f>+B25-F25-G25</f>
        <v>28.036238783901741</v>
      </c>
      <c r="D25" s="1141"/>
      <c r="E25" s="1141"/>
      <c r="F25" s="1142">
        <f>+B25*$F$100</f>
        <v>16.863421760755195</v>
      </c>
      <c r="G25" s="1141">
        <f>+H25</f>
        <v>8.9214020772181364</v>
      </c>
      <c r="H25" s="1141">
        <v>8.9214020772181364</v>
      </c>
      <c r="I25" s="1143">
        <f t="shared" si="2"/>
        <v>0</v>
      </c>
      <c r="J25" s="138">
        <f t="shared" si="3"/>
        <v>0.16576042245572675</v>
      </c>
      <c r="K25" s="1144">
        <f t="shared" si="1"/>
        <v>0.37558016154672114</v>
      </c>
      <c r="L25" s="958"/>
      <c r="M25" s="958"/>
      <c r="N25" s="228">
        <f t="shared" si="5"/>
        <v>0</v>
      </c>
      <c r="O25" s="1007"/>
      <c r="P25" s="958"/>
      <c r="Q25" s="958"/>
    </row>
    <row r="26" spans="1:17" x14ac:dyDescent="0.2">
      <c r="A26" s="1094" t="s">
        <v>45</v>
      </c>
      <c r="B26" s="150">
        <f>+TableA2!F26</f>
        <v>211.89440797463348</v>
      </c>
      <c r="C26" s="1140">
        <f t="shared" si="7"/>
        <v>149.3267410406817</v>
      </c>
      <c r="D26" s="1141">
        <v>197.62692991474606</v>
      </c>
      <c r="E26" s="1141">
        <v>48.300188874064361</v>
      </c>
      <c r="F26" s="1142">
        <f t="shared" si="4"/>
        <v>24.991709726182542</v>
      </c>
      <c r="G26" s="1141">
        <v>37.575957207769243</v>
      </c>
      <c r="H26" s="1141">
        <v>37.286823510883821</v>
      </c>
      <c r="I26" s="1143">
        <f t="shared" si="2"/>
        <v>0.2891336968854219</v>
      </c>
      <c r="J26" s="138">
        <f t="shared" si="3"/>
        <v>0.17596888878420774</v>
      </c>
      <c r="K26" s="1144">
        <f t="shared" si="1"/>
        <v>0.14336812664545062</v>
      </c>
      <c r="L26" s="958"/>
      <c r="M26" s="958"/>
      <c r="N26" s="228">
        <f t="shared" si="5"/>
        <v>0</v>
      </c>
      <c r="O26" s="1007"/>
      <c r="P26" s="958"/>
      <c r="Q26" s="958"/>
    </row>
    <row r="27" spans="1:17" x14ac:dyDescent="0.2">
      <c r="A27" s="1094" t="s">
        <v>46</v>
      </c>
      <c r="B27" s="150">
        <f>+TableA2!F27</f>
        <v>634.13536380108962</v>
      </c>
      <c r="C27" s="1140">
        <f t="shared" si="7"/>
        <v>108.93556666941774</v>
      </c>
      <c r="D27" s="1141">
        <v>326.29366355366722</v>
      </c>
      <c r="E27" s="1141">
        <v>217.35809688424948</v>
      </c>
      <c r="F27" s="1142">
        <f t="shared" si="4"/>
        <v>329.10255879616705</v>
      </c>
      <c r="G27" s="1141">
        <v>196.09723833550484</v>
      </c>
      <c r="H27" s="1141">
        <v>166.10688689066282</v>
      </c>
      <c r="I27" s="1143">
        <f t="shared" si="2"/>
        <v>29.99035144484202</v>
      </c>
      <c r="J27" s="138">
        <f t="shared" si="3"/>
        <v>0.26194231763861364</v>
      </c>
      <c r="K27" s="1144">
        <f t="shared" si="1"/>
        <v>0.75131030762760287</v>
      </c>
      <c r="L27" s="958"/>
      <c r="M27" s="958"/>
      <c r="N27" s="228">
        <f t="shared" si="5"/>
        <v>0</v>
      </c>
      <c r="O27" s="1007"/>
      <c r="P27" s="958"/>
      <c r="Q27" s="958"/>
    </row>
    <row r="28" spans="1:17" x14ac:dyDescent="0.2">
      <c r="A28" s="1094" t="s">
        <v>47</v>
      </c>
      <c r="B28" s="150">
        <f>+TableA2!F28</f>
        <v>248.21706968304588</v>
      </c>
      <c r="C28" s="1140">
        <f t="shared" si="7"/>
        <v>93.885864700539059</v>
      </c>
      <c r="D28" s="1141">
        <v>115.61104443899281</v>
      </c>
      <c r="E28" s="1141">
        <v>21.725179738453754</v>
      </c>
      <c r="F28" s="1142">
        <f t="shared" si="4"/>
        <v>110.5271370255689</v>
      </c>
      <c r="G28" s="1141">
        <v>43.804067956937914</v>
      </c>
      <c r="H28" s="1141">
        <v>45.573671217315002</v>
      </c>
      <c r="I28" s="1143">
        <f t="shared" si="2"/>
        <v>-1.7696032603770888</v>
      </c>
      <c r="J28" s="138">
        <f t="shared" si="3"/>
        <v>0.18360409812068557</v>
      </c>
      <c r="K28" s="1144">
        <f t="shared" si="1"/>
        <v>0.54070502410440469</v>
      </c>
      <c r="L28" s="958"/>
      <c r="M28" s="958"/>
      <c r="N28" s="228">
        <f t="shared" si="5"/>
        <v>0</v>
      </c>
      <c r="O28" s="1007"/>
      <c r="P28" s="958"/>
      <c r="Q28" s="958"/>
    </row>
    <row r="29" spans="1:17" x14ac:dyDescent="0.2">
      <c r="A29" s="1094" t="s">
        <v>48</v>
      </c>
      <c r="B29" s="150">
        <f>+TableA2!F29</f>
        <v>4.1858751479217755</v>
      </c>
      <c r="C29" s="1140">
        <f t="shared" si="7"/>
        <v>1.7372609822560412</v>
      </c>
      <c r="D29" s="1141">
        <v>2.1531754244121113</v>
      </c>
      <c r="E29" s="1141">
        <v>0.41591444215607015</v>
      </c>
      <c r="F29" s="1142">
        <f t="shared" si="4"/>
        <v>2.0290786206315254</v>
      </c>
      <c r="G29" s="1141">
        <v>0.4195355450342092</v>
      </c>
      <c r="H29" s="1141">
        <v>0.43100773130418485</v>
      </c>
      <c r="I29" s="1143">
        <f t="shared" si="2"/>
        <v>-1.1472186269975648E-2</v>
      </c>
      <c r="J29" s="138">
        <f t="shared" si="3"/>
        <v>0.10296717318914152</v>
      </c>
      <c r="K29" s="1144">
        <f t="shared" si="1"/>
        <v>0.53874021850708242</v>
      </c>
      <c r="L29" s="958"/>
      <c r="M29" s="958"/>
      <c r="N29" s="228">
        <f t="shared" si="5"/>
        <v>0</v>
      </c>
      <c r="O29" s="1007"/>
      <c r="P29" s="958"/>
      <c r="Q29" s="958"/>
    </row>
    <row r="30" spans="1:17" x14ac:dyDescent="0.2">
      <c r="A30" s="1094" t="s">
        <v>49</v>
      </c>
      <c r="B30" s="150">
        <f>+TableA2!F30</f>
        <v>59.277065941780656</v>
      </c>
      <c r="C30" s="1140">
        <f t="shared" si="7"/>
        <v>65.503033852043842</v>
      </c>
      <c r="D30" s="1141">
        <v>201.07457475608851</v>
      </c>
      <c r="E30" s="1141">
        <v>135.57154090404467</v>
      </c>
      <c r="F30" s="1142">
        <f t="shared" si="4"/>
        <v>-8.8217385951895277</v>
      </c>
      <c r="G30" s="1141">
        <v>2.5957706849263413</v>
      </c>
      <c r="H30" s="1141">
        <v>2.5454024193181679</v>
      </c>
      <c r="I30" s="1143">
        <f t="shared" si="2"/>
        <v>5.0368265608173424E-2</v>
      </c>
      <c r="J30" s="138">
        <f>H30/B30</f>
        <v>4.2940762652087926E-2</v>
      </c>
      <c r="K30" s="1144">
        <f t="shared" si="1"/>
        <v>-0.15563756183081823</v>
      </c>
      <c r="L30" s="958"/>
      <c r="M30" s="958"/>
      <c r="N30" s="228">
        <f t="shared" si="5"/>
        <v>0</v>
      </c>
      <c r="O30" s="1007"/>
      <c r="P30" s="958"/>
      <c r="Q30" s="958"/>
    </row>
    <row r="31" spans="1:17" x14ac:dyDescent="0.2">
      <c r="A31" s="1094" t="s">
        <v>50</v>
      </c>
      <c r="B31" s="150">
        <f>+TableA2!F31</f>
        <v>325.04468785135941</v>
      </c>
      <c r="C31" s="1140">
        <f>D31-E31</f>
        <v>209.43892477328907</v>
      </c>
      <c r="D31" s="1141">
        <v>212.92763429591386</v>
      </c>
      <c r="E31" s="1141">
        <v>3.4887095226247764</v>
      </c>
      <c r="F31" s="1142">
        <f t="shared" si="4"/>
        <v>81.25222776723794</v>
      </c>
      <c r="G31" s="1141">
        <v>34.353535310832406</v>
      </c>
      <c r="H31" s="1141">
        <v>37.382194532689283</v>
      </c>
      <c r="I31" s="1143">
        <f t="shared" si="2"/>
        <v>-3.0286592218568771</v>
      </c>
      <c r="J31" s="138">
        <f t="shared" si="3"/>
        <v>0.11500632352983997</v>
      </c>
      <c r="K31" s="1144">
        <f t="shared" si="1"/>
        <v>0.27951393448725648</v>
      </c>
      <c r="L31" s="958"/>
      <c r="M31" s="958"/>
      <c r="N31" s="228">
        <f t="shared" si="5"/>
        <v>0</v>
      </c>
      <c r="O31" s="1007"/>
      <c r="P31" s="958"/>
      <c r="Q31" s="958"/>
    </row>
    <row r="32" spans="1:17" x14ac:dyDescent="0.2">
      <c r="A32" s="1094" t="s">
        <v>51</v>
      </c>
      <c r="B32" s="150">
        <f>+TableA2!F32</f>
        <v>159.74775386260217</v>
      </c>
      <c r="C32" s="1140">
        <f>D32-E32</f>
        <v>11.366824930489258</v>
      </c>
      <c r="D32" s="1141">
        <v>234.81271744639605</v>
      </c>
      <c r="E32" s="1141">
        <v>223.44589251590679</v>
      </c>
      <c r="F32" s="1142">
        <f t="shared" si="4"/>
        <v>129.46801396093201</v>
      </c>
      <c r="G32" s="1141">
        <v>18.9129149711809</v>
      </c>
      <c r="H32" s="1141">
        <v>20.455626794608605</v>
      </c>
      <c r="I32" s="1143">
        <f t="shared" si="2"/>
        <v>-1.5427118234277053</v>
      </c>
      <c r="J32" s="138">
        <f t="shared" si="3"/>
        <v>0.12804954248184505</v>
      </c>
      <c r="K32" s="1144">
        <f t="shared" si="1"/>
        <v>0.91928967988345067</v>
      </c>
      <c r="L32" s="958"/>
      <c r="M32" s="958"/>
      <c r="N32" s="228">
        <f t="shared" si="5"/>
        <v>0</v>
      </c>
      <c r="O32" s="1007"/>
      <c r="P32" s="958"/>
      <c r="Q32" s="958"/>
    </row>
    <row r="33" spans="1:15" x14ac:dyDescent="0.2">
      <c r="A33" s="1094" t="s">
        <v>52</v>
      </c>
      <c r="B33" s="150">
        <f>+TableA2!F33</f>
        <v>43.62366684525152</v>
      </c>
      <c r="C33" s="1140">
        <f>+B33-F33-G33</f>
        <v>22.000521311661942</v>
      </c>
      <c r="D33" s="1141"/>
      <c r="E33" s="1141"/>
      <c r="F33" s="1142">
        <f>+B33*$F$100</f>
        <v>13.668334605923475</v>
      </c>
      <c r="G33" s="1141">
        <f>+H33</f>
        <v>7.9548109276661032</v>
      </c>
      <c r="H33" s="1141">
        <v>7.9548109276661032</v>
      </c>
      <c r="I33" s="1143">
        <f t="shared" si="2"/>
        <v>0</v>
      </c>
      <c r="J33" s="138">
        <f t="shared" si="3"/>
        <v>0.18235080869942946</v>
      </c>
      <c r="K33" s="1144">
        <f t="shared" si="1"/>
        <v>0.38320081354739299</v>
      </c>
      <c r="L33" s="958"/>
      <c r="M33" s="958"/>
      <c r="N33" s="228">
        <f t="shared" si="5"/>
        <v>0</v>
      </c>
      <c r="O33" s="1007"/>
    </row>
    <row r="34" spans="1:15" x14ac:dyDescent="0.2">
      <c r="A34" s="1094" t="s">
        <v>53</v>
      </c>
      <c r="B34" s="150">
        <f>+TableA2!F34</f>
        <v>76.129871814410606</v>
      </c>
      <c r="C34" s="1140">
        <f>D34-E34</f>
        <v>35.308296566774978</v>
      </c>
      <c r="D34" s="1141">
        <v>71.85900291995442</v>
      </c>
      <c r="E34" s="1141">
        <v>36.550706353179443</v>
      </c>
      <c r="F34" s="1142">
        <f t="shared" si="4"/>
        <v>23.797250230556987</v>
      </c>
      <c r="G34" s="1141">
        <v>17.024325017078642</v>
      </c>
      <c r="H34" s="1141">
        <v>16.980179105913855</v>
      </c>
      <c r="I34" s="1143">
        <f t="shared" si="2"/>
        <v>4.4145911164786611E-2</v>
      </c>
      <c r="J34" s="138">
        <f t="shared" si="3"/>
        <v>0.22304226581791881</v>
      </c>
      <c r="K34" s="1144">
        <f t="shared" si="1"/>
        <v>0.40262296044998602</v>
      </c>
      <c r="L34" s="958"/>
      <c r="M34" s="958"/>
      <c r="N34" s="228">
        <f t="shared" si="5"/>
        <v>0</v>
      </c>
      <c r="O34" s="1007"/>
    </row>
    <row r="35" spans="1:15" x14ac:dyDescent="0.2">
      <c r="A35" s="1094" t="s">
        <v>54</v>
      </c>
      <c r="B35" s="150">
        <f>+TableA2!F35</f>
        <v>87.784586815227485</v>
      </c>
      <c r="C35" s="1140">
        <f t="shared" ref="C35:C43" si="8">D35-E35</f>
        <v>20.470088871203078</v>
      </c>
      <c r="D35" s="1141">
        <v>25.818012999071495</v>
      </c>
      <c r="E35" s="1141">
        <v>5.347924127868418</v>
      </c>
      <c r="F35" s="1142">
        <f t="shared" si="4"/>
        <v>57.266480965645314</v>
      </c>
      <c r="G35" s="1141">
        <v>10.048016978379096</v>
      </c>
      <c r="H35" s="1141">
        <v>8.7820665870805144</v>
      </c>
      <c r="I35" s="1143">
        <f t="shared" si="2"/>
        <v>1.2659503912985812</v>
      </c>
      <c r="J35" s="138">
        <f t="shared" si="3"/>
        <v>0.10004109953339942</v>
      </c>
      <c r="K35" s="1144">
        <f t="shared" si="1"/>
        <v>0.73667362845871387</v>
      </c>
      <c r="L35" s="958"/>
      <c r="M35" s="958"/>
      <c r="N35" s="228">
        <f t="shared" si="5"/>
        <v>0</v>
      </c>
      <c r="O35" s="1007"/>
    </row>
    <row r="36" spans="1:15" x14ac:dyDescent="0.2">
      <c r="A36" s="1094" t="s">
        <v>55</v>
      </c>
      <c r="B36" s="150">
        <f>+TableA2!F36</f>
        <v>26.618072907828797</v>
      </c>
      <c r="C36" s="1140">
        <f t="shared" si="8"/>
        <v>10.791601924896218</v>
      </c>
      <c r="D36" s="1141">
        <v>19.309094679917795</v>
      </c>
      <c r="E36" s="1141">
        <v>8.5174927550215767</v>
      </c>
      <c r="F36" s="1142">
        <f t="shared" si="4"/>
        <v>9.4975328810559265</v>
      </c>
      <c r="G36" s="1141">
        <v>6.328938101876652</v>
      </c>
      <c r="H36" s="1141">
        <v>6.2258326041219583</v>
      </c>
      <c r="I36" s="1143">
        <f t="shared" si="2"/>
        <v>0.10310549775469369</v>
      </c>
      <c r="J36" s="138">
        <f t="shared" si="3"/>
        <v>0.23389494144374526</v>
      </c>
      <c r="K36" s="1144">
        <f t="shared" si="1"/>
        <v>0.4681093093368216</v>
      </c>
      <c r="L36" s="958"/>
      <c r="M36" s="958"/>
      <c r="N36" s="228">
        <f t="shared" si="5"/>
        <v>0</v>
      </c>
      <c r="O36" s="1007"/>
    </row>
    <row r="37" spans="1:15" x14ac:dyDescent="0.2">
      <c r="A37" s="1094" t="s">
        <v>56</v>
      </c>
      <c r="B37" s="150">
        <f>+TableA2!F37</f>
        <v>11.604550057172386</v>
      </c>
      <c r="C37" s="1140">
        <f t="shared" si="8"/>
        <v>3.4478710909556725</v>
      </c>
      <c r="D37" s="1141">
        <v>5.3554980319610852</v>
      </c>
      <c r="E37" s="1141">
        <v>1.907626941005413</v>
      </c>
      <c r="F37" s="1142">
        <f t="shared" si="4"/>
        <v>4.8172723834620355</v>
      </c>
      <c r="G37" s="1141">
        <v>3.3394065827546777</v>
      </c>
      <c r="H37" s="1141">
        <v>2.9169999999999998</v>
      </c>
      <c r="I37" s="1143">
        <f t="shared" si="2"/>
        <v>0.42240658275467791</v>
      </c>
      <c r="J37" s="138">
        <f t="shared" si="3"/>
        <v>0.25136691949526291</v>
      </c>
      <c r="K37" s="1144">
        <f t="shared" si="1"/>
        <v>0.5828419552996833</v>
      </c>
      <c r="L37" s="958"/>
      <c r="M37" s="958"/>
      <c r="N37" s="228">
        <f t="shared" si="5"/>
        <v>0</v>
      </c>
      <c r="O37" s="1007"/>
    </row>
    <row r="38" spans="1:15" x14ac:dyDescent="0.2">
      <c r="A38" s="1094" t="s">
        <v>57</v>
      </c>
      <c r="B38" s="150">
        <f>+TableA2!F38</f>
        <v>3.417758487410429</v>
      </c>
      <c r="C38" s="1140">
        <f t="shared" si="8"/>
        <v>1.2037513073124095</v>
      </c>
      <c r="D38" s="1141">
        <v>1.3932874845146557</v>
      </c>
      <c r="E38" s="1141">
        <v>0.18953617720224611</v>
      </c>
      <c r="F38" s="1142">
        <f t="shared" si="4"/>
        <v>1.5654103158732959</v>
      </c>
      <c r="G38" s="1141">
        <v>0.64859686422472362</v>
      </c>
      <c r="H38" s="1141">
        <v>0.62991330425360359</v>
      </c>
      <c r="I38" s="1143">
        <f t="shared" si="2"/>
        <v>1.8683559971120034E-2</v>
      </c>
      <c r="J38" s="138">
        <f t="shared" si="3"/>
        <v>0.18430597322014902</v>
      </c>
      <c r="K38" s="1144">
        <f t="shared" si="1"/>
        <v>0.56530117374384703</v>
      </c>
      <c r="L38" s="958"/>
      <c r="M38" s="958"/>
      <c r="N38" s="228">
        <f t="shared" si="5"/>
        <v>0</v>
      </c>
      <c r="O38" s="1007"/>
    </row>
    <row r="39" spans="1:15" x14ac:dyDescent="0.2">
      <c r="A39" s="1094" t="s">
        <v>58</v>
      </c>
      <c r="B39" s="150">
        <f>+TableA2!F39</f>
        <v>158.95366208289389</v>
      </c>
      <c r="C39" s="1140">
        <f t="shared" si="8"/>
        <v>43.046207047231817</v>
      </c>
      <c r="D39" s="1141">
        <v>93.618540933989451</v>
      </c>
      <c r="E39" s="1141">
        <v>50.572333886757633</v>
      </c>
      <c r="F39" s="1142">
        <f t="shared" si="4"/>
        <v>87.835866996281325</v>
      </c>
      <c r="G39" s="1141">
        <v>28.071588039380742</v>
      </c>
      <c r="H39" s="1141">
        <v>28.380403234482216</v>
      </c>
      <c r="I39" s="1143">
        <f t="shared" si="2"/>
        <v>-0.30881519510147371</v>
      </c>
      <c r="J39" s="138">
        <f t="shared" si="3"/>
        <v>0.17854513612704259</v>
      </c>
      <c r="K39" s="1144">
        <f t="shared" si="1"/>
        <v>0.67110693070984917</v>
      </c>
      <c r="L39" s="958"/>
      <c r="M39" s="958"/>
      <c r="N39" s="228">
        <f t="shared" si="5"/>
        <v>0</v>
      </c>
      <c r="O39" s="1007"/>
    </row>
    <row r="40" spans="1:15" x14ac:dyDescent="0.2">
      <c r="A40" s="1094" t="s">
        <v>59</v>
      </c>
      <c r="B40" s="150">
        <f>+TableA2!F40</f>
        <v>63.367762356160583</v>
      </c>
      <c r="C40" s="1140">
        <f t="shared" si="8"/>
        <v>29.230900736599537</v>
      </c>
      <c r="D40" s="1141">
        <v>135.3610577840175</v>
      </c>
      <c r="E40" s="1141">
        <v>106.13015704741797</v>
      </c>
      <c r="F40" s="1142">
        <f t="shared" si="4"/>
        <v>19.663085528227491</v>
      </c>
      <c r="G40" s="1141">
        <v>14.473776091333553</v>
      </c>
      <c r="H40" s="1141">
        <v>14.727097286125488</v>
      </c>
      <c r="I40" s="1143">
        <f t="shared" si="2"/>
        <v>-0.25332119479193516</v>
      </c>
      <c r="J40" s="138">
        <f t="shared" si="3"/>
        <v>0.23240677496786705</v>
      </c>
      <c r="K40" s="1144">
        <f t="shared" si="1"/>
        <v>0.4021575459551468</v>
      </c>
      <c r="L40" s="958"/>
      <c r="M40" s="958"/>
      <c r="N40" s="228">
        <f t="shared" si="5"/>
        <v>0</v>
      </c>
      <c r="O40" s="1007"/>
    </row>
    <row r="41" spans="1:15" x14ac:dyDescent="0.2">
      <c r="A41" s="1094" t="s">
        <v>60</v>
      </c>
      <c r="B41" s="150">
        <f>+TableA2!F41</f>
        <v>94.889238877326122</v>
      </c>
      <c r="C41" s="1140">
        <f t="shared" si="8"/>
        <v>74.71346130066992</v>
      </c>
      <c r="D41" s="1141">
        <v>202.68024368727148</v>
      </c>
      <c r="E41" s="1141">
        <v>127.96678238660157</v>
      </c>
      <c r="F41" s="1142">
        <f t="shared" si="4"/>
        <v>-2.8898017521127599</v>
      </c>
      <c r="G41" s="1141">
        <v>23.065579328768962</v>
      </c>
      <c r="H41" s="1141">
        <v>20.105337698894719</v>
      </c>
      <c r="I41" s="1143">
        <f t="shared" si="2"/>
        <v>2.9602416298742433</v>
      </c>
      <c r="J41" s="138">
        <f t="shared" si="3"/>
        <v>0.21188216848158226</v>
      </c>
      <c r="K41" s="1144">
        <f t="shared" si="1"/>
        <v>-4.0234677128350417E-2</v>
      </c>
      <c r="L41" s="958"/>
      <c r="M41" s="958"/>
      <c r="N41" s="228">
        <f t="shared" si="5"/>
        <v>0</v>
      </c>
      <c r="O41" s="1007"/>
    </row>
    <row r="42" spans="1:15" x14ac:dyDescent="0.2">
      <c r="A42" s="1094" t="s">
        <v>61</v>
      </c>
      <c r="B42" s="150">
        <f>+TableA2!F42</f>
        <v>212.59949330572061</v>
      </c>
      <c r="C42" s="1140">
        <f t="shared" si="8"/>
        <v>152.81711200220295</v>
      </c>
      <c r="D42" s="1141">
        <v>183.4046982932777</v>
      </c>
      <c r="E42" s="1141">
        <v>30.587586291074768</v>
      </c>
      <c r="F42" s="1142">
        <f t="shared" si="4"/>
        <v>44.952206109244415</v>
      </c>
      <c r="G42" s="1141">
        <v>14.830175194273254</v>
      </c>
      <c r="H42" s="1141">
        <v>12.275014163556076</v>
      </c>
      <c r="I42" s="1143">
        <f t="shared" si="2"/>
        <v>2.5551610307171781</v>
      </c>
      <c r="J42" s="138">
        <f>H42/B42</f>
        <v>5.7737739505824968E-2</v>
      </c>
      <c r="K42" s="1144">
        <f t="shared" si="1"/>
        <v>0.22729615765734126</v>
      </c>
      <c r="L42" s="958"/>
      <c r="M42" s="958"/>
      <c r="N42" s="228">
        <f t="shared" si="5"/>
        <v>0</v>
      </c>
      <c r="O42" s="1007"/>
    </row>
    <row r="43" spans="1:15" x14ac:dyDescent="0.2">
      <c r="A43" s="1094" t="s">
        <v>62</v>
      </c>
      <c r="B43" s="150">
        <f>+TableA2!F43</f>
        <v>425.05098961874262</v>
      </c>
      <c r="C43" s="1140">
        <f t="shared" si="8"/>
        <v>249.11197854998508</v>
      </c>
      <c r="D43" s="1141">
        <v>479.47199963333304</v>
      </c>
      <c r="E43" s="1141">
        <v>230.36002108334796</v>
      </c>
      <c r="F43" s="1142">
        <f t="shared" si="4"/>
        <v>99.536319122443686</v>
      </c>
      <c r="G43" s="1141">
        <v>76.402691946313851</v>
      </c>
      <c r="H43" s="1141">
        <v>70.19379874569357</v>
      </c>
      <c r="I43" s="1143">
        <f t="shared" si="2"/>
        <v>6.208893200620281</v>
      </c>
      <c r="J43" s="138">
        <f t="shared" si="3"/>
        <v>0.16514206638750611</v>
      </c>
      <c r="K43" s="1144">
        <f t="shared" si="1"/>
        <v>0.28549205542360817</v>
      </c>
      <c r="L43" s="958"/>
      <c r="M43" s="958"/>
      <c r="N43" s="228">
        <f t="shared" si="5"/>
        <v>0</v>
      </c>
      <c r="O43" s="1007"/>
    </row>
    <row r="44" spans="1:15" x14ac:dyDescent="0.2">
      <c r="A44" s="1094" t="s">
        <v>63</v>
      </c>
      <c r="B44" s="151">
        <f>+TableA2!F44</f>
        <v>1889.3969000000002</v>
      </c>
      <c r="C44" s="1140">
        <f>D44-E44</f>
        <v>1017.5402000000001</v>
      </c>
      <c r="D44" s="1141">
        <v>1614.7186000000002</v>
      </c>
      <c r="E44" s="1141">
        <v>597.17840000000001</v>
      </c>
      <c r="F44" s="1142">
        <f t="shared" si="4"/>
        <v>474.88500000000005</v>
      </c>
      <c r="G44" s="1141">
        <v>396.9717</v>
      </c>
      <c r="H44" s="1141">
        <v>404.99173999999999</v>
      </c>
      <c r="I44" s="1143">
        <f t="shared" si="2"/>
        <v>-8.0200399999999945</v>
      </c>
      <c r="J44" s="138">
        <f t="shared" si="3"/>
        <v>0.21434974303175788</v>
      </c>
      <c r="K44" s="1144">
        <f t="shared" si="1"/>
        <v>0.3181968516747104</v>
      </c>
      <c r="L44" s="958"/>
      <c r="M44" s="958"/>
      <c r="N44" s="228">
        <f t="shared" si="5"/>
        <v>0</v>
      </c>
      <c r="O44" s="1007"/>
    </row>
    <row r="45" spans="1:15" ht="40" customHeight="1" x14ac:dyDescent="0.2">
      <c r="A45" s="140" t="s">
        <v>64</v>
      </c>
      <c r="B45" s="232">
        <f>SUM(B46:B52)</f>
        <v>3157.101545061153</v>
      </c>
      <c r="C45" s="1146">
        <f>SUM(C46:C52)</f>
        <v>700.72661775039535</v>
      </c>
      <c r="D45" s="233"/>
      <c r="E45" s="223"/>
      <c r="F45" s="1147">
        <f>SUM(F46:F52)</f>
        <v>1864.1772365029271</v>
      </c>
      <c r="G45" s="223">
        <f>SUM(G46:G52)</f>
        <v>592.19769080783021</v>
      </c>
      <c r="H45" s="1125"/>
      <c r="I45" s="1128"/>
      <c r="J45" s="215">
        <f>G45/B45</f>
        <v>0.18757638370366683</v>
      </c>
      <c r="K45" s="216">
        <f>F45/(B45-G45)</f>
        <v>0.72680199431709835</v>
      </c>
      <c r="L45" s="958"/>
      <c r="M45" s="958"/>
      <c r="N45" s="228">
        <f t="shared" si="5"/>
        <v>0</v>
      </c>
      <c r="O45" s="1007"/>
    </row>
    <row r="46" spans="1:15" x14ac:dyDescent="0.2">
      <c r="A46" s="1094" t="s">
        <v>65</v>
      </c>
      <c r="B46" s="151">
        <f>+TableA2!F46</f>
        <v>274.33569999999997</v>
      </c>
      <c r="C46" s="1140">
        <f>D46-E46</f>
        <v>121.60224641288116</v>
      </c>
      <c r="D46" s="1141">
        <v>152.64792732221909</v>
      </c>
      <c r="E46" s="1141">
        <v>31.045680909337932</v>
      </c>
      <c r="F46" s="1142">
        <f t="shared" si="4"/>
        <v>99.204758948047299</v>
      </c>
      <c r="G46" s="1141">
        <v>53.528694639071517</v>
      </c>
      <c r="H46" s="1148"/>
      <c r="I46" s="1128"/>
      <c r="J46" s="138">
        <f>G46/B46</f>
        <v>0.19512114040962047</v>
      </c>
      <c r="K46" s="1144">
        <f>F46/(B46-G46)</f>
        <v>0.44928266105456394</v>
      </c>
      <c r="L46" s="958"/>
      <c r="M46" s="958"/>
      <c r="N46" s="228">
        <f t="shared" si="5"/>
        <v>0</v>
      </c>
      <c r="O46" s="1007"/>
    </row>
    <row r="47" spans="1:15" x14ac:dyDescent="0.2">
      <c r="A47" s="1094" t="s">
        <v>66</v>
      </c>
      <c r="B47" s="151">
        <f>+TableA2!F47</f>
        <v>2068.7040725409047</v>
      </c>
      <c r="C47" s="1140">
        <v>339.50110140998845</v>
      </c>
      <c r="D47" s="1141">
        <v>398.57749145860936</v>
      </c>
      <c r="E47" s="1141">
        <v>59.07639004862088</v>
      </c>
      <c r="F47" s="1142">
        <f t="shared" si="4"/>
        <v>1307.2583215702728</v>
      </c>
      <c r="G47" s="1141">
        <v>421.94464956064348</v>
      </c>
      <c r="H47" s="1148"/>
      <c r="I47" s="1128"/>
      <c r="J47" s="138">
        <f t="shared" ref="J47:J53" si="9">G47/B47</f>
        <v>0.20396568806595239</v>
      </c>
      <c r="K47" s="1144">
        <f t="shared" ref="K47:K52" si="10">F47/(B47-G47)</f>
        <v>0.79383685517610802</v>
      </c>
      <c r="L47" s="958"/>
      <c r="M47" s="958"/>
      <c r="N47" s="228">
        <f t="shared" si="5"/>
        <v>0</v>
      </c>
      <c r="O47" s="1007"/>
    </row>
    <row r="48" spans="1:15" x14ac:dyDescent="0.2">
      <c r="A48" s="1094" t="s">
        <v>67</v>
      </c>
      <c r="B48" s="151">
        <f>+TableA2!F48</f>
        <v>58.600733808963028</v>
      </c>
      <c r="C48" s="1140">
        <f>D48-E48</f>
        <v>20.965170296054801</v>
      </c>
      <c r="D48" s="1141">
        <v>26.121849420957709</v>
      </c>
      <c r="E48" s="1141">
        <v>5.156679124902908</v>
      </c>
      <c r="F48" s="1142">
        <f>B48-C48-G48</f>
        <v>20.606377453076089</v>
      </c>
      <c r="G48" s="1141">
        <v>17.029186059832139</v>
      </c>
      <c r="H48" s="1148"/>
      <c r="I48" s="1128"/>
      <c r="J48" s="138">
        <f t="shared" si="9"/>
        <v>0.29059680575582675</v>
      </c>
      <c r="K48" s="1144">
        <f t="shared" si="10"/>
        <v>0.4956846345348519</v>
      </c>
      <c r="L48" s="958"/>
      <c r="M48" s="958"/>
      <c r="N48" s="228">
        <f t="shared" si="5"/>
        <v>0</v>
      </c>
      <c r="O48" s="1007"/>
    </row>
    <row r="49" spans="1:15" x14ac:dyDescent="0.2">
      <c r="A49" s="1094" t="s">
        <v>68</v>
      </c>
      <c r="B49" s="151">
        <f>+TableA2!F49</f>
        <v>13.202740172271037</v>
      </c>
      <c r="C49" s="1140">
        <f>D49-E49</f>
        <v>5.5171584177565274</v>
      </c>
      <c r="D49" s="1141">
        <v>6.0702131107272352</v>
      </c>
      <c r="E49" s="1141">
        <v>0.55305469297070775</v>
      </c>
      <c r="F49" s="1142">
        <f>B49-C49-G49</f>
        <v>6.1461613438136897</v>
      </c>
      <c r="G49" s="1141">
        <v>1.5394204107008198</v>
      </c>
      <c r="H49" s="1148"/>
      <c r="I49" s="1128"/>
      <c r="J49" s="138">
        <f t="shared" si="9"/>
        <v>0.1165985538315733</v>
      </c>
      <c r="K49" s="1144">
        <f t="shared" si="10"/>
        <v>0.52696500391465217</v>
      </c>
      <c r="L49" s="958"/>
      <c r="M49" s="958"/>
      <c r="N49" s="228">
        <f t="shared" si="5"/>
        <v>0</v>
      </c>
      <c r="O49" s="1007"/>
    </row>
    <row r="50" spans="1:15" x14ac:dyDescent="0.2">
      <c r="A50" s="1094" t="s">
        <v>69</v>
      </c>
      <c r="B50" s="151">
        <f>+TableA2!F50</f>
        <v>376.12710693199818</v>
      </c>
      <c r="C50" s="1140">
        <f>+B50-F50-G50</f>
        <v>116.65694414897868</v>
      </c>
      <c r="D50" s="1141"/>
      <c r="E50" s="1141"/>
      <c r="F50" s="1142">
        <f>+B50*$F$101</f>
        <v>222.09218828301951</v>
      </c>
      <c r="G50" s="1141">
        <v>37.377974500000001</v>
      </c>
      <c r="H50" s="1148"/>
      <c r="I50" s="1128"/>
      <c r="J50" s="138">
        <f t="shared" si="9"/>
        <v>9.9375912586799398E-2</v>
      </c>
      <c r="K50" s="1144">
        <f t="shared" si="10"/>
        <v>0.65562437514907335</v>
      </c>
      <c r="L50" s="958"/>
      <c r="M50" s="958"/>
      <c r="N50" s="228">
        <f t="shared" si="5"/>
        <v>0</v>
      </c>
      <c r="O50" s="1007"/>
    </row>
    <row r="51" spans="1:15" x14ac:dyDescent="0.2">
      <c r="A51" s="1094" t="s">
        <v>70</v>
      </c>
      <c r="B51" s="151">
        <f>+TableA2!F51</f>
        <v>289.6640115913587</v>
      </c>
      <c r="C51" s="1140">
        <f>+B51-F51-G51</f>
        <v>76.634846773783977</v>
      </c>
      <c r="D51" s="1141"/>
      <c r="E51" s="1141"/>
      <c r="F51" s="1142">
        <f>+B51*$F$101</f>
        <v>171.03822887403243</v>
      </c>
      <c r="G51" s="1141">
        <v>41.990935943542297</v>
      </c>
      <c r="H51" s="1148"/>
      <c r="I51" s="1128"/>
      <c r="J51" s="138">
        <f t="shared" si="9"/>
        <v>0.14496428366386327</v>
      </c>
      <c r="K51" s="1144">
        <f t="shared" si="10"/>
        <v>0.69058063104624101</v>
      </c>
      <c r="L51" s="958"/>
      <c r="M51" s="958"/>
      <c r="N51" s="228">
        <f t="shared" si="5"/>
        <v>0</v>
      </c>
      <c r="O51" s="1007"/>
    </row>
    <row r="52" spans="1:15" x14ac:dyDescent="0.2">
      <c r="A52" s="1094" t="s">
        <v>71</v>
      </c>
      <c r="B52" s="151">
        <f>+TableA2!F52</f>
        <v>76.467180015656993</v>
      </c>
      <c r="C52" s="1140">
        <v>19.849150290951819</v>
      </c>
      <c r="D52" s="1141">
        <v>28.808892495993607</v>
      </c>
      <c r="E52" s="1141">
        <v>8.9597422050417901</v>
      </c>
      <c r="F52" s="1142">
        <f>B52-C52-G52</f>
        <v>37.8312000306653</v>
      </c>
      <c r="G52" s="1141">
        <v>18.786829694039877</v>
      </c>
      <c r="H52" s="1148"/>
      <c r="I52" s="1128"/>
      <c r="J52" s="138">
        <f t="shared" si="9"/>
        <v>0.24568487670387729</v>
      </c>
      <c r="K52" s="1144">
        <f t="shared" si="10"/>
        <v>0.65587673826050152</v>
      </c>
      <c r="L52" s="958"/>
      <c r="M52" s="958"/>
      <c r="N52" s="228">
        <f t="shared" si="5"/>
        <v>0</v>
      </c>
      <c r="O52" s="1007"/>
    </row>
    <row r="53" spans="1:15" ht="40" customHeight="1" x14ac:dyDescent="0.2">
      <c r="A53" s="140" t="s">
        <v>72</v>
      </c>
      <c r="B53" s="232">
        <f>SUM(B54:B89)</f>
        <v>298.79844880635773</v>
      </c>
      <c r="C53" s="1149">
        <f>B53-F53-G53</f>
        <v>79.428662552132494</v>
      </c>
      <c r="D53" s="240"/>
      <c r="E53" s="240"/>
      <c r="F53" s="1147">
        <f>K53*(B53-G53)</f>
        <v>185.33354595497576</v>
      </c>
      <c r="G53" s="223">
        <f>SUM(G54:G89)</f>
        <v>34.036240299249471</v>
      </c>
      <c r="H53" s="240"/>
      <c r="I53" s="1150"/>
      <c r="J53" s="215">
        <f t="shared" si="9"/>
        <v>0.11391036478006394</v>
      </c>
      <c r="K53" s="216">
        <v>0.7</v>
      </c>
      <c r="L53" s="958"/>
      <c r="M53" s="958"/>
      <c r="N53" s="228">
        <f t="shared" si="5"/>
        <v>0</v>
      </c>
      <c r="O53" s="1007"/>
    </row>
    <row r="54" spans="1:15" x14ac:dyDescent="0.2">
      <c r="A54" s="1094" t="s">
        <v>73</v>
      </c>
      <c r="B54" s="144">
        <f>TableA2!F54</f>
        <v>1.2179448838266</v>
      </c>
      <c r="C54" s="1151">
        <f t="shared" ref="C54:C89" si="11">B54-F54-G54</f>
        <v>0.34711429189058107</v>
      </c>
      <c r="D54" s="1125"/>
      <c r="E54" s="1125"/>
      <c r="F54" s="1152">
        <f t="shared" ref="F54:F89" si="12">K54*(B54-G54)</f>
        <v>0.80993334774468895</v>
      </c>
      <c r="G54" s="1125">
        <f>J54*B54</f>
        <v>6.0897244191330004E-2</v>
      </c>
      <c r="H54" s="1125"/>
      <c r="I54" s="1128"/>
      <c r="J54" s="1153">
        <v>0.05</v>
      </c>
      <c r="K54" s="1144">
        <v>0.7</v>
      </c>
      <c r="L54" s="958"/>
      <c r="M54" s="958"/>
      <c r="N54" s="228">
        <f t="shared" si="5"/>
        <v>0</v>
      </c>
      <c r="O54" s="958"/>
    </row>
    <row r="55" spans="1:15" x14ac:dyDescent="0.2">
      <c r="A55" s="1094" t="s">
        <v>74</v>
      </c>
      <c r="B55" s="144">
        <f>TableA2!F55</f>
        <v>0.11526214699326522</v>
      </c>
      <c r="C55" s="1151">
        <f t="shared" si="11"/>
        <v>3.4578644097979575E-2</v>
      </c>
      <c r="D55" s="1125"/>
      <c r="E55" s="1125"/>
      <c r="F55" s="1152">
        <f t="shared" si="12"/>
        <v>8.0683502895285641E-2</v>
      </c>
      <c r="G55" s="1125">
        <f t="shared" ref="G55:G88" si="13">J55*B55</f>
        <v>0</v>
      </c>
      <c r="H55" s="1125"/>
      <c r="I55" s="1128"/>
      <c r="J55" s="1153">
        <v>0</v>
      </c>
      <c r="K55" s="1144">
        <v>0.7</v>
      </c>
      <c r="L55" s="958"/>
      <c r="M55" s="958"/>
      <c r="N55" s="228">
        <f t="shared" si="5"/>
        <v>0</v>
      </c>
      <c r="O55" s="958"/>
    </row>
    <row r="56" spans="1:15" x14ac:dyDescent="0.2">
      <c r="A56" s="1094" t="s">
        <v>76</v>
      </c>
      <c r="B56" s="144">
        <f>TableA2!F56</f>
        <v>0.74419221854700335</v>
      </c>
      <c r="C56" s="1151">
        <f t="shared" si="11"/>
        <v>0.21209478228589598</v>
      </c>
      <c r="D56" s="1125"/>
      <c r="E56" s="1125"/>
      <c r="F56" s="1152">
        <f t="shared" si="12"/>
        <v>0.49488782533375719</v>
      </c>
      <c r="G56" s="1125">
        <f t="shared" si="13"/>
        <v>3.7209610927350166E-2</v>
      </c>
      <c r="H56" s="1125"/>
      <c r="I56" s="1128"/>
      <c r="J56" s="1153">
        <v>0.05</v>
      </c>
      <c r="K56" s="1144">
        <v>0.7</v>
      </c>
      <c r="L56" s="958"/>
      <c r="M56" s="958"/>
      <c r="N56" s="228">
        <f t="shared" si="5"/>
        <v>0</v>
      </c>
      <c r="O56" s="958"/>
    </row>
    <row r="57" spans="1:15" x14ac:dyDescent="0.2">
      <c r="A57" s="1094" t="str">
        <f>+TableA1!A56</f>
        <v>Antigua and Barbuda</v>
      </c>
      <c r="B57" s="144">
        <f>TableA2!F57</f>
        <v>1.0830039076807072</v>
      </c>
      <c r="C57" s="1151">
        <f t="shared" si="11"/>
        <v>0.30865611368900153</v>
      </c>
      <c r="D57" s="1125"/>
      <c r="E57" s="1125"/>
      <c r="F57" s="1152">
        <f t="shared" si="12"/>
        <v>0.7201975986076703</v>
      </c>
      <c r="G57" s="1125">
        <f t="shared" si="13"/>
        <v>5.4150195384035364E-2</v>
      </c>
      <c r="H57" s="1125"/>
      <c r="I57" s="1128"/>
      <c r="J57" s="1153">
        <v>0.05</v>
      </c>
      <c r="K57" s="1144">
        <v>0.7</v>
      </c>
      <c r="L57" s="958"/>
      <c r="M57" s="958"/>
      <c r="N57" s="228">
        <f t="shared" si="5"/>
        <v>0</v>
      </c>
      <c r="O57" s="958"/>
    </row>
    <row r="58" spans="1:15" x14ac:dyDescent="0.2">
      <c r="A58" s="1094" t="s">
        <v>152</v>
      </c>
      <c r="B58" s="144">
        <f>TableA2!F58</f>
        <v>6.4122604015352946</v>
      </c>
      <c r="C58" s="1151">
        <f t="shared" si="11"/>
        <v>1.9236781204605888</v>
      </c>
      <c r="D58" s="1125"/>
      <c r="E58" s="1125"/>
      <c r="F58" s="1152">
        <f t="shared" si="12"/>
        <v>4.4885822810747058</v>
      </c>
      <c r="G58" s="1125">
        <f t="shared" si="13"/>
        <v>0</v>
      </c>
      <c r="H58" s="1125"/>
      <c r="I58" s="1128"/>
      <c r="J58" s="1153">
        <v>0</v>
      </c>
      <c r="K58" s="1144">
        <v>0.7</v>
      </c>
      <c r="L58" s="958"/>
      <c r="M58" s="958"/>
      <c r="N58" s="228">
        <f t="shared" si="5"/>
        <v>0</v>
      </c>
      <c r="O58" s="958"/>
    </row>
    <row r="59" spans="1:15" x14ac:dyDescent="0.2">
      <c r="A59" s="1094" t="s">
        <v>78</v>
      </c>
      <c r="B59" s="144">
        <f>TableA2!F59</f>
        <v>12.031979600790283</v>
      </c>
      <c r="C59" s="1151">
        <f t="shared" si="11"/>
        <v>3.6095938802370853</v>
      </c>
      <c r="D59" s="1125"/>
      <c r="E59" s="1125"/>
      <c r="F59" s="1152">
        <f t="shared" si="12"/>
        <v>8.4223857205531978</v>
      </c>
      <c r="G59" s="1125">
        <f t="shared" si="13"/>
        <v>0</v>
      </c>
      <c r="H59" s="1125"/>
      <c r="I59" s="1128"/>
      <c r="J59" s="1153">
        <v>0</v>
      </c>
      <c r="K59" s="1144">
        <v>0.7</v>
      </c>
      <c r="L59" s="958"/>
      <c r="M59" s="958"/>
      <c r="N59" s="228">
        <f t="shared" si="5"/>
        <v>0</v>
      </c>
      <c r="O59" s="958"/>
    </row>
    <row r="60" spans="1:15" x14ac:dyDescent="0.2">
      <c r="A60" s="1094" t="str">
        <f>+TableA1!A60</f>
        <v>Barbados</v>
      </c>
      <c r="B60" s="144">
        <f>TableA2!F60</f>
        <v>2.4710292318886387</v>
      </c>
      <c r="C60" s="1151">
        <f t="shared" si="11"/>
        <v>0.70424333108826209</v>
      </c>
      <c r="D60" s="1125"/>
      <c r="E60" s="1125"/>
      <c r="F60" s="1152">
        <f t="shared" si="12"/>
        <v>1.6432344392059446</v>
      </c>
      <c r="G60" s="1125">
        <f t="shared" si="13"/>
        <v>0.12355146159443194</v>
      </c>
      <c r="H60" s="1125"/>
      <c r="I60" s="1128"/>
      <c r="J60" s="1153">
        <v>0.05</v>
      </c>
      <c r="K60" s="1144">
        <v>0.7</v>
      </c>
      <c r="L60" s="958"/>
      <c r="M60" s="958"/>
      <c r="N60" s="228">
        <f t="shared" si="5"/>
        <v>0</v>
      </c>
      <c r="O60" s="958"/>
    </row>
    <row r="61" spans="1:15" x14ac:dyDescent="0.2">
      <c r="A61" s="1094" t="s">
        <v>80</v>
      </c>
      <c r="B61" s="144">
        <f>TableA2!F61</f>
        <v>0.93652438608518407</v>
      </c>
      <c r="C61" s="1151">
        <f t="shared" si="11"/>
        <v>0.28095731582555528</v>
      </c>
      <c r="D61" s="1125"/>
      <c r="E61" s="1125"/>
      <c r="F61" s="1152">
        <f t="shared" si="12"/>
        <v>0.65556707025962879</v>
      </c>
      <c r="G61" s="1125">
        <f t="shared" si="13"/>
        <v>0</v>
      </c>
      <c r="H61" s="1125"/>
      <c r="I61" s="1128"/>
      <c r="J61" s="1153">
        <v>0</v>
      </c>
      <c r="K61" s="1144">
        <v>0.7</v>
      </c>
      <c r="L61" s="958"/>
      <c r="M61" s="958"/>
      <c r="N61" s="228">
        <f t="shared" si="5"/>
        <v>0</v>
      </c>
      <c r="O61" s="958"/>
    </row>
    <row r="62" spans="1:15" x14ac:dyDescent="0.2">
      <c r="A62" s="1094" t="s">
        <v>81</v>
      </c>
      <c r="B62" s="144">
        <f>TableA2!F62</f>
        <v>1.7711671665296007</v>
      </c>
      <c r="C62" s="1151">
        <f t="shared" si="11"/>
        <v>0.53135014995888019</v>
      </c>
      <c r="D62" s="1125"/>
      <c r="E62" s="1125"/>
      <c r="F62" s="1152">
        <f t="shared" si="12"/>
        <v>1.2398170165707205</v>
      </c>
      <c r="G62" s="1125">
        <f t="shared" si="13"/>
        <v>0</v>
      </c>
      <c r="H62" s="1125"/>
      <c r="I62" s="1128"/>
      <c r="J62" s="1153">
        <v>0</v>
      </c>
      <c r="K62" s="1144">
        <v>0.7</v>
      </c>
      <c r="L62" s="958"/>
      <c r="M62" s="958"/>
      <c r="N62" s="228">
        <f t="shared" si="5"/>
        <v>0</v>
      </c>
      <c r="O62" s="958"/>
    </row>
    <row r="63" spans="1:15" x14ac:dyDescent="0.2">
      <c r="A63" s="1094" t="s">
        <v>82</v>
      </c>
      <c r="B63" s="144">
        <f>TableA2!F63</f>
        <v>0.17335876526209473</v>
      </c>
      <c r="C63" s="1151">
        <f t="shared" si="11"/>
        <v>4.9407248099697008E-2</v>
      </c>
      <c r="D63" s="1125"/>
      <c r="E63" s="1125"/>
      <c r="F63" s="1152">
        <f t="shared" si="12"/>
        <v>0.11528357889929298</v>
      </c>
      <c r="G63" s="1125">
        <f t="shared" si="13"/>
        <v>8.6679382631047377E-3</v>
      </c>
      <c r="H63" s="1125"/>
      <c r="I63" s="1128"/>
      <c r="J63" s="1153">
        <v>0.05</v>
      </c>
      <c r="K63" s="1144">
        <v>0.7</v>
      </c>
      <c r="L63" s="958"/>
      <c r="M63" s="958"/>
      <c r="N63" s="228">
        <f t="shared" si="5"/>
        <v>0</v>
      </c>
      <c r="O63" s="958"/>
    </row>
    <row r="64" spans="1:15" x14ac:dyDescent="0.2">
      <c r="A64" s="1094" t="s">
        <v>153</v>
      </c>
      <c r="B64" s="144">
        <f>TableA2!F64</f>
        <v>0.38988210454728756</v>
      </c>
      <c r="C64" s="1151">
        <f t="shared" si="11"/>
        <v>0.11696463136418628</v>
      </c>
      <c r="D64" s="1125"/>
      <c r="E64" s="1125"/>
      <c r="F64" s="1152">
        <f t="shared" si="12"/>
        <v>0.27291747318310128</v>
      </c>
      <c r="G64" s="1125">
        <f t="shared" si="13"/>
        <v>0</v>
      </c>
      <c r="H64" s="1125"/>
      <c r="I64" s="1128"/>
      <c r="J64" s="1153">
        <v>0</v>
      </c>
      <c r="K64" s="1144">
        <v>0.7</v>
      </c>
      <c r="L64" s="958"/>
      <c r="M64" s="958"/>
      <c r="N64" s="228">
        <f t="shared" si="5"/>
        <v>0</v>
      </c>
      <c r="O64" s="958"/>
    </row>
    <row r="65" spans="1:14" x14ac:dyDescent="0.2">
      <c r="A65" s="1094" t="s">
        <v>84</v>
      </c>
      <c r="B65" s="144">
        <f>TableA2!F65</f>
        <v>1.06456062592</v>
      </c>
      <c r="C65" s="1151">
        <f t="shared" si="11"/>
        <v>0.31936818777600007</v>
      </c>
      <c r="D65" s="1125"/>
      <c r="E65" s="1125"/>
      <c r="F65" s="1152">
        <f t="shared" si="12"/>
        <v>0.74519243814399994</v>
      </c>
      <c r="G65" s="1125">
        <f t="shared" si="13"/>
        <v>0</v>
      </c>
      <c r="H65" s="1125"/>
      <c r="I65" s="1128"/>
      <c r="J65" s="1153">
        <v>0</v>
      </c>
      <c r="K65" s="1144">
        <v>0.7</v>
      </c>
      <c r="L65" s="958"/>
      <c r="M65" s="958"/>
      <c r="N65" s="228">
        <f t="shared" si="5"/>
        <v>0</v>
      </c>
    </row>
    <row r="66" spans="1:14" x14ac:dyDescent="0.2">
      <c r="A66" s="1094" t="s">
        <v>85</v>
      </c>
      <c r="B66" s="144">
        <f>TableA2!F66</f>
        <v>0.45606590283580151</v>
      </c>
      <c r="C66" s="1151">
        <f t="shared" si="11"/>
        <v>0.12997878230820342</v>
      </c>
      <c r="D66" s="1125"/>
      <c r="E66" s="1125"/>
      <c r="F66" s="1152">
        <f t="shared" si="12"/>
        <v>0.303283825385808</v>
      </c>
      <c r="G66" s="1125">
        <f t="shared" si="13"/>
        <v>2.2803295141790077E-2</v>
      </c>
      <c r="H66" s="1125"/>
      <c r="I66" s="1128"/>
      <c r="J66" s="1153">
        <v>0.05</v>
      </c>
      <c r="K66" s="1144">
        <v>0.7</v>
      </c>
      <c r="L66" s="958"/>
      <c r="M66" s="958"/>
      <c r="N66" s="228">
        <f t="shared" si="5"/>
        <v>0</v>
      </c>
    </row>
    <row r="67" spans="1:14" x14ac:dyDescent="0.2">
      <c r="A67" s="1094" t="str">
        <f>+TableA1!A67</f>
        <v>Cyprus</v>
      </c>
      <c r="B67" s="144">
        <f>TableA2!F67</f>
        <v>3.12425</v>
      </c>
      <c r="C67" s="1151">
        <f t="shared" si="11"/>
        <v>0.58938294768310429</v>
      </c>
      <c r="D67" s="1125"/>
      <c r="E67" s="1125"/>
      <c r="F67" s="1152">
        <f t="shared" si="12"/>
        <v>1.375226877927243</v>
      </c>
      <c r="G67" s="1141">
        <v>1.1596401743896527</v>
      </c>
      <c r="H67" s="1125"/>
      <c r="I67" s="1128"/>
      <c r="J67" s="1123">
        <f t="shared" ref="J67" si="14">G67/B67</f>
        <v>0.37117393754970079</v>
      </c>
      <c r="K67" s="1144">
        <v>0.7</v>
      </c>
      <c r="L67" s="958"/>
      <c r="M67" s="958"/>
      <c r="N67" s="228">
        <f t="shared" si="5"/>
        <v>0</v>
      </c>
    </row>
    <row r="68" spans="1:14" x14ac:dyDescent="0.2">
      <c r="A68" s="1094" t="s">
        <v>87</v>
      </c>
      <c r="B68" s="144">
        <f>TableA2!F68</f>
        <v>3.0206026933210057</v>
      </c>
      <c r="C68" s="1151">
        <f t="shared" si="11"/>
        <v>0.86087176759648676</v>
      </c>
      <c r="D68" s="1125"/>
      <c r="E68" s="1125"/>
      <c r="F68" s="1152">
        <f t="shared" si="12"/>
        <v>2.0087007910584687</v>
      </c>
      <c r="G68" s="1125">
        <f t="shared" si="13"/>
        <v>0.15103013466605031</v>
      </c>
      <c r="H68" s="1125"/>
      <c r="I68" s="1128"/>
      <c r="J68" s="1153">
        <v>0.05</v>
      </c>
      <c r="K68" s="1144">
        <v>0.7</v>
      </c>
      <c r="L68" s="958"/>
      <c r="M68" s="958"/>
      <c r="N68" s="228">
        <f t="shared" si="5"/>
        <v>0</v>
      </c>
    </row>
    <row r="69" spans="1:14" x14ac:dyDescent="0.2">
      <c r="A69" s="1094" t="str">
        <f>+TableA1!A69</f>
        <v>Grenada</v>
      </c>
      <c r="B69" s="144">
        <f>TableA2!F69</f>
        <v>0.38326716933285948</v>
      </c>
      <c r="C69" s="1151">
        <f t="shared" si="11"/>
        <v>0.10923114325986498</v>
      </c>
      <c r="D69" s="1125"/>
      <c r="E69" s="1125"/>
      <c r="F69" s="1152">
        <f t="shared" si="12"/>
        <v>0.25487266760635152</v>
      </c>
      <c r="G69" s="1125">
        <f t="shared" si="13"/>
        <v>1.9163358466642976E-2</v>
      </c>
      <c r="H69" s="1125"/>
      <c r="I69" s="1128"/>
      <c r="J69" s="1153">
        <v>0.05</v>
      </c>
      <c r="K69" s="1144">
        <v>0.7</v>
      </c>
      <c r="L69" s="958"/>
      <c r="M69" s="958"/>
      <c r="N69" s="228">
        <f t="shared" si="5"/>
        <v>0</v>
      </c>
    </row>
    <row r="70" spans="1:14" x14ac:dyDescent="0.2">
      <c r="A70" s="1094" t="s">
        <v>89</v>
      </c>
      <c r="B70" s="144">
        <f>TableA2!F70</f>
        <v>2.0311467085553057</v>
      </c>
      <c r="C70" s="1151">
        <f t="shared" si="11"/>
        <v>0.60934401256659187</v>
      </c>
      <c r="D70" s="1125"/>
      <c r="E70" s="1125"/>
      <c r="F70" s="1152">
        <f t="shared" si="12"/>
        <v>1.4218026959887138</v>
      </c>
      <c r="G70" s="1125">
        <f t="shared" si="13"/>
        <v>0</v>
      </c>
      <c r="H70" s="1125"/>
      <c r="I70" s="1128"/>
      <c r="J70" s="1153">
        <v>0</v>
      </c>
      <c r="K70" s="1144">
        <v>0.7</v>
      </c>
      <c r="L70" s="958"/>
      <c r="M70" s="958"/>
      <c r="N70" s="228">
        <f t="shared" si="5"/>
        <v>0</v>
      </c>
    </row>
    <row r="71" spans="1:14" x14ac:dyDescent="0.2">
      <c r="A71" s="1094" t="s">
        <v>154</v>
      </c>
      <c r="B71" s="144">
        <f>TableA2!F71</f>
        <v>1.0873325907085956</v>
      </c>
      <c r="C71" s="1151">
        <f t="shared" si="11"/>
        <v>0.30988978835194969</v>
      </c>
      <c r="D71" s="1125"/>
      <c r="E71" s="1125"/>
      <c r="F71" s="1152">
        <f t="shared" si="12"/>
        <v>0.72307617282121606</v>
      </c>
      <c r="G71" s="1125">
        <f t="shared" si="13"/>
        <v>5.4366629535429783E-2</v>
      </c>
      <c r="H71" s="1125"/>
      <c r="I71" s="1128"/>
      <c r="J71" s="1153">
        <v>0.05</v>
      </c>
      <c r="K71" s="1144">
        <v>0.7</v>
      </c>
      <c r="L71" s="958"/>
      <c r="M71" s="958"/>
      <c r="N71" s="228">
        <f t="shared" si="5"/>
        <v>0</v>
      </c>
    </row>
    <row r="72" spans="1:14" x14ac:dyDescent="0.2">
      <c r="A72" s="1094" t="s">
        <v>91</v>
      </c>
      <c r="B72" s="144">
        <f>TableA2!F72</f>
        <v>73.929728212200004</v>
      </c>
      <c r="C72" s="1151">
        <f t="shared" si="11"/>
        <v>17.133991646493044</v>
      </c>
      <c r="D72" s="1125"/>
      <c r="E72" s="1125"/>
      <c r="F72" s="1152">
        <f t="shared" si="12"/>
        <v>39.979313841817103</v>
      </c>
      <c r="G72" s="1125">
        <f>135.574/8.062</f>
        <v>16.816422723889858</v>
      </c>
      <c r="H72" s="1125"/>
      <c r="I72" s="1128"/>
      <c r="J72" s="1123">
        <f t="shared" ref="J72" si="15">G72/B72</f>
        <v>0.22746496072083197</v>
      </c>
      <c r="K72" s="1144">
        <v>0.7</v>
      </c>
      <c r="L72" s="958"/>
      <c r="M72" s="958"/>
      <c r="N72" s="228">
        <f t="shared" si="5"/>
        <v>0</v>
      </c>
    </row>
    <row r="73" spans="1:14" x14ac:dyDescent="0.2">
      <c r="A73" s="1094" t="s">
        <v>92</v>
      </c>
      <c r="B73" s="144">
        <f>TableA2!F73</f>
        <v>2.9424971928045003</v>
      </c>
      <c r="C73" s="1151">
        <f t="shared" si="11"/>
        <v>0.88274915784135022</v>
      </c>
      <c r="D73" s="1125"/>
      <c r="E73" s="1125"/>
      <c r="F73" s="1152">
        <f t="shared" si="12"/>
        <v>2.0597480349631501</v>
      </c>
      <c r="G73" s="1125">
        <f t="shared" si="13"/>
        <v>0</v>
      </c>
      <c r="H73" s="1125"/>
      <c r="I73" s="1128"/>
      <c r="J73" s="1153">
        <v>0</v>
      </c>
      <c r="K73" s="1144">
        <v>0.7</v>
      </c>
      <c r="L73" s="958"/>
      <c r="M73" s="958"/>
      <c r="N73" s="228">
        <f t="shared" si="5"/>
        <v>0</v>
      </c>
    </row>
    <row r="74" spans="1:14" x14ac:dyDescent="0.2">
      <c r="A74" s="1094" t="s">
        <v>93</v>
      </c>
      <c r="B74" s="144">
        <f>TableA2!F74</f>
        <v>15.163250551852792</v>
      </c>
      <c r="C74" s="1151">
        <f t="shared" si="11"/>
        <v>4.3215264072780473</v>
      </c>
      <c r="D74" s="1125"/>
      <c r="E74" s="1125"/>
      <c r="F74" s="1152">
        <f t="shared" si="12"/>
        <v>10.083561616982106</v>
      </c>
      <c r="G74" s="1125">
        <f t="shared" si="13"/>
        <v>0.75816252759263969</v>
      </c>
      <c r="H74" s="1125"/>
      <c r="I74" s="1128"/>
      <c r="J74" s="1153">
        <v>0.05</v>
      </c>
      <c r="K74" s="1144">
        <v>0.7</v>
      </c>
      <c r="L74" s="958"/>
      <c r="M74" s="958"/>
      <c r="N74" s="228">
        <f t="shared" si="5"/>
        <v>-1.2212453270876722E-15</v>
      </c>
    </row>
    <row r="75" spans="1:14" x14ac:dyDescent="0.2">
      <c r="A75" s="1094" t="s">
        <v>94</v>
      </c>
      <c r="B75" s="144">
        <f>TableA2!F75</f>
        <v>1.3847476300640333</v>
      </c>
      <c r="C75" s="1151">
        <f t="shared" si="11"/>
        <v>0.39465307456824961</v>
      </c>
      <c r="D75" s="1125"/>
      <c r="E75" s="1125"/>
      <c r="F75" s="1152">
        <f t="shared" si="12"/>
        <v>0.92085717399258205</v>
      </c>
      <c r="G75" s="1125">
        <f t="shared" si="13"/>
        <v>6.9237381503201675E-2</v>
      </c>
      <c r="H75" s="1125"/>
      <c r="I75" s="1128"/>
      <c r="J75" s="1153">
        <v>0.05</v>
      </c>
      <c r="K75" s="1144">
        <v>0.7</v>
      </c>
      <c r="L75" s="958"/>
      <c r="M75" s="958"/>
      <c r="N75" s="228">
        <f t="shared" ref="N75:N89" si="16">B75-C75-F75-G75</f>
        <v>0</v>
      </c>
    </row>
    <row r="76" spans="1:14" x14ac:dyDescent="0.2">
      <c r="A76" s="1094" t="s">
        <v>95</v>
      </c>
      <c r="B76" s="144">
        <f>TableA2!F76</f>
        <v>12.938277299966822</v>
      </c>
      <c r="C76" s="1151">
        <f t="shared" si="11"/>
        <v>3.6874090304905458</v>
      </c>
      <c r="D76" s="1125"/>
      <c r="E76" s="1125"/>
      <c r="F76" s="1152">
        <f t="shared" si="12"/>
        <v>8.6039544044779355</v>
      </c>
      <c r="G76" s="1125">
        <f t="shared" si="13"/>
        <v>0.64691386499834114</v>
      </c>
      <c r="H76" s="1125"/>
      <c r="I76" s="1128"/>
      <c r="J76" s="1153">
        <v>0.05</v>
      </c>
      <c r="K76" s="1144">
        <v>0.7</v>
      </c>
      <c r="L76" s="958"/>
      <c r="M76" s="958"/>
      <c r="N76" s="228">
        <f t="shared" si="16"/>
        <v>0</v>
      </c>
    </row>
    <row r="77" spans="1:14" x14ac:dyDescent="0.2">
      <c r="A77" s="1094" t="s">
        <v>96</v>
      </c>
      <c r="B77" s="144">
        <f>TableA2!F77</f>
        <v>2.3329148139999996</v>
      </c>
      <c r="C77" s="1151">
        <f t="shared" si="11"/>
        <v>0.50480069680769302</v>
      </c>
      <c r="D77" s="1125"/>
      <c r="E77" s="1125"/>
      <c r="F77" s="1152">
        <f t="shared" si="12"/>
        <v>1.1778682925512838</v>
      </c>
      <c r="G77" s="1141">
        <v>0.65024582464102276</v>
      </c>
      <c r="H77" s="1125"/>
      <c r="I77" s="1128"/>
      <c r="J77" s="1123">
        <f t="shared" ref="J77" si="17">G77/B77</f>
        <v>0.27872677593663003</v>
      </c>
      <c r="K77" s="1144">
        <v>0.7</v>
      </c>
      <c r="L77" s="958"/>
      <c r="M77" s="958"/>
      <c r="N77" s="228">
        <f t="shared" si="16"/>
        <v>0</v>
      </c>
    </row>
    <row r="78" spans="1:14" x14ac:dyDescent="0.2">
      <c r="A78" s="1094" t="s">
        <v>97</v>
      </c>
      <c r="B78" s="144">
        <f>TableA2!F78</f>
        <v>3.4329997064598869E-2</v>
      </c>
      <c r="C78" s="1151">
        <f t="shared" si="11"/>
        <v>1.0298999119379662E-2</v>
      </c>
      <c r="D78" s="1125"/>
      <c r="E78" s="1125"/>
      <c r="F78" s="1152">
        <f t="shared" si="12"/>
        <v>2.4030997945219207E-2</v>
      </c>
      <c r="G78" s="1125">
        <f t="shared" si="13"/>
        <v>0</v>
      </c>
      <c r="H78" s="1125"/>
      <c r="I78" s="1128"/>
      <c r="J78" s="1153">
        <v>0</v>
      </c>
      <c r="K78" s="1144">
        <v>0.7</v>
      </c>
      <c r="L78" s="958"/>
      <c r="M78" s="958"/>
      <c r="N78" s="228">
        <f t="shared" si="16"/>
        <v>0</v>
      </c>
    </row>
    <row r="79" spans="1:14" x14ac:dyDescent="0.2">
      <c r="A79" s="1094" t="str">
        <f>+TableA1!A79</f>
        <v>Monaco</v>
      </c>
      <c r="B79" s="144">
        <f>TableA2!F79</f>
        <v>2.4865786089930788</v>
      </c>
      <c r="C79" s="1151">
        <f t="shared" si="11"/>
        <v>0.70867490356302754</v>
      </c>
      <c r="D79" s="1125"/>
      <c r="E79" s="1125"/>
      <c r="F79" s="1152">
        <f t="shared" si="12"/>
        <v>1.6535747749803973</v>
      </c>
      <c r="G79" s="1125">
        <f t="shared" si="13"/>
        <v>0.12432893044965394</v>
      </c>
      <c r="H79" s="1125"/>
      <c r="I79" s="1128"/>
      <c r="J79" s="1153">
        <v>0.05</v>
      </c>
      <c r="K79" s="1144">
        <v>0.7</v>
      </c>
      <c r="L79" s="958"/>
      <c r="M79" s="958"/>
      <c r="N79" s="228">
        <f t="shared" si="16"/>
        <v>0</v>
      </c>
    </row>
    <row r="80" spans="1:14" x14ac:dyDescent="0.2">
      <c r="A80" s="1094" t="s">
        <v>99</v>
      </c>
      <c r="B80" s="144">
        <f>TableA2!F80</f>
        <v>0.34426567154188054</v>
      </c>
      <c r="C80" s="1151">
        <f t="shared" si="11"/>
        <v>9.8115716389435947E-2</v>
      </c>
      <c r="D80" s="1125"/>
      <c r="E80" s="1125"/>
      <c r="F80" s="1152">
        <f t="shared" si="12"/>
        <v>0.22893667157535055</v>
      </c>
      <c r="G80" s="1125">
        <f t="shared" si="13"/>
        <v>1.7213283577094028E-2</v>
      </c>
      <c r="H80" s="1125"/>
      <c r="I80" s="1128"/>
      <c r="J80" s="1153">
        <v>0.05</v>
      </c>
      <c r="K80" s="1144">
        <v>0.7</v>
      </c>
      <c r="L80" s="958"/>
      <c r="M80" s="958"/>
      <c r="N80" s="228">
        <f t="shared" si="16"/>
        <v>0</v>
      </c>
    </row>
    <row r="81" spans="1:15" x14ac:dyDescent="0.2">
      <c r="A81" s="1094" t="s">
        <v>100</v>
      </c>
      <c r="B81" s="144">
        <f>TableA2!F81</f>
        <v>6.819284308547247</v>
      </c>
      <c r="C81" s="1151">
        <f t="shared" si="11"/>
        <v>1.9434960279359654</v>
      </c>
      <c r="D81" s="1125"/>
      <c r="E81" s="1125"/>
      <c r="F81" s="1152">
        <f t="shared" si="12"/>
        <v>4.5348240651839191</v>
      </c>
      <c r="G81" s="1125">
        <f t="shared" si="13"/>
        <v>0.34096421542736238</v>
      </c>
      <c r="H81" s="1125"/>
      <c r="I81" s="1128"/>
      <c r="J81" s="1153">
        <v>0.05</v>
      </c>
      <c r="K81" s="1144">
        <v>0.7</v>
      </c>
      <c r="L81" s="958"/>
      <c r="M81" s="958"/>
      <c r="N81" s="228">
        <f t="shared" si="16"/>
        <v>0</v>
      </c>
      <c r="O81" s="958"/>
    </row>
    <row r="82" spans="1:15" x14ac:dyDescent="0.2">
      <c r="A82" s="1094" t="str">
        <f>+TableA1!A82</f>
        <v>Seychelles</v>
      </c>
      <c r="B82" s="144">
        <f>TableA2!F82</f>
        <v>0.81332765904671878</v>
      </c>
      <c r="C82" s="1151">
        <f t="shared" si="11"/>
        <v>0.23179838282831489</v>
      </c>
      <c r="D82" s="1125"/>
      <c r="E82" s="1125"/>
      <c r="F82" s="1152">
        <f t="shared" si="12"/>
        <v>0.54086289326606796</v>
      </c>
      <c r="G82" s="1125">
        <f t="shared" si="13"/>
        <v>4.066638295233594E-2</v>
      </c>
      <c r="H82" s="1125"/>
      <c r="I82" s="1128"/>
      <c r="J82" s="1153">
        <v>0.05</v>
      </c>
      <c r="K82" s="1144">
        <v>0.7</v>
      </c>
      <c r="L82" s="958"/>
      <c r="M82" s="958"/>
      <c r="N82" s="228">
        <f t="shared" si="16"/>
        <v>0</v>
      </c>
      <c r="O82" s="958"/>
    </row>
    <row r="83" spans="1:15" x14ac:dyDescent="0.2">
      <c r="A83" s="1094" t="s">
        <v>102</v>
      </c>
      <c r="B83" s="144">
        <f>TableA2!F83</f>
        <v>64.547352786104156</v>
      </c>
      <c r="C83" s="1151">
        <f t="shared" si="11"/>
        <v>16.374065975691387</v>
      </c>
      <c r="D83" s="1125"/>
      <c r="E83" s="1125"/>
      <c r="F83" s="1152">
        <f t="shared" si="12"/>
        <v>38.206153943279901</v>
      </c>
      <c r="G83" s="1125">
        <f>14.253/1.43</f>
        <v>9.9671328671328681</v>
      </c>
      <c r="H83" s="1125"/>
      <c r="I83" s="1128"/>
      <c r="J83" s="1123">
        <f t="shared" ref="J83" si="18">G83/B83</f>
        <v>0.15441582709304549</v>
      </c>
      <c r="K83" s="1144">
        <v>0.7</v>
      </c>
      <c r="L83" s="958"/>
      <c r="M83" s="958"/>
      <c r="N83" s="228">
        <f t="shared" si="16"/>
        <v>0</v>
      </c>
      <c r="O83" s="958"/>
    </row>
    <row r="84" spans="1:15" x14ac:dyDescent="0.2">
      <c r="A84" s="1094" t="str">
        <f>+TableA1!A84</f>
        <v>St. Kitts and Nevis</v>
      </c>
      <c r="B84" s="144">
        <f>TableA2!F84</f>
        <v>0.46577557662910313</v>
      </c>
      <c r="C84" s="1151">
        <f t="shared" si="11"/>
        <v>0.13274603933929438</v>
      </c>
      <c r="D84" s="1125"/>
      <c r="E84" s="1125"/>
      <c r="F84" s="1152">
        <f t="shared" si="12"/>
        <v>0.30974075845835358</v>
      </c>
      <c r="G84" s="1125">
        <f t="shared" si="13"/>
        <v>2.3288778831455158E-2</v>
      </c>
      <c r="H84" s="1125"/>
      <c r="I84" s="1128"/>
      <c r="J84" s="1153">
        <v>0.05</v>
      </c>
      <c r="K84" s="1144">
        <v>0.7</v>
      </c>
      <c r="L84" s="958"/>
      <c r="M84" s="958"/>
      <c r="N84" s="228">
        <f t="shared" si="16"/>
        <v>3.4694469519536142E-17</v>
      </c>
      <c r="O84" s="958"/>
    </row>
    <row r="85" spans="1:15" x14ac:dyDescent="0.2">
      <c r="A85" s="1094" t="str">
        <f>+TableA1!A85</f>
        <v>St. Lucia</v>
      </c>
      <c r="B85" s="144">
        <f>TableA2!F85</f>
        <v>0.89780776493170278</v>
      </c>
      <c r="C85" s="1151">
        <f t="shared" si="11"/>
        <v>0.25587521300553534</v>
      </c>
      <c r="D85" s="1125"/>
      <c r="E85" s="1125"/>
      <c r="F85" s="1152">
        <f t="shared" si="12"/>
        <v>0.59704216367958229</v>
      </c>
      <c r="G85" s="1125">
        <f t="shared" si="13"/>
        <v>4.4890388246585144E-2</v>
      </c>
      <c r="H85" s="1125"/>
      <c r="I85" s="1128"/>
      <c r="J85" s="1153">
        <v>0.05</v>
      </c>
      <c r="K85" s="1144">
        <v>0.7</v>
      </c>
      <c r="L85" s="958"/>
      <c r="M85" s="958"/>
      <c r="N85" s="228">
        <f t="shared" si="16"/>
        <v>-5.5511151231257827E-17</v>
      </c>
      <c r="O85" s="958"/>
    </row>
    <row r="86" spans="1:15" x14ac:dyDescent="0.2">
      <c r="A86" s="1094" t="str">
        <f>+TableA1!A86</f>
        <v>St. Vincent and the Grenadines</v>
      </c>
      <c r="B86" s="144">
        <f>TableA2!F86</f>
        <v>0.3899945493812374</v>
      </c>
      <c r="C86" s="1151">
        <f t="shared" si="11"/>
        <v>0.11114844657365269</v>
      </c>
      <c r="D86" s="1125"/>
      <c r="E86" s="1125"/>
      <c r="F86" s="1152">
        <f t="shared" si="12"/>
        <v>0.25934637533852284</v>
      </c>
      <c r="G86" s="1125">
        <f t="shared" si="13"/>
        <v>1.9499727469061871E-2</v>
      </c>
      <c r="H86" s="1125"/>
      <c r="I86" s="1128"/>
      <c r="J86" s="1153">
        <v>0.05</v>
      </c>
      <c r="K86" s="1144">
        <v>0.7</v>
      </c>
      <c r="L86" s="958"/>
      <c r="M86" s="958"/>
      <c r="N86" s="228">
        <f t="shared" si="16"/>
        <v>0</v>
      </c>
      <c r="O86" s="958"/>
    </row>
    <row r="87" spans="1:15" x14ac:dyDescent="0.2">
      <c r="A87" s="1094" t="str">
        <f>+TableA1!A87</f>
        <v>Turks and Caicos</v>
      </c>
      <c r="B87" s="144">
        <f>TableA2!F87</f>
        <v>0.27378414777319332</v>
      </c>
      <c r="C87" s="1151">
        <f t="shared" si="11"/>
        <v>8.2135244331958013E-2</v>
      </c>
      <c r="D87" s="1125"/>
      <c r="E87" s="1125"/>
      <c r="F87" s="1152">
        <f t="shared" si="12"/>
        <v>0.19164890344123531</v>
      </c>
      <c r="G87" s="1125">
        <f t="shared" si="13"/>
        <v>0</v>
      </c>
      <c r="H87" s="1125"/>
      <c r="I87" s="1128"/>
      <c r="J87" s="1153">
        <v>0</v>
      </c>
      <c r="K87" s="1144">
        <v>0.7</v>
      </c>
      <c r="L87" s="958"/>
      <c r="M87" s="958"/>
      <c r="N87" s="228">
        <f t="shared" si="16"/>
        <v>0</v>
      </c>
      <c r="O87" s="958"/>
    </row>
    <row r="88" spans="1:15" x14ac:dyDescent="0.2">
      <c r="A88" s="1094" t="str">
        <f>+TableA1!A88</f>
        <v>Panama</v>
      </c>
      <c r="B88" s="144">
        <f>TableA2!F88</f>
        <v>21.755867199563681</v>
      </c>
      <c r="C88" s="1151">
        <f t="shared" si="11"/>
        <v>6.2004221518756513</v>
      </c>
      <c r="D88" s="1125"/>
      <c r="E88" s="1125"/>
      <c r="F88" s="1152">
        <f t="shared" si="12"/>
        <v>14.467651687709846</v>
      </c>
      <c r="G88" s="1125">
        <f t="shared" si="13"/>
        <v>1.0877933599781842</v>
      </c>
      <c r="H88" s="1125"/>
      <c r="I88" s="1128"/>
      <c r="J88" s="1153">
        <v>0.05</v>
      </c>
      <c r="K88" s="1144">
        <v>0.7</v>
      </c>
      <c r="L88" s="958"/>
      <c r="M88" s="958"/>
      <c r="N88" s="228">
        <f t="shared" si="16"/>
        <v>0</v>
      </c>
      <c r="O88" s="958"/>
    </row>
    <row r="89" spans="1:15" x14ac:dyDescent="0.2">
      <c r="A89" s="1094" t="s">
        <v>108</v>
      </c>
      <c r="B89" s="144">
        <f>TableA2!F89</f>
        <v>52.764834331533464</v>
      </c>
      <c r="C89" s="1151">
        <f t="shared" si="11"/>
        <v>15.308050299460042</v>
      </c>
      <c r="D89" s="1125"/>
      <c r="E89" s="1125"/>
      <c r="F89" s="1152">
        <f t="shared" si="12"/>
        <v>35.718784032073422</v>
      </c>
      <c r="G89" s="1125">
        <v>1.738</v>
      </c>
      <c r="H89" s="1125"/>
      <c r="I89" s="1128"/>
      <c r="J89" s="1123">
        <f t="shared" ref="J89" si="19">G89/B89</f>
        <v>3.2938604318924807E-2</v>
      </c>
      <c r="K89" s="1144">
        <v>0.7</v>
      </c>
      <c r="L89" s="958"/>
      <c r="M89" s="958"/>
      <c r="N89" s="228">
        <f t="shared" si="16"/>
        <v>0</v>
      </c>
      <c r="O89" s="958"/>
    </row>
    <row r="90" spans="1:15" ht="40" customHeight="1" x14ac:dyDescent="0.2">
      <c r="A90" s="140" t="s">
        <v>155</v>
      </c>
      <c r="B90" s="232">
        <f>TableA2!F90</f>
        <v>1423.1461018568671</v>
      </c>
      <c r="C90" s="1146">
        <f>B90-F90-G90</f>
        <v>315.87085188275307</v>
      </c>
      <c r="D90" s="223"/>
      <c r="E90" s="223"/>
      <c r="F90" s="1147">
        <f>(B90-G90)*K90</f>
        <v>840.32665070583255</v>
      </c>
      <c r="G90" s="223">
        <f>J90*B90</f>
        <v>266.94859926828144</v>
      </c>
      <c r="H90" s="223"/>
      <c r="I90" s="1129"/>
      <c r="J90" s="215">
        <f>J45</f>
        <v>0.18757638370366683</v>
      </c>
      <c r="K90" s="216">
        <f>K45</f>
        <v>0.72680199431709835</v>
      </c>
      <c r="L90" s="958"/>
      <c r="M90" s="958"/>
      <c r="N90" s="228">
        <f>B90-C90-F90-G90</f>
        <v>0</v>
      </c>
      <c r="O90" s="1007"/>
    </row>
    <row r="91" spans="1:15" ht="40" customHeight="1" thickBot="1" x14ac:dyDescent="0.25">
      <c r="A91" s="234" t="s">
        <v>110</v>
      </c>
      <c r="B91" s="235">
        <f>TableA2!F91</f>
        <v>11208.895794676813</v>
      </c>
      <c r="C91" s="236">
        <f>C90+C53+C45+C9</f>
        <v>4182.0495610534763</v>
      </c>
      <c r="D91" s="237"/>
      <c r="E91" s="237"/>
      <c r="F91" s="236">
        <f>F90+F53+F45+F9</f>
        <v>4873.1302177294483</v>
      </c>
      <c r="G91" s="236">
        <f>G90+G53+G45+G9</f>
        <v>2153.7160158938877</v>
      </c>
      <c r="H91" s="237"/>
      <c r="I91" s="238"/>
      <c r="J91" s="241">
        <f>G91/B91</f>
        <v>0.19214345956509857</v>
      </c>
      <c r="K91" s="239">
        <f>F91/(B91-G91)</f>
        <v>0.53815941116349963</v>
      </c>
      <c r="L91" s="958"/>
      <c r="M91" s="958"/>
      <c r="N91" s="228">
        <f>B91-C91-F91-G91</f>
        <v>0</v>
      </c>
      <c r="O91" s="1007"/>
    </row>
    <row r="92" spans="1:15" ht="28" customHeight="1" thickTop="1" x14ac:dyDescent="0.2">
      <c r="A92" s="1811"/>
      <c r="B92" s="223"/>
      <c r="C92" s="223"/>
      <c r="D92" s="223"/>
      <c r="E92" s="223"/>
      <c r="F92" s="223"/>
      <c r="G92" s="223"/>
      <c r="H92" s="223"/>
      <c r="I92" s="223"/>
      <c r="J92" s="242"/>
      <c r="K92" s="215"/>
      <c r="L92" s="958"/>
      <c r="M92" s="958"/>
      <c r="N92" s="228"/>
      <c r="O92" s="1007"/>
    </row>
    <row r="93" spans="1:15" s="2" customFormat="1" ht="17" thickBot="1" x14ac:dyDescent="0.25">
      <c r="B93" s="958"/>
      <c r="C93" s="958"/>
      <c r="D93" s="958"/>
      <c r="E93" s="958"/>
      <c r="F93" s="958"/>
      <c r="G93" s="958"/>
      <c r="H93" s="958"/>
      <c r="I93" s="958"/>
      <c r="J93" s="958"/>
      <c r="K93" s="958"/>
      <c r="L93" s="958"/>
      <c r="N93" s="1081"/>
    </row>
    <row r="94" spans="1:15" s="2" customFormat="1" ht="80.25" customHeight="1" thickBot="1" x14ac:dyDescent="0.25">
      <c r="A94" s="1931" t="s">
        <v>156</v>
      </c>
      <c r="B94" s="1962"/>
      <c r="C94" s="1962"/>
      <c r="D94" s="1962"/>
      <c r="E94" s="1962"/>
      <c r="F94" s="1962"/>
      <c r="G94" s="1962"/>
      <c r="H94" s="1962"/>
      <c r="I94" s="1962"/>
      <c r="J94" s="1962"/>
      <c r="K94" s="1963"/>
      <c r="L94" s="958"/>
    </row>
    <row r="95" spans="1:15" s="2" customFormat="1" x14ac:dyDescent="0.2">
      <c r="A95" s="958"/>
      <c r="B95" s="958"/>
      <c r="C95" s="958"/>
      <c r="D95" s="958"/>
      <c r="E95" s="958"/>
      <c r="F95" s="958"/>
      <c r="G95" s="958"/>
      <c r="H95" s="958"/>
      <c r="I95" s="958"/>
      <c r="J95" s="958"/>
      <c r="K95" s="958"/>
      <c r="L95" s="958"/>
    </row>
    <row r="96" spans="1:15" s="2" customFormat="1" x14ac:dyDescent="0.2">
      <c r="C96" s="958"/>
      <c r="D96" s="958"/>
      <c r="E96" s="958"/>
      <c r="F96" s="958"/>
      <c r="G96" s="958"/>
      <c r="H96" s="958"/>
      <c r="I96" s="958"/>
      <c r="J96" s="958"/>
      <c r="K96" s="958"/>
      <c r="L96" s="958"/>
    </row>
    <row r="97" spans="1:12" s="2" customFormat="1" x14ac:dyDescent="0.2">
      <c r="A97" s="958"/>
      <c r="B97" s="958"/>
      <c r="C97" s="958"/>
      <c r="D97" s="958"/>
      <c r="E97" s="958"/>
      <c r="F97" s="958"/>
      <c r="G97" s="958"/>
      <c r="H97" s="958"/>
      <c r="I97" s="958"/>
      <c r="J97" s="958"/>
      <c r="K97" s="958"/>
      <c r="L97" s="958"/>
    </row>
    <row r="98" spans="1:12" s="2" customFormat="1" x14ac:dyDescent="0.2">
      <c r="A98" s="958"/>
      <c r="B98" t="s">
        <v>112</v>
      </c>
      <c r="C98"/>
      <c r="D98"/>
      <c r="E98"/>
      <c r="F98"/>
      <c r="G98"/>
      <c r="H98" s="958"/>
      <c r="I98" s="958"/>
      <c r="J98" s="958"/>
      <c r="K98" s="958"/>
      <c r="L98" s="958"/>
    </row>
    <row r="99" spans="1:12" x14ac:dyDescent="0.2">
      <c r="A99" s="958"/>
      <c r="B99"/>
      <c r="C99" s="1004" t="s">
        <v>157</v>
      </c>
      <c r="D99" t="s">
        <v>146</v>
      </c>
      <c r="E99" t="s">
        <v>147</v>
      </c>
      <c r="F99" s="958" t="s">
        <v>148</v>
      </c>
      <c r="G99" s="958" t="s">
        <v>149</v>
      </c>
      <c r="H99"/>
      <c r="I99"/>
      <c r="J99" s="958"/>
      <c r="K99" s="958"/>
      <c r="L99" s="958"/>
    </row>
    <row r="100" spans="1:12" s="2" customFormat="1" x14ac:dyDescent="0.2">
      <c r="A100" s="958"/>
      <c r="B100" t="s">
        <v>115</v>
      </c>
      <c r="D100"/>
      <c r="E100"/>
      <c r="F100" s="106">
        <f>+SUM(F10:F22,F24,F26:F32,F34:F44)/SUM(B10:B22,B24,B26:B32,B34:B44)</f>
        <v>0.3133238353027466</v>
      </c>
      <c r="G100"/>
      <c r="H100" s="958"/>
      <c r="I100" s="958"/>
      <c r="J100" s="958"/>
      <c r="K100" s="958"/>
      <c r="L100" s="958"/>
    </row>
    <row r="101" spans="1:12" x14ac:dyDescent="0.2">
      <c r="A101" s="958"/>
      <c r="B101" t="s">
        <v>117</v>
      </c>
      <c r="C101">
        <f>+SUM(C46:C49,C52)/SUM($B$46:$B$49,$B$52)</f>
        <v>0.20368189424423558</v>
      </c>
      <c r="D101">
        <f>+SUM(D46:D49,D52)/SUM($B$46:$B$49,$B$52)</f>
        <v>0.24574471622925181</v>
      </c>
      <c r="E101">
        <f>+SUM(E46:E49,E52)/SUM($B$46:$B$49,$B$52)</f>
        <v>4.2062821985016249E-2</v>
      </c>
      <c r="F101" s="106">
        <f>+SUM(F46:F49,F52)/SUM(B46:B49,B52)</f>
        <v>0.59047110455448404</v>
      </c>
      <c r="G101" s="106">
        <f>+SUM(G46:G49,G52)/SUM(B46:B49,B52)</f>
        <v>0.2058470012012803</v>
      </c>
      <c r="H101" s="958"/>
      <c r="I101" s="958"/>
      <c r="J101" s="958"/>
      <c r="K101" s="958"/>
      <c r="L101" s="958"/>
    </row>
    <row r="102" spans="1:12" x14ac:dyDescent="0.2">
      <c r="A102" s="958"/>
      <c r="B102"/>
      <c r="C102"/>
      <c r="D102"/>
      <c r="E102" s="958"/>
      <c r="F102"/>
      <c r="G102"/>
      <c r="H102" s="958"/>
      <c r="I102" s="958"/>
      <c r="J102" s="958"/>
      <c r="K102" s="958"/>
      <c r="L102" s="958"/>
    </row>
    <row r="103" spans="1:12" x14ac:dyDescent="0.2">
      <c r="A103" s="958"/>
      <c r="B103" s="109"/>
      <c r="C103"/>
      <c r="D103"/>
      <c r="E103" s="958"/>
      <c r="F103" s="958"/>
      <c r="G103" s="958"/>
      <c r="H103" s="958"/>
      <c r="I103" s="958"/>
      <c r="J103" s="958"/>
      <c r="K103" s="958"/>
      <c r="L103" s="958"/>
    </row>
    <row r="104" spans="1:12" x14ac:dyDescent="0.2">
      <c r="A104" s="958"/>
      <c r="B104" s="958"/>
      <c r="C104" s="958"/>
      <c r="D104"/>
      <c r="E104" s="958"/>
      <c r="F104" s="958"/>
      <c r="G104" s="958"/>
      <c r="H104" s="958"/>
      <c r="I104" s="958"/>
      <c r="J104" s="958"/>
      <c r="K104" s="958"/>
      <c r="L104" s="958"/>
    </row>
  </sheetData>
  <mergeCells count="9">
    <mergeCell ref="A3:K3"/>
    <mergeCell ref="A94:K94"/>
    <mergeCell ref="B6:I6"/>
    <mergeCell ref="K6:K8"/>
    <mergeCell ref="B7:B8"/>
    <mergeCell ref="C7:C8"/>
    <mergeCell ref="F7:F8"/>
    <mergeCell ref="G7:G8"/>
    <mergeCell ref="J6:J8"/>
  </mergeCells>
  <phoneticPr fontId="36" type="noConversion"/>
  <pageMargins left="0.75" right="0.75" top="1" bottom="1" header="0.5" footer="0.5"/>
  <pageSetup scale="67" fitToHeight="0" orientation="portrait" horizontalDpi="4294967292" verticalDpi="429496729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P99"/>
  <sheetViews>
    <sheetView zoomScale="70" zoomScaleNormal="70" zoomScalePageLayoutView="85" workbookViewId="0">
      <pane xSplit="1" ySplit="8" topLeftCell="B49" activePane="bottomRight" state="frozen"/>
      <selection pane="topRight" activeCell="AR8" sqref="AR8"/>
      <selection pane="bottomLeft" activeCell="AR8" sqref="AR8"/>
      <selection pane="bottomRight" activeCell="R72" sqref="R72"/>
    </sheetView>
  </sheetViews>
  <sheetFormatPr baseColWidth="10" defaultColWidth="10.83203125" defaultRowHeight="16" x14ac:dyDescent="0.2"/>
  <cols>
    <col min="1" max="1" width="19" style="1" customWidth="1"/>
    <col min="2" max="5" width="11.33203125" style="1" customWidth="1"/>
    <col min="6" max="11" width="11.33203125" style="1" hidden="1" customWidth="1"/>
    <col min="12" max="12" width="11.33203125" style="1" customWidth="1"/>
    <col min="13" max="13" width="10.83203125" style="1" customWidth="1"/>
    <col min="14" max="14" width="11.33203125" style="1" hidden="1" customWidth="1"/>
    <col min="15" max="21" width="11.33203125" style="1" customWidth="1"/>
    <col min="22" max="22" width="11.83203125" style="1" bestFit="1" customWidth="1"/>
    <col min="23" max="36" width="10.83203125" style="1"/>
    <col min="43" max="16384" width="10.83203125" style="1"/>
  </cols>
  <sheetData>
    <row r="1" spans="1:35" x14ac:dyDescent="0.2">
      <c r="A1" s="958"/>
      <c r="B1" s="958"/>
      <c r="C1" s="958"/>
      <c r="D1" s="958"/>
      <c r="E1" s="958"/>
      <c r="F1" s="958"/>
      <c r="G1" s="958"/>
      <c r="H1" s="958"/>
      <c r="I1" s="958"/>
      <c r="J1" s="958"/>
      <c r="K1" s="958"/>
      <c r="L1" s="958"/>
      <c r="M1" s="958"/>
      <c r="N1" s="958"/>
      <c r="O1" s="958"/>
      <c r="P1" s="958"/>
      <c r="Q1" s="958"/>
      <c r="R1" s="958"/>
      <c r="S1" s="958"/>
      <c r="T1" s="958"/>
      <c r="U1" s="958"/>
      <c r="V1" s="1004"/>
      <c r="W1" s="1004"/>
      <c r="X1" s="1004"/>
      <c r="Y1" s="1004"/>
      <c r="Z1" s="1004"/>
      <c r="AA1" s="1004"/>
      <c r="AB1" s="1004"/>
      <c r="AC1" s="1004"/>
      <c r="AD1" s="1004"/>
      <c r="AE1" s="1004"/>
      <c r="AF1" s="958"/>
      <c r="AG1" s="958"/>
      <c r="AH1" s="958"/>
      <c r="AI1" s="958"/>
    </row>
    <row r="2" spans="1:35" ht="17" thickBot="1" x14ac:dyDescent="0.25">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row>
    <row r="3" spans="1:35" ht="32.25" customHeight="1" x14ac:dyDescent="0.2">
      <c r="A3" s="2073" t="s">
        <v>892</v>
      </c>
      <c r="B3" s="2074"/>
      <c r="C3" s="2074"/>
      <c r="D3" s="2074"/>
      <c r="E3" s="2074"/>
      <c r="F3" s="2074"/>
      <c r="G3" s="2074"/>
      <c r="H3" s="2074"/>
      <c r="I3" s="2074"/>
      <c r="J3" s="2074"/>
      <c r="K3" s="2074"/>
      <c r="L3" s="2074"/>
      <c r="M3" s="2074"/>
      <c r="N3" s="2074"/>
      <c r="O3" s="2074"/>
      <c r="P3" s="2074"/>
      <c r="Q3" s="2074"/>
      <c r="R3" s="2074"/>
      <c r="S3" s="2074"/>
      <c r="T3" s="2074"/>
      <c r="U3" s="2074"/>
      <c r="V3" s="2074"/>
      <c r="W3" s="2074"/>
      <c r="X3" s="2074"/>
      <c r="Y3" s="2074"/>
      <c r="Z3" s="2074"/>
      <c r="AA3" s="2074"/>
      <c r="AB3" s="2075"/>
      <c r="AC3" s="620"/>
      <c r="AD3" s="620"/>
      <c r="AE3" s="620"/>
      <c r="AF3" s="958"/>
      <c r="AG3" s="958"/>
      <c r="AH3" s="958"/>
      <c r="AI3" s="958"/>
    </row>
    <row r="4" spans="1:35" ht="12" customHeight="1" x14ac:dyDescent="0.2">
      <c r="A4" s="118"/>
      <c r="B4" s="620"/>
      <c r="C4" s="620"/>
      <c r="D4" s="620"/>
      <c r="E4" s="620"/>
      <c r="F4" s="620"/>
      <c r="G4" s="620"/>
      <c r="H4" s="620"/>
      <c r="I4" s="620"/>
      <c r="J4" s="620"/>
      <c r="K4" s="620"/>
      <c r="L4" s="620"/>
      <c r="M4" s="620"/>
      <c r="N4" s="620"/>
      <c r="O4" s="620"/>
      <c r="P4" s="620"/>
      <c r="Q4" s="620"/>
      <c r="R4" s="620"/>
      <c r="S4" s="620"/>
      <c r="T4" s="620"/>
      <c r="U4" s="620"/>
      <c r="V4" s="1031"/>
      <c r="W4" s="1031"/>
      <c r="X4" s="1031"/>
      <c r="Y4" s="1031"/>
      <c r="Z4" s="1031"/>
      <c r="AA4" s="1031"/>
      <c r="AB4" s="957"/>
      <c r="AC4" s="1031"/>
      <c r="AD4" s="1031"/>
      <c r="AE4" s="1031"/>
      <c r="AF4" s="958"/>
      <c r="AG4" s="958"/>
      <c r="AH4" s="958"/>
      <c r="AI4" s="958"/>
    </row>
    <row r="5" spans="1:35" x14ac:dyDescent="0.2">
      <c r="A5" s="959"/>
      <c r="B5" s="3" t="s">
        <v>1</v>
      </c>
      <c r="C5" s="3" t="s">
        <v>2</v>
      </c>
      <c r="D5" s="3" t="s">
        <v>3</v>
      </c>
      <c r="E5" s="3" t="s">
        <v>4</v>
      </c>
      <c r="F5" s="1031"/>
      <c r="G5" s="1031"/>
      <c r="H5" s="1031"/>
      <c r="I5" s="1031"/>
      <c r="J5" s="1031"/>
      <c r="K5" s="1031"/>
      <c r="L5" s="3" t="s">
        <v>5</v>
      </c>
      <c r="M5" s="3" t="s">
        <v>6</v>
      </c>
      <c r="N5" s="3" t="s">
        <v>7</v>
      </c>
      <c r="O5" s="3" t="s">
        <v>8</v>
      </c>
      <c r="P5" s="3" t="s">
        <v>9</v>
      </c>
      <c r="Q5" s="3" t="s">
        <v>10</v>
      </c>
      <c r="R5" s="3" t="s">
        <v>11</v>
      </c>
      <c r="S5" s="3" t="s">
        <v>12</v>
      </c>
      <c r="T5" s="3" t="s">
        <v>13</v>
      </c>
      <c r="U5" s="3" t="s">
        <v>177</v>
      </c>
      <c r="V5" s="3" t="s">
        <v>178</v>
      </c>
      <c r="W5" s="3" t="s">
        <v>179</v>
      </c>
      <c r="X5" s="3" t="s">
        <v>619</v>
      </c>
      <c r="Y5" s="1307" t="s">
        <v>620</v>
      </c>
      <c r="Z5" s="3" t="s">
        <v>621</v>
      </c>
      <c r="AA5" s="3" t="s">
        <v>622</v>
      </c>
      <c r="AB5" s="793" t="s">
        <v>623</v>
      </c>
      <c r="AC5" s="3"/>
      <c r="AD5" s="3"/>
      <c r="AE5" s="3"/>
      <c r="AF5" s="958"/>
      <c r="AG5" s="958"/>
      <c r="AH5" s="958"/>
      <c r="AI5" s="958"/>
    </row>
    <row r="6" spans="1:35" ht="21" customHeight="1" x14ac:dyDescent="0.2">
      <c r="A6" s="959"/>
      <c r="B6" s="2062" t="s">
        <v>14</v>
      </c>
      <c r="C6" s="2063"/>
      <c r="D6" s="2063"/>
      <c r="E6" s="2063"/>
      <c r="F6" s="2057" t="s">
        <v>204</v>
      </c>
      <c r="G6" s="2060" t="s">
        <v>205</v>
      </c>
      <c r="H6" s="2066" t="s">
        <v>206</v>
      </c>
      <c r="I6" s="2027" t="s">
        <v>207</v>
      </c>
      <c r="J6" s="2052" t="s">
        <v>208</v>
      </c>
      <c r="K6" s="2052" t="s">
        <v>209</v>
      </c>
      <c r="L6" s="2355" t="s">
        <v>210</v>
      </c>
      <c r="M6" s="2027" t="s">
        <v>211</v>
      </c>
      <c r="N6" s="2064" t="s">
        <v>212</v>
      </c>
      <c r="O6" s="2083" t="s">
        <v>213</v>
      </c>
      <c r="P6" s="2273" t="s">
        <v>893</v>
      </c>
      <c r="Q6" s="2027" t="s">
        <v>894</v>
      </c>
      <c r="R6" s="2027" t="s">
        <v>895</v>
      </c>
      <c r="S6" s="2273" t="s">
        <v>896</v>
      </c>
      <c r="T6" s="2273"/>
      <c r="U6" s="2273"/>
      <c r="V6" s="2265" t="s">
        <v>136</v>
      </c>
      <c r="W6" s="2017"/>
      <c r="X6" s="2017"/>
      <c r="Y6" s="2383"/>
      <c r="Z6" s="2265" t="s">
        <v>136</v>
      </c>
      <c r="AA6" s="2017"/>
      <c r="AB6" s="2018"/>
      <c r="AC6" s="1041"/>
      <c r="AD6" s="1041"/>
      <c r="AE6" s="1041"/>
      <c r="AF6" s="958"/>
      <c r="AG6" s="958"/>
      <c r="AH6" s="958"/>
      <c r="AI6" s="958"/>
    </row>
    <row r="7" spans="1:35" ht="85" customHeight="1" x14ac:dyDescent="0.2">
      <c r="A7" s="959"/>
      <c r="B7" s="2055" t="s">
        <v>214</v>
      </c>
      <c r="C7" s="1835" t="s">
        <v>215</v>
      </c>
      <c r="D7" s="1835" t="s">
        <v>216</v>
      </c>
      <c r="E7" s="1825" t="s">
        <v>162</v>
      </c>
      <c r="F7" s="2384"/>
      <c r="G7" s="2033"/>
      <c r="H7" s="2028"/>
      <c r="I7" s="2028"/>
      <c r="J7" s="2034"/>
      <c r="K7" s="2034"/>
      <c r="L7" s="2380"/>
      <c r="M7" s="2028"/>
      <c r="N7" s="2065"/>
      <c r="O7" s="2084"/>
      <c r="P7" s="2070"/>
      <c r="Q7" s="2028"/>
      <c r="R7" s="2028"/>
      <c r="S7" s="2070"/>
      <c r="T7" s="2070"/>
      <c r="U7" s="2070"/>
      <c r="V7" s="2355" t="s">
        <v>897</v>
      </c>
      <c r="W7" s="2273"/>
      <c r="X7" s="2273"/>
      <c r="Y7" s="2381"/>
      <c r="Z7" s="2070" t="s">
        <v>898</v>
      </c>
      <c r="AA7" s="2070"/>
      <c r="AB7" s="2382"/>
      <c r="AC7" s="1838"/>
      <c r="AD7" s="1838"/>
      <c r="AE7" s="1838"/>
      <c r="AF7" s="1031"/>
      <c r="AG7" s="958"/>
      <c r="AH7" s="173" t="s">
        <v>166</v>
      </c>
      <c r="AI7" s="958"/>
    </row>
    <row r="8" spans="1:35" ht="33" customHeight="1" x14ac:dyDescent="0.2">
      <c r="A8" s="959"/>
      <c r="B8" s="2011"/>
      <c r="C8" s="1820"/>
      <c r="D8" s="1820"/>
      <c r="E8" s="1820"/>
      <c r="F8" s="2059"/>
      <c r="G8" s="2061"/>
      <c r="H8" s="2013"/>
      <c r="I8" s="2013"/>
      <c r="J8" s="1820"/>
      <c r="K8" s="1820"/>
      <c r="L8" s="2356"/>
      <c r="M8" s="1820"/>
      <c r="N8" s="1820"/>
      <c r="O8" s="1700"/>
      <c r="P8" s="2088"/>
      <c r="Q8" s="1820"/>
      <c r="R8" s="1820"/>
      <c r="S8" s="1820" t="s">
        <v>899</v>
      </c>
      <c r="T8" s="1820" t="s">
        <v>900</v>
      </c>
      <c r="U8" s="1820" t="s">
        <v>901</v>
      </c>
      <c r="V8" s="1701" t="s">
        <v>902</v>
      </c>
      <c r="W8" s="1820" t="s">
        <v>899</v>
      </c>
      <c r="X8" s="1820" t="s">
        <v>900</v>
      </c>
      <c r="Y8" s="1700" t="s">
        <v>901</v>
      </c>
      <c r="Z8" s="1820" t="s">
        <v>899</v>
      </c>
      <c r="AA8" s="1820" t="s">
        <v>900</v>
      </c>
      <c r="AB8" s="1857" t="s">
        <v>901</v>
      </c>
      <c r="AC8" s="1826"/>
      <c r="AD8" s="1826"/>
      <c r="AE8" s="1826"/>
      <c r="AF8" s="958"/>
      <c r="AG8" s="958"/>
      <c r="AH8" s="172"/>
      <c r="AI8" s="958"/>
    </row>
    <row r="9" spans="1:35" ht="40" customHeight="1" x14ac:dyDescent="0.2">
      <c r="A9" s="898" t="s">
        <v>28</v>
      </c>
      <c r="B9" s="256">
        <f>SUM(B10:B44)</f>
        <v>6449.286986082956</v>
      </c>
      <c r="C9" s="295">
        <f>SUM(C10:C44)</f>
        <v>956.10086642796193</v>
      </c>
      <c r="D9" s="295">
        <f>SUM(D10:D44)</f>
        <v>83.176702611519431</v>
      </c>
      <c r="E9" s="258">
        <f>SUM(E10:E44)</f>
        <v>5410.0094170434731</v>
      </c>
      <c r="F9" s="308">
        <f t="shared" ref="F9:F40" si="0">C9/(B9-D9)</f>
        <v>0.1501860357195384</v>
      </c>
      <c r="G9" s="266">
        <f>TableA2!L9</f>
        <v>0.41149842417638866</v>
      </c>
      <c r="H9" s="266">
        <f>D9/TableA2!C9</f>
        <v>5.4072503583288559E-3</v>
      </c>
      <c r="I9" s="266">
        <f t="shared" ref="I9:I52" si="1">J9+K9</f>
        <v>7.7645217153016902E-3</v>
      </c>
      <c r="J9" s="266">
        <f>TableA6!I9/TableA2!$C9</f>
        <v>6.6527210204393103E-3</v>
      </c>
      <c r="K9" s="266">
        <f>TableA6!J9/TableA2!$C9</f>
        <v>1.1118006948623801E-3</v>
      </c>
      <c r="L9" s="699">
        <f t="shared" ref="L9:L52" si="2">G9-H9+I9</f>
        <v>0.41385569553336149</v>
      </c>
      <c r="M9" s="266">
        <f>C9/TableA4!D9</f>
        <v>0.42001657601288439</v>
      </c>
      <c r="N9" s="266"/>
      <c r="O9" s="427">
        <f>E9/TableA4!G9</f>
        <v>0.41278563924415895</v>
      </c>
      <c r="P9" s="266">
        <f>+'Table E1'!D9</f>
        <v>0.13295330543030764</v>
      </c>
      <c r="Q9" s="266">
        <f>+'Table E1'!I9</f>
        <v>0.20563597055527447</v>
      </c>
      <c r="R9" s="266">
        <f>+'Table E1'!N9</f>
        <v>0.12468410759526835</v>
      </c>
      <c r="S9" s="266"/>
      <c r="T9" s="266"/>
      <c r="U9" s="266"/>
      <c r="V9" s="908">
        <f t="shared" ref="V9:AB9" si="3">V12+V24+V30+V32+V41</f>
        <v>281.74149562210863</v>
      </c>
      <c r="W9" s="897">
        <f t="shared" si="3"/>
        <v>304.57484169223159</v>
      </c>
      <c r="X9" s="897">
        <f t="shared" si="3"/>
        <v>281.74149562210863</v>
      </c>
      <c r="Y9" s="909">
        <f t="shared" si="3"/>
        <v>269.44661696896549</v>
      </c>
      <c r="Z9" s="897">
        <f t="shared" si="3"/>
        <v>22.833346070122928</v>
      </c>
      <c r="AA9" s="897">
        <f t="shared" si="3"/>
        <v>0</v>
      </c>
      <c r="AB9" s="899">
        <f t="shared" si="3"/>
        <v>-12.294878653143119</v>
      </c>
      <c r="AC9" s="26"/>
      <c r="AD9" s="26"/>
      <c r="AE9" s="26"/>
      <c r="AF9" s="958"/>
      <c r="AG9" s="958"/>
      <c r="AH9" s="320">
        <f t="shared" ref="AH9:AH40" si="4">L9-G9-I9+H9</f>
        <v>0</v>
      </c>
      <c r="AI9" s="320">
        <f t="shared" ref="AI9:AI40" si="5">B9-C9-D9-E9</f>
        <v>0</v>
      </c>
    </row>
    <row r="10" spans="1:35" ht="14.25" customHeight="1" x14ac:dyDescent="0.2">
      <c r="A10" s="937" t="s">
        <v>29</v>
      </c>
      <c r="B10" s="1214">
        <f>TableA6!B10</f>
        <v>178.84741076861815</v>
      </c>
      <c r="C10" s="1159">
        <f>TableA6!E10</f>
        <v>28.299110069424813</v>
      </c>
      <c r="D10" s="1159">
        <v>0</v>
      </c>
      <c r="E10" s="1159">
        <f t="shared" ref="E10:E44" si="6">B10-C10-D10</f>
        <v>150.54830069919333</v>
      </c>
      <c r="F10" s="311">
        <f t="shared" si="0"/>
        <v>0.15823047114747707</v>
      </c>
      <c r="G10" s="1216">
        <f>TableA2!L10</f>
        <v>0.35986511293798373</v>
      </c>
      <c r="H10" s="1216">
        <f>D10/TableA2!C10</f>
        <v>0</v>
      </c>
      <c r="I10" s="1216">
        <f t="shared" si="1"/>
        <v>0</v>
      </c>
      <c r="J10" s="1216">
        <f>TableA6!I10/TableA2!$C10</f>
        <v>0</v>
      </c>
      <c r="K10" s="1216">
        <f>TableA6!J10/TableA2!$C10</f>
        <v>0</v>
      </c>
      <c r="L10" s="699">
        <f t="shared" si="2"/>
        <v>0.35986511293798373</v>
      </c>
      <c r="M10" s="1216">
        <f>C10/TableA4!D10</f>
        <v>0.27383940346897767</v>
      </c>
      <c r="N10" s="1216">
        <f>AVERAGE((VLOOKUP(A10,TableA10!$A$8:$G$95,4,)/VLOOKUP(A10,TableA10!$A$8:$G$95,3,)),(VLOOKUP(A10,TableA10b!$A$8:$G$95,4,)/VLOOKUP(A10,TableA10b!$A$8:$G$95,3,)))</f>
        <v>0.27383940346897767</v>
      </c>
      <c r="O10" s="1521">
        <f>E10/TableA4!G10</f>
        <v>0.38244922547378107</v>
      </c>
      <c r="P10" s="266">
        <f>+'Table E1'!D10</f>
        <v>0.23694866782897228</v>
      </c>
      <c r="Q10" s="266">
        <f>+'Table E1'!I10</f>
        <v>0.43762637385941966</v>
      </c>
      <c r="R10" s="266">
        <f>+'Table E1'!N10</f>
        <v>0.21572732634001954</v>
      </c>
      <c r="S10" s="266">
        <f t="shared" ref="S10:S41" si="7">IFERROR(($Q10/$R10-1)*(1-1/0.7)*$O10+$O10,"")</f>
        <v>0.21385322124215647</v>
      </c>
      <c r="T10" s="266">
        <f t="shared" ref="T10:T41" si="8">IFERROR(($Q10/$R10-1)*(1-1/1)*$O10+$O10,"")</f>
        <v>0.38244922547378107</v>
      </c>
      <c r="U10" s="266">
        <f t="shared" ref="U10:U41" si="9">IFERROR(($Q10/$R10-1)*(1-1/1.3)*$O10+$O10,"")</f>
        <v>0.47323168929080972</v>
      </c>
      <c r="V10" s="12">
        <f>$C10-O10*TableA4!$D10</f>
        <v>-11.223955605361816</v>
      </c>
      <c r="W10" s="26">
        <f>IFERROR($C10-S10*TableA4!$D10,"")</f>
        <v>6.199091701109765</v>
      </c>
      <c r="X10" s="26">
        <f>IFERROR($C10-T10*TableA4!$D10,"")</f>
        <v>-11.223955605361816</v>
      </c>
      <c r="Y10" s="910">
        <f>IFERROR($C10-U10*TableA4!$D10,"")</f>
        <v>-20.605596462692674</v>
      </c>
      <c r="Z10" s="26">
        <f t="shared" ref="Z10:Z44" si="10">IFERROR(-$V10+W10,"")</f>
        <v>17.423047306471581</v>
      </c>
      <c r="AA10" s="26">
        <f t="shared" ref="AA10:AA44" si="11">IFERROR(-$V10+X10,"")</f>
        <v>0</v>
      </c>
      <c r="AB10" s="900">
        <f t="shared" ref="AB10:AB44" si="12">IFERROR(-$V10+Y10,"")</f>
        <v>-9.3816408573308578</v>
      </c>
      <c r="AC10" s="26"/>
      <c r="AD10" s="26"/>
      <c r="AE10" s="26"/>
      <c r="AF10" s="958"/>
      <c r="AG10" s="958"/>
      <c r="AH10" s="320">
        <f t="shared" si="4"/>
        <v>0</v>
      </c>
      <c r="AI10" s="320">
        <f t="shared" si="5"/>
        <v>0</v>
      </c>
    </row>
    <row r="11" spans="1:35" ht="14.25" customHeight="1" x14ac:dyDescent="0.2">
      <c r="A11" s="937" t="s">
        <v>30</v>
      </c>
      <c r="B11" s="1214">
        <f>TableA6!B11</f>
        <v>47.957043627358011</v>
      </c>
      <c r="C11" s="1159">
        <f>TableA6!E11</f>
        <v>11.294821742987047</v>
      </c>
      <c r="D11" s="1159">
        <v>0</v>
      </c>
      <c r="E11" s="1159">
        <f t="shared" si="6"/>
        <v>36.662221884370965</v>
      </c>
      <c r="F11" s="311">
        <f t="shared" si="0"/>
        <v>0.23551955851890127</v>
      </c>
      <c r="G11" s="1184">
        <f>TableA2!L11</f>
        <v>0.38573161702393371</v>
      </c>
      <c r="H11" s="1184">
        <f>D11/TableA2!C11</f>
        <v>0</v>
      </c>
      <c r="I11" s="1184">
        <f t="shared" si="1"/>
        <v>0</v>
      </c>
      <c r="J11" s="1184">
        <f>TableA6!I11/TableA2!$C11</f>
        <v>0</v>
      </c>
      <c r="K11" s="1184">
        <f>TableA6!J11/TableA2!$C11</f>
        <v>0</v>
      </c>
      <c r="L11" s="906">
        <f t="shared" si="2"/>
        <v>0.38573161702393371</v>
      </c>
      <c r="M11" s="1184">
        <f>C11/TableA4!D11</f>
        <v>0.33058399232200741</v>
      </c>
      <c r="N11" s="1184">
        <f>VLOOKUP(A11,TableA10!$A$8:$G$95,4,)/VLOOKUP(A11,TableA10!$A$8:$G$95,3,)</f>
        <v>-3.7660055234747677E-3</v>
      </c>
      <c r="O11" s="1492">
        <f>E11/TableA4!G11</f>
        <v>0.40662961061080261</v>
      </c>
      <c r="P11" s="266">
        <f>+'Table E1'!D11</f>
        <v>0.25199362023294941</v>
      </c>
      <c r="Q11" s="266">
        <f>+'Table E1'!I11</f>
        <v>0.30122861727115979</v>
      </c>
      <c r="R11" s="266">
        <f>+'Table E1'!N11</f>
        <v>0.23976431623616923</v>
      </c>
      <c r="S11" s="266">
        <f t="shared" si="7"/>
        <v>0.36195501660829965</v>
      </c>
      <c r="T11" s="266">
        <f t="shared" si="8"/>
        <v>0.40662961061080261</v>
      </c>
      <c r="U11" s="266">
        <f t="shared" si="9"/>
        <v>0.43068516122753497</v>
      </c>
      <c r="V11" s="12">
        <f>C11-O11*TableA4!D11</f>
        <v>-2.5981950816013484</v>
      </c>
      <c r="W11" s="26">
        <f>IFERROR($C11-S11*TableA4!$D11,"")</f>
        <v>-1.0718308673078489</v>
      </c>
      <c r="X11" s="26">
        <f>IFERROR($C11-T11*TableA4!$D11,"")</f>
        <v>-2.5981950816013484</v>
      </c>
      <c r="Y11" s="910">
        <f>IFERROR($C11-U11*TableA4!$D11,"")</f>
        <v>-3.4200835046824629</v>
      </c>
      <c r="Z11" s="26">
        <f t="shared" si="10"/>
        <v>1.5263642142934994</v>
      </c>
      <c r="AA11" s="26">
        <f t="shared" si="11"/>
        <v>0</v>
      </c>
      <c r="AB11" s="900">
        <f t="shared" si="12"/>
        <v>-0.82188842308111454</v>
      </c>
      <c r="AC11" s="26"/>
      <c r="AD11" s="26"/>
      <c r="AE11" s="26"/>
      <c r="AF11" s="958"/>
      <c r="AG11" s="958"/>
      <c r="AH11" s="320">
        <f t="shared" si="4"/>
        <v>0</v>
      </c>
      <c r="AI11" s="320">
        <f t="shared" si="5"/>
        <v>0</v>
      </c>
    </row>
    <row r="12" spans="1:35" x14ac:dyDescent="0.2">
      <c r="A12" s="937" t="s">
        <v>31</v>
      </c>
      <c r="B12" s="1214">
        <f>TableA6!B12</f>
        <v>80.241889758299209</v>
      </c>
      <c r="C12" s="1159">
        <f>TableA6!E12</f>
        <v>32.206747942780808</v>
      </c>
      <c r="D12" s="1159">
        <v>0</v>
      </c>
      <c r="E12" s="1159">
        <f t="shared" si="6"/>
        <v>48.035141815518401</v>
      </c>
      <c r="F12" s="311">
        <f t="shared" si="0"/>
        <v>0.40137075584576132</v>
      </c>
      <c r="G12" s="1184">
        <f>TableA2!L12</f>
        <v>0.46042895713758619</v>
      </c>
      <c r="H12" s="1184">
        <f>D12/TableA2!C12</f>
        <v>0</v>
      </c>
      <c r="I12" s="1184">
        <f t="shared" si="1"/>
        <v>2.1427357922788704E-2</v>
      </c>
      <c r="J12" s="1184">
        <f>TableA6!I12/TableA2!$C12</f>
        <v>2.1427357922788704E-2</v>
      </c>
      <c r="K12" s="1184">
        <f>TableA6!J12/TableA2!$C12</f>
        <v>0</v>
      </c>
      <c r="L12" s="906">
        <f t="shared" si="2"/>
        <v>0.48185631506037491</v>
      </c>
      <c r="M12" s="1184">
        <f>C12/TableA4!D12</f>
        <v>0.67980103327038299</v>
      </c>
      <c r="N12" s="1184">
        <f>VLOOKUP(A12,TableA10!$A$8:$G$95,4,)/VLOOKUP(A12,TableA10!$A$8:$G$95,3,)</f>
        <v>0.60110878851222393</v>
      </c>
      <c r="O12" s="1492">
        <f>E12/TableA4!G12</f>
        <v>0.4031489417707429</v>
      </c>
      <c r="P12" s="266">
        <f>+'Table E1'!D12</f>
        <v>0.18083148404617411</v>
      </c>
      <c r="Q12" s="266">
        <f>+'Table E1'!I12</f>
        <v>0.23510719634065672</v>
      </c>
      <c r="R12" s="266">
        <f>+'Table E1'!N12</f>
        <v>0.17060626965404216</v>
      </c>
      <c r="S12" s="266">
        <f t="shared" si="7"/>
        <v>0.33782690678087707</v>
      </c>
      <c r="T12" s="266">
        <f t="shared" si="8"/>
        <v>0.4031489417707429</v>
      </c>
      <c r="U12" s="266">
        <f t="shared" si="9"/>
        <v>0.43832234522682451</v>
      </c>
      <c r="V12" s="12">
        <f>C12-O12*TableA4!D12</f>
        <v>13.106870602869716</v>
      </c>
      <c r="W12" s="26">
        <f>IFERROR($C12-S12*TableA4!$D12,"")</f>
        <v>16.201614819287155</v>
      </c>
      <c r="X12" s="26">
        <f>IFERROR($C12-T12*TableA4!$D12,"")</f>
        <v>13.106870602869716</v>
      </c>
      <c r="Y12" s="910">
        <f>IFERROR($C12-U12*TableA4!$D12,"")</f>
        <v>11.440469870952633</v>
      </c>
      <c r="Z12" s="26">
        <f t="shared" si="10"/>
        <v>3.094744216417439</v>
      </c>
      <c r="AA12" s="26">
        <f t="shared" si="11"/>
        <v>0</v>
      </c>
      <c r="AB12" s="900">
        <f t="shared" si="12"/>
        <v>-1.6664007319170828</v>
      </c>
      <c r="AC12" s="26"/>
      <c r="AD12" s="26"/>
      <c r="AE12" s="26"/>
      <c r="AF12" s="958"/>
      <c r="AG12" s="958"/>
      <c r="AH12" s="320">
        <f t="shared" si="4"/>
        <v>1.0408340855860843E-17</v>
      </c>
      <c r="AI12" s="320">
        <f t="shared" si="5"/>
        <v>0</v>
      </c>
    </row>
    <row r="13" spans="1:35" x14ac:dyDescent="0.2">
      <c r="A13" s="937" t="s">
        <v>32</v>
      </c>
      <c r="B13" s="1214">
        <f>TableA6!B13</f>
        <v>142.9569900038934</v>
      </c>
      <c r="C13" s="1159">
        <f>TableA6!E13</f>
        <v>46.935942392007277</v>
      </c>
      <c r="D13" s="1159">
        <v>0</v>
      </c>
      <c r="E13" s="1159">
        <f t="shared" si="6"/>
        <v>96.021047611886118</v>
      </c>
      <c r="F13" s="311">
        <f t="shared" si="0"/>
        <v>0.3283221225539863</v>
      </c>
      <c r="G13" s="1184">
        <f>TableA2!L13</f>
        <v>0.23305888899623428</v>
      </c>
      <c r="H13" s="1184">
        <f>D13/TableA2!C13</f>
        <v>0</v>
      </c>
      <c r="I13" s="1184">
        <f t="shared" si="1"/>
        <v>0</v>
      </c>
      <c r="J13" s="1184">
        <f>TableA6!I13/TableA2!$C13</f>
        <v>0</v>
      </c>
      <c r="K13" s="1184">
        <f>TableA6!J13/TableA2!$C13</f>
        <v>0</v>
      </c>
      <c r="L13" s="906">
        <f t="shared" si="2"/>
        <v>0.23305888899623428</v>
      </c>
      <c r="M13" s="1184">
        <f>C13/TableA4!D13</f>
        <v>0.51265902111925798</v>
      </c>
      <c r="N13" s="1184">
        <f>VLOOKUP(A13,TableA10!$A$8:$G$95,4,)/VLOOKUP(A13,TableA10!$A$8:$G$95,3,)</f>
        <v>0.51265902111925798</v>
      </c>
      <c r="O13" s="1492">
        <f>E13/TableA4!G13</f>
        <v>0.18400463874630477</v>
      </c>
      <c r="P13" s="266">
        <f>+'Table E1'!D13</f>
        <v>0.11840889506314953</v>
      </c>
      <c r="Q13" s="266">
        <f>+'Table E1'!I13</f>
        <v>0.22644356487007861</v>
      </c>
      <c r="R13" s="266">
        <f>+'Table E1'!N13</f>
        <v>0.10423262483262766</v>
      </c>
      <c r="S13" s="266">
        <f t="shared" si="7"/>
        <v>9.1543679116492846E-2</v>
      </c>
      <c r="T13" s="266">
        <f t="shared" si="8"/>
        <v>0.18400463874630477</v>
      </c>
      <c r="U13" s="266">
        <f t="shared" si="9"/>
        <v>0.23379130931620351</v>
      </c>
      <c r="V13" s="911">
        <f>C13-O13*TableA4!D13</f>
        <v>30.089596637272944</v>
      </c>
      <c r="W13" s="26">
        <f>IFERROR($C13-S13*TableA4!$D13,"")</f>
        <v>38.554759827457055</v>
      </c>
      <c r="X13" s="26">
        <f>IFERROR($C13-T13*TableA4!$D13,"")</f>
        <v>30.089596637272944</v>
      </c>
      <c r="Y13" s="910">
        <f>IFERROR($C13-U13*TableA4!$D13,"")</f>
        <v>25.531431842558419</v>
      </c>
      <c r="Z13" s="26">
        <f t="shared" si="10"/>
        <v>8.4651631901841107</v>
      </c>
      <c r="AA13" s="26">
        <f t="shared" si="11"/>
        <v>0</v>
      </c>
      <c r="AB13" s="900">
        <f t="shared" si="12"/>
        <v>-4.558164794714525</v>
      </c>
      <c r="AC13" s="26"/>
      <c r="AD13" s="26"/>
      <c r="AE13" s="26"/>
      <c r="AF13" s="958"/>
      <c r="AG13" s="958"/>
      <c r="AH13" s="320">
        <f t="shared" si="4"/>
        <v>0</v>
      </c>
      <c r="AI13" s="320">
        <f t="shared" si="5"/>
        <v>0</v>
      </c>
    </row>
    <row r="14" spans="1:35" x14ac:dyDescent="0.2">
      <c r="A14" s="937" t="s">
        <v>33</v>
      </c>
      <c r="B14" s="1214">
        <f>TableA6!B14</f>
        <v>67.542484958596845</v>
      </c>
      <c r="C14" s="1159">
        <f>TableA6!E14</f>
        <v>9.8951445885655183</v>
      </c>
      <c r="D14" s="1159">
        <v>0</v>
      </c>
      <c r="E14" s="1159">
        <f t="shared" si="6"/>
        <v>57.64734037003133</v>
      </c>
      <c r="F14" s="311">
        <f t="shared" si="0"/>
        <v>0.14650252496086255</v>
      </c>
      <c r="G14" s="1184">
        <f>TableA2!L14</f>
        <v>1.0076535203150763</v>
      </c>
      <c r="H14" s="1184">
        <f>D14/TableA2!C14</f>
        <v>0</v>
      </c>
      <c r="I14" s="1184">
        <f t="shared" si="1"/>
        <v>0</v>
      </c>
      <c r="J14" s="1184">
        <f>TableA6!I14/TableA2!$C14</f>
        <v>0</v>
      </c>
      <c r="K14" s="1184">
        <f>TableA6!J14/TableA2!$C14</f>
        <v>0</v>
      </c>
      <c r="L14" s="906">
        <f t="shared" si="2"/>
        <v>1.0076535203150763</v>
      </c>
      <c r="M14" s="1184">
        <f>C14/TableA4!D14</f>
        <v>0.99074432261467493</v>
      </c>
      <c r="N14" s="1184">
        <f>VLOOKUP(A14,TableA10!$A$8:$G$95,4,)/VLOOKUP(A14,TableA10!$A$8:$G$95,3,)</f>
        <v>0.99075263293090166</v>
      </c>
      <c r="O14" s="1492">
        <f>E14/TableA4!G14</f>
        <v>1.0106141880425457</v>
      </c>
      <c r="P14" s="266">
        <f>+'Table E1'!D14</f>
        <v>4.4822137481688472E-2</v>
      </c>
      <c r="Q14" s="266">
        <f>+'Table E1'!I14</f>
        <v>0.15444711315829332</v>
      </c>
      <c r="R14" s="266">
        <f>+'Table E1'!N14</f>
        <v>3.4671939098385202E-2</v>
      </c>
      <c r="S14" s="266">
        <f t="shared" si="7"/>
        <v>-0.48561211518612657</v>
      </c>
      <c r="T14" s="266">
        <f t="shared" si="8"/>
        <v>1.0106141880425457</v>
      </c>
      <c r="U14" s="266">
        <f t="shared" si="9"/>
        <v>1.8162745051656772</v>
      </c>
      <c r="V14" s="12">
        <f>C14-O14*TableA4!D14</f>
        <v>-0.19845199904374233</v>
      </c>
      <c r="W14" s="26">
        <f>IFERROR($C14-S14*TableA4!$D14,"")</f>
        <v>14.745237578293118</v>
      </c>
      <c r="X14" s="26">
        <f>IFERROR($C14-T14*TableA4!$D14,"")</f>
        <v>-0.19845199904374233</v>
      </c>
      <c r="Y14" s="910">
        <f>IFERROR($C14-U14*TableA4!$D14,"")</f>
        <v>-8.2450540791482076</v>
      </c>
      <c r="Z14" s="26">
        <f t="shared" si="10"/>
        <v>14.94368957733686</v>
      </c>
      <c r="AA14" s="26">
        <f t="shared" si="11"/>
        <v>0</v>
      </c>
      <c r="AB14" s="900">
        <f t="shared" si="12"/>
        <v>-8.0466020801044653</v>
      </c>
      <c r="AC14" s="26"/>
      <c r="AD14" s="26"/>
      <c r="AE14" s="26"/>
      <c r="AF14" s="958"/>
      <c r="AG14" s="958"/>
      <c r="AH14" s="320">
        <f t="shared" si="4"/>
        <v>0</v>
      </c>
      <c r="AI14" s="320">
        <f t="shared" si="5"/>
        <v>0</v>
      </c>
    </row>
    <row r="15" spans="1:35" x14ac:dyDescent="0.2">
      <c r="A15" s="937" t="s">
        <v>34</v>
      </c>
      <c r="B15" s="1214">
        <f>TableA6!B15</f>
        <v>33.577437877940952</v>
      </c>
      <c r="C15" s="1159">
        <f>TableA6!E15</f>
        <v>17.490778418103861</v>
      </c>
      <c r="D15" s="1159">
        <v>0</v>
      </c>
      <c r="E15" s="1159">
        <f t="shared" si="6"/>
        <v>16.08665945983709</v>
      </c>
      <c r="F15" s="311">
        <f t="shared" si="0"/>
        <v>0.52090866735232977</v>
      </c>
      <c r="G15" s="1184">
        <f>TableA2!L15</f>
        <v>0.62169699268833523</v>
      </c>
      <c r="H15" s="1184">
        <f>D15/TableA2!C15</f>
        <v>0</v>
      </c>
      <c r="I15" s="1184">
        <f t="shared" si="1"/>
        <v>0</v>
      </c>
      <c r="J15" s="1184">
        <f>TableA6!I15/TableA2!$C15</f>
        <v>0</v>
      </c>
      <c r="K15" s="1184">
        <f>TableA6!J15/TableA2!$C15</f>
        <v>0</v>
      </c>
      <c r="L15" s="906">
        <f t="shared" si="2"/>
        <v>0.62169699268833523</v>
      </c>
      <c r="M15" s="1184">
        <f>C15/TableA4!D15</f>
        <v>0.76443329218162037</v>
      </c>
      <c r="N15" s="1184">
        <f>VLOOKUP(A15,TableA10!$A$8:$G$95,4,)/VLOOKUP(A15,TableA10!$A$8:$G$95,3,)</f>
        <v>0.60775473399458968</v>
      </c>
      <c r="O15" s="1492">
        <f>E15/TableA4!G15</f>
        <v>0.51678040684408355</v>
      </c>
      <c r="P15" s="266">
        <f>+'Table E1'!D15</f>
        <v>8.8064214554096215E-2</v>
      </c>
      <c r="Q15" s="266">
        <f>+'Table E1'!I15</f>
        <v>0.12008709361182347</v>
      </c>
      <c r="R15" s="266">
        <f>+'Table E1'!N15</f>
        <v>7.6323365014813682E-2</v>
      </c>
      <c r="S15" s="266">
        <f t="shared" si="7"/>
        <v>0.3897855711305348</v>
      </c>
      <c r="T15" s="266">
        <f t="shared" si="8"/>
        <v>0.51678040684408355</v>
      </c>
      <c r="U15" s="266">
        <f t="shared" si="9"/>
        <v>0.58516224145907136</v>
      </c>
      <c r="V15" s="12">
        <f>C15-O15*TableA4!D15</f>
        <v>5.6664744803053289</v>
      </c>
      <c r="W15" s="26">
        <f>IFERROR($C15-S15*TableA4!$D15,"")</f>
        <v>8.5722068109446425</v>
      </c>
      <c r="X15" s="26">
        <f>IFERROR($C15-T15*TableA4!$D15,"")</f>
        <v>5.6664744803053289</v>
      </c>
      <c r="Y15" s="910">
        <f>IFERROR($C15-U15*TableA4!$D15,"")</f>
        <v>4.1018493791918509</v>
      </c>
      <c r="Z15" s="26">
        <f t="shared" si="10"/>
        <v>2.9057323306393137</v>
      </c>
      <c r="AA15" s="26">
        <f t="shared" si="11"/>
        <v>0</v>
      </c>
      <c r="AB15" s="900">
        <f t="shared" si="12"/>
        <v>-1.564625101113478</v>
      </c>
      <c r="AC15" s="26"/>
      <c r="AD15" s="26"/>
      <c r="AE15" s="26"/>
      <c r="AF15" s="958"/>
      <c r="AG15" s="958"/>
      <c r="AH15" s="320">
        <f t="shared" si="4"/>
        <v>0</v>
      </c>
      <c r="AI15" s="320">
        <f t="shared" si="5"/>
        <v>0</v>
      </c>
    </row>
    <row r="16" spans="1:35" x14ac:dyDescent="0.2">
      <c r="A16" s="937" t="s">
        <v>35</v>
      </c>
      <c r="B16" s="1214">
        <f>TableA6!B16</f>
        <v>51.69259919912686</v>
      </c>
      <c r="C16" s="1159">
        <f>TableA6!E16</f>
        <v>5.1092950429719881</v>
      </c>
      <c r="D16" s="1159">
        <v>0</v>
      </c>
      <c r="E16" s="1159">
        <f t="shared" si="6"/>
        <v>46.583304156154874</v>
      </c>
      <c r="F16" s="311">
        <f t="shared" si="0"/>
        <v>9.8839971719941855E-2</v>
      </c>
      <c r="G16" s="1184">
        <f>TableA2!L16</f>
        <v>0.52437213243531344</v>
      </c>
      <c r="H16" s="1184">
        <f>D16/TableA2!C16</f>
        <v>0</v>
      </c>
      <c r="I16" s="1184">
        <f t="shared" si="1"/>
        <v>0</v>
      </c>
      <c r="J16" s="1184">
        <f>TableA6!I16/TableA2!$C16</f>
        <v>0</v>
      </c>
      <c r="K16" s="1184">
        <f>TableA6!J16/TableA2!$C16</f>
        <v>0</v>
      </c>
      <c r="L16" s="906">
        <f t="shared" si="2"/>
        <v>0.52437213243531344</v>
      </c>
      <c r="M16" s="1184">
        <f>C16/TableA4!D16</f>
        <v>0.22447139293998325</v>
      </c>
      <c r="N16" s="1184">
        <f>VLOOKUP(A16,TableA10!$A$8:$G$95,4,)/VLOOKUP(A16,TableA10!$A$8:$G$95,3,)</f>
        <v>0.2613430127041742</v>
      </c>
      <c r="O16" s="1492">
        <f>E16/TableA4!G16</f>
        <v>0.6144052152506192</v>
      </c>
      <c r="P16" s="266">
        <f>+'Table E1'!D16</f>
        <v>0.24911472763689882</v>
      </c>
      <c r="Q16" s="266">
        <f>+'Table E1'!I16</f>
        <v>0.18914404956710307</v>
      </c>
      <c r="R16" s="266">
        <f>+'Table E1'!N16</f>
        <v>0.26533508473269962</v>
      </c>
      <c r="S16" s="266">
        <f t="shared" si="7"/>
        <v>0.69001661929022884</v>
      </c>
      <c r="T16" s="266">
        <f t="shared" si="8"/>
        <v>0.6144052152506192</v>
      </c>
      <c r="U16" s="266">
        <f t="shared" si="9"/>
        <v>0.57369138230621397</v>
      </c>
      <c r="V16" s="12">
        <f>C16-O16*TableA4!D16</f>
        <v>-8.8754603396234497</v>
      </c>
      <c r="W16" s="26">
        <f>IFERROR($C16-S16*TableA4!$D16,"")</f>
        <v>-10.596485753115759</v>
      </c>
      <c r="X16" s="26">
        <f>IFERROR($C16-T16*TableA4!$D16,"")</f>
        <v>-8.8754603396234497</v>
      </c>
      <c r="Y16" s="910">
        <f>IFERROR($C16-U16*TableA4!$D16,"")</f>
        <v>-7.9487543477429732</v>
      </c>
      <c r="Z16" s="26">
        <f t="shared" si="10"/>
        <v>-1.7210254134923098</v>
      </c>
      <c r="AA16" s="26">
        <f t="shared" si="11"/>
        <v>0</v>
      </c>
      <c r="AB16" s="900">
        <f t="shared" si="12"/>
        <v>0.92670599188047653</v>
      </c>
      <c r="AC16" s="26"/>
      <c r="AD16" s="26"/>
      <c r="AE16" s="26"/>
      <c r="AF16" s="958"/>
      <c r="AG16" s="958"/>
      <c r="AH16" s="320">
        <f t="shared" si="4"/>
        <v>0</v>
      </c>
      <c r="AI16" s="320">
        <f t="shared" si="5"/>
        <v>0</v>
      </c>
    </row>
    <row r="17" spans="1:35" x14ac:dyDescent="0.2">
      <c r="A17" s="937" t="s">
        <v>36</v>
      </c>
      <c r="B17" s="1214">
        <f>TableA6!B17</f>
        <v>4.0797019715879275</v>
      </c>
      <c r="C17" s="1159">
        <f>TableA6!E17</f>
        <v>1.4550356443784636</v>
      </c>
      <c r="D17" s="1159">
        <v>0</v>
      </c>
      <c r="E17" s="1159">
        <f t="shared" si="6"/>
        <v>2.6246663272094639</v>
      </c>
      <c r="F17" s="311">
        <f t="shared" si="0"/>
        <v>0.35665243552389325</v>
      </c>
      <c r="G17" s="1184">
        <f>TableA2!L17</f>
        <v>0.51266863641431581</v>
      </c>
      <c r="H17" s="1184">
        <f>D17/TableA2!C17</f>
        <v>0</v>
      </c>
      <c r="I17" s="1184">
        <f t="shared" si="1"/>
        <v>0</v>
      </c>
      <c r="J17" s="1184">
        <f>TableA6!I17/TableA2!$C17</f>
        <v>0</v>
      </c>
      <c r="K17" s="1184">
        <f>TableA6!J17/TableA2!$C17</f>
        <v>0</v>
      </c>
      <c r="L17" s="906">
        <f t="shared" si="2"/>
        <v>0.51266863641431581</v>
      </c>
      <c r="M17" s="1184">
        <f>C17/TableA4!D17</f>
        <v>0.45190986584988918</v>
      </c>
      <c r="N17" s="1184"/>
      <c r="O17" s="1492">
        <f>E17/TableA4!G17</f>
        <v>0.55395752101378837</v>
      </c>
      <c r="P17" s="266">
        <f>+'Table E1'!D17</f>
        <v>0.13831160795229278</v>
      </c>
      <c r="Q17" s="266">
        <f>+'Table E1'!I17</f>
        <v>0.10047777000456205</v>
      </c>
      <c r="R17" s="266">
        <f>+'Table E1'!N17</f>
        <v>0.16157766015647265</v>
      </c>
      <c r="S17" s="266">
        <f t="shared" si="7"/>
        <v>0.64373321945234152</v>
      </c>
      <c r="T17" s="266">
        <f t="shared" si="8"/>
        <v>0.55395752101378837</v>
      </c>
      <c r="U17" s="266">
        <f t="shared" si="9"/>
        <v>0.50561676031610592</v>
      </c>
      <c r="V17" s="12">
        <f>C17-O17*TableA4!D17</f>
        <v>-0.32856767888762328</v>
      </c>
      <c r="W17" s="26">
        <f>IFERROR($C17-S17*TableA4!$D17,"")</f>
        <v>-0.6176227562345229</v>
      </c>
      <c r="X17" s="26">
        <f>IFERROR($C17-T17*TableA4!$D17,"")</f>
        <v>-0.32856767888762328</v>
      </c>
      <c r="Y17" s="910">
        <f>IFERROR($C17-U17*TableA4!$D17,"")</f>
        <v>-0.17292263723929269</v>
      </c>
      <c r="Z17" s="26">
        <f t="shared" si="10"/>
        <v>-0.28905507734689961</v>
      </c>
      <c r="AA17" s="26">
        <f t="shared" si="11"/>
        <v>0</v>
      </c>
      <c r="AB17" s="900">
        <f t="shared" si="12"/>
        <v>0.1556450416483306</v>
      </c>
      <c r="AC17" s="26"/>
      <c r="AD17" s="26"/>
      <c r="AE17" s="26"/>
      <c r="AF17" s="958"/>
      <c r="AG17" s="958"/>
      <c r="AH17" s="320">
        <f t="shared" si="4"/>
        <v>0</v>
      </c>
      <c r="AI17" s="320">
        <f t="shared" si="5"/>
        <v>0</v>
      </c>
    </row>
    <row r="18" spans="1:35" x14ac:dyDescent="0.2">
      <c r="A18" s="937" t="s">
        <v>37</v>
      </c>
      <c r="B18" s="1214">
        <f>TableA6!B18</f>
        <v>25.094852932206081</v>
      </c>
      <c r="C18" s="1159">
        <f>TableA6!E18</f>
        <v>4.2466092034416771</v>
      </c>
      <c r="D18" s="1159">
        <v>0</v>
      </c>
      <c r="E18" s="1159">
        <f t="shared" si="6"/>
        <v>20.848243728764402</v>
      </c>
      <c r="F18" s="311">
        <f t="shared" si="0"/>
        <v>0.16922231881230471</v>
      </c>
      <c r="G18" s="1184">
        <f>TableA2!L18</f>
        <v>0.33261304168871642</v>
      </c>
      <c r="H18" s="1184">
        <f>D18/TableA2!C18</f>
        <v>0</v>
      </c>
      <c r="I18" s="1184">
        <f t="shared" si="1"/>
        <v>0</v>
      </c>
      <c r="J18" s="1184">
        <f>TableA6!I18/TableA2!$C18</f>
        <v>0</v>
      </c>
      <c r="K18" s="1184">
        <f>TableA6!J18/TableA2!$C18</f>
        <v>0</v>
      </c>
      <c r="L18" s="906">
        <f t="shared" si="2"/>
        <v>0.33261304168871642</v>
      </c>
      <c r="M18" s="1184">
        <f>C18/TableA4!D18</f>
        <v>0.25990349075974173</v>
      </c>
      <c r="N18" s="1184">
        <f>VLOOKUP(A18,TableA10!$A$8:$G$95,4,)/VLOOKUP(A18,TableA10!$A$8:$G$95,3,)</f>
        <v>-0.86225490196078436</v>
      </c>
      <c r="O18" s="1492">
        <f>E18/TableA4!G18</f>
        <v>0.35271194390671812</v>
      </c>
      <c r="P18" s="266">
        <f>+'Table E1'!D18</f>
        <v>0.18095028521661602</v>
      </c>
      <c r="Q18" s="266">
        <f>+'Table E1'!I18</f>
        <v>0.18420637943609547</v>
      </c>
      <c r="R18" s="266">
        <f>+'Table E1'!N18</f>
        <v>0.1802924460042071</v>
      </c>
      <c r="S18" s="266">
        <f t="shared" si="7"/>
        <v>0.34943039194644837</v>
      </c>
      <c r="T18" s="266">
        <f t="shared" si="8"/>
        <v>0.35271194390671812</v>
      </c>
      <c r="U18" s="266">
        <f t="shared" si="9"/>
        <v>0.35447893342378645</v>
      </c>
      <c r="V18" s="12">
        <f>C18-O18*TableA4!D18</f>
        <v>-1.516413766275523</v>
      </c>
      <c r="W18" s="26">
        <f>IFERROR($C18-S18*TableA4!$D18,"")</f>
        <v>-1.462795907141281</v>
      </c>
      <c r="X18" s="26">
        <f>IFERROR($C18-T18*TableA4!$D18,"")</f>
        <v>-1.516413766275523</v>
      </c>
      <c r="Y18" s="910">
        <f>IFERROR($C18-U18*TableA4!$D18,"")</f>
        <v>-1.5452849211939608</v>
      </c>
      <c r="Z18" s="26">
        <f t="shared" si="10"/>
        <v>5.3617859134241996E-2</v>
      </c>
      <c r="AA18" s="26">
        <f t="shared" si="11"/>
        <v>0</v>
      </c>
      <c r="AB18" s="900">
        <f t="shared" si="12"/>
        <v>-2.8871154918437725E-2</v>
      </c>
      <c r="AC18" s="26"/>
      <c r="AD18" s="26"/>
      <c r="AE18" s="26"/>
      <c r="AF18" s="958"/>
      <c r="AG18" s="958"/>
      <c r="AH18" s="320">
        <f t="shared" si="4"/>
        <v>0</v>
      </c>
      <c r="AI18" s="320">
        <f t="shared" si="5"/>
        <v>0</v>
      </c>
    </row>
    <row r="19" spans="1:35" x14ac:dyDescent="0.2">
      <c r="A19" s="937" t="s">
        <v>38</v>
      </c>
      <c r="B19" s="1214">
        <f>TableA6!B19</f>
        <v>187.65852722592464</v>
      </c>
      <c r="C19" s="1159">
        <f>TableA6!E19</f>
        <v>31.778815000521959</v>
      </c>
      <c r="D19" s="1159">
        <v>0</v>
      </c>
      <c r="E19" s="1159">
        <f t="shared" si="6"/>
        <v>155.87971222540267</v>
      </c>
      <c r="F19" s="311">
        <f t="shared" si="0"/>
        <v>0.16934383675655204</v>
      </c>
      <c r="G19" s="1184">
        <f>TableA2!L19</f>
        <v>0.21535775015018682</v>
      </c>
      <c r="H19" s="1184">
        <f>D19/TableA2!C19</f>
        <v>0</v>
      </c>
      <c r="I19" s="1184">
        <f t="shared" si="1"/>
        <v>0</v>
      </c>
      <c r="J19" s="1184">
        <f>TableA6!I19/TableA2!$C19</f>
        <v>0</v>
      </c>
      <c r="K19" s="1184">
        <f>TableA6!J19/TableA2!$C19</f>
        <v>0</v>
      </c>
      <c r="L19" s="906">
        <f t="shared" si="2"/>
        <v>0.21535775015018682</v>
      </c>
      <c r="M19" s="1184">
        <f>C19/TableA4!D19</f>
        <v>0.2071972615008727</v>
      </c>
      <c r="N19" s="1184">
        <f>VLOOKUP(A19,TableA10!$A$8:$G$95,4,)/VLOOKUP(A19,TableA10!$A$8:$G$95,3,)</f>
        <v>0.14399522601820081</v>
      </c>
      <c r="O19" s="1492">
        <f>E19/TableA4!G19</f>
        <v>0.2171009289647885</v>
      </c>
      <c r="P19" s="266">
        <f>+'Table E1'!D19</f>
        <v>0.14506478214910593</v>
      </c>
      <c r="Q19" s="266">
        <f>+'Table E1'!I19</f>
        <v>0.1604858759321765</v>
      </c>
      <c r="R19" s="266">
        <f>+'Table E1'!N19</f>
        <v>0.14312079639648098</v>
      </c>
      <c r="S19" s="266">
        <f t="shared" si="7"/>
        <v>0.20581183912798734</v>
      </c>
      <c r="T19" s="266">
        <f t="shared" si="8"/>
        <v>0.2171009289647885</v>
      </c>
      <c r="U19" s="266">
        <f t="shared" si="9"/>
        <v>0.22317966964614297</v>
      </c>
      <c r="V19" s="12">
        <f>C19-O19*TableA4!D19</f>
        <v>-1.5189718912435666</v>
      </c>
      <c r="W19" s="26">
        <f>IFERROR($C19-S19*TableA4!$D19,"")</f>
        <v>0.21248872193864798</v>
      </c>
      <c r="X19" s="26">
        <f>IFERROR($C19-T19*TableA4!$D19,"")</f>
        <v>-1.5189718912435666</v>
      </c>
      <c r="Y19" s="910">
        <f>IFERROR($C19-U19*TableA4!$D19,"")</f>
        <v>-2.4512968368032233</v>
      </c>
      <c r="Z19" s="26">
        <f t="shared" si="10"/>
        <v>1.7314606131822146</v>
      </c>
      <c r="AA19" s="26">
        <f t="shared" si="11"/>
        <v>0</v>
      </c>
      <c r="AB19" s="900">
        <f t="shared" si="12"/>
        <v>-0.93232494555965673</v>
      </c>
      <c r="AC19" s="26"/>
      <c r="AD19" s="26"/>
      <c r="AE19" s="26"/>
      <c r="AF19" s="958"/>
      <c r="AG19" s="958"/>
      <c r="AH19" s="320">
        <f t="shared" si="4"/>
        <v>0</v>
      </c>
      <c r="AI19" s="320">
        <f t="shared" si="5"/>
        <v>0</v>
      </c>
    </row>
    <row r="20" spans="1:35" x14ac:dyDescent="0.2">
      <c r="A20" s="937" t="s">
        <v>39</v>
      </c>
      <c r="B20" s="1214">
        <f>TableA6!B20</f>
        <v>553.04943443142031</v>
      </c>
      <c r="C20" s="1159">
        <f>TableA6!E20</f>
        <v>42.83586575015805</v>
      </c>
      <c r="D20" s="1159">
        <v>0</v>
      </c>
      <c r="E20" s="1159">
        <f t="shared" si="6"/>
        <v>510.21356868126225</v>
      </c>
      <c r="F20" s="311">
        <f t="shared" si="0"/>
        <v>7.7453954535179656E-2</v>
      </c>
      <c r="G20" s="1184">
        <f>TableA2!L20</f>
        <v>0.45220474547375394</v>
      </c>
      <c r="H20" s="1184">
        <f>D20/TableA2!C20</f>
        <v>0</v>
      </c>
      <c r="I20" s="1184">
        <f t="shared" si="1"/>
        <v>0</v>
      </c>
      <c r="J20" s="1184">
        <f>TableA6!I20/TableA2!$C20</f>
        <v>0</v>
      </c>
      <c r="K20" s="1184">
        <f>TableA6!J20/TableA2!$C20</f>
        <v>0</v>
      </c>
      <c r="L20" s="906">
        <f t="shared" si="2"/>
        <v>0.45220474547375394</v>
      </c>
      <c r="M20" s="1184">
        <f>C20/TableA4!D20</f>
        <v>0.18304850872360104</v>
      </c>
      <c r="N20" s="1184">
        <f>VLOOKUP(A20,TableA10!$A$8:$G$95,4,)/VLOOKUP(A20,TableA10!$A$8:$G$95,3,)</f>
        <v>0.24505490373044525</v>
      </c>
      <c r="O20" s="1492">
        <f>E20/TableA4!G20</f>
        <v>0.51589201053413136</v>
      </c>
      <c r="P20" s="266">
        <f>+'Table E1'!D20</f>
        <v>0.12776033754199193</v>
      </c>
      <c r="Q20" s="266">
        <f>+'Table E1'!I20</f>
        <v>0.2581822877163451</v>
      </c>
      <c r="R20" s="266">
        <f>+'Table E1'!N20</f>
        <v>0.11190368320557728</v>
      </c>
      <c r="S20" s="266">
        <f t="shared" si="7"/>
        <v>0.22687830102409207</v>
      </c>
      <c r="T20" s="266">
        <f t="shared" si="8"/>
        <v>0.51589201053413136</v>
      </c>
      <c r="U20" s="266">
        <f t="shared" si="9"/>
        <v>0.67151477719338337</v>
      </c>
      <c r="V20" s="912">
        <f>C20-O20*TableA4!D20</f>
        <v>-77.889952006640314</v>
      </c>
      <c r="W20" s="26">
        <f>IFERROR($C20-S20*TableA4!$D20,"")</f>
        <v>-10.256773529229385</v>
      </c>
      <c r="X20" s="26">
        <f>IFERROR($C20-T20*TableA4!$D20,"")</f>
        <v>-77.889952006640314</v>
      </c>
      <c r="Y20" s="910">
        <f>IFERROR($C20-U20*TableA4!$D20,"")</f>
        <v>-114.30781734063082</v>
      </c>
      <c r="Z20" s="26">
        <f t="shared" si="10"/>
        <v>67.633178477410922</v>
      </c>
      <c r="AA20" s="26">
        <f t="shared" si="11"/>
        <v>0</v>
      </c>
      <c r="AB20" s="900">
        <f t="shared" si="12"/>
        <v>-36.417865333990505</v>
      </c>
      <c r="AC20" s="26"/>
      <c r="AD20" s="26"/>
      <c r="AE20" s="26"/>
      <c r="AF20" s="958"/>
      <c r="AG20" s="958"/>
      <c r="AH20" s="320">
        <f t="shared" si="4"/>
        <v>0</v>
      </c>
      <c r="AI20" s="320">
        <f t="shared" si="5"/>
        <v>0</v>
      </c>
    </row>
    <row r="21" spans="1:35" x14ac:dyDescent="0.2">
      <c r="A21" s="937" t="s">
        <v>40</v>
      </c>
      <c r="B21" s="1214">
        <f>TableA6!B21</f>
        <v>22.607784095761257</v>
      </c>
      <c r="C21" s="1159">
        <f>TableA6!E21</f>
        <v>1.3429928248302583</v>
      </c>
      <c r="D21" s="1159">
        <v>0</v>
      </c>
      <c r="E21" s="1159">
        <f t="shared" si="6"/>
        <v>21.264791270930999</v>
      </c>
      <c r="F21" s="311">
        <f t="shared" si="0"/>
        <v>5.9404000814129172E-2</v>
      </c>
      <c r="G21" s="1184">
        <f>TableA2!L21</f>
        <v>0.81636062215561511</v>
      </c>
      <c r="H21" s="1184">
        <f>D21/TableA2!C21</f>
        <v>0</v>
      </c>
      <c r="I21" s="1184">
        <f t="shared" si="1"/>
        <v>0</v>
      </c>
      <c r="J21" s="1184">
        <f>TableA6!I21/TableA2!$C21</f>
        <v>0</v>
      </c>
      <c r="K21" s="1184">
        <f>TableA6!J21/TableA2!$C21</f>
        <v>0</v>
      </c>
      <c r="L21" s="906">
        <f t="shared" si="2"/>
        <v>0.81636062215561511</v>
      </c>
      <c r="M21" s="1184">
        <f>C21/TableA4!D21</f>
        <v>0.32015467353035559</v>
      </c>
      <c r="N21" s="1184">
        <f>VLOOKUP(A21,TableA10!$A$8:$G$95,4,)/VLOOKUP(A21,TableA10!$A$8:$G$95,3,)</f>
        <v>0.14510686164229472</v>
      </c>
      <c r="O21" s="1492">
        <f>E21/TableA4!G21</f>
        <v>0.90494041789473145</v>
      </c>
      <c r="P21" s="266">
        <f>+'Table E1'!D21</f>
        <v>6.147764241837958E-2</v>
      </c>
      <c r="Q21" s="266">
        <f>+'Table E1'!I21</f>
        <v>0.13824577991346368</v>
      </c>
      <c r="R21" s="266">
        <f>+'Table E1'!N21</f>
        <v>5.6820217672788415E-2</v>
      </c>
      <c r="S21" s="266">
        <f t="shared" si="7"/>
        <v>0.34916277390497952</v>
      </c>
      <c r="T21" s="266">
        <f t="shared" si="8"/>
        <v>0.90494041789473145</v>
      </c>
      <c r="U21" s="266">
        <f t="shared" si="9"/>
        <v>1.2042053031199824</v>
      </c>
      <c r="V21" s="912">
        <f>C21-O21*TableA4!D21</f>
        <v>-2.4530738535975614</v>
      </c>
      <c r="W21" s="26">
        <f>IFERROR($C21-S21*TableA4!$D21,"")</f>
        <v>-0.12168390433126719</v>
      </c>
      <c r="X21" s="26">
        <f>IFERROR($C21-T21*TableA4!$D21,"")</f>
        <v>-2.4530738535975614</v>
      </c>
      <c r="Y21" s="910">
        <f>IFERROR($C21-U21*TableA4!$D21,"")</f>
        <v>-3.7084376724332575</v>
      </c>
      <c r="Z21" s="26">
        <f t="shared" si="10"/>
        <v>2.3313899492662942</v>
      </c>
      <c r="AA21" s="26">
        <f t="shared" si="11"/>
        <v>0</v>
      </c>
      <c r="AB21" s="900">
        <f t="shared" si="12"/>
        <v>-1.2553638188356961</v>
      </c>
      <c r="AC21" s="26"/>
      <c r="AD21" s="26"/>
      <c r="AE21" s="26"/>
      <c r="AF21" s="958"/>
      <c r="AG21" s="958"/>
      <c r="AH21" s="320">
        <f t="shared" si="4"/>
        <v>0</v>
      </c>
      <c r="AI21" s="320">
        <f t="shared" si="5"/>
        <v>0</v>
      </c>
    </row>
    <row r="22" spans="1:35" x14ac:dyDescent="0.2">
      <c r="A22" s="937" t="s">
        <v>41</v>
      </c>
      <c r="B22" s="1214">
        <f>TableA6!B22</f>
        <v>20.668289583202817</v>
      </c>
      <c r="C22" s="1159">
        <f>TableA6!E22</f>
        <v>9.7164397220911169</v>
      </c>
      <c r="D22" s="1159">
        <v>0</v>
      </c>
      <c r="E22" s="1159">
        <f t="shared" si="6"/>
        <v>10.9518498611117</v>
      </c>
      <c r="F22" s="311">
        <f t="shared" si="0"/>
        <v>0.47011339196581114</v>
      </c>
      <c r="G22" s="1184">
        <f>TableA2!L22</f>
        <v>0.60422536243108271</v>
      </c>
      <c r="H22" s="1184">
        <f>D22/TableA2!C22</f>
        <v>0</v>
      </c>
      <c r="I22" s="1184">
        <f t="shared" si="1"/>
        <v>0</v>
      </c>
      <c r="J22" s="1184">
        <f>TableA6!I22/TableA2!$C22</f>
        <v>0</v>
      </c>
      <c r="K22" s="1184">
        <f>TableA6!J22/TableA2!$C22</f>
        <v>0</v>
      </c>
      <c r="L22" s="906">
        <f t="shared" si="2"/>
        <v>0.60422536243108271</v>
      </c>
      <c r="M22" s="1184">
        <f>C22/TableA4!D22</f>
        <v>0.61386905762305399</v>
      </c>
      <c r="N22" s="1184">
        <f>VLOOKUP(A22,TableA10!$A$8:$G$95,4,)/VLOOKUP(A22,TableA10!$A$8:$G$95,3,)</f>
        <v>7.4171817058096412</v>
      </c>
      <c r="O22" s="1492">
        <f>E22/TableA4!G22</f>
        <v>0.59591968343815072</v>
      </c>
      <c r="P22" s="266">
        <f>+'Table E1'!D22</f>
        <v>7.1800964935391079E-2</v>
      </c>
      <c r="Q22" s="266">
        <f>+'Table E1'!I22</f>
        <v>0.12931448405704929</v>
      </c>
      <c r="R22" s="266">
        <f>+'Table E1'!N22</f>
        <v>5.15960753570395E-2</v>
      </c>
      <c r="S22" s="266">
        <f t="shared" si="7"/>
        <v>0.21122323520190361</v>
      </c>
      <c r="T22" s="266">
        <f t="shared" si="8"/>
        <v>0.59591968343815072</v>
      </c>
      <c r="U22" s="266">
        <f t="shared" si="9"/>
        <v>0.80306392479612998</v>
      </c>
      <c r="V22" s="912">
        <f>C22-O22*TableA4!D22</f>
        <v>0.28410621149757276</v>
      </c>
      <c r="W22" s="26">
        <f>IFERROR($C22-S22*TableA4!$D22,"")</f>
        <v>6.3731569694285639</v>
      </c>
      <c r="X22" s="26">
        <f>IFERROR($C22-T22*TableA4!$D22,"")</f>
        <v>0.28410621149757276</v>
      </c>
      <c r="Y22" s="910">
        <f>IFERROR($C22-U22*TableA4!$D22,"")</f>
        <v>-2.9946134273883462</v>
      </c>
      <c r="Z22" s="26">
        <f t="shared" si="10"/>
        <v>6.0890507579309912</v>
      </c>
      <c r="AA22" s="26">
        <f t="shared" si="11"/>
        <v>0</v>
      </c>
      <c r="AB22" s="900">
        <f t="shared" si="12"/>
        <v>-3.278719638885919</v>
      </c>
      <c r="AC22" s="26"/>
      <c r="AD22" s="26"/>
      <c r="AE22" s="26"/>
      <c r="AF22" s="958"/>
      <c r="AG22" s="958"/>
      <c r="AH22" s="320">
        <f t="shared" si="4"/>
        <v>0</v>
      </c>
      <c r="AI22" s="320">
        <f t="shared" si="5"/>
        <v>0</v>
      </c>
    </row>
    <row r="23" spans="1:35" ht="17" x14ac:dyDescent="0.2">
      <c r="A23" s="937" t="s">
        <v>42</v>
      </c>
      <c r="B23" s="1214">
        <f>TableA6!B23</f>
        <v>2.1489969781260903</v>
      </c>
      <c r="C23" s="1159">
        <f>TableA6!E23</f>
        <v>-9.6186838505018343E-2</v>
      </c>
      <c r="D23" s="1159">
        <v>0</v>
      </c>
      <c r="E23" s="1159">
        <f t="shared" si="6"/>
        <v>2.2451838166311084</v>
      </c>
      <c r="F23" s="311">
        <f t="shared" si="0"/>
        <v>-4.4758945444815172E-2</v>
      </c>
      <c r="G23" s="1184">
        <f>TableA2!L23</f>
        <v>0.41910792740626918</v>
      </c>
      <c r="H23" s="1184">
        <f>D23/TableA2!C23</f>
        <v>0</v>
      </c>
      <c r="I23" s="1184">
        <f t="shared" si="1"/>
        <v>0</v>
      </c>
      <c r="J23" s="1184">
        <f>TableA6!I23/TableA2!$C23</f>
        <v>0</v>
      </c>
      <c r="K23" s="1184">
        <f>TableA6!J23/TableA2!$C23</f>
        <v>0</v>
      </c>
      <c r="L23" s="906">
        <f t="shared" si="2"/>
        <v>0.41910792740626918</v>
      </c>
      <c r="M23" s="1184">
        <f>C23/TableA4!D23</f>
        <v>-6.7952586167860679E-2</v>
      </c>
      <c r="N23" s="1184"/>
      <c r="O23" s="1492">
        <f>E23/TableA4!G23</f>
        <v>0.60483646934821078</v>
      </c>
      <c r="P23" s="266">
        <f>+'Table E1'!D23</f>
        <v>0.142361783342771</v>
      </c>
      <c r="Q23" s="266">
        <f>+'Table E1'!I23</f>
        <v>0</v>
      </c>
      <c r="R23" s="266">
        <f>+'Table E1'!N23</f>
        <v>0</v>
      </c>
      <c r="S23" s="266" t="str">
        <f t="shared" si="7"/>
        <v/>
      </c>
      <c r="T23" s="266" t="str">
        <f t="shared" si="8"/>
        <v/>
      </c>
      <c r="U23" s="266" t="str">
        <f t="shared" si="9"/>
        <v/>
      </c>
      <c r="V23" s="912">
        <f>C23-O23*TableA4!D23</f>
        <v>-0.95233244060805888</v>
      </c>
      <c r="W23" s="26" t="str">
        <f>IFERROR($C23-S23*TableA4!$D23,"")</f>
        <v/>
      </c>
      <c r="X23" s="26" t="str">
        <f>IFERROR($C23-T23*TableA4!$D23,"")</f>
        <v/>
      </c>
      <c r="Y23" s="910" t="str">
        <f>IFERROR($C23-U23*TableA4!$D23,"")</f>
        <v/>
      </c>
      <c r="Z23" s="26" t="str">
        <f t="shared" si="10"/>
        <v/>
      </c>
      <c r="AA23" s="26" t="str">
        <f t="shared" si="11"/>
        <v/>
      </c>
      <c r="AB23" s="900" t="str">
        <f t="shared" si="12"/>
        <v/>
      </c>
      <c r="AC23" s="26"/>
      <c r="AD23" s="26"/>
      <c r="AE23" s="26"/>
      <c r="AF23" s="958"/>
      <c r="AG23" s="958"/>
      <c r="AH23" s="320">
        <f t="shared" si="4"/>
        <v>0</v>
      </c>
      <c r="AI23" s="320">
        <f t="shared" si="5"/>
        <v>0</v>
      </c>
    </row>
    <row r="24" spans="1:35" x14ac:dyDescent="0.2">
      <c r="A24" s="937" t="s">
        <v>43</v>
      </c>
      <c r="B24" s="1214">
        <f>TableA6!B24</f>
        <v>174.30510209753976</v>
      </c>
      <c r="C24" s="1159">
        <f>TableA6!E24</f>
        <v>116.2731292562101</v>
      </c>
      <c r="D24" s="1159">
        <v>25.995157260117182</v>
      </c>
      <c r="E24" s="1159">
        <f t="shared" si="6"/>
        <v>32.03681558121248</v>
      </c>
      <c r="F24" s="311">
        <f t="shared" si="0"/>
        <v>0.78398740815168366</v>
      </c>
      <c r="G24" s="1184">
        <f>TableA2!L24</f>
        <v>2.0458364548956904</v>
      </c>
      <c r="H24" s="1184">
        <f>D24/TableA2!C24</f>
        <v>0.42364275085659048</v>
      </c>
      <c r="I24" s="1184">
        <f t="shared" si="1"/>
        <v>0.79481160128028239</v>
      </c>
      <c r="J24" s="1184">
        <f>TableA6!I24/TableA2!$C24</f>
        <v>0.79481160128028239</v>
      </c>
      <c r="K24" s="1184">
        <f>TableA6!J24/TableA2!$C24</f>
        <v>0</v>
      </c>
      <c r="L24" s="906">
        <f t="shared" si="2"/>
        <v>2.4170053053193823</v>
      </c>
      <c r="M24" s="1184">
        <f>C24/TableA4!D24</f>
        <v>7.9996490577609283</v>
      </c>
      <c r="N24" s="1184">
        <f>VLOOKUP(A24,TableA10!$A$8:$G$95,4,)/VLOOKUP(A24,TableA10!$A$8:$G$95,3,)</f>
        <v>7.7427987962166807</v>
      </c>
      <c r="O24" s="1122">
        <f>E24/TableA4!G24</f>
        <v>0.68416351867003244</v>
      </c>
      <c r="P24" s="266">
        <f>+'Table E1'!D24</f>
        <v>0.1510853378572892</v>
      </c>
      <c r="Q24" s="266">
        <f>+'Table E1'!I24</f>
        <v>0.33424889387920881</v>
      </c>
      <c r="R24" s="266">
        <f>+'Table E1'!N24</f>
        <v>0.11035923688474457</v>
      </c>
      <c r="S24" s="266">
        <f t="shared" si="7"/>
        <v>8.9312143753408457E-2</v>
      </c>
      <c r="T24" s="266">
        <f t="shared" si="8"/>
        <v>0.68416351867003244</v>
      </c>
      <c r="U24" s="266">
        <f t="shared" si="9"/>
        <v>1.0044681051635993</v>
      </c>
      <c r="V24" s="912">
        <f>C24-O24*TableA4!D24</f>
        <v>106.3289638729139</v>
      </c>
      <c r="W24" s="26">
        <f>IFERROR($C24-S24*TableA4!$D24,"")</f>
        <v>114.97499700568162</v>
      </c>
      <c r="X24" s="26">
        <f>IFERROR($C24-T24*TableA4!$D24,"")</f>
        <v>106.3289638729139</v>
      </c>
      <c r="Y24" s="910">
        <f>IFERROR($C24-U24*TableA4!$D24,"")</f>
        <v>101.67340757065438</v>
      </c>
      <c r="Z24" s="26">
        <f t="shared" si="10"/>
        <v>8.6460331327677125</v>
      </c>
      <c r="AA24" s="26">
        <f t="shared" si="11"/>
        <v>0</v>
      </c>
      <c r="AB24" s="900">
        <f t="shared" si="12"/>
        <v>-4.6555563022595265</v>
      </c>
      <c r="AC24" s="26"/>
      <c r="AD24" s="26"/>
      <c r="AE24" s="26"/>
      <c r="AF24" s="958"/>
      <c r="AG24" s="958"/>
      <c r="AH24" s="320">
        <f t="shared" si="4"/>
        <v>0</v>
      </c>
      <c r="AI24" s="320">
        <f t="shared" si="5"/>
        <v>0</v>
      </c>
    </row>
    <row r="25" spans="1:35" x14ac:dyDescent="0.2">
      <c r="A25" s="937" t="s">
        <v>44</v>
      </c>
      <c r="B25" s="1214">
        <f>TableA6!B25</f>
        <v>53.821062621875072</v>
      </c>
      <c r="C25" s="1159">
        <f>TableA6!E25</f>
        <v>5.8274626748237663</v>
      </c>
      <c r="D25" s="1159">
        <v>0</v>
      </c>
      <c r="E25" s="1159">
        <f t="shared" si="6"/>
        <v>47.993599947051308</v>
      </c>
      <c r="F25" s="311">
        <f t="shared" si="0"/>
        <v>0.10827476067808532</v>
      </c>
      <c r="G25" s="1184">
        <f>TableA2!L25</f>
        <v>0.58530208289956809</v>
      </c>
      <c r="H25" s="1184">
        <f>D25/TableA2!C25</f>
        <v>0</v>
      </c>
      <c r="I25" s="1184">
        <f t="shared" si="1"/>
        <v>0</v>
      </c>
      <c r="J25" s="1184">
        <f>TableA6!I25/TableA2!$C25</f>
        <v>0</v>
      </c>
      <c r="K25" s="1184">
        <f>TableA6!J25/TableA2!$C25</f>
        <v>0</v>
      </c>
      <c r="L25" s="906">
        <f t="shared" si="2"/>
        <v>0.58530208289956809</v>
      </c>
      <c r="M25" s="1184">
        <f>C25/TableA4!D25</f>
        <v>0.507499525346497</v>
      </c>
      <c r="N25" s="1184">
        <f>VLOOKUP(A25,TableA10!$A$8:$G$95,4,)/VLOOKUP(A25,TableA10!$A$8:$G$95,3,)</f>
        <v>0.507499525346497</v>
      </c>
      <c r="O25" s="1492">
        <f>E25/TableA4!G25</f>
        <v>0.59640392117908991</v>
      </c>
      <c r="P25" s="266">
        <f>+'Table E1'!D25</f>
        <v>7.6088109021998335E-2</v>
      </c>
      <c r="Q25" s="266">
        <f>+'Table E1'!I25</f>
        <v>8.1275159193857013E-2</v>
      </c>
      <c r="R25" s="266">
        <f>+'Table E1'!N25</f>
        <v>7.5627376630288817E-2</v>
      </c>
      <c r="S25" s="266">
        <f t="shared" si="7"/>
        <v>0.57731582400187609</v>
      </c>
      <c r="T25" s="266">
        <f t="shared" si="8"/>
        <v>0.59640392117908991</v>
      </c>
      <c r="U25" s="266">
        <f t="shared" si="9"/>
        <v>0.60668212735143578</v>
      </c>
      <c r="V25" s="912">
        <f>C25-O25*TableA4!D25</f>
        <v>-1.0208621337891248</v>
      </c>
      <c r="W25" s="26">
        <f>IFERROR($C25-S25*TableA4!$D25,"")</f>
        <v>-0.80167932025313871</v>
      </c>
      <c r="X25" s="26">
        <f>IFERROR($C25-T25*TableA4!$D25,"")</f>
        <v>-1.0208621337891248</v>
      </c>
      <c r="Y25" s="910">
        <f>IFERROR($C25-U25*TableA4!$D25,"")</f>
        <v>-1.1388836487700393</v>
      </c>
      <c r="Z25" s="26">
        <f t="shared" si="10"/>
        <v>0.21918281353598612</v>
      </c>
      <c r="AA25" s="26">
        <f t="shared" si="11"/>
        <v>0</v>
      </c>
      <c r="AB25" s="900">
        <f t="shared" si="12"/>
        <v>-0.11802151498091451</v>
      </c>
      <c r="AC25" s="26"/>
      <c r="AD25" s="26"/>
      <c r="AE25" s="26"/>
      <c r="AF25" s="958"/>
      <c r="AG25" s="958"/>
      <c r="AH25" s="320">
        <f t="shared" si="4"/>
        <v>0</v>
      </c>
      <c r="AI25" s="320">
        <f t="shared" si="5"/>
        <v>0</v>
      </c>
    </row>
    <row r="26" spans="1:35" x14ac:dyDescent="0.2">
      <c r="A26" s="937" t="s">
        <v>45</v>
      </c>
      <c r="B26" s="1214">
        <f>TableA6!B26</f>
        <v>211.89440797463348</v>
      </c>
      <c r="C26" s="1159">
        <f>TableA6!E26</f>
        <v>13.197888688714203</v>
      </c>
      <c r="D26" s="1159">
        <v>0</v>
      </c>
      <c r="E26" s="1159">
        <f t="shared" si="6"/>
        <v>198.69651928591927</v>
      </c>
      <c r="F26" s="311">
        <f t="shared" si="0"/>
        <v>6.228521467302791E-2</v>
      </c>
      <c r="G26" s="1184">
        <f>TableA2!L26</f>
        <v>0.43094579515647402</v>
      </c>
      <c r="H26" s="1184">
        <f>D26/TableA2!C26</f>
        <v>0</v>
      </c>
      <c r="I26" s="1184">
        <f t="shared" si="1"/>
        <v>0</v>
      </c>
      <c r="J26" s="1184">
        <f>TableA6!I26/TableA2!$C26</f>
        <v>0</v>
      </c>
      <c r="K26" s="1184">
        <f>TableA6!J26/TableA2!$C26</f>
        <v>0</v>
      </c>
      <c r="L26" s="906">
        <f t="shared" si="2"/>
        <v>0.43094579515647402</v>
      </c>
      <c r="M26" s="1184">
        <f>C26/TableA4!D26</f>
        <v>0.16233602672515596</v>
      </c>
      <c r="N26" s="1184">
        <f>VLOOKUP(A26,TableA10!$A$8:$G$95,4,)/VLOOKUP(A26,TableA10!$A$8:$G$95,3,)</f>
        <v>0.29230028211656228</v>
      </c>
      <c r="O26" s="1492">
        <f>E26/TableA4!G26</f>
        <v>0.48415758018996907</v>
      </c>
      <c r="P26" s="266">
        <f>+'Table E1'!D26</f>
        <v>0.1416191303959051</v>
      </c>
      <c r="Q26" s="266">
        <f>+'Table E1'!I26</f>
        <v>0.23520857895128969</v>
      </c>
      <c r="R26" s="266">
        <f>+'Table E1'!N26</f>
        <v>0.13324414709091489</v>
      </c>
      <c r="S26" s="266">
        <f t="shared" si="7"/>
        <v>0.32537220009921791</v>
      </c>
      <c r="T26" s="266">
        <f t="shared" si="8"/>
        <v>0.48415758018996907</v>
      </c>
      <c r="U26" s="266">
        <f t="shared" si="9"/>
        <v>0.56965740023883515</v>
      </c>
      <c r="V26" s="912">
        <f>C26-O26*TableA4!D26</f>
        <v>-26.164032260372608</v>
      </c>
      <c r="W26" s="26">
        <f>IFERROR($C26-S26*TableA4!$D26,"")</f>
        <v>-13.254810480656802</v>
      </c>
      <c r="X26" s="26">
        <f>IFERROR($C26-T26*TableA4!$D26,"")</f>
        <v>-26.164032260372608</v>
      </c>
      <c r="Y26" s="910">
        <f>IFERROR($C26-U26*TableA4!$D26,"")</f>
        <v>-33.11515168021959</v>
      </c>
      <c r="Z26" s="26">
        <f t="shared" si="10"/>
        <v>12.909221779715805</v>
      </c>
      <c r="AA26" s="26">
        <f t="shared" si="11"/>
        <v>0</v>
      </c>
      <c r="AB26" s="900">
        <f t="shared" si="12"/>
        <v>-6.9511194198469823</v>
      </c>
      <c r="AC26" s="26"/>
      <c r="AD26" s="26"/>
      <c r="AE26" s="26"/>
      <c r="AF26" s="958"/>
      <c r="AG26" s="958"/>
      <c r="AH26" s="320">
        <f t="shared" si="4"/>
        <v>0</v>
      </c>
      <c r="AI26" s="320">
        <f t="shared" si="5"/>
        <v>0</v>
      </c>
    </row>
    <row r="27" spans="1:35" x14ac:dyDescent="0.2">
      <c r="A27" s="937" t="s">
        <v>46</v>
      </c>
      <c r="B27" s="1214">
        <f>TableA6!B27</f>
        <v>634.13536380108962</v>
      </c>
      <c r="C27" s="1159">
        <f>TableA6!E27</f>
        <v>32.091665406409945</v>
      </c>
      <c r="D27" s="1159">
        <v>0</v>
      </c>
      <c r="E27" s="1159">
        <f t="shared" si="6"/>
        <v>602.04369839467972</v>
      </c>
      <c r="F27" s="311">
        <f t="shared" si="0"/>
        <v>5.0606963809821832E-2</v>
      </c>
      <c r="G27" s="1184">
        <f>TableA2!L27</f>
        <v>0.41884260770852871</v>
      </c>
      <c r="H27" s="1184">
        <f>D27/TableA2!C27</f>
        <v>0</v>
      </c>
      <c r="I27" s="1184">
        <f t="shared" si="1"/>
        <v>0</v>
      </c>
      <c r="J27" s="1184">
        <f>TableA6!I27/TableA2!$C27</f>
        <v>0</v>
      </c>
      <c r="K27" s="1184">
        <f>TableA6!J27/TableA2!$C27</f>
        <v>0</v>
      </c>
      <c r="L27" s="906">
        <f t="shared" si="2"/>
        <v>0.41884260770852871</v>
      </c>
      <c r="M27" s="1184">
        <f>C27/TableA4!D27</f>
        <v>0.23732566147384185</v>
      </c>
      <c r="N27" s="1184">
        <f>VLOOKUP(A27,TableA10!$A$8:$G$95,4,)/VLOOKUP(A27,TableA10!$A$8:$G$95,3,)</f>
        <v>0.85962139029186102</v>
      </c>
      <c r="O27" s="1492">
        <f>E27/TableA4!G27</f>
        <v>0.43664443770241151</v>
      </c>
      <c r="P27" s="266">
        <f>+'Table E1'!D27</f>
        <v>0.14545222977998268</v>
      </c>
      <c r="Q27" s="266">
        <f>+'Table E1'!I27</f>
        <v>0.10940132347603941</v>
      </c>
      <c r="R27" s="266">
        <f>+'Table E1'!N27</f>
        <v>0.14671054470606501</v>
      </c>
      <c r="S27" s="266">
        <f t="shared" si="7"/>
        <v>0.48423337440106978</v>
      </c>
      <c r="T27" s="266">
        <f t="shared" si="8"/>
        <v>0.43664443770241151</v>
      </c>
      <c r="U27" s="266">
        <f t="shared" si="9"/>
        <v>0.41101962563390321</v>
      </c>
      <c r="V27" s="913">
        <f>C27-O27*TableA4!D27</f>
        <v>-26.952295997908244</v>
      </c>
      <c r="W27" s="26">
        <f>IFERROR($C27-S27*TableA4!$D27,"")</f>
        <v>-33.387370166019195</v>
      </c>
      <c r="X27" s="26">
        <f>IFERROR($C27-T27*TableA4!$D27,"")</f>
        <v>-26.952295997908244</v>
      </c>
      <c r="Y27" s="910">
        <f>IFERROR($C27-U27*TableA4!$D27,"")</f>
        <v>-23.487256061233118</v>
      </c>
      <c r="Z27" s="26">
        <f t="shared" si="10"/>
        <v>-6.4350741681109511</v>
      </c>
      <c r="AA27" s="26">
        <f t="shared" si="11"/>
        <v>0</v>
      </c>
      <c r="AB27" s="900">
        <f t="shared" si="12"/>
        <v>3.4650399366751259</v>
      </c>
      <c r="AC27" s="26"/>
      <c r="AD27" s="26"/>
      <c r="AE27" s="26"/>
      <c r="AF27" s="958"/>
      <c r="AG27" s="958"/>
      <c r="AH27" s="320">
        <f t="shared" si="4"/>
        <v>0</v>
      </c>
      <c r="AI27" s="320">
        <f t="shared" si="5"/>
        <v>0</v>
      </c>
    </row>
    <row r="28" spans="1:35" ht="17" x14ac:dyDescent="0.2">
      <c r="A28" s="937" t="s">
        <v>47</v>
      </c>
      <c r="B28" s="1214">
        <f>TableA6!B28</f>
        <v>248.21706968304588</v>
      </c>
      <c r="C28" s="1159">
        <f>TableA6!E28</f>
        <v>2.54407878701964</v>
      </c>
      <c r="D28" s="1159">
        <v>0</v>
      </c>
      <c r="E28" s="1159">
        <f t="shared" si="6"/>
        <v>245.67299089602625</v>
      </c>
      <c r="F28" s="311">
        <f t="shared" si="0"/>
        <v>1.0249411091139835E-2</v>
      </c>
      <c r="G28" s="1184">
        <f>TableA2!L28</f>
        <v>0.59857470740953445</v>
      </c>
      <c r="H28" s="1184">
        <f>D28/TableA2!C28</f>
        <v>0</v>
      </c>
      <c r="I28" s="1184">
        <f t="shared" si="1"/>
        <v>0</v>
      </c>
      <c r="J28" s="1184">
        <f>TableA6!I28/TableA2!$C28</f>
        <v>0</v>
      </c>
      <c r="K28" s="1184">
        <f>TableA6!J28/TableA2!$C28</f>
        <v>0</v>
      </c>
      <c r="L28" s="906">
        <f t="shared" si="2"/>
        <v>0.59857470740953445</v>
      </c>
      <c r="M28" s="1184">
        <f>C28/TableA4!D28</f>
        <v>3.9749361886952154E-2</v>
      </c>
      <c r="N28" s="1184">
        <f>VLOOKUP(A28,TableA10!$A$8:$G$95,4,)/VLOOKUP(A28,TableA10!$A$8:$G$95,3,)</f>
        <v>0.68300783844825297</v>
      </c>
      <c r="O28" s="1492">
        <f>E28/TableA4!G28</f>
        <v>0.70056738480426717</v>
      </c>
      <c r="P28" s="266">
        <f>+'Table E1'!D28</f>
        <v>0.12414683693476472</v>
      </c>
      <c r="Q28" s="266">
        <f>+'Table E1'!I28</f>
        <v>0.15303662955804084</v>
      </c>
      <c r="R28" s="266">
        <f>+'Table E1'!N28</f>
        <v>0</v>
      </c>
      <c r="S28" s="266" t="str">
        <f t="shared" si="7"/>
        <v/>
      </c>
      <c r="T28" s="266" t="str">
        <f t="shared" si="8"/>
        <v/>
      </c>
      <c r="U28" s="266" t="str">
        <f t="shared" si="9"/>
        <v/>
      </c>
      <c r="V28" s="912">
        <f>C28-O28*TableA4!D28</f>
        <v>-42.29434220769339</v>
      </c>
      <c r="W28" s="26" t="str">
        <f>IFERROR($C28-S28*TableA4!$D28,"")</f>
        <v/>
      </c>
      <c r="X28" s="26" t="str">
        <f>IFERROR($C28-T28*TableA4!$D28,"")</f>
        <v/>
      </c>
      <c r="Y28" s="910" t="str">
        <f>IFERROR($C28-U28*TableA4!$D28,"")</f>
        <v/>
      </c>
      <c r="Z28" s="26" t="str">
        <f t="shared" si="10"/>
        <v/>
      </c>
      <c r="AA28" s="26" t="str">
        <f t="shared" si="11"/>
        <v/>
      </c>
      <c r="AB28" s="900" t="str">
        <f t="shared" si="12"/>
        <v/>
      </c>
      <c r="AC28" s="26"/>
      <c r="AD28" s="26"/>
      <c r="AE28" s="26"/>
      <c r="AF28" s="958"/>
      <c r="AG28" s="958"/>
      <c r="AH28" s="320">
        <f t="shared" si="4"/>
        <v>0</v>
      </c>
      <c r="AI28" s="320">
        <f t="shared" si="5"/>
        <v>0</v>
      </c>
    </row>
    <row r="29" spans="1:35" x14ac:dyDescent="0.2">
      <c r="A29" s="959" t="s">
        <v>48</v>
      </c>
      <c r="B29" s="1214">
        <f>TableA6!B29</f>
        <v>4.1858751479217755</v>
      </c>
      <c r="C29" s="1159">
        <f>TableA6!E29</f>
        <v>1.2242246708432463</v>
      </c>
      <c r="D29" s="1159">
        <v>0</v>
      </c>
      <c r="E29" s="1159">
        <f t="shared" si="6"/>
        <v>2.9616504770785292</v>
      </c>
      <c r="F29" s="311">
        <f t="shared" si="0"/>
        <v>0.29246564400064717</v>
      </c>
      <c r="G29" s="1184">
        <f>TableA2!L29</f>
        <v>0.4548799812563365</v>
      </c>
      <c r="H29" s="1184">
        <f>D29/TableA2!C29</f>
        <v>0</v>
      </c>
      <c r="I29" s="1184">
        <f t="shared" si="1"/>
        <v>0</v>
      </c>
      <c r="J29" s="1184">
        <f>TableA6!I29/TableA2!$C29</f>
        <v>0</v>
      </c>
      <c r="K29" s="1184">
        <f>TableA6!J29/TableA2!$C29</f>
        <v>0</v>
      </c>
      <c r="L29" s="906">
        <f t="shared" si="2"/>
        <v>0.4548799812563365</v>
      </c>
      <c r="M29" s="1184">
        <f>C29/TableA4!D29</f>
        <v>0.41891257424263328</v>
      </c>
      <c r="N29" s="1184"/>
      <c r="O29" s="1492">
        <f>E29/TableA4!G29</f>
        <v>0.47161797519422538</v>
      </c>
      <c r="P29" s="266">
        <f>+'Table E1'!D29</f>
        <v>8.8296635740784585E-2</v>
      </c>
      <c r="Q29" s="266">
        <f>+'Table E1'!I29</f>
        <v>0.12839451804317503</v>
      </c>
      <c r="R29" s="266">
        <f>+'Table E1'!N29</f>
        <v>7.8297670309072434E-2</v>
      </c>
      <c r="S29" s="266">
        <f t="shared" si="7"/>
        <v>0.342295167949</v>
      </c>
      <c r="T29" s="266">
        <f t="shared" si="8"/>
        <v>0.47161797519422538</v>
      </c>
      <c r="U29" s="266">
        <f t="shared" si="9"/>
        <v>0.54125333294165445</v>
      </c>
      <c r="V29" s="912">
        <f>C29-O29*TableA4!D29</f>
        <v>-0.15402557979616138</v>
      </c>
      <c r="W29" s="26">
        <f>IFERROR($C29-S29*TableA4!$D29,"")</f>
        <v>0.22390571390764591</v>
      </c>
      <c r="X29" s="26">
        <f>IFERROR($C29-T29*TableA4!$D29,"")</f>
        <v>-0.15402557979616138</v>
      </c>
      <c r="Y29" s="910">
        <f>IFERROR($C29-U29*TableA4!$D29,"")</f>
        <v>-0.35752704563667304</v>
      </c>
      <c r="Z29" s="26">
        <f t="shared" si="10"/>
        <v>0.37793129370380729</v>
      </c>
      <c r="AA29" s="26">
        <f t="shared" si="11"/>
        <v>0</v>
      </c>
      <c r="AB29" s="900">
        <f t="shared" si="12"/>
        <v>-0.20350146584051165</v>
      </c>
      <c r="AC29" s="26"/>
      <c r="AD29" s="26"/>
      <c r="AE29" s="26"/>
      <c r="AF29" s="958"/>
      <c r="AG29" s="958"/>
      <c r="AH29" s="320">
        <f t="shared" si="4"/>
        <v>0</v>
      </c>
      <c r="AI29" s="320">
        <f t="shared" si="5"/>
        <v>0</v>
      </c>
    </row>
    <row r="30" spans="1:35" x14ac:dyDescent="0.2">
      <c r="A30" s="959" t="s">
        <v>49</v>
      </c>
      <c r="B30" s="1214">
        <f>TableA6!B30</f>
        <v>91.027431841444567</v>
      </c>
      <c r="C30" s="1159">
        <f>TableA6!E30</f>
        <v>51.304832182529623</v>
      </c>
      <c r="D30" s="1159">
        <v>35.507497845637872</v>
      </c>
      <c r="E30" s="1159">
        <f t="shared" si="6"/>
        <v>4.215101813277073</v>
      </c>
      <c r="F30" s="311">
        <f t="shared" si="0"/>
        <v>0.92407948803405582</v>
      </c>
      <c r="G30" s="1184">
        <f>TableA2!L30</f>
        <v>2.7503859454118813</v>
      </c>
      <c r="H30" s="1184">
        <f>D30/TableA2!C30</f>
        <v>1.6475060207484251</v>
      </c>
      <c r="I30" s="1184">
        <f t="shared" si="1"/>
        <v>1.4731795298014214</v>
      </c>
      <c r="J30" s="1184">
        <f>TableA6!I30/TableA2!$C30</f>
        <v>1.1684081444524146</v>
      </c>
      <c r="K30" s="1184">
        <f>TableA6!J30/TableA2!$C30</f>
        <v>0.30477138534900672</v>
      </c>
      <c r="L30" s="906">
        <f t="shared" si="2"/>
        <v>2.5760594544648776</v>
      </c>
      <c r="M30" s="1184">
        <f>C30/TableA4!D30</f>
        <v>4.6076539817790847</v>
      </c>
      <c r="N30" s="1184">
        <f>VLOOKUP(A30,TableA10!$A$8:$G$95,4,)/VLOOKUP(A30,TableA10!$A$8:$G$95,3,)</f>
        <v>5.5750591016548467</v>
      </c>
      <c r="O30" s="1110">
        <f>E30/TableA4!G30</f>
        <v>0.40461450275815142</v>
      </c>
      <c r="P30" s="266">
        <f>+'Table E1'!D30</f>
        <v>0.1933696418088944</v>
      </c>
      <c r="Q30" s="266">
        <f>+'Table E1'!I30</f>
        <v>0.16146643743375119</v>
      </c>
      <c r="R30" s="266">
        <f>+'Table E1'!N30</f>
        <v>0.21380838644670047</v>
      </c>
      <c r="S30" s="266">
        <f t="shared" si="7"/>
        <v>0.44706568738839331</v>
      </c>
      <c r="T30" s="266">
        <f t="shared" si="8"/>
        <v>0.40461450275815142</v>
      </c>
      <c r="U30" s="266">
        <f t="shared" si="9"/>
        <v>0.38175617257263655</v>
      </c>
      <c r="V30" s="912">
        <f>C30-O30*TableA4!D30</f>
        <v>46.799572185855702</v>
      </c>
      <c r="W30" s="26">
        <f>IFERROR($C30-S30*TableA4!$D30,"")</f>
        <v>46.326891096516782</v>
      </c>
      <c r="X30" s="26">
        <f>IFERROR($C30-T30*TableA4!$D30,"")</f>
        <v>46.799572185855702</v>
      </c>
      <c r="Y30" s="910">
        <f>IFERROR($C30-U30*TableA4!$D30,"")</f>
        <v>47.054092772422806</v>
      </c>
      <c r="Z30" s="26">
        <f t="shared" si="10"/>
        <v>-0.47268108933891995</v>
      </c>
      <c r="AA30" s="26">
        <f t="shared" si="11"/>
        <v>0</v>
      </c>
      <c r="AB30" s="900">
        <f t="shared" si="12"/>
        <v>0.25452058656710363</v>
      </c>
      <c r="AC30" s="26"/>
      <c r="AD30" s="26"/>
      <c r="AE30" s="26"/>
      <c r="AF30" s="958"/>
      <c r="AG30" s="958"/>
      <c r="AH30" s="320">
        <f t="shared" si="4"/>
        <v>0</v>
      </c>
      <c r="AI30" s="320">
        <f t="shared" si="5"/>
        <v>0</v>
      </c>
    </row>
    <row r="31" spans="1:35" x14ac:dyDescent="0.2">
      <c r="A31" s="959" t="s">
        <v>50</v>
      </c>
      <c r="B31" s="1214">
        <f>TableA6!B31</f>
        <v>325.04468785135941</v>
      </c>
      <c r="C31" s="1159">
        <f>TableA6!E31</f>
        <v>23.460473720946542</v>
      </c>
      <c r="D31" s="1159">
        <v>0</v>
      </c>
      <c r="E31" s="1159">
        <f t="shared" si="6"/>
        <v>301.58421413041287</v>
      </c>
      <c r="F31" s="311">
        <f t="shared" si="0"/>
        <v>7.2176148689053019E-2</v>
      </c>
      <c r="G31" s="1184">
        <f>TableA2!L31</f>
        <v>2.3179694326877476</v>
      </c>
      <c r="H31" s="1184">
        <f>D31/TableA2!C31</f>
        <v>0</v>
      </c>
      <c r="I31" s="1184">
        <f t="shared" si="1"/>
        <v>0</v>
      </c>
      <c r="J31" s="1184">
        <f>TableA6!I31/TableA2!$C31</f>
        <v>0</v>
      </c>
      <c r="K31" s="1184">
        <f>TableA6!J31/TableA2!$C31</f>
        <v>0</v>
      </c>
      <c r="L31" s="906">
        <f t="shared" si="2"/>
        <v>2.3179694326877476</v>
      </c>
      <c r="M31" s="1184">
        <f>C31/TableA4!D31</f>
        <v>0.72504257375615577</v>
      </c>
      <c r="N31" s="1184">
        <f>VLOOKUP(A31,TableA10!$A$8:$G$95,4,)/VLOOKUP(A31,TableA10!$A$8:$G$95,3,)</f>
        <v>0.72504257375615588</v>
      </c>
      <c r="O31" s="1492">
        <f>E31/TableA4!G31</f>
        <v>2.7957902732061406</v>
      </c>
      <c r="P31" s="266">
        <f>+'Table E1'!D31</f>
        <v>4.2736244821519324E-2</v>
      </c>
      <c r="Q31" s="266">
        <f>+'Table E1'!I31</f>
        <v>5.4253262422202644E-2</v>
      </c>
      <c r="R31" s="266">
        <f>+'Table E1'!N31</f>
        <v>4.2108579462909072E-2</v>
      </c>
      <c r="S31" s="266">
        <f t="shared" si="7"/>
        <v>2.4502144147756071</v>
      </c>
      <c r="T31" s="266">
        <f t="shared" si="8"/>
        <v>2.7957902732061406</v>
      </c>
      <c r="U31" s="266">
        <f t="shared" si="9"/>
        <v>2.9818695815918126</v>
      </c>
      <c r="V31" s="912">
        <f>C31-O31*TableA4!D31</f>
        <v>-67.003957759307255</v>
      </c>
      <c r="W31" s="26">
        <f>IFERROR($C31-S31*TableA4!$D31,"")</f>
        <v>-55.822030464607835</v>
      </c>
      <c r="X31" s="26">
        <f>IFERROR($C31-T31*TableA4!$D31,"")</f>
        <v>-67.003957759307255</v>
      </c>
      <c r="Y31" s="910">
        <f>IFERROR($C31-U31*TableA4!$D31,"")</f>
        <v>-73.02499553337617</v>
      </c>
      <c r="Z31" s="26">
        <f t="shared" si="10"/>
        <v>11.18192729469942</v>
      </c>
      <c r="AA31" s="26">
        <f t="shared" si="11"/>
        <v>0</v>
      </c>
      <c r="AB31" s="900">
        <f t="shared" si="12"/>
        <v>-6.0210377740689154</v>
      </c>
      <c r="AC31" s="26"/>
      <c r="AD31" s="26"/>
      <c r="AE31" s="26"/>
      <c r="AF31" s="958"/>
      <c r="AG31" s="958"/>
      <c r="AH31" s="320">
        <f t="shared" si="4"/>
        <v>0</v>
      </c>
      <c r="AI31" s="320">
        <f t="shared" si="5"/>
        <v>0</v>
      </c>
    </row>
    <row r="32" spans="1:35" x14ac:dyDescent="0.2">
      <c r="A32" s="959" t="s">
        <v>51</v>
      </c>
      <c r="B32" s="1214">
        <f>TableA6!B32</f>
        <v>195.09598848383817</v>
      </c>
      <c r="C32" s="1159">
        <f>TableA6!E32</f>
        <v>89.333947018983608</v>
      </c>
      <c r="D32" s="1159">
        <v>21.674047505764374</v>
      </c>
      <c r="E32" s="1159">
        <f t="shared" si="6"/>
        <v>84.087993959090184</v>
      </c>
      <c r="F32" s="311">
        <f t="shared" si="0"/>
        <v>0.51512482512393487</v>
      </c>
      <c r="G32" s="1184">
        <f>TableA2!L32</f>
        <v>0.56640307035308279</v>
      </c>
      <c r="H32" s="1184">
        <f>D32/TableA2!C32</f>
        <v>7.6847697431803794E-2</v>
      </c>
      <c r="I32" s="1184">
        <f t="shared" si="1"/>
        <v>0.12533101803891039</v>
      </c>
      <c r="J32" s="1184">
        <f>TableA6!I32/TableA2!$C32</f>
        <v>8.798266735978813E-2</v>
      </c>
      <c r="K32" s="1184">
        <f>TableA6!J32/TableA2!$C32</f>
        <v>3.7348350679122254E-2</v>
      </c>
      <c r="L32" s="906">
        <f t="shared" si="2"/>
        <v>0.61488639096018938</v>
      </c>
      <c r="M32" s="1184">
        <f>C32/TableA4!D32</f>
        <v>1.1495705968665206</v>
      </c>
      <c r="N32" s="1111">
        <f>VLOOKUP(A32,TableA10!$A$8:$G$95,4,)/VLOOKUP(A32,TableA10!$A$8:$G$95,3,)</f>
        <v>1.7924291254711313</v>
      </c>
      <c r="O32" s="1492">
        <f>E32/TableA4!G32</f>
        <v>0.41153378760859277</v>
      </c>
      <c r="P32" s="266">
        <f>+'Table E1'!D32</f>
        <v>0.15081767375249652</v>
      </c>
      <c r="Q32" s="266">
        <f>+'Table E1'!I32</f>
        <v>0.24817144798456189</v>
      </c>
      <c r="R32" s="266">
        <f>+'Table E1'!N32</f>
        <v>0.13119593915213407</v>
      </c>
      <c r="S32" s="266">
        <f t="shared" si="7"/>
        <v>0.25427922235400396</v>
      </c>
      <c r="T32" s="266">
        <f t="shared" si="8"/>
        <v>0.41153378760859277</v>
      </c>
      <c r="U32" s="266">
        <f t="shared" si="9"/>
        <v>0.49620932274567908</v>
      </c>
      <c r="V32" s="912">
        <f>C32-O32*TableA4!D32</f>
        <v>57.353364287520073</v>
      </c>
      <c r="W32" s="26">
        <f>IFERROR($C32-S32*TableA4!$D32,"")</f>
        <v>69.573728168815393</v>
      </c>
      <c r="X32" s="26">
        <f>IFERROR($C32-T32*TableA4!$D32,"")</f>
        <v>57.353364287520073</v>
      </c>
      <c r="Y32" s="910">
        <f>IFERROR($C32-U32*TableA4!$D32,"")</f>
        <v>50.773168351437974</v>
      </c>
      <c r="Z32" s="26">
        <f t="shared" si="10"/>
        <v>12.22036388129532</v>
      </c>
      <c r="AA32" s="26">
        <f t="shared" si="11"/>
        <v>0</v>
      </c>
      <c r="AB32" s="900">
        <f t="shared" si="12"/>
        <v>-6.5801959360820987</v>
      </c>
      <c r="AC32" s="26"/>
      <c r="AD32" s="26"/>
      <c r="AE32" s="26"/>
      <c r="AF32" s="958"/>
      <c r="AG32" s="958"/>
      <c r="AH32" s="320">
        <f t="shared" si="4"/>
        <v>0</v>
      </c>
      <c r="AI32" s="320">
        <f t="shared" si="5"/>
        <v>0</v>
      </c>
    </row>
    <row r="33" spans="1:35" x14ac:dyDescent="0.2">
      <c r="A33" s="959" t="s">
        <v>52</v>
      </c>
      <c r="B33" s="1214">
        <f>TableA6!B33</f>
        <v>43.62366684525152</v>
      </c>
      <c r="C33" s="1159">
        <f>TableA6!E33</f>
        <v>6.2361538780448305</v>
      </c>
      <c r="D33" s="1159">
        <v>0</v>
      </c>
      <c r="E33" s="1159">
        <f t="shared" si="6"/>
        <v>37.387512967206689</v>
      </c>
      <c r="F33" s="311">
        <f t="shared" si="0"/>
        <v>0.1429534546045077</v>
      </c>
      <c r="G33" s="1184">
        <f>TableA2!L33</f>
        <v>0.76342747942908895</v>
      </c>
      <c r="H33" s="1184">
        <f>D33/TableA2!C33</f>
        <v>0</v>
      </c>
      <c r="I33" s="1184">
        <f t="shared" si="1"/>
        <v>0</v>
      </c>
      <c r="J33" s="1184">
        <f>TableA6!I33/TableA2!$C33</f>
        <v>0</v>
      </c>
      <c r="K33" s="1184">
        <f>TableA6!J33/TableA2!$C33</f>
        <v>0</v>
      </c>
      <c r="L33" s="906">
        <f t="shared" si="2"/>
        <v>0.76342747942908895</v>
      </c>
      <c r="M33" s="1184">
        <f>C33/TableA4!D33</f>
        <v>0.67991169977924948</v>
      </c>
      <c r="N33" s="1184">
        <f>VLOOKUP(A33,TableA10!$A$8:$G$95,4,)/VLOOKUP(A33,TableA10!$A$8:$G$95,3,)</f>
        <v>0.67991169977924948</v>
      </c>
      <c r="O33" s="1492">
        <f>E33/TableA4!G33</f>
        <v>0.77939599106707602</v>
      </c>
      <c r="P33" s="266">
        <f>+'Table E1'!D33</f>
        <v>0.12442219910297715</v>
      </c>
      <c r="Q33" s="266">
        <f>+'Table E1'!I33</f>
        <v>5.7446548961500678E-2</v>
      </c>
      <c r="R33" s="266">
        <f>+'Table E1'!N33</f>
        <v>0.14424978986778478</v>
      </c>
      <c r="S33" s="266">
        <f t="shared" si="7"/>
        <v>0.98039880323060724</v>
      </c>
      <c r="T33" s="266">
        <f t="shared" si="8"/>
        <v>0.77939599106707602</v>
      </c>
      <c r="U33" s="266">
        <f t="shared" si="9"/>
        <v>0.67116370759440536</v>
      </c>
      <c r="V33" s="912">
        <f>C33-O33*TableA4!D33</f>
        <v>-0.91247047097520007</v>
      </c>
      <c r="W33" s="26">
        <f>IFERROR($C33-S33*TableA4!$D33,"")</f>
        <v>-2.7560693779781209</v>
      </c>
      <c r="X33" s="26">
        <f>IFERROR($C33-T33*TableA4!$D33,"")</f>
        <v>-0.91247047097520007</v>
      </c>
      <c r="Y33" s="910">
        <f>IFERROR($C33-U33*TableA4!$D33,"")</f>
        <v>8.023663279560278E-2</v>
      </c>
      <c r="Z33" s="26">
        <f t="shared" si="10"/>
        <v>-1.8435989070029208</v>
      </c>
      <c r="AA33" s="26">
        <f t="shared" si="11"/>
        <v>0</v>
      </c>
      <c r="AB33" s="900">
        <f t="shared" si="12"/>
        <v>0.99270710377080285</v>
      </c>
      <c r="AC33" s="26"/>
      <c r="AD33" s="26"/>
      <c r="AE33" s="26"/>
      <c r="AF33" s="958"/>
      <c r="AG33" s="958"/>
      <c r="AH33" s="320">
        <f t="shared" si="4"/>
        <v>0</v>
      </c>
      <c r="AI33" s="320">
        <f t="shared" si="5"/>
        <v>0</v>
      </c>
    </row>
    <row r="34" spans="1:35" x14ac:dyDescent="0.2">
      <c r="A34" s="959" t="s">
        <v>53</v>
      </c>
      <c r="B34" s="1214">
        <f>TableA6!B34</f>
        <v>76.129871814410606</v>
      </c>
      <c r="C34" s="1159">
        <f>TableA6!E34</f>
        <v>6.9090708256049158</v>
      </c>
      <c r="D34" s="1159">
        <v>0</v>
      </c>
      <c r="E34" s="1159">
        <f t="shared" si="6"/>
        <v>69.220800988805692</v>
      </c>
      <c r="F34" s="311">
        <f t="shared" si="0"/>
        <v>9.0753743056967803E-2</v>
      </c>
      <c r="G34" s="1184">
        <f>TableA2!L34</f>
        <v>0.63204211939456467</v>
      </c>
      <c r="H34" s="1184">
        <f>D34/TableA2!C34</f>
        <v>0</v>
      </c>
      <c r="I34" s="1184">
        <f t="shared" si="1"/>
        <v>0</v>
      </c>
      <c r="J34" s="1184">
        <f>TableA6!I34/TableA2!$C34</f>
        <v>0</v>
      </c>
      <c r="K34" s="1184">
        <f>TableA6!J34/TableA2!$C34</f>
        <v>0</v>
      </c>
      <c r="L34" s="906">
        <f t="shared" si="2"/>
        <v>0.63204211939456467</v>
      </c>
      <c r="M34" s="1184">
        <f>C34/TableA4!D34</f>
        <v>0.2081320757956302</v>
      </c>
      <c r="N34" s="1184">
        <f>VLOOKUP(A34,TableA10!$A$8:$G$95,4,)/VLOOKUP(A34,TableA10!$A$8:$G$95,3,)</f>
        <v>1.3034855769230769</v>
      </c>
      <c r="O34" s="1492">
        <f>E34/TableA4!G34</f>
        <v>0.79331594976644759</v>
      </c>
      <c r="P34" s="266">
        <f>+'Table E1'!D34</f>
        <v>0.28659257722826242</v>
      </c>
      <c r="Q34" s="266">
        <f>+'Table E1'!I34</f>
        <v>0.34417605887332126</v>
      </c>
      <c r="R34" s="266">
        <f>+'Table E1'!N34</f>
        <v>0.27135598963949448</v>
      </c>
      <c r="S34" s="266">
        <f t="shared" si="7"/>
        <v>0.70207683226773798</v>
      </c>
      <c r="T34" s="266">
        <f t="shared" si="8"/>
        <v>0.79331594976644759</v>
      </c>
      <c r="U34" s="266">
        <f t="shared" si="9"/>
        <v>0.8424447053426759</v>
      </c>
      <c r="V34" s="912">
        <f>C34-O34*TableA4!D34</f>
        <v>-19.425534559297006</v>
      </c>
      <c r="W34" s="26">
        <f>IFERROR($C34-S34*TableA4!$D34,"")</f>
        <v>-16.396796569467625</v>
      </c>
      <c r="X34" s="26">
        <f>IFERROR($C34-T34*TableA4!$D34,"")</f>
        <v>-19.425534559297006</v>
      </c>
      <c r="Y34" s="910">
        <f>IFERROR($C34-U34*TableA4!$D34,"")</f>
        <v>-21.056393476897448</v>
      </c>
      <c r="Z34" s="26">
        <f t="shared" si="10"/>
        <v>3.0287379898293807</v>
      </c>
      <c r="AA34" s="26">
        <f t="shared" si="11"/>
        <v>0</v>
      </c>
      <c r="AB34" s="900">
        <f t="shared" si="12"/>
        <v>-1.6308589176004418</v>
      </c>
      <c r="AC34" s="26"/>
      <c r="AD34" s="26"/>
      <c r="AE34" s="26"/>
      <c r="AF34" s="958"/>
      <c r="AG34" s="958"/>
      <c r="AH34" s="320">
        <f t="shared" si="4"/>
        <v>0</v>
      </c>
      <c r="AI34" s="320">
        <f t="shared" si="5"/>
        <v>0</v>
      </c>
    </row>
    <row r="35" spans="1:35" x14ac:dyDescent="0.2">
      <c r="A35" s="959" t="s">
        <v>54</v>
      </c>
      <c r="B35" s="1214">
        <f>TableA6!B35</f>
        <v>87.784586815227485</v>
      </c>
      <c r="C35" s="1159">
        <f>TableA6!E35</f>
        <v>19.384207569701928</v>
      </c>
      <c r="D35" s="1159">
        <v>0</v>
      </c>
      <c r="E35" s="1159">
        <f t="shared" si="6"/>
        <v>68.400379245525556</v>
      </c>
      <c r="F35" s="311">
        <f t="shared" si="0"/>
        <v>0.22081561550779508</v>
      </c>
      <c r="G35" s="1184">
        <f>TableA2!L35</f>
        <v>0.79203427559300121</v>
      </c>
      <c r="H35" s="1184">
        <f>D35/TableA2!C35</f>
        <v>0</v>
      </c>
      <c r="I35" s="1184">
        <f t="shared" si="1"/>
        <v>0</v>
      </c>
      <c r="J35" s="1184">
        <f>TableA6!I35/TableA2!$C35</f>
        <v>0</v>
      </c>
      <c r="K35" s="1184">
        <f>TableA6!J35/TableA2!$C35</f>
        <v>0</v>
      </c>
      <c r="L35" s="906">
        <f t="shared" si="2"/>
        <v>0.79203427559300121</v>
      </c>
      <c r="M35" s="1184">
        <f>C35/TableA4!D35</f>
        <v>0.49458294133053354</v>
      </c>
      <c r="N35" s="1184">
        <f>VLOOKUP(A35,TableA10!$A$8:$G$95,4,)/VLOOKUP(A35,TableA10!$A$8:$G$95,3,)</f>
        <v>0.35369993211133743</v>
      </c>
      <c r="O35" s="1492">
        <f>E35/TableA4!G35</f>
        <v>0.9547619569021214</v>
      </c>
      <c r="P35" s="266">
        <f>+'Table E1'!D35</f>
        <v>6.1047230498978568E-2</v>
      </c>
      <c r="Q35" s="266">
        <f>+'Table E1'!I35</f>
        <v>6.7428599473708828E-2</v>
      </c>
      <c r="R35" s="266">
        <f>+'Table E1'!N35</f>
        <v>5.8465393294983591E-2</v>
      </c>
      <c r="S35" s="266">
        <f t="shared" si="7"/>
        <v>0.89203086721185387</v>
      </c>
      <c r="T35" s="266">
        <f t="shared" si="8"/>
        <v>0.9547619569021214</v>
      </c>
      <c r="U35" s="266">
        <f t="shared" si="9"/>
        <v>0.98854023596611162</v>
      </c>
      <c r="V35" s="912">
        <f>C35-O35*TableA4!D35</f>
        <v>-18.035813230968905</v>
      </c>
      <c r="W35" s="26">
        <f>IFERROR($C35-S35*TableA4!$D35,"")</f>
        <v>-15.57719130527439</v>
      </c>
      <c r="X35" s="26">
        <f>IFERROR($C35-T35*TableA4!$D35,"")</f>
        <v>-18.035813230968905</v>
      </c>
      <c r="Y35" s="910">
        <f>IFERROR($C35-U35*TableA4!$D35,"")</f>
        <v>-19.359686575573647</v>
      </c>
      <c r="Z35" s="26">
        <f t="shared" si="10"/>
        <v>2.4586219256945157</v>
      </c>
      <c r="AA35" s="26">
        <f t="shared" si="11"/>
        <v>0</v>
      </c>
      <c r="AB35" s="900">
        <f t="shared" si="12"/>
        <v>-1.3238733446047419</v>
      </c>
      <c r="AC35" s="26"/>
      <c r="AD35" s="26"/>
      <c r="AE35" s="26"/>
      <c r="AF35" s="958"/>
      <c r="AG35" s="958"/>
      <c r="AH35" s="320">
        <f t="shared" si="4"/>
        <v>0</v>
      </c>
      <c r="AI35" s="320">
        <f t="shared" si="5"/>
        <v>0</v>
      </c>
    </row>
    <row r="36" spans="1:35" x14ac:dyDescent="0.2">
      <c r="A36" s="959" t="s">
        <v>55</v>
      </c>
      <c r="B36" s="1214">
        <f>TableA6!B36</f>
        <v>26.618072907828797</v>
      </c>
      <c r="C36" s="1159">
        <f>TableA6!E36</f>
        <v>4.8218004507448811</v>
      </c>
      <c r="D36" s="1159">
        <v>0</v>
      </c>
      <c r="E36" s="1159">
        <f t="shared" si="6"/>
        <v>21.796272457083916</v>
      </c>
      <c r="F36" s="311">
        <f t="shared" si="0"/>
        <v>0.18114761603672341</v>
      </c>
      <c r="G36" s="1184">
        <f>TableA2!L36</f>
        <v>0.45898248483094545</v>
      </c>
      <c r="H36" s="1184">
        <f>D36/TableA2!C36</f>
        <v>0</v>
      </c>
      <c r="I36" s="1184">
        <f t="shared" si="1"/>
        <v>0</v>
      </c>
      <c r="J36" s="1184">
        <f>TableA6!I36/TableA2!$C36</f>
        <v>0</v>
      </c>
      <c r="K36" s="1184">
        <f>TableA6!J36/TableA2!$C36</f>
        <v>0</v>
      </c>
      <c r="L36" s="906">
        <f t="shared" si="2"/>
        <v>0.45898248483094545</v>
      </c>
      <c r="M36" s="1184">
        <f>C36/TableA4!D36</f>
        <v>0.36763705254070139</v>
      </c>
      <c r="N36" s="1184">
        <f>VLOOKUP(A36,TableA10!$A$8:$G$95,4,)/VLOOKUP(A36,TableA10!$A$8:$G$95,3,)</f>
        <v>0.39500390320062451</v>
      </c>
      <c r="O36" s="1492">
        <f>E36/TableA4!G36</f>
        <v>0.48567830507336524</v>
      </c>
      <c r="P36" s="266">
        <f>+'Table E1'!D36</f>
        <v>7.7770166463602797E-2</v>
      </c>
      <c r="Q36" s="266">
        <f>+'Table E1'!I36</f>
        <v>0.12788421869713573</v>
      </c>
      <c r="R36" s="266">
        <f>+'Table E1'!N36</f>
        <v>7.0226287527235379E-2</v>
      </c>
      <c r="S36" s="266">
        <f t="shared" si="7"/>
        <v>0.31478255442825853</v>
      </c>
      <c r="T36" s="266">
        <f t="shared" si="8"/>
        <v>0.48567830507336524</v>
      </c>
      <c r="U36" s="266">
        <f t="shared" si="9"/>
        <v>0.57769909388226881</v>
      </c>
      <c r="V36" s="912">
        <f>C36-O36*TableA4!D36</f>
        <v>-1.5481882490761061</v>
      </c>
      <c r="W36" s="26">
        <f>IFERROR($C36-S36*TableA4!$D36,"")</f>
        <v>0.69322131994368608</v>
      </c>
      <c r="X36" s="26">
        <f>IFERROR($C36-T36*TableA4!$D36,"")</f>
        <v>-1.5481882490761061</v>
      </c>
      <c r="Y36" s="910">
        <f>IFERROR($C36-U36*TableA4!$D36,"")</f>
        <v>-2.7551010939329172</v>
      </c>
      <c r="Z36" s="26">
        <f t="shared" si="10"/>
        <v>2.2414095690197922</v>
      </c>
      <c r="AA36" s="26">
        <f t="shared" si="11"/>
        <v>0</v>
      </c>
      <c r="AB36" s="900">
        <f t="shared" si="12"/>
        <v>-1.2069128448568112</v>
      </c>
      <c r="AC36" s="26"/>
      <c r="AD36" s="26"/>
      <c r="AE36" s="26"/>
      <c r="AF36" s="958"/>
      <c r="AG36" s="958"/>
      <c r="AH36" s="320">
        <f t="shared" si="4"/>
        <v>0</v>
      </c>
      <c r="AI36" s="320">
        <f t="shared" si="5"/>
        <v>0</v>
      </c>
    </row>
    <row r="37" spans="1:35" x14ac:dyDescent="0.2">
      <c r="A37" s="959" t="s">
        <v>56</v>
      </c>
      <c r="B37" s="1214">
        <f>TableA6!B37</f>
        <v>11.604550057172386</v>
      </c>
      <c r="C37" s="1159">
        <f>TableA6!E37</f>
        <v>5.4939498259811472</v>
      </c>
      <c r="D37" s="1159">
        <v>0</v>
      </c>
      <c r="E37" s="1159">
        <f t="shared" si="6"/>
        <v>6.1106002311912384</v>
      </c>
      <c r="F37" s="311">
        <f t="shared" si="0"/>
        <v>0.47343066287912816</v>
      </c>
      <c r="G37" s="1184">
        <f>TableA2!L37</f>
        <v>0.546278965386233</v>
      </c>
      <c r="H37" s="1184">
        <f>D37/TableA2!C37</f>
        <v>0</v>
      </c>
      <c r="I37" s="1184">
        <f t="shared" si="1"/>
        <v>0</v>
      </c>
      <c r="J37" s="1184">
        <f>TableA6!I37/TableA2!$C37</f>
        <v>0</v>
      </c>
      <c r="K37" s="1184">
        <f>TableA6!J37/TableA2!$C37</f>
        <v>0</v>
      </c>
      <c r="L37" s="906">
        <f t="shared" si="2"/>
        <v>0.546278965386233</v>
      </c>
      <c r="M37" s="1184">
        <f>C37/TableA4!D37</f>
        <v>0.57224436371630738</v>
      </c>
      <c r="N37" s="1184"/>
      <c r="O37" s="1492">
        <f>E37/TableA4!G37</f>
        <v>0.52486666755881606</v>
      </c>
      <c r="P37" s="266">
        <f>+'Table E1'!D37</f>
        <v>2.8874183365466183E-2</v>
      </c>
      <c r="Q37" s="266">
        <f>+'Table E1'!I37</f>
        <v>4.5380937888974411E-2</v>
      </c>
      <c r="R37" s="266">
        <f>+'Table E1'!N37</f>
        <v>2.3083978122192914E-2</v>
      </c>
      <c r="S37" s="266">
        <f t="shared" si="7"/>
        <v>0.30759294560694572</v>
      </c>
      <c r="T37" s="266">
        <f t="shared" si="8"/>
        <v>0.52486666755881606</v>
      </c>
      <c r="U37" s="266">
        <f t="shared" si="9"/>
        <v>0.64186021014828476</v>
      </c>
      <c r="V37" s="912">
        <f>C37-O37*TableA4!D37</f>
        <v>0.45485932595201106</v>
      </c>
      <c r="W37" s="26">
        <f>IFERROR($C37-S37*TableA4!$D37,"")</f>
        <v>2.5408404252774939</v>
      </c>
      <c r="X37" s="26">
        <f>IFERROR($C37-T37*TableA4!$D37,"")</f>
        <v>0.45485932595201106</v>
      </c>
      <c r="Y37" s="910">
        <f>IFERROR($C37-U37*TableA4!$D37,"")</f>
        <v>-0.66836126599248047</v>
      </c>
      <c r="Z37" s="26">
        <f t="shared" si="10"/>
        <v>2.0859810993254828</v>
      </c>
      <c r="AA37" s="26">
        <f t="shared" si="11"/>
        <v>0</v>
      </c>
      <c r="AB37" s="900">
        <f t="shared" si="12"/>
        <v>-1.1232205919444915</v>
      </c>
      <c r="AC37" s="26"/>
      <c r="AD37" s="26"/>
      <c r="AE37" s="26"/>
      <c r="AF37" s="958"/>
      <c r="AG37" s="958"/>
      <c r="AH37" s="320">
        <f t="shared" si="4"/>
        <v>0</v>
      </c>
      <c r="AI37" s="320">
        <f t="shared" si="5"/>
        <v>0</v>
      </c>
    </row>
    <row r="38" spans="1:35" x14ac:dyDescent="0.2">
      <c r="A38" s="959" t="s">
        <v>57</v>
      </c>
      <c r="B38" s="1214">
        <f>TableA6!B38</f>
        <v>3.417758487410429</v>
      </c>
      <c r="C38" s="1159">
        <f>TableA6!E38</f>
        <v>1.2522612330475162</v>
      </c>
      <c r="D38" s="1159">
        <v>0</v>
      </c>
      <c r="E38" s="1159">
        <f t="shared" si="6"/>
        <v>2.1654972543629127</v>
      </c>
      <c r="F38" s="311">
        <f t="shared" si="0"/>
        <v>0.36639839756387554</v>
      </c>
      <c r="G38" s="1184">
        <f>TableA2!L38</f>
        <v>0.22872131230765103</v>
      </c>
      <c r="H38" s="1184">
        <f>D38/TableA2!C38</f>
        <v>0</v>
      </c>
      <c r="I38" s="1184">
        <f t="shared" si="1"/>
        <v>0</v>
      </c>
      <c r="J38" s="1184">
        <f>TableA6!I38/TableA2!$C38</f>
        <v>0</v>
      </c>
      <c r="K38" s="1184">
        <f>TableA6!J38/TableA2!$C38</f>
        <v>0</v>
      </c>
      <c r="L38" s="906">
        <f t="shared" si="2"/>
        <v>0.22872131230765103</v>
      </c>
      <c r="M38" s="1184">
        <f>C38/TableA4!D38</f>
        <v>0.31396441219878563</v>
      </c>
      <c r="N38" s="1184"/>
      <c r="O38" s="1492">
        <f>E38/TableA4!G38</f>
        <v>0.19768378236215448</v>
      </c>
      <c r="P38" s="266">
        <f>+'Table E1'!D38</f>
        <v>0.10921944096458891</v>
      </c>
      <c r="Q38" s="266">
        <f>+'Table E1'!I38</f>
        <v>0.1119093004510788</v>
      </c>
      <c r="R38" s="266">
        <f>+'Table E1'!N38</f>
        <v>0.10852625901174039</v>
      </c>
      <c r="S38" s="266">
        <f t="shared" si="7"/>
        <v>0.19504279245517073</v>
      </c>
      <c r="T38" s="266">
        <f t="shared" si="8"/>
        <v>0.19768378236215448</v>
      </c>
      <c r="U38" s="266">
        <f t="shared" si="9"/>
        <v>0.19910585385053034</v>
      </c>
      <c r="V38" s="912">
        <f>C38-O38*TableA4!D38</f>
        <v>0.46379054198845515</v>
      </c>
      <c r="W38" s="26">
        <f>IFERROR($C38-S38*TableA4!$D38,"")</f>
        <v>0.47432424946894358</v>
      </c>
      <c r="X38" s="26">
        <f>IFERROR($C38-T38*TableA4!$D38,"")</f>
        <v>0.46379054198845515</v>
      </c>
      <c r="Y38" s="910">
        <f>IFERROR($C38-U38*TableA4!$D38,"")</f>
        <v>0.45811854565280752</v>
      </c>
      <c r="Z38" s="26">
        <f t="shared" si="10"/>
        <v>1.053370748048843E-2</v>
      </c>
      <c r="AA38" s="26">
        <f t="shared" si="11"/>
        <v>0</v>
      </c>
      <c r="AB38" s="900">
        <f t="shared" si="12"/>
        <v>-5.6719963356476333E-3</v>
      </c>
      <c r="AC38" s="26"/>
      <c r="AD38" s="26"/>
      <c r="AE38" s="26"/>
      <c r="AF38" s="958"/>
      <c r="AG38" s="958"/>
      <c r="AH38" s="320">
        <f t="shared" si="4"/>
        <v>0</v>
      </c>
      <c r="AI38" s="320">
        <f t="shared" si="5"/>
        <v>0</v>
      </c>
    </row>
    <row r="39" spans="1:35" x14ac:dyDescent="0.2">
      <c r="A39" s="959" t="s">
        <v>58</v>
      </c>
      <c r="B39" s="1214">
        <f>TableA6!B39</f>
        <v>158.95366208289389</v>
      </c>
      <c r="C39" s="1159">
        <f>TableA6!E39</f>
        <v>20.844161911169302</v>
      </c>
      <c r="D39" s="1159">
        <v>0</v>
      </c>
      <c r="E39" s="1159">
        <f t="shared" si="6"/>
        <v>138.10950017172459</v>
      </c>
      <c r="F39" s="311">
        <f t="shared" si="0"/>
        <v>0.13113357464075995</v>
      </c>
      <c r="G39" s="1184">
        <f>TableA2!L39</f>
        <v>0.40428538787668511</v>
      </c>
      <c r="H39" s="1184">
        <f>D39/TableA2!C39</f>
        <v>0</v>
      </c>
      <c r="I39" s="1184">
        <f t="shared" si="1"/>
        <v>0</v>
      </c>
      <c r="J39" s="1184">
        <f>TableA6!I39/TableA2!$C39</f>
        <v>0</v>
      </c>
      <c r="K39" s="1184">
        <f>TableA6!J39/TableA2!$C39</f>
        <v>0</v>
      </c>
      <c r="L39" s="906">
        <f t="shared" si="2"/>
        <v>0.40428538787668511</v>
      </c>
      <c r="M39" s="1184">
        <f>C39/TableA4!D39</f>
        <v>0.24643753940062663</v>
      </c>
      <c r="N39" s="1184">
        <f>VLOOKUP(A39,TableA10!$A$8:$G$95,4,)/VLOOKUP(A39,TableA10!$A$8:$G$95,3,)</f>
        <v>0.26873857404021939</v>
      </c>
      <c r="O39" s="1492">
        <f>E39/TableA4!G39</f>
        <v>0.44755015816737814</v>
      </c>
      <c r="P39" s="266">
        <f>+'Table E1'!D39</f>
        <v>0.10475523411099644</v>
      </c>
      <c r="Q39" s="266">
        <f>+'Table E1'!I39</f>
        <v>0.17196455041775643</v>
      </c>
      <c r="R39" s="266">
        <f>+'Table E1'!N39</f>
        <v>9.5050196103206239E-2</v>
      </c>
      <c r="S39" s="266">
        <f t="shared" si="7"/>
        <v>0.29234029680659668</v>
      </c>
      <c r="T39" s="266">
        <f t="shared" si="8"/>
        <v>0.44755015816737814</v>
      </c>
      <c r="U39" s="266">
        <f t="shared" si="9"/>
        <v>0.53112469890010661</v>
      </c>
      <c r="V39" s="912">
        <f>C39-O39*TableA4!D39</f>
        <v>-17.010492793220834</v>
      </c>
      <c r="W39" s="26">
        <f>IFERROR($C39-S39*TableA4!$D39,"")</f>
        <v>-3.8825436654912977</v>
      </c>
      <c r="X39" s="26">
        <f>IFERROR($C39-T39*TableA4!$D39,"")</f>
        <v>-17.010492793220834</v>
      </c>
      <c r="Y39" s="910">
        <f>IFERROR($C39-U39*TableA4!$D39,"")</f>
        <v>-24.079388477382885</v>
      </c>
      <c r="Z39" s="26">
        <f t="shared" si="10"/>
        <v>13.127949127729536</v>
      </c>
      <c r="AA39" s="26">
        <f t="shared" si="11"/>
        <v>0</v>
      </c>
      <c r="AB39" s="900">
        <f t="shared" si="12"/>
        <v>-7.0688956841620509</v>
      </c>
      <c r="AC39" s="26"/>
      <c r="AD39" s="26"/>
      <c r="AE39" s="26"/>
      <c r="AF39" s="958"/>
      <c r="AG39" s="958"/>
      <c r="AH39" s="320">
        <f t="shared" si="4"/>
        <v>0</v>
      </c>
      <c r="AI39" s="320">
        <f t="shared" si="5"/>
        <v>0</v>
      </c>
    </row>
    <row r="40" spans="1:35" x14ac:dyDescent="0.2">
      <c r="A40" s="959" t="s">
        <v>59</v>
      </c>
      <c r="B40" s="1214">
        <f>TableA6!B40</f>
        <v>63.367762356160583</v>
      </c>
      <c r="C40" s="1159">
        <f>TableA6!E40</f>
        <v>24.473912269549327</v>
      </c>
      <c r="D40" s="1159">
        <v>0</v>
      </c>
      <c r="E40" s="1159">
        <f t="shared" si="6"/>
        <v>38.893850086611252</v>
      </c>
      <c r="F40" s="311">
        <f t="shared" si="0"/>
        <v>0.38622023817083678</v>
      </c>
      <c r="G40" s="1184">
        <f>TableA2!L40</f>
        <v>0.38626088690911503</v>
      </c>
      <c r="H40" s="1184">
        <f>D40/TableA2!C40</f>
        <v>0</v>
      </c>
      <c r="I40" s="1184">
        <f t="shared" si="1"/>
        <v>0</v>
      </c>
      <c r="J40" s="1184">
        <f>TableA6!I40/TableA2!$C40</f>
        <v>0</v>
      </c>
      <c r="K40" s="1184">
        <f>TableA6!J40/TableA2!$C40</f>
        <v>0</v>
      </c>
      <c r="L40" s="906">
        <f t="shared" si="2"/>
        <v>0.38626088690911503</v>
      </c>
      <c r="M40" s="1184">
        <f>C40/TableA4!D40</f>
        <v>0.53949704245493946</v>
      </c>
      <c r="N40" s="1184">
        <f>VLOOKUP(A40,TableA10!$A$8:$G$95,4,)/VLOOKUP(A40,TableA10!$A$8:$G$95,3,)</f>
        <v>0.46141975308641975</v>
      </c>
      <c r="O40" s="1492">
        <f>E40/TableA4!G40</f>
        <v>0.32769274240203272</v>
      </c>
      <c r="P40" s="266">
        <f>+'Table E1'!D40</f>
        <v>0.23198890791914323</v>
      </c>
      <c r="Q40" s="266">
        <f>+'Table E1'!I40</f>
        <v>0.22751533146991837</v>
      </c>
      <c r="R40" s="266">
        <f>+'Table E1'!N40</f>
        <v>0.23323111415856385</v>
      </c>
      <c r="S40" s="266">
        <f t="shared" si="7"/>
        <v>0.33113449191359151</v>
      </c>
      <c r="T40" s="266">
        <f t="shared" si="8"/>
        <v>0.32769274240203272</v>
      </c>
      <c r="U40" s="266">
        <f t="shared" si="9"/>
        <v>0.32583949266503953</v>
      </c>
      <c r="V40" s="912">
        <f>C40-O40*TableA4!D40</f>
        <v>9.6083563947268509</v>
      </c>
      <c r="W40" s="26">
        <f>IFERROR($C40-S40*TableA4!$D40,"")</f>
        <v>9.4522237953406574</v>
      </c>
      <c r="X40" s="26">
        <f>IFERROR($C40-T40*TableA4!$D40,"")</f>
        <v>9.6083563947268509</v>
      </c>
      <c r="Y40" s="910">
        <f>IFERROR($C40-U40*TableA4!$D40,"")</f>
        <v>9.6924277943963411</v>
      </c>
      <c r="Z40" s="26">
        <f t="shared" si="10"/>
        <v>-0.1561325993861935</v>
      </c>
      <c r="AA40" s="26">
        <f t="shared" si="11"/>
        <v>0</v>
      </c>
      <c r="AB40" s="900">
        <f t="shared" si="12"/>
        <v>8.4071399669490177E-2</v>
      </c>
      <c r="AC40" s="26"/>
      <c r="AD40" s="26"/>
      <c r="AE40" s="26"/>
      <c r="AF40" s="958"/>
      <c r="AG40" s="958"/>
      <c r="AH40" s="320">
        <f t="shared" si="4"/>
        <v>0</v>
      </c>
      <c r="AI40" s="320">
        <f t="shared" si="5"/>
        <v>0</v>
      </c>
    </row>
    <row r="41" spans="1:35" x14ac:dyDescent="0.2">
      <c r="A41" s="959" t="s">
        <v>60</v>
      </c>
      <c r="B41" s="1214">
        <f>TableA6!B41</f>
        <v>94.889238877326122</v>
      </c>
      <c r="C41" s="1159">
        <f>TableA6!E41</f>
        <v>60.313127140541056</v>
      </c>
      <c r="D41" s="1159">
        <v>0</v>
      </c>
      <c r="E41" s="1159">
        <f t="shared" si="6"/>
        <v>34.576111736785066</v>
      </c>
      <c r="F41" s="311">
        <f t="shared" ref="F41:F72" si="13">C41/(B41-D41)</f>
        <v>0.6356160914992115</v>
      </c>
      <c r="G41" s="1184">
        <f>TableA2!L41</f>
        <v>0.29546351380205693</v>
      </c>
      <c r="H41" s="1184">
        <f>D41/TableA2!C41</f>
        <v>0</v>
      </c>
      <c r="I41" s="1184">
        <f t="shared" si="1"/>
        <v>0</v>
      </c>
      <c r="J41" s="1184">
        <f>TableA6!I41/TableA2!$C41</f>
        <v>0</v>
      </c>
      <c r="K41" s="1184">
        <f>TableA6!J41/TableA2!$C41</f>
        <v>0</v>
      </c>
      <c r="L41" s="906">
        <f t="shared" si="2"/>
        <v>0.29546351380205693</v>
      </c>
      <c r="M41" s="1184">
        <f>C41/TableA4!D41</f>
        <v>3.1934639833073937</v>
      </c>
      <c r="N41" s="1184">
        <f>VLOOKUP(A41,TableA10!$A$8:$G$95,4,)/VLOOKUP(A41,TableA10!$A$8:$G$95,3,)</f>
        <v>3.0350836431226766</v>
      </c>
      <c r="O41" s="1110">
        <f>E41/TableA4!G41</f>
        <v>0.11438915202699569</v>
      </c>
      <c r="P41" s="266">
        <f>+'Table E1'!D41</f>
        <v>0.1231524981241746</v>
      </c>
      <c r="Q41" s="266">
        <f>+'Table E1'!I41</f>
        <v>3.849423923889609E-2</v>
      </c>
      <c r="R41" s="266">
        <f>+'Table E1'!N41</f>
        <v>0.13162813975194951</v>
      </c>
      <c r="S41" s="266">
        <f t="shared" si="7"/>
        <v>0.14907618103613485</v>
      </c>
      <c r="T41" s="266">
        <f t="shared" si="8"/>
        <v>0.11438915202699569</v>
      </c>
      <c r="U41" s="266">
        <f t="shared" si="9"/>
        <v>9.57115210220746E-2</v>
      </c>
      <c r="V41" s="913">
        <f>C41-O41*TableA4!D41</f>
        <v>58.152724672949248</v>
      </c>
      <c r="W41" s="26">
        <f>IFERROR($C41-S41*TableA4!$D41,"")</f>
        <v>57.497610601930624</v>
      </c>
      <c r="X41" s="26">
        <f>IFERROR($C41-T41*TableA4!$D41,"")</f>
        <v>58.152724672949248</v>
      </c>
      <c r="Y41" s="910">
        <f>IFERROR($C41-U41*TableA4!$D41,"")</f>
        <v>58.505478403497733</v>
      </c>
      <c r="Z41" s="26">
        <f t="shared" si="10"/>
        <v>-0.65511407101862318</v>
      </c>
      <c r="AA41" s="26">
        <f t="shared" si="11"/>
        <v>0</v>
      </c>
      <c r="AB41" s="900">
        <f t="shared" si="12"/>
        <v>0.35275373054848558</v>
      </c>
      <c r="AC41" s="26"/>
      <c r="AD41" s="26"/>
      <c r="AE41" s="26"/>
      <c r="AF41" s="958"/>
      <c r="AG41" s="958"/>
      <c r="AH41" s="320">
        <f t="shared" ref="AH41:AH72" si="14">L41-G41-I41+H41</f>
        <v>0</v>
      </c>
      <c r="AI41" s="320">
        <f t="shared" ref="AI41:AI72" si="15">B41-C41-D41-E41</f>
        <v>0</v>
      </c>
    </row>
    <row r="42" spans="1:35" x14ac:dyDescent="0.2">
      <c r="A42" s="959" t="s">
        <v>61</v>
      </c>
      <c r="B42" s="1214">
        <f>TableA6!B42</f>
        <v>212.59949330572061</v>
      </c>
      <c r="C42" s="1159">
        <f>TableA6!E42</f>
        <v>3.6081037546987877</v>
      </c>
      <c r="D42" s="1159">
        <v>0</v>
      </c>
      <c r="E42" s="1159">
        <f t="shared" si="6"/>
        <v>208.99138955102183</v>
      </c>
      <c r="F42" s="311">
        <f t="shared" si="13"/>
        <v>1.6971365729034411E-2</v>
      </c>
      <c r="G42" s="1184">
        <f>TableA2!L42</f>
        <v>1.1786568376604671</v>
      </c>
      <c r="H42" s="1184">
        <f>D42/TableA2!C42</f>
        <v>0</v>
      </c>
      <c r="I42" s="1184">
        <f t="shared" si="1"/>
        <v>0</v>
      </c>
      <c r="J42" s="1184">
        <f>TableA6!I42/TableA2!$C42</f>
        <v>0</v>
      </c>
      <c r="K42" s="1184">
        <f>TableA6!J42/TableA2!$C42</f>
        <v>0</v>
      </c>
      <c r="L42" s="906">
        <f t="shared" si="2"/>
        <v>1.1786568376604671</v>
      </c>
      <c r="M42" s="1184">
        <f>C42/TableA4!D42</f>
        <v>0.43176052765093853</v>
      </c>
      <c r="N42" s="1184">
        <f>VLOOKUP(A42,TableA10!$A$8:$G$95,4,)/VLOOKUP(A42,TableA10!$A$8:$G$95,3,)</f>
        <v>0.43176052765093859</v>
      </c>
      <c r="O42" s="1492">
        <f>E42/TableA4!G42</f>
        <v>1.2149415243838195</v>
      </c>
      <c r="P42" s="266">
        <f>+'Table E1'!D42</f>
        <v>4.8533754489864959E-2</v>
      </c>
      <c r="Q42" s="266">
        <f>+'Table E1'!I42</f>
        <v>7.1316210841993452E-2</v>
      </c>
      <c r="R42" s="266">
        <f>+'Table E1'!N42</f>
        <v>4.837056781781255E-2</v>
      </c>
      <c r="S42" s="266">
        <f t="shared" ref="S42:S73" si="16">IFERROR(($Q42/$R42-1)*(1-1/0.7)*$O42+$O42,"")</f>
        <v>0.96794113517341462</v>
      </c>
      <c r="T42" s="266">
        <f t="shared" ref="T42:T73" si="17">IFERROR(($Q42/$R42-1)*(1-1/1)*$O42+$O42,"")</f>
        <v>1.2149415243838195</v>
      </c>
      <c r="U42" s="266">
        <f t="shared" ref="U42:U73" si="18">IFERROR(($Q42/$R42-1)*(1-1/1.3)*$O42+$O42,"")</f>
        <v>1.347941733958653</v>
      </c>
      <c r="V42" s="912">
        <f>C42-O42*TableA4!D42</f>
        <v>-6.5448277782474689</v>
      </c>
      <c r="W42" s="26">
        <f>IFERROR($C42-S42*TableA4!$D42,"")</f>
        <v>-4.4807135884421738</v>
      </c>
      <c r="X42" s="26">
        <f>IFERROR($C42-T42*TableA4!$D42,"")</f>
        <v>-6.5448277782474689</v>
      </c>
      <c r="Y42" s="910">
        <f>IFERROR($C42-U42*TableA4!$D42,"")</f>
        <v>-7.6562738804503203</v>
      </c>
      <c r="Z42" s="26">
        <f t="shared" si="10"/>
        <v>2.064114189805295</v>
      </c>
      <c r="AA42" s="26">
        <f t="shared" si="11"/>
        <v>0</v>
      </c>
      <c r="AB42" s="900">
        <f t="shared" si="12"/>
        <v>-1.1114461022028514</v>
      </c>
      <c r="AC42" s="26"/>
      <c r="AD42" s="26"/>
      <c r="AE42" s="26"/>
      <c r="AF42" s="958"/>
      <c r="AG42" s="958"/>
      <c r="AH42" s="320">
        <f t="shared" si="14"/>
        <v>0</v>
      </c>
      <c r="AI42" s="320">
        <f t="shared" si="15"/>
        <v>0</v>
      </c>
    </row>
    <row r="43" spans="1:35" x14ac:dyDescent="0.2">
      <c r="A43" s="959" t="s">
        <v>62</v>
      </c>
      <c r="B43" s="1214">
        <f>TableA6!B43</f>
        <v>425.05098961874262</v>
      </c>
      <c r="C43" s="1159">
        <f>TableA6!E43</f>
        <v>72.19500365863982</v>
      </c>
      <c r="D43" s="1159">
        <v>0</v>
      </c>
      <c r="E43" s="1159">
        <f t="shared" si="6"/>
        <v>352.85598596010277</v>
      </c>
      <c r="F43" s="311">
        <f t="shared" si="13"/>
        <v>0.16985021896642677</v>
      </c>
      <c r="G43" s="1184">
        <f>TableA2!L43</f>
        <v>0.41977482452487414</v>
      </c>
      <c r="H43" s="1184">
        <f>D43/TableA2!C43</f>
        <v>0</v>
      </c>
      <c r="I43" s="1184">
        <f t="shared" si="1"/>
        <v>0</v>
      </c>
      <c r="J43" s="1184">
        <f>TableA6!I43/TableA2!$C43</f>
        <v>0</v>
      </c>
      <c r="K43" s="1184">
        <f>TableA6!J43/TableA2!$C43</f>
        <v>0</v>
      </c>
      <c r="L43" s="906">
        <f t="shared" si="2"/>
        <v>0.41977482452487414</v>
      </c>
      <c r="M43" s="1184">
        <f>C43/TableA4!D43</f>
        <v>0.25723407405999843</v>
      </c>
      <c r="N43" s="1184">
        <f>VLOOKUP(A43,TableA10!$A$8:$G$95,4,)/VLOOKUP(A43,TableA10!$A$8:$G$95,3,)</f>
        <v>0.32541900820732633</v>
      </c>
      <c r="O43" s="1492">
        <f>E43/TableA4!G43</f>
        <v>0.48210280844721259</v>
      </c>
      <c r="P43" s="266">
        <f>+'Table E1'!D43</f>
        <v>0.14514875312203893</v>
      </c>
      <c r="Q43" s="266">
        <f>+'Table E1'!I43</f>
        <v>0.23782860019575947</v>
      </c>
      <c r="R43" s="266">
        <f>+'Table E1'!N43</f>
        <v>0.12322627923489798</v>
      </c>
      <c r="S43" s="266">
        <f t="shared" si="16"/>
        <v>0.28994724900633129</v>
      </c>
      <c r="T43" s="266">
        <f t="shared" si="17"/>
        <v>0.48210280844721259</v>
      </c>
      <c r="U43" s="266">
        <f t="shared" si="18"/>
        <v>0.58557118660768714</v>
      </c>
      <c r="V43" s="912">
        <f>C43-O43*TableA4!D43</f>
        <v>-63.111386627620902</v>
      </c>
      <c r="W43" s="26">
        <f>IFERROR($C43-S43*TableA4!$D43,"")</f>
        <v>-9.1812400575880275</v>
      </c>
      <c r="X43" s="26">
        <f>IFERROR($C43-T43*TableA4!$D43,"")</f>
        <v>-63.111386627620902</v>
      </c>
      <c r="Y43" s="910">
        <f>IFERROR($C43-U43*TableA4!$D43,"")</f>
        <v>-92.150696319177058</v>
      </c>
      <c r="Z43" s="26">
        <f t="shared" si="10"/>
        <v>53.930146570032875</v>
      </c>
      <c r="AA43" s="26">
        <f t="shared" si="11"/>
        <v>0</v>
      </c>
      <c r="AB43" s="900">
        <f t="shared" si="12"/>
        <v>-29.039309691556156</v>
      </c>
      <c r="AC43" s="26"/>
      <c r="AD43" s="26"/>
      <c r="AE43" s="26"/>
      <c r="AF43" s="958"/>
      <c r="AG43" s="958"/>
      <c r="AH43" s="320">
        <f t="shared" si="14"/>
        <v>0</v>
      </c>
      <c r="AI43" s="320">
        <f t="shared" si="15"/>
        <v>0</v>
      </c>
    </row>
    <row r="44" spans="1:35" x14ac:dyDescent="0.2">
      <c r="A44" s="959" t="s">
        <v>63</v>
      </c>
      <c r="B44" s="1214">
        <f>TableA6!B44</f>
        <v>1889.3969000000002</v>
      </c>
      <c r="C44" s="1159">
        <f>TableA6!E44</f>
        <v>152.79999999999998</v>
      </c>
      <c r="D44" s="1159">
        <v>0</v>
      </c>
      <c r="E44" s="1159">
        <f t="shared" si="6"/>
        <v>1736.5969000000002</v>
      </c>
      <c r="F44" s="311">
        <f t="shared" si="13"/>
        <v>8.0872367261743669E-2</v>
      </c>
      <c r="G44" s="1184">
        <f>TableA2!L44</f>
        <v>0.31301581156556391</v>
      </c>
      <c r="H44" s="1184">
        <f>D44/TableA2!C44</f>
        <v>0</v>
      </c>
      <c r="I44" s="1184">
        <f t="shared" si="1"/>
        <v>0</v>
      </c>
      <c r="J44" s="1184">
        <f>TableA6!I44/TableA2!$C44</f>
        <v>0</v>
      </c>
      <c r="K44" s="1184">
        <f>TableA6!J44/TableA2!$C44</f>
        <v>0</v>
      </c>
      <c r="L44" s="906">
        <f t="shared" si="2"/>
        <v>0.31301581156556391</v>
      </c>
      <c r="M44" s="1184">
        <f>C44/TableA4!D44</f>
        <v>0.28343272646330486</v>
      </c>
      <c r="N44" s="1184"/>
      <c r="O44" s="1549">
        <f>E44/TableA4!G44</f>
        <v>0.3159171001923794</v>
      </c>
      <c r="P44" s="266">
        <f>+'Table E1'!D44</f>
        <v>0.17275643440163449</v>
      </c>
      <c r="Q44" s="266">
        <f>+'Table E1'!I44</f>
        <v>0.25788985140996118</v>
      </c>
      <c r="R44" s="266">
        <f>+'Table E1'!N44</f>
        <v>0.16269600222188993</v>
      </c>
      <c r="S44" s="266">
        <f t="shared" si="16"/>
        <v>0.23669828267572257</v>
      </c>
      <c r="T44" s="266">
        <f t="shared" si="17"/>
        <v>0.3159171001923794</v>
      </c>
      <c r="U44" s="266">
        <f t="shared" si="18"/>
        <v>0.35857338654750232</v>
      </c>
      <c r="V44" s="912">
        <f>C44-O44*TableA4!D44</f>
        <v>-17.51248829921272</v>
      </c>
      <c r="W44" s="26">
        <f>IFERROR($C44-S44*TableA4!$D44,"")</f>
        <v>25.194772318104569</v>
      </c>
      <c r="X44" s="26">
        <f>IFERROR($C44-T44*TableA4!$D44,"")</f>
        <v>-17.51248829921272</v>
      </c>
      <c r="Y44" s="910">
        <f>IFERROR($C44-U44*TableA4!$D44,"")</f>
        <v>-40.508705554691261</v>
      </c>
      <c r="Z44" s="26">
        <f t="shared" si="10"/>
        <v>42.707260617317289</v>
      </c>
      <c r="AA44" s="26">
        <f t="shared" si="11"/>
        <v>0</v>
      </c>
      <c r="AB44" s="900">
        <f t="shared" si="12"/>
        <v>-22.996217255478541</v>
      </c>
      <c r="AC44" s="26"/>
      <c r="AD44" s="26"/>
      <c r="AE44" s="26"/>
      <c r="AF44" s="958"/>
      <c r="AG44" s="958"/>
      <c r="AH44" s="320">
        <f t="shared" si="14"/>
        <v>0</v>
      </c>
      <c r="AI44" s="320">
        <f t="shared" si="15"/>
        <v>0</v>
      </c>
    </row>
    <row r="45" spans="1:35" ht="40" customHeight="1" x14ac:dyDescent="0.2">
      <c r="A45" s="1816" t="s">
        <v>64</v>
      </c>
      <c r="B45" s="304">
        <f>SUM(B46:B52)</f>
        <v>3157.101545061153</v>
      </c>
      <c r="C45" s="245">
        <f>SUM(C46:C52)</f>
        <v>253.30348219544206</v>
      </c>
      <c r="D45" s="245">
        <f>SUM(D46:D52)</f>
        <v>0</v>
      </c>
      <c r="E45" s="245">
        <f>SUM(E46:E52)</f>
        <v>2903.7980628657106</v>
      </c>
      <c r="F45" s="308">
        <f t="shared" si="13"/>
        <v>8.0232922058430522E-2</v>
      </c>
      <c r="G45" s="266">
        <f>TableA2!L45</f>
        <v>0.68108145790918762</v>
      </c>
      <c r="H45" s="266">
        <f>D45/TableA2!C45</f>
        <v>0</v>
      </c>
      <c r="I45" s="266">
        <f t="shared" si="1"/>
        <v>0</v>
      </c>
      <c r="J45" s="266">
        <f>TableA6!I45/TableA2!$C45</f>
        <v>0</v>
      </c>
      <c r="K45" s="266">
        <f>TableA6!J45/TableA2!$C45</f>
        <v>0</v>
      </c>
      <c r="L45" s="699">
        <f t="shared" si="2"/>
        <v>0.68108145790918762</v>
      </c>
      <c r="M45" s="266">
        <f>C45/TableA4!D45</f>
        <v>0.60344989333222621</v>
      </c>
      <c r="N45" s="266">
        <f>(TableA10!D43+TableA10!D52+TableA10!D45+TableA10!D81+TableA10!D31+TableA10!D68)/(TableA10!C43+TableA10!C45+TableA10!C52+TableA10!C81+TableA10!C31+TableA10!C68)</f>
        <v>0.20871685346538396</v>
      </c>
      <c r="O45" s="660">
        <f>E45/TableA4!G45</f>
        <v>0.68881132725607408</v>
      </c>
      <c r="P45" s="266">
        <f>+'Table E1'!D45</f>
        <v>1.3538521803939461E-2</v>
      </c>
      <c r="Q45" s="266">
        <f>+'Table E1'!I45</f>
        <v>7.2171752825818419E-2</v>
      </c>
      <c r="R45" s="266">
        <f>+'Table E1'!N45</f>
        <v>9.9419204706696282E-3</v>
      </c>
      <c r="S45" s="266">
        <f t="shared" si="16"/>
        <v>-1.1589753918734798</v>
      </c>
      <c r="T45" s="266">
        <f t="shared" si="17"/>
        <v>0.68881132725607408</v>
      </c>
      <c r="U45" s="266">
        <f t="shared" si="18"/>
        <v>1.6837734067873726</v>
      </c>
      <c r="V45" s="914"/>
      <c r="W45" s="26"/>
      <c r="X45" s="26"/>
      <c r="Y45" s="910"/>
      <c r="Z45" s="26"/>
      <c r="AA45" s="26"/>
      <c r="AB45" s="900"/>
      <c r="AC45" s="26"/>
      <c r="AD45" s="26"/>
      <c r="AE45" s="26"/>
      <c r="AF45" s="958"/>
      <c r="AG45" s="958"/>
      <c r="AH45" s="320">
        <f t="shared" si="14"/>
        <v>0</v>
      </c>
      <c r="AI45" s="320">
        <f t="shared" si="15"/>
        <v>0</v>
      </c>
    </row>
    <row r="46" spans="1:35" x14ac:dyDescent="0.2">
      <c r="A46" s="937" t="s">
        <v>65</v>
      </c>
      <c r="B46" s="1214">
        <f>TableA6!B46</f>
        <v>274.33569999999997</v>
      </c>
      <c r="C46" s="1159">
        <f>TableA6!E46</f>
        <v>29.642380154899492</v>
      </c>
      <c r="D46" s="1159">
        <v>0</v>
      </c>
      <c r="E46" s="1159">
        <f t="shared" ref="E46:E52" si="19">B46-C46-D46</f>
        <v>244.69331984510049</v>
      </c>
      <c r="F46" s="311">
        <f t="shared" si="13"/>
        <v>0.10805148639021277</v>
      </c>
      <c r="G46" s="1184">
        <f>TableA2!L46</f>
        <v>0.40116486198248541</v>
      </c>
      <c r="H46" s="1184">
        <f>D46/TableA2!C46</f>
        <v>0</v>
      </c>
      <c r="I46" s="1184">
        <f t="shared" si="1"/>
        <v>0</v>
      </c>
      <c r="J46" s="1184">
        <f>TableA6!I46/TableA2!$C46</f>
        <v>0</v>
      </c>
      <c r="K46" s="1184">
        <f>TableA6!J46/TableA2!$C46</f>
        <v>0</v>
      </c>
      <c r="L46" s="906">
        <f t="shared" si="2"/>
        <v>0.40116486198248541</v>
      </c>
      <c r="M46" s="1184">
        <f>C46/TableA4!D46</f>
        <v>0.28488946288839928</v>
      </c>
      <c r="N46" s="1184">
        <f>VLOOKUP(A46,TableA10b!$A$8:$G$95,4,)/VLOOKUP(A46,TableA10b!$A$8:$G$95,3,)</f>
        <v>0.28488946288839928</v>
      </c>
      <c r="O46" s="1549">
        <f>E46/TableA4!G46</f>
        <v>0.42203123701335166</v>
      </c>
      <c r="P46" s="266">
        <f>+'Table E1'!D46</f>
        <v>3.422710872748267E-2</v>
      </c>
      <c r="Q46" s="266">
        <f>+'Table E1'!I46</f>
        <v>0.10715394693222455</v>
      </c>
      <c r="R46" s="266">
        <f>+'Table E1'!N46</f>
        <v>3.1822809604507951E-2</v>
      </c>
      <c r="S46" s="266">
        <f t="shared" si="16"/>
        <v>-6.1265188382692015E-3</v>
      </c>
      <c r="T46" s="266">
        <f t="shared" si="17"/>
        <v>0.42203123701335166</v>
      </c>
      <c r="U46" s="266">
        <f t="shared" si="18"/>
        <v>0.65257772093345523</v>
      </c>
      <c r="V46" s="912">
        <f>C46-O46*TableA4!D46</f>
        <v>-14.269424226903311</v>
      </c>
      <c r="W46" s="26">
        <f>IFERROR($C46-S46*TableA4!$D46,"")</f>
        <v>30.279836516355967</v>
      </c>
      <c r="X46" s="26">
        <f>IFERROR($C46-T46*TableA4!$D46,"")</f>
        <v>-14.269424226903311</v>
      </c>
      <c r="Y46" s="910">
        <f>IFERROR($C46-U46*TableA4!$D46,"")</f>
        <v>-38.257487704042937</v>
      </c>
      <c r="Z46" s="26">
        <f t="shared" ref="Z46:AB52" si="20">IFERROR(-$V46+W46,"")</f>
        <v>44.549260743259282</v>
      </c>
      <c r="AA46" s="26">
        <f t="shared" si="20"/>
        <v>0</v>
      </c>
      <c r="AB46" s="900">
        <f t="shared" si="20"/>
        <v>-23.988063477139626</v>
      </c>
      <c r="AC46" s="26"/>
      <c r="AD46" s="26"/>
      <c r="AE46" s="26"/>
      <c r="AF46" s="958"/>
      <c r="AG46" s="958"/>
      <c r="AH46" s="320">
        <f t="shared" si="14"/>
        <v>0</v>
      </c>
      <c r="AI46" s="320">
        <f t="shared" si="15"/>
        <v>0</v>
      </c>
    </row>
    <row r="47" spans="1:35" x14ac:dyDescent="0.2">
      <c r="A47" s="959" t="s">
        <v>66</v>
      </c>
      <c r="B47" s="1214">
        <f>TableA6!B47</f>
        <v>2068.7040725409047</v>
      </c>
      <c r="C47" s="1159">
        <f>TableA6!E47</f>
        <v>162.29225058924547</v>
      </c>
      <c r="D47" s="1159">
        <v>0</v>
      </c>
      <c r="E47" s="1159">
        <f t="shared" si="19"/>
        <v>1906.4118219516592</v>
      </c>
      <c r="F47" s="311">
        <f t="shared" si="13"/>
        <v>7.8451167928484097E-2</v>
      </c>
      <c r="G47" s="1184">
        <f>TableA2!L47</f>
        <v>0.6894883048234598</v>
      </c>
      <c r="H47" s="1184">
        <f>D47/TableA2!C47</f>
        <v>0</v>
      </c>
      <c r="I47" s="1184">
        <f t="shared" si="1"/>
        <v>0</v>
      </c>
      <c r="J47" s="1184">
        <f>TableA6!I47/TableA2!$C47</f>
        <v>0</v>
      </c>
      <c r="K47" s="1184">
        <f>TableA6!J47/TableA2!$C47</f>
        <v>0</v>
      </c>
      <c r="L47" s="906">
        <f t="shared" si="2"/>
        <v>0.6894883048234598</v>
      </c>
      <c r="M47" s="1184">
        <f>C47/TableA4!D47</f>
        <v>0.86041477550450374</v>
      </c>
      <c r="N47" s="1184">
        <f>VLOOKUP(A47,TableA10!$A$8:$G$95,4,)/VLOOKUP(A47,TableA10!$A$8:$G$95,3,)</f>
        <v>0.86041477550450385</v>
      </c>
      <c r="O47" s="1549">
        <f>E47/TableA4!G47</f>
        <v>0.67802192655512161</v>
      </c>
      <c r="P47" s="266">
        <f>+'Table E1'!D47</f>
        <v>6.6557315636438736E-3</v>
      </c>
      <c r="Q47" s="266">
        <f>+'Table E1'!I47</f>
        <v>6.4526259113114659E-2</v>
      </c>
      <c r="R47" s="266">
        <f>+'Table E1'!N47</f>
        <v>5.9200082554295786E-3</v>
      </c>
      <c r="S47" s="266">
        <f t="shared" si="16"/>
        <v>-2.1986383800963041</v>
      </c>
      <c r="T47" s="266">
        <f t="shared" si="17"/>
        <v>0.67802192655512161</v>
      </c>
      <c r="U47" s="266">
        <f t="shared" si="18"/>
        <v>2.2269928609058898</v>
      </c>
      <c r="V47" s="912">
        <f>C47-O47*TableA4!D47</f>
        <v>34.40311206885427</v>
      </c>
      <c r="W47" s="26">
        <f>IFERROR($C47-S47*TableA4!$D47,"")</f>
        <v>577.00150605094962</v>
      </c>
      <c r="X47" s="26">
        <f>IFERROR($C47-T47*TableA4!$D47,"")</f>
        <v>34.40311206885427</v>
      </c>
      <c r="Y47" s="910">
        <f>IFERROR($C47-U47*TableA4!$D47,"")</f>
        <v>-257.76525392150484</v>
      </c>
      <c r="Z47" s="26">
        <f t="shared" si="20"/>
        <v>542.59839398209533</v>
      </c>
      <c r="AA47" s="26">
        <f t="shared" si="20"/>
        <v>0</v>
      </c>
      <c r="AB47" s="900">
        <f t="shared" si="20"/>
        <v>-292.16836599035912</v>
      </c>
      <c r="AC47" s="26"/>
      <c r="AD47" s="26"/>
      <c r="AE47" s="26"/>
      <c r="AF47" s="958"/>
      <c r="AG47" s="958"/>
      <c r="AH47" s="320">
        <f t="shared" si="14"/>
        <v>0</v>
      </c>
      <c r="AI47" s="320">
        <f t="shared" si="15"/>
        <v>0</v>
      </c>
    </row>
    <row r="48" spans="1:35" x14ac:dyDescent="0.2">
      <c r="A48" s="959" t="s">
        <v>67</v>
      </c>
      <c r="B48" s="1214">
        <f>TableA6!B48</f>
        <v>58.600733808963028</v>
      </c>
      <c r="C48" s="1159">
        <f>TableA6!E48</f>
        <v>6.7581585025254878</v>
      </c>
      <c r="D48" s="1159">
        <v>0</v>
      </c>
      <c r="E48" s="1159">
        <f t="shared" si="19"/>
        <v>51.842575306437539</v>
      </c>
      <c r="F48" s="311">
        <f t="shared" si="13"/>
        <v>0.11532549275845112</v>
      </c>
      <c r="G48" s="1184">
        <f>TableA2!L48</f>
        <v>1.0817835759803136</v>
      </c>
      <c r="H48" s="1184">
        <f>D48/TableA2!C48</f>
        <v>0</v>
      </c>
      <c r="I48" s="1184">
        <f t="shared" si="1"/>
        <v>0</v>
      </c>
      <c r="J48" s="1184">
        <f>TableA6!I48/TableA2!$C48</f>
        <v>0</v>
      </c>
      <c r="K48" s="1184">
        <f>TableA6!J48/TableA2!$C48</f>
        <v>0</v>
      </c>
      <c r="L48" s="906">
        <f t="shared" si="2"/>
        <v>1.0817835759803136</v>
      </c>
      <c r="M48" s="1184">
        <f>C48/TableA4!D48</f>
        <v>0.59300746775288526</v>
      </c>
      <c r="N48" s="1184">
        <f>VLOOKUP(A48,TableA10b!$A$8:$G$95,4,)/VLOOKUP(A48,TableA10b!$A$8:$G$95,3,)</f>
        <v>0.59300746775288526</v>
      </c>
      <c r="O48" s="1549">
        <f>E48/TableA4!G48</f>
        <v>1.2120095634890702</v>
      </c>
      <c r="P48" s="266">
        <f>+'Table E1'!D48</f>
        <v>2.1524734512741107E-2</v>
      </c>
      <c r="Q48" s="266">
        <f>+'Table E1'!I48</f>
        <v>0.10036365100009582</v>
      </c>
      <c r="R48" s="266">
        <f>+'Table E1'!N48</f>
        <v>2.003379651528606E-2</v>
      </c>
      <c r="S48" s="266">
        <f t="shared" si="16"/>
        <v>-0.87076844462737979</v>
      </c>
      <c r="T48" s="266">
        <f t="shared" si="17"/>
        <v>1.2120095634890702</v>
      </c>
      <c r="U48" s="266">
        <f t="shared" si="18"/>
        <v>2.3335054140133127</v>
      </c>
      <c r="V48" s="912">
        <f>C48-O48*TableA4!D48</f>
        <v>-7.0544040401930346</v>
      </c>
      <c r="W48" s="26">
        <f>IFERROR($C48-S48*TableA4!$D48,"")</f>
        <v>16.681796041339247</v>
      </c>
      <c r="X48" s="26">
        <f>IFERROR($C48-T48*TableA4!$D48,"")</f>
        <v>-7.0544040401930346</v>
      </c>
      <c r="Y48" s="910">
        <f>IFERROR($C48-U48*TableA4!$D48,"")</f>
        <v>-19.8354348533258</v>
      </c>
      <c r="Z48" s="26">
        <f t="shared" si="20"/>
        <v>23.736200081532282</v>
      </c>
      <c r="AA48" s="26">
        <f t="shared" si="20"/>
        <v>0</v>
      </c>
      <c r="AB48" s="900">
        <f t="shared" si="20"/>
        <v>-12.781030813132766</v>
      </c>
      <c r="AC48" s="26"/>
      <c r="AD48" s="26"/>
      <c r="AE48" s="26"/>
      <c r="AF48" s="958"/>
      <c r="AG48" s="958"/>
      <c r="AH48" s="320">
        <f t="shared" si="14"/>
        <v>0</v>
      </c>
      <c r="AI48" s="320">
        <f t="shared" si="15"/>
        <v>0</v>
      </c>
    </row>
    <row r="49" spans="1:36" x14ac:dyDescent="0.2">
      <c r="A49" s="959" t="s">
        <v>68</v>
      </c>
      <c r="B49" s="1214">
        <f>TableA6!B49</f>
        <v>13.202740172271037</v>
      </c>
      <c r="C49" s="1159">
        <f>TableA6!E49</f>
        <v>1.0992314060745381</v>
      </c>
      <c r="D49" s="1159">
        <v>0</v>
      </c>
      <c r="E49" s="1159">
        <f t="shared" si="19"/>
        <v>12.103508766196498</v>
      </c>
      <c r="F49" s="311">
        <f t="shared" si="13"/>
        <v>8.3257823128504119E-2</v>
      </c>
      <c r="G49" s="1184">
        <f>TableA2!L49</f>
        <v>0.84460673307568312</v>
      </c>
      <c r="H49" s="1184">
        <f>D49/TableA2!C49</f>
        <v>0</v>
      </c>
      <c r="I49" s="1184">
        <f t="shared" si="1"/>
        <v>0</v>
      </c>
      <c r="J49" s="1184">
        <f>TableA6!I49/TableA2!$C49</f>
        <v>0</v>
      </c>
      <c r="K49" s="1184">
        <f>TableA6!J49/TableA2!$C49</f>
        <v>0</v>
      </c>
      <c r="L49" s="906">
        <f t="shared" si="2"/>
        <v>0.84460673307568312</v>
      </c>
      <c r="M49" s="1184">
        <f>C49/TableA4!D49</f>
        <v>0.58033898305084741</v>
      </c>
      <c r="N49" s="1184">
        <f>VLOOKUP(A49,TableA10!$A$8:$G$95,4,)/VLOOKUP(A49,TableA10!$A$8:$G$95,3,)</f>
        <v>0.58033898305084741</v>
      </c>
      <c r="O49" s="1549">
        <f>E49/TableA4!G49</f>
        <v>0.88104330559766775</v>
      </c>
      <c r="P49" s="266">
        <f>+'Table E1'!D49</f>
        <v>4.7831781660845021E-2</v>
      </c>
      <c r="Q49" s="266">
        <f>+'Table E1'!I49</f>
        <v>3.9950500372258176E-2</v>
      </c>
      <c r="R49" s="266">
        <f>+'Table E1'!N49</f>
        <v>4.8363553479633836E-2</v>
      </c>
      <c r="S49" s="266">
        <f t="shared" si="16"/>
        <v>0.94672674683091251</v>
      </c>
      <c r="T49" s="266">
        <f t="shared" si="17"/>
        <v>0.88104330559766775</v>
      </c>
      <c r="U49" s="266">
        <f t="shared" si="18"/>
        <v>0.84567529877976666</v>
      </c>
      <c r="V49" s="912">
        <f>C49-O49*TableA4!D49</f>
        <v>-0.56956993229743369</v>
      </c>
      <c r="W49" s="26">
        <f>IFERROR($C49-S49*TableA4!$D49,"")</f>
        <v>-0.69398222161680878</v>
      </c>
      <c r="X49" s="26">
        <f>IFERROR($C49-T49*TableA4!$D49,"")</f>
        <v>-0.56956993229743369</v>
      </c>
      <c r="Y49" s="910">
        <f>IFERROR($C49-U49*TableA4!$D49,"")</f>
        <v>-0.50257869958700097</v>
      </c>
      <c r="Z49" s="26">
        <f t="shared" si="20"/>
        <v>-0.12441228931937509</v>
      </c>
      <c r="AA49" s="26">
        <f t="shared" si="20"/>
        <v>0</v>
      </c>
      <c r="AB49" s="900">
        <f t="shared" si="20"/>
        <v>6.6991232710432724E-2</v>
      </c>
      <c r="AC49" s="26"/>
      <c r="AD49" s="26"/>
      <c r="AE49" s="26"/>
      <c r="AF49" s="958"/>
      <c r="AG49" s="958"/>
      <c r="AH49" s="320">
        <f t="shared" si="14"/>
        <v>0</v>
      </c>
      <c r="AI49" s="320">
        <f t="shared" si="15"/>
        <v>0</v>
      </c>
      <c r="AJ49" s="958"/>
    </row>
    <row r="50" spans="1:36" x14ac:dyDescent="0.2">
      <c r="A50" s="959" t="s">
        <v>69</v>
      </c>
      <c r="B50" s="1214">
        <f>TableA6!B50</f>
        <v>376.12710693199818</v>
      </c>
      <c r="C50" s="1159">
        <f>TableA6!E50</f>
        <v>7.7329709258650219</v>
      </c>
      <c r="D50" s="1159">
        <v>0</v>
      </c>
      <c r="E50" s="1159">
        <f t="shared" si="19"/>
        <v>368.39413600613318</v>
      </c>
      <c r="F50" s="311">
        <f t="shared" si="13"/>
        <v>2.0559461903560974E-2</v>
      </c>
      <c r="G50" s="1184">
        <f>TableA2!L50</f>
        <v>1.1804668339549873</v>
      </c>
      <c r="H50" s="1184">
        <f>D50/TableA2!C50</f>
        <v>0</v>
      </c>
      <c r="I50" s="1184">
        <f t="shared" si="1"/>
        <v>0</v>
      </c>
      <c r="J50" s="1184">
        <f>TableA6!I50/TableA2!$C50</f>
        <v>0</v>
      </c>
      <c r="K50" s="1184">
        <f>TableA6!J50/TableA2!$C50</f>
        <v>0</v>
      </c>
      <c r="L50" s="906">
        <f t="shared" si="2"/>
        <v>1.1804668339549873</v>
      </c>
      <c r="M50" s="1184">
        <f>C50/TableA4!D50</f>
        <v>0.36740237691001698</v>
      </c>
      <c r="N50" s="1184">
        <f>VLOOKUP(A50,TableA10!$A$8:$G$95,4,)/VLOOKUP(A50,TableA10!$A$8:$G$95,3,)</f>
        <v>0.36740237691001698</v>
      </c>
      <c r="O50" s="1549">
        <f>E50/TableA4!G50</f>
        <v>1.2379748666810551</v>
      </c>
      <c r="P50" s="266">
        <f>+'Table E1'!D50</f>
        <v>0</v>
      </c>
      <c r="Q50" s="266">
        <f>+'Table E1'!I50</f>
        <v>1.9789899575823135E-2</v>
      </c>
      <c r="R50" s="266">
        <f>+'Table E1'!N50</f>
        <v>4.3665075963113982E-3</v>
      </c>
      <c r="S50" s="266">
        <f t="shared" si="16"/>
        <v>-0.63607316910602196</v>
      </c>
      <c r="T50" s="266">
        <f t="shared" si="17"/>
        <v>1.2379748666810551</v>
      </c>
      <c r="U50" s="266">
        <f t="shared" si="18"/>
        <v>2.2470776551817888</v>
      </c>
      <c r="V50" s="912">
        <f>C50-O50*TableA4!D50</f>
        <v>-18.323538919036906</v>
      </c>
      <c r="W50" s="26">
        <f>IFERROR($C50-S50*TableA4!$D50,"")</f>
        <v>21.12084109912842</v>
      </c>
      <c r="X50" s="26">
        <f>IFERROR($C50-T50*TableA4!$D50,"")</f>
        <v>-18.323538919036906</v>
      </c>
      <c r="Y50" s="910">
        <f>IFERROR($C50-U50*TableA4!$D50,"")</f>
        <v>-39.562820467279778</v>
      </c>
      <c r="Z50" s="26">
        <f t="shared" si="20"/>
        <v>39.444380018165326</v>
      </c>
      <c r="AA50" s="26">
        <f t="shared" si="20"/>
        <v>0</v>
      </c>
      <c r="AB50" s="900">
        <f t="shared" si="20"/>
        <v>-21.239281548242872</v>
      </c>
      <c r="AC50" s="26"/>
      <c r="AD50" s="26"/>
      <c r="AE50" s="26"/>
      <c r="AF50" s="958"/>
      <c r="AG50" s="958"/>
      <c r="AH50" s="320">
        <f t="shared" si="14"/>
        <v>0</v>
      </c>
      <c r="AI50" s="320">
        <f t="shared" si="15"/>
        <v>0</v>
      </c>
      <c r="AJ50" s="958"/>
    </row>
    <row r="51" spans="1:36" x14ac:dyDescent="0.2">
      <c r="A51" s="959" t="s">
        <v>70</v>
      </c>
      <c r="B51" s="1214">
        <f>TableA6!B51</f>
        <v>289.6640115913587</v>
      </c>
      <c r="C51" s="1159">
        <f>TableA6!E51</f>
        <v>37.035306707060499</v>
      </c>
      <c r="D51" s="1159">
        <v>0</v>
      </c>
      <c r="E51" s="1159">
        <f t="shared" si="19"/>
        <v>252.6287048842982</v>
      </c>
      <c r="F51" s="311">
        <f t="shared" si="13"/>
        <v>0.12785608575810162</v>
      </c>
      <c r="G51" s="1184">
        <f>TableA2!L51</f>
        <v>0.62204444586734098</v>
      </c>
      <c r="H51" s="1184">
        <f>D51/TableA2!C51</f>
        <v>0</v>
      </c>
      <c r="I51" s="1184">
        <f t="shared" si="1"/>
        <v>0</v>
      </c>
      <c r="J51" s="1184">
        <f>TableA6!I51/TableA2!$C51</f>
        <v>0</v>
      </c>
      <c r="K51" s="1184">
        <f>TableA6!J51/TableA2!$C51</f>
        <v>0</v>
      </c>
      <c r="L51" s="906">
        <f t="shared" si="2"/>
        <v>0.62204444586734098</v>
      </c>
      <c r="M51" s="1184">
        <f>C51/TableA4!D51</f>
        <v>0.57186108637577915</v>
      </c>
      <c r="N51" s="1184">
        <f>VLOOKUP(A51,TableA10b!$A$8:$G$95,4,)/VLOOKUP(A51,TableA10b!$A$8:$G$95,3,)</f>
        <v>0.57186108637577915</v>
      </c>
      <c r="O51" s="1549">
        <f>E51/TableA4!G51</f>
        <v>0.63015120382906453</v>
      </c>
      <c r="P51" s="266">
        <f>+'Table E1'!D51</f>
        <v>5.3742769036280592E-2</v>
      </c>
      <c r="Q51" s="266">
        <f>+'Table E1'!I51</f>
        <v>8.7326556684011569E-2</v>
      </c>
      <c r="R51" s="266">
        <f>+'Table E1'!N51</f>
        <v>5.2359583486292896E-2</v>
      </c>
      <c r="S51" s="266">
        <f t="shared" si="16"/>
        <v>0.44979551625753944</v>
      </c>
      <c r="T51" s="266">
        <f t="shared" si="17"/>
        <v>0.63015120382906453</v>
      </c>
      <c r="U51" s="266">
        <f t="shared" si="18"/>
        <v>0.72726580482911651</v>
      </c>
      <c r="V51" s="912">
        <f>C51-O51*TableA4!D51</f>
        <v>-3.7750293372023975</v>
      </c>
      <c r="W51" s="26">
        <f>IFERROR($C51-S51*TableA4!$D51,"")</f>
        <v>7.9053041646036384</v>
      </c>
      <c r="X51" s="26">
        <f>IFERROR($C51-T51*TableA4!$D51,"")</f>
        <v>-3.7750293372023975</v>
      </c>
      <c r="Y51" s="910">
        <f>IFERROR($C51-U51*TableA4!$D51,"")</f>
        <v>-10.064439684328732</v>
      </c>
      <c r="Z51" s="26">
        <f t="shared" si="20"/>
        <v>11.680333501806036</v>
      </c>
      <c r="AA51" s="26">
        <f t="shared" si="20"/>
        <v>0</v>
      </c>
      <c r="AB51" s="900">
        <f t="shared" si="20"/>
        <v>-6.289410347126335</v>
      </c>
      <c r="AC51" s="26"/>
      <c r="AD51" s="26"/>
      <c r="AE51" s="26"/>
      <c r="AF51" s="958"/>
      <c r="AG51" s="958"/>
      <c r="AH51" s="320">
        <f t="shared" si="14"/>
        <v>0</v>
      </c>
      <c r="AI51" s="320">
        <f t="shared" si="15"/>
        <v>0</v>
      </c>
      <c r="AJ51" s="958"/>
    </row>
    <row r="52" spans="1:36" x14ac:dyDescent="0.2">
      <c r="A52" s="959" t="s">
        <v>71</v>
      </c>
      <c r="B52" s="1214">
        <f>TableA6!B52</f>
        <v>76.467180015656993</v>
      </c>
      <c r="C52" s="1159">
        <f>TableA6!E52</f>
        <v>8.7431839097715454</v>
      </c>
      <c r="D52" s="1159">
        <v>0</v>
      </c>
      <c r="E52" s="1159">
        <f t="shared" si="19"/>
        <v>67.723996105885448</v>
      </c>
      <c r="F52" s="311">
        <f t="shared" si="13"/>
        <v>0.11433903941509729</v>
      </c>
      <c r="G52" s="1184">
        <f>TableA2!L52</f>
        <v>0.78720845080042035</v>
      </c>
      <c r="H52" s="1184">
        <f>D52/TableA2!C52</f>
        <v>0</v>
      </c>
      <c r="I52" s="1184">
        <f t="shared" si="1"/>
        <v>0</v>
      </c>
      <c r="J52" s="1184">
        <f>TableA6!I52/TableA2!$C52</f>
        <v>0</v>
      </c>
      <c r="K52" s="1184">
        <f>TableA6!J52/TableA2!$C52</f>
        <v>0</v>
      </c>
      <c r="L52" s="906">
        <f t="shared" si="2"/>
        <v>0.78720845080042035</v>
      </c>
      <c r="M52" s="1184">
        <f>C52/TableA4!D52</f>
        <v>0.31238725195429945</v>
      </c>
      <c r="N52" s="1184">
        <f>VLOOKUP(A52,TableA10!$A$8:$G$95,4,)/VLOOKUP(A52,TableA10!$A$8:$G$95,3,)</f>
        <v>0.31238725195429945</v>
      </c>
      <c r="O52" s="1549">
        <f>E52/TableA4!G52</f>
        <v>0.97939430014021822</v>
      </c>
      <c r="P52" s="266">
        <f>+'Table E1'!D52</f>
        <v>0</v>
      </c>
      <c r="Q52" s="266">
        <f>+'Table E1'!I52</f>
        <v>6.4415425758922895E-2</v>
      </c>
      <c r="R52" s="266">
        <f>+'Table E1'!N52</f>
        <v>2.403572164420276E-2</v>
      </c>
      <c r="S52" s="266">
        <f t="shared" si="16"/>
        <v>0.27423578702514706</v>
      </c>
      <c r="T52" s="266">
        <f t="shared" si="17"/>
        <v>0.97939430014021822</v>
      </c>
      <c r="U52" s="266">
        <f t="shared" si="18"/>
        <v>1.3590950379714104</v>
      </c>
      <c r="V52" s="912">
        <f>C52-O52*TableA4!D52</f>
        <v>-18.668384368823393</v>
      </c>
      <c r="W52" s="26">
        <f>IFERROR($C52-S52*TableA4!$D52,"")</f>
        <v>1.0677941312137076</v>
      </c>
      <c r="X52" s="26">
        <f>IFERROR($C52-T52*TableA4!$D52,"")</f>
        <v>-18.668384368823393</v>
      </c>
      <c r="Y52" s="910">
        <f>IFERROR($C52-U52*TableA4!$D52,"")</f>
        <v>-29.295557407304912</v>
      </c>
      <c r="Z52" s="26">
        <f t="shared" si="20"/>
        <v>19.736178500037099</v>
      </c>
      <c r="AA52" s="26">
        <f t="shared" si="20"/>
        <v>0</v>
      </c>
      <c r="AB52" s="900">
        <f t="shared" si="20"/>
        <v>-10.627173038481519</v>
      </c>
      <c r="AC52" s="26"/>
      <c r="AD52" s="26"/>
      <c r="AE52" s="26"/>
      <c r="AF52" s="958"/>
      <c r="AG52" s="958"/>
      <c r="AH52" s="320">
        <f t="shared" si="14"/>
        <v>0</v>
      </c>
      <c r="AI52" s="320">
        <f t="shared" si="15"/>
        <v>0</v>
      </c>
      <c r="AJ52" s="958"/>
    </row>
    <row r="53" spans="1:36" ht="40" customHeight="1" x14ac:dyDescent="0.2">
      <c r="A53" s="1816" t="s">
        <v>72</v>
      </c>
      <c r="B53" s="304">
        <f>SUM(B54:B89)</f>
        <v>485.75226113968216</v>
      </c>
      <c r="C53" s="245">
        <f>SUM(C54:C89)</f>
        <v>379.64154036573251</v>
      </c>
      <c r="D53" s="245">
        <f>SUM(D54:D89)</f>
        <v>0</v>
      </c>
      <c r="E53" s="245">
        <f>SUM(E54:E89)</f>
        <v>106.11072077394961</v>
      </c>
      <c r="F53" s="308">
        <f t="shared" si="13"/>
        <v>0.7815538304958366</v>
      </c>
      <c r="G53" s="266">
        <f>TableA2!L53</f>
        <v>0.9495478158383921</v>
      </c>
      <c r="H53" s="266">
        <f>D53/TableA2!C53</f>
        <v>0</v>
      </c>
      <c r="I53" s="266">
        <f>TableA6!D53/TableA2!C53</f>
        <v>0.59411815848754679</v>
      </c>
      <c r="J53" s="266">
        <f>TableA6!I53/TableA2!$C53</f>
        <v>0.1253592019677329</v>
      </c>
      <c r="K53" s="266">
        <f>TableA6!J53/TableA2!$C53</f>
        <v>0.57918768418334599</v>
      </c>
      <c r="L53" s="699">
        <f>(C53+E53)/TableA2!C53</f>
        <v>1.5436659743259391</v>
      </c>
      <c r="M53" s="266">
        <f>C53/TableA4!D53</f>
        <v>4.0562827786519096</v>
      </c>
      <c r="N53" s="266">
        <f>(TableA10!D59+TableA10!D60+TableA10!D62+TableA10!D63+TableA10!D80+TableA10!D88+C89*1000)/(TableA10!C59+TableA10!C60+TableA10!C62+TableA10!C63+TableA10!C80+TableA10!C88+TableA4!D89*1000)</f>
        <v>3.6378279827459132</v>
      </c>
      <c r="O53" s="907">
        <f>(E9+E45)/(TableA4!G9+TableA4!G45)</f>
        <v>0.47996308817683037</v>
      </c>
      <c r="P53" s="266"/>
      <c r="Q53" s="266"/>
      <c r="R53" s="266"/>
      <c r="S53" s="266" t="str">
        <f t="shared" si="16"/>
        <v/>
      </c>
      <c r="T53" s="266" t="str">
        <f t="shared" si="17"/>
        <v/>
      </c>
      <c r="U53" s="266" t="str">
        <f t="shared" si="18"/>
        <v/>
      </c>
      <c r="V53" s="915">
        <f>SUM(V54:V89)</f>
        <v>334.72013422680857</v>
      </c>
      <c r="W53" s="26" t="str">
        <f>IFERROR($C53-S53*TableA4!$D53,"")</f>
        <v/>
      </c>
      <c r="X53" s="26" t="str">
        <f>IFERROR($C53-T53*TableA4!$D53,"")</f>
        <v/>
      </c>
      <c r="Y53" s="910" t="str">
        <f>IFERROR($C53-U53*TableA4!$D53,"")</f>
        <v/>
      </c>
      <c r="Z53" s="277">
        <f>SUM(Z54:Z89)</f>
        <v>20.641445594046825</v>
      </c>
      <c r="AA53" s="26">
        <f>SUM(AA54:AA89)</f>
        <v>0</v>
      </c>
      <c r="AB53" s="900">
        <f>SUM(AB54:AB89)</f>
        <v>-11.114624550640611</v>
      </c>
      <c r="AC53" s="26"/>
      <c r="AD53" s="26"/>
      <c r="AE53" s="26"/>
      <c r="AF53" s="958"/>
      <c r="AG53" s="958"/>
      <c r="AH53" s="320">
        <f t="shared" si="14"/>
        <v>2.2204460492503131E-16</v>
      </c>
      <c r="AI53" s="320">
        <f t="shared" si="15"/>
        <v>0</v>
      </c>
      <c r="AJ53" s="958"/>
    </row>
    <row r="54" spans="1:36" ht="17" x14ac:dyDescent="0.2">
      <c r="A54" s="959" t="s">
        <v>73</v>
      </c>
      <c r="B54" s="1214">
        <f>TableA6!B54</f>
        <v>1.2179448838266</v>
      </c>
      <c r="C54" s="1159">
        <f>TableA6!E54</f>
        <v>1.0713339190228408</v>
      </c>
      <c r="D54" s="1159">
        <v>0</v>
      </c>
      <c r="E54" s="1159">
        <f>TableA6!K54</f>
        <v>0.14661096480375915</v>
      </c>
      <c r="F54" s="308">
        <f t="shared" si="13"/>
        <v>0.87962430258491697</v>
      </c>
      <c r="G54" s="1216">
        <f>TableA2!L54</f>
        <v>2.3923255199351803</v>
      </c>
      <c r="H54" s="1216">
        <f>D54/TableA2!C54</f>
        <v>0</v>
      </c>
      <c r="I54" s="1216">
        <f>TableA6!D54/TableA2!C54</f>
        <v>0</v>
      </c>
      <c r="J54" s="1216">
        <f>TableA6!I54/TableA2!$C54</f>
        <v>0</v>
      </c>
      <c r="K54" s="1216">
        <f>TableA6!J54/TableA2!$C54</f>
        <v>2.171958577610551</v>
      </c>
      <c r="L54" s="906">
        <f>(C54+E54)/TableA2!C54</f>
        <v>2.3923255199351803</v>
      </c>
      <c r="M54" s="1184">
        <f>C54/TableA4!D54</f>
        <v>5.2608691675727046</v>
      </c>
      <c r="N54" s="1184">
        <f>TableA10!D37/TableA10!C37</f>
        <v>1.5591216216216208</v>
      </c>
      <c r="O54" s="1702">
        <f t="shared" ref="O54:O90" si="21">O$53</f>
        <v>0.47996308817683037</v>
      </c>
      <c r="P54" s="266" t="str">
        <f>+'Table E1'!D54</f>
        <v/>
      </c>
      <c r="Q54" s="266" t="str">
        <f>+'Table E1'!I54</f>
        <v/>
      </c>
      <c r="R54" s="266" t="str">
        <f>+'Table E1'!N54</f>
        <v/>
      </c>
      <c r="S54" s="266" t="str">
        <f t="shared" si="16"/>
        <v/>
      </c>
      <c r="T54" s="266" t="str">
        <f t="shared" si="17"/>
        <v/>
      </c>
      <c r="U54" s="266" t="str">
        <f t="shared" si="18"/>
        <v/>
      </c>
      <c r="V54" s="912">
        <f>C54-O54*TableA4!D54</f>
        <v>0.97359327582033472</v>
      </c>
      <c r="W54" s="26" t="str">
        <f>IFERROR($C54-S54*TableA4!$D54,"")</f>
        <v/>
      </c>
      <c r="X54" s="26" t="str">
        <f>IFERROR($C54-T54*TableA4!$D54,"")</f>
        <v/>
      </c>
      <c r="Y54" s="910" t="str">
        <f>IFERROR($C54-U54*TableA4!$D54,"")</f>
        <v/>
      </c>
      <c r="Z54" s="26" t="str">
        <f t="shared" ref="Z54:Z90" si="22">IFERROR(-$V54+W54,"")</f>
        <v/>
      </c>
      <c r="AA54" s="26" t="str">
        <f t="shared" ref="AA54:AA90" si="23">IFERROR(-$V54+X54,"")</f>
        <v/>
      </c>
      <c r="AB54" s="900" t="str">
        <f t="shared" ref="AB54:AB90" si="24">IFERROR(-$V54+Y54,"")</f>
        <v/>
      </c>
      <c r="AC54" s="26"/>
      <c r="AD54" s="26"/>
      <c r="AE54" s="26"/>
      <c r="AF54" s="958"/>
      <c r="AG54" s="958"/>
      <c r="AH54" s="320">
        <f t="shared" si="14"/>
        <v>0</v>
      </c>
      <c r="AI54" s="320">
        <f t="shared" si="15"/>
        <v>0</v>
      </c>
      <c r="AJ54" s="958"/>
    </row>
    <row r="55" spans="1:36" ht="17" x14ac:dyDescent="0.2">
      <c r="A55" s="959" t="s">
        <v>74</v>
      </c>
      <c r="B55" s="1214">
        <f>TableA6!B55</f>
        <v>0.23996156292186116</v>
      </c>
      <c r="C55" s="1159">
        <f>TableA6!E55</f>
        <v>0.22608681761471922</v>
      </c>
      <c r="D55" s="1866">
        <v>0</v>
      </c>
      <c r="E55" s="1159">
        <f>TableA6!K55</f>
        <v>1.3874745307141934E-2</v>
      </c>
      <c r="F55" s="311">
        <f t="shared" si="13"/>
        <v>0.94217930097554836</v>
      </c>
      <c r="G55" s="1216">
        <f>TableA2!L55</f>
        <v>2.3923282826230872</v>
      </c>
      <c r="H55" s="1184">
        <f>D55/TableA2!C55</f>
        <v>0</v>
      </c>
      <c r="I55" s="1184">
        <f>TableA6!D55/TableA2!C55</f>
        <v>2.5882039102567727</v>
      </c>
      <c r="J55" s="1184">
        <f>TableA6!I55/TableA2!$C55</f>
        <v>0</v>
      </c>
      <c r="K55" s="1184">
        <f>TableA6!J55/TableA2!$C55</f>
        <v>2.5609602213968543</v>
      </c>
      <c r="L55" s="906">
        <f>(C55+E55)/TableA2!C55</f>
        <v>4.9805321928798598</v>
      </c>
      <c r="M55" s="1184">
        <f>C55/TableA4!D55</f>
        <v>11.731385849934403</v>
      </c>
      <c r="N55" s="1184">
        <f>TableA10!D$63/TableA10!C$63</f>
        <v>14.031458531935176</v>
      </c>
      <c r="O55" s="1702">
        <f t="shared" si="21"/>
        <v>0.47996308817683037</v>
      </c>
      <c r="P55" s="266" t="str">
        <f>+'Table E1'!D55</f>
        <v/>
      </c>
      <c r="Q55" s="266" t="str">
        <f>+'Table E1'!I55</f>
        <v/>
      </c>
      <c r="R55" s="266" t="str">
        <f>+'Table E1'!N55</f>
        <v/>
      </c>
      <c r="S55" s="266" t="str">
        <f t="shared" si="16"/>
        <v/>
      </c>
      <c r="T55" s="266" t="str">
        <f t="shared" si="17"/>
        <v/>
      </c>
      <c r="U55" s="266" t="str">
        <f t="shared" si="18"/>
        <v/>
      </c>
      <c r="V55" s="912">
        <f>C55-O55*TableA4!D55</f>
        <v>0.21683698740995794</v>
      </c>
      <c r="W55" s="26" t="str">
        <f>IFERROR($C55-S55*TableA4!$D55,"")</f>
        <v/>
      </c>
      <c r="X55" s="26" t="str">
        <f>IFERROR($C55-T55*TableA4!$D55,"")</f>
        <v/>
      </c>
      <c r="Y55" s="910" t="str">
        <f>IFERROR($C55-U55*TableA4!$D55,"")</f>
        <v/>
      </c>
      <c r="Z55" s="26" t="str">
        <f t="shared" si="22"/>
        <v/>
      </c>
      <c r="AA55" s="26" t="str">
        <f t="shared" si="23"/>
        <v/>
      </c>
      <c r="AB55" s="900" t="str">
        <f t="shared" si="24"/>
        <v/>
      </c>
      <c r="AC55" s="26"/>
      <c r="AD55" s="26"/>
      <c r="AE55" s="26"/>
      <c r="AF55" s="958"/>
      <c r="AG55" s="958"/>
      <c r="AH55" s="320">
        <f t="shared" si="14"/>
        <v>0</v>
      </c>
      <c r="AI55" s="320">
        <f t="shared" si="15"/>
        <v>0</v>
      </c>
      <c r="AJ55" s="958"/>
    </row>
    <row r="56" spans="1:36" ht="17" x14ac:dyDescent="0.2">
      <c r="A56" s="959" t="str">
        <f>+TableA1!A56</f>
        <v>Antigua and Barbuda</v>
      </c>
      <c r="B56" s="1214">
        <f>TableA6!B56</f>
        <v>0.83688997048164881</v>
      </c>
      <c r="C56" s="1159">
        <f>TableA6!E56</f>
        <v>0.80975658198969502</v>
      </c>
      <c r="D56" s="1159">
        <v>0</v>
      </c>
      <c r="E56" s="1159">
        <f>TableA6!K56</f>
        <v>2.7133388491953736E-2</v>
      </c>
      <c r="F56" s="311">
        <f t="shared" si="13"/>
        <v>0.96757830844078829</v>
      </c>
      <c r="G56" s="1216">
        <f>TableA2!L56</f>
        <v>7.8984192228753365</v>
      </c>
      <c r="H56" s="1184">
        <f>D56/TableA2!C56</f>
        <v>0</v>
      </c>
      <c r="I56" s="1184">
        <f>TableA6!D56/TableA2!C56</f>
        <v>0.98383950752326899</v>
      </c>
      <c r="J56" s="1184">
        <f>TableA6!I56/TableA2!$C56</f>
        <v>0</v>
      </c>
      <c r="K56" s="1184">
        <f>TableA6!J56/TableA2!$C56</f>
        <v>7.7351530408344944</v>
      </c>
      <c r="L56" s="906">
        <f>(C56+E56)/TableA2!C56</f>
        <v>8.8822587303986058</v>
      </c>
      <c r="M56" s="1184">
        <f>C56/TableA4!D56</f>
        <v>21.485702193731267</v>
      </c>
      <c r="N56" s="1184">
        <f>TableA10!D$63/TableA10!C$63</f>
        <v>14.031458531935176</v>
      </c>
      <c r="O56" s="1702">
        <f t="shared" si="21"/>
        <v>0.47996308817683037</v>
      </c>
      <c r="P56" s="266" t="str">
        <f>+'Table E1'!D56</f>
        <v/>
      </c>
      <c r="Q56" s="266" t="str">
        <f>+'Table E1'!I56</f>
        <v/>
      </c>
      <c r="R56" s="266" t="str">
        <f>+'Table E1'!N56</f>
        <v/>
      </c>
      <c r="S56" s="266" t="str">
        <f t="shared" si="16"/>
        <v/>
      </c>
      <c r="T56" s="266" t="str">
        <f t="shared" si="17"/>
        <v/>
      </c>
      <c r="U56" s="266" t="str">
        <f t="shared" si="18"/>
        <v/>
      </c>
      <c r="V56" s="912">
        <f>C56-O56*TableA4!D56</f>
        <v>0.79166765632839253</v>
      </c>
      <c r="W56" s="26" t="str">
        <f>IFERROR($C56-S56*TableA4!$D56,"")</f>
        <v/>
      </c>
      <c r="X56" s="26" t="str">
        <f>IFERROR($C56-T56*TableA4!$D56,"")</f>
        <v/>
      </c>
      <c r="Y56" s="910" t="str">
        <f>IFERROR($C56-U56*TableA4!$D56,"")</f>
        <v/>
      </c>
      <c r="Z56" s="26" t="str">
        <f t="shared" si="22"/>
        <v/>
      </c>
      <c r="AA56" s="26" t="str">
        <f t="shared" si="23"/>
        <v/>
      </c>
      <c r="AB56" s="900" t="str">
        <f t="shared" si="24"/>
        <v/>
      </c>
      <c r="AC56" s="26"/>
      <c r="AD56" s="26"/>
      <c r="AE56" s="26"/>
      <c r="AF56" s="958"/>
      <c r="AG56" s="958"/>
      <c r="AH56" s="320">
        <f t="shared" si="14"/>
        <v>3.3306690738754696E-16</v>
      </c>
      <c r="AI56" s="320">
        <f t="shared" si="15"/>
        <v>5.5511151231257827E-17</v>
      </c>
      <c r="AJ56" s="958"/>
    </row>
    <row r="57" spans="1:36" ht="17" x14ac:dyDescent="0.2">
      <c r="A57" s="959" t="s">
        <v>76</v>
      </c>
      <c r="B57" s="1214">
        <f>TableA6!B57</f>
        <v>1.0830039076807072</v>
      </c>
      <c r="C57" s="1159">
        <f>TableA6!E57</f>
        <v>0.95263604569226357</v>
      </c>
      <c r="D57" s="1866">
        <v>0</v>
      </c>
      <c r="E57" s="1159">
        <f>TableA6!K57</f>
        <v>0.13036786198844358</v>
      </c>
      <c r="F57" s="311">
        <f t="shared" si="13"/>
        <v>0.87962383047386117</v>
      </c>
      <c r="G57" s="1216">
        <f>TableA2!L57</f>
        <v>2.3923161373195709</v>
      </c>
      <c r="H57" s="1184">
        <f>D57/TableA2!C57</f>
        <v>0</v>
      </c>
      <c r="I57" s="1184">
        <f>TableA6!D57/TableA2!C57</f>
        <v>0</v>
      </c>
      <c r="J57" s="1184">
        <f>TableA6!I57/TableA2!$C57</f>
        <v>0</v>
      </c>
      <c r="K57" s="1184">
        <f>TableA6!J57/TableA2!$C57</f>
        <v>2.0073413382474254</v>
      </c>
      <c r="L57" s="906">
        <f>(C57+E57)/TableA2!C57</f>
        <v>2.3923161373195709</v>
      </c>
      <c r="M57" s="1184">
        <f>C57/TableA4!D57</f>
        <v>5.2608457110336815</v>
      </c>
      <c r="N57" s="1184">
        <f>TableA10!D$63/TableA10!C$63</f>
        <v>14.031458531935176</v>
      </c>
      <c r="O57" s="1702">
        <f t="shared" si="21"/>
        <v>0.47996308817683037</v>
      </c>
      <c r="P57" s="266" t="str">
        <f>+'Table E1'!D57</f>
        <v/>
      </c>
      <c r="Q57" s="266" t="str">
        <f>+'Table E1'!I57</f>
        <v/>
      </c>
      <c r="R57" s="266" t="str">
        <f>+'Table E1'!N57</f>
        <v/>
      </c>
      <c r="S57" s="266" t="str">
        <f t="shared" si="16"/>
        <v/>
      </c>
      <c r="T57" s="266" t="str">
        <f t="shared" si="17"/>
        <v/>
      </c>
      <c r="U57" s="266" t="str">
        <f t="shared" si="18"/>
        <v/>
      </c>
      <c r="V57" s="912">
        <f>C57-O57*TableA4!D57</f>
        <v>0.86572413769996781</v>
      </c>
      <c r="W57" s="26" t="str">
        <f>IFERROR($C57-S57*TableA4!$D57,"")</f>
        <v/>
      </c>
      <c r="X57" s="26" t="str">
        <f>IFERROR($C57-T57*TableA4!$D57,"")</f>
        <v/>
      </c>
      <c r="Y57" s="910" t="str">
        <f>IFERROR($C57-U57*TableA4!$D57,"")</f>
        <v/>
      </c>
      <c r="Z57" s="26" t="str">
        <f t="shared" si="22"/>
        <v/>
      </c>
      <c r="AA57" s="26" t="str">
        <f t="shared" si="23"/>
        <v/>
      </c>
      <c r="AB57" s="900" t="str">
        <f t="shared" si="24"/>
        <v/>
      </c>
      <c r="AC57" s="26"/>
      <c r="AD57" s="26"/>
      <c r="AE57" s="26"/>
      <c r="AF57" s="958"/>
      <c r="AG57" s="958"/>
      <c r="AH57" s="320">
        <f t="shared" si="14"/>
        <v>0</v>
      </c>
      <c r="AI57" s="320">
        <f t="shared" si="15"/>
        <v>0</v>
      </c>
      <c r="AJ57" s="958"/>
    </row>
    <row r="58" spans="1:36" ht="17" x14ac:dyDescent="0.2">
      <c r="A58" s="959" t="s">
        <v>152</v>
      </c>
      <c r="B58" s="1214">
        <f>TableA6!B58</f>
        <v>7.5674507528223769</v>
      </c>
      <c r="C58" s="1159">
        <f>TableA6!E58</f>
        <v>7.4256876071944387</v>
      </c>
      <c r="D58" s="1866">
        <v>0</v>
      </c>
      <c r="E58" s="1159">
        <f>TableA6!K58</f>
        <v>0.1417631456279379</v>
      </c>
      <c r="F58" s="311">
        <f t="shared" si="13"/>
        <v>0.98126672372792567</v>
      </c>
      <c r="G58" s="1216">
        <f>TableA2!L58</f>
        <v>13.025874775347917</v>
      </c>
      <c r="H58" s="1184">
        <f>D58/TableA2!C58</f>
        <v>0</v>
      </c>
      <c r="I58" s="1184">
        <f>TableA6!D58/TableA2!C58</f>
        <v>2.3466553002047297</v>
      </c>
      <c r="J58" s="1184">
        <f>TableA6!I58/TableA2!$C58</f>
        <v>11.090152854335686</v>
      </c>
      <c r="K58" s="1184">
        <f>TableA6!J58/TableA2!$C58</f>
        <v>2.493548736246979</v>
      </c>
      <c r="L58" s="906">
        <f>(C58+E58)/TableA2!C58</f>
        <v>15.372530075552646</v>
      </c>
      <c r="M58" s="1184">
        <f>C58/TableA4!D58</f>
        <v>37.711380556616369</v>
      </c>
      <c r="N58" s="1184">
        <f>TableA10!D$63/TableA10!C$63</f>
        <v>14.031458531935176</v>
      </c>
      <c r="O58" s="1702">
        <f t="shared" si="21"/>
        <v>0.47996308817683037</v>
      </c>
      <c r="P58" s="266"/>
      <c r="Q58" s="266"/>
      <c r="R58" s="266"/>
      <c r="S58" s="266" t="str">
        <f t="shared" si="16"/>
        <v/>
      </c>
      <c r="T58" s="266" t="str">
        <f t="shared" si="17"/>
        <v/>
      </c>
      <c r="U58" s="266" t="str">
        <f t="shared" si="18"/>
        <v/>
      </c>
      <c r="V58" s="912">
        <f>C58-O58*TableA4!D58</f>
        <v>7.3311788434424798</v>
      </c>
      <c r="W58" s="26" t="str">
        <f>IFERROR($C58-S58*TableA4!$D58,"")</f>
        <v/>
      </c>
      <c r="X58" s="26" t="str">
        <f>IFERROR($C58-T58*TableA4!$D58,"")</f>
        <v/>
      </c>
      <c r="Y58" s="910" t="str">
        <f>IFERROR($C58-U58*TableA4!$D58,"")</f>
        <v/>
      </c>
      <c r="Z58" s="26" t="str">
        <f t="shared" si="22"/>
        <v/>
      </c>
      <c r="AA58" s="26" t="str">
        <f t="shared" si="23"/>
        <v/>
      </c>
      <c r="AB58" s="900" t="str">
        <f t="shared" si="24"/>
        <v/>
      </c>
      <c r="AC58" s="26"/>
      <c r="AD58" s="26"/>
      <c r="AE58" s="26"/>
      <c r="AF58" s="958"/>
      <c r="AG58" s="958"/>
      <c r="AH58" s="320">
        <f t="shared" si="14"/>
        <v>-8.8817841970012523E-16</v>
      </c>
      <c r="AI58" s="320">
        <f t="shared" si="15"/>
        <v>3.3306690738754696E-16</v>
      </c>
      <c r="AJ58" s="958"/>
    </row>
    <row r="59" spans="1:36" ht="17" x14ac:dyDescent="0.2">
      <c r="A59" s="959" t="s">
        <v>78</v>
      </c>
      <c r="B59" s="1214">
        <f>TableA6!B59</f>
        <v>12.818630643859262</v>
      </c>
      <c r="C59" s="1159">
        <f>TableA6!E59</f>
        <v>9.9035637652207527</v>
      </c>
      <c r="D59" s="1866">
        <v>0</v>
      </c>
      <c r="E59" s="1159">
        <f>TableA6!K59</f>
        <v>2.9150668786385086</v>
      </c>
      <c r="F59" s="311">
        <f t="shared" si="13"/>
        <v>0.7725913976595491</v>
      </c>
      <c r="G59" s="1216">
        <f>TableA2!L59</f>
        <v>1.1886326440866672</v>
      </c>
      <c r="H59" s="1184">
        <f>D59/TableA2!C59</f>
        <v>0</v>
      </c>
      <c r="I59" s="1184">
        <f>TableA6!D59/TableA2!C59</f>
        <v>7.7712823684907076E-2</v>
      </c>
      <c r="J59" s="1184">
        <f>TableA6!I59/TableA2!$C59</f>
        <v>9.6292997742348937E-2</v>
      </c>
      <c r="K59" s="1184">
        <f>TableA6!J59/TableA2!$C59</f>
        <v>0.81859172082117837</v>
      </c>
      <c r="L59" s="906">
        <f>(C59+E59)/TableA2!C59</f>
        <v>1.2663454677715744</v>
      </c>
      <c r="M59" s="1184">
        <f>C59/TableA4!D59</f>
        <v>2.4459190371636907</v>
      </c>
      <c r="N59" s="1184">
        <f>TableA10!D75/TableA10!C75</f>
        <v>2.6792645556690502</v>
      </c>
      <c r="O59" s="1702">
        <f t="shared" si="21"/>
        <v>0.47996308817683037</v>
      </c>
      <c r="P59" s="266"/>
      <c r="Q59" s="266"/>
      <c r="R59" s="266"/>
      <c r="S59" s="266" t="str">
        <f t="shared" si="16"/>
        <v/>
      </c>
      <c r="T59" s="266" t="str">
        <f t="shared" si="17"/>
        <v/>
      </c>
      <c r="U59" s="266" t="str">
        <f t="shared" si="18"/>
        <v/>
      </c>
      <c r="V59" s="912">
        <f>C59-O59*TableA4!D59</f>
        <v>7.9601858461284136</v>
      </c>
      <c r="W59" s="26" t="str">
        <f>IFERROR($C59-S59*TableA4!$D59,"")</f>
        <v/>
      </c>
      <c r="X59" s="26" t="str">
        <f>IFERROR($C59-T59*TableA4!$D59,"")</f>
        <v/>
      </c>
      <c r="Y59" s="910" t="str">
        <f>IFERROR($C59-U59*TableA4!$D59,"")</f>
        <v/>
      </c>
      <c r="Z59" s="26" t="str">
        <f t="shared" si="22"/>
        <v/>
      </c>
      <c r="AA59" s="26" t="str">
        <f t="shared" si="23"/>
        <v/>
      </c>
      <c r="AB59" s="900" t="str">
        <f t="shared" si="24"/>
        <v/>
      </c>
      <c r="AC59" s="26"/>
      <c r="AD59" s="26"/>
      <c r="AE59" s="26"/>
      <c r="AF59" s="958"/>
      <c r="AG59" s="958"/>
      <c r="AH59" s="320">
        <f t="shared" si="14"/>
        <v>9.7144514654701197E-17</v>
      </c>
      <c r="AI59" s="320">
        <f t="shared" si="15"/>
        <v>0</v>
      </c>
      <c r="AJ59" s="958"/>
    </row>
    <row r="60" spans="1:36" ht="17" x14ac:dyDescent="0.2">
      <c r="A60" s="959" t="str">
        <f>+TableA1!A60</f>
        <v>Barbados</v>
      </c>
      <c r="B60" s="1214">
        <f>TableA6!B60</f>
        <v>4.7927919009162316</v>
      </c>
      <c r="C60" s="1159">
        <f>TableA6!E60</f>
        <v>4.6934588361797722</v>
      </c>
      <c r="D60" s="1866">
        <v>0</v>
      </c>
      <c r="E60" s="1159">
        <f>TableA6!K60</f>
        <v>9.933306473645917E-2</v>
      </c>
      <c r="F60" s="311">
        <f t="shared" si="13"/>
        <v>0.97927448827530561</v>
      </c>
      <c r="G60" s="1216">
        <f>TableA2!L60</f>
        <v>7.1637948004065679</v>
      </c>
      <c r="H60" s="1184">
        <f>D60/TableA2!C60</f>
        <v>0</v>
      </c>
      <c r="I60" s="1184">
        <f>TableA6!D60/TableA2!C60</f>
        <v>6.7310540569548074</v>
      </c>
      <c r="J60" s="1184">
        <f>TableA6!I60/TableA2!$C60</f>
        <v>4.65234739282762</v>
      </c>
      <c r="K60" s="1184">
        <f>TableA6!J60/TableA2!$C60</f>
        <v>3.1691441921362671</v>
      </c>
      <c r="L60" s="906">
        <f>(C60+E60)/TableA2!C60</f>
        <v>13.894848857361376</v>
      </c>
      <c r="M60" s="1184">
        <f>C60/TableA4!D60</f>
        <v>34.017177511138193</v>
      </c>
      <c r="N60" s="1184">
        <f>VLOOKUP(A60,TableA10!$A$8:$G$95,4,)/VLOOKUP(A60,TableA10!$A$8:$G$95,3,)</f>
        <v>25.326530612244898</v>
      </c>
      <c r="O60" s="1702">
        <f t="shared" si="21"/>
        <v>0.47996308817683037</v>
      </c>
      <c r="P60" s="266"/>
      <c r="Q60" s="266"/>
      <c r="R60" s="266"/>
      <c r="S60" s="266" t="str">
        <f t="shared" si="16"/>
        <v/>
      </c>
      <c r="T60" s="266" t="str">
        <f t="shared" si="17"/>
        <v/>
      </c>
      <c r="U60" s="266" t="str">
        <f t="shared" si="18"/>
        <v/>
      </c>
      <c r="V60" s="912">
        <f>C60-O60*TableA4!D60</f>
        <v>4.6272367930221332</v>
      </c>
      <c r="W60" s="26" t="str">
        <f>IFERROR($C60-S60*TableA4!$D60,"")</f>
        <v/>
      </c>
      <c r="X60" s="26" t="str">
        <f>IFERROR($C60-T60*TableA4!$D60,"")</f>
        <v/>
      </c>
      <c r="Y60" s="910" t="str">
        <f>IFERROR($C60-U60*TableA4!$D60,"")</f>
        <v/>
      </c>
      <c r="Z60" s="26" t="str">
        <f t="shared" si="22"/>
        <v/>
      </c>
      <c r="AA60" s="26" t="str">
        <f t="shared" si="23"/>
        <v/>
      </c>
      <c r="AB60" s="900" t="str">
        <f t="shared" si="24"/>
        <v/>
      </c>
      <c r="AC60" s="26"/>
      <c r="AD60" s="26"/>
      <c r="AE60" s="26"/>
      <c r="AF60" s="958"/>
      <c r="AG60" s="958"/>
      <c r="AH60" s="320">
        <f t="shared" si="14"/>
        <v>8.8817841970012523E-16</v>
      </c>
      <c r="AI60" s="320">
        <f t="shared" si="15"/>
        <v>2.4980018054066022E-16</v>
      </c>
      <c r="AJ60" s="958"/>
    </row>
    <row r="61" spans="1:36" ht="17" x14ac:dyDescent="0.2">
      <c r="A61" s="959" t="s">
        <v>80</v>
      </c>
      <c r="B61" s="1214">
        <f>TableA6!B61</f>
        <v>0.96228953856820065</v>
      </c>
      <c r="C61" s="1159">
        <f>TableA6!E61</f>
        <v>0.92373045597548575</v>
      </c>
      <c r="D61" s="1159">
        <v>0</v>
      </c>
      <c r="E61" s="1159">
        <f>TableA6!K61</f>
        <v>3.855908259271492E-2</v>
      </c>
      <c r="F61" s="311">
        <f t="shared" si="13"/>
        <v>0.95992985370069872</v>
      </c>
      <c r="G61" s="1216">
        <f>TableA2!L61</f>
        <v>6.9944164581853387</v>
      </c>
      <c r="H61" s="1184">
        <f>D61/TableA2!C61</f>
        <v>0</v>
      </c>
      <c r="I61" s="1184">
        <f>TableA6!D61/TableA2!C61</f>
        <v>0.19242660335646011</v>
      </c>
      <c r="J61" s="1184">
        <f>TableA6!I61/TableA2!$C61</f>
        <v>0.52273449757673773</v>
      </c>
      <c r="K61" s="1184">
        <f>TableA6!J61/TableA2!$C61</f>
        <v>5.8907579015650278</v>
      </c>
      <c r="L61" s="906">
        <f>(C61+E61)/TableA2!C61</f>
        <v>7.1868430615417989</v>
      </c>
      <c r="M61" s="1184">
        <f>C61/TableA4!D61</f>
        <v>17.247163021589252</v>
      </c>
      <c r="N61" s="1184">
        <f>TableA10!D$63/TableA10!C$63</f>
        <v>14.031458531935176</v>
      </c>
      <c r="O61" s="1702">
        <f t="shared" si="21"/>
        <v>0.47996308817683037</v>
      </c>
      <c r="P61" s="266"/>
      <c r="Q61" s="266"/>
      <c r="R61" s="266"/>
      <c r="S61" s="266" t="str">
        <f t="shared" si="16"/>
        <v/>
      </c>
      <c r="T61" s="266" t="str">
        <f t="shared" si="17"/>
        <v/>
      </c>
      <c r="U61" s="266" t="str">
        <f t="shared" si="18"/>
        <v/>
      </c>
      <c r="V61" s="912">
        <f>C61-O61*TableA4!D61</f>
        <v>0.89802440091367575</v>
      </c>
      <c r="W61" s="26" t="str">
        <f>IFERROR($C61-S61*TableA4!$D61,"")</f>
        <v/>
      </c>
      <c r="X61" s="26" t="str">
        <f>IFERROR($C61-T61*TableA4!$D61,"")</f>
        <v/>
      </c>
      <c r="Y61" s="910" t="str">
        <f>IFERROR($C61-U61*TableA4!$D61,"")</f>
        <v/>
      </c>
      <c r="Z61" s="26" t="str">
        <f t="shared" si="22"/>
        <v/>
      </c>
      <c r="AA61" s="26" t="str">
        <f t="shared" si="23"/>
        <v/>
      </c>
      <c r="AB61" s="900" t="str">
        <f t="shared" si="24"/>
        <v/>
      </c>
      <c r="AC61" s="26"/>
      <c r="AD61" s="26"/>
      <c r="AE61" s="26"/>
      <c r="AF61" s="958"/>
      <c r="AG61" s="958"/>
      <c r="AH61" s="320">
        <f t="shared" si="14"/>
        <v>0</v>
      </c>
      <c r="AI61" s="320">
        <f t="shared" si="15"/>
        <v>0</v>
      </c>
      <c r="AJ61" s="958"/>
    </row>
    <row r="62" spans="1:36" ht="17" x14ac:dyDescent="0.2">
      <c r="A62" s="959" t="s">
        <v>81</v>
      </c>
      <c r="B62" s="1214">
        <f>TableA6!B62</f>
        <v>25.438024032487199</v>
      </c>
      <c r="C62" s="1159">
        <f>TableA6!E62</f>
        <v>24.545618103452078</v>
      </c>
      <c r="D62" s="1866">
        <v>0</v>
      </c>
      <c r="E62" s="1159">
        <f>TableA6!K62</f>
        <v>0.89240592903512039</v>
      </c>
      <c r="F62" s="311">
        <f t="shared" si="13"/>
        <v>0.96491842574346898</v>
      </c>
      <c r="G62" s="1216">
        <f>TableA2!L62</f>
        <v>0.57155258740431214</v>
      </c>
      <c r="H62" s="1184">
        <f>D62/TableA2!C62</f>
        <v>0</v>
      </c>
      <c r="I62" s="1184">
        <f>TableA6!D62/TableA2!C62</f>
        <v>7.6372538589736259</v>
      </c>
      <c r="J62" s="1184">
        <f>TableA6!I62/TableA2!$C62</f>
        <v>1.6319218643375801</v>
      </c>
      <c r="K62" s="1184">
        <f>TableA6!J62/TableA2!$C62</f>
        <v>1.3040578882868976</v>
      </c>
      <c r="L62" s="906">
        <f>(C62+E62)/TableA2!C62</f>
        <v>8.2088064463779382</v>
      </c>
      <c r="M62" s="1184">
        <f>C62/TableA4!D62</f>
        <v>19.802071483679597</v>
      </c>
      <c r="N62" s="1184">
        <f>VLOOKUP(A62,TableA10!$A$8:$G$95,4,)/VLOOKUP(A62,TableA10!$A$8:$G$95,3,)</f>
        <v>1.3093313739897134</v>
      </c>
      <c r="O62" s="1702">
        <f t="shared" si="21"/>
        <v>0.47996308817683037</v>
      </c>
      <c r="P62" s="266"/>
      <c r="Q62" s="266"/>
      <c r="R62" s="266"/>
      <c r="S62" s="266" t="str">
        <f t="shared" si="16"/>
        <v/>
      </c>
      <c r="T62" s="266" t="str">
        <f t="shared" si="17"/>
        <v/>
      </c>
      <c r="U62" s="266" t="str">
        <f t="shared" si="18"/>
        <v/>
      </c>
      <c r="V62" s="912">
        <f>C62-O62*TableA4!D62</f>
        <v>23.950680817428665</v>
      </c>
      <c r="W62" s="26" t="str">
        <f>IFERROR($C62-S62*TableA4!$D62,"")</f>
        <v/>
      </c>
      <c r="X62" s="26" t="str">
        <f>IFERROR($C62-T62*TableA4!$D62,"")</f>
        <v/>
      </c>
      <c r="Y62" s="910" t="str">
        <f>IFERROR($C62-U62*TableA4!$D62,"")</f>
        <v/>
      </c>
      <c r="Z62" s="26" t="str">
        <f t="shared" si="22"/>
        <v/>
      </c>
      <c r="AA62" s="26" t="str">
        <f t="shared" si="23"/>
        <v/>
      </c>
      <c r="AB62" s="900" t="str">
        <f t="shared" si="24"/>
        <v/>
      </c>
      <c r="AC62" s="26"/>
      <c r="AD62" s="26"/>
      <c r="AE62" s="26"/>
      <c r="AF62" s="958"/>
      <c r="AG62" s="958"/>
      <c r="AH62" s="320">
        <f t="shared" si="14"/>
        <v>0</v>
      </c>
      <c r="AI62" s="320">
        <f t="shared" si="15"/>
        <v>0</v>
      </c>
      <c r="AJ62" s="958"/>
    </row>
    <row r="63" spans="1:36" ht="17" x14ac:dyDescent="0.2">
      <c r="A63" s="959" t="s">
        <v>82</v>
      </c>
      <c r="B63" s="1214">
        <f>TableA6!B63</f>
        <v>0.17335876526209473</v>
      </c>
      <c r="C63" s="1159">
        <f>TableA6!E63</f>
        <v>0.1524905077468249</v>
      </c>
      <c r="D63" s="1866">
        <v>0</v>
      </c>
      <c r="E63" s="1159">
        <f>TableA6!K63</f>
        <v>2.0868257515269825E-2</v>
      </c>
      <c r="F63" s="311">
        <f t="shared" si="13"/>
        <v>0.87962386854959496</v>
      </c>
      <c r="G63" s="1216">
        <f>TableA2!L63</f>
        <v>2.3923168940243364</v>
      </c>
      <c r="H63" s="1184">
        <f>D63/TableA2!C63</f>
        <v>0</v>
      </c>
      <c r="I63" s="1184">
        <f>TableA6!D63/TableA2!C63</f>
        <v>0</v>
      </c>
      <c r="J63" s="1184">
        <f>TableA6!I63/TableA2!$C63</f>
        <v>0</v>
      </c>
      <c r="K63" s="1184">
        <f>TableA6!J63/TableA2!$C63</f>
        <v>2.2408844651324529</v>
      </c>
      <c r="L63" s="906">
        <f>(C63+E63)/TableA2!C63</f>
        <v>2.3923168940243364</v>
      </c>
      <c r="M63" s="1184">
        <f>C63/TableA4!D63</f>
        <v>5.2608476027955957</v>
      </c>
      <c r="N63" s="1184">
        <f>TableA10!D$63/TableA10!C$63</f>
        <v>14.031458531935176</v>
      </c>
      <c r="O63" s="1702">
        <f t="shared" si="21"/>
        <v>0.47996308817683037</v>
      </c>
      <c r="P63" s="266" t="str">
        <f>+'Table E1'!D63</f>
        <v/>
      </c>
      <c r="Q63" s="266" t="str">
        <f>+'Table E1'!I63</f>
        <v/>
      </c>
      <c r="R63" s="266" t="str">
        <f>+'Table E1'!N63</f>
        <v/>
      </c>
      <c r="S63" s="266" t="str">
        <f t="shared" si="16"/>
        <v/>
      </c>
      <c r="T63" s="266" t="str">
        <f t="shared" si="17"/>
        <v/>
      </c>
      <c r="U63" s="266" t="str">
        <f t="shared" si="18"/>
        <v/>
      </c>
      <c r="V63" s="912">
        <f>C63-O63*TableA4!D63</f>
        <v>0.13857833606997835</v>
      </c>
      <c r="W63" s="26" t="str">
        <f>IFERROR($C63-S63*TableA4!$D63,"")</f>
        <v/>
      </c>
      <c r="X63" s="26" t="str">
        <f>IFERROR($C63-T63*TableA4!$D63,"")</f>
        <v/>
      </c>
      <c r="Y63" s="910" t="str">
        <f>IFERROR($C63-U63*TableA4!$D63,"")</f>
        <v/>
      </c>
      <c r="Z63" s="26" t="str">
        <f t="shared" si="22"/>
        <v/>
      </c>
      <c r="AA63" s="26" t="str">
        <f t="shared" si="23"/>
        <v/>
      </c>
      <c r="AB63" s="900" t="str">
        <f t="shared" si="24"/>
        <v/>
      </c>
      <c r="AC63" s="26"/>
      <c r="AD63" s="26"/>
      <c r="AE63" s="26"/>
      <c r="AF63" s="958"/>
      <c r="AG63" s="958"/>
      <c r="AH63" s="320">
        <f t="shared" si="14"/>
        <v>0</v>
      </c>
      <c r="AI63" s="320">
        <f t="shared" si="15"/>
        <v>0</v>
      </c>
      <c r="AJ63" s="958"/>
    </row>
    <row r="64" spans="1:36" ht="17" x14ac:dyDescent="0.2">
      <c r="A64" s="959" t="s">
        <v>153</v>
      </c>
      <c r="B64" s="1214">
        <f>TableA6!B64</f>
        <v>29.125071697810739</v>
      </c>
      <c r="C64" s="1159">
        <f>TableA6!E64</f>
        <v>29.078139371166927</v>
      </c>
      <c r="D64" s="1866">
        <v>0</v>
      </c>
      <c r="E64" s="1159">
        <f>TableA6!K64</f>
        <v>4.6932326643812639E-2</v>
      </c>
      <c r="F64" s="311">
        <f t="shared" si="13"/>
        <v>0.99838859360997423</v>
      </c>
      <c r="G64" s="1216">
        <f>TableA2!L64</f>
        <v>2.3923257034784351</v>
      </c>
      <c r="H64" s="1184">
        <f>D64/TableA2!C64</f>
        <v>0</v>
      </c>
      <c r="I64" s="1184">
        <f>TableA6!D64/TableA2!C64</f>
        <v>176.31979477004302</v>
      </c>
      <c r="J64" s="1184">
        <f>TableA6!I64/TableA2!$C64</f>
        <v>0</v>
      </c>
      <c r="K64" s="1184">
        <f>TableA6!J64/TableA2!$C64</f>
        <v>203.02408818842605</v>
      </c>
      <c r="L64" s="906">
        <f>(C64+E64)/TableA2!C64</f>
        <v>178.71212047352145</v>
      </c>
      <c r="M64" s="1184">
        <f>C64/TableA4!D64</f>
        <v>446.06035655153835</v>
      </c>
      <c r="N64" s="1184">
        <f>TableA10!D$62/TableA10!C$62</f>
        <v>8.901215805471125</v>
      </c>
      <c r="O64" s="1702">
        <f t="shared" si="21"/>
        <v>0.47996308817683037</v>
      </c>
      <c r="P64" s="266" t="str">
        <f>+'Table E1'!D64</f>
        <v/>
      </c>
      <c r="Q64" s="266" t="str">
        <f>+'Table E1'!I64</f>
        <v/>
      </c>
      <c r="R64" s="266" t="str">
        <f>+'Table E1'!N64</f>
        <v/>
      </c>
      <c r="S64" s="266" t="str">
        <f t="shared" si="16"/>
        <v/>
      </c>
      <c r="T64" s="266" t="str">
        <f t="shared" si="17"/>
        <v/>
      </c>
      <c r="U64" s="266" t="str">
        <f t="shared" si="18"/>
        <v/>
      </c>
      <c r="V64" s="912">
        <f>C64-O64*TableA4!D64</f>
        <v>29.046851153404386</v>
      </c>
      <c r="W64" s="26" t="str">
        <f>IFERROR($C64-S64*TableA4!$D64,"")</f>
        <v/>
      </c>
      <c r="X64" s="26" t="str">
        <f>IFERROR($C64-T64*TableA4!$D64,"")</f>
        <v/>
      </c>
      <c r="Y64" s="910" t="str">
        <f>IFERROR($C64-U64*TableA4!$D64,"")</f>
        <v/>
      </c>
      <c r="Z64" s="26" t="str">
        <f t="shared" si="22"/>
        <v/>
      </c>
      <c r="AA64" s="26" t="str">
        <f t="shared" si="23"/>
        <v/>
      </c>
      <c r="AB64" s="900" t="str">
        <f t="shared" si="24"/>
        <v/>
      </c>
      <c r="AC64" s="26"/>
      <c r="AD64" s="26"/>
      <c r="AE64" s="26"/>
      <c r="AF64" s="958"/>
      <c r="AG64" s="958"/>
      <c r="AH64" s="320">
        <f t="shared" si="14"/>
        <v>0</v>
      </c>
      <c r="AI64" s="320">
        <f t="shared" si="15"/>
        <v>-2.2204460492503131E-16</v>
      </c>
      <c r="AJ64" s="958"/>
    </row>
    <row r="65" spans="1:35" ht="17" x14ac:dyDescent="0.2">
      <c r="A65" s="123" t="s">
        <v>84</v>
      </c>
      <c r="B65" s="1214">
        <f>TableA6!B65</f>
        <v>22.920824144129366</v>
      </c>
      <c r="C65" s="1159">
        <f>TableA6!E65</f>
        <v>22.512935193051696</v>
      </c>
      <c r="D65" s="1222">
        <v>0</v>
      </c>
      <c r="E65" s="1159">
        <f>TableA6!K65</f>
        <v>0.40788895107766843</v>
      </c>
      <c r="F65" s="311">
        <f t="shared" si="13"/>
        <v>0.98220443782855249</v>
      </c>
      <c r="G65" s="1216">
        <f>TableA2!L65</f>
        <v>0.75160134279400448</v>
      </c>
      <c r="H65" s="1184">
        <f>D65/TableA2!C65</f>
        <v>0</v>
      </c>
      <c r="I65" s="1184">
        <f>TableA6!D65/TableA2!C65</f>
        <v>15.430964295292515</v>
      </c>
      <c r="J65" s="1184">
        <f>TableA6!I65/TableA2!$C65</f>
        <v>2.876389513296298</v>
      </c>
      <c r="K65" s="1184">
        <f>TableA6!J65/TableA2!$C65</f>
        <v>1.6922088373792077</v>
      </c>
      <c r="L65" s="906">
        <f>(C65+E65)/TableA2!C65</f>
        <v>16.182565638086519</v>
      </c>
      <c r="M65" s="1184">
        <f>C65/TableA4!D65</f>
        <v>39.73646946295105</v>
      </c>
      <c r="N65" s="1184">
        <f>TableA10!D$62/TableA10!C$62</f>
        <v>8.901215805471125</v>
      </c>
      <c r="O65" s="1702">
        <f t="shared" si="21"/>
        <v>0.47996308817683037</v>
      </c>
      <c r="P65" s="266" t="str">
        <f>+'Table E1'!D65</f>
        <v/>
      </c>
      <c r="Q65" s="266" t="str">
        <f>+'Table E1'!I65</f>
        <v/>
      </c>
      <c r="R65" s="266" t="str">
        <f>+'Table E1'!N65</f>
        <v/>
      </c>
      <c r="S65" s="266" t="str">
        <f t="shared" si="16"/>
        <v/>
      </c>
      <c r="T65" s="266" t="str">
        <f t="shared" si="17"/>
        <v/>
      </c>
      <c r="U65" s="266" t="str">
        <f t="shared" si="18"/>
        <v/>
      </c>
      <c r="V65" s="912">
        <f>C65-O65*TableA4!D65</f>
        <v>22.241009225666584</v>
      </c>
      <c r="W65" s="26" t="str">
        <f>IFERROR($C65-S65*TableA4!$D65,"")</f>
        <v/>
      </c>
      <c r="X65" s="26" t="str">
        <f>IFERROR($C65-T65*TableA4!$D65,"")</f>
        <v/>
      </c>
      <c r="Y65" s="910" t="str">
        <f>IFERROR($C65-U65*TableA4!$D65,"")</f>
        <v/>
      </c>
      <c r="Z65" s="26" t="str">
        <f t="shared" si="22"/>
        <v/>
      </c>
      <c r="AA65" s="26" t="str">
        <f t="shared" si="23"/>
        <v/>
      </c>
      <c r="AB65" s="900" t="str">
        <f t="shared" si="24"/>
        <v/>
      </c>
      <c r="AC65" s="26"/>
      <c r="AD65" s="26"/>
      <c r="AE65" s="26"/>
      <c r="AF65" s="958"/>
      <c r="AG65" s="958"/>
      <c r="AH65" s="320">
        <f t="shared" si="14"/>
        <v>0</v>
      </c>
      <c r="AI65" s="320">
        <f t="shared" si="15"/>
        <v>1.3322676295501878E-15</v>
      </c>
    </row>
    <row r="66" spans="1:35" ht="17" x14ac:dyDescent="0.2">
      <c r="A66" s="959" t="s">
        <v>85</v>
      </c>
      <c r="B66" s="1214">
        <f>TableA6!B66</f>
        <v>11.68734919710977</v>
      </c>
      <c r="C66" s="1159">
        <f>TableA6!E66</f>
        <v>11.296185999728888</v>
      </c>
      <c r="D66" s="1866">
        <v>0</v>
      </c>
      <c r="E66" s="1159">
        <f>TableA6!K66</f>
        <v>0.39116319738088223</v>
      </c>
      <c r="F66" s="311">
        <f t="shared" si="13"/>
        <v>0.96653105928608563</v>
      </c>
      <c r="G66" s="1216">
        <f>TableA2!L66</f>
        <v>0.33575980655064125</v>
      </c>
      <c r="H66" s="1184">
        <f>D66/TableA2!C66</f>
        <v>0</v>
      </c>
      <c r="I66" s="1184">
        <f>TableA6!D66/TableA2!C66</f>
        <v>8.2685714559076864</v>
      </c>
      <c r="J66" s="1184">
        <f>TableA6!I66/TableA2!$C66</f>
        <v>1.3268676411786671</v>
      </c>
      <c r="K66" s="1184">
        <f>TableA6!J66/TableA2!$C66</f>
        <v>8.6936233491982904</v>
      </c>
      <c r="L66" s="906">
        <f>(C66+E66)/TableA2!C66</f>
        <v>8.6043312624583272</v>
      </c>
      <c r="M66" s="1184">
        <f>C66/TableA4!D66</f>
        <v>20.79088352388057</v>
      </c>
      <c r="N66" s="1184">
        <f>TableA10!D$63/TableA10!C$63</f>
        <v>14.031458531935176</v>
      </c>
      <c r="O66" s="1702">
        <f t="shared" si="21"/>
        <v>0.47996308817683037</v>
      </c>
      <c r="P66" s="266" t="str">
        <f>+'Table E1'!D66</f>
        <v/>
      </c>
      <c r="Q66" s="266" t="str">
        <f>+'Table E1'!I66</f>
        <v/>
      </c>
      <c r="R66" s="266" t="str">
        <f>+'Table E1'!N66</f>
        <v/>
      </c>
      <c r="S66" s="266" t="str">
        <f t="shared" si="16"/>
        <v/>
      </c>
      <c r="T66" s="266" t="str">
        <f t="shared" si="17"/>
        <v/>
      </c>
      <c r="U66" s="266" t="str">
        <f t="shared" si="18"/>
        <v/>
      </c>
      <c r="V66" s="912">
        <f>C66-O66*TableA4!D66</f>
        <v>11.0354105348083</v>
      </c>
      <c r="W66" s="26" t="str">
        <f>IFERROR($C66-S66*TableA4!$D66,"")</f>
        <v/>
      </c>
      <c r="X66" s="26" t="str">
        <f>IFERROR($C66-T66*TableA4!$D66,"")</f>
        <v/>
      </c>
      <c r="Y66" s="910" t="str">
        <f>IFERROR($C66-U66*TableA4!$D66,"")</f>
        <v/>
      </c>
      <c r="Z66" s="26" t="str">
        <f t="shared" si="22"/>
        <v/>
      </c>
      <c r="AA66" s="26" t="str">
        <f t="shared" si="23"/>
        <v/>
      </c>
      <c r="AB66" s="900" t="str">
        <f t="shared" si="24"/>
        <v/>
      </c>
      <c r="AC66" s="26"/>
      <c r="AD66" s="26"/>
      <c r="AE66" s="26"/>
      <c r="AF66" s="958"/>
      <c r="AG66" s="958"/>
      <c r="AH66" s="320">
        <f t="shared" si="14"/>
        <v>0</v>
      </c>
      <c r="AI66" s="320">
        <f t="shared" si="15"/>
        <v>0</v>
      </c>
    </row>
    <row r="67" spans="1:35" x14ac:dyDescent="0.2">
      <c r="A67" s="959" t="str">
        <f>+TableA1!A67</f>
        <v>Cyprus</v>
      </c>
      <c r="B67" s="1214">
        <f>TableA6!B67</f>
        <v>6.8820083274691735</v>
      </c>
      <c r="C67" s="1159">
        <f>TableA6!E67</f>
        <v>5.2850761004134004</v>
      </c>
      <c r="D67" s="1866">
        <v>0</v>
      </c>
      <c r="E67" s="1159">
        <f>TableA6!K67</f>
        <v>1.5969322270557735</v>
      </c>
      <c r="F67" s="311">
        <f t="shared" si="13"/>
        <v>0.76795549335770164</v>
      </c>
      <c r="G67" s="1216">
        <f>TableA2!L67</f>
        <v>0.56340199771699795</v>
      </c>
      <c r="H67" s="1184">
        <f>D67/TableA2!C67</f>
        <v>0</v>
      </c>
      <c r="I67" s="1184">
        <f>TableA6!D67/TableA2!C67</f>
        <v>0.67764377006763776</v>
      </c>
      <c r="J67" s="1184">
        <f>TableA6!I67/TableA2!$C67</f>
        <v>1.0088176835559211E-2</v>
      </c>
      <c r="K67" s="1184">
        <f>TableA6!J67/TableA2!$C67</f>
        <v>0.28675503536078822</v>
      </c>
      <c r="L67" s="906">
        <f>(C67+E67)/TableA2!C67</f>
        <v>1.2410457677846358</v>
      </c>
      <c r="M67" s="1184">
        <f>C67/TableA4!D67</f>
        <v>2.3826697871963436</v>
      </c>
      <c r="N67" s="1184">
        <f>TableA10!D$63/TableA10!C$63</f>
        <v>14.031458531935176</v>
      </c>
      <c r="O67" s="1702">
        <f t="shared" si="21"/>
        <v>0.47996308817683037</v>
      </c>
      <c r="P67" s="266">
        <f>+'Table E1'!D67</f>
        <v>0.14801994603568444</v>
      </c>
      <c r="Q67" s="266">
        <f>+'Table E1'!I67</f>
        <v>0.22964710193716911</v>
      </c>
      <c r="R67" s="266">
        <f>+'Table E1'!N67</f>
        <v>0.14194509090763011</v>
      </c>
      <c r="S67" s="266">
        <f t="shared" si="16"/>
        <v>0.35287049870971771</v>
      </c>
      <c r="T67" s="266">
        <f t="shared" si="17"/>
        <v>0.47996308817683037</v>
      </c>
      <c r="U67" s="266">
        <f t="shared" si="18"/>
        <v>0.54839755942835255</v>
      </c>
      <c r="V67" s="912">
        <f>C67-O67*TableA4!D67</f>
        <v>4.220454615709551</v>
      </c>
      <c r="W67" s="26">
        <f>IFERROR($C67-S67*TableA4!$D67,"")</f>
        <v>4.5023627553694165</v>
      </c>
      <c r="X67" s="26">
        <f>IFERROR($C67-T67*TableA4!$D67,"")</f>
        <v>4.220454615709551</v>
      </c>
      <c r="Y67" s="910">
        <f>IFERROR($C67-U67*TableA4!$D67,"")</f>
        <v>4.0686579251234694</v>
      </c>
      <c r="Z67" s="26">
        <f t="shared" si="22"/>
        <v>0.2819081396598655</v>
      </c>
      <c r="AA67" s="26">
        <f t="shared" si="23"/>
        <v>0</v>
      </c>
      <c r="AB67" s="900">
        <f t="shared" si="24"/>
        <v>-0.1517966905860817</v>
      </c>
      <c r="AC67" s="26"/>
      <c r="AD67" s="26"/>
      <c r="AE67" s="26"/>
      <c r="AF67" s="958"/>
      <c r="AG67" s="958"/>
      <c r="AH67" s="320">
        <f t="shared" si="14"/>
        <v>1.1102230246251565E-16</v>
      </c>
      <c r="AI67" s="320">
        <f t="shared" si="15"/>
        <v>0</v>
      </c>
    </row>
    <row r="68" spans="1:35" ht="17" x14ac:dyDescent="0.2">
      <c r="A68" s="959" t="s">
        <v>87</v>
      </c>
      <c r="B68" s="1214">
        <f>TableA6!B68</f>
        <v>5.5192543961170966</v>
      </c>
      <c r="C68" s="1159">
        <f>TableA6!E68</f>
        <v>5.1556449197022696</v>
      </c>
      <c r="D68" s="1866">
        <v>0</v>
      </c>
      <c r="E68" s="1159">
        <f>TableA6!K68</f>
        <v>0.36360947641482677</v>
      </c>
      <c r="F68" s="311">
        <f t="shared" si="13"/>
        <v>0.93411981939614286</v>
      </c>
      <c r="G68" s="1216">
        <f>TableA2!L68</f>
        <v>2.3923102518718911</v>
      </c>
      <c r="H68" s="1184">
        <f>D68/TableA2!C68</f>
        <v>0</v>
      </c>
      <c r="I68" s="1184">
        <f>TableA6!D68/TableA2!C68</f>
        <v>1.978926290992683</v>
      </c>
      <c r="J68" s="1184">
        <f>TableA6!I68/TableA2!$C68</f>
        <v>0</v>
      </c>
      <c r="K68" s="1184">
        <f>TableA6!J68/TableA2!$C68</f>
        <v>2.3866849643048886</v>
      </c>
      <c r="L68" s="906">
        <f>(C68+E68)/TableA2!C68</f>
        <v>4.3712365428645743</v>
      </c>
      <c r="M68" s="1184">
        <f>C68/TableA4!D68</f>
        <v>10.208146724896189</v>
      </c>
      <c r="N68" s="1184">
        <f>TableA10!D$37/TableA10!C$37</f>
        <v>1.5591216216216208</v>
      </c>
      <c r="O68" s="1702">
        <f t="shared" si="21"/>
        <v>0.47996308817683037</v>
      </c>
      <c r="P68" s="266" t="str">
        <f>+'Table E1'!D68</f>
        <v/>
      </c>
      <c r="Q68" s="266" t="str">
        <f>+'Table E1'!I68</f>
        <v/>
      </c>
      <c r="R68" s="266" t="str">
        <f>+'Table E1'!N68</f>
        <v/>
      </c>
      <c r="S68" s="266" t="str">
        <f t="shared" si="16"/>
        <v/>
      </c>
      <c r="T68" s="266" t="str">
        <f t="shared" si="17"/>
        <v/>
      </c>
      <c r="U68" s="266" t="str">
        <f t="shared" si="18"/>
        <v/>
      </c>
      <c r="V68" s="912">
        <f>C68-O68*TableA4!D68</f>
        <v>4.9132386020923846</v>
      </c>
      <c r="W68" s="26" t="str">
        <f>IFERROR($C68-S68*TableA4!$D68,"")</f>
        <v/>
      </c>
      <c r="X68" s="26" t="str">
        <f>IFERROR($C68-T68*TableA4!$D68,"")</f>
        <v/>
      </c>
      <c r="Y68" s="910" t="str">
        <f>IFERROR($C68-U68*TableA4!$D68,"")</f>
        <v/>
      </c>
      <c r="Z68" s="26" t="str">
        <f t="shared" si="22"/>
        <v/>
      </c>
      <c r="AA68" s="26" t="str">
        <f t="shared" si="23"/>
        <v/>
      </c>
      <c r="AB68" s="900" t="str">
        <f t="shared" si="24"/>
        <v/>
      </c>
      <c r="AC68" s="26"/>
      <c r="AD68" s="26"/>
      <c r="AE68" s="26"/>
      <c r="AF68" s="958"/>
      <c r="AG68" s="958"/>
      <c r="AH68" s="320">
        <f t="shared" si="14"/>
        <v>2.2204460492503131E-16</v>
      </c>
      <c r="AI68" s="320">
        <f t="shared" si="15"/>
        <v>0</v>
      </c>
    </row>
    <row r="69" spans="1:35" ht="17" x14ac:dyDescent="0.2">
      <c r="A69" s="959" t="str">
        <f>+TableA1!A69</f>
        <v>Grenada</v>
      </c>
      <c r="B69" s="1214">
        <f>TableA6!B69</f>
        <v>0.4015897418869116</v>
      </c>
      <c r="C69" s="1159">
        <f>TableA6!E69</f>
        <v>0.38030614888924363</v>
      </c>
      <c r="D69" s="1866">
        <v>0</v>
      </c>
      <c r="E69" s="1159">
        <f>TableA6!K69</f>
        <v>2.1283592997667938E-2</v>
      </c>
      <c r="F69" s="311">
        <f t="shared" si="13"/>
        <v>0.94700165174124029</v>
      </c>
      <c r="G69" s="1216">
        <f>TableA2!L69</f>
        <v>5.1857999974895419</v>
      </c>
      <c r="H69" s="1184">
        <f>D69/TableA2!C69</f>
        <v>0</v>
      </c>
      <c r="I69" s="1184">
        <f>TableA6!D69/TableA2!C69</f>
        <v>0.2479137382682656</v>
      </c>
      <c r="J69" s="1184">
        <f>TableA6!I69/TableA2!$C69</f>
        <v>0</v>
      </c>
      <c r="K69" s="1184">
        <f>TableA6!J69/TableA2!$C69</f>
        <v>4.929247734116557</v>
      </c>
      <c r="L69" s="906">
        <f>(C69+E69)/TableA2!C69</f>
        <v>5.4337137357578067</v>
      </c>
      <c r="M69" s="1184">
        <f>C69/TableA4!D69</f>
        <v>12.864339707129272</v>
      </c>
      <c r="N69" s="1184">
        <f>TableA10!D$37/TableA10!C$37</f>
        <v>1.5591216216216208</v>
      </c>
      <c r="O69" s="1702">
        <f t="shared" si="21"/>
        <v>0.47996308817683037</v>
      </c>
      <c r="P69" s="266" t="str">
        <f>+'Table E1'!D69</f>
        <v/>
      </c>
      <c r="Q69" s="266" t="str">
        <f>+'Table E1'!I69</f>
        <v/>
      </c>
      <c r="R69" s="266" t="str">
        <f>+'Table E1'!N69</f>
        <v/>
      </c>
      <c r="S69" s="266" t="str">
        <f t="shared" si="16"/>
        <v/>
      </c>
      <c r="T69" s="266" t="str">
        <f t="shared" si="17"/>
        <v/>
      </c>
      <c r="U69" s="266" t="str">
        <f t="shared" si="18"/>
        <v/>
      </c>
      <c r="V69" s="912">
        <f>C69-O69*TableA4!D69</f>
        <v>0.36611708689079836</v>
      </c>
      <c r="W69" s="26" t="str">
        <f>IFERROR($C69-S69*TableA4!$D69,"")</f>
        <v/>
      </c>
      <c r="X69" s="26" t="str">
        <f>IFERROR($C69-T69*TableA4!$D69,"")</f>
        <v/>
      </c>
      <c r="Y69" s="910" t="str">
        <f>IFERROR($C69-U69*TableA4!$D69,"")</f>
        <v/>
      </c>
      <c r="Z69" s="26" t="str">
        <f t="shared" si="22"/>
        <v/>
      </c>
      <c r="AA69" s="26" t="str">
        <f t="shared" si="23"/>
        <v/>
      </c>
      <c r="AB69" s="900" t="str">
        <f t="shared" si="24"/>
        <v/>
      </c>
      <c r="AC69" s="26"/>
      <c r="AD69" s="26"/>
      <c r="AE69" s="26"/>
      <c r="AF69" s="958"/>
      <c r="AG69" s="958"/>
      <c r="AH69" s="320">
        <f t="shared" si="14"/>
        <v>-8.0491169285323849E-16</v>
      </c>
      <c r="AI69" s="320">
        <f t="shared" si="15"/>
        <v>2.7755575615628914E-17</v>
      </c>
    </row>
    <row r="70" spans="1:35" ht="17" x14ac:dyDescent="0.2">
      <c r="A70" s="959" t="s">
        <v>89</v>
      </c>
      <c r="B70" s="1214">
        <f>TableA6!B70</f>
        <v>2.0311467085553057</v>
      </c>
      <c r="C70" s="1159">
        <f>TableA6!E70</f>
        <v>1.7866451600802939</v>
      </c>
      <c r="D70" s="1866">
        <v>0</v>
      </c>
      <c r="E70" s="1159">
        <f>TableA6!K70</f>
        <v>0.24450154847501168</v>
      </c>
      <c r="F70" s="311">
        <f t="shared" si="13"/>
        <v>0.87962388563802052</v>
      </c>
      <c r="G70" s="1216">
        <f>TableA2!L70</f>
        <v>2.3923172336343113</v>
      </c>
      <c r="H70" s="1184">
        <f>D70/TableA2!C70</f>
        <v>0</v>
      </c>
      <c r="I70" s="1184">
        <f>TableA6!D70/TableA2!C70</f>
        <v>0</v>
      </c>
      <c r="J70" s="1184">
        <f>TableA6!I70/TableA2!$C70</f>
        <v>0</v>
      </c>
      <c r="K70" s="1184">
        <f>TableA6!J70/TableA2!$C70</f>
        <v>4.416005410082767</v>
      </c>
      <c r="L70" s="906">
        <f>(C70+E70)/TableA2!C70</f>
        <v>2.3923172336343113</v>
      </c>
      <c r="M70" s="1184">
        <f>C70/TableA4!D70</f>
        <v>5.2608484518205323</v>
      </c>
      <c r="N70" s="1184">
        <f>TableA10!D$37/TableA10!C$37</f>
        <v>1.5591216216216208</v>
      </c>
      <c r="O70" s="1702">
        <f t="shared" si="21"/>
        <v>0.47996308817683037</v>
      </c>
      <c r="P70" s="266" t="str">
        <f>+'Table E1'!D70</f>
        <v/>
      </c>
      <c r="Q70" s="266" t="str">
        <f>+'Table E1'!I70</f>
        <v/>
      </c>
      <c r="R70" s="266" t="str">
        <f>+'Table E1'!N70</f>
        <v/>
      </c>
      <c r="S70" s="266" t="str">
        <f t="shared" si="16"/>
        <v/>
      </c>
      <c r="T70" s="266" t="str">
        <f t="shared" si="17"/>
        <v/>
      </c>
      <c r="U70" s="266" t="str">
        <f t="shared" si="18"/>
        <v/>
      </c>
      <c r="V70" s="912">
        <f>C70-O70*TableA4!D70</f>
        <v>1.6236441277636195</v>
      </c>
      <c r="W70" s="26" t="str">
        <f>IFERROR($C70-S70*TableA4!$D70,"")</f>
        <v/>
      </c>
      <c r="X70" s="26" t="str">
        <f>IFERROR($C70-T70*TableA4!$D70,"")</f>
        <v/>
      </c>
      <c r="Y70" s="910" t="str">
        <f>IFERROR($C70-U70*TableA4!$D70,"")</f>
        <v/>
      </c>
      <c r="Z70" s="26" t="str">
        <f t="shared" si="22"/>
        <v/>
      </c>
      <c r="AA70" s="26" t="str">
        <f t="shared" si="23"/>
        <v/>
      </c>
      <c r="AB70" s="900" t="str">
        <f t="shared" si="24"/>
        <v/>
      </c>
      <c r="AC70" s="26"/>
      <c r="AD70" s="26"/>
      <c r="AE70" s="26"/>
      <c r="AF70" s="958"/>
      <c r="AG70" s="958"/>
      <c r="AH70" s="320">
        <f t="shared" si="14"/>
        <v>0</v>
      </c>
      <c r="AI70" s="320">
        <f t="shared" si="15"/>
        <v>0</v>
      </c>
    </row>
    <row r="71" spans="1:35" ht="17" x14ac:dyDescent="0.2">
      <c r="A71" s="959" t="s">
        <v>90</v>
      </c>
      <c r="B71" s="1214">
        <f>TableA6!B71</f>
        <v>1.0873325907085956</v>
      </c>
      <c r="C71" s="1159">
        <f>TableA6!E71</f>
        <v>0.95644320082853906</v>
      </c>
      <c r="D71" s="1866">
        <v>0</v>
      </c>
      <c r="E71" s="1159">
        <f>TableA6!K71</f>
        <v>0.13088938988005652</v>
      </c>
      <c r="F71" s="311">
        <f t="shared" si="13"/>
        <v>0.87962340961861707</v>
      </c>
      <c r="G71" s="1216">
        <f>TableA2!L71</f>
        <v>2.3923077734110332</v>
      </c>
      <c r="H71" s="1184">
        <f>D71/TableA2!C71</f>
        <v>0</v>
      </c>
      <c r="I71" s="1184">
        <f>TableA6!D71/TableA2!C71</f>
        <v>0</v>
      </c>
      <c r="J71" s="1184">
        <f>TableA6!I71/TableA2!$C71</f>
        <v>4.2739569276131757</v>
      </c>
      <c r="K71" s="1184">
        <f>TableA6!J71/TableA2!$C71</f>
        <v>4.2739569276131757</v>
      </c>
      <c r="L71" s="906">
        <f>(C71+E71)/TableA2!C71</f>
        <v>2.3923077734110332</v>
      </c>
      <c r="M71" s="1184">
        <f>C71/TableA4!D71</f>
        <v>5.2608248012623369</v>
      </c>
      <c r="N71" s="1184">
        <f>TableA10!D$37/TableA10!C$37</f>
        <v>1.5591216216216208</v>
      </c>
      <c r="O71" s="1702">
        <f t="shared" si="21"/>
        <v>0.47996308817683037</v>
      </c>
      <c r="P71" s="266" t="str">
        <f>+'Table E1'!D71</f>
        <v/>
      </c>
      <c r="Q71" s="266" t="str">
        <f>+'Table E1'!I71</f>
        <v/>
      </c>
      <c r="R71" s="266" t="str">
        <f>+'Table E1'!N71</f>
        <v/>
      </c>
      <c r="S71" s="266" t="str">
        <f t="shared" si="16"/>
        <v/>
      </c>
      <c r="T71" s="266" t="str">
        <f t="shared" si="17"/>
        <v/>
      </c>
      <c r="U71" s="266" t="str">
        <f t="shared" si="18"/>
        <v/>
      </c>
      <c r="V71" s="912">
        <f>C71-O71*TableA4!D71</f>
        <v>0.86918360757516799</v>
      </c>
      <c r="W71" s="26" t="str">
        <f>IFERROR($C71-S71*TableA4!$D71,"")</f>
        <v/>
      </c>
      <c r="X71" s="26" t="str">
        <f>IFERROR($C71-T71*TableA4!$D71,"")</f>
        <v/>
      </c>
      <c r="Y71" s="910" t="str">
        <f>IFERROR($C71-U71*TableA4!$D71,"")</f>
        <v/>
      </c>
      <c r="Z71" s="26" t="str">
        <f t="shared" si="22"/>
        <v/>
      </c>
      <c r="AA71" s="26" t="str">
        <f t="shared" si="23"/>
        <v/>
      </c>
      <c r="AB71" s="900" t="str">
        <f t="shared" si="24"/>
        <v/>
      </c>
      <c r="AC71" s="26"/>
      <c r="AD71" s="26"/>
      <c r="AE71" s="26"/>
      <c r="AF71" s="958"/>
      <c r="AG71" s="958"/>
      <c r="AH71" s="320">
        <f t="shared" si="14"/>
        <v>0</v>
      </c>
      <c r="AI71" s="320">
        <f t="shared" si="15"/>
        <v>0</v>
      </c>
    </row>
    <row r="72" spans="1:35" x14ac:dyDescent="0.2">
      <c r="A72" s="959" t="s">
        <v>91</v>
      </c>
      <c r="B72" s="1214">
        <f>TableA6!B72</f>
        <v>95.223967679643692</v>
      </c>
      <c r="C72" s="1159">
        <f>TableA6!E72</f>
        <v>50.356172185286226</v>
      </c>
      <c r="D72" s="1202">
        <v>0</v>
      </c>
      <c r="E72" s="1159">
        <f>TableA6!K72</f>
        <v>44.867795494357466</v>
      </c>
      <c r="F72" s="311">
        <f t="shared" si="13"/>
        <v>0.52881825250861725</v>
      </c>
      <c r="G72" s="1216">
        <f>TableA2!L72</f>
        <v>0.63150559253260896</v>
      </c>
      <c r="H72" s="1184">
        <f>D72/TableA2!C72</f>
        <v>0</v>
      </c>
      <c r="I72" s="1184">
        <f>TableA6!D72/TableA2!C72</f>
        <v>0.18189477545245697</v>
      </c>
      <c r="J72" s="1184">
        <f>TableA6!I72/TableA2!$C72</f>
        <v>0</v>
      </c>
      <c r="K72" s="1184">
        <f>TableA6!J72/TableA2!$C72</f>
        <v>0.26079690122761051</v>
      </c>
      <c r="L72" s="906">
        <f>(C72+E72)/TableA2!C72</f>
        <v>0.81340036798506599</v>
      </c>
      <c r="M72" s="1184">
        <f>C72/TableA4!D72</f>
        <v>2.1348906384735855</v>
      </c>
      <c r="N72" s="1184">
        <f>VLOOKUP(A72,TableA10!$A$8:$G$95,4,)/VLOOKUP(A72,TableA10!$A$8:$G$95,3,)</f>
        <v>0.84049435164622965</v>
      </c>
      <c r="O72" s="1702">
        <f t="shared" si="21"/>
        <v>0.47996308817683037</v>
      </c>
      <c r="P72" s="266">
        <f>+'Table E1'!D72</f>
        <v>0.14403407545691116</v>
      </c>
      <c r="Q72" s="266">
        <f>+'Table E1'!I72</f>
        <v>0.11734003212757226</v>
      </c>
      <c r="R72" s="266">
        <f>+'Table E1'!N72</f>
        <v>0.14524032817272817</v>
      </c>
      <c r="S72" s="266">
        <f t="shared" si="16"/>
        <v>0.51947723813589097</v>
      </c>
      <c r="T72" s="266">
        <f t="shared" si="17"/>
        <v>0.47996308817683037</v>
      </c>
      <c r="U72" s="266">
        <f t="shared" si="18"/>
        <v>0.45868623819887461</v>
      </c>
      <c r="V72" s="912">
        <f>C72-O72*TableA4!D72</f>
        <v>39.035168909870336</v>
      </c>
      <c r="W72" s="26">
        <f>IFERROR($C72-S72*TableA4!$D72,"")</f>
        <v>38.103139276485301</v>
      </c>
      <c r="X72" s="26">
        <f>IFERROR($C72-T72*TableA4!$D72,"")</f>
        <v>39.035168909870336</v>
      </c>
      <c r="Y72" s="910">
        <f>IFERROR($C72-U72*TableA4!$D72,"")</f>
        <v>39.537031020154586</v>
      </c>
      <c r="Z72" s="26">
        <f t="shared" si="22"/>
        <v>-0.93202963338503508</v>
      </c>
      <c r="AA72" s="26">
        <f t="shared" si="23"/>
        <v>0</v>
      </c>
      <c r="AB72" s="900">
        <f t="shared" si="24"/>
        <v>0.50186211028425021</v>
      </c>
      <c r="AC72" s="26"/>
      <c r="AD72" s="26"/>
      <c r="AE72" s="26"/>
      <c r="AF72" s="958"/>
      <c r="AG72" s="958"/>
      <c r="AH72" s="320">
        <f t="shared" si="14"/>
        <v>5.5511151231257827E-17</v>
      </c>
      <c r="AI72" s="320">
        <f t="shared" si="15"/>
        <v>0</v>
      </c>
    </row>
    <row r="73" spans="1:35" ht="17" x14ac:dyDescent="0.2">
      <c r="A73" s="959" t="s">
        <v>92</v>
      </c>
      <c r="B73" s="1214">
        <f>TableA6!B73</f>
        <v>3.6449297805671903</v>
      </c>
      <c r="C73" s="1159">
        <f>TableA6!E73</f>
        <v>3.2907256608282767</v>
      </c>
      <c r="D73" s="1866">
        <v>0</v>
      </c>
      <c r="E73" s="1159">
        <f>TableA6!K73</f>
        <v>0.35420411973891358</v>
      </c>
      <c r="F73" s="311">
        <f t="shared" ref="F73:F91" si="25">C73/(B73-D73)</f>
        <v>0.90282278642860558</v>
      </c>
      <c r="G73" s="1216">
        <f>TableA2!L73</f>
        <v>2.3923324900643919</v>
      </c>
      <c r="H73" s="1184">
        <f>D73/TableA2!C73</f>
        <v>0</v>
      </c>
      <c r="I73" s="1184">
        <f>TableA6!D73/TableA2!C73</f>
        <v>0.57109733388837935</v>
      </c>
      <c r="J73" s="1184">
        <f>TableA6!I73/TableA2!$C73</f>
        <v>0</v>
      </c>
      <c r="K73" s="1184">
        <f>TableA6!J73/TableA2!$C73</f>
        <v>2.2040664276187067</v>
      </c>
      <c r="L73" s="906">
        <f>(C73+E73)/TableA2!C73</f>
        <v>2.9634298239527714</v>
      </c>
      <c r="M73" s="1184">
        <f>C73/TableA4!D73</f>
        <v>6.6886299276166827</v>
      </c>
      <c r="N73" s="1184">
        <f>TableA10!D$37/TableA10!C$37</f>
        <v>1.5591216216216208</v>
      </c>
      <c r="O73" s="1702">
        <f t="shared" si="21"/>
        <v>0.47996308817683037</v>
      </c>
      <c r="P73" s="266" t="str">
        <f>+'Table E1'!D73</f>
        <v/>
      </c>
      <c r="Q73" s="266" t="str">
        <f>+'Table E1'!I73</f>
        <v/>
      </c>
      <c r="R73" s="266" t="str">
        <f>+'Table E1'!N73</f>
        <v/>
      </c>
      <c r="S73" s="266" t="str">
        <f t="shared" si="16"/>
        <v/>
      </c>
      <c r="T73" s="266" t="str">
        <f t="shared" si="17"/>
        <v/>
      </c>
      <c r="U73" s="266" t="str">
        <f t="shared" si="18"/>
        <v/>
      </c>
      <c r="V73" s="912">
        <f>C73-O73*TableA4!D73</f>
        <v>3.0545895810023342</v>
      </c>
      <c r="W73" s="26" t="str">
        <f>IFERROR($C73-S73*TableA4!$D73,"")</f>
        <v/>
      </c>
      <c r="X73" s="26" t="str">
        <f>IFERROR($C73-T73*TableA4!$D73,"")</f>
        <v/>
      </c>
      <c r="Y73" s="910" t="str">
        <f>IFERROR($C73-U73*TableA4!$D73,"")</f>
        <v/>
      </c>
      <c r="Z73" s="26" t="str">
        <f t="shared" si="22"/>
        <v/>
      </c>
      <c r="AA73" s="26" t="str">
        <f t="shared" si="23"/>
        <v/>
      </c>
      <c r="AB73" s="900" t="str">
        <f t="shared" si="24"/>
        <v/>
      </c>
      <c r="AC73" s="26"/>
      <c r="AD73" s="26"/>
      <c r="AE73" s="26"/>
      <c r="AF73" s="958"/>
      <c r="AG73" s="958"/>
      <c r="AH73" s="320">
        <f t="shared" ref="AH73:AH91" si="26">L73-G73-I73+H73</f>
        <v>2.2204460492503131E-16</v>
      </c>
      <c r="AI73" s="320">
        <f t="shared" ref="AI73:AI91" si="27">B73-C73-D73-E73</f>
        <v>0</v>
      </c>
    </row>
    <row r="74" spans="1:35" ht="17" x14ac:dyDescent="0.2">
      <c r="A74" s="959" t="s">
        <v>93</v>
      </c>
      <c r="B74" s="1214">
        <f>TableA6!B74</f>
        <v>15.231019080376919</v>
      </c>
      <c r="C74" s="1159">
        <f>TableA6!E74</f>
        <v>10.848362353703763</v>
      </c>
      <c r="D74" s="1866">
        <v>0</v>
      </c>
      <c r="E74" s="1159">
        <f>TableA6!K74</f>
        <v>4.3826567266731562</v>
      </c>
      <c r="F74" s="311">
        <f t="shared" si="25"/>
        <v>0.71225453112854353</v>
      </c>
      <c r="G74" s="1216">
        <f>TableA2!L74</f>
        <v>0.9963546335773581</v>
      </c>
      <c r="H74" s="1184">
        <f>D74/TableA2!C74</f>
        <v>0</v>
      </c>
      <c r="I74" s="1184">
        <f>TableA6!D74/TableA2!C74</f>
        <v>4.4529691819596828E-3</v>
      </c>
      <c r="J74" s="1184">
        <f>TableA6!I74/TableA2!$C74</f>
        <v>0</v>
      </c>
      <c r="K74" s="1184">
        <f>TableA6!J74/TableA2!$C74</f>
        <v>0.71639470578797615</v>
      </c>
      <c r="L74" s="906">
        <f>(C74+E74)/TableA2!C74</f>
        <v>1.0008076027593178</v>
      </c>
      <c r="M74" s="1184">
        <f>C74/TableA4!D74</f>
        <v>1.7820743746330485</v>
      </c>
      <c r="N74" s="1184">
        <f>TableA10!$D75/TableA10!$C75</f>
        <v>2.6792645556690502</v>
      </c>
      <c r="O74" s="1702">
        <f t="shared" si="21"/>
        <v>0.47996308817683037</v>
      </c>
      <c r="P74" s="266" t="str">
        <f>+'Table E1'!D74</f>
        <v/>
      </c>
      <c r="Q74" s="266" t="str">
        <f>+'Table E1'!I74</f>
        <v/>
      </c>
      <c r="R74" s="266" t="str">
        <f>+'Table E1'!N74</f>
        <v/>
      </c>
      <c r="S74" s="266" t="str">
        <f t="shared" ref="S74:S91" si="28">IFERROR(($Q74/$R74-1)*(1-1/0.7)*$O74+$O74,"")</f>
        <v/>
      </c>
      <c r="T74" s="266" t="str">
        <f t="shared" ref="T74:T91" si="29">IFERROR(($Q74/$R74-1)*(1-1/1)*$O74+$O74,"")</f>
        <v/>
      </c>
      <c r="U74" s="266" t="str">
        <f t="shared" ref="U74:U91" si="30">IFERROR(($Q74/$R74-1)*(1-1/1.3)*$O74+$O74,"")</f>
        <v/>
      </c>
      <c r="V74" s="912">
        <f>C74-O74*TableA4!D74</f>
        <v>7.9265912025883249</v>
      </c>
      <c r="W74" s="26" t="str">
        <f>IFERROR($C74-S74*TableA4!$D74,"")</f>
        <v/>
      </c>
      <c r="X74" s="26" t="str">
        <f>IFERROR($C74-T74*TableA4!$D74,"")</f>
        <v/>
      </c>
      <c r="Y74" s="910" t="str">
        <f>IFERROR($C74-U74*TableA4!$D74,"")</f>
        <v/>
      </c>
      <c r="Z74" s="26" t="str">
        <f t="shared" si="22"/>
        <v/>
      </c>
      <c r="AA74" s="26" t="str">
        <f t="shared" si="23"/>
        <v/>
      </c>
      <c r="AB74" s="900" t="str">
        <f t="shared" si="24"/>
        <v/>
      </c>
      <c r="AC74" s="26"/>
      <c r="AD74" s="26"/>
      <c r="AE74" s="26"/>
      <c r="AF74" s="958"/>
      <c r="AG74" s="958"/>
      <c r="AH74" s="320">
        <f t="shared" si="26"/>
        <v>1.5612511283791264E-17</v>
      </c>
      <c r="AI74" s="320">
        <f t="shared" si="27"/>
        <v>0</v>
      </c>
    </row>
    <row r="75" spans="1:35" ht="17" x14ac:dyDescent="0.2">
      <c r="A75" s="959" t="s">
        <v>94</v>
      </c>
      <c r="B75" s="1214">
        <f>TableA6!B75</f>
        <v>1.3847476300640333</v>
      </c>
      <c r="C75" s="1159">
        <f>TableA6!E75</f>
        <v>0.54431306414287628</v>
      </c>
      <c r="D75" s="1866">
        <v>0</v>
      </c>
      <c r="E75" s="1159">
        <f>TableA6!K75</f>
        <v>0.84043456592115706</v>
      </c>
      <c r="F75" s="311">
        <f t="shared" si="25"/>
        <v>0.3930774477062699</v>
      </c>
      <c r="G75" s="1216">
        <f>TableA2!L75</f>
        <v>0.47448863420505527</v>
      </c>
      <c r="H75" s="1184">
        <f>D75/TableA2!C75</f>
        <v>0</v>
      </c>
      <c r="I75" s="1184">
        <f>TableA6!D75/TableA2!C75</f>
        <v>0</v>
      </c>
      <c r="J75" s="1184">
        <f>TableA6!I75/TableA2!$C75</f>
        <v>0.41564747945609143</v>
      </c>
      <c r="K75" s="1184">
        <f>TableA6!J75/TableA2!$C75</f>
        <v>0.41564747945609143</v>
      </c>
      <c r="L75" s="906">
        <f>(C75+E75)/TableA2!C75</f>
        <v>0.47448863420505527</v>
      </c>
      <c r="M75" s="1184">
        <f>C75/TableA4!D75</f>
        <v>0.4662769532473926</v>
      </c>
      <c r="N75" s="1184">
        <f>TableA10!D$37/TableA10!C$37</f>
        <v>1.5591216216216208</v>
      </c>
      <c r="O75" s="1702">
        <f t="shared" si="21"/>
        <v>0.47996308817683037</v>
      </c>
      <c r="P75" s="266" t="str">
        <f>+'Table E1'!D75</f>
        <v/>
      </c>
      <c r="Q75" s="266" t="str">
        <f>+'Table E1'!I75</f>
        <v/>
      </c>
      <c r="R75" s="266" t="str">
        <f>+'Table E1'!N75</f>
        <v/>
      </c>
      <c r="S75" s="266" t="str">
        <f t="shared" si="28"/>
        <v/>
      </c>
      <c r="T75" s="266" t="str">
        <f t="shared" si="29"/>
        <v/>
      </c>
      <c r="U75" s="266" t="str">
        <f t="shared" si="30"/>
        <v/>
      </c>
      <c r="V75" s="912">
        <f>C75-O75*TableA4!D75</f>
        <v>-1.5976646471228539E-2</v>
      </c>
      <c r="W75" s="26" t="str">
        <f>IFERROR($C75-S75*TableA4!$D75,"")</f>
        <v/>
      </c>
      <c r="X75" s="26" t="str">
        <f>IFERROR($C75-T75*TableA4!$D75,"")</f>
        <v/>
      </c>
      <c r="Y75" s="910" t="str">
        <f>IFERROR($C75-U75*TableA4!$D75,"")</f>
        <v/>
      </c>
      <c r="Z75" s="26" t="str">
        <f t="shared" si="22"/>
        <v/>
      </c>
      <c r="AA75" s="26" t="str">
        <f t="shared" si="23"/>
        <v/>
      </c>
      <c r="AB75" s="900" t="str">
        <f t="shared" si="24"/>
        <v/>
      </c>
      <c r="AC75" s="26"/>
      <c r="AD75" s="26"/>
      <c r="AE75" s="26"/>
      <c r="AF75" s="958"/>
      <c r="AG75" s="958"/>
      <c r="AH75" s="320">
        <f t="shared" si="26"/>
        <v>0</v>
      </c>
      <c r="AI75" s="320">
        <f t="shared" si="27"/>
        <v>0</v>
      </c>
    </row>
    <row r="76" spans="1:35" ht="17" x14ac:dyDescent="0.2">
      <c r="A76" s="959" t="s">
        <v>95</v>
      </c>
      <c r="B76" s="1214">
        <f>TableA6!B76</f>
        <v>13.856227663292829</v>
      </c>
      <c r="C76" s="1159">
        <f>TableA6!E76</f>
        <v>10.807557501271878</v>
      </c>
      <c r="D76" s="1866">
        <v>0</v>
      </c>
      <c r="E76" s="1159">
        <f>TableA6!K76</f>
        <v>3.0486701620209504</v>
      </c>
      <c r="F76" s="311">
        <f t="shared" si="25"/>
        <v>0.77997834359366636</v>
      </c>
      <c r="G76" s="1216">
        <f>TableA2!L76</f>
        <v>1.2806878724255955</v>
      </c>
      <c r="H76" s="1184">
        <f>D76/TableA2!C76</f>
        <v>0</v>
      </c>
      <c r="I76" s="1184">
        <f>TableA6!D76/TableA2!C76</f>
        <v>9.0862784167046753E-2</v>
      </c>
      <c r="J76" s="1184">
        <f>TableA6!I76/TableA2!$C76</f>
        <v>0</v>
      </c>
      <c r="K76" s="1184">
        <f>TableA6!J76/TableA2!$C76</f>
        <v>0.40789704226304274</v>
      </c>
      <c r="L76" s="906">
        <f>(C76+E76)/TableA2!C76</f>
        <v>1.3715506565926423</v>
      </c>
      <c r="M76" s="1184">
        <f>C76/TableA4!D76</f>
        <v>2.8814656487379704</v>
      </c>
      <c r="N76" s="1184">
        <f>TableA10!D$91/TableA10!C$91</f>
        <v>1.7827897293546149</v>
      </c>
      <c r="O76" s="1702">
        <f t="shared" si="21"/>
        <v>0.47996308817683037</v>
      </c>
      <c r="P76" s="266" t="str">
        <f>+'Table E1'!D76</f>
        <v/>
      </c>
      <c r="Q76" s="266" t="str">
        <f>+'Table E1'!I76</f>
        <v/>
      </c>
      <c r="R76" s="266" t="str">
        <f>+'Table E1'!N76</f>
        <v/>
      </c>
      <c r="S76" s="266" t="str">
        <f t="shared" si="28"/>
        <v/>
      </c>
      <c r="T76" s="266" t="str">
        <f t="shared" si="29"/>
        <v/>
      </c>
      <c r="U76" s="266" t="str">
        <f t="shared" si="30"/>
        <v/>
      </c>
      <c r="V76" s="912">
        <f>C76-O76*TableA4!D76</f>
        <v>9.0073525686775824</v>
      </c>
      <c r="W76" s="26" t="str">
        <f>IFERROR($C76-S76*TableA4!$D76,"")</f>
        <v/>
      </c>
      <c r="X76" s="26" t="str">
        <f>IFERROR($C76-T76*TableA4!$D76,"")</f>
        <v/>
      </c>
      <c r="Y76" s="910" t="str">
        <f>IFERROR($C76-U76*TableA4!$D76,"")</f>
        <v/>
      </c>
      <c r="Z76" s="26" t="str">
        <f t="shared" si="22"/>
        <v/>
      </c>
      <c r="AA76" s="26" t="str">
        <f t="shared" si="23"/>
        <v/>
      </c>
      <c r="AB76" s="900" t="str">
        <f t="shared" si="24"/>
        <v/>
      </c>
      <c r="AC76" s="26"/>
      <c r="AD76" s="26"/>
      <c r="AE76" s="26"/>
      <c r="AF76" s="958"/>
      <c r="AG76" s="958"/>
      <c r="AH76" s="320">
        <f t="shared" si="26"/>
        <v>9.7144514654701197E-17</v>
      </c>
      <c r="AI76" s="320">
        <f t="shared" si="27"/>
        <v>0</v>
      </c>
    </row>
    <row r="77" spans="1:35" s="25" customFormat="1" x14ac:dyDescent="0.2">
      <c r="A77" s="1237" t="s">
        <v>96</v>
      </c>
      <c r="B77" s="1214">
        <f>TableA6!B77</f>
        <v>13.646495114506827</v>
      </c>
      <c r="C77" s="1159">
        <f>TableA6!E77</f>
        <v>12.855054220700584</v>
      </c>
      <c r="D77" s="1223">
        <v>0</v>
      </c>
      <c r="E77" s="1159">
        <f>TableA6!K77</f>
        <v>0.79144089380624261</v>
      </c>
      <c r="F77" s="312">
        <f t="shared" si="25"/>
        <v>0.94200409063533785</v>
      </c>
      <c r="G77" s="1216">
        <f>TableA2!L77</f>
        <v>0.84886667394397175</v>
      </c>
      <c r="H77" s="1111">
        <f>D77/TableA2!C77</f>
        <v>0</v>
      </c>
      <c r="I77" s="1184">
        <f>TableA6!D77/TableA2!C77</f>
        <v>4.1166189277279255</v>
      </c>
      <c r="J77" s="1111">
        <f>TableA6!I77/TableA2!$C77</f>
        <v>0.10949868880580196</v>
      </c>
      <c r="K77" s="1111">
        <f>TableA6!J77/TableA2!$C77</f>
        <v>4.568009059959997</v>
      </c>
      <c r="L77" s="906">
        <f>(C77+E77)/TableA2!C77</f>
        <v>4.9654856016718973</v>
      </c>
      <c r="M77" s="1184">
        <f>C77/TableA4!D77</f>
        <v>11.693769371914497</v>
      </c>
      <c r="N77" s="1111">
        <f>TableA10!D$91/TableA10!C$91</f>
        <v>1.7827897293546149</v>
      </c>
      <c r="O77" s="1702">
        <f t="shared" si="21"/>
        <v>0.47996308817683037</v>
      </c>
      <c r="P77" s="266">
        <f>+'Table E1'!D77</f>
        <v>0.10988418309679379</v>
      </c>
      <c r="Q77" s="266">
        <f>+'Table E1'!I77</f>
        <v>0.22763157746295162</v>
      </c>
      <c r="R77" s="266">
        <f>+'Table E1'!N77</f>
        <v>8.853558235085375E-2</v>
      </c>
      <c r="S77" s="266">
        <f t="shared" si="28"/>
        <v>0.15679547452517456</v>
      </c>
      <c r="T77" s="266">
        <f t="shared" si="29"/>
        <v>0.47996308817683037</v>
      </c>
      <c r="U77" s="266">
        <f t="shared" si="30"/>
        <v>0.65397641860464506</v>
      </c>
      <c r="V77" s="912">
        <f>C77-O77*TableA4!D77</f>
        <v>12.327426958163089</v>
      </c>
      <c r="W77" s="26">
        <f>IFERROR($C77-S77*TableA4!$D77,"")</f>
        <v>12.682687701191263</v>
      </c>
      <c r="X77" s="26">
        <f>IFERROR($C77-T77*TableA4!$D77,"")</f>
        <v>12.327426958163089</v>
      </c>
      <c r="Y77" s="910">
        <f>IFERROR($C77-U77*TableA4!$D77,"")</f>
        <v>12.136132711917149</v>
      </c>
      <c r="Z77" s="26">
        <f t="shared" si="22"/>
        <v>0.35526074302817356</v>
      </c>
      <c r="AA77" s="26">
        <f t="shared" si="23"/>
        <v>0</v>
      </c>
      <c r="AB77" s="900">
        <f t="shared" si="24"/>
        <v>-0.19129424624594016</v>
      </c>
      <c r="AC77" s="26"/>
      <c r="AD77" s="26"/>
      <c r="AE77" s="26"/>
      <c r="AF77" s="1115"/>
      <c r="AG77" s="1115"/>
      <c r="AH77" s="320">
        <f t="shared" si="26"/>
        <v>0</v>
      </c>
      <c r="AI77" s="320">
        <f t="shared" si="27"/>
        <v>0</v>
      </c>
    </row>
    <row r="78" spans="1:35" ht="17" x14ac:dyDescent="0.2">
      <c r="A78" s="959" t="s">
        <v>97</v>
      </c>
      <c r="B78" s="1214">
        <f>TableA6!B78</f>
        <v>3.4329997064598869E-2</v>
      </c>
      <c r="C78" s="1159">
        <f>TableA6!E78</f>
        <v>1.0287836568069537E-2</v>
      </c>
      <c r="D78" s="1866">
        <v>0</v>
      </c>
      <c r="E78" s="1159">
        <f>TableA6!K78</f>
        <v>2.4042160496529331E-2</v>
      </c>
      <c r="F78" s="312">
        <f t="shared" si="25"/>
        <v>0.29967484555011414</v>
      </c>
      <c r="G78" s="1216">
        <f>TableA2!L78</f>
        <v>0.41120592495682723</v>
      </c>
      <c r="H78" s="1184">
        <f>D78/TableA2!C78</f>
        <v>0</v>
      </c>
      <c r="I78" s="1184">
        <f>TableA6!D78/TableA2!C78</f>
        <v>0</v>
      </c>
      <c r="J78" s="1184">
        <f>TableA6!I78/TableA2!$C78</f>
        <v>5.773884167235698</v>
      </c>
      <c r="K78" s="1184">
        <f>TableA6!J78/TableA2!$C78</f>
        <v>-2.2838462712650887</v>
      </c>
      <c r="L78" s="906">
        <f>(C78+E78)/TableA2!C78</f>
        <v>0.41120592495682723</v>
      </c>
      <c r="M78" s="1184">
        <f>C78/TableA4!D78</f>
        <v>0.30807018012682247</v>
      </c>
      <c r="N78" s="1184">
        <f>TableA10!D$91/TableA10!C$91</f>
        <v>1.7827897293546149</v>
      </c>
      <c r="O78" s="1702">
        <f t="shared" si="21"/>
        <v>0.47996308817683037</v>
      </c>
      <c r="P78" s="266" t="str">
        <f>+'Table E1'!D78</f>
        <v/>
      </c>
      <c r="Q78" s="266" t="str">
        <f>+'Table E1'!I78</f>
        <v/>
      </c>
      <c r="R78" s="266" t="str">
        <f>+'Table E1'!N78</f>
        <v/>
      </c>
      <c r="S78" s="266" t="str">
        <f t="shared" si="28"/>
        <v/>
      </c>
      <c r="T78" s="266" t="str">
        <f t="shared" si="29"/>
        <v/>
      </c>
      <c r="U78" s="266" t="str">
        <f t="shared" si="30"/>
        <v/>
      </c>
      <c r="V78" s="912">
        <f>C78-O78*TableA4!D78</f>
        <v>-5.7402704296166882E-3</v>
      </c>
      <c r="W78" s="26" t="str">
        <f>IFERROR($C78-S78*TableA4!$D78,"")</f>
        <v/>
      </c>
      <c r="X78" s="26" t="str">
        <f>IFERROR($C78-T78*TableA4!$D78,"")</f>
        <v/>
      </c>
      <c r="Y78" s="910" t="str">
        <f>IFERROR($C78-U78*TableA4!$D78,"")</f>
        <v/>
      </c>
      <c r="Z78" s="26" t="str">
        <f t="shared" si="22"/>
        <v/>
      </c>
      <c r="AA78" s="26" t="str">
        <f t="shared" si="23"/>
        <v/>
      </c>
      <c r="AB78" s="900" t="str">
        <f t="shared" si="24"/>
        <v/>
      </c>
      <c r="AC78" s="26"/>
      <c r="AD78" s="26"/>
      <c r="AE78" s="26"/>
      <c r="AF78" s="958"/>
      <c r="AG78" s="958"/>
      <c r="AH78" s="320">
        <f t="shared" si="26"/>
        <v>0</v>
      </c>
      <c r="AI78" s="320">
        <f t="shared" si="27"/>
        <v>0</v>
      </c>
    </row>
    <row r="79" spans="1:35" ht="17" x14ac:dyDescent="0.2">
      <c r="A79" s="959" t="str">
        <f>+TableA1!A79</f>
        <v>Monaco</v>
      </c>
      <c r="B79" s="1214">
        <f>TableA6!B79</f>
        <v>2.4865786089930788</v>
      </c>
      <c r="C79" s="1159">
        <f>TableA6!E79</f>
        <v>2.1872544286824804</v>
      </c>
      <c r="D79" s="1866">
        <v>0</v>
      </c>
      <c r="E79" s="1159">
        <f>TableA6!K79</f>
        <v>0.29932418031059849</v>
      </c>
      <c r="F79" s="311">
        <f t="shared" si="25"/>
        <v>0.87962408297568062</v>
      </c>
      <c r="G79" s="1216">
        <f>TableA2!L79</f>
        <v>2.3923211554676529</v>
      </c>
      <c r="H79" s="1184">
        <f>D79/TableA2!C79</f>
        <v>0</v>
      </c>
      <c r="I79" s="1184">
        <f>TableA6!D79/TableA2!C79</f>
        <v>0</v>
      </c>
      <c r="J79" s="1184">
        <f>TableA6!I79/TableA2!$C79</f>
        <v>0</v>
      </c>
      <c r="K79" s="1184">
        <f>TableA6!J79/TableA2!$C79</f>
        <v>0</v>
      </c>
      <c r="L79" s="906">
        <f>(C79+E79)/TableA2!C79</f>
        <v>2.3923211554676529</v>
      </c>
      <c r="M79" s="1184">
        <f>C79/TableA4!D79</f>
        <v>5.2608582564038873</v>
      </c>
      <c r="N79" s="1184">
        <f>TableA10!D$91/TableA10!C$91</f>
        <v>1.7827897293546149</v>
      </c>
      <c r="O79" s="1702">
        <f t="shared" si="21"/>
        <v>0.47996308817683037</v>
      </c>
      <c r="P79" s="266" t="str">
        <f>+'Table E1'!D79</f>
        <v/>
      </c>
      <c r="Q79" s="266" t="str">
        <f>+'Table E1'!I79</f>
        <v/>
      </c>
      <c r="R79" s="266" t="str">
        <f>+'Table E1'!N79</f>
        <v/>
      </c>
      <c r="S79" s="266" t="str">
        <f t="shared" si="28"/>
        <v/>
      </c>
      <c r="T79" s="266" t="str">
        <f t="shared" si="29"/>
        <v/>
      </c>
      <c r="U79" s="266" t="str">
        <f t="shared" si="30"/>
        <v/>
      </c>
      <c r="V79" s="912">
        <f>C79-O79*TableA4!D79</f>
        <v>1.9877049751420814</v>
      </c>
      <c r="W79" s="26" t="str">
        <f>IFERROR($C79-S79*TableA4!$D79,"")</f>
        <v/>
      </c>
      <c r="X79" s="26" t="str">
        <f>IFERROR($C79-T79*TableA4!$D79,"")</f>
        <v/>
      </c>
      <c r="Y79" s="910" t="str">
        <f>IFERROR($C79-U79*TableA4!$D79,"")</f>
        <v/>
      </c>
      <c r="Z79" s="26" t="str">
        <f t="shared" si="22"/>
        <v/>
      </c>
      <c r="AA79" s="26" t="str">
        <f t="shared" si="23"/>
        <v/>
      </c>
      <c r="AB79" s="900" t="str">
        <f t="shared" si="24"/>
        <v/>
      </c>
      <c r="AC79" s="26"/>
      <c r="AD79" s="26"/>
      <c r="AE79" s="26"/>
      <c r="AF79" s="958"/>
      <c r="AG79" s="958"/>
      <c r="AH79" s="320">
        <f t="shared" si="26"/>
        <v>0</v>
      </c>
      <c r="AI79" s="320">
        <f t="shared" si="27"/>
        <v>0</v>
      </c>
    </row>
    <row r="80" spans="1:35" ht="17" x14ac:dyDescent="0.2">
      <c r="A80" s="959" t="s">
        <v>99</v>
      </c>
      <c r="B80" s="1214">
        <f>TableA6!B80</f>
        <v>0.34823567512391918</v>
      </c>
      <c r="C80" s="1159">
        <f>TableA6!E80</f>
        <v>0.30679422220146713</v>
      </c>
      <c r="D80" s="1866">
        <v>0</v>
      </c>
      <c r="E80" s="1159">
        <f>TableA6!K80</f>
        <v>4.1441452922452063E-2</v>
      </c>
      <c r="F80" s="311">
        <f t="shared" si="25"/>
        <v>0.88099595795949059</v>
      </c>
      <c r="G80" s="1216">
        <f>TableA2!L80</f>
        <v>2.3923120916012683</v>
      </c>
      <c r="H80" s="1184">
        <f>D80/TableA2!C80</f>
        <v>0</v>
      </c>
      <c r="I80" s="1184">
        <f>TableA6!D80/TableA2!C80</f>
        <v>2.7587669518353539E-2</v>
      </c>
      <c r="J80" s="1184">
        <f>TableA6!I80/TableA2!$C80</f>
        <v>0</v>
      </c>
      <c r="K80" s="1184">
        <f>TableA6!J80/TableA2!$C80</f>
        <v>2.1061608509370675</v>
      </c>
      <c r="L80" s="906">
        <f>(C80+E80)/TableA2!C80</f>
        <v>2.4198997611196216</v>
      </c>
      <c r="M80" s="1184">
        <f>C80/TableA4!D80</f>
        <v>5.3298047705338094</v>
      </c>
      <c r="N80" s="1184">
        <f>TableA10!D$63/TableA10!C$63</f>
        <v>14.031458531935176</v>
      </c>
      <c r="O80" s="1702">
        <f t="shared" si="21"/>
        <v>0.47996308817683037</v>
      </c>
      <c r="P80" s="266" t="str">
        <f>+'Table E1'!D80</f>
        <v/>
      </c>
      <c r="Q80" s="266" t="str">
        <f>+'Table E1'!I80</f>
        <v/>
      </c>
      <c r="R80" s="266" t="str">
        <f>+'Table E1'!N80</f>
        <v/>
      </c>
      <c r="S80" s="266" t="str">
        <f t="shared" si="28"/>
        <v/>
      </c>
      <c r="T80" s="266" t="str">
        <f t="shared" si="29"/>
        <v/>
      </c>
      <c r="U80" s="266" t="str">
        <f t="shared" si="30"/>
        <v/>
      </c>
      <c r="V80" s="912">
        <f>C80-O80*TableA4!D80</f>
        <v>0.27916658691983243</v>
      </c>
      <c r="W80" s="26" t="str">
        <f>IFERROR($C80-S80*TableA4!$D80,"")</f>
        <v/>
      </c>
      <c r="X80" s="26" t="str">
        <f>IFERROR($C80-T80*TableA4!$D80,"")</f>
        <v/>
      </c>
      <c r="Y80" s="910" t="str">
        <f>IFERROR($C80-U80*TableA4!$D80,"")</f>
        <v/>
      </c>
      <c r="Z80" s="26" t="str">
        <f t="shared" si="22"/>
        <v/>
      </c>
      <c r="AA80" s="26" t="str">
        <f t="shared" si="23"/>
        <v/>
      </c>
      <c r="AB80" s="900" t="str">
        <f t="shared" si="24"/>
        <v/>
      </c>
      <c r="AC80" s="26"/>
      <c r="AD80" s="26"/>
      <c r="AE80" s="26"/>
      <c r="AF80" s="958"/>
      <c r="AG80" s="958"/>
      <c r="AH80" s="320">
        <f t="shared" si="26"/>
        <v>-3.0878077872387166E-16</v>
      </c>
      <c r="AI80" s="320">
        <f t="shared" si="27"/>
        <v>0</v>
      </c>
    </row>
    <row r="81" spans="1:35" ht="17" x14ac:dyDescent="0.2">
      <c r="A81" s="959" t="s">
        <v>100</v>
      </c>
      <c r="B81" s="1214">
        <f>TableA6!B81</f>
        <v>7.4441225761320906</v>
      </c>
      <c r="C81" s="1159">
        <f>TableA6!E81</f>
        <v>7.360135250471358</v>
      </c>
      <c r="D81" s="1866">
        <v>0</v>
      </c>
      <c r="E81" s="1159">
        <f>TableA6!K81</f>
        <v>8.3987325660732859E-2</v>
      </c>
      <c r="F81" s="311">
        <f t="shared" si="25"/>
        <v>0.98871763262872392</v>
      </c>
      <c r="G81" s="1216">
        <f>TableA2!L81</f>
        <v>18.781767953473743</v>
      </c>
      <c r="H81" s="1184">
        <f>D81/TableA2!C81</f>
        <v>0</v>
      </c>
      <c r="I81" s="1184">
        <f>TableA6!D81/TableA2!C81</f>
        <v>1.7209382714135832</v>
      </c>
      <c r="J81" s="1184">
        <f>TableA6!I81/TableA2!$C81</f>
        <v>0</v>
      </c>
      <c r="K81" s="1184">
        <f>TableA6!J81/TableA2!$C81</f>
        <v>19.347816111710308</v>
      </c>
      <c r="L81" s="906">
        <f>(C81+E81)/TableA2!C81</f>
        <v>20.502706224887326</v>
      </c>
      <c r="M81" s="1184">
        <f>C81/TableA4!D81</f>
        <v>39.130309305916256</v>
      </c>
      <c r="N81" s="1184">
        <f>TableA10!D$91/TableA10!C$91</f>
        <v>1.7827897293546149</v>
      </c>
      <c r="O81" s="1702">
        <f t="shared" si="21"/>
        <v>0.47996308817683037</v>
      </c>
      <c r="P81" s="266"/>
      <c r="Q81" s="266" t="str">
        <f>+'Table E1'!I81</f>
        <v/>
      </c>
      <c r="R81" s="266" t="str">
        <f>+'Table E1'!N81</f>
        <v/>
      </c>
      <c r="S81" s="266" t="str">
        <f t="shared" si="28"/>
        <v/>
      </c>
      <c r="T81" s="266" t="str">
        <f t="shared" si="29"/>
        <v/>
      </c>
      <c r="U81" s="266" t="str">
        <f t="shared" si="30"/>
        <v/>
      </c>
      <c r="V81" s="912">
        <f>C81-O81*TableA4!D81</f>
        <v>7.2698575780768468</v>
      </c>
      <c r="W81" s="26" t="str">
        <f>IFERROR($C81-S81*TableA4!$D81,"")</f>
        <v/>
      </c>
      <c r="X81" s="26" t="str">
        <f>IFERROR($C81-T81*TableA4!$D81,"")</f>
        <v/>
      </c>
      <c r="Y81" s="910" t="str">
        <f>IFERROR($C81-U81*TableA4!$D81,"")</f>
        <v/>
      </c>
      <c r="Z81" s="26" t="str">
        <f t="shared" si="22"/>
        <v/>
      </c>
      <c r="AA81" s="26" t="str">
        <f t="shared" si="23"/>
        <v/>
      </c>
      <c r="AB81" s="900" t="str">
        <f t="shared" si="24"/>
        <v/>
      </c>
      <c r="AC81" s="26"/>
      <c r="AD81" s="26"/>
      <c r="AE81" s="26"/>
      <c r="AF81" s="958"/>
      <c r="AG81" s="958"/>
      <c r="AH81" s="320">
        <f t="shared" si="26"/>
        <v>2.2204460492503131E-16</v>
      </c>
      <c r="AI81" s="320">
        <f t="shared" si="27"/>
        <v>-2.2204460492503131E-16</v>
      </c>
    </row>
    <row r="82" spans="1:35" ht="17" x14ac:dyDescent="0.2">
      <c r="A82" s="959" t="str">
        <f>+TableA1!A82</f>
        <v>Seychelles</v>
      </c>
      <c r="B82" s="1214">
        <f>TableA6!B82</f>
        <v>0.82419693736547761</v>
      </c>
      <c r="C82" s="1159">
        <f>TableA6!E82</f>
        <v>0.80997916157337257</v>
      </c>
      <c r="D82" s="1866">
        <v>0</v>
      </c>
      <c r="E82" s="1159">
        <f>TableA6!K82</f>
        <v>1.4217775792105054E-2</v>
      </c>
      <c r="F82" s="311">
        <f t="shared" si="25"/>
        <v>0.98274954061640685</v>
      </c>
      <c r="G82" s="1216">
        <f>TableA2!L82</f>
        <v>11.645447640290138</v>
      </c>
      <c r="H82" s="1184">
        <f>D82/TableA2!C82</f>
        <v>0</v>
      </c>
      <c r="I82" s="1184">
        <f>TableA6!D82/TableA2!C82</f>
        <v>0.1556292966812485</v>
      </c>
      <c r="J82" s="1184">
        <f>TableA6!I82/TableA2!$C82</f>
        <v>0</v>
      </c>
      <c r="K82" s="1184">
        <f>TableA6!J82/TableA2!$C82</f>
        <v>10.570874760866056</v>
      </c>
      <c r="L82" s="906">
        <f>(C82+E82)/TableA2!C82</f>
        <v>11.801076936971386</v>
      </c>
      <c r="M82" s="1184">
        <f>C82/TableA4!D82</f>
        <v>20.139627543599083</v>
      </c>
      <c r="N82" s="1184">
        <f>TableA10!D$91/TableA10!C$91</f>
        <v>1.7827897293546149</v>
      </c>
      <c r="O82" s="1702">
        <f t="shared" si="21"/>
        <v>0.47996308817683037</v>
      </c>
      <c r="P82" s="266" t="str">
        <f>+'Table E1'!D82</f>
        <v/>
      </c>
      <c r="Q82" s="266" t="str">
        <f>+'Table E1'!I82</f>
        <v/>
      </c>
      <c r="R82" s="266" t="str">
        <f>+'Table E1'!N82</f>
        <v/>
      </c>
      <c r="S82" s="266" t="str">
        <f t="shared" si="28"/>
        <v/>
      </c>
      <c r="T82" s="266" t="str">
        <f t="shared" si="29"/>
        <v/>
      </c>
      <c r="U82" s="266" t="str">
        <f t="shared" si="30"/>
        <v/>
      </c>
      <c r="V82" s="912">
        <f>C82-O82*TableA4!D82</f>
        <v>0.79067591979762319</v>
      </c>
      <c r="W82" s="26" t="str">
        <f>IFERROR($C82-S82*TableA4!$D82,"")</f>
        <v/>
      </c>
      <c r="X82" s="26" t="str">
        <f>IFERROR($C82-T82*TableA4!$D82,"")</f>
        <v/>
      </c>
      <c r="Y82" s="910" t="str">
        <f>IFERROR($C82-U82*TableA4!$D82,"")</f>
        <v/>
      </c>
      <c r="Z82" s="26" t="str">
        <f t="shared" si="22"/>
        <v/>
      </c>
      <c r="AA82" s="26" t="str">
        <f t="shared" si="23"/>
        <v/>
      </c>
      <c r="AB82" s="900" t="str">
        <f t="shared" si="24"/>
        <v/>
      </c>
      <c r="AC82" s="26"/>
      <c r="AD82" s="26"/>
      <c r="AE82" s="26"/>
      <c r="AF82" s="958"/>
      <c r="AG82" s="958"/>
      <c r="AH82" s="320">
        <f t="shared" si="26"/>
        <v>-6.9388939039072284E-16</v>
      </c>
      <c r="AI82" s="320">
        <f t="shared" si="27"/>
        <v>-1.7347234759768071E-17</v>
      </c>
    </row>
    <row r="83" spans="1:35" x14ac:dyDescent="0.2">
      <c r="A83" s="959" t="s">
        <v>102</v>
      </c>
      <c r="B83" s="1214">
        <f>TableA6!B83</f>
        <v>120.07387384516201</v>
      </c>
      <c r="C83" s="1159">
        <f>TableA6!E83</f>
        <v>90.279312540155431</v>
      </c>
      <c r="D83" s="1202">
        <f>D72</f>
        <v>0</v>
      </c>
      <c r="E83" s="1159">
        <f>TableA6!K83</f>
        <v>29.794561305006578</v>
      </c>
      <c r="F83" s="312">
        <f t="shared" si="25"/>
        <v>0.75186474500333567</v>
      </c>
      <c r="G83" s="1216">
        <f>TableA2!L83</f>
        <v>0.62387923338851881</v>
      </c>
      <c r="H83" s="1184">
        <f>D83/TableA2!C83</f>
        <v>0</v>
      </c>
      <c r="I83" s="1184">
        <f>TableA6!D83/TableA2!C83</f>
        <v>0.5366888322415323</v>
      </c>
      <c r="J83" s="1184">
        <f>TableA6!I83/TableA2!$C83</f>
        <v>0.15643459965113188</v>
      </c>
      <c r="K83" s="1184">
        <f>TableA6!J83/TableA2!$C83</f>
        <v>0.1945074374074523</v>
      </c>
      <c r="L83" s="906">
        <f>(C83+E83)/TableA2!C83</f>
        <v>1.1605680656300512</v>
      </c>
      <c r="M83" s="1184">
        <f>C83/TableA4!D83</f>
        <v>2.1814755318098822</v>
      </c>
      <c r="N83" s="1184">
        <f>TableA10!D$91/TableA10!C$91</f>
        <v>1.7827897293546149</v>
      </c>
      <c r="O83" s="1702">
        <f t="shared" si="21"/>
        <v>0.47996308817683037</v>
      </c>
      <c r="P83" s="266">
        <f>+'Table E1'!D83</f>
        <v>0.13975175828398759</v>
      </c>
      <c r="Q83" s="266">
        <f>+'Table E1'!I83</f>
        <v>0.33081796705761152</v>
      </c>
      <c r="R83" s="266">
        <f>+'Table E1'!N83</f>
        <v>0.10689536438994977</v>
      </c>
      <c r="S83" s="266">
        <f t="shared" si="28"/>
        <v>4.9069417386894298E-2</v>
      </c>
      <c r="T83" s="266">
        <f t="shared" si="29"/>
        <v>0.47996308817683037</v>
      </c>
      <c r="U83" s="266">
        <f t="shared" si="30"/>
        <v>0.71198275706371905</v>
      </c>
      <c r="V83" s="912">
        <f>C83-O83*TableA4!D83</f>
        <v>70.416271670151048</v>
      </c>
      <c r="W83" s="26">
        <f>IFERROR($C83-S83*TableA4!$D83,"")</f>
        <v>88.248598372685763</v>
      </c>
      <c r="X83" s="26">
        <f>IFERROR($C83-T83*TableA4!$D83,"")</f>
        <v>70.416271670151048</v>
      </c>
      <c r="Y83" s="910">
        <f>IFERROR($C83-U83*TableA4!$D83,"")</f>
        <v>60.814249599555424</v>
      </c>
      <c r="Z83" s="26">
        <f t="shared" si="22"/>
        <v>17.832326702534715</v>
      </c>
      <c r="AA83" s="26">
        <f t="shared" si="23"/>
        <v>0</v>
      </c>
      <c r="AB83" s="900">
        <f t="shared" si="24"/>
        <v>-9.6020220705956234</v>
      </c>
      <c r="AC83" s="26"/>
      <c r="AD83" s="26"/>
      <c r="AE83" s="26"/>
      <c r="AF83" s="958"/>
      <c r="AG83" s="1004"/>
      <c r="AH83" s="320">
        <f t="shared" si="26"/>
        <v>1.1102230246251565E-16</v>
      </c>
      <c r="AI83" s="320">
        <f t="shared" si="27"/>
        <v>0</v>
      </c>
    </row>
    <row r="84" spans="1:35" ht="17" x14ac:dyDescent="0.2">
      <c r="A84" s="959" t="str">
        <f>+TableA1!A84</f>
        <v>St. Kitts and Nevis</v>
      </c>
      <c r="B84" s="1214">
        <f>TableA6!B84</f>
        <v>0.47270768679271868</v>
      </c>
      <c r="C84" s="1159">
        <f>TableA6!E84</f>
        <v>0.45147281043247117</v>
      </c>
      <c r="D84" s="1866">
        <v>0</v>
      </c>
      <c r="E84" s="1159">
        <f>TableA6!K84</f>
        <v>2.1234876360247523E-2</v>
      </c>
      <c r="F84" s="311">
        <f t="shared" si="25"/>
        <v>0.95507820804792842</v>
      </c>
      <c r="G84" s="1216">
        <f>TableA2!L84</f>
        <v>6.3166391090861724</v>
      </c>
      <c r="H84" s="1184">
        <f>D84/TableA2!C84</f>
        <v>0</v>
      </c>
      <c r="I84" s="1184">
        <f>TableA6!D84/TableA2!C84</f>
        <v>9.4010163617608E-2</v>
      </c>
      <c r="J84" s="1111">
        <f>TableA6!I84/TableA2!$C84</f>
        <v>3.059194412415891</v>
      </c>
      <c r="K84" s="1184">
        <f>TableA6!J84/TableA2!$C84</f>
        <v>3.059194412415891</v>
      </c>
      <c r="L84" s="906">
        <f>(C84+E84)/TableA2!C84</f>
        <v>6.4106492727037807</v>
      </c>
      <c r="M84" s="1184">
        <f>C84/TableA4!D84</f>
        <v>15.306678549494206</v>
      </c>
      <c r="N84" s="1184">
        <f>TableA10!D$91/TableA10!C$91</f>
        <v>1.7827897293546149</v>
      </c>
      <c r="O84" s="1702">
        <f t="shared" si="21"/>
        <v>0.47996308817683037</v>
      </c>
      <c r="P84" s="266" t="str">
        <f>+'Table E1'!D84</f>
        <v/>
      </c>
      <c r="Q84" s="266" t="str">
        <f>+'Table E1'!I84</f>
        <v/>
      </c>
      <c r="R84" s="266" t="str">
        <f>+'Table E1'!N84</f>
        <v/>
      </c>
      <c r="S84" s="266" t="str">
        <f t="shared" si="28"/>
        <v/>
      </c>
      <c r="T84" s="266" t="str">
        <f t="shared" si="29"/>
        <v/>
      </c>
      <c r="U84" s="266" t="str">
        <f t="shared" si="30"/>
        <v/>
      </c>
      <c r="V84" s="912">
        <f>C84-O84*TableA4!D84</f>
        <v>0.43731622619230615</v>
      </c>
      <c r="W84" s="26" t="str">
        <f>IFERROR($C84-S84*TableA4!$D84,"")</f>
        <v/>
      </c>
      <c r="X84" s="26" t="str">
        <f>IFERROR($C84-T84*TableA4!$D84,"")</f>
        <v/>
      </c>
      <c r="Y84" s="910" t="str">
        <f>IFERROR($C84-U84*TableA4!$D84,"")</f>
        <v/>
      </c>
      <c r="Z84" s="26" t="str">
        <f t="shared" si="22"/>
        <v/>
      </c>
      <c r="AA84" s="26" t="str">
        <f t="shared" si="23"/>
        <v/>
      </c>
      <c r="AB84" s="900" t="str">
        <f t="shared" si="24"/>
        <v/>
      </c>
      <c r="AC84" s="26"/>
      <c r="AD84" s="26"/>
      <c r="AE84" s="26"/>
      <c r="AF84" s="958"/>
      <c r="AG84" s="1007"/>
      <c r="AH84" s="320">
        <f t="shared" si="26"/>
        <v>2.7755575615628914E-16</v>
      </c>
      <c r="AI84" s="320">
        <f t="shared" si="27"/>
        <v>0</v>
      </c>
    </row>
    <row r="85" spans="1:35" ht="17" x14ac:dyDescent="0.2">
      <c r="A85" s="959" t="str">
        <f>+TableA1!A85</f>
        <v>St. Lucia</v>
      </c>
      <c r="B85" s="1214">
        <f>TableA6!B85</f>
        <v>0.98185335484198899</v>
      </c>
      <c r="C85" s="1159">
        <f>TableA6!E85</f>
        <v>0.94866880291806055</v>
      </c>
      <c r="D85" s="1866">
        <v>0</v>
      </c>
      <c r="E85" s="1159">
        <f>TableA6!K85</f>
        <v>3.318455192392842E-2</v>
      </c>
      <c r="F85" s="311">
        <f t="shared" si="25"/>
        <v>0.96620213012434131</v>
      </c>
      <c r="G85" s="1216">
        <f>TableA2!L85</f>
        <v>7.7912383165560453</v>
      </c>
      <c r="H85" s="1184">
        <f>D85/TableA2!C85</f>
        <v>0</v>
      </c>
      <c r="I85" s="1184">
        <f>TableA6!D85/TableA2!C85</f>
        <v>0.72935348303251801</v>
      </c>
      <c r="J85" s="1184">
        <f>TableA6!I85/TableA2!$C85</f>
        <v>0</v>
      </c>
      <c r="K85" s="1184">
        <f>TableA6!J85/TableA2!$C85</f>
        <v>7.5986581217109093</v>
      </c>
      <c r="L85" s="906">
        <f>(C85+E85)/TableA2!C85</f>
        <v>8.5205917995885638</v>
      </c>
      <c r="M85" s="1184">
        <f>C85/TableA4!D85</f>
        <v>20.581534866706164</v>
      </c>
      <c r="N85" s="1184">
        <f>TableA10!D$91/TableA10!C$91</f>
        <v>1.7827897293546149</v>
      </c>
      <c r="O85" s="1702">
        <f t="shared" si="21"/>
        <v>0.47996308817683037</v>
      </c>
      <c r="P85" s="266" t="str">
        <f>+'Table E1'!D85</f>
        <v/>
      </c>
      <c r="Q85" s="266" t="str">
        <f>+'Table E1'!I85</f>
        <v/>
      </c>
      <c r="R85" s="266" t="str">
        <f>+'Table E1'!N85</f>
        <v/>
      </c>
      <c r="S85" s="266" t="str">
        <f t="shared" si="28"/>
        <v/>
      </c>
      <c r="T85" s="266" t="str">
        <f t="shared" si="29"/>
        <v/>
      </c>
      <c r="U85" s="266" t="str">
        <f t="shared" si="30"/>
        <v/>
      </c>
      <c r="V85" s="912">
        <f>C85-O85*TableA4!D85</f>
        <v>0.92654576830210822</v>
      </c>
      <c r="W85" s="26" t="str">
        <f>IFERROR($C85-S85*TableA4!$D85,"")</f>
        <v/>
      </c>
      <c r="X85" s="26" t="str">
        <f>IFERROR($C85-T85*TableA4!$D85,"")</f>
        <v/>
      </c>
      <c r="Y85" s="910" t="str">
        <f>IFERROR($C85-U85*TableA4!$D85,"")</f>
        <v/>
      </c>
      <c r="Z85" s="26" t="str">
        <f t="shared" si="22"/>
        <v/>
      </c>
      <c r="AA85" s="26" t="str">
        <f t="shared" si="23"/>
        <v/>
      </c>
      <c r="AB85" s="900" t="str">
        <f t="shared" si="24"/>
        <v/>
      </c>
      <c r="AC85" s="26"/>
      <c r="AD85" s="26"/>
      <c r="AE85" s="26"/>
      <c r="AF85" s="958"/>
      <c r="AG85" s="1007"/>
      <c r="AH85" s="320">
        <f t="shared" si="26"/>
        <v>5.5511151231257827E-16</v>
      </c>
      <c r="AI85" s="320">
        <f t="shared" si="27"/>
        <v>0</v>
      </c>
    </row>
    <row r="86" spans="1:35" ht="17" x14ac:dyDescent="0.2">
      <c r="A86" s="959" t="str">
        <f>+TableA1!A86</f>
        <v>St. Vincent and the Grenadines</v>
      </c>
      <c r="B86" s="1214">
        <f>TableA6!B86</f>
        <v>0.4096430975806486</v>
      </c>
      <c r="C86" s="1159">
        <f>TableA6!E86</f>
        <v>0.38835723070985412</v>
      </c>
      <c r="D86" s="1866">
        <v>0</v>
      </c>
      <c r="E86" s="1159">
        <f>TableA6!K86</f>
        <v>2.1285866870794486E-2</v>
      </c>
      <c r="F86" s="311">
        <f t="shared" si="25"/>
        <v>0.94803801895721229</v>
      </c>
      <c r="G86" s="1216">
        <f>TableA2!L86</f>
        <v>5.2762611763764227</v>
      </c>
      <c r="H86" s="1184">
        <f>D86/TableA2!C86</f>
        <v>0</v>
      </c>
      <c r="I86" s="1184">
        <f>TableA6!D86/TableA2!C86</f>
        <v>0.26582646398827259</v>
      </c>
      <c r="J86" s="1184">
        <f>TableA6!I86/TableA2!$C86</f>
        <v>0</v>
      </c>
      <c r="K86" s="1184">
        <f>TableA6!J86/TableA2!$C86</f>
        <v>5.0219795332999517</v>
      </c>
      <c r="L86" s="906">
        <f>(C86+E86)/TableA2!C86</f>
        <v>5.5420876403646959</v>
      </c>
      <c r="M86" s="1184">
        <f>C86/TableA4!D86</f>
        <v>13.135274468646493</v>
      </c>
      <c r="N86" s="1184">
        <f>TableA10!D$91/TableA10!C$91</f>
        <v>1.7827897293546149</v>
      </c>
      <c r="O86" s="1702">
        <f t="shared" si="21"/>
        <v>0.47996308817683037</v>
      </c>
      <c r="P86" s="266" t="str">
        <f>+'Table E1'!D86</f>
        <v/>
      </c>
      <c r="Q86" s="266" t="str">
        <f>+'Table E1'!I86</f>
        <v/>
      </c>
      <c r="R86" s="266" t="str">
        <f>+'Table E1'!N86</f>
        <v/>
      </c>
      <c r="S86" s="266" t="str">
        <f t="shared" si="28"/>
        <v/>
      </c>
      <c r="T86" s="266" t="str">
        <f t="shared" si="29"/>
        <v/>
      </c>
      <c r="U86" s="266" t="str">
        <f t="shared" si="30"/>
        <v/>
      </c>
      <c r="V86" s="912">
        <f>C86-O86*TableA4!D86</f>
        <v>0.37416665279599115</v>
      </c>
      <c r="W86" s="26" t="str">
        <f>IFERROR($C86-S86*TableA4!$D86,"")</f>
        <v/>
      </c>
      <c r="X86" s="26" t="str">
        <f>IFERROR($C86-T86*TableA4!$D86,"")</f>
        <v/>
      </c>
      <c r="Y86" s="910" t="str">
        <f>IFERROR($C86-U86*TableA4!$D86,"")</f>
        <v/>
      </c>
      <c r="Z86" s="26" t="str">
        <f t="shared" si="22"/>
        <v/>
      </c>
      <c r="AA86" s="26" t="str">
        <f t="shared" si="23"/>
        <v/>
      </c>
      <c r="AB86" s="900" t="str">
        <f t="shared" si="24"/>
        <v/>
      </c>
      <c r="AC86" s="26"/>
      <c r="AD86" s="26"/>
      <c r="AE86" s="26"/>
      <c r="AF86" s="958"/>
      <c r="AG86" s="1007"/>
      <c r="AH86" s="320">
        <f t="shared" si="26"/>
        <v>6.6613381477509392E-16</v>
      </c>
      <c r="AI86" s="320">
        <f t="shared" si="27"/>
        <v>0</v>
      </c>
    </row>
    <row r="87" spans="1:35" ht="17" x14ac:dyDescent="0.2">
      <c r="A87" s="959" t="str">
        <f>+TableA1!A87</f>
        <v>Turks and Caicos</v>
      </c>
      <c r="B87" s="1214">
        <f>TableA6!B87</f>
        <v>0.29994738122448317</v>
      </c>
      <c r="C87" s="1159">
        <f>TableA6!E87</f>
        <v>0.26699033180435056</v>
      </c>
      <c r="D87" s="1866">
        <v>0</v>
      </c>
      <c r="E87" s="1159">
        <f>TableA6!K87</f>
        <v>3.2957049420132598E-2</v>
      </c>
      <c r="F87" s="311">
        <f t="shared" si="25"/>
        <v>0.89012389677952453</v>
      </c>
      <c r="G87" s="1216">
        <f>TableA2!L87</f>
        <v>2.3923188641786157</v>
      </c>
      <c r="H87" s="1184">
        <f>D87/TableA2!C87</f>
        <v>0</v>
      </c>
      <c r="I87" s="1184">
        <f>TableA6!D87/TableA2!C87</f>
        <v>0.22861366314488285</v>
      </c>
      <c r="J87" s="1184">
        <f>TableA6!I87/TableA2!$C87</f>
        <v>0</v>
      </c>
      <c r="K87" s="1184">
        <f>TableA6!J87/TableA2!$C87</f>
        <v>0</v>
      </c>
      <c r="L87" s="906">
        <f>(C87+E87)/TableA2!C87</f>
        <v>2.6209325273234985</v>
      </c>
      <c r="M87" s="1184">
        <f>C87/TableA4!D87</f>
        <v>5.8323866860435007</v>
      </c>
      <c r="N87" s="1184">
        <f>TableA10!D$91/TableA10!C$91</f>
        <v>1.7827897293546149</v>
      </c>
      <c r="O87" s="1702">
        <f t="shared" si="21"/>
        <v>0.47996308817683037</v>
      </c>
      <c r="P87" s="266" t="str">
        <f>+'Table E1'!D87</f>
        <v/>
      </c>
      <c r="Q87" s="266" t="str">
        <f>+'Table E1'!I87</f>
        <v/>
      </c>
      <c r="R87" s="266" t="str">
        <f>+'Table E1'!N87</f>
        <v/>
      </c>
      <c r="S87" s="266" t="str">
        <f t="shared" si="28"/>
        <v/>
      </c>
      <c r="T87" s="266" t="str">
        <f t="shared" si="29"/>
        <v/>
      </c>
      <c r="U87" s="266" t="str">
        <f t="shared" si="30"/>
        <v/>
      </c>
      <c r="V87" s="912">
        <f>C87-O87*TableA4!D87</f>
        <v>0.24501896552426217</v>
      </c>
      <c r="W87" s="26" t="str">
        <f>IFERROR($C87-S87*TableA4!$D87,"")</f>
        <v/>
      </c>
      <c r="X87" s="26" t="str">
        <f>IFERROR($C87-T87*TableA4!$D87,"")</f>
        <v/>
      </c>
      <c r="Y87" s="910" t="str">
        <f>IFERROR($C87-U87*TableA4!$D87,"")</f>
        <v/>
      </c>
      <c r="Z87" s="26" t="str">
        <f t="shared" si="22"/>
        <v/>
      </c>
      <c r="AA87" s="26" t="str">
        <f t="shared" si="23"/>
        <v/>
      </c>
      <c r="AB87" s="900" t="str">
        <f t="shared" si="24"/>
        <v/>
      </c>
      <c r="AC87" s="26"/>
      <c r="AD87" s="26"/>
      <c r="AE87" s="26"/>
      <c r="AF87" s="958"/>
      <c r="AG87" s="1007"/>
      <c r="AH87" s="320">
        <f t="shared" si="26"/>
        <v>-1.1102230246251565E-16</v>
      </c>
      <c r="AI87" s="320">
        <f t="shared" si="27"/>
        <v>0</v>
      </c>
    </row>
    <row r="88" spans="1:35" x14ac:dyDescent="0.2">
      <c r="A88" s="959" t="str">
        <f>+TableA1!A88</f>
        <v>Panama</v>
      </c>
      <c r="B88" s="1214">
        <f>TableA6!B88</f>
        <v>21.839627936803055</v>
      </c>
      <c r="C88" s="1159">
        <f>TableA6!E88</f>
        <v>17.861321218110369</v>
      </c>
      <c r="D88" s="1866">
        <v>0</v>
      </c>
      <c r="E88" s="1159">
        <f>TableA6!K88</f>
        <v>3.9783067186926862</v>
      </c>
      <c r="F88" s="311">
        <f t="shared" si="25"/>
        <v>0.81783999570850563</v>
      </c>
      <c r="G88" s="1216">
        <f>TableA2!L88</f>
        <v>2.1187821699792249</v>
      </c>
      <c r="H88" s="1184">
        <f>D88/TableA2!C88</f>
        <v>0</v>
      </c>
      <c r="I88" s="1184">
        <f>TableA6!D88/TableA2!C88</f>
        <v>8.1573745132373331E-3</v>
      </c>
      <c r="J88" s="1184">
        <f>TableA6!I88/TableA2!$C88</f>
        <v>0</v>
      </c>
      <c r="K88" s="1184">
        <f>TableA6!J88/TableA2!$C88</f>
        <v>1.3958379286306488</v>
      </c>
      <c r="L88" s="906">
        <f>(C88+E88)/TableA2!C88</f>
        <v>2.1269395444924624</v>
      </c>
      <c r="M88" s="1184">
        <f>C88/TableA4!D88</f>
        <v>9.0239520350742346</v>
      </c>
      <c r="N88" s="1184">
        <f>TableA10!D$91/TableA10!C$91</f>
        <v>1.7827897293546149</v>
      </c>
      <c r="O88" s="1702">
        <f t="shared" si="21"/>
        <v>0.47996308817683037</v>
      </c>
      <c r="P88" s="266">
        <f>+'Table E1'!D88</f>
        <v>4.6619983642402885E-2</v>
      </c>
      <c r="Q88" s="266">
        <f>+'Table E1'!I88</f>
        <v>0.29853202215285468</v>
      </c>
      <c r="R88" s="266">
        <f>+'Table E1'!N88</f>
        <v>3.9307972777586277E-2</v>
      </c>
      <c r="S88" s="266">
        <f t="shared" si="28"/>
        <v>-0.87655533881553716</v>
      </c>
      <c r="T88" s="266">
        <f t="shared" si="29"/>
        <v>0.47996308817683037</v>
      </c>
      <c r="U88" s="266">
        <f t="shared" si="30"/>
        <v>1.2103960873265669</v>
      </c>
      <c r="V88" s="912">
        <f>C88-O88*TableA4!D88</f>
        <v>16.911318951094543</v>
      </c>
      <c r="W88" s="26">
        <f>IFERROR($C88-S88*TableA4!$D88,"")</f>
        <v>19.596307885945098</v>
      </c>
      <c r="X88" s="26">
        <f>IFERROR($C88-T88*TableA4!$D88,"")</f>
        <v>16.911318951094543</v>
      </c>
      <c r="Y88" s="910">
        <f>IFERROR($C88-U88*TableA4!$D88,"")</f>
        <v>15.465555678482705</v>
      </c>
      <c r="Z88" s="26">
        <f t="shared" si="22"/>
        <v>2.6849889348505549</v>
      </c>
      <c r="AA88" s="26">
        <f t="shared" si="23"/>
        <v>0</v>
      </c>
      <c r="AB88" s="900">
        <f t="shared" si="24"/>
        <v>-1.4457632726118383</v>
      </c>
      <c r="AC88" s="26"/>
      <c r="AD88" s="26"/>
      <c r="AE88" s="26"/>
      <c r="AF88" s="958"/>
      <c r="AG88" s="1007"/>
      <c r="AH88" s="320">
        <f t="shared" si="26"/>
        <v>1.700029006457271E-16</v>
      </c>
      <c r="AI88" s="320">
        <f t="shared" si="27"/>
        <v>0</v>
      </c>
    </row>
    <row r="89" spans="1:35" x14ac:dyDescent="0.2">
      <c r="A89" s="959" t="s">
        <v>108</v>
      </c>
      <c r="B89" s="1214">
        <f>TableA6!B89</f>
        <v>52.764834331533464</v>
      </c>
      <c r="C89" s="1159">
        <f>TableA6!E89</f>
        <v>42.913042812221541</v>
      </c>
      <c r="D89" s="1866">
        <v>0</v>
      </c>
      <c r="E89" s="1159">
        <f>TableA6!K89</f>
        <v>9.8517915193119219</v>
      </c>
      <c r="F89" s="311">
        <f t="shared" si="25"/>
        <v>0.81328868660117692</v>
      </c>
      <c r="G89" s="1216">
        <f>TableA2!L89</f>
        <v>2.2852999866399926</v>
      </c>
      <c r="H89" s="1184">
        <f>D89/TableA2!C89</f>
        <v>0</v>
      </c>
      <c r="I89" s="1184">
        <f>TableA6!D89/TableA2!C89</f>
        <v>0</v>
      </c>
      <c r="J89" s="1184">
        <f>TableA6!I89/TableA2!$C89</f>
        <v>0</v>
      </c>
      <c r="K89" s="1184">
        <f>TableA6!J89/TableA2!$C89</f>
        <v>0</v>
      </c>
      <c r="L89" s="906">
        <f>(C89+E89)/TableA2!C89</f>
        <v>2.2852999866399926</v>
      </c>
      <c r="M89" s="1184">
        <f>C89/TableA4!D89</f>
        <v>16.745534629218685</v>
      </c>
      <c r="N89" s="1184">
        <f>TableA10!D$63/TableA10!C$63</f>
        <v>14.031458531935176</v>
      </c>
      <c r="O89" s="1702">
        <f t="shared" si="21"/>
        <v>0.47996308817683037</v>
      </c>
      <c r="P89" s="266">
        <f>+'Table E1'!D89</f>
        <v>0.14792782283040815</v>
      </c>
      <c r="Q89" s="266">
        <f>+'Table E1'!I89</f>
        <v>0.24695258440129056</v>
      </c>
      <c r="R89" s="266">
        <f>+'Table E1'!N89</f>
        <v>0.13758983851288142</v>
      </c>
      <c r="S89" s="266">
        <f t="shared" si="28"/>
        <v>0.31646446538993056</v>
      </c>
      <c r="T89" s="266">
        <f t="shared" si="29"/>
        <v>0.47996308817683037</v>
      </c>
      <c r="U89" s="266">
        <f t="shared" si="30"/>
        <v>0.56800080813900722</v>
      </c>
      <c r="V89" s="912">
        <f>C89-O89*TableA4!D89</f>
        <v>41.683062581236264</v>
      </c>
      <c r="W89" s="26">
        <f>IFERROR($C89-S89*TableA4!$D89,"")</f>
        <v>42.102053288594817</v>
      </c>
      <c r="X89" s="26">
        <f>IFERROR($C89-T89*TableA4!$D89,"")</f>
        <v>41.683062581236264</v>
      </c>
      <c r="Y89" s="910">
        <f>IFERROR($C89-U89*TableA4!$D89,"")</f>
        <v>41.457452200350886</v>
      </c>
      <c r="Z89" s="26">
        <f t="shared" si="22"/>
        <v>0.41899070735855304</v>
      </c>
      <c r="AA89" s="26">
        <f t="shared" si="23"/>
        <v>0</v>
      </c>
      <c r="AB89" s="900">
        <f t="shared" si="24"/>
        <v>-0.22561038088537799</v>
      </c>
      <c r="AC89" s="26"/>
      <c r="AD89" s="26"/>
      <c r="AE89" s="26"/>
      <c r="AF89" s="958"/>
      <c r="AG89" s="1007"/>
      <c r="AH89" s="320">
        <f t="shared" si="26"/>
        <v>0</v>
      </c>
      <c r="AI89" s="320">
        <f t="shared" si="27"/>
        <v>0</v>
      </c>
    </row>
    <row r="90" spans="1:35" ht="40" customHeight="1" x14ac:dyDescent="0.2">
      <c r="A90" s="1818" t="s">
        <v>155</v>
      </c>
      <c r="B90" s="1470">
        <f>TableA6!B90</f>
        <v>1423.1461018568671</v>
      </c>
      <c r="C90" s="1348">
        <f>TableA6!E90</f>
        <v>114.1831702680436</v>
      </c>
      <c r="D90" s="1348">
        <v>0</v>
      </c>
      <c r="E90" s="1348">
        <f>TableA3!B90+TableA6!H90-C90-D90</f>
        <v>1308.9629315888235</v>
      </c>
      <c r="F90" s="1703">
        <f t="shared" si="25"/>
        <v>8.0232922058432174E-2</v>
      </c>
      <c r="G90" s="1496">
        <f>TableA2!L90</f>
        <v>0.68108145790914665</v>
      </c>
      <c r="H90" s="1496">
        <f>D90/TableA2!C90</f>
        <v>0</v>
      </c>
      <c r="I90" s="1496">
        <f>TableA6!D90/TableA2!C90</f>
        <v>0</v>
      </c>
      <c r="J90" s="1496">
        <f>TableA6!I90/TableA2!$C90</f>
        <v>0</v>
      </c>
      <c r="K90" s="1496">
        <f>TableA6!J90/TableA2!$C90</f>
        <v>0</v>
      </c>
      <c r="L90" s="1704">
        <f>(C90+E90)/TableA2!C90</f>
        <v>0.68108145790914665</v>
      </c>
      <c r="M90" s="1496">
        <f>C90/TableA4!D90</f>
        <v>0.60344989333220223</v>
      </c>
      <c r="N90" s="1496"/>
      <c r="O90" s="1705">
        <f t="shared" si="21"/>
        <v>0.47996308817683037</v>
      </c>
      <c r="P90" s="919"/>
      <c r="Q90" s="920"/>
      <c r="R90" s="920"/>
      <c r="S90" s="920" t="str">
        <f t="shared" si="28"/>
        <v/>
      </c>
      <c r="T90" s="920" t="str">
        <f t="shared" si="29"/>
        <v/>
      </c>
      <c r="U90" s="921" t="str">
        <f t="shared" si="30"/>
        <v/>
      </c>
      <c r="V90" s="916">
        <f>C90-O90*TableA4!D90</f>
        <v>23.365842060312318</v>
      </c>
      <c r="W90" s="917" t="str">
        <f>IFERROR($C90-S90*TableA4!$D90,"")</f>
        <v/>
      </c>
      <c r="X90" s="917" t="str">
        <f>IFERROR($C90-T90*TableA4!$D90,"")</f>
        <v/>
      </c>
      <c r="Y90" s="918" t="str">
        <f>IFERROR($C90-U90*TableA4!$D90,"")</f>
        <v/>
      </c>
      <c r="Z90" s="917" t="str">
        <f t="shared" si="22"/>
        <v/>
      </c>
      <c r="AA90" s="917" t="str">
        <f t="shared" si="23"/>
        <v/>
      </c>
      <c r="AB90" s="922" t="str">
        <f t="shared" si="24"/>
        <v/>
      </c>
      <c r="AC90" s="514"/>
      <c r="AD90" s="514"/>
      <c r="AE90" s="514"/>
      <c r="AF90" s="958"/>
      <c r="AG90" s="958"/>
      <c r="AH90" s="320">
        <f t="shared" si="26"/>
        <v>0</v>
      </c>
      <c r="AI90" s="320">
        <f t="shared" si="27"/>
        <v>0</v>
      </c>
    </row>
    <row r="91" spans="1:35" ht="40" customHeight="1" thickBot="1" x14ac:dyDescent="0.25">
      <c r="A91" s="901" t="s">
        <v>110</v>
      </c>
      <c r="B91" s="619">
        <f>B90+B53+B45+B9</f>
        <v>11515.286894140658</v>
      </c>
      <c r="C91" s="902">
        <f>C90+C53+C45+C9</f>
        <v>1703.2290592571801</v>
      </c>
      <c r="D91" s="902">
        <f>D90+D53+D45+D9</f>
        <v>83.176702611519431</v>
      </c>
      <c r="E91" s="902">
        <f>E90+E53+E45+E9</f>
        <v>9728.8811322719557</v>
      </c>
      <c r="F91" s="903">
        <f t="shared" si="25"/>
        <v>0.14898641027088974</v>
      </c>
      <c r="G91" s="896">
        <f>TableA2!L91</f>
        <v>0.49990443254630074</v>
      </c>
      <c r="H91" s="896">
        <f>D91/TableA2!C91</f>
        <v>3.7095895154838419E-3</v>
      </c>
      <c r="I91" s="896">
        <f>TableA6!D91/TableA2!C91</f>
        <v>1.3664706276192731E-2</v>
      </c>
      <c r="J91" s="896">
        <f>TableA6!I91/TableA2!$C91</f>
        <v>6.323340074442599E-3</v>
      </c>
      <c r="K91" s="896">
        <f>TableA6!J91/TableA2!$C91</f>
        <v>8.8911378929233814E-3</v>
      </c>
      <c r="L91" s="923">
        <f>(C91+E91)/TableA2!C91</f>
        <v>0.5098595493070095</v>
      </c>
      <c r="M91" s="896">
        <f>C91/TableA4!D91</f>
        <v>0.57176241351494561</v>
      </c>
      <c r="N91" s="896"/>
      <c r="O91" s="924">
        <f>E91/TableA4!G91</f>
        <v>0.50037533847929427</v>
      </c>
      <c r="P91" s="896"/>
      <c r="Q91" s="896"/>
      <c r="R91" s="896"/>
      <c r="S91" s="896" t="str">
        <f t="shared" si="28"/>
        <v/>
      </c>
      <c r="T91" s="896" t="str">
        <f t="shared" si="29"/>
        <v/>
      </c>
      <c r="U91" s="896" t="str">
        <f t="shared" si="30"/>
        <v/>
      </c>
      <c r="V91" s="925">
        <f>V53+V9</f>
        <v>616.46162984891726</v>
      </c>
      <c r="W91" s="904" t="str">
        <f>IFERROR($C91-S91*TableA4!$D91,"")</f>
        <v/>
      </c>
      <c r="X91" s="904" t="str">
        <f>IFERROR($C91-T91*TableA4!$D91,"")</f>
        <v/>
      </c>
      <c r="Y91" s="926" t="str">
        <f>IFERROR($C91-U91*TableA4!$D91,"")</f>
        <v/>
      </c>
      <c r="Z91" s="904">
        <f>+Z53+Z9</f>
        <v>43.474791664169757</v>
      </c>
      <c r="AA91" s="904">
        <f>+AA53+AA9</f>
        <v>0</v>
      </c>
      <c r="AB91" s="905">
        <f>+AB53+AB9</f>
        <v>-23.409503203783729</v>
      </c>
      <c r="AC91" s="26"/>
      <c r="AD91" s="26"/>
      <c r="AE91" s="26"/>
      <c r="AF91" s="958"/>
      <c r="AG91" s="958"/>
      <c r="AH91" s="320">
        <f t="shared" si="26"/>
        <v>-1.2880321809127793E-16</v>
      </c>
      <c r="AI91" s="320">
        <f t="shared" si="27"/>
        <v>0</v>
      </c>
    </row>
    <row r="92" spans="1:35" s="2" customFormat="1" x14ac:dyDescent="0.2">
      <c r="B92" s="958"/>
      <c r="C92" s="958"/>
      <c r="D92" s="958"/>
      <c r="E92" s="958"/>
      <c r="F92" s="958"/>
      <c r="G92" s="958"/>
      <c r="H92" s="958"/>
      <c r="I92" s="958"/>
      <c r="J92" s="958"/>
      <c r="K92" s="958"/>
      <c r="L92" s="958"/>
      <c r="M92" s="958"/>
      <c r="N92" s="958"/>
      <c r="O92" s="958"/>
      <c r="P92" s="958"/>
      <c r="Q92" s="958"/>
      <c r="R92" s="958"/>
      <c r="S92" s="958"/>
      <c r="T92" s="958"/>
      <c r="U92" s="958"/>
    </row>
    <row r="93" spans="1:35" s="2" customFormat="1" x14ac:dyDescent="0.2">
      <c r="B93" s="958"/>
      <c r="C93" s="958"/>
      <c r="D93" s="958"/>
      <c r="E93" s="958"/>
      <c r="F93" s="958"/>
      <c r="G93" s="958"/>
      <c r="H93" s="958"/>
      <c r="I93" s="958"/>
      <c r="J93" s="958"/>
      <c r="K93" s="958"/>
      <c r="L93" s="958"/>
      <c r="M93" s="958"/>
      <c r="N93" s="958"/>
      <c r="O93" s="958"/>
      <c r="P93" s="958"/>
      <c r="Q93" s="958"/>
      <c r="R93" s="958"/>
      <c r="S93" s="958"/>
      <c r="T93" s="958"/>
      <c r="U93" s="958"/>
    </row>
    <row r="94" spans="1:35" s="2" customFormat="1" x14ac:dyDescent="0.2">
      <c r="A94" s="172" t="s">
        <v>166</v>
      </c>
      <c r="B94" s="313">
        <f>B91-C91-D91-E91</f>
        <v>0</v>
      </c>
      <c r="C94" s="172"/>
      <c r="D94" s="172"/>
      <c r="E94" s="172"/>
      <c r="F94" s="172"/>
      <c r="G94" s="172"/>
      <c r="H94" s="172"/>
      <c r="I94" s="172"/>
      <c r="J94" s="172"/>
      <c r="K94" s="172"/>
      <c r="L94" s="172"/>
      <c r="M94" s="172"/>
      <c r="N94" s="172"/>
      <c r="O94" s="172"/>
      <c r="P94" s="172"/>
      <c r="Q94" s="172"/>
      <c r="R94" s="172"/>
      <c r="S94" s="172"/>
      <c r="T94" s="172"/>
      <c r="U94" s="172"/>
      <c r="V94" s="314"/>
      <c r="W94" s="314"/>
      <c r="X94" s="314"/>
      <c r="Y94" s="314"/>
      <c r="Z94" s="314"/>
      <c r="AA94" s="314"/>
      <c r="AB94" s="314"/>
      <c r="AC94" s="314"/>
      <c r="AD94" s="314"/>
      <c r="AE94" s="314"/>
    </row>
    <row r="95" spans="1:35" s="2" customFormat="1" x14ac:dyDescent="0.2">
      <c r="A95" s="958"/>
      <c r="B95" s="958"/>
      <c r="C95" s="958"/>
      <c r="D95" s="958"/>
      <c r="E95" s="958"/>
      <c r="F95" s="958"/>
      <c r="G95" s="958"/>
      <c r="H95" s="958"/>
      <c r="I95" s="958"/>
      <c r="J95" s="958"/>
      <c r="K95" s="958"/>
      <c r="L95" s="958"/>
      <c r="M95" s="958"/>
      <c r="N95" s="958"/>
      <c r="O95" s="958"/>
      <c r="P95" s="958"/>
      <c r="Q95" s="958"/>
      <c r="R95" s="958"/>
      <c r="S95" s="958"/>
      <c r="T95" s="958"/>
      <c r="U95" s="958"/>
      <c r="V95" s="394"/>
      <c r="W95" s="394"/>
      <c r="X95" s="394"/>
      <c r="Y95" s="394"/>
      <c r="Z95" s="394"/>
      <c r="AA95" s="394"/>
      <c r="AB95" s="394"/>
      <c r="AC95" s="394"/>
      <c r="AD95" s="394"/>
      <c r="AE95" s="394"/>
    </row>
    <row r="96" spans="1:35" s="2" customFormat="1" x14ac:dyDescent="0.2">
      <c r="A96" s="958"/>
      <c r="B96" s="958"/>
      <c r="C96" s="958"/>
      <c r="D96" s="958"/>
      <c r="E96" s="958"/>
      <c r="F96" s="958"/>
      <c r="G96" s="958"/>
      <c r="H96" s="958"/>
      <c r="I96" s="958"/>
      <c r="J96" s="958"/>
      <c r="K96" s="958"/>
      <c r="L96" s="958"/>
      <c r="M96" s="958"/>
      <c r="N96" s="958"/>
      <c r="O96" s="958"/>
      <c r="P96" s="958"/>
      <c r="Q96" s="958"/>
      <c r="R96" s="958"/>
      <c r="S96" s="958"/>
      <c r="T96" s="958"/>
      <c r="U96" s="958"/>
    </row>
    <row r="97" spans="1:21" s="2" customFormat="1" x14ac:dyDescent="0.2">
      <c r="A97" s="958"/>
      <c r="B97" s="958"/>
      <c r="C97" s="958"/>
      <c r="D97" s="958"/>
      <c r="E97" s="958"/>
      <c r="F97" s="958"/>
      <c r="G97" s="958"/>
      <c r="H97" s="958"/>
      <c r="I97" s="958"/>
      <c r="J97" s="958"/>
      <c r="K97" s="958"/>
      <c r="L97" s="958"/>
      <c r="M97" s="958"/>
      <c r="N97" s="958"/>
      <c r="O97" s="958"/>
      <c r="P97" s="958"/>
      <c r="Q97" s="958"/>
      <c r="R97" s="958"/>
      <c r="S97" s="958"/>
      <c r="T97" s="958"/>
      <c r="U97" s="958"/>
    </row>
    <row r="99" spans="1:21" s="2" customFormat="1" x14ac:dyDescent="0.2">
      <c r="A99" s="958"/>
      <c r="B99" s="958"/>
      <c r="C99" s="958"/>
      <c r="D99" s="958"/>
      <c r="E99" s="958"/>
      <c r="F99" s="958"/>
      <c r="G99" s="958"/>
      <c r="H99" s="958"/>
      <c r="I99" s="958"/>
      <c r="J99" s="958"/>
      <c r="K99" s="958"/>
      <c r="L99" s="958"/>
      <c r="M99" s="958"/>
      <c r="N99" s="958"/>
      <c r="O99" s="958"/>
      <c r="P99" s="958"/>
      <c r="Q99" s="958"/>
      <c r="R99" s="958"/>
      <c r="S99" s="958"/>
      <c r="T99" s="958"/>
      <c r="U99" s="958"/>
    </row>
  </sheetData>
  <mergeCells count="21">
    <mergeCell ref="V7:Y7"/>
    <mergeCell ref="Z7:AB7"/>
    <mergeCell ref="A3:AB3"/>
    <mergeCell ref="Z6:AB6"/>
    <mergeCell ref="N6:N7"/>
    <mergeCell ref="O6:O7"/>
    <mergeCell ref="V6:Y6"/>
    <mergeCell ref="B7:B8"/>
    <mergeCell ref="P6:P8"/>
    <mergeCell ref="Q6:Q7"/>
    <mergeCell ref="R6:R7"/>
    <mergeCell ref="S6:U7"/>
    <mergeCell ref="B6:E6"/>
    <mergeCell ref="F6:F8"/>
    <mergeCell ref="G6:G8"/>
    <mergeCell ref="H6:H8"/>
    <mergeCell ref="I6:I8"/>
    <mergeCell ref="J6:J7"/>
    <mergeCell ref="K6:K7"/>
    <mergeCell ref="L6:L8"/>
    <mergeCell ref="M6:M7"/>
  </mergeCells>
  <pageMargins left="0.7" right="0.7" top="0.75" bottom="0.75" header="0.3" footer="0.3"/>
  <pageSetup scale="50" fitToHeight="0" orientation="landscape" horizontalDpi="4294967292" verticalDpi="429496729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S99"/>
  <sheetViews>
    <sheetView zoomScale="87" zoomScaleNormal="70" zoomScalePageLayoutView="85" workbookViewId="0">
      <pane xSplit="1" ySplit="8" topLeftCell="B57" activePane="bottomRight" state="frozen"/>
      <selection pane="topRight" activeCell="AR8" sqref="AR8"/>
      <selection pane="bottomLeft" activeCell="AR8" sqref="AR8"/>
      <selection pane="bottomRight" activeCell="F72" sqref="F72"/>
    </sheetView>
  </sheetViews>
  <sheetFormatPr baseColWidth="10" defaultColWidth="10.83203125" defaultRowHeight="16" x14ac:dyDescent="0.2"/>
  <cols>
    <col min="1" max="1" width="24.6640625" style="1049" customWidth="1"/>
    <col min="2" max="2" width="10.83203125" style="1"/>
    <col min="3" max="4" width="10.83203125" style="958"/>
    <col min="5" max="5" width="12.6640625" style="958" customWidth="1"/>
    <col min="6" max="7" width="10.83203125" style="958"/>
    <col min="8" max="11" width="11.33203125" style="1" hidden="1" customWidth="1"/>
    <col min="12" max="12" width="0" style="1" hidden="1" customWidth="1"/>
    <col min="13" max="16384" width="10.83203125" style="1"/>
  </cols>
  <sheetData>
    <row r="1" spans="1:11" x14ac:dyDescent="0.2">
      <c r="A1" s="1706"/>
      <c r="B1" s="1004"/>
      <c r="H1" s="958"/>
      <c r="I1" s="958"/>
      <c r="J1" s="958"/>
      <c r="K1" s="958"/>
    </row>
    <row r="2" spans="1:11" ht="17" thickBot="1" x14ac:dyDescent="0.25">
      <c r="A2" s="1707"/>
      <c r="B2" s="958"/>
      <c r="H2" s="958"/>
      <c r="I2" s="958"/>
      <c r="J2" s="958"/>
      <c r="K2" s="958"/>
    </row>
    <row r="3" spans="1:11" ht="32.25" customHeight="1" x14ac:dyDescent="0.2">
      <c r="A3" s="2073" t="s">
        <v>903</v>
      </c>
      <c r="B3" s="2074"/>
      <c r="C3" s="2074"/>
      <c r="D3" s="2074"/>
      <c r="E3" s="2074"/>
      <c r="F3" s="2074"/>
      <c r="G3" s="2075"/>
      <c r="H3" s="1839"/>
      <c r="I3" s="1839"/>
      <c r="J3" s="1839"/>
      <c r="K3" s="1839"/>
    </row>
    <row r="4" spans="1:11" ht="12" customHeight="1" x14ac:dyDescent="0.2">
      <c r="A4" s="1708"/>
      <c r="B4" s="1031"/>
      <c r="C4" s="1031"/>
      <c r="D4" s="1031"/>
      <c r="E4" s="1031"/>
      <c r="F4" s="1031"/>
      <c r="G4" s="957"/>
      <c r="H4" s="620"/>
      <c r="I4" s="620"/>
      <c r="J4" s="620"/>
      <c r="K4" s="620"/>
    </row>
    <row r="5" spans="1:11" x14ac:dyDescent="0.2">
      <c r="A5" s="1050"/>
      <c r="B5" s="3" t="s">
        <v>1</v>
      </c>
      <c r="C5" s="3" t="s">
        <v>2</v>
      </c>
      <c r="D5" s="3" t="s">
        <v>3</v>
      </c>
      <c r="E5" s="3" t="s">
        <v>4</v>
      </c>
      <c r="F5" s="3" t="s">
        <v>5</v>
      </c>
      <c r="G5" s="793" t="s">
        <v>6</v>
      </c>
      <c r="H5" s="1031"/>
      <c r="I5" s="1031"/>
      <c r="J5" s="1031"/>
      <c r="K5" s="1031"/>
    </row>
    <row r="6" spans="1:11" ht="21" customHeight="1" x14ac:dyDescent="0.2">
      <c r="A6" s="1709"/>
      <c r="B6" s="2273" t="s">
        <v>904</v>
      </c>
      <c r="C6" s="2265" t="s">
        <v>905</v>
      </c>
      <c r="D6" s="2017"/>
      <c r="E6" s="2017"/>
      <c r="F6" s="2017"/>
      <c r="G6" s="2018"/>
      <c r="H6" s="1835" t="s">
        <v>206</v>
      </c>
      <c r="I6" s="1825" t="s">
        <v>207</v>
      </c>
      <c r="J6" s="1829" t="s">
        <v>208</v>
      </c>
      <c r="K6" s="1830" t="s">
        <v>209</v>
      </c>
    </row>
    <row r="7" spans="1:11" ht="91" customHeight="1" x14ac:dyDescent="0.2">
      <c r="A7" s="1051"/>
      <c r="B7" s="2070"/>
      <c r="C7" s="1824" t="s">
        <v>1748</v>
      </c>
      <c r="D7" s="1825" t="s">
        <v>1749</v>
      </c>
      <c r="E7" s="1854" t="s">
        <v>906</v>
      </c>
      <c r="F7" s="1820" t="s">
        <v>907</v>
      </c>
      <c r="G7" s="1857" t="s">
        <v>908</v>
      </c>
      <c r="H7" s="1819"/>
      <c r="I7" s="1826"/>
      <c r="J7" s="1828"/>
      <c r="K7" s="1831"/>
    </row>
    <row r="8" spans="1:11" ht="33" hidden="1" customHeight="1" x14ac:dyDescent="0.2">
      <c r="A8" s="1710"/>
      <c r="B8" s="2088"/>
      <c r="C8" s="1820">
        <v>0.45</v>
      </c>
      <c r="D8" s="1700">
        <v>-0.45</v>
      </c>
      <c r="E8" s="1031"/>
      <c r="F8" s="1031"/>
      <c r="G8" s="957"/>
      <c r="H8" s="1853"/>
      <c r="I8" s="1820"/>
      <c r="J8" s="1820"/>
      <c r="K8" s="1820"/>
    </row>
    <row r="9" spans="1:11" ht="67" customHeight="1" x14ac:dyDescent="0.2">
      <c r="A9" s="1052" t="s">
        <v>28</v>
      </c>
      <c r="B9" s="1033">
        <f t="shared" ref="B9:G9" si="0">B12+B24+B30+B32+B41</f>
        <v>281.74149562210869</v>
      </c>
      <c r="C9" s="1036">
        <f t="shared" si="0"/>
        <v>213.61464887090872</v>
      </c>
      <c r="D9" s="1036">
        <f t="shared" si="0"/>
        <v>358.0809989040302</v>
      </c>
      <c r="E9" s="1036">
        <f t="shared" si="0"/>
        <v>243.03095630348787</v>
      </c>
      <c r="F9" s="1036">
        <f t="shared" si="0"/>
        <v>304.57484169223159</v>
      </c>
      <c r="G9" s="1045">
        <f t="shared" si="0"/>
        <v>269.44661696896549</v>
      </c>
      <c r="H9" s="266" t="e">
        <f>#REF!/TableA2!C9</f>
        <v>#REF!</v>
      </c>
      <c r="I9" s="266">
        <f>J9+K9</f>
        <v>7.7645217153016902E-3</v>
      </c>
      <c r="J9" s="266">
        <f>TableA6!I9/TableA2!$C9</f>
        <v>6.6527210204393103E-3</v>
      </c>
      <c r="K9" s="266">
        <f>TableA6!J9/TableA2!$C9</f>
        <v>1.1118006948623801E-3</v>
      </c>
    </row>
    <row r="10" spans="1:11" ht="14.25" hidden="1" customHeight="1" x14ac:dyDescent="0.2">
      <c r="A10" s="1053" t="s">
        <v>29</v>
      </c>
      <c r="B10" s="1711"/>
      <c r="C10" s="1037"/>
      <c r="D10" s="1037"/>
      <c r="E10" s="1037"/>
      <c r="F10" s="1037"/>
      <c r="G10" s="1046"/>
      <c r="H10" s="1216" t="e">
        <f>#REF!/TableA2!C10</f>
        <v>#REF!</v>
      </c>
      <c r="I10" s="1216">
        <f>J10+K10</f>
        <v>0</v>
      </c>
      <c r="J10" s="1216">
        <f>TableA6!I10/TableA2!$C10</f>
        <v>0</v>
      </c>
      <c r="K10" s="1216">
        <f>TableA6!J10/TableA2!$C10</f>
        <v>0</v>
      </c>
    </row>
    <row r="11" spans="1:11" ht="14.25" hidden="1" customHeight="1" x14ac:dyDescent="0.2">
      <c r="A11" s="1053" t="s">
        <v>30</v>
      </c>
      <c r="B11" s="1711"/>
      <c r="C11" s="1037"/>
      <c r="D11" s="1037"/>
      <c r="E11" s="1037"/>
      <c r="F11" s="1037"/>
      <c r="G11" s="1046"/>
      <c r="H11" s="1184" t="e">
        <f>#REF!/TableA2!C11</f>
        <v>#REF!</v>
      </c>
      <c r="I11" s="1184">
        <f t="shared" ref="I11:I52" si="1">J11+K11</f>
        <v>0</v>
      </c>
      <c r="J11" s="1184">
        <f>TableA6!I11/TableA2!$C11</f>
        <v>0</v>
      </c>
      <c r="K11" s="1184">
        <f>TableA6!J11/TableA2!$C11</f>
        <v>0</v>
      </c>
    </row>
    <row r="12" spans="1:11" ht="17.25" customHeight="1" x14ac:dyDescent="0.2">
      <c r="A12" s="1053" t="s">
        <v>31</v>
      </c>
      <c r="B12" s="1711">
        <f>+TableA7!C12*(TableA7!M12-TableA7!O12)/TableA7!M12</f>
        <v>13.106870602869716</v>
      </c>
      <c r="C12" s="1037">
        <v>0</v>
      </c>
      <c r="D12" s="1037">
        <f>+TableA7!$C12*(TableA7!$M12-$D$8-TableA7!$O12)/TableA7!$M12</f>
        <v>34.426397736461062</v>
      </c>
      <c r="E12" s="1037">
        <f>+TableA7!$C12*(TableA7!$M12-TableA7!I12-TableA7!$O12)/TableA7!$M12</f>
        <v>12.091712517011789</v>
      </c>
      <c r="F12" s="1037">
        <f>+'Table E3'!W12</f>
        <v>16.201614819287155</v>
      </c>
      <c r="G12" s="1046">
        <f>+'Table E3'!Y12</f>
        <v>11.440469870952633</v>
      </c>
      <c r="H12" s="1184" t="e">
        <f>#REF!/TableA2!C12</f>
        <v>#REF!</v>
      </c>
      <c r="I12" s="1184">
        <f t="shared" si="1"/>
        <v>2.1427357922788704E-2</v>
      </c>
      <c r="J12" s="1184">
        <f>TableA6!I12/TableA2!$C12</f>
        <v>2.1427357922788704E-2</v>
      </c>
      <c r="K12" s="1184">
        <f>TableA6!J12/TableA2!$C12</f>
        <v>0</v>
      </c>
    </row>
    <row r="13" spans="1:11" ht="17.25" hidden="1" customHeight="1" x14ac:dyDescent="0.2">
      <c r="A13" s="1054" t="s">
        <v>32</v>
      </c>
      <c r="B13" s="1711"/>
      <c r="C13" s="1037"/>
      <c r="D13" s="1037"/>
      <c r="E13" s="1038"/>
      <c r="F13" s="1037"/>
      <c r="G13" s="1046"/>
      <c r="H13" s="1184" t="e">
        <f>#REF!/TableA2!C13</f>
        <v>#REF!</v>
      </c>
      <c r="I13" s="1184">
        <f t="shared" si="1"/>
        <v>0</v>
      </c>
      <c r="J13" s="1184">
        <f>TableA6!I13/TableA2!$C13</f>
        <v>0</v>
      </c>
      <c r="K13" s="1184">
        <f>TableA6!J13/TableA2!$C13</f>
        <v>0</v>
      </c>
    </row>
    <row r="14" spans="1:11" ht="17.25" hidden="1" customHeight="1" x14ac:dyDescent="0.2">
      <c r="A14" s="1053" t="s">
        <v>33</v>
      </c>
      <c r="B14" s="1711"/>
      <c r="C14" s="1037"/>
      <c r="D14" s="1037"/>
      <c r="E14" s="1037"/>
      <c r="F14" s="1037"/>
      <c r="G14" s="1046"/>
      <c r="H14" s="1184" t="e">
        <f>#REF!/TableA2!C14</f>
        <v>#REF!</v>
      </c>
      <c r="I14" s="1184">
        <f t="shared" si="1"/>
        <v>0</v>
      </c>
      <c r="J14" s="1184">
        <f>TableA6!I14/TableA2!$C14</f>
        <v>0</v>
      </c>
      <c r="K14" s="1184">
        <f>TableA6!J14/TableA2!$C14</f>
        <v>0</v>
      </c>
    </row>
    <row r="15" spans="1:11" ht="17.25" hidden="1" customHeight="1" x14ac:dyDescent="0.2">
      <c r="A15" s="1053" t="s">
        <v>34</v>
      </c>
      <c r="B15" s="1711"/>
      <c r="C15" s="1037"/>
      <c r="D15" s="1037"/>
      <c r="E15" s="1037"/>
      <c r="F15" s="1037"/>
      <c r="G15" s="1046"/>
      <c r="H15" s="1184" t="e">
        <f>#REF!/TableA2!C15</f>
        <v>#REF!</v>
      </c>
      <c r="I15" s="1184">
        <f t="shared" si="1"/>
        <v>0</v>
      </c>
      <c r="J15" s="1184">
        <f>TableA6!I15/TableA2!$C15</f>
        <v>0</v>
      </c>
      <c r="K15" s="1184">
        <f>TableA6!J15/TableA2!$C15</f>
        <v>0</v>
      </c>
    </row>
    <row r="16" spans="1:11" ht="17.25" hidden="1" customHeight="1" x14ac:dyDescent="0.2">
      <c r="A16" s="1053" t="s">
        <v>35</v>
      </c>
      <c r="B16" s="1711"/>
      <c r="C16" s="1037"/>
      <c r="D16" s="1037"/>
      <c r="E16" s="1037"/>
      <c r="F16" s="1037"/>
      <c r="G16" s="1046"/>
      <c r="H16" s="1184" t="e">
        <f>#REF!/TableA2!C16</f>
        <v>#REF!</v>
      </c>
      <c r="I16" s="1184">
        <f t="shared" si="1"/>
        <v>0</v>
      </c>
      <c r="J16" s="1184">
        <f>TableA6!I16/TableA2!$C16</f>
        <v>0</v>
      </c>
      <c r="K16" s="1184">
        <f>TableA6!J16/TableA2!$C16</f>
        <v>0</v>
      </c>
    </row>
    <row r="17" spans="1:11" ht="17.25" hidden="1" customHeight="1" x14ac:dyDescent="0.2">
      <c r="A17" s="1053" t="s">
        <v>36</v>
      </c>
      <c r="B17" s="1711"/>
      <c r="C17" s="1037"/>
      <c r="D17" s="1037"/>
      <c r="E17" s="1037"/>
      <c r="F17" s="1037"/>
      <c r="G17" s="1046"/>
      <c r="H17" s="1184" t="e">
        <f>#REF!/TableA2!C17</f>
        <v>#REF!</v>
      </c>
      <c r="I17" s="1184">
        <f t="shared" si="1"/>
        <v>0</v>
      </c>
      <c r="J17" s="1184">
        <f>TableA6!I17/TableA2!$C17</f>
        <v>0</v>
      </c>
      <c r="K17" s="1184">
        <f>TableA6!J17/TableA2!$C17</f>
        <v>0</v>
      </c>
    </row>
    <row r="18" spans="1:11" ht="17.25" hidden="1" customHeight="1" x14ac:dyDescent="0.2">
      <c r="A18" s="1053" t="s">
        <v>37</v>
      </c>
      <c r="B18" s="1711"/>
      <c r="C18" s="1037"/>
      <c r="D18" s="1037"/>
      <c r="E18" s="1037"/>
      <c r="F18" s="1037"/>
      <c r="G18" s="1046"/>
      <c r="H18" s="1184" t="e">
        <f>#REF!/TableA2!C18</f>
        <v>#REF!</v>
      </c>
      <c r="I18" s="1184">
        <f t="shared" si="1"/>
        <v>0</v>
      </c>
      <c r="J18" s="1184">
        <f>TableA6!I18/TableA2!$C18</f>
        <v>0</v>
      </c>
      <c r="K18" s="1184">
        <f>TableA6!J18/TableA2!$C18</f>
        <v>0</v>
      </c>
    </row>
    <row r="19" spans="1:11" ht="17.25" hidden="1" customHeight="1" x14ac:dyDescent="0.2">
      <c r="A19" s="1053" t="s">
        <v>38</v>
      </c>
      <c r="B19" s="1711"/>
      <c r="C19" s="1037"/>
      <c r="D19" s="1037"/>
      <c r="E19" s="1037"/>
      <c r="F19" s="1037"/>
      <c r="G19" s="1046"/>
      <c r="H19" s="1184" t="e">
        <f>#REF!/TableA2!C19</f>
        <v>#REF!</v>
      </c>
      <c r="I19" s="1184">
        <f t="shared" si="1"/>
        <v>0</v>
      </c>
      <c r="J19" s="1184">
        <f>TableA6!I19/TableA2!$C19</f>
        <v>0</v>
      </c>
      <c r="K19" s="1184">
        <f>TableA6!J19/TableA2!$C19</f>
        <v>0</v>
      </c>
    </row>
    <row r="20" spans="1:11" ht="17.25" hidden="1" customHeight="1" x14ac:dyDescent="0.2">
      <c r="A20" s="1055" t="s">
        <v>39</v>
      </c>
      <c r="B20" s="1711"/>
      <c r="C20" s="1037"/>
      <c r="D20" s="1037"/>
      <c r="E20" s="1039"/>
      <c r="F20" s="1037"/>
      <c r="G20" s="1046"/>
      <c r="H20" s="1184" t="e">
        <f>#REF!/TableA2!C20</f>
        <v>#REF!</v>
      </c>
      <c r="I20" s="1184">
        <f t="shared" si="1"/>
        <v>0</v>
      </c>
      <c r="J20" s="1184">
        <f>TableA6!I20/TableA2!$C20</f>
        <v>0</v>
      </c>
      <c r="K20" s="1184">
        <f>TableA6!J20/TableA2!$C20</f>
        <v>0</v>
      </c>
    </row>
    <row r="21" spans="1:11" ht="17.25" hidden="1" customHeight="1" x14ac:dyDescent="0.2">
      <c r="A21" s="1055" t="s">
        <v>40</v>
      </c>
      <c r="B21" s="1711"/>
      <c r="C21" s="1037"/>
      <c r="D21" s="1037"/>
      <c r="E21" s="1039"/>
      <c r="F21" s="1037"/>
      <c r="G21" s="1046"/>
      <c r="H21" s="1184" t="e">
        <f>#REF!/TableA2!C21</f>
        <v>#REF!</v>
      </c>
      <c r="I21" s="1184">
        <f t="shared" si="1"/>
        <v>0</v>
      </c>
      <c r="J21" s="1184">
        <f>TableA6!I21/TableA2!$C21</f>
        <v>0</v>
      </c>
      <c r="K21" s="1184">
        <f>TableA6!J21/TableA2!$C21</f>
        <v>0</v>
      </c>
    </row>
    <row r="22" spans="1:11" ht="17.25" hidden="1" customHeight="1" x14ac:dyDescent="0.2">
      <c r="A22" s="1055" t="s">
        <v>41</v>
      </c>
      <c r="B22" s="1711"/>
      <c r="C22" s="1037"/>
      <c r="D22" s="1037"/>
      <c r="E22" s="1039"/>
      <c r="F22" s="1037"/>
      <c r="G22" s="1046"/>
      <c r="H22" s="1184" t="e">
        <f>#REF!/TableA2!C22</f>
        <v>#REF!</v>
      </c>
      <c r="I22" s="1184">
        <f t="shared" si="1"/>
        <v>0</v>
      </c>
      <c r="J22" s="1184">
        <f>TableA6!I22/TableA2!$C22</f>
        <v>0</v>
      </c>
      <c r="K22" s="1184">
        <f>TableA6!J22/TableA2!$C22</f>
        <v>0</v>
      </c>
    </row>
    <row r="23" spans="1:11" hidden="1" x14ac:dyDescent="0.2">
      <c r="A23" s="1055" t="s">
        <v>42</v>
      </c>
      <c r="B23" s="1711"/>
      <c r="C23" s="1037"/>
      <c r="D23" s="1037"/>
      <c r="E23" s="1039"/>
      <c r="F23" s="1037"/>
      <c r="G23" s="1046"/>
      <c r="H23" s="1184" t="e">
        <f>#REF!/TableA2!C23</f>
        <v>#REF!</v>
      </c>
      <c r="I23" s="1184">
        <f t="shared" si="1"/>
        <v>0</v>
      </c>
      <c r="J23" s="1184">
        <f>TableA6!I23/TableA2!$C23</f>
        <v>0</v>
      </c>
      <c r="K23" s="1184">
        <f>TableA6!J23/TableA2!$C23</f>
        <v>0</v>
      </c>
    </row>
    <row r="24" spans="1:11" ht="17.25" customHeight="1" x14ac:dyDescent="0.2">
      <c r="A24" s="1055" t="s">
        <v>43</v>
      </c>
      <c r="B24" s="1711">
        <f>+TableA7!C24*(TableA7!M24-TableA7!O24)/TableA7!M24</f>
        <v>106.32896387291392</v>
      </c>
      <c r="C24" s="1037">
        <f>+TableA7!$C24*(TableA7!$M24-$C$8-TableA7!$O24)/TableA7!$M24</f>
        <v>99.788313428438087</v>
      </c>
      <c r="D24" s="1037">
        <f>+TableA7!$C24*(TableA7!$M24-$D$8-TableA7!$O24)/TableA7!$M24</f>
        <v>112.86961431738972</v>
      </c>
      <c r="E24" s="1039">
        <f>+TableA7!$C24*(TableA7!$M24-TableA7!I24-TableA7!$O24)/TableA7!$M24</f>
        <v>94.776553088050775</v>
      </c>
      <c r="F24" s="1037">
        <f>+'Table E3'!W24</f>
        <v>114.97499700568162</v>
      </c>
      <c r="G24" s="1046">
        <f>+'Table E3'!Y24</f>
        <v>101.67340757065438</v>
      </c>
      <c r="H24" s="1184" t="e">
        <f>#REF!/TableA2!C24</f>
        <v>#REF!</v>
      </c>
      <c r="I24" s="1184">
        <f t="shared" si="1"/>
        <v>0.79481160128028239</v>
      </c>
      <c r="J24" s="1184">
        <f>TableA6!I24/TableA2!$C24</f>
        <v>0.79481160128028239</v>
      </c>
      <c r="K24" s="1184">
        <f>TableA6!J24/TableA2!$C24</f>
        <v>0</v>
      </c>
    </row>
    <row r="25" spans="1:11" ht="17.25" hidden="1" customHeight="1" x14ac:dyDescent="0.2">
      <c r="A25" s="1055" t="s">
        <v>44</v>
      </c>
      <c r="B25" s="1711"/>
      <c r="C25" s="1037"/>
      <c r="D25" s="1037"/>
      <c r="E25" s="1039"/>
      <c r="F25" s="1037"/>
      <c r="G25" s="1046"/>
      <c r="H25" s="1184" t="e">
        <f>#REF!/TableA2!C25</f>
        <v>#REF!</v>
      </c>
      <c r="I25" s="1184">
        <f t="shared" si="1"/>
        <v>0</v>
      </c>
      <c r="J25" s="1184">
        <f>TableA6!I25/TableA2!$C25</f>
        <v>0</v>
      </c>
      <c r="K25" s="1184">
        <f>TableA6!J25/TableA2!$C25</f>
        <v>0</v>
      </c>
    </row>
    <row r="26" spans="1:11" ht="17.25" hidden="1" customHeight="1" x14ac:dyDescent="0.2">
      <c r="A26" s="1055" t="s">
        <v>45</v>
      </c>
      <c r="B26" s="1711"/>
      <c r="C26" s="1037"/>
      <c r="D26" s="1037"/>
      <c r="E26" s="1039"/>
      <c r="F26" s="1037"/>
      <c r="G26" s="1046"/>
      <c r="H26" s="1184" t="e">
        <f>#REF!/TableA2!C26</f>
        <v>#REF!</v>
      </c>
      <c r="I26" s="1184">
        <f t="shared" si="1"/>
        <v>0</v>
      </c>
      <c r="J26" s="1184">
        <f>TableA6!I26/TableA2!$C26</f>
        <v>0</v>
      </c>
      <c r="K26" s="1184">
        <f>TableA6!J26/TableA2!$C26</f>
        <v>0</v>
      </c>
    </row>
    <row r="27" spans="1:11" ht="17.25" hidden="1" customHeight="1" x14ac:dyDescent="0.2">
      <c r="A27" s="1056" t="s">
        <v>46</v>
      </c>
      <c r="B27" s="1711"/>
      <c r="C27" s="1037"/>
      <c r="D27" s="1037"/>
      <c r="E27" s="1040"/>
      <c r="F27" s="1037"/>
      <c r="G27" s="1046"/>
      <c r="H27" s="1184" t="e">
        <f>#REF!/TableA2!C27</f>
        <v>#REF!</v>
      </c>
      <c r="I27" s="1184">
        <f t="shared" si="1"/>
        <v>0</v>
      </c>
      <c r="J27" s="1184">
        <f>TableA6!I27/TableA2!$C27</f>
        <v>0</v>
      </c>
      <c r="K27" s="1184">
        <f>TableA6!J27/TableA2!$C27</f>
        <v>0</v>
      </c>
    </row>
    <row r="28" spans="1:11" hidden="1" x14ac:dyDescent="0.2">
      <c r="A28" s="1055" t="s">
        <v>47</v>
      </c>
      <c r="B28" s="1711"/>
      <c r="C28" s="1037"/>
      <c r="D28" s="1037"/>
      <c r="E28" s="1039"/>
      <c r="F28" s="1037"/>
      <c r="G28" s="1046"/>
      <c r="H28" s="1184" t="e">
        <f>#REF!/TableA2!C28</f>
        <v>#REF!</v>
      </c>
      <c r="I28" s="1184">
        <f t="shared" si="1"/>
        <v>0</v>
      </c>
      <c r="J28" s="1184">
        <f>TableA6!I28/TableA2!$C28</f>
        <v>0</v>
      </c>
      <c r="K28" s="1184">
        <f>TableA6!J28/TableA2!$C28</f>
        <v>0</v>
      </c>
    </row>
    <row r="29" spans="1:11" ht="17.25" hidden="1" customHeight="1" x14ac:dyDescent="0.2">
      <c r="A29" s="1055" t="s">
        <v>48</v>
      </c>
      <c r="B29" s="1711"/>
      <c r="C29" s="1037"/>
      <c r="D29" s="1037"/>
      <c r="E29" s="1039"/>
      <c r="F29" s="1037"/>
      <c r="G29" s="1046"/>
      <c r="H29" s="1184" t="e">
        <f>#REF!/TableA2!C29</f>
        <v>#REF!</v>
      </c>
      <c r="I29" s="1184">
        <f t="shared" si="1"/>
        <v>0</v>
      </c>
      <c r="J29" s="1184">
        <f>TableA6!I29/TableA2!$C29</f>
        <v>0</v>
      </c>
      <c r="K29" s="1184">
        <f>TableA6!J29/TableA2!$C29</f>
        <v>0</v>
      </c>
    </row>
    <row r="30" spans="1:11" ht="17.25" customHeight="1" x14ac:dyDescent="0.2">
      <c r="A30" s="1055" t="s">
        <v>49</v>
      </c>
      <c r="B30" s="1711">
        <f>+TableA7!C30*(TableA7!M30-TableA7!O30)/TableA7!M30</f>
        <v>46.799572185855702</v>
      </c>
      <c r="C30" s="1037">
        <f>+TableA7!$C30*(TableA7!$M30-$C$8-TableA7!$O30)/TableA7!$M30</f>
        <v>41.788958417235847</v>
      </c>
      <c r="D30" s="1037">
        <f>+TableA7!$C30*(TableA7!$M30-$D$8-TableA7!$O30)/TableA7!$M30</f>
        <v>51.81018595447555</v>
      </c>
      <c r="E30" s="1039">
        <f>+TableA7!$C30*(TableA7!$M30-TableA7!I30-TableA7!$O30)/TableA7!$M30</f>
        <v>30.396164106584788</v>
      </c>
      <c r="F30" s="1037">
        <f>+'Table E3'!W30</f>
        <v>46.326891096516782</v>
      </c>
      <c r="G30" s="1046">
        <f>+'Table E3'!Y30</f>
        <v>47.054092772422806</v>
      </c>
      <c r="H30" s="1184" t="e">
        <f>#REF!/TableA2!C30</f>
        <v>#REF!</v>
      </c>
      <c r="I30" s="1184">
        <f t="shared" si="1"/>
        <v>1.4731795298014214</v>
      </c>
      <c r="J30" s="1184">
        <f>TableA6!I30/TableA2!$C30</f>
        <v>1.1684081444524146</v>
      </c>
      <c r="K30" s="1184">
        <f>TableA6!J30/TableA2!$C30</f>
        <v>0.30477138534900672</v>
      </c>
    </row>
    <row r="31" spans="1:11" ht="17.25" hidden="1" customHeight="1" x14ac:dyDescent="0.2">
      <c r="A31" s="1055" t="s">
        <v>50</v>
      </c>
      <c r="B31" s="1711"/>
      <c r="C31" s="1037"/>
      <c r="D31" s="1037"/>
      <c r="E31" s="1039"/>
      <c r="F31" s="1037"/>
      <c r="G31" s="1046"/>
      <c r="H31" s="1184" t="e">
        <f>#REF!/TableA2!C31</f>
        <v>#REF!</v>
      </c>
      <c r="I31" s="1184">
        <f t="shared" si="1"/>
        <v>0</v>
      </c>
      <c r="J31" s="1184">
        <f>TableA6!I31/TableA2!$C31</f>
        <v>0</v>
      </c>
      <c r="K31" s="1184">
        <f>TableA6!J31/TableA2!$C31</f>
        <v>0</v>
      </c>
    </row>
    <row r="32" spans="1:11" ht="17.25" customHeight="1" x14ac:dyDescent="0.2">
      <c r="A32" s="1055" t="s">
        <v>51</v>
      </c>
      <c r="B32" s="1711">
        <f>+TableA7!C32*(TableA7!M32-TableA7!O32)/TableA7!M32</f>
        <v>57.35336428752008</v>
      </c>
      <c r="C32" s="1037">
        <f>+TableA7!$C32*(TableA7!$M32-$C$8-TableA7!$O32)/TableA7!$M32</f>
        <v>22.383544888763851</v>
      </c>
      <c r="D32" s="1037">
        <f>+TableA7!$C32*(TableA7!$M32-$D$8-TableA7!$O32)/TableA7!$M32</f>
        <v>92.323183686276295</v>
      </c>
      <c r="E32" s="1039">
        <f>+TableA7!$C32*(TableA7!$M32-TableA7!I32-TableA7!$O32)/TableA7!$M32</f>
        <v>47.613801918891284</v>
      </c>
      <c r="F32" s="1037">
        <f>+'Table E3'!W32</f>
        <v>69.573728168815393</v>
      </c>
      <c r="G32" s="1046">
        <f>+'Table E3'!Y32</f>
        <v>50.773168351437974</v>
      </c>
      <c r="H32" s="1184" t="e">
        <f>#REF!/TableA2!C32</f>
        <v>#REF!</v>
      </c>
      <c r="I32" s="1184">
        <f t="shared" si="1"/>
        <v>0.12533101803891039</v>
      </c>
      <c r="J32" s="1184">
        <f>TableA6!I32/TableA2!$C32</f>
        <v>8.798266735978813E-2</v>
      </c>
      <c r="K32" s="1184">
        <f>TableA6!J32/TableA2!$C32</f>
        <v>3.7348350679122254E-2</v>
      </c>
    </row>
    <row r="33" spans="1:11" ht="17.25" hidden="1" customHeight="1" x14ac:dyDescent="0.2">
      <c r="A33" s="1055" t="s">
        <v>52</v>
      </c>
      <c r="B33" s="1711"/>
      <c r="C33" s="1037"/>
      <c r="D33" s="1037"/>
      <c r="E33" s="1039"/>
      <c r="F33" s="1037"/>
      <c r="G33" s="1046"/>
      <c r="H33" s="1184" t="e">
        <f>#REF!/TableA2!C33</f>
        <v>#REF!</v>
      </c>
      <c r="I33" s="1184">
        <f t="shared" si="1"/>
        <v>0</v>
      </c>
      <c r="J33" s="1184">
        <f>TableA6!I33/TableA2!$C33</f>
        <v>0</v>
      </c>
      <c r="K33" s="1184">
        <f>TableA6!J33/TableA2!$C33</f>
        <v>0</v>
      </c>
    </row>
    <row r="34" spans="1:11" ht="17.25" hidden="1" customHeight="1" x14ac:dyDescent="0.2">
      <c r="A34" s="1055" t="s">
        <v>53</v>
      </c>
      <c r="B34" s="1711"/>
      <c r="C34" s="1037"/>
      <c r="D34" s="1037"/>
      <c r="E34" s="1039"/>
      <c r="F34" s="1037"/>
      <c r="G34" s="1046"/>
      <c r="H34" s="1184" t="e">
        <f>#REF!/TableA2!C34</f>
        <v>#REF!</v>
      </c>
      <c r="I34" s="1184">
        <f t="shared" si="1"/>
        <v>0</v>
      </c>
      <c r="J34" s="1184">
        <f>TableA6!I34/TableA2!$C34</f>
        <v>0</v>
      </c>
      <c r="K34" s="1184">
        <f>TableA6!J34/TableA2!$C34</f>
        <v>0</v>
      </c>
    </row>
    <row r="35" spans="1:11" ht="17.25" hidden="1" customHeight="1" x14ac:dyDescent="0.2">
      <c r="A35" s="1055" t="s">
        <v>54</v>
      </c>
      <c r="B35" s="1711"/>
      <c r="C35" s="1037"/>
      <c r="D35" s="1037"/>
      <c r="E35" s="1039"/>
      <c r="F35" s="1037"/>
      <c r="G35" s="1046"/>
      <c r="H35" s="1184" t="e">
        <f>#REF!/TableA2!C35</f>
        <v>#REF!</v>
      </c>
      <c r="I35" s="1184">
        <f t="shared" si="1"/>
        <v>0</v>
      </c>
      <c r="J35" s="1184">
        <f>TableA6!I35/TableA2!$C35</f>
        <v>0</v>
      </c>
      <c r="K35" s="1184">
        <f>TableA6!J35/TableA2!$C35</f>
        <v>0</v>
      </c>
    </row>
    <row r="36" spans="1:11" ht="17.25" hidden="1" customHeight="1" x14ac:dyDescent="0.2">
      <c r="A36" s="1055" t="s">
        <v>55</v>
      </c>
      <c r="B36" s="1711"/>
      <c r="C36" s="1037"/>
      <c r="D36" s="1037"/>
      <c r="E36" s="1039"/>
      <c r="F36" s="1037"/>
      <c r="G36" s="1046"/>
      <c r="H36" s="1184" t="e">
        <f>#REF!/TableA2!C36</f>
        <v>#REF!</v>
      </c>
      <c r="I36" s="1184">
        <f t="shared" si="1"/>
        <v>0</v>
      </c>
      <c r="J36" s="1184">
        <f>TableA6!I36/TableA2!$C36</f>
        <v>0</v>
      </c>
      <c r="K36" s="1184">
        <f>TableA6!J36/TableA2!$C36</f>
        <v>0</v>
      </c>
    </row>
    <row r="37" spans="1:11" ht="17.25" hidden="1" customHeight="1" x14ac:dyDescent="0.2">
      <c r="A37" s="1055" t="s">
        <v>56</v>
      </c>
      <c r="B37" s="1711"/>
      <c r="C37" s="1037"/>
      <c r="D37" s="1037"/>
      <c r="E37" s="1039"/>
      <c r="F37" s="1037"/>
      <c r="G37" s="1046"/>
      <c r="H37" s="1184" t="e">
        <f>#REF!/TableA2!C37</f>
        <v>#REF!</v>
      </c>
      <c r="I37" s="1184">
        <f t="shared" si="1"/>
        <v>0</v>
      </c>
      <c r="J37" s="1184">
        <f>TableA6!I37/TableA2!$C37</f>
        <v>0</v>
      </c>
      <c r="K37" s="1184">
        <f>TableA6!J37/TableA2!$C37</f>
        <v>0</v>
      </c>
    </row>
    <row r="38" spans="1:11" ht="17.25" hidden="1" customHeight="1" x14ac:dyDescent="0.2">
      <c r="A38" s="1055" t="s">
        <v>57</v>
      </c>
      <c r="B38" s="1711"/>
      <c r="C38" s="1037"/>
      <c r="D38" s="1037"/>
      <c r="E38" s="1039"/>
      <c r="F38" s="1037"/>
      <c r="G38" s="1046"/>
      <c r="H38" s="1184" t="e">
        <f>#REF!/TableA2!C38</f>
        <v>#REF!</v>
      </c>
      <c r="I38" s="1184">
        <f t="shared" si="1"/>
        <v>0</v>
      </c>
      <c r="J38" s="1184">
        <f>TableA6!I38/TableA2!$C38</f>
        <v>0</v>
      </c>
      <c r="K38" s="1184">
        <f>TableA6!J38/TableA2!$C38</f>
        <v>0</v>
      </c>
    </row>
    <row r="39" spans="1:11" ht="17.25" hidden="1" customHeight="1" x14ac:dyDescent="0.2">
      <c r="A39" s="1055" t="s">
        <v>58</v>
      </c>
      <c r="B39" s="1711"/>
      <c r="C39" s="1037"/>
      <c r="D39" s="1037"/>
      <c r="E39" s="1039"/>
      <c r="F39" s="1037"/>
      <c r="G39" s="1046"/>
      <c r="H39" s="1184" t="e">
        <f>#REF!/TableA2!C39</f>
        <v>#REF!</v>
      </c>
      <c r="I39" s="1184">
        <f t="shared" si="1"/>
        <v>0</v>
      </c>
      <c r="J39" s="1184">
        <f>TableA6!I39/TableA2!$C39</f>
        <v>0</v>
      </c>
      <c r="K39" s="1184">
        <f>TableA6!J39/TableA2!$C39</f>
        <v>0</v>
      </c>
    </row>
    <row r="40" spans="1:11" ht="17.25" hidden="1" customHeight="1" x14ac:dyDescent="0.2">
      <c r="A40" s="1055" t="s">
        <v>59</v>
      </c>
      <c r="B40" s="1711"/>
      <c r="C40" s="1037"/>
      <c r="D40" s="1037"/>
      <c r="E40" s="1039"/>
      <c r="F40" s="1037"/>
      <c r="G40" s="1046"/>
      <c r="H40" s="1184" t="e">
        <f>#REF!/TableA2!C40</f>
        <v>#REF!</v>
      </c>
      <c r="I40" s="1184">
        <f t="shared" si="1"/>
        <v>0</v>
      </c>
      <c r="J40" s="1184">
        <f>TableA6!I40/TableA2!$C40</f>
        <v>0</v>
      </c>
      <c r="K40" s="1184">
        <f>TableA6!J40/TableA2!$C40</f>
        <v>0</v>
      </c>
    </row>
    <row r="41" spans="1:11" ht="17.25" customHeight="1" x14ac:dyDescent="0.2">
      <c r="A41" s="1056" t="s">
        <v>60</v>
      </c>
      <c r="B41" s="1711">
        <f>+TableA7!C41*(TableA7!M41-TableA7!O41)/TableA7!M41</f>
        <v>58.152724672949248</v>
      </c>
      <c r="C41" s="1037">
        <f>+TableA7!$C41*(TableA7!$M41-$C$8-TableA7!$O41)/TableA7!$M41</f>
        <v>49.653832136470946</v>
      </c>
      <c r="D41" s="1037">
        <f>+TableA7!$C41*(TableA7!$M41-$D$8-TableA7!$O41)/TableA7!$M41</f>
        <v>66.651617209427556</v>
      </c>
      <c r="E41" s="1040">
        <f>+TableA7!$C41*(TableA7!$M41-TableA7!I41-TableA7!$O41)/TableA7!$M41</f>
        <v>58.152724672949248</v>
      </c>
      <c r="F41" s="1037">
        <f>+'Table E3'!W41</f>
        <v>57.497610601930624</v>
      </c>
      <c r="G41" s="1046">
        <f>+'Table E3'!Y41</f>
        <v>58.505478403497733</v>
      </c>
      <c r="H41" s="1184" t="e">
        <f>#REF!/TableA2!C41</f>
        <v>#REF!</v>
      </c>
      <c r="I41" s="1184">
        <f t="shared" si="1"/>
        <v>0</v>
      </c>
      <c r="J41" s="1184">
        <f>TableA6!I41/TableA2!$C41</f>
        <v>0</v>
      </c>
      <c r="K41" s="1184">
        <f>TableA6!J41/TableA2!$C41</f>
        <v>0</v>
      </c>
    </row>
    <row r="42" spans="1:11" ht="17.25" hidden="1" customHeight="1" x14ac:dyDescent="0.2">
      <c r="A42" s="1055" t="s">
        <v>61</v>
      </c>
      <c r="B42" s="1711"/>
      <c r="C42" s="1037"/>
      <c r="D42" s="1037"/>
      <c r="E42" s="1039"/>
      <c r="F42" s="1037"/>
      <c r="G42" s="1046"/>
      <c r="H42" s="1184" t="e">
        <f>#REF!/TableA2!C42</f>
        <v>#REF!</v>
      </c>
      <c r="I42" s="1184">
        <f t="shared" si="1"/>
        <v>0</v>
      </c>
      <c r="J42" s="1184">
        <f>TableA6!I42/TableA2!$C42</f>
        <v>0</v>
      </c>
      <c r="K42" s="1184">
        <f>TableA6!J42/TableA2!$C42</f>
        <v>0</v>
      </c>
    </row>
    <row r="43" spans="1:11" ht="17.25" hidden="1" customHeight="1" x14ac:dyDescent="0.2">
      <c r="A43" s="1055" t="s">
        <v>62</v>
      </c>
      <c r="B43" s="1711"/>
      <c r="C43" s="1037"/>
      <c r="D43" s="1037"/>
      <c r="E43" s="1039"/>
      <c r="F43" s="1037"/>
      <c r="G43" s="1046"/>
      <c r="H43" s="1184" t="e">
        <f>#REF!/TableA2!C43</f>
        <v>#REF!</v>
      </c>
      <c r="I43" s="1184">
        <f t="shared" si="1"/>
        <v>0</v>
      </c>
      <c r="J43" s="1184">
        <f>TableA6!I43/TableA2!$C43</f>
        <v>0</v>
      </c>
      <c r="K43" s="1184">
        <f>TableA6!J43/TableA2!$C43</f>
        <v>0</v>
      </c>
    </row>
    <row r="44" spans="1:11" ht="17.25" hidden="1" customHeight="1" x14ac:dyDescent="0.2">
      <c r="A44" s="1055" t="s">
        <v>63</v>
      </c>
      <c r="B44" s="1711"/>
      <c r="C44" s="1037"/>
      <c r="D44" s="1037"/>
      <c r="E44" s="1039"/>
      <c r="F44" s="1037"/>
      <c r="G44" s="1046"/>
      <c r="H44" s="1184" t="e">
        <f>#REF!/TableA2!C44</f>
        <v>#REF!</v>
      </c>
      <c r="I44" s="1184">
        <f t="shared" si="1"/>
        <v>0</v>
      </c>
      <c r="J44" s="1184">
        <f>TableA6!I44/TableA2!$C44</f>
        <v>0</v>
      </c>
      <c r="K44" s="1184">
        <f>TableA6!J44/TableA2!$C44</f>
        <v>0</v>
      </c>
    </row>
    <row r="45" spans="1:11" ht="40" hidden="1" customHeight="1" x14ac:dyDescent="0.2">
      <c r="A45" s="1057" t="s">
        <v>64</v>
      </c>
      <c r="B45" s="1711"/>
      <c r="C45" s="1037"/>
      <c r="D45" s="1037"/>
      <c r="E45" s="1041"/>
      <c r="F45" s="1037"/>
      <c r="G45" s="1046"/>
      <c r="H45" s="266" t="e">
        <f>#REF!/TableA2!C45</f>
        <v>#REF!</v>
      </c>
      <c r="I45" s="266">
        <f>J45+K45</f>
        <v>0</v>
      </c>
      <c r="J45" s="266">
        <f>TableA6!I45/TableA2!$C45</f>
        <v>0</v>
      </c>
      <c r="K45" s="266">
        <f>TableA6!J45/TableA2!$C45</f>
        <v>0</v>
      </c>
    </row>
    <row r="46" spans="1:11" ht="17.25" hidden="1" customHeight="1" x14ac:dyDescent="0.2">
      <c r="A46" s="1055" t="s">
        <v>65</v>
      </c>
      <c r="B46" s="1711"/>
      <c r="C46" s="1037"/>
      <c r="D46" s="1037"/>
      <c r="E46" s="1039"/>
      <c r="F46" s="1037"/>
      <c r="G46" s="1046"/>
      <c r="H46" s="1184" t="e">
        <f>#REF!/TableA2!C46</f>
        <v>#REF!</v>
      </c>
      <c r="I46" s="1184">
        <f t="shared" si="1"/>
        <v>0</v>
      </c>
      <c r="J46" s="1184">
        <f>TableA6!I46/TableA2!$C46</f>
        <v>0</v>
      </c>
      <c r="K46" s="1184">
        <f>TableA6!J46/TableA2!$C46</f>
        <v>0</v>
      </c>
    </row>
    <row r="47" spans="1:11" ht="17.25" hidden="1" customHeight="1" x14ac:dyDescent="0.2">
      <c r="A47" s="1055" t="s">
        <v>66</v>
      </c>
      <c r="B47" s="1711"/>
      <c r="C47" s="1037"/>
      <c r="D47" s="1037"/>
      <c r="E47" s="1039"/>
      <c r="F47" s="1037"/>
      <c r="G47" s="1046"/>
      <c r="H47" s="1184" t="e">
        <f>#REF!/TableA2!C47</f>
        <v>#REF!</v>
      </c>
      <c r="I47" s="1184">
        <f t="shared" si="1"/>
        <v>0</v>
      </c>
      <c r="J47" s="1184">
        <f>TableA6!I47/TableA2!$C47</f>
        <v>0</v>
      </c>
      <c r="K47" s="1184">
        <f>TableA6!J47/TableA2!$C47</f>
        <v>0</v>
      </c>
    </row>
    <row r="48" spans="1:11" ht="17.25" hidden="1" customHeight="1" x14ac:dyDescent="0.2">
      <c r="A48" s="1055" t="s">
        <v>67</v>
      </c>
      <c r="B48" s="1711"/>
      <c r="C48" s="1037"/>
      <c r="D48" s="1037"/>
      <c r="E48" s="1039"/>
      <c r="F48" s="1037"/>
      <c r="G48" s="1046"/>
      <c r="H48" s="1184" t="e">
        <f>#REF!/TableA2!C48</f>
        <v>#REF!</v>
      </c>
      <c r="I48" s="1184">
        <f t="shared" si="1"/>
        <v>0</v>
      </c>
      <c r="J48" s="1184">
        <f>TableA6!I48/TableA2!$C48</f>
        <v>0</v>
      </c>
      <c r="K48" s="1184">
        <f>TableA6!J48/TableA2!$C48</f>
        <v>0</v>
      </c>
    </row>
    <row r="49" spans="1:11" ht="17.25" hidden="1" customHeight="1" x14ac:dyDescent="0.2">
      <c r="A49" s="1055" t="s">
        <v>68</v>
      </c>
      <c r="B49" s="1711"/>
      <c r="C49" s="1037"/>
      <c r="D49" s="1037"/>
      <c r="E49" s="1039"/>
      <c r="F49" s="1037"/>
      <c r="G49" s="1046"/>
      <c r="H49" s="1184" t="e">
        <f>#REF!/TableA2!C49</f>
        <v>#REF!</v>
      </c>
      <c r="I49" s="1184">
        <f t="shared" si="1"/>
        <v>0</v>
      </c>
      <c r="J49" s="1184">
        <f>TableA6!I49/TableA2!$C49</f>
        <v>0</v>
      </c>
      <c r="K49" s="1184">
        <f>TableA6!J49/TableA2!$C49</f>
        <v>0</v>
      </c>
    </row>
    <row r="50" spans="1:11" ht="17.25" hidden="1" customHeight="1" x14ac:dyDescent="0.2">
      <c r="A50" s="1055" t="s">
        <v>69</v>
      </c>
      <c r="B50" s="1711"/>
      <c r="C50" s="1037"/>
      <c r="D50" s="1037"/>
      <c r="E50" s="1039"/>
      <c r="F50" s="1037"/>
      <c r="G50" s="1046"/>
      <c r="H50" s="1184" t="e">
        <f>#REF!/TableA2!C50</f>
        <v>#REF!</v>
      </c>
      <c r="I50" s="1184">
        <f t="shared" si="1"/>
        <v>0</v>
      </c>
      <c r="J50" s="1184">
        <f>TableA6!I50/TableA2!$C50</f>
        <v>0</v>
      </c>
      <c r="K50" s="1184">
        <f>TableA6!J50/TableA2!$C50</f>
        <v>0</v>
      </c>
    </row>
    <row r="51" spans="1:11" ht="17.25" hidden="1" customHeight="1" x14ac:dyDescent="0.2">
      <c r="A51" s="1055" t="s">
        <v>70</v>
      </c>
      <c r="B51" s="1711"/>
      <c r="C51" s="1037"/>
      <c r="D51" s="1037"/>
      <c r="E51" s="1039"/>
      <c r="F51" s="1037"/>
      <c r="G51" s="1046"/>
      <c r="H51" s="1184" t="e">
        <f>#REF!/TableA2!C51</f>
        <v>#REF!</v>
      </c>
      <c r="I51" s="1184">
        <f t="shared" si="1"/>
        <v>0</v>
      </c>
      <c r="J51" s="1184">
        <f>TableA6!I51/TableA2!$C51</f>
        <v>0</v>
      </c>
      <c r="K51" s="1184">
        <f>TableA6!J51/TableA2!$C51</f>
        <v>0</v>
      </c>
    </row>
    <row r="52" spans="1:11" ht="17.25" hidden="1" customHeight="1" x14ac:dyDescent="0.2">
      <c r="A52" s="1055" t="s">
        <v>71</v>
      </c>
      <c r="B52" s="1711"/>
      <c r="C52" s="1037"/>
      <c r="D52" s="1037"/>
      <c r="E52" s="1039"/>
      <c r="F52" s="1037"/>
      <c r="G52" s="1046"/>
      <c r="H52" s="1184" t="e">
        <f>#REF!/TableA2!C52</f>
        <v>#REF!</v>
      </c>
      <c r="I52" s="1184">
        <f t="shared" si="1"/>
        <v>0</v>
      </c>
      <c r="J52" s="1184">
        <f>TableA6!I52/TableA2!$C52</f>
        <v>0</v>
      </c>
      <c r="K52" s="1184">
        <f>TableA6!J52/TableA2!$C52</f>
        <v>0</v>
      </c>
    </row>
    <row r="53" spans="1:11" ht="40" customHeight="1" x14ac:dyDescent="0.2">
      <c r="A53" s="1058" t="s">
        <v>72</v>
      </c>
      <c r="B53" s="1711">
        <f t="shared" ref="B53:G53" si="2">SUM(B54:B89)</f>
        <v>334.72013422680857</v>
      </c>
      <c r="C53" s="1037">
        <f t="shared" si="2"/>
        <v>292.6030771853965</v>
      </c>
      <c r="D53" s="1037">
        <f t="shared" si="2"/>
        <v>376.83719126822052</v>
      </c>
      <c r="E53" s="1042">
        <f t="shared" si="2"/>
        <v>264.13397529375129</v>
      </c>
      <c r="F53" s="1037">
        <f t="shared" si="2"/>
        <v>358.90301534859918</v>
      </c>
      <c r="G53" s="1046">
        <f t="shared" si="2"/>
        <v>316.44823296202827</v>
      </c>
      <c r="H53" s="266" t="e">
        <f>#REF!/TableA2!C53</f>
        <v>#REF!</v>
      </c>
      <c r="I53" s="266">
        <f>TableA6!D53/TableA2!C53</f>
        <v>0.59411815848754679</v>
      </c>
      <c r="J53" s="266">
        <f>TableA6!I53/TableA2!$C53</f>
        <v>0.1253592019677329</v>
      </c>
      <c r="K53" s="266">
        <f>TableA6!J53/TableA2!$C53</f>
        <v>0.57918768418334599</v>
      </c>
    </row>
    <row r="54" spans="1:11" x14ac:dyDescent="0.2">
      <c r="A54" s="1055" t="s">
        <v>73</v>
      </c>
      <c r="B54" s="1711">
        <f>+TableA7!C54*(TableA7!M54-TableA7!O54)/TableA7!M54</f>
        <v>0.97359327582033484</v>
      </c>
      <c r="C54" s="1037">
        <f>+TableA7!$C54*(TableA7!$M54-$C$8-TableA7!$O54)/TableA7!$M54</f>
        <v>0.88195437582033476</v>
      </c>
      <c r="D54" s="1037">
        <f>+TableA7!$C54*(TableA7!$M54-$D$8-TableA7!$O54)/TableA7!$M54</f>
        <v>1.0652321758203349</v>
      </c>
      <c r="E54" s="1039">
        <f>+TableA7!$C54*(TableA7!$M54-TableA7!I54-TableA7!$O54)/TableA7!$M54</f>
        <v>0.97359327582033484</v>
      </c>
      <c r="F54" s="1037">
        <f>+'Table E3'!V54*('Table E3'!$Z$53/'Table E3'!$V$53)</f>
        <v>6.0039330110801849E-2</v>
      </c>
      <c r="G54" s="1046">
        <f>+'Table E3'!V54*(1+'Table E3'!$AB$53/'Table E3'!$V$53)</f>
        <v>0.94126440576067216</v>
      </c>
      <c r="H54" s="1216" t="e">
        <f>#REF!/TableA2!C54</f>
        <v>#REF!</v>
      </c>
      <c r="I54" s="1216">
        <f>TableA6!D54/TableA2!C54</f>
        <v>0</v>
      </c>
      <c r="J54" s="1216">
        <f>TableA6!I54/TableA2!$C54</f>
        <v>0</v>
      </c>
      <c r="K54" s="1216">
        <f>TableA6!J54/TableA2!$C54</f>
        <v>2.171958577610551</v>
      </c>
    </row>
    <row r="55" spans="1:11" x14ac:dyDescent="0.2">
      <c r="A55" s="1055" t="s">
        <v>74</v>
      </c>
      <c r="B55" s="1711">
        <f>+TableA7!C55*(TableA7!M55-TableA7!O55)/TableA7!M55</f>
        <v>0.21683698740995791</v>
      </c>
      <c r="C55" s="1037">
        <f>+TableA7!$C55*(TableA7!$M55-$C$8-TableA7!$O55)/TableA7!$M55</f>
        <v>0.20816460468995793</v>
      </c>
      <c r="D55" s="1037">
        <f>+TableA7!$C55*(TableA7!$M55-$D$8-TableA7!$O55)/TableA7!$M55</f>
        <v>0.22550937012995792</v>
      </c>
      <c r="E55" s="1039">
        <f>+TableA7!$C55*(TableA7!$M55-TableA7!I55-TableA7!$O55)/TableA7!$M55</f>
        <v>0.16695722103851954</v>
      </c>
      <c r="F55" s="1037">
        <f>+'Table E3'!V55*(1+'Table E3'!$Z$53/'Table E3'!$V$53)</f>
        <v>0.23020884174653275</v>
      </c>
      <c r="G55" s="1046">
        <f>+'Table E3'!V55*(1+'Table E3'!$AB$53/'Table E3'!$V$53)</f>
        <v>0.20963675815180224</v>
      </c>
      <c r="H55" s="1184" t="e">
        <f>#REF!/TableA2!C55</f>
        <v>#REF!</v>
      </c>
      <c r="I55" s="1184">
        <f>TableA6!D55/TableA2!C55</f>
        <v>2.5882039102567727</v>
      </c>
      <c r="J55" s="1184">
        <f>TableA6!I55/TableA2!$C55</f>
        <v>0</v>
      </c>
      <c r="K55" s="1184">
        <f>TableA6!J55/TableA2!$C55</f>
        <v>2.5609602213968543</v>
      </c>
    </row>
    <row r="56" spans="1:11" x14ac:dyDescent="0.2">
      <c r="A56" s="1055" t="str">
        <f>+TableA1!A56</f>
        <v>Antigua and Barbuda</v>
      </c>
      <c r="B56" s="1711">
        <f>+TableA7!C56*(TableA7!M56-TableA7!O56)/TableA7!M56</f>
        <v>0.79166765632839264</v>
      </c>
      <c r="C56" s="1037">
        <f>+TableA7!$C56*(TableA7!$M56-$C$8-TableA7!$O56)/TableA7!$M56</f>
        <v>0.7747079843283925</v>
      </c>
      <c r="D56" s="1037">
        <f>+TableA7!$C56*(TableA7!$M56-$D$8-TableA7!$O56)/TableA7!$M56</f>
        <v>0.80862732832839257</v>
      </c>
      <c r="E56" s="1039">
        <f>+TableA7!$C56*(TableA7!$M56-TableA7!I56-TableA7!$O56)/TableA7!$M56</f>
        <v>0.75458855555453441</v>
      </c>
      <c r="F56" s="1037">
        <f>+'Table E3'!V56*(1+'Table E3'!$Z$53/'Table E3'!$V$53)</f>
        <v>0.8404880384497625</v>
      </c>
      <c r="G56" s="1046">
        <f>+'Table E3'!V56*(1+'Table E3'!$AB$53/'Table E3'!$V$53)</f>
        <v>0.76537975826303939</v>
      </c>
      <c r="H56" s="1184" t="e">
        <f>#REF!/TableA2!C56</f>
        <v>#REF!</v>
      </c>
      <c r="I56" s="1184">
        <f>TableA6!D56/TableA2!C56</f>
        <v>0.98383950752326899</v>
      </c>
      <c r="J56" s="1184">
        <f>TableA6!I56/TableA2!$C56</f>
        <v>0</v>
      </c>
      <c r="K56" s="1184">
        <f>TableA6!J56/TableA2!$C56</f>
        <v>7.7351530408344944</v>
      </c>
    </row>
    <row r="57" spans="1:11" x14ac:dyDescent="0.2">
      <c r="A57" s="1055" t="s">
        <v>76</v>
      </c>
      <c r="B57" s="1711">
        <f>+TableA7!C57*(TableA7!M57-TableA7!O57)/TableA7!M57</f>
        <v>0.86572413769996781</v>
      </c>
      <c r="C57" s="1037">
        <f>+TableA7!$C57*(TableA7!$M57-$C$8-TableA7!$O57)/TableA7!$M57</f>
        <v>0.78423795769996785</v>
      </c>
      <c r="D57" s="1037">
        <f>+TableA7!$C57*(TableA7!$M57-$D$8-TableA7!$O57)/TableA7!$M57</f>
        <v>0.947210317699968</v>
      </c>
      <c r="E57" s="1039">
        <f>+TableA7!$C57*(TableA7!$M57-TableA7!I57-TableA7!$O57)/TableA7!$M57</f>
        <v>0.86572413769996781</v>
      </c>
      <c r="F57" s="1037">
        <f>+'Table E3'!V57*(1+'Table E3'!$Z$53/'Table E3'!$V$53)</f>
        <v>0.91911141817852504</v>
      </c>
      <c r="G57" s="1046">
        <f>+'Table E3'!V57*(1+'Table E3'!$AB$53/'Table E3'!$V$53)</f>
        <v>0.83697714051920613</v>
      </c>
      <c r="H57" s="1184" t="e">
        <f>#REF!/TableA2!C57</f>
        <v>#REF!</v>
      </c>
      <c r="I57" s="1184">
        <f>TableA6!D57/TableA2!C57</f>
        <v>0</v>
      </c>
      <c r="J57" s="1184">
        <f>TableA6!I57/TableA2!$C57</f>
        <v>0</v>
      </c>
      <c r="K57" s="1184">
        <f>TableA6!J57/TableA2!$C57</f>
        <v>2.0073413382474254</v>
      </c>
    </row>
    <row r="58" spans="1:11" x14ac:dyDescent="0.2">
      <c r="A58" s="1055" t="s">
        <v>152</v>
      </c>
      <c r="B58" s="1711">
        <f>+TableA7!C58*(TableA7!M58-TableA7!O58)/TableA7!M58</f>
        <v>7.3311788434424807</v>
      </c>
      <c r="C58" s="1037">
        <f>+TableA7!$C58*(TableA7!$M58-$C$8-TableA7!$O58)/TableA7!$M58</f>
        <v>7.2425700634424794</v>
      </c>
      <c r="D58" s="1037">
        <f>+TableA7!$C58*(TableA7!$M58-$D$8-TableA7!$O58)/TableA7!$M58</f>
        <v>7.4197876234424802</v>
      </c>
      <c r="E58" s="1039">
        <f>+TableA7!$C58*(TableA7!$M58-TableA7!I58-TableA7!$O58)/TableA7!$M58</f>
        <v>6.8691027029276475</v>
      </c>
      <c r="F58" s="1037">
        <f>+'Table E3'!V58*(1+'Table E3'!$Z$53/'Table E3'!$V$53)</f>
        <v>7.7832763235857128</v>
      </c>
      <c r="G58" s="1046">
        <f>+'Table E3'!V58*(1+'Table E3'!$AB$53/'Table E3'!$V$53)</f>
        <v>7.0877417387499699</v>
      </c>
      <c r="H58" s="1184" t="e">
        <f>#REF!/TableA2!C58</f>
        <v>#REF!</v>
      </c>
      <c r="I58" s="1184">
        <f>TableA6!D58/TableA2!C58</f>
        <v>2.3466553002047297</v>
      </c>
      <c r="J58" s="1184">
        <f>TableA6!I58/TableA2!$C58</f>
        <v>11.090152854335686</v>
      </c>
      <c r="K58" s="1184">
        <f>TableA6!J58/TableA2!$C58</f>
        <v>2.493548736246979</v>
      </c>
    </row>
    <row r="59" spans="1:11" x14ac:dyDescent="0.2">
      <c r="A59" s="1055" t="s">
        <v>78</v>
      </c>
      <c r="B59" s="1711">
        <f>+TableA7!C59*(TableA7!M59-TableA7!O59)/TableA7!M59</f>
        <v>7.9601858461284136</v>
      </c>
      <c r="C59" s="1037">
        <f>+TableA7!$C59*(TableA7!$M59-$C$8-TableA7!$O59)/TableA7!$M59</f>
        <v>6.1381289314738483</v>
      </c>
      <c r="D59" s="1037">
        <f>+TableA7!$C59*(TableA7!$M59-$D$8-TableA7!$O59)/TableA7!$M59</f>
        <v>9.7822427607829798</v>
      </c>
      <c r="E59" s="1039">
        <f>+TableA7!$C59*(TableA7!$M59-TableA7!I59-TableA7!$O59)/TableA7!$M59</f>
        <v>7.6455254289008225</v>
      </c>
      <c r="F59" s="1037">
        <f>+'Table E3'!V59*(1+'Table E3'!$Z$53/'Table E3'!$V$53)</f>
        <v>8.4510727879638985</v>
      </c>
      <c r="G59" s="1046">
        <f>+'Table E3'!V59*(1+'Table E3'!$AB$53/'Table E3'!$V$53)</f>
        <v>7.6958621082169989</v>
      </c>
      <c r="H59" s="1184" t="e">
        <f>#REF!/TableA2!C59</f>
        <v>#REF!</v>
      </c>
      <c r="I59" s="1184">
        <f>TableA6!D59/TableA2!C59</f>
        <v>7.7712823684907076E-2</v>
      </c>
      <c r="J59" s="1184">
        <f>TableA6!I59/TableA2!$C59</f>
        <v>9.6292997742348937E-2</v>
      </c>
      <c r="K59" s="1184">
        <f>TableA6!J59/TableA2!$C59</f>
        <v>0.81859172082117837</v>
      </c>
    </row>
    <row r="60" spans="1:11" x14ac:dyDescent="0.2">
      <c r="A60" s="1055" t="str">
        <f>+TableA1!A60</f>
        <v>Barbados</v>
      </c>
      <c r="B60" s="1711">
        <f>+TableA7!C60*(TableA7!M60-TableA7!O60)/TableA7!M60</f>
        <v>4.6272367930221323</v>
      </c>
      <c r="C60" s="1037">
        <f>+TableA7!$C60*(TableA7!$M60-$C$8-TableA7!$O60)/TableA7!$M60</f>
        <v>4.5651488530221318</v>
      </c>
      <c r="D60" s="1037">
        <f>+TableA7!$C60*(TableA7!$M60-$D$8-TableA7!$O60)/TableA7!$M60</f>
        <v>4.6893247330221328</v>
      </c>
      <c r="E60" s="1039">
        <f>+TableA7!$C60*(TableA7!$M60-TableA7!I60-TableA7!$O60)/TableA7!$M60</f>
        <v>3.6985317254110956</v>
      </c>
      <c r="F60" s="1037">
        <f>+'Table E3'!V60*(1+'Table E3'!$Z$53/'Table E3'!$V$53)</f>
        <v>4.912588185864303</v>
      </c>
      <c r="G60" s="1046">
        <f>+'Table E3'!V60*(1+'Table E3'!$AB$53/'Table E3'!$V$53)</f>
        <v>4.4735860430301955</v>
      </c>
      <c r="H60" s="1184" t="e">
        <f>#REF!/TableA2!C60</f>
        <v>#REF!</v>
      </c>
      <c r="I60" s="1184">
        <f>TableA6!D60/TableA2!C60</f>
        <v>6.7310540569548074</v>
      </c>
      <c r="J60" s="1184">
        <f>TableA6!I60/TableA2!$C60</f>
        <v>4.65234739282762</v>
      </c>
      <c r="K60" s="1184">
        <f>TableA6!J60/TableA2!$C60</f>
        <v>3.1691441921362671</v>
      </c>
    </row>
    <row r="61" spans="1:11" x14ac:dyDescent="0.2">
      <c r="A61" s="1055" t="s">
        <v>80</v>
      </c>
      <c r="B61" s="1711">
        <f>+TableA7!C61*(TableA7!M61-TableA7!O61)/TableA7!M61</f>
        <v>0.89802440091367575</v>
      </c>
      <c r="C61" s="1037">
        <f>+TableA7!$C61*(TableA7!$M61-$C$8-TableA7!$O61)/TableA7!$M61</f>
        <v>0.87392312091367574</v>
      </c>
      <c r="D61" s="1037">
        <f>+TableA7!$C61*(TableA7!$M61-$D$8-TableA7!$O61)/TableA7!$M61</f>
        <v>0.92212568091367575</v>
      </c>
      <c r="E61" s="1039">
        <f>+TableA7!$C61*(TableA7!$M61-TableA7!I61-TableA7!$O61)/TableA7!$M61</f>
        <v>0.88771833992046922</v>
      </c>
      <c r="F61" s="1037">
        <f>+'Table E3'!V61*(1+'Table E3'!$Z$53/'Table E3'!$V$53)</f>
        <v>0.95340356672455473</v>
      </c>
      <c r="G61" s="1046">
        <f>+'Table E3'!V61*(1+'Table E3'!$AB$53/'Table E3'!$V$53)</f>
        <v>0.8682048500924332</v>
      </c>
      <c r="H61" s="1184" t="e">
        <f>#REF!/TableA2!C61</f>
        <v>#REF!</v>
      </c>
      <c r="I61" s="1184">
        <f>TableA6!D61/TableA2!C61</f>
        <v>0.19242660335646011</v>
      </c>
      <c r="J61" s="1184">
        <f>TableA6!I61/TableA2!$C61</f>
        <v>0.52273449757673773</v>
      </c>
      <c r="K61" s="1184">
        <f>TableA6!J61/TableA2!$C61</f>
        <v>5.8907579015650278</v>
      </c>
    </row>
    <row r="62" spans="1:11" x14ac:dyDescent="0.2">
      <c r="A62" s="1055" t="s">
        <v>81</v>
      </c>
      <c r="B62" s="1711">
        <f>+TableA7!C62*(TableA7!M62-TableA7!O62)/TableA7!M62</f>
        <v>23.950680817428665</v>
      </c>
      <c r="C62" s="1037">
        <f>+TableA7!$C62*(TableA7!$M62-$C$8-TableA7!$O62)/TableA7!$M62</f>
        <v>23.392884217428666</v>
      </c>
      <c r="D62" s="1037">
        <f>+TableA7!$C62*(TableA7!$M62-$D$8-TableA7!$O62)/TableA7!$M62</f>
        <v>24.508477417428661</v>
      </c>
      <c r="E62" s="1039">
        <f>+TableA7!$C62*(TableA7!$M62-TableA7!I62-TableA7!$O62)/TableA7!$M62</f>
        <v>14.483938071045625</v>
      </c>
      <c r="F62" s="1037">
        <f>+'Table E3'!V62*(1+'Table E3'!$Z$53/'Table E3'!$V$53)</f>
        <v>25.427665989459999</v>
      </c>
      <c r="G62" s="1046">
        <f>+'Table E3'!V62*(1+'Table E3'!$AB$53/'Table E3'!$V$53)</f>
        <v>23.155381109411792</v>
      </c>
      <c r="H62" s="1184" t="e">
        <f>#REF!/TableA2!C62</f>
        <v>#REF!</v>
      </c>
      <c r="I62" s="1184">
        <f>TableA6!D62/TableA2!C62</f>
        <v>7.6372538589736259</v>
      </c>
      <c r="J62" s="1184">
        <f>TableA6!I62/TableA2!$C62</f>
        <v>1.6319218643375801</v>
      </c>
      <c r="K62" s="1184">
        <f>TableA6!J62/TableA2!$C62</f>
        <v>1.3040578882868976</v>
      </c>
    </row>
    <row r="63" spans="1:11" x14ac:dyDescent="0.2">
      <c r="A63" s="1055" t="s">
        <v>82</v>
      </c>
      <c r="B63" s="1711">
        <f>+TableA7!C63*(TableA7!M63-TableA7!O63)/TableA7!M63</f>
        <v>0.13857833606997838</v>
      </c>
      <c r="C63" s="1037">
        <f>+TableA7!$C63*(TableA7!$M63-$C$8-TableA7!$O63)/TableA7!$M63</f>
        <v>0.12553467206997837</v>
      </c>
      <c r="D63" s="1037">
        <f>+TableA7!$C63*(TableA7!$M63-$D$8-TableA7!$O63)/TableA7!$M63</f>
        <v>0.15162200006997839</v>
      </c>
      <c r="E63" s="1039">
        <f>+TableA7!$C63*(TableA7!$M63-TableA7!I63-TableA7!$O63)/TableA7!$M63</f>
        <v>0.13857833606997838</v>
      </c>
      <c r="F63" s="1037">
        <f>+'Table E3'!V63*(1+'Table E3'!$Z$53/'Table E3'!$V$53)</f>
        <v>0.14712415358140338</v>
      </c>
      <c r="G63" s="1046">
        <f>+'Table E3'!V63*(1+'Table E3'!$AB$53/'Table E3'!$V$53)</f>
        <v>0.13397674202536489</v>
      </c>
      <c r="H63" s="1184" t="e">
        <f>#REF!/TableA2!C63</f>
        <v>#REF!</v>
      </c>
      <c r="I63" s="1184">
        <f>TableA6!D63/TableA2!C63</f>
        <v>0</v>
      </c>
      <c r="J63" s="1184">
        <f>TableA6!I63/TableA2!$C63</f>
        <v>0</v>
      </c>
      <c r="K63" s="1184">
        <f>TableA6!J63/TableA2!$C63</f>
        <v>2.2408844651324529</v>
      </c>
    </row>
    <row r="64" spans="1:11" x14ac:dyDescent="0.2">
      <c r="A64" s="1055" t="s">
        <v>153</v>
      </c>
      <c r="B64" s="1711">
        <f>+TableA7!C64*(TableA7!M64-TableA7!O64)/TableA7!M64</f>
        <v>29.046851153404386</v>
      </c>
      <c r="C64" s="1037">
        <f>+TableA7!$C64*(TableA7!$M64-$C$8-TableA7!$O64)/TableA7!$M64</f>
        <v>29.017516193404386</v>
      </c>
      <c r="D64" s="1037">
        <f>+TableA7!$C64*(TableA7!$M64-$D$8-TableA7!$O64)/TableA7!$M64</f>
        <v>29.076186113404386</v>
      </c>
      <c r="E64" s="1039">
        <f>+TableA7!$C64*(TableA7!$M64-TableA7!I64-TableA7!$O64)/TableA7!$M64</f>
        <v>17.552775316099005</v>
      </c>
      <c r="F64" s="1037">
        <f>+'Table E3'!V64*(1+'Table E3'!$Z$53/'Table E3'!$V$53)</f>
        <v>30.838105806030391</v>
      </c>
      <c r="G64" s="1046">
        <f>+'Table E3'!V64*(1+'Table E3'!$AB$53/'Table E3'!$V$53)</f>
        <v>28.082329417374996</v>
      </c>
      <c r="H64" s="1184" t="e">
        <f>#REF!/TableA2!C64</f>
        <v>#REF!</v>
      </c>
      <c r="I64" s="1184">
        <f>TableA6!D64/TableA2!C64</f>
        <v>176.31979477004302</v>
      </c>
      <c r="J64" s="1184">
        <f>TableA6!I64/TableA2!$C64</f>
        <v>0</v>
      </c>
      <c r="K64" s="1184">
        <f>TableA6!J64/TableA2!$C64</f>
        <v>203.02408818842605</v>
      </c>
    </row>
    <row r="65" spans="1:19" x14ac:dyDescent="0.2">
      <c r="A65" s="1055" t="s">
        <v>84</v>
      </c>
      <c r="B65" s="1711">
        <f>+TableA7!C65*(TableA7!M65-TableA7!O65)/TableA7!M65</f>
        <v>22.241009225666581</v>
      </c>
      <c r="C65" s="1037">
        <f>+TableA7!$C65*(TableA7!$M65-$C$8-TableA7!$O65)/TableA7!$M65</f>
        <v>21.986059025666584</v>
      </c>
      <c r="D65" s="1037">
        <f>+TableA7!$C65*(TableA7!$M65-$D$8-TableA7!$O65)/TableA7!$M65</f>
        <v>22.495959425666584</v>
      </c>
      <c r="E65" s="1039">
        <f>+TableA7!$C65*(TableA7!$M65-TableA7!I65-TableA7!$O65)/TableA7!$M65</f>
        <v>13.498503818382835</v>
      </c>
      <c r="F65" s="1037">
        <f>+'Table E3'!V65*(1+'Table E3'!$Z$53/'Table E3'!$V$53)</f>
        <v>23.612562756346065</v>
      </c>
      <c r="G65" s="1046">
        <f>+'Table E3'!V65*(1+'Table E3'!$AB$53/'Table E3'!$V$53)</f>
        <v>21.502480401454555</v>
      </c>
      <c r="H65" s="1184" t="e">
        <f>#REF!/TableA2!C65</f>
        <v>#REF!</v>
      </c>
      <c r="I65" s="1184">
        <f>TableA6!D65/TableA2!C65</f>
        <v>15.430964295292515</v>
      </c>
      <c r="J65" s="1184">
        <f>TableA6!I65/TableA2!$C65</f>
        <v>2.876389513296298</v>
      </c>
      <c r="K65" s="1184">
        <f>TableA6!J65/TableA2!$C65</f>
        <v>1.6922088373792077</v>
      </c>
      <c r="L65" s="958"/>
      <c r="M65" s="958"/>
      <c r="N65" s="958"/>
      <c r="O65" s="958"/>
      <c r="P65" s="958"/>
      <c r="Q65" s="958"/>
      <c r="R65" s="958"/>
      <c r="S65" s="958"/>
    </row>
    <row r="66" spans="1:19" x14ac:dyDescent="0.2">
      <c r="A66" s="1055" t="s">
        <v>85</v>
      </c>
      <c r="B66" s="1711">
        <f>+TableA7!C66*(TableA7!M66-TableA7!O66)/TableA7!M66</f>
        <v>11.0354105348083</v>
      </c>
      <c r="C66" s="1037">
        <f>+TableA7!$C66*(TableA7!$M66-$C$8-TableA7!$O66)/TableA7!$M66</f>
        <v>10.790914734808299</v>
      </c>
      <c r="D66" s="1037">
        <f>+TableA7!$C66*(TableA7!$M66-$D$8-TableA7!$O66)/TableA7!$M66</f>
        <v>11.279906334808299</v>
      </c>
      <c r="E66" s="1039">
        <f>+TableA7!$C66*(TableA7!$M66-TableA7!I66-TableA7!$O66)/TableA7!$M66</f>
        <v>6.5428972170987114</v>
      </c>
      <c r="F66" s="1037">
        <f>+'Table E3'!V66*(1+'Table E3'!$Z$53/'Table E3'!$V$53)</f>
        <v>11.71593973777482</v>
      </c>
      <c r="G66" s="1046">
        <f>+'Table E3'!V66*(1+'Table E3'!$AB$53/'Table E3'!$V$53)</f>
        <v>10.668971733210943</v>
      </c>
      <c r="H66" s="1184" t="e">
        <f>#REF!/TableA2!C66</f>
        <v>#REF!</v>
      </c>
      <c r="I66" s="1184">
        <f>TableA6!D66/TableA2!C66</f>
        <v>8.2685714559076864</v>
      </c>
      <c r="J66" s="1184">
        <f>TableA6!I66/TableA2!$C66</f>
        <v>1.3268676411786671</v>
      </c>
      <c r="K66" s="1184">
        <f>TableA6!J66/TableA2!$C66</f>
        <v>8.6936233491982904</v>
      </c>
      <c r="L66" s="958"/>
      <c r="M66" s="958"/>
      <c r="N66" s="958"/>
      <c r="O66" s="958"/>
      <c r="P66" s="958"/>
      <c r="Q66" s="958"/>
      <c r="R66" s="958"/>
      <c r="S66" s="958"/>
    </row>
    <row r="67" spans="1:19" ht="17.25" customHeight="1" x14ac:dyDescent="0.2">
      <c r="A67" s="1055" t="str">
        <f>+TableA1!A67</f>
        <v>Cyprus</v>
      </c>
      <c r="B67" s="1711">
        <f>+TableA7!C67*(TableA7!M67-TableA7!O67)/TableA7!M67</f>
        <v>4.220454615709551</v>
      </c>
      <c r="C67" s="1037">
        <f>+TableA7!$C67*(TableA7!$M67-$C$8-TableA7!$O67)/TableA7!$M67</f>
        <v>3.222295215709551</v>
      </c>
      <c r="D67" s="1037">
        <f>+TableA7!$C67*(TableA7!$M67-$D$8-TableA7!$O67)/TableA7!$M67</f>
        <v>5.2186140157095515</v>
      </c>
      <c r="E67" s="1039">
        <f>+TableA7!$C67*(TableA7!$M67-TableA7!I67-TableA7!$O67)/TableA7!$M67</f>
        <v>2.7173512847218815</v>
      </c>
      <c r="F67" s="1037">
        <f>+'Table E3'!V67*(1+'Table E3'!$Z$53/'Table E3'!$V$53)</f>
        <v>4.4807206571699725</v>
      </c>
      <c r="G67" s="1046">
        <f>+'Table E3'!Y67</f>
        <v>4.0686579251234694</v>
      </c>
      <c r="H67" s="1184" t="e">
        <f>#REF!/TableA2!C67</f>
        <v>#REF!</v>
      </c>
      <c r="I67" s="1184">
        <f>TableA6!D67/TableA2!C67</f>
        <v>0.67764377006763776</v>
      </c>
      <c r="J67" s="1184">
        <f>TableA6!I67/TableA2!$C67</f>
        <v>1.0088176835559211E-2</v>
      </c>
      <c r="K67" s="1184">
        <f>TableA6!J67/TableA2!$C67</f>
        <v>0.28675503536078822</v>
      </c>
      <c r="L67" s="958"/>
      <c r="M67" s="958"/>
      <c r="N67" s="958"/>
      <c r="O67" s="958"/>
      <c r="P67" s="958"/>
      <c r="Q67" s="958"/>
      <c r="R67" s="958"/>
      <c r="S67" s="958"/>
    </row>
    <row r="68" spans="1:19" x14ac:dyDescent="0.2">
      <c r="A68" s="1055" t="s">
        <v>87</v>
      </c>
      <c r="B68" s="1711">
        <f>+TableA7!C68*(TableA7!M68-TableA7!O68)/TableA7!M68</f>
        <v>4.9132386020923855</v>
      </c>
      <c r="C68" s="1037">
        <f>+TableA7!$C68*(TableA7!$M68-$C$8-TableA7!$O68)/TableA7!$M68</f>
        <v>4.685965202092385</v>
      </c>
      <c r="D68" s="1037">
        <f>+TableA7!$C68*(TableA7!$M68-$D$8-TableA7!$O68)/TableA7!$M68</f>
        <v>5.1405120020923842</v>
      </c>
      <c r="E68" s="1039">
        <f>+TableA7!$C68*(TableA7!$M68-TableA7!I68-TableA7!$O68)/TableA7!$M68</f>
        <v>3.9137779209739483</v>
      </c>
      <c r="F68" s="1037">
        <f>+'Table E3'!V68*(1+'Table E3'!$Z$53/'Table E3'!$V$53)</f>
        <v>5.2162270898627083</v>
      </c>
      <c r="G68" s="1046">
        <f>+'Table E3'!V68*(1+'Table E3'!$AB$53/'Table E3'!$V$53)</f>
        <v>4.7500909548314407</v>
      </c>
      <c r="H68" s="1184" t="e">
        <f>#REF!/TableA2!C68</f>
        <v>#REF!</v>
      </c>
      <c r="I68" s="1184">
        <f>TableA6!D68/TableA2!C68</f>
        <v>1.978926290992683</v>
      </c>
      <c r="J68" s="1184">
        <f>TableA6!I68/TableA2!$C68</f>
        <v>0</v>
      </c>
      <c r="K68" s="1184">
        <f>TableA6!J68/TableA2!$C68</f>
        <v>2.3866849643048886</v>
      </c>
      <c r="L68" s="958"/>
      <c r="M68" s="958"/>
      <c r="N68" s="958"/>
      <c r="O68" s="958"/>
      <c r="P68" s="958"/>
      <c r="Q68" s="958"/>
      <c r="R68" s="958"/>
      <c r="S68" s="958"/>
    </row>
    <row r="69" spans="1:19" x14ac:dyDescent="0.2">
      <c r="A69" s="1055" t="str">
        <f>+TableA1!A69</f>
        <v>Grenada</v>
      </c>
      <c r="B69" s="1711">
        <f>+TableA7!C69*(TableA7!M69-TableA7!O69)/TableA7!M69</f>
        <v>0.3661170868907983</v>
      </c>
      <c r="C69" s="1037">
        <f>+TableA7!$C69*(TableA7!$M69-$C$8-TableA7!$O69)/TableA7!$M69</f>
        <v>0.35281381825079833</v>
      </c>
      <c r="D69" s="1037">
        <f>+TableA7!$C69*(TableA7!$M69-$D$8-TableA7!$O69)/TableA7!$M69</f>
        <v>0.37942035553079828</v>
      </c>
      <c r="E69" s="1039">
        <f>+TableA7!$C69*(TableA7!$M69-TableA7!I69-TableA7!$O69)/TableA7!$M69</f>
        <v>0.3587880578691775</v>
      </c>
      <c r="F69" s="1037">
        <f>+'Table E3'!V69*(1+'Table E3'!$Z$53/'Table E3'!$V$53)</f>
        <v>0.38869471266632616</v>
      </c>
      <c r="G69" s="1046">
        <f>+'Table E3'!V69*(1+'Table E3'!$AB$53/'Table E3'!$V$53)</f>
        <v>0.35395990378089875</v>
      </c>
      <c r="H69" s="1184" t="e">
        <f>#REF!/TableA2!C69</f>
        <v>#REF!</v>
      </c>
      <c r="I69" s="1184">
        <f>TableA6!D69/TableA2!C69</f>
        <v>0.2479137382682656</v>
      </c>
      <c r="J69" s="1184">
        <f>TableA6!I69/TableA2!$C69</f>
        <v>0</v>
      </c>
      <c r="K69" s="1184">
        <f>TableA6!J69/TableA2!$C69</f>
        <v>4.929247734116557</v>
      </c>
      <c r="L69" s="958"/>
      <c r="M69" s="958"/>
      <c r="N69" s="958"/>
      <c r="O69" s="958"/>
      <c r="P69" s="958"/>
      <c r="Q69" s="958"/>
      <c r="R69" s="958"/>
      <c r="S69" s="958"/>
    </row>
    <row r="70" spans="1:19" x14ac:dyDescent="0.2">
      <c r="A70" s="1055" t="s">
        <v>89</v>
      </c>
      <c r="B70" s="1711">
        <f>+TableA7!C70*(TableA7!M70-TableA7!O70)/TableA7!M70</f>
        <v>1.6236441277636195</v>
      </c>
      <c r="C70" s="1037">
        <f>+TableA7!$C70*(TableA7!$M70-$C$8-TableA7!$O70)/TableA7!$M70</f>
        <v>1.4708189077636196</v>
      </c>
      <c r="D70" s="1037">
        <f>+TableA7!$C70*(TableA7!$M70-$D$8-TableA7!$O70)/TableA7!$M70</f>
        <v>1.7764693477636198</v>
      </c>
      <c r="E70" s="1039">
        <f>+TableA7!$C70*(TableA7!$M70-TableA7!I70-TableA7!$O70)/TableA7!$M70</f>
        <v>1.6236441277636195</v>
      </c>
      <c r="F70" s="1037">
        <f>+'Table E3'!V70*(1+'Table E3'!$Z$53/'Table E3'!$V$53)</f>
        <v>1.7237706469069729</v>
      </c>
      <c r="G70" s="1046">
        <f>+'Table E3'!V70*(1+'Table E3'!$AB$53/'Table E3'!$V$53)</f>
        <v>1.5697298482248909</v>
      </c>
      <c r="H70" s="1184" t="e">
        <f>#REF!/TableA2!C70</f>
        <v>#REF!</v>
      </c>
      <c r="I70" s="1184">
        <f>TableA6!D70/TableA2!C70</f>
        <v>0</v>
      </c>
      <c r="J70" s="1184">
        <f>TableA6!I70/TableA2!$C70</f>
        <v>0</v>
      </c>
      <c r="K70" s="1184">
        <f>TableA6!J70/TableA2!$C70</f>
        <v>4.416005410082767</v>
      </c>
      <c r="L70" s="958"/>
      <c r="M70" s="958"/>
      <c r="N70" s="958"/>
      <c r="O70" s="958"/>
      <c r="P70" s="958"/>
      <c r="Q70" s="958"/>
      <c r="R70" s="958"/>
      <c r="S70" s="958"/>
    </row>
    <row r="71" spans="1:19" x14ac:dyDescent="0.2">
      <c r="A71" s="1055" t="s">
        <v>90</v>
      </c>
      <c r="B71" s="1711">
        <f>+TableA7!C71*(TableA7!M71-TableA7!O71)/TableA7!M71</f>
        <v>0.8691836075751681</v>
      </c>
      <c r="C71" s="1037">
        <f>+TableA7!$C71*(TableA7!$M71-$C$8-TableA7!$O71)/TableA7!$M71</f>
        <v>0.78737144757516808</v>
      </c>
      <c r="D71" s="1037">
        <f>+TableA7!$C71*(TableA7!$M71-$D$8-TableA7!$O71)/TableA7!$M71</f>
        <v>0.95099576757516813</v>
      </c>
      <c r="E71" s="1039">
        <f>+TableA7!$C71*(TableA7!$M71-TableA7!I71-TableA7!$O71)/TableA7!$M71</f>
        <v>0.8691836075751681</v>
      </c>
      <c r="F71" s="1037">
        <f>+'Table E3'!V71*(1+'Table E3'!$Z$53/'Table E3'!$V$53)</f>
        <v>0.92278422586018294</v>
      </c>
      <c r="G71" s="1046">
        <f>+'Table E3'!V71*(1+'Table E3'!$AB$53/'Table E3'!$V$53)</f>
        <v>0.84032173619092909</v>
      </c>
      <c r="H71" s="1184" t="e">
        <f>#REF!/TableA2!C71</f>
        <v>#REF!</v>
      </c>
      <c r="I71" s="1184">
        <f>TableA6!D71/TableA2!C71</f>
        <v>0</v>
      </c>
      <c r="J71" s="1184">
        <f>TableA6!I71/TableA2!$C71</f>
        <v>4.2739569276131757</v>
      </c>
      <c r="K71" s="1184">
        <f>TableA6!J71/TableA2!$C71</f>
        <v>4.2739569276131757</v>
      </c>
      <c r="L71" s="958"/>
      <c r="M71" s="958"/>
      <c r="N71" s="958"/>
      <c r="O71" s="958"/>
      <c r="P71" s="958"/>
      <c r="Q71" s="958"/>
      <c r="R71" s="958"/>
      <c r="S71" s="958"/>
    </row>
    <row r="72" spans="1:19" ht="17.25" customHeight="1" x14ac:dyDescent="0.2">
      <c r="A72" s="1055" t="s">
        <v>91</v>
      </c>
      <c r="B72" s="1711">
        <f>+TableA7!C72*(TableA7!M72-TableA7!O72)/TableA7!M72</f>
        <v>39.035168909870336</v>
      </c>
      <c r="C72" s="1037">
        <f>+TableA7!$C72*(TableA7!$M72-$C$8-TableA7!$O72)/TableA7!$M72</f>
        <v>28.420912106730032</v>
      </c>
      <c r="D72" s="1037">
        <f>+TableA7!$C72*(TableA7!$M72-$D$8-TableA7!$O72)/TableA7!$M72</f>
        <v>49.649425713010643</v>
      </c>
      <c r="E72" s="1039">
        <f>+TableA7!$C72*(TableA7!$M72-TableA7!I72-TableA7!$O72)/TableA7!$M72</f>
        <v>34.744773670310515</v>
      </c>
      <c r="F72" s="1037">
        <f>+'Table E3'!V72*(1+'Table E3'!$Z$53/'Table E3'!$V$53)</f>
        <v>41.442380884640698</v>
      </c>
      <c r="G72" s="1046">
        <f>+'Table E3'!V72*(1+'Table E3'!$AB$53/'Table E3'!$V$53)</f>
        <v>37.73897784653245</v>
      </c>
      <c r="H72" s="1184" t="e">
        <f>#REF!/TableA2!C72</f>
        <v>#REF!</v>
      </c>
      <c r="I72" s="1184">
        <f>TableA6!D72/TableA2!C72</f>
        <v>0.18189477545245697</v>
      </c>
      <c r="J72" s="1184">
        <f>TableA6!I72/TableA2!$C72</f>
        <v>0</v>
      </c>
      <c r="K72" s="1184">
        <f>TableA6!J72/TableA2!$C72</f>
        <v>0.26079690122761051</v>
      </c>
      <c r="L72" s="958"/>
      <c r="M72" s="958"/>
      <c r="N72" s="958"/>
      <c r="O72" s="958"/>
      <c r="P72" s="958"/>
      <c r="Q72" s="958"/>
      <c r="R72" s="958"/>
      <c r="S72" s="958"/>
    </row>
    <row r="73" spans="1:19" x14ac:dyDescent="0.2">
      <c r="A73" s="1055" t="s">
        <v>92</v>
      </c>
      <c r="B73" s="1711">
        <f>+TableA7!C73*(TableA7!M73-TableA7!O73)/TableA7!M73</f>
        <v>3.0545895810023347</v>
      </c>
      <c r="C73" s="1037">
        <f>+TableA7!$C73*(TableA7!$M73-$C$8-TableA7!$O73)/TableA7!$M73</f>
        <v>2.8331949810023342</v>
      </c>
      <c r="D73" s="1037">
        <f>+TableA7!$C73*(TableA7!$M73-$D$8-TableA7!$O73)/TableA7!$M73</f>
        <v>3.2759841810023347</v>
      </c>
      <c r="E73" s="1039">
        <f>+TableA7!$C73*(TableA7!$M73-TableA7!I73-TableA7!$O73)/TableA7!$M73</f>
        <v>2.7736165458972586</v>
      </c>
      <c r="F73" s="1037">
        <f>+'Table E3'!V73*(1+'Table E3'!$Z$53/'Table E3'!$V$53)</f>
        <v>3.2429593209764405</v>
      </c>
      <c r="G73" s="1046">
        <f>+'Table E3'!V73*(1+'Table E3'!$AB$53/'Table E3'!$V$53)</f>
        <v>2.9531597210162768</v>
      </c>
      <c r="H73" s="1184" t="e">
        <f>#REF!/TableA2!C73</f>
        <v>#REF!</v>
      </c>
      <c r="I73" s="1184">
        <f>TableA6!D73/TableA2!C73</f>
        <v>0.57109733388837935</v>
      </c>
      <c r="J73" s="1184">
        <f>TableA6!I73/TableA2!$C73</f>
        <v>0</v>
      </c>
      <c r="K73" s="1184">
        <f>TableA6!J73/TableA2!$C73</f>
        <v>2.2040664276187067</v>
      </c>
      <c r="L73" s="958"/>
      <c r="M73" s="958"/>
      <c r="N73" s="958"/>
      <c r="O73" s="958"/>
      <c r="P73" s="958"/>
      <c r="Q73" s="958"/>
      <c r="R73" s="958"/>
      <c r="S73" s="958"/>
    </row>
    <row r="74" spans="1:19" x14ac:dyDescent="0.2">
      <c r="A74" s="1055" t="s">
        <v>93</v>
      </c>
      <c r="B74" s="1711">
        <f>+TableA7!C74*(TableA7!M74-TableA7!O74)/TableA7!M74</f>
        <v>7.9265912025883249</v>
      </c>
      <c r="C74" s="1037">
        <f>+TableA7!$C74*(TableA7!$M74-$C$8-TableA7!$O74)/TableA7!$M74</f>
        <v>5.1872200917883573</v>
      </c>
      <c r="D74" s="1037">
        <f>+TableA7!$C74*(TableA7!$M74-$D$8-TableA7!$O74)/TableA7!$M74</f>
        <v>10.665962313388293</v>
      </c>
      <c r="E74" s="1039">
        <f>+TableA7!$C74*(TableA7!$M74-TableA7!I74-TableA7!$O74)/TableA7!$M74</f>
        <v>7.8994837911786737</v>
      </c>
      <c r="F74" s="1037">
        <f>+'Table E3'!V74*(1+'Table E3'!$Z$53/'Table E3'!$V$53)</f>
        <v>8.4154064375380386</v>
      </c>
      <c r="G74" s="1046">
        <f>+'Table E3'!V74*(1+'Table E3'!$AB$53/'Table E3'!$V$53)</f>
        <v>7.663382999153864</v>
      </c>
      <c r="H74" s="1184" t="e">
        <f>#REF!/TableA2!C74</f>
        <v>#REF!</v>
      </c>
      <c r="I74" s="1184">
        <f>TableA6!D74/TableA2!C74</f>
        <v>4.4529691819596828E-3</v>
      </c>
      <c r="J74" s="1184">
        <f>TableA6!I74/TableA2!$C74</f>
        <v>0</v>
      </c>
      <c r="K74" s="1184">
        <f>TableA6!J74/TableA2!$C74</f>
        <v>0.71639470578797615</v>
      </c>
      <c r="L74" s="958"/>
      <c r="M74" s="958"/>
      <c r="N74" s="958"/>
      <c r="O74" s="958"/>
      <c r="P74" s="958"/>
      <c r="Q74" s="958"/>
      <c r="R74" s="958"/>
      <c r="S74" s="958"/>
    </row>
    <row r="75" spans="1:19" x14ac:dyDescent="0.2">
      <c r="A75" s="1055" t="s">
        <v>94</v>
      </c>
      <c r="B75" s="1711">
        <f>+TableA7!C75*(TableA7!M75-TableA7!O75)/TableA7!M75</f>
        <v>-1.5976646471228474E-2</v>
      </c>
      <c r="C75" s="1037">
        <f>+TableA7!$C75*(TableA7!$M75-$C$8-TableA7!$O75)/TableA7!$M75</f>
        <v>-0.54128864647122854</v>
      </c>
      <c r="D75" s="1037">
        <f>+TableA7!$C75*(TableA7!$M75-$D$8-TableA7!$O75)/TableA7!$M75</f>
        <v>0.50933535352877168</v>
      </c>
      <c r="E75" s="1039">
        <f>+TableA7!$C75*(TableA7!$M75-TableA7!I75-TableA7!$O75)/TableA7!$M75</f>
        <v>-1.5976646471228474E-2</v>
      </c>
      <c r="F75" s="1037">
        <f>+'Table E3'!V75*(1+'Table E3'!$Z$53/'Table E3'!$V$53)</f>
        <v>-1.6961890695251589E-2</v>
      </c>
      <c r="G75" s="1046">
        <f>+'Table E3'!V75*(1+'Table E3'!$AB$53/'Table E3'!$V$53)</f>
        <v>-1.5446130350600742E-2</v>
      </c>
      <c r="H75" s="1184" t="e">
        <f>#REF!/TableA2!C75</f>
        <v>#REF!</v>
      </c>
      <c r="I75" s="1184">
        <f>TableA6!D75/TableA2!C75</f>
        <v>0</v>
      </c>
      <c r="J75" s="1184">
        <f>TableA6!I75/TableA2!$C75</f>
        <v>0.41564747945609143</v>
      </c>
      <c r="K75" s="1184">
        <f>TableA6!J75/TableA2!$C75</f>
        <v>0.41564747945609143</v>
      </c>
      <c r="L75" s="958"/>
      <c r="M75" s="958"/>
      <c r="N75" s="958"/>
      <c r="O75" s="958"/>
      <c r="P75" s="958"/>
      <c r="Q75" s="958"/>
      <c r="R75" s="958"/>
      <c r="S75" s="958"/>
    </row>
    <row r="76" spans="1:19" x14ac:dyDescent="0.2">
      <c r="A76" s="1055" t="s">
        <v>95</v>
      </c>
      <c r="B76" s="1711">
        <f>+TableA7!C76*(TableA7!M76-TableA7!O76)/TableA7!M76</f>
        <v>9.0073525686775824</v>
      </c>
      <c r="C76" s="1037">
        <f>+TableA7!$C76*(TableA7!$M76-$C$8-TableA7!$O76)/TableA7!$M76</f>
        <v>7.3195306514867831</v>
      </c>
      <c r="D76" s="1037">
        <f>+TableA7!$C76*(TableA7!$M76-$D$8-TableA7!$O76)/TableA7!$M76</f>
        <v>10.695174485868378</v>
      </c>
      <c r="E76" s="1039">
        <f>+TableA7!$C76*(TableA7!$M76-TableA7!I76-TableA7!$O76)/TableA7!$M76</f>
        <v>8.6665521274017614</v>
      </c>
      <c r="F76" s="1037">
        <f>+'Table E3'!V76*(1+'Table E3'!$Z$53/'Table E3'!$V$53)</f>
        <v>9.5628159513098687</v>
      </c>
      <c r="G76" s="1046">
        <f>+'Table E3'!V76*(1+'Table E3'!$AB$53/'Table E3'!$V$53)</f>
        <v>8.7082569011063509</v>
      </c>
      <c r="H76" s="1184" t="e">
        <f>#REF!/TableA2!C76</f>
        <v>#REF!</v>
      </c>
      <c r="I76" s="1184">
        <f>TableA6!D76/TableA2!C76</f>
        <v>9.0862784167046753E-2</v>
      </c>
      <c r="J76" s="1184">
        <f>TableA6!I76/TableA2!$C76</f>
        <v>0</v>
      </c>
      <c r="K76" s="1184">
        <f>TableA6!J76/TableA2!$C76</f>
        <v>0.40789704226304274</v>
      </c>
      <c r="L76" s="958"/>
      <c r="M76" s="958"/>
      <c r="N76" s="958"/>
      <c r="O76" s="958"/>
      <c r="P76" s="958"/>
      <c r="Q76" s="958"/>
      <c r="R76" s="958"/>
      <c r="S76" s="958"/>
    </row>
    <row r="77" spans="1:19" s="25" customFormat="1" ht="17.25" customHeight="1" x14ac:dyDescent="0.2">
      <c r="A77" s="1055" t="s">
        <v>96</v>
      </c>
      <c r="B77" s="1711">
        <f>+TableA7!C77*(TableA7!M77-TableA7!O77)/TableA7!M77</f>
        <v>12.327426958163088</v>
      </c>
      <c r="C77" s="1037">
        <f>+TableA7!$C77*(TableA7!$M77-$C$8-TableA7!$O77)/TableA7!$M77</f>
        <v>11.832738358163089</v>
      </c>
      <c r="D77" s="1037">
        <f>+TableA7!$C77*(TableA7!$M77-$D$8-TableA7!$O77)/TableA7!$M77</f>
        <v>12.822115558163087</v>
      </c>
      <c r="E77" s="1039">
        <f>+TableA7!$C77*(TableA7!$M77-TableA7!I77-TableA7!$O77)/TableA7!$M77</f>
        <v>7.8019948379603576</v>
      </c>
      <c r="F77" s="1037">
        <f>+'Table E3'!W77</f>
        <v>12.682687701191263</v>
      </c>
      <c r="G77" s="1046">
        <f>+'Table E3'!Y77</f>
        <v>12.136132711917149</v>
      </c>
      <c r="H77" s="1111" t="e">
        <f>#REF!/TableA2!C77</f>
        <v>#REF!</v>
      </c>
      <c r="I77" s="1184">
        <f>TableA6!D77/TableA2!C77</f>
        <v>4.1166189277279255</v>
      </c>
      <c r="J77" s="1111">
        <f>TableA6!I77/TableA2!$C77</f>
        <v>0.10949868880580196</v>
      </c>
      <c r="K77" s="1111">
        <f>TableA6!J77/TableA2!$C77</f>
        <v>4.568009059959997</v>
      </c>
      <c r="L77" s="1115"/>
      <c r="M77" s="1115"/>
      <c r="N77" s="1115"/>
      <c r="O77" s="1115"/>
      <c r="P77" s="1115"/>
      <c r="Q77" s="1115"/>
      <c r="R77" s="1115"/>
      <c r="S77" s="1115"/>
    </row>
    <row r="78" spans="1:19" x14ac:dyDescent="0.2">
      <c r="A78" s="1055" t="s">
        <v>97</v>
      </c>
      <c r="B78" s="1711">
        <f>+TableA7!C78*(TableA7!M78-TableA7!O78)/TableA7!M78</f>
        <v>-5.7402704296166882E-3</v>
      </c>
      <c r="C78" s="1037">
        <f>+TableA7!$C78*(TableA7!$M78-$C$8-TableA7!$O78)/TableA7!$M78</f>
        <v>-2.0767776349616695E-2</v>
      </c>
      <c r="D78" s="1037">
        <f>+TableA7!$C78*(TableA7!$M78-$D$8-TableA7!$O78)/TableA7!$M78</f>
        <v>9.2872354903833134E-3</v>
      </c>
      <c r="E78" s="1039">
        <f>+TableA7!$C78*(TableA7!$M78-TableA7!I78-TableA7!$O78)/TableA7!$M78</f>
        <v>-5.7402704296166882E-3</v>
      </c>
      <c r="F78" s="1037">
        <f>+'Table E3'!V78*(1+'Table E3'!$Z$53/'Table E3'!$V$53)</f>
        <v>-6.0942601292257367E-3</v>
      </c>
      <c r="G78" s="1046">
        <f>+'Table E3'!V78*(1+'Table E3'!$AB$53/'Table E3'!$V$53)</f>
        <v>-5.5496605913656618E-3</v>
      </c>
      <c r="H78" s="1184" t="e">
        <f>#REF!/TableA2!C78</f>
        <v>#REF!</v>
      </c>
      <c r="I78" s="1184">
        <f>TableA6!D78/TableA2!C78</f>
        <v>0</v>
      </c>
      <c r="J78" s="1184">
        <f>TableA6!I78/TableA2!$C78</f>
        <v>5.773884167235698</v>
      </c>
      <c r="K78" s="1184">
        <f>TableA6!J78/TableA2!$C78</f>
        <v>-2.2838462712650887</v>
      </c>
      <c r="L78" s="958"/>
      <c r="M78" s="958"/>
      <c r="N78" s="958"/>
      <c r="O78" s="958"/>
      <c r="P78" s="958"/>
      <c r="Q78" s="958"/>
      <c r="R78" s="958"/>
      <c r="S78" s="958"/>
    </row>
    <row r="79" spans="1:19" x14ac:dyDescent="0.2">
      <c r="A79" s="1055" t="str">
        <f>+TableA1!A79</f>
        <v>Monaco</v>
      </c>
      <c r="B79" s="1711">
        <f>+TableA7!C79*(TableA7!M79-TableA7!O79)/TableA7!M79</f>
        <v>1.9877049751420814</v>
      </c>
      <c r="C79" s="1037">
        <f>+TableA7!$C79*(TableA7!$M79-$C$8-TableA7!$O79)/TableA7!$M79</f>
        <v>1.8006129751420816</v>
      </c>
      <c r="D79" s="1037">
        <f>+TableA7!$C79*(TableA7!$M79-$D$8-TableA7!$O79)/TableA7!$M79</f>
        <v>2.1747969751420819</v>
      </c>
      <c r="E79" s="1039">
        <f>+TableA7!$C79*(TableA7!$M79-TableA7!I79-TableA7!$O79)/TableA7!$M79</f>
        <v>1.9877049751420814</v>
      </c>
      <c r="F79" s="1037">
        <f>+'Table E3'!V79*(1+'Table E3'!$Z$53/'Table E3'!$V$53)</f>
        <v>2.1102823163474054</v>
      </c>
      <c r="G79" s="1046">
        <f>+'Table E3'!V79*(1+'Table E3'!$AB$53/'Table E3'!$V$53)</f>
        <v>1.9217017914161376</v>
      </c>
      <c r="H79" s="1184" t="e">
        <f>#REF!/TableA2!C79</f>
        <v>#REF!</v>
      </c>
      <c r="I79" s="1184">
        <f>TableA6!D79/TableA2!C79</f>
        <v>0</v>
      </c>
      <c r="J79" s="1184">
        <f>TableA6!I79/TableA2!$C79</f>
        <v>0</v>
      </c>
      <c r="K79" s="1184">
        <f>TableA6!J79/TableA2!$C79</f>
        <v>0</v>
      </c>
      <c r="L79" s="958"/>
      <c r="M79" s="958"/>
      <c r="N79" s="958"/>
      <c r="O79" s="1820"/>
      <c r="P79" s="1857"/>
      <c r="Q79" s="958"/>
      <c r="R79" s="958"/>
      <c r="S79" s="1854"/>
    </row>
    <row r="80" spans="1:19" x14ac:dyDescent="0.2">
      <c r="A80" s="1055" t="s">
        <v>99</v>
      </c>
      <c r="B80" s="1711">
        <f>+TableA7!C80*(TableA7!M80-TableA7!O80)/TableA7!M80</f>
        <v>0.27916658691983243</v>
      </c>
      <c r="C80" s="1037">
        <f>+TableA7!$C80*(TableA7!$M80-$C$8-TableA7!$O80)/TableA7!$M80</f>
        <v>0.25326368691983242</v>
      </c>
      <c r="D80" s="1037">
        <f>+TableA7!$C80*(TableA7!$M80-$D$8-TableA7!$O80)/TableA7!$M80</f>
        <v>0.30506948691983243</v>
      </c>
      <c r="E80" s="1039">
        <f>+TableA7!$C80*(TableA7!$M80-TableA7!I80-TableA7!$O80)/TableA7!$M80</f>
        <v>0.27757858548701697</v>
      </c>
      <c r="F80" s="1037">
        <f>+'Table E3'!V80*(1+'Table E3'!$Z$53/'Table E3'!$V$53)</f>
        <v>0.29638216891310687</v>
      </c>
      <c r="G80" s="1046">
        <f>+'Table E3'!V80*(1+'Table E3'!$AB$53/'Table E3'!$V$53)</f>
        <v>0.26989665815422309</v>
      </c>
      <c r="H80" s="1184" t="e">
        <f>#REF!/TableA2!C80</f>
        <v>#REF!</v>
      </c>
      <c r="I80" s="1184">
        <f>TableA6!D80/TableA2!C80</f>
        <v>2.7587669518353539E-2</v>
      </c>
      <c r="J80" s="1184">
        <f>TableA6!I80/TableA2!$C80</f>
        <v>0</v>
      </c>
      <c r="K80" s="1184">
        <f>TableA6!J80/TableA2!$C80</f>
        <v>2.1061608509370675</v>
      </c>
      <c r="L80" s="958"/>
      <c r="M80" s="958"/>
      <c r="N80" s="958"/>
      <c r="O80" s="958"/>
      <c r="P80" s="958"/>
      <c r="Q80" s="958"/>
      <c r="R80" s="958"/>
      <c r="S80" s="958"/>
    </row>
    <row r="81" spans="1:17" x14ac:dyDescent="0.2">
      <c r="A81" s="1055" t="s">
        <v>100</v>
      </c>
      <c r="B81" s="1711">
        <f>+TableA7!C81*(TableA7!M81-TableA7!O81)/TableA7!M81</f>
        <v>7.2698575780768468</v>
      </c>
      <c r="C81" s="1037">
        <f>+TableA7!$C81*(TableA7!$M81-$C$8-TableA7!$O81)/TableA7!$M81</f>
        <v>7.1852157512816941</v>
      </c>
      <c r="D81" s="1037">
        <f>+TableA7!$C81*(TableA7!$M81-$D$8-TableA7!$O81)/TableA7!$M81</f>
        <v>7.3544994048720005</v>
      </c>
      <c r="E81" s="1039">
        <f>+TableA7!$C81*(TableA7!$M81-TableA7!I81-TableA7!$O81)/TableA7!$M81</f>
        <v>6.9461612245343192</v>
      </c>
      <c r="F81" s="1037">
        <f>+'Table E3'!V81*'Table E3'!$Z$53/'Table E3'!$V$53</f>
        <v>0.44831593420866744</v>
      </c>
      <c r="G81" s="1046">
        <f>+'Table E3'!V81*(1+'Table E3'!$AB$53/'Table E3'!$V$53)</f>
        <v>7.0284566904260259</v>
      </c>
      <c r="H81" s="1184" t="e">
        <f>#REF!/TableA2!C81</f>
        <v>#REF!</v>
      </c>
      <c r="I81" s="1184">
        <f>TableA6!D81/TableA2!C81</f>
        <v>1.7209382714135832</v>
      </c>
      <c r="J81" s="1184">
        <f>TableA6!I81/TableA2!$C81</f>
        <v>0</v>
      </c>
      <c r="K81" s="1184">
        <f>TableA6!J81/TableA2!$C81</f>
        <v>19.347816111710308</v>
      </c>
      <c r="L81" s="958"/>
      <c r="M81" s="958"/>
      <c r="N81" s="958"/>
      <c r="O81" s="958"/>
      <c r="P81" s="958"/>
      <c r="Q81" s="958"/>
    </row>
    <row r="82" spans="1:17" x14ac:dyDescent="0.2">
      <c r="A82" s="1055" t="str">
        <f>+TableA1!A82</f>
        <v>Seychelles</v>
      </c>
      <c r="B82" s="1711">
        <f>+TableA7!C82*(TableA7!M82-TableA7!O82)/TableA7!M82</f>
        <v>0.79067591979762308</v>
      </c>
      <c r="C82" s="1037">
        <f>+TableA7!$C82*(TableA7!$M82-$C$8-TableA7!$O82)/TableA7!$M82</f>
        <v>0.7725777388894135</v>
      </c>
      <c r="D82" s="1037">
        <f>+TableA7!$C82*(TableA7!$M82-$D$8-TableA7!$O82)/TableA7!$M82</f>
        <v>0.80877410070583278</v>
      </c>
      <c r="E82" s="1039">
        <f>+TableA7!$C82*(TableA7!$M82-TableA7!I82-TableA7!$O82)/TableA7!$M82</f>
        <v>0.78441679276216836</v>
      </c>
      <c r="F82" s="1037">
        <f>+'Table E3'!V82*'Table E3'!$Z$53/'Table E3'!$V$53</f>
        <v>4.8759223937113266E-2</v>
      </c>
      <c r="G82" s="1046">
        <f>+'Table E3'!V82*(1+'Table E3'!$AB$53/'Table E3'!$V$53)</f>
        <v>0.76442095306225455</v>
      </c>
      <c r="H82" s="1184" t="e">
        <f>#REF!/TableA2!C82</f>
        <v>#REF!</v>
      </c>
      <c r="I82" s="1184">
        <f>TableA6!D82/TableA2!C82</f>
        <v>0.1556292966812485</v>
      </c>
      <c r="J82" s="1184">
        <f>TableA6!I82/TableA2!$C82</f>
        <v>0</v>
      </c>
      <c r="K82" s="1184">
        <f>TableA6!J82/TableA2!$C82</f>
        <v>10.570874760866056</v>
      </c>
      <c r="L82" s="958"/>
      <c r="M82" s="958"/>
      <c r="N82" s="958"/>
      <c r="O82" s="958"/>
      <c r="P82" s="958"/>
      <c r="Q82" s="958"/>
    </row>
    <row r="83" spans="1:17" ht="17.25" customHeight="1" x14ac:dyDescent="0.2">
      <c r="A83" s="1055" t="s">
        <v>102</v>
      </c>
      <c r="B83" s="1711">
        <f>+TableA7!C83*(TableA7!M83-TableA7!O83)/TableA7!M83</f>
        <v>70.416271670151048</v>
      </c>
      <c r="C83" s="1037">
        <f>+TableA7!$C83*(TableA7!$M83-$C$8-TableA7!$O83)/TableA7!$M83</f>
        <v>51.793238750151041</v>
      </c>
      <c r="D83" s="1037">
        <f>+TableA7!$C83*(TableA7!$M83-$D$8-TableA7!$O83)/TableA7!$M83</f>
        <v>89.039304590151048</v>
      </c>
      <c r="E83" s="1039">
        <f>+TableA7!$C83*(TableA7!$M83-TableA7!I83-TableA7!$O83)/TableA7!$M83</f>
        <v>48.205663246527891</v>
      </c>
      <c r="F83" s="1037">
        <f>+'Table E3'!W83</f>
        <v>88.248598372685763</v>
      </c>
      <c r="G83" s="1046">
        <f>+'Table E3'!Y83</f>
        <v>60.814249599555424</v>
      </c>
      <c r="H83" s="1184" t="e">
        <f>#REF!/TableA2!C83</f>
        <v>#REF!</v>
      </c>
      <c r="I83" s="1184">
        <f>TableA6!D83/TableA2!C83</f>
        <v>0.5366888322415323</v>
      </c>
      <c r="J83" s="1184">
        <f>TableA6!I83/TableA2!$C83</f>
        <v>0.15643459965113188</v>
      </c>
      <c r="K83" s="1184">
        <f>TableA6!J83/TableA2!$C83</f>
        <v>0.1945074374074523</v>
      </c>
      <c r="L83" s="958"/>
      <c r="M83" s="958"/>
      <c r="N83" s="958"/>
      <c r="O83" s="958"/>
      <c r="P83" s="958"/>
      <c r="Q83" s="958"/>
    </row>
    <row r="84" spans="1:17" x14ac:dyDescent="0.2">
      <c r="A84" s="1055" t="str">
        <f>+TableA1!A84</f>
        <v>St. Kitts and Nevis</v>
      </c>
      <c r="B84" s="1711">
        <f>+TableA7!C84*(TableA7!M84-TableA7!O84)/TableA7!M84</f>
        <v>0.43731622619230615</v>
      </c>
      <c r="C84" s="1037">
        <f>+TableA7!$C84*(TableA7!$M84-$C$8-TableA7!$O84)/TableA7!$M84</f>
        <v>0.4240434077923062</v>
      </c>
      <c r="D84" s="1037">
        <f>+TableA7!$C84*(TableA7!$M84-$D$8-TableA7!$O84)/TableA7!$M84</f>
        <v>0.45058904459230614</v>
      </c>
      <c r="E84" s="1039">
        <f>+TableA7!$C84*(TableA7!$M84-TableA7!I84-TableA7!$O84)/TableA7!$M84</f>
        <v>0.43454338212685995</v>
      </c>
      <c r="F84" s="1037">
        <f>+'Table E3'!V84*(1+'Table E3'!$Z$53/'Table E3'!$V$53)</f>
        <v>0.46428454439997541</v>
      </c>
      <c r="G84" s="1046">
        <f>+'Table E3'!V84*(1+'Table E3'!$AB$53/'Table E3'!$V$53)</f>
        <v>0.42279482408048419</v>
      </c>
      <c r="H84" s="1184" t="e">
        <f>#REF!/TableA2!C84</f>
        <v>#REF!</v>
      </c>
      <c r="I84" s="1184">
        <f>TableA6!D84/TableA2!C84</f>
        <v>9.4010163617608E-2</v>
      </c>
      <c r="J84" s="1111">
        <f>TableA6!I84/TableA2!$C84</f>
        <v>3.059194412415891</v>
      </c>
      <c r="K84" s="1184">
        <f>TableA6!J84/TableA2!$C84</f>
        <v>3.059194412415891</v>
      </c>
      <c r="L84" s="958"/>
      <c r="M84" s="958"/>
      <c r="N84" s="958"/>
      <c r="O84" s="958"/>
      <c r="P84" s="958"/>
      <c r="Q84" s="958"/>
    </row>
    <row r="85" spans="1:17" x14ac:dyDescent="0.2">
      <c r="A85" s="1055" t="str">
        <f>+TableA1!A85</f>
        <v>St. Lucia</v>
      </c>
      <c r="B85" s="1711">
        <f>+TableA7!C85*(TableA7!M85-TableA7!O85)/TableA7!M85</f>
        <v>0.92654576830210822</v>
      </c>
      <c r="C85" s="1037">
        <f>+TableA7!$C85*(TableA7!$M85-$C$8-TableA7!$O85)/TableA7!$M85</f>
        <v>0.90580382830210815</v>
      </c>
      <c r="D85" s="1037">
        <f>+TableA7!$C85*(TableA7!$M85-$D$8-TableA7!$O85)/TableA7!$M85</f>
        <v>0.94728770830210818</v>
      </c>
      <c r="E85" s="1039">
        <f>+TableA7!$C85*(TableA7!$M85-TableA7!I85-TableA7!$O85)/TableA7!$M85</f>
        <v>0.89292753233799371</v>
      </c>
      <c r="F85" s="1037">
        <f>+'Table E3'!V85*(1+'Table E3'!$Z$53/'Table E3'!$V$53)</f>
        <v>0.98368378335154905</v>
      </c>
      <c r="G85" s="1046">
        <f>+'Table E3'!V85*(1+'Table E3'!$AB$53/'Table E3'!$V$53)</f>
        <v>0.89577914481394771</v>
      </c>
      <c r="H85" s="1184" t="e">
        <f>#REF!/TableA2!C85</f>
        <v>#REF!</v>
      </c>
      <c r="I85" s="1184">
        <f>TableA6!D85/TableA2!C85</f>
        <v>0.72935348303251801</v>
      </c>
      <c r="J85" s="1184">
        <f>TableA6!I85/TableA2!$C85</f>
        <v>0</v>
      </c>
      <c r="K85" s="1184">
        <f>TableA6!J85/TableA2!$C85</f>
        <v>7.5986581217109093</v>
      </c>
      <c r="L85" s="958"/>
      <c r="M85" s="958"/>
      <c r="N85" s="958"/>
      <c r="O85" s="958"/>
      <c r="P85" s="958"/>
      <c r="Q85" s="958"/>
    </row>
    <row r="86" spans="1:17" x14ac:dyDescent="0.2">
      <c r="A86" s="1055" t="str">
        <f>+TableA1!A86</f>
        <v>St. Vincent and the Grenadines</v>
      </c>
      <c r="B86" s="1711">
        <f>+TableA7!C86*(TableA7!M86-TableA7!O86)/TableA7!M86</f>
        <v>0.37416665279599109</v>
      </c>
      <c r="C86" s="1037">
        <f>+TableA7!$C86*(TableA7!$M86-$C$8-TableA7!$O86)/TableA7!$M86</f>
        <v>0.36086196287599115</v>
      </c>
      <c r="D86" s="1037">
        <f>+TableA7!$C86*(TableA7!$M86-$D$8-TableA7!$O86)/TableA7!$M86</f>
        <v>0.3874713427159911</v>
      </c>
      <c r="E86" s="1039">
        <f>+TableA7!$C86*(TableA7!$M86-TableA7!I86-TableA7!$O86)/TableA7!$M86</f>
        <v>0.36630723351622663</v>
      </c>
      <c r="F86" s="1037">
        <f>+'Table E3'!V86*(1+'Table E3'!$Z$53/'Table E3'!$V$53)</f>
        <v>0.3972406773826378</v>
      </c>
      <c r="G86" s="1046">
        <f>+'Table E3'!V86*'Table E3'!$AB$53/'Table E3'!$V$53</f>
        <v>-1.2424474777425153E-2</v>
      </c>
      <c r="H86" s="1184" t="e">
        <f>#REF!/TableA2!C86</f>
        <v>#REF!</v>
      </c>
      <c r="I86" s="1184">
        <f>TableA6!D86/TableA2!C86</f>
        <v>0.26582646398827259</v>
      </c>
      <c r="J86" s="1184">
        <f>TableA6!I86/TableA2!$C86</f>
        <v>0</v>
      </c>
      <c r="K86" s="1184">
        <f>TableA6!J86/TableA2!$C86</f>
        <v>5.0219795332999517</v>
      </c>
      <c r="L86" s="958"/>
      <c r="M86" s="958"/>
      <c r="N86" s="958"/>
      <c r="O86" s="958"/>
      <c r="P86" s="958"/>
      <c r="Q86" s="958"/>
    </row>
    <row r="87" spans="1:17" x14ac:dyDescent="0.2">
      <c r="A87" s="1055" t="str">
        <f>+TableA1!A87</f>
        <v>Turks and Caicos</v>
      </c>
      <c r="B87" s="1711">
        <f>+TableA7!C87*(TableA7!M87-TableA7!O87)/TableA7!M87</f>
        <v>0.24501896552426217</v>
      </c>
      <c r="C87" s="1037">
        <f>+TableA7!$C87*(TableA7!$M87-$C$8-TableA7!$O87)/TableA7!$M87</f>
        <v>0.22441922552426216</v>
      </c>
      <c r="D87" s="1037">
        <f>+TableA7!$C87*(TableA7!$M87-$D$8-TableA7!$O87)/TableA7!$M87</f>
        <v>0.2656187055242622</v>
      </c>
      <c r="E87" s="1039">
        <f>+TableA7!$C87*(TableA7!$M87-TableA7!I87-TableA7!$O87)/TableA7!$M87</f>
        <v>0.23455367214374623</v>
      </c>
      <c r="F87" s="1037">
        <f>+'Table E3'!V87*(1+'Table E3'!$Z$53/'Table E3'!$V$53)</f>
        <v>0.26012873971834055</v>
      </c>
      <c r="G87" s="1046">
        <f>+'Table E3'!V87*(1+'Table E3'!$AB$53/'Table E3'!$V$53)</f>
        <v>0.23688293326591225</v>
      </c>
      <c r="H87" s="1184" t="e">
        <f>#REF!/TableA2!C87</f>
        <v>#REF!</v>
      </c>
      <c r="I87" s="1184">
        <f>TableA6!D87/TableA2!C87</f>
        <v>0.22861366314488285</v>
      </c>
      <c r="J87" s="1184">
        <f>TableA6!I87/TableA2!$C87</f>
        <v>0</v>
      </c>
      <c r="K87" s="1184">
        <f>TableA6!J87/TableA2!$C87</f>
        <v>0</v>
      </c>
      <c r="L87" s="958"/>
      <c r="M87" s="958"/>
      <c r="N87" s="958"/>
      <c r="O87" s="958"/>
      <c r="P87" s="958"/>
      <c r="Q87" s="958"/>
    </row>
    <row r="88" spans="1:17" ht="17.25" customHeight="1" x14ac:dyDescent="0.2">
      <c r="A88" s="1055" t="str">
        <f>+TableA1!A88</f>
        <v>Panama</v>
      </c>
      <c r="B88" s="1711">
        <f>+TableA7!C88*(TableA7!M88-TableA7!O88)/TableA7!M88</f>
        <v>16.911318951094543</v>
      </c>
      <c r="C88" s="1037">
        <f>+TableA7!$C88*(TableA7!$M88-$C$8-TableA7!$O88)/TableA7!$M88</f>
        <v>16.020623331602199</v>
      </c>
      <c r="D88" s="1037">
        <f>+TableA7!$C88*(TableA7!$M88-$D$8-TableA7!$O88)/TableA7!$M88</f>
        <v>17.802014570586888</v>
      </c>
      <c r="E88" s="1039">
        <f>+TableA7!$C88*(TableA7!$M88-TableA7!I88-TableA7!$O88)/TableA7!$M88</f>
        <v>16.895172867215656</v>
      </c>
      <c r="F88" s="1037">
        <f>+'Table E3'!W88</f>
        <v>19.596307885945098</v>
      </c>
      <c r="G88" s="1046">
        <f>+'Table E3'!Y88</f>
        <v>15.465555678482705</v>
      </c>
      <c r="H88" s="1184" t="e">
        <f>#REF!/TableA2!C88</f>
        <v>#REF!</v>
      </c>
      <c r="I88" s="1184">
        <f>TableA6!D88/TableA2!C88</f>
        <v>8.1573745132373331E-3</v>
      </c>
      <c r="J88" s="1184">
        <f>TableA6!I88/TableA2!$C88</f>
        <v>0</v>
      </c>
      <c r="K88" s="1184">
        <f>TableA6!J88/TableA2!$C88</f>
        <v>1.3958379286306488</v>
      </c>
      <c r="L88" s="958"/>
      <c r="M88" s="958"/>
      <c r="N88" s="958"/>
      <c r="O88" s="958"/>
      <c r="P88" s="958"/>
      <c r="Q88" s="958"/>
    </row>
    <row r="89" spans="1:17" ht="17.25" customHeight="1" x14ac:dyDescent="0.2">
      <c r="A89" s="1055" t="s">
        <v>108</v>
      </c>
      <c r="B89" s="1712">
        <f>+TableA7!$C89*(TableA7!$M89-TableA7!$O89)/TableA7!$M89</f>
        <v>41.683062581236257</v>
      </c>
      <c r="C89" s="1037">
        <f>+TableA7!$C89*(TableA7!$M89-$C$8-TableA7!$O89)/TableA7!$M89</f>
        <v>40.529867434405602</v>
      </c>
      <c r="D89" s="1037">
        <f>+TableA7!$C89*(TableA7!$M89-$D$8-TableA7!$O89)/TableA7!$M89</f>
        <v>42.836257728066919</v>
      </c>
      <c r="E89" s="1039">
        <f>+TableA7!$C89*(TableA7!$M89-TableA7!I89-TableA7!$O89)/TableA7!$M89</f>
        <v>41.683062581236257</v>
      </c>
      <c r="F89" s="1037">
        <f>+'Table E3'!W89</f>
        <v>42.102053288594817</v>
      </c>
      <c r="G89" s="1046">
        <f>+'Table E3'!Y89</f>
        <v>41.457452200350886</v>
      </c>
      <c r="H89" s="1184" t="e">
        <f>#REF!/TableA2!C89</f>
        <v>#REF!</v>
      </c>
      <c r="I89" s="1184">
        <f>TableA6!D89/TableA2!C89</f>
        <v>0</v>
      </c>
      <c r="J89" s="1184">
        <f>TableA6!I89/TableA2!$C89</f>
        <v>0</v>
      </c>
      <c r="K89" s="1184">
        <f>TableA6!J89/TableA2!$C89</f>
        <v>0</v>
      </c>
      <c r="L89" s="958"/>
      <c r="M89" s="958"/>
      <c r="N89" s="1456">
        <v>109.29669825167809</v>
      </c>
      <c r="O89" s="958"/>
      <c r="P89" s="958"/>
      <c r="Q89" s="958"/>
    </row>
    <row r="90" spans="1:17" ht="40" customHeight="1" x14ac:dyDescent="0.2">
      <c r="A90" s="1059" t="s">
        <v>155</v>
      </c>
      <c r="B90" s="917"/>
      <c r="C90" s="1043"/>
      <c r="D90" s="1043"/>
      <c r="E90" s="1044"/>
      <c r="F90" s="1043"/>
      <c r="G90" s="1047"/>
      <c r="H90" s="1496" t="e">
        <f>#REF!/TableA2!C90</f>
        <v>#REF!</v>
      </c>
      <c r="I90" s="1496">
        <f>TableA6!D90/TableA2!C90</f>
        <v>0</v>
      </c>
      <c r="J90" s="1496">
        <f>TableA6!I90/TableA2!$C90</f>
        <v>0</v>
      </c>
      <c r="K90" s="1496">
        <f>TableA6!J90/TableA2!$C90</f>
        <v>0</v>
      </c>
      <c r="L90" s="958"/>
      <c r="M90" s="958"/>
      <c r="N90" s="958"/>
      <c r="O90" s="958"/>
      <c r="P90" s="958"/>
      <c r="Q90" s="958"/>
    </row>
    <row r="91" spans="1:17" ht="40" customHeight="1" thickBot="1" x14ac:dyDescent="0.25">
      <c r="A91" s="1060" t="s">
        <v>110</v>
      </c>
      <c r="B91" s="1035">
        <f t="shared" ref="B91:G91" si="3">+B53+B9</f>
        <v>616.46162984891726</v>
      </c>
      <c r="C91" s="1034">
        <f t="shared" si="3"/>
        <v>506.2177260563052</v>
      </c>
      <c r="D91" s="1034">
        <f t="shared" si="3"/>
        <v>734.91819017225066</v>
      </c>
      <c r="E91" s="1034">
        <f t="shared" si="3"/>
        <v>507.16493159723916</v>
      </c>
      <c r="F91" s="1034">
        <f t="shared" si="3"/>
        <v>663.47785704083071</v>
      </c>
      <c r="G91" s="1048">
        <f t="shared" si="3"/>
        <v>585.89484993099381</v>
      </c>
      <c r="H91" s="896" t="e">
        <f>#REF!/TableA2!C91</f>
        <v>#REF!</v>
      </c>
      <c r="I91" s="896">
        <f>TableA6!D91/TableA2!C91</f>
        <v>1.3664706276192731E-2</v>
      </c>
      <c r="J91" s="896">
        <f>TableA6!I91/TableA2!$C91</f>
        <v>6.323340074442599E-3</v>
      </c>
      <c r="K91" s="896">
        <f>TableA6!J91/TableA2!$C91</f>
        <v>8.8911378929233814E-3</v>
      </c>
      <c r="L91" s="958"/>
      <c r="M91" s="958"/>
      <c r="N91" s="958"/>
      <c r="O91" s="958"/>
      <c r="P91" s="958"/>
      <c r="Q91" s="958"/>
    </row>
    <row r="92" spans="1:17" s="2" customFormat="1" x14ac:dyDescent="0.2">
      <c r="A92" s="1061"/>
      <c r="C92" s="958"/>
      <c r="D92" s="958"/>
      <c r="E92" s="958"/>
      <c r="F92" s="958"/>
      <c r="G92" s="958"/>
      <c r="H92" s="958"/>
      <c r="I92" s="958"/>
      <c r="J92" s="958"/>
      <c r="K92" s="958"/>
    </row>
    <row r="93" spans="1:17" s="2" customFormat="1" x14ac:dyDescent="0.2">
      <c r="A93" s="1061"/>
      <c r="C93" s="958"/>
      <c r="D93" s="958"/>
      <c r="E93" s="958"/>
      <c r="F93" s="958"/>
      <c r="G93" s="958"/>
      <c r="H93" s="958"/>
      <c r="I93" s="958"/>
      <c r="J93" s="958"/>
      <c r="K93" s="958"/>
    </row>
    <row r="94" spans="1:17" s="2" customFormat="1" x14ac:dyDescent="0.2">
      <c r="A94" s="1062" t="s">
        <v>166</v>
      </c>
      <c r="B94" s="314"/>
      <c r="C94" s="172"/>
      <c r="D94" s="172"/>
      <c r="E94" s="172"/>
      <c r="F94" s="172"/>
      <c r="G94" s="172"/>
      <c r="H94" s="172"/>
      <c r="I94" s="172"/>
      <c r="J94" s="172"/>
      <c r="K94" s="172"/>
    </row>
    <row r="95" spans="1:17" s="2" customFormat="1" x14ac:dyDescent="0.2">
      <c r="A95" s="1063"/>
      <c r="B95" s="394"/>
      <c r="C95" s="1007"/>
      <c r="D95" s="1007"/>
      <c r="E95" s="1007"/>
      <c r="F95" s="1007"/>
      <c r="G95" s="1007"/>
      <c r="H95" s="958"/>
      <c r="I95" s="958"/>
      <c r="J95" s="958"/>
      <c r="K95" s="958"/>
    </row>
    <row r="96" spans="1:17" s="2" customFormat="1" x14ac:dyDescent="0.2">
      <c r="A96" s="1061"/>
      <c r="C96" s="958"/>
      <c r="D96" s="958"/>
      <c r="E96" s="958"/>
      <c r="F96" s="958"/>
      <c r="G96" s="958"/>
      <c r="H96" s="958"/>
      <c r="I96" s="958"/>
      <c r="J96" s="958"/>
      <c r="K96" s="958"/>
    </row>
    <row r="97" spans="1:11" s="2" customFormat="1" x14ac:dyDescent="0.2">
      <c r="A97" s="1061"/>
      <c r="C97" s="958"/>
      <c r="D97" s="958"/>
      <c r="E97" s="958"/>
      <c r="F97" s="958"/>
      <c r="G97" s="958"/>
      <c r="H97" s="958"/>
      <c r="I97" s="958"/>
      <c r="J97" s="958"/>
      <c r="K97" s="958"/>
    </row>
    <row r="99" spans="1:11" s="2" customFormat="1" x14ac:dyDescent="0.2">
      <c r="A99" s="1061"/>
      <c r="C99" s="958"/>
      <c r="D99" s="958"/>
      <c r="E99" s="958"/>
      <c r="F99" s="958"/>
      <c r="G99" s="958"/>
      <c r="H99" s="958"/>
      <c r="I99" s="958"/>
      <c r="J99" s="958"/>
      <c r="K99" s="958"/>
    </row>
  </sheetData>
  <mergeCells count="3">
    <mergeCell ref="A3:G3"/>
    <mergeCell ref="C6:G6"/>
    <mergeCell ref="B6:B8"/>
  </mergeCells>
  <pageMargins left="0.7" right="0.7" top="0.75" bottom="0.75" header="0.3" footer="0.3"/>
  <pageSetup scale="50" fitToHeight="0" orientation="landscape" horizontalDpi="4294967292" verticalDpi="429496729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G94"/>
  <sheetViews>
    <sheetView topLeftCell="B1" workbookViewId="0">
      <pane xSplit="1" ySplit="6" topLeftCell="C74" activePane="bottomRight" state="frozen"/>
      <selection pane="topRight" activeCell="H9" sqref="H9"/>
      <selection pane="bottomLeft" activeCell="H9" sqref="H9"/>
      <selection pane="bottomRight" activeCell="C5" sqref="C5:K5"/>
    </sheetView>
  </sheetViews>
  <sheetFormatPr baseColWidth="10" defaultColWidth="8.83203125" defaultRowHeight="16" x14ac:dyDescent="0.2"/>
  <cols>
    <col min="1" max="1" width="0" hidden="1" customWidth="1"/>
    <col min="2" max="2" width="32" customWidth="1"/>
    <col min="15" max="15" width="9.5" bestFit="1" customWidth="1"/>
  </cols>
  <sheetData>
    <row r="1" spans="2:33" hidden="1" x14ac:dyDescent="0.2">
      <c r="C1">
        <v>2</v>
      </c>
      <c r="D1">
        <v>3</v>
      </c>
      <c r="E1">
        <v>4</v>
      </c>
      <c r="F1">
        <v>5</v>
      </c>
      <c r="G1">
        <v>6</v>
      </c>
      <c r="H1">
        <v>7</v>
      </c>
      <c r="I1">
        <v>8</v>
      </c>
      <c r="J1">
        <v>9</v>
      </c>
      <c r="K1">
        <v>10</v>
      </c>
      <c r="L1">
        <v>11</v>
      </c>
      <c r="M1">
        <v>12</v>
      </c>
      <c r="N1">
        <v>13</v>
      </c>
      <c r="O1">
        <v>14</v>
      </c>
      <c r="P1">
        <v>15</v>
      </c>
      <c r="Q1">
        <v>16</v>
      </c>
      <c r="R1">
        <v>17</v>
      </c>
    </row>
    <row r="2" spans="2:33" ht="17" thickBot="1" x14ac:dyDescent="0.25"/>
    <row r="3" spans="2:33" ht="40" customHeight="1" thickTop="1" x14ac:dyDescent="0.2">
      <c r="B3" s="1934" t="s">
        <v>909</v>
      </c>
      <c r="C3" s="1935"/>
      <c r="D3" s="1935"/>
      <c r="E3" s="1935"/>
      <c r="F3" s="1935"/>
      <c r="G3" s="1935"/>
      <c r="H3" s="1935"/>
      <c r="I3" s="1935"/>
      <c r="J3" s="1935"/>
      <c r="K3" s="1935"/>
      <c r="L3" s="1935"/>
      <c r="M3" s="1935"/>
      <c r="N3" s="1935"/>
      <c r="O3" s="1935"/>
      <c r="P3" s="1935"/>
      <c r="Q3" s="1935"/>
      <c r="R3" s="1936"/>
    </row>
    <row r="4" spans="2:33" ht="20" x14ac:dyDescent="0.2">
      <c r="B4" s="4"/>
      <c r="C4" s="620"/>
      <c r="D4" s="620"/>
      <c r="E4" s="620"/>
      <c r="F4" s="620"/>
      <c r="G4" s="620"/>
      <c r="H4" s="620"/>
      <c r="I4" s="528"/>
      <c r="J4" s="528"/>
      <c r="K4" s="528"/>
      <c r="L4" s="528"/>
      <c r="M4" s="528"/>
      <c r="N4" s="528"/>
      <c r="O4" s="528"/>
      <c r="P4" s="528"/>
      <c r="Q4" s="528"/>
      <c r="R4" s="701"/>
    </row>
    <row r="5" spans="2:33" ht="21" thickBot="1" x14ac:dyDescent="0.25">
      <c r="B5" s="4"/>
      <c r="C5" s="705" t="s">
        <v>1</v>
      </c>
      <c r="D5" s="705" t="s">
        <v>2</v>
      </c>
      <c r="E5" s="705" t="s">
        <v>3</v>
      </c>
      <c r="F5" s="705" t="s">
        <v>4</v>
      </c>
      <c r="G5" s="705" t="s">
        <v>5</v>
      </c>
      <c r="H5" s="705" t="s">
        <v>6</v>
      </c>
      <c r="I5" s="705" t="s">
        <v>7</v>
      </c>
      <c r="J5" s="705" t="s">
        <v>8</v>
      </c>
      <c r="K5" s="705" t="s">
        <v>9</v>
      </c>
      <c r="L5" s="705" t="s">
        <v>10</v>
      </c>
      <c r="M5" s="705" t="s">
        <v>11</v>
      </c>
      <c r="N5" s="705" t="s">
        <v>12</v>
      </c>
      <c r="O5" s="705" t="s">
        <v>13</v>
      </c>
      <c r="P5" s="705" t="s">
        <v>177</v>
      </c>
      <c r="Q5" s="705" t="s">
        <v>178</v>
      </c>
      <c r="R5" s="706" t="s">
        <v>179</v>
      </c>
      <c r="U5" s="160"/>
      <c r="V5" s="160"/>
      <c r="W5" s="160"/>
      <c r="X5" s="160"/>
      <c r="Y5" s="160"/>
      <c r="Z5" s="160"/>
      <c r="AA5" s="160"/>
      <c r="AB5" s="160"/>
      <c r="AC5" s="160"/>
      <c r="AD5" s="160"/>
      <c r="AE5" s="160"/>
      <c r="AF5" s="160"/>
      <c r="AG5" s="160"/>
    </row>
    <row r="6" spans="2:33" ht="28" customHeight="1" x14ac:dyDescent="0.2">
      <c r="B6" s="1874"/>
      <c r="C6" s="1814">
        <v>2003</v>
      </c>
      <c r="D6" s="1815">
        <v>2004</v>
      </c>
      <c r="E6" s="1815">
        <v>2005</v>
      </c>
      <c r="F6" s="1815">
        <v>2006</v>
      </c>
      <c r="G6" s="1815">
        <v>2007</v>
      </c>
      <c r="H6" s="1815">
        <v>2008</v>
      </c>
      <c r="I6" s="1815">
        <v>2009</v>
      </c>
      <c r="J6" s="1815">
        <v>2010</v>
      </c>
      <c r="K6" s="1815">
        <v>2011</v>
      </c>
      <c r="L6" s="1815">
        <v>2012</v>
      </c>
      <c r="M6" s="1815">
        <v>2013</v>
      </c>
      <c r="N6" s="1815">
        <v>2014</v>
      </c>
      <c r="O6" s="1815">
        <v>2015</v>
      </c>
      <c r="P6" s="1815">
        <v>2016</v>
      </c>
      <c r="Q6" s="1815">
        <v>2017</v>
      </c>
      <c r="R6" s="1845">
        <v>2018</v>
      </c>
    </row>
    <row r="7" spans="2:33" x14ac:dyDescent="0.2">
      <c r="B7" s="622" t="s">
        <v>28</v>
      </c>
      <c r="C7" s="554"/>
      <c r="D7" s="517"/>
      <c r="E7" s="517"/>
      <c r="F7" s="517"/>
      <c r="G7" s="517"/>
      <c r="H7" s="517"/>
      <c r="I7" s="517"/>
      <c r="J7" s="517"/>
      <c r="K7" s="517"/>
      <c r="L7" s="517"/>
      <c r="M7" s="517"/>
      <c r="N7" s="517"/>
      <c r="O7" s="517"/>
      <c r="P7" s="517"/>
      <c r="Q7" s="517"/>
      <c r="R7" s="702"/>
    </row>
    <row r="8" spans="2:33" x14ac:dyDescent="0.2">
      <c r="B8" s="1155" t="s">
        <v>29</v>
      </c>
      <c r="C8" s="1183">
        <v>0.3</v>
      </c>
      <c r="D8" s="1184">
        <v>0.3</v>
      </c>
      <c r="E8" s="1184">
        <v>0.3</v>
      </c>
      <c r="F8" s="1184">
        <v>0.3</v>
      </c>
      <c r="G8" s="1184">
        <v>0.3</v>
      </c>
      <c r="H8" s="1184">
        <v>0.3</v>
      </c>
      <c r="I8" s="1184">
        <v>0.3</v>
      </c>
      <c r="J8" s="1184">
        <v>0.3</v>
      </c>
      <c r="K8" s="1184">
        <v>0.3</v>
      </c>
      <c r="L8" s="1184">
        <v>0.3</v>
      </c>
      <c r="M8" s="1184">
        <v>0.3</v>
      </c>
      <c r="N8" s="1184">
        <v>0.3</v>
      </c>
      <c r="O8" s="1184">
        <v>0.3</v>
      </c>
      <c r="P8" s="1184">
        <v>0.3</v>
      </c>
      <c r="Q8" s="1184">
        <v>0.3</v>
      </c>
      <c r="R8" s="1164">
        <v>0.3</v>
      </c>
    </row>
    <row r="9" spans="2:33" x14ac:dyDescent="0.2">
      <c r="B9" s="1155" t="s">
        <v>30</v>
      </c>
      <c r="C9" s="1183">
        <v>0.34</v>
      </c>
      <c r="D9" s="1184">
        <v>0.34</v>
      </c>
      <c r="E9" s="1184">
        <v>0.25</v>
      </c>
      <c r="F9" s="1184">
        <v>0.25</v>
      </c>
      <c r="G9" s="1184">
        <v>0.25</v>
      </c>
      <c r="H9" s="1184">
        <v>0.25</v>
      </c>
      <c r="I9" s="1184">
        <v>0.25</v>
      </c>
      <c r="J9" s="1184">
        <v>0.25</v>
      </c>
      <c r="K9" s="1184">
        <v>0.25</v>
      </c>
      <c r="L9" s="1184">
        <v>0.25</v>
      </c>
      <c r="M9" s="1184">
        <v>0.25</v>
      </c>
      <c r="N9" s="1184">
        <v>0.25</v>
      </c>
      <c r="O9" s="1184">
        <v>0.25</v>
      </c>
      <c r="P9" s="1184">
        <v>0.25</v>
      </c>
      <c r="Q9" s="1184">
        <v>0.25</v>
      </c>
      <c r="R9" s="1164">
        <v>0.25</v>
      </c>
    </row>
    <row r="10" spans="2:33" x14ac:dyDescent="0.2">
      <c r="B10" s="1155" t="s">
        <v>31</v>
      </c>
      <c r="C10" s="1183">
        <v>0.33990000000000004</v>
      </c>
      <c r="D10" s="1184">
        <v>0.33990000000000004</v>
      </c>
      <c r="E10" s="1184">
        <v>0.33990000000000004</v>
      </c>
      <c r="F10" s="1184">
        <v>0.33990000000000004</v>
      </c>
      <c r="G10" s="1184">
        <v>0.33990000000000004</v>
      </c>
      <c r="H10" s="1184">
        <v>0.33990000000000004</v>
      </c>
      <c r="I10" s="1184">
        <v>0.33990000000000004</v>
      </c>
      <c r="J10" s="1184">
        <v>0.33990000000000004</v>
      </c>
      <c r="K10" s="1184">
        <v>0.33990000000000004</v>
      </c>
      <c r="L10" s="1184">
        <v>0.33990000000000004</v>
      </c>
      <c r="M10" s="1184">
        <v>0.33990000000000004</v>
      </c>
      <c r="N10" s="1184">
        <v>0.33990000000000004</v>
      </c>
      <c r="O10" s="1184">
        <v>0.33990000000000004</v>
      </c>
      <c r="P10" s="1184">
        <v>0.33990000000000004</v>
      </c>
      <c r="Q10" s="1184">
        <v>0.33990000000000004</v>
      </c>
      <c r="R10" s="1164">
        <v>0.28999999999999998</v>
      </c>
    </row>
    <row r="11" spans="2:33" x14ac:dyDescent="0.2">
      <c r="B11" s="1155" t="s">
        <v>32</v>
      </c>
      <c r="C11" s="1183">
        <v>0.36599999999999999</v>
      </c>
      <c r="D11" s="1184">
        <v>0.36099999999999999</v>
      </c>
      <c r="E11" s="1184">
        <v>0.36099999999999999</v>
      </c>
      <c r="F11" s="1184">
        <v>0.36099999999999999</v>
      </c>
      <c r="G11" s="1184">
        <v>0.36099999999999999</v>
      </c>
      <c r="H11" s="1184">
        <v>0.33500000000000002</v>
      </c>
      <c r="I11" s="1184">
        <v>0.33</v>
      </c>
      <c r="J11" s="1184">
        <v>0.31</v>
      </c>
      <c r="K11" s="1184">
        <v>0.28000000000000003</v>
      </c>
      <c r="L11" s="1184">
        <v>0.26</v>
      </c>
      <c r="M11" s="1184">
        <v>0.26</v>
      </c>
      <c r="N11" s="1184">
        <v>0.26500000000000001</v>
      </c>
      <c r="O11" s="1184">
        <v>0.26500000000000001</v>
      </c>
      <c r="P11" s="1184">
        <v>0.26500000000000001</v>
      </c>
      <c r="Q11" s="1184">
        <v>0.26500000000000001</v>
      </c>
      <c r="R11" s="1164">
        <v>0.26500000000000001</v>
      </c>
    </row>
    <row r="12" spans="2:33" x14ac:dyDescent="0.2">
      <c r="B12" s="1155" t="s">
        <v>33</v>
      </c>
      <c r="C12" s="1183">
        <v>0.16500000000000001</v>
      </c>
      <c r="D12" s="1184">
        <v>0.17</v>
      </c>
      <c r="E12" s="1184">
        <v>0.17</v>
      </c>
      <c r="F12" s="1184">
        <v>0.17</v>
      </c>
      <c r="G12" s="1184">
        <v>0.17</v>
      </c>
      <c r="H12" s="1184">
        <v>0.17</v>
      </c>
      <c r="I12" s="1184">
        <v>0.17</v>
      </c>
      <c r="J12" s="1184">
        <v>0.17</v>
      </c>
      <c r="K12" s="1184">
        <v>0.2</v>
      </c>
      <c r="L12" s="1184">
        <v>0.185</v>
      </c>
      <c r="M12" s="1184">
        <v>0.2</v>
      </c>
      <c r="N12" s="1184">
        <v>0.2</v>
      </c>
      <c r="O12" s="1184">
        <v>0.24</v>
      </c>
      <c r="P12" s="1184">
        <v>0.24</v>
      </c>
      <c r="Q12" s="1184">
        <v>0.255</v>
      </c>
      <c r="R12" s="1164">
        <v>0.26</v>
      </c>
    </row>
    <row r="13" spans="2:33" x14ac:dyDescent="0.2">
      <c r="B13" s="1155" t="s">
        <v>34</v>
      </c>
      <c r="C13" s="1183">
        <v>0.31</v>
      </c>
      <c r="D13" s="1184">
        <v>0.28000000000000003</v>
      </c>
      <c r="E13" s="1184">
        <v>0.26</v>
      </c>
      <c r="F13" s="1184">
        <v>0.24</v>
      </c>
      <c r="G13" s="1184">
        <v>0.24</v>
      </c>
      <c r="H13" s="1184">
        <v>0.21</v>
      </c>
      <c r="I13" s="1184">
        <v>0.2</v>
      </c>
      <c r="J13" s="1184">
        <v>0.19</v>
      </c>
      <c r="K13" s="1184">
        <v>0.19</v>
      </c>
      <c r="L13" s="1184">
        <v>0.19</v>
      </c>
      <c r="M13" s="1184">
        <v>0.19</v>
      </c>
      <c r="N13" s="1184">
        <v>0.19</v>
      </c>
      <c r="O13" s="1184">
        <v>0.19</v>
      </c>
      <c r="P13" s="1184">
        <v>0.19</v>
      </c>
      <c r="Q13" s="1184">
        <v>0.19</v>
      </c>
      <c r="R13" s="1164">
        <v>0.19</v>
      </c>
    </row>
    <row r="14" spans="2:33" x14ac:dyDescent="0.2">
      <c r="B14" s="1155" t="s">
        <v>35</v>
      </c>
      <c r="C14" s="1183">
        <v>0.3</v>
      </c>
      <c r="D14" s="1184">
        <v>0.3</v>
      </c>
      <c r="E14" s="1184">
        <v>0.28000000000000003</v>
      </c>
      <c r="F14" s="1184">
        <v>0.28000000000000003</v>
      </c>
      <c r="G14" s="1184">
        <v>0.25</v>
      </c>
      <c r="H14" s="1184">
        <v>0.25</v>
      </c>
      <c r="I14" s="1184">
        <v>0.25</v>
      </c>
      <c r="J14" s="1184">
        <v>0.25</v>
      </c>
      <c r="K14" s="1184">
        <v>0.25</v>
      </c>
      <c r="L14" s="1184">
        <v>0.25</v>
      </c>
      <c r="M14" s="1184">
        <v>0.25</v>
      </c>
      <c r="N14" s="1184">
        <v>0.245</v>
      </c>
      <c r="O14" s="1184">
        <v>0.22</v>
      </c>
      <c r="P14" s="1184">
        <v>0.22</v>
      </c>
      <c r="Q14" s="1184">
        <v>0.22</v>
      </c>
      <c r="R14" s="1164">
        <v>0.22</v>
      </c>
    </row>
    <row r="15" spans="2:33" x14ac:dyDescent="0.2">
      <c r="B15" s="1094" t="s">
        <v>36</v>
      </c>
      <c r="C15" s="1183">
        <v>0.26</v>
      </c>
      <c r="D15" s="1184">
        <v>0.26</v>
      </c>
      <c r="E15" s="1184">
        <v>0.24</v>
      </c>
      <c r="F15" s="1184">
        <v>0.23</v>
      </c>
      <c r="G15" s="1184">
        <v>0.22</v>
      </c>
      <c r="H15" s="1184">
        <v>0.21</v>
      </c>
      <c r="I15" s="1184">
        <v>0.21</v>
      </c>
      <c r="J15" s="1184">
        <v>0.21</v>
      </c>
      <c r="K15" s="1184">
        <v>0.21</v>
      </c>
      <c r="L15" s="1184">
        <v>0.21</v>
      </c>
      <c r="M15" s="1184">
        <v>0.21</v>
      </c>
      <c r="N15" s="1184">
        <v>0.21</v>
      </c>
      <c r="O15" s="1184">
        <v>0.2</v>
      </c>
      <c r="P15" s="1184">
        <v>0.2</v>
      </c>
      <c r="Q15" s="1184">
        <v>0.2</v>
      </c>
      <c r="R15" s="1164">
        <v>0.2</v>
      </c>
    </row>
    <row r="16" spans="2:33" x14ac:dyDescent="0.2">
      <c r="B16" s="1155" t="s">
        <v>37</v>
      </c>
      <c r="C16" s="1183">
        <v>0.28999999999999998</v>
      </c>
      <c r="D16" s="1184">
        <v>0.28999999999999998</v>
      </c>
      <c r="E16" s="1184">
        <v>0.26</v>
      </c>
      <c r="F16" s="1184">
        <v>0.26</v>
      </c>
      <c r="G16" s="1184">
        <v>0.26</v>
      </c>
      <c r="H16" s="1184">
        <v>0.26</v>
      </c>
      <c r="I16" s="1184">
        <v>0.26</v>
      </c>
      <c r="J16" s="1184">
        <v>0.26</v>
      </c>
      <c r="K16" s="1184">
        <v>0.26</v>
      </c>
      <c r="L16" s="1184">
        <v>0.245</v>
      </c>
      <c r="M16" s="1184">
        <v>0.245</v>
      </c>
      <c r="N16" s="1184">
        <v>0.2</v>
      </c>
      <c r="O16" s="1184">
        <v>0.2</v>
      </c>
      <c r="P16" s="1184">
        <v>0.2</v>
      </c>
      <c r="Q16" s="1184">
        <v>0.2</v>
      </c>
      <c r="R16" s="1164">
        <v>0.2</v>
      </c>
    </row>
    <row r="17" spans="1:18" x14ac:dyDescent="0.2">
      <c r="B17" s="1094" t="s">
        <v>38</v>
      </c>
      <c r="C17" s="1183">
        <v>0.34329999999999999</v>
      </c>
      <c r="D17" s="1184">
        <v>0.34329999999999999</v>
      </c>
      <c r="E17" s="1184">
        <v>0.33829999999999999</v>
      </c>
      <c r="F17" s="1184">
        <v>0.33329999999999999</v>
      </c>
      <c r="G17" s="1184">
        <v>0.33329999999999999</v>
      </c>
      <c r="H17" s="1184">
        <v>0.33329999999999999</v>
      </c>
      <c r="I17" s="1184">
        <v>0.33329999999999999</v>
      </c>
      <c r="J17" s="1184">
        <v>0.33329999999999999</v>
      </c>
      <c r="K17" s="1184">
        <v>0.33329999999999999</v>
      </c>
      <c r="L17" s="1184">
        <v>0.33329999999999999</v>
      </c>
      <c r="M17" s="1184">
        <v>0.33329999999999999</v>
      </c>
      <c r="N17" s="1184">
        <v>0.33329999999999999</v>
      </c>
      <c r="O17" s="1184">
        <v>0.33329999999999999</v>
      </c>
      <c r="P17" s="1184">
        <v>0.33299999999999996</v>
      </c>
      <c r="Q17" s="1184">
        <v>0.33329999999999999</v>
      </c>
      <c r="R17" s="1164">
        <v>0.33</v>
      </c>
    </row>
    <row r="18" spans="1:18" x14ac:dyDescent="0.2">
      <c r="B18" s="1155" t="s">
        <v>39</v>
      </c>
      <c r="C18" s="1183">
        <v>0.39579999999999999</v>
      </c>
      <c r="D18" s="1184">
        <v>0.38290000000000002</v>
      </c>
      <c r="E18" s="1184">
        <v>0.3831</v>
      </c>
      <c r="F18" s="1184">
        <v>0.38340000000000002</v>
      </c>
      <c r="G18" s="1184">
        <v>0.3836</v>
      </c>
      <c r="H18" s="1184">
        <v>0.29510000000000003</v>
      </c>
      <c r="I18" s="1184">
        <v>0.2944</v>
      </c>
      <c r="J18" s="1184">
        <v>0.29410000000000003</v>
      </c>
      <c r="K18" s="1184">
        <v>0.29370000000000002</v>
      </c>
      <c r="L18" s="1184">
        <v>0.29480000000000001</v>
      </c>
      <c r="M18" s="1184">
        <v>0.29549999999999998</v>
      </c>
      <c r="N18" s="1184">
        <v>0.29580000000000001</v>
      </c>
      <c r="O18" s="1184">
        <v>0.29719999999999996</v>
      </c>
      <c r="P18" s="1184">
        <v>0.29719999999999996</v>
      </c>
      <c r="Q18" s="1184">
        <v>0.2979</v>
      </c>
      <c r="R18" s="1164">
        <v>0.3</v>
      </c>
    </row>
    <row r="19" spans="1:18" x14ac:dyDescent="0.2">
      <c r="B19" s="1155" t="s">
        <v>40</v>
      </c>
      <c r="C19" s="1183">
        <v>0.35</v>
      </c>
      <c r="D19" s="1184">
        <v>0.35</v>
      </c>
      <c r="E19" s="1184">
        <v>0.32</v>
      </c>
      <c r="F19" s="1184">
        <v>0.28999999999999998</v>
      </c>
      <c r="G19" s="1184">
        <v>0.25</v>
      </c>
      <c r="H19" s="1184">
        <v>0.25</v>
      </c>
      <c r="I19" s="1184">
        <v>0.25</v>
      </c>
      <c r="J19" s="1184">
        <v>0.24</v>
      </c>
      <c r="K19" s="1184">
        <v>0.2</v>
      </c>
      <c r="L19" s="1184">
        <v>0.2</v>
      </c>
      <c r="M19" s="1184">
        <v>0.26</v>
      </c>
      <c r="N19" s="1184">
        <v>0.26</v>
      </c>
      <c r="O19" s="1184">
        <v>0.28999999999999998</v>
      </c>
      <c r="P19" s="1184">
        <v>0.28999999999999998</v>
      </c>
      <c r="Q19" s="1184">
        <v>0.28999999999999998</v>
      </c>
      <c r="R19" s="1164">
        <v>0.28999999999999998</v>
      </c>
    </row>
    <row r="20" spans="1:18" x14ac:dyDescent="0.2">
      <c r="B20" s="1155" t="s">
        <v>41</v>
      </c>
      <c r="C20" s="1183">
        <v>0.18</v>
      </c>
      <c r="D20" s="1184">
        <v>0.16</v>
      </c>
      <c r="E20" s="1184">
        <v>0.16</v>
      </c>
      <c r="F20" s="1184">
        <v>0.16</v>
      </c>
      <c r="G20" s="1184">
        <v>0.16</v>
      </c>
      <c r="H20" s="1184">
        <v>0.16</v>
      </c>
      <c r="I20" s="1184">
        <v>0.16</v>
      </c>
      <c r="J20" s="1184">
        <v>0.19</v>
      </c>
      <c r="K20" s="1184">
        <v>0.19</v>
      </c>
      <c r="L20" s="1184">
        <v>0.19</v>
      </c>
      <c r="M20" s="1184">
        <v>0.19</v>
      </c>
      <c r="N20" s="1184">
        <v>0.19</v>
      </c>
      <c r="O20" s="1184">
        <v>0.19</v>
      </c>
      <c r="P20" s="1184">
        <v>0.19</v>
      </c>
      <c r="Q20" s="1184">
        <v>0.09</v>
      </c>
      <c r="R20" s="1164">
        <v>0.09</v>
      </c>
    </row>
    <row r="21" spans="1:18" x14ac:dyDescent="0.2">
      <c r="B21" s="1155" t="s">
        <v>42</v>
      </c>
      <c r="C21" s="1183">
        <v>0.18</v>
      </c>
      <c r="D21" s="1184">
        <v>0.18</v>
      </c>
      <c r="E21" s="1184">
        <v>0.18</v>
      </c>
      <c r="F21" s="1184">
        <v>0.18</v>
      </c>
      <c r="G21" s="1184">
        <v>0.18</v>
      </c>
      <c r="H21" s="1184">
        <v>0.15</v>
      </c>
      <c r="I21" s="1184">
        <v>0.15</v>
      </c>
      <c r="J21" s="1184">
        <v>0.18</v>
      </c>
      <c r="K21" s="1184">
        <v>0.2</v>
      </c>
      <c r="L21" s="1184">
        <v>0.2</v>
      </c>
      <c r="M21" s="1184">
        <v>0.2</v>
      </c>
      <c r="N21" s="1184">
        <v>0.2</v>
      </c>
      <c r="O21" s="1184">
        <v>0.2</v>
      </c>
      <c r="P21" s="1184">
        <v>0.2</v>
      </c>
      <c r="Q21" s="1184">
        <v>0.2</v>
      </c>
      <c r="R21" s="1164">
        <v>0.2</v>
      </c>
    </row>
    <row r="22" spans="1:18" x14ac:dyDescent="0.2">
      <c r="B22" s="1155" t="s">
        <v>43</v>
      </c>
      <c r="C22" s="1183">
        <v>0.125</v>
      </c>
      <c r="D22" s="1184">
        <v>0.125</v>
      </c>
      <c r="E22" s="1184">
        <v>0.125</v>
      </c>
      <c r="F22" s="1184">
        <v>0.125</v>
      </c>
      <c r="G22" s="1184">
        <v>0.125</v>
      </c>
      <c r="H22" s="1184">
        <v>0.125</v>
      </c>
      <c r="I22" s="1184">
        <v>0.125</v>
      </c>
      <c r="J22" s="1184">
        <v>0.125</v>
      </c>
      <c r="K22" s="1184">
        <v>0.125</v>
      </c>
      <c r="L22" s="1184">
        <v>0.125</v>
      </c>
      <c r="M22" s="1184">
        <v>0.125</v>
      </c>
      <c r="N22" s="1184">
        <v>0.125</v>
      </c>
      <c r="O22" s="1184">
        <v>0.125</v>
      </c>
      <c r="P22" s="1184">
        <v>0.125</v>
      </c>
      <c r="Q22" s="1184">
        <v>0.125</v>
      </c>
      <c r="R22" s="1164">
        <v>0.125</v>
      </c>
    </row>
    <row r="23" spans="1:18" x14ac:dyDescent="0.2">
      <c r="B23" s="1155" t="s">
        <v>44</v>
      </c>
      <c r="C23" s="1183">
        <v>0.36</v>
      </c>
      <c r="D23" s="1184">
        <v>0.35</v>
      </c>
      <c r="E23" s="1184">
        <v>0.34</v>
      </c>
      <c r="F23" s="1184">
        <v>0.31</v>
      </c>
      <c r="G23" s="1184">
        <v>0.28999999999999998</v>
      </c>
      <c r="H23" s="1184">
        <v>0.27</v>
      </c>
      <c r="I23" s="1184">
        <v>0.26</v>
      </c>
      <c r="J23" s="1184">
        <v>0.25</v>
      </c>
      <c r="K23" s="1184">
        <v>0.24</v>
      </c>
      <c r="L23" s="1184">
        <v>0.25</v>
      </c>
      <c r="M23" s="1184">
        <v>0.25</v>
      </c>
      <c r="N23" s="1184">
        <v>0.26500000000000001</v>
      </c>
      <c r="O23" s="1184">
        <v>0.25</v>
      </c>
      <c r="P23" s="1184">
        <v>0.25</v>
      </c>
      <c r="Q23" s="1184">
        <v>0.24</v>
      </c>
      <c r="R23" s="1164">
        <v>0.23</v>
      </c>
    </row>
    <row r="24" spans="1:18" x14ac:dyDescent="0.2">
      <c r="B24" s="1155" t="s">
        <v>45</v>
      </c>
      <c r="C24" s="1183">
        <v>0.38250000000000001</v>
      </c>
      <c r="D24" s="1184">
        <v>0.3725</v>
      </c>
      <c r="E24" s="1184">
        <v>0.3725</v>
      </c>
      <c r="F24" s="1184">
        <v>0.3725</v>
      </c>
      <c r="G24" s="1184">
        <v>0.3725</v>
      </c>
      <c r="H24" s="1184">
        <v>0.314</v>
      </c>
      <c r="I24" s="1184">
        <v>0.314</v>
      </c>
      <c r="J24" s="1184">
        <v>0.314</v>
      </c>
      <c r="K24" s="1184">
        <v>0.314</v>
      </c>
      <c r="L24" s="1184">
        <v>0.314</v>
      </c>
      <c r="M24" s="1184">
        <v>0.314</v>
      </c>
      <c r="N24" s="1184">
        <v>0.314</v>
      </c>
      <c r="O24" s="1184">
        <v>0.314</v>
      </c>
      <c r="P24" s="1184">
        <v>0.314</v>
      </c>
      <c r="Q24" s="1184">
        <v>0.24</v>
      </c>
      <c r="R24" s="1164">
        <v>0.24</v>
      </c>
    </row>
    <row r="25" spans="1:18" x14ac:dyDescent="0.2">
      <c r="B25" s="1155" t="s">
        <v>46</v>
      </c>
      <c r="C25" s="1183">
        <v>0.42</v>
      </c>
      <c r="D25" s="1184">
        <v>0.42</v>
      </c>
      <c r="E25" s="1184">
        <v>0.40689999999999998</v>
      </c>
      <c r="F25" s="1184">
        <v>0.40689999999999998</v>
      </c>
      <c r="G25" s="1184">
        <v>0.40689999999999998</v>
      </c>
      <c r="H25" s="1184">
        <v>0.40689999999999998</v>
      </c>
      <c r="I25" s="1184">
        <v>0.40689999999999998</v>
      </c>
      <c r="J25" s="1184">
        <v>0.40689999999999998</v>
      </c>
      <c r="K25" s="1184">
        <v>0.40689999999999998</v>
      </c>
      <c r="L25" s="1184">
        <v>0.38009999999999999</v>
      </c>
      <c r="M25" s="1184">
        <v>0.38009999999999999</v>
      </c>
      <c r="N25" s="1184">
        <v>0.35639999999999999</v>
      </c>
      <c r="O25" s="1184">
        <v>0.33860000000000001</v>
      </c>
      <c r="P25" s="1184">
        <v>0.30859999999999999</v>
      </c>
      <c r="Q25" s="1184">
        <v>0.30859999999999999</v>
      </c>
      <c r="R25" s="1164">
        <v>0.30859999999999999</v>
      </c>
    </row>
    <row r="26" spans="1:18" x14ac:dyDescent="0.2">
      <c r="A26" t="s">
        <v>637</v>
      </c>
      <c r="B26" s="1155" t="s">
        <v>47</v>
      </c>
      <c r="C26" s="1183">
        <v>0.29699999999999999</v>
      </c>
      <c r="D26" s="1184">
        <v>0.29699999999999999</v>
      </c>
      <c r="E26" s="1184">
        <v>0.27500000000000002</v>
      </c>
      <c r="F26" s="1184">
        <v>0.27500000000000002</v>
      </c>
      <c r="G26" s="1184">
        <v>0.27500000000000002</v>
      </c>
      <c r="H26" s="1184">
        <v>0.27500000000000002</v>
      </c>
      <c r="I26" s="1184">
        <v>0.24199999999999999</v>
      </c>
      <c r="J26" s="1184">
        <v>0.24199999999999999</v>
      </c>
      <c r="K26" s="1184">
        <v>0.22</v>
      </c>
      <c r="L26" s="1184">
        <v>0.24199999999999999</v>
      </c>
      <c r="M26" s="1184">
        <v>0.24199999999999999</v>
      </c>
      <c r="N26" s="1184">
        <v>0.24199999999999999</v>
      </c>
      <c r="O26" s="1184">
        <v>0.24199999999999999</v>
      </c>
      <c r="P26" s="1184">
        <v>0.24199999999999999</v>
      </c>
      <c r="Q26" s="1184">
        <v>0.22</v>
      </c>
      <c r="R26" s="1164">
        <v>0.25</v>
      </c>
    </row>
    <row r="27" spans="1:18" x14ac:dyDescent="0.2">
      <c r="B27" s="1154" t="s">
        <v>48</v>
      </c>
      <c r="C27" s="1183">
        <v>0.19</v>
      </c>
      <c r="D27" s="1184">
        <v>0.15</v>
      </c>
      <c r="E27" s="1184">
        <v>0.15</v>
      </c>
      <c r="F27" s="1184">
        <v>0.15</v>
      </c>
      <c r="G27" s="1184">
        <v>0.15</v>
      </c>
      <c r="H27" s="1184">
        <v>0.15</v>
      </c>
      <c r="I27" s="1184">
        <v>0.15</v>
      </c>
      <c r="J27" s="1184">
        <v>0.15</v>
      </c>
      <c r="K27" s="1184">
        <v>0.15</v>
      </c>
      <c r="L27" s="1184">
        <v>0.15</v>
      </c>
      <c r="M27" s="1184">
        <v>0.15</v>
      </c>
      <c r="N27" s="1184">
        <v>0.15</v>
      </c>
      <c r="O27" s="1184">
        <v>0.15</v>
      </c>
      <c r="P27" s="1184">
        <v>0.15</v>
      </c>
      <c r="Q27" s="1184">
        <v>0.15</v>
      </c>
      <c r="R27" s="1164">
        <v>0.2</v>
      </c>
    </row>
    <row r="28" spans="1:18" x14ac:dyDescent="0.2">
      <c r="B28" s="1154" t="s">
        <v>49</v>
      </c>
      <c r="C28" s="1183">
        <v>0.30380000000000001</v>
      </c>
      <c r="D28" s="1184">
        <v>0.30380000000000001</v>
      </c>
      <c r="E28" s="1184">
        <v>0.30380000000000001</v>
      </c>
      <c r="F28" s="1184">
        <v>0.29630000000000001</v>
      </c>
      <c r="G28" s="1184">
        <v>0.29630000000000001</v>
      </c>
      <c r="H28" s="1184">
        <v>0.29630000000000001</v>
      </c>
      <c r="I28" s="1184">
        <v>0.28589999999999999</v>
      </c>
      <c r="J28" s="1184">
        <v>0.28589999999999999</v>
      </c>
      <c r="K28" s="1184">
        <v>0.28800000000000003</v>
      </c>
      <c r="L28" s="1184">
        <v>0.28800000000000003</v>
      </c>
      <c r="M28" s="1184">
        <v>0.29220000000000002</v>
      </c>
      <c r="N28" s="1184">
        <v>0.29220000000000002</v>
      </c>
      <c r="O28" s="1184">
        <v>0.29220000000000002</v>
      </c>
      <c r="P28" s="1184">
        <v>0.29220000000000002</v>
      </c>
      <c r="Q28" s="1184">
        <v>0.27079999999999999</v>
      </c>
      <c r="R28" s="1164">
        <v>0.2601</v>
      </c>
    </row>
    <row r="29" spans="1:18" x14ac:dyDescent="0.2">
      <c r="B29" s="1154" t="s">
        <v>50</v>
      </c>
      <c r="C29" s="1183">
        <v>0.34</v>
      </c>
      <c r="D29" s="1184">
        <v>0.33</v>
      </c>
      <c r="E29" s="1184">
        <v>0.3</v>
      </c>
      <c r="F29" s="1184">
        <v>0.28999999999999998</v>
      </c>
      <c r="G29" s="1184">
        <v>0.28000000000000003</v>
      </c>
      <c r="H29" s="1184">
        <v>0.28000000000000003</v>
      </c>
      <c r="I29" s="1184">
        <v>0.28000000000000003</v>
      </c>
      <c r="J29" s="1184">
        <v>0.3</v>
      </c>
      <c r="K29" s="1184">
        <v>0.3</v>
      </c>
      <c r="L29" s="1184">
        <v>0.3</v>
      </c>
      <c r="M29" s="1184">
        <v>0.3</v>
      </c>
      <c r="N29" s="1184">
        <v>0.3</v>
      </c>
      <c r="O29" s="1184">
        <v>0.3</v>
      </c>
      <c r="P29" s="1184">
        <v>0.3</v>
      </c>
      <c r="Q29" s="1184">
        <v>0.3</v>
      </c>
      <c r="R29" s="1164">
        <v>0.3</v>
      </c>
    </row>
    <row r="30" spans="1:18" x14ac:dyDescent="0.2">
      <c r="B30" s="1154" t="s">
        <v>51</v>
      </c>
      <c r="C30" s="1183">
        <v>0.33</v>
      </c>
      <c r="D30" s="1184">
        <v>0.34499999999999997</v>
      </c>
      <c r="E30" s="1184">
        <v>0.315</v>
      </c>
      <c r="F30" s="1184">
        <v>0.29600000000000004</v>
      </c>
      <c r="G30" s="1184">
        <v>0.255</v>
      </c>
      <c r="H30" s="1184">
        <v>0.255</v>
      </c>
      <c r="I30" s="1184">
        <v>0.255</v>
      </c>
      <c r="J30" s="1184">
        <v>0.255</v>
      </c>
      <c r="K30" s="1184">
        <v>0.25</v>
      </c>
      <c r="L30" s="1184">
        <v>0.25</v>
      </c>
      <c r="M30" s="1184">
        <v>0.25</v>
      </c>
      <c r="N30" s="1184">
        <v>0.25</v>
      </c>
      <c r="O30" s="1184">
        <v>0.25</v>
      </c>
      <c r="P30" s="1184">
        <v>0.25</v>
      </c>
      <c r="Q30" s="1184">
        <v>0.25</v>
      </c>
      <c r="R30" s="1164">
        <v>0.25</v>
      </c>
    </row>
    <row r="31" spans="1:18" x14ac:dyDescent="0.2">
      <c r="B31" s="1154" t="s">
        <v>52</v>
      </c>
      <c r="C31" s="1183">
        <v>0.33</v>
      </c>
      <c r="D31" s="1184">
        <v>0.33</v>
      </c>
      <c r="E31" s="1184">
        <v>0.33</v>
      </c>
      <c r="F31" s="1184">
        <v>0.33</v>
      </c>
      <c r="G31" s="1184">
        <v>0.33</v>
      </c>
      <c r="H31" s="1184">
        <v>0.3</v>
      </c>
      <c r="I31" s="1184">
        <v>0.3</v>
      </c>
      <c r="J31" s="1184">
        <v>0.3</v>
      </c>
      <c r="K31" s="1184">
        <v>0.28000000000000003</v>
      </c>
      <c r="L31" s="1184">
        <v>0.28000000000000003</v>
      </c>
      <c r="M31" s="1184">
        <v>0.28000000000000003</v>
      </c>
      <c r="N31" s="1184">
        <v>0.28000000000000003</v>
      </c>
      <c r="O31" s="1184">
        <v>0.28000000000000003</v>
      </c>
      <c r="P31" s="1184">
        <v>0.28000000000000003</v>
      </c>
      <c r="Q31" s="1184">
        <v>0.28000000000000003</v>
      </c>
      <c r="R31" s="1164">
        <v>0.28000000000000003</v>
      </c>
    </row>
    <row r="32" spans="1:18" x14ac:dyDescent="0.2">
      <c r="B32" s="1154" t="s">
        <v>53</v>
      </c>
      <c r="C32" s="1183">
        <v>0.28000000000000003</v>
      </c>
      <c r="D32" s="1184">
        <v>0.28000000000000003</v>
      </c>
      <c r="E32" s="1184">
        <v>0.28000000000000003</v>
      </c>
      <c r="F32" s="1184">
        <v>0.28000000000000003</v>
      </c>
      <c r="G32" s="1184">
        <v>0.28000000000000003</v>
      </c>
      <c r="H32" s="1184">
        <v>0.28000000000000003</v>
      </c>
      <c r="I32" s="1184">
        <v>0.28000000000000003</v>
      </c>
      <c r="J32" s="1184">
        <v>0.28000000000000003</v>
      </c>
      <c r="K32" s="1184">
        <v>0.28000000000000003</v>
      </c>
      <c r="L32" s="1184">
        <v>0.28000000000000003</v>
      </c>
      <c r="M32" s="1184">
        <v>0.28000000000000003</v>
      </c>
      <c r="N32" s="1184">
        <v>0.27</v>
      </c>
      <c r="O32" s="1184">
        <v>0.27</v>
      </c>
      <c r="P32" s="1184">
        <v>0.25</v>
      </c>
      <c r="Q32" s="1184">
        <v>0.24</v>
      </c>
      <c r="R32" s="1164">
        <v>0.23</v>
      </c>
    </row>
    <row r="33" spans="2:18" x14ac:dyDescent="0.2">
      <c r="B33" s="1154" t="s">
        <v>54</v>
      </c>
      <c r="C33" s="1183">
        <v>0.27</v>
      </c>
      <c r="D33" s="1184">
        <v>0.19</v>
      </c>
      <c r="E33" s="1184">
        <v>0.19</v>
      </c>
      <c r="F33" s="1184">
        <v>0.19</v>
      </c>
      <c r="G33" s="1184">
        <v>0.19</v>
      </c>
      <c r="H33" s="1184">
        <v>0.19</v>
      </c>
      <c r="I33" s="1184">
        <v>0.19</v>
      </c>
      <c r="J33" s="1184">
        <v>0.19</v>
      </c>
      <c r="K33" s="1184">
        <v>0.19</v>
      </c>
      <c r="L33" s="1184">
        <v>0.19</v>
      </c>
      <c r="M33" s="1184">
        <v>0.19</v>
      </c>
      <c r="N33" s="1184">
        <v>0.19</v>
      </c>
      <c r="O33" s="1184">
        <v>0.19</v>
      </c>
      <c r="P33" s="1184">
        <v>0.19</v>
      </c>
      <c r="Q33" s="1184">
        <v>0.19</v>
      </c>
      <c r="R33" s="1164">
        <v>0.19</v>
      </c>
    </row>
    <row r="34" spans="2:18" x14ac:dyDescent="0.2">
      <c r="B34" s="1154" t="s">
        <v>55</v>
      </c>
      <c r="C34" s="1183">
        <v>0.25</v>
      </c>
      <c r="D34" s="1184">
        <v>0.27500000000000002</v>
      </c>
      <c r="E34" s="1184">
        <v>0.27500000000000002</v>
      </c>
      <c r="F34" s="1184">
        <v>0.27500000000000002</v>
      </c>
      <c r="G34" s="1184">
        <v>0.25</v>
      </c>
      <c r="H34" s="1184">
        <v>0.25</v>
      </c>
      <c r="I34" s="1184">
        <v>0.25</v>
      </c>
      <c r="J34" s="1184">
        <v>0.25</v>
      </c>
      <c r="K34" s="1184">
        <v>0.25</v>
      </c>
      <c r="L34" s="1184">
        <v>0.25</v>
      </c>
      <c r="M34" s="1184">
        <v>0.25</v>
      </c>
      <c r="N34" s="1184">
        <v>0.23</v>
      </c>
      <c r="O34" s="1184">
        <v>0.21</v>
      </c>
      <c r="P34" s="1184">
        <v>0.21</v>
      </c>
      <c r="Q34" s="1184">
        <v>0.21</v>
      </c>
      <c r="R34" s="1164">
        <v>0.21</v>
      </c>
    </row>
    <row r="35" spans="2:18" x14ac:dyDescent="0.2">
      <c r="B35" s="1154" t="s">
        <v>56</v>
      </c>
      <c r="C35" s="1183">
        <v>0.25</v>
      </c>
      <c r="D35" s="1184">
        <v>0.19</v>
      </c>
      <c r="E35" s="1184">
        <v>0.19</v>
      </c>
      <c r="F35" s="1184">
        <v>0.19</v>
      </c>
      <c r="G35" s="1184">
        <v>0.19</v>
      </c>
      <c r="H35" s="1184">
        <v>0.19</v>
      </c>
      <c r="I35" s="1184">
        <v>0.19</v>
      </c>
      <c r="J35" s="1184">
        <v>0.19</v>
      </c>
      <c r="K35" s="1184">
        <v>0.19</v>
      </c>
      <c r="L35" s="1184">
        <v>0.19</v>
      </c>
      <c r="M35" s="1184">
        <v>0.23</v>
      </c>
      <c r="N35" s="1184">
        <v>0.22</v>
      </c>
      <c r="O35" s="1184">
        <v>0.22</v>
      </c>
      <c r="P35" s="1184">
        <v>0.22</v>
      </c>
      <c r="Q35" s="1184">
        <v>0.21</v>
      </c>
      <c r="R35" s="1164">
        <v>0.21</v>
      </c>
    </row>
    <row r="36" spans="2:18" x14ac:dyDescent="0.2">
      <c r="B36" s="1154" t="s">
        <v>57</v>
      </c>
      <c r="C36" s="1183">
        <v>0.35</v>
      </c>
      <c r="D36" s="1184">
        <v>0.25</v>
      </c>
      <c r="E36" s="1184">
        <v>0.25</v>
      </c>
      <c r="F36" s="1184">
        <v>0.25</v>
      </c>
      <c r="G36" s="1184">
        <v>0.23</v>
      </c>
      <c r="H36" s="1184">
        <v>0.22</v>
      </c>
      <c r="I36" s="1184">
        <v>0.21</v>
      </c>
      <c r="J36" s="1184">
        <v>0.2</v>
      </c>
      <c r="K36" s="1184">
        <v>0.2</v>
      </c>
      <c r="L36" s="1184">
        <v>0.18</v>
      </c>
      <c r="M36" s="1184">
        <v>0.17</v>
      </c>
      <c r="N36" s="1184">
        <v>0.17</v>
      </c>
      <c r="O36" s="1184">
        <v>0.17</v>
      </c>
      <c r="P36" s="1184">
        <v>0.17</v>
      </c>
      <c r="Q36" s="1184">
        <v>0.19</v>
      </c>
      <c r="R36" s="1164">
        <v>0.19</v>
      </c>
    </row>
    <row r="37" spans="2:18" x14ac:dyDescent="0.2">
      <c r="B37" s="1154" t="s">
        <v>58</v>
      </c>
      <c r="C37" s="1183">
        <v>0.35</v>
      </c>
      <c r="D37" s="1184">
        <v>0.35</v>
      </c>
      <c r="E37" s="1184">
        <v>0.35</v>
      </c>
      <c r="F37" s="1184">
        <v>0.35</v>
      </c>
      <c r="G37" s="1184">
        <v>0.32500000000000001</v>
      </c>
      <c r="H37" s="1184">
        <v>0.3</v>
      </c>
      <c r="I37" s="1184">
        <v>0.3</v>
      </c>
      <c r="J37" s="1184">
        <v>0.3</v>
      </c>
      <c r="K37" s="1184">
        <v>0.3</v>
      </c>
      <c r="L37" s="1184">
        <v>0.3</v>
      </c>
      <c r="M37" s="1184">
        <v>0.3</v>
      </c>
      <c r="N37" s="1184">
        <v>0.3</v>
      </c>
      <c r="O37" s="1184">
        <v>0.28000000000000003</v>
      </c>
      <c r="P37" s="1184">
        <v>0.25</v>
      </c>
      <c r="Q37" s="1184">
        <v>0.25</v>
      </c>
      <c r="R37" s="1164">
        <v>0.25</v>
      </c>
    </row>
    <row r="38" spans="2:18" x14ac:dyDescent="0.2">
      <c r="B38" s="1080" t="s">
        <v>59</v>
      </c>
      <c r="C38" s="1183">
        <v>0.28000000000000003</v>
      </c>
      <c r="D38" s="1184">
        <v>0.28000000000000003</v>
      </c>
      <c r="E38" s="1184">
        <v>0.28000000000000003</v>
      </c>
      <c r="F38" s="1184">
        <v>0.28000000000000003</v>
      </c>
      <c r="G38" s="1184">
        <v>0.28000000000000003</v>
      </c>
      <c r="H38" s="1184">
        <v>0.28000000000000003</v>
      </c>
      <c r="I38" s="1184">
        <v>0.26300000000000001</v>
      </c>
      <c r="J38" s="1184">
        <v>0.26300000000000001</v>
      </c>
      <c r="K38" s="1184">
        <v>0.26300000000000001</v>
      </c>
      <c r="L38" s="1184">
        <v>0.26300000000000001</v>
      </c>
      <c r="M38" s="1184">
        <v>0.22</v>
      </c>
      <c r="N38" s="1184">
        <v>0.22</v>
      </c>
      <c r="O38" s="1184">
        <v>0.22</v>
      </c>
      <c r="P38" s="1184">
        <v>0.22</v>
      </c>
      <c r="Q38" s="1184">
        <v>0.22</v>
      </c>
      <c r="R38" s="1164">
        <v>0.22</v>
      </c>
    </row>
    <row r="39" spans="2:18" x14ac:dyDescent="0.2">
      <c r="B39" s="1154" t="s">
        <v>60</v>
      </c>
      <c r="C39" s="1183">
        <v>0.25</v>
      </c>
      <c r="D39" s="1184">
        <v>0.24100000000000002</v>
      </c>
      <c r="E39" s="1184">
        <v>0.21989999999999998</v>
      </c>
      <c r="F39" s="1184">
        <v>0.21299999999999999</v>
      </c>
      <c r="G39" s="1184">
        <v>0.20629999999999998</v>
      </c>
      <c r="H39" s="1184">
        <v>0.192</v>
      </c>
      <c r="I39" s="1184">
        <v>0.18960000000000002</v>
      </c>
      <c r="J39" s="1184">
        <v>0.1875</v>
      </c>
      <c r="K39" s="1184">
        <v>0.18309999999999998</v>
      </c>
      <c r="L39" s="1184">
        <v>0.18059999999999998</v>
      </c>
      <c r="M39" s="1184">
        <v>0.18010000000000001</v>
      </c>
      <c r="N39" s="1184">
        <v>0.17920000000000003</v>
      </c>
      <c r="O39" s="1184">
        <v>0.17920000000000003</v>
      </c>
      <c r="P39" s="1184">
        <v>0.17920000000000003</v>
      </c>
      <c r="Q39" s="1184">
        <v>0.1777</v>
      </c>
      <c r="R39" s="1164">
        <v>0.18</v>
      </c>
    </row>
    <row r="40" spans="2:18" x14ac:dyDescent="0.2">
      <c r="B40" s="1154" t="s">
        <v>61</v>
      </c>
      <c r="C40" s="1183">
        <v>0.3</v>
      </c>
      <c r="D40" s="1184">
        <v>0.33</v>
      </c>
      <c r="E40" s="1184">
        <v>0.3</v>
      </c>
      <c r="F40" s="1184">
        <v>0.2</v>
      </c>
      <c r="G40" s="1184">
        <v>0.2</v>
      </c>
      <c r="H40" s="1184">
        <v>0.2</v>
      </c>
      <c r="I40" s="1184">
        <v>0.2</v>
      </c>
      <c r="J40" s="1184">
        <v>0.2</v>
      </c>
      <c r="K40" s="1184">
        <v>0.2</v>
      </c>
      <c r="L40" s="1184">
        <v>0.2</v>
      </c>
      <c r="M40" s="1184">
        <v>0.2</v>
      </c>
      <c r="N40" s="1184">
        <v>0.2</v>
      </c>
      <c r="O40" s="1184">
        <v>0.2</v>
      </c>
      <c r="P40" s="1184">
        <v>0.2</v>
      </c>
      <c r="Q40" s="1184">
        <v>0.2</v>
      </c>
      <c r="R40" s="1164">
        <v>0.22</v>
      </c>
    </row>
    <row r="41" spans="2:18" x14ac:dyDescent="0.2">
      <c r="B41" s="1154" t="s">
        <v>62</v>
      </c>
      <c r="C41" s="1183">
        <v>0.3</v>
      </c>
      <c r="D41" s="1184">
        <v>0.3</v>
      </c>
      <c r="E41" s="1184">
        <v>0.3</v>
      </c>
      <c r="F41" s="1184">
        <v>0.3</v>
      </c>
      <c r="G41" s="1184">
        <v>0.3</v>
      </c>
      <c r="H41" s="1184">
        <v>0.3</v>
      </c>
      <c r="I41" s="1184">
        <v>0.28000000000000003</v>
      </c>
      <c r="J41" s="1184">
        <v>0.28000000000000003</v>
      </c>
      <c r="K41" s="1184">
        <v>0.26</v>
      </c>
      <c r="L41" s="1184">
        <v>0.24</v>
      </c>
      <c r="M41" s="1184">
        <v>0.23</v>
      </c>
      <c r="N41" s="1184">
        <v>0.21</v>
      </c>
      <c r="O41" s="1184">
        <v>0.2</v>
      </c>
      <c r="P41" s="1184">
        <v>0.2</v>
      </c>
      <c r="Q41" s="1184">
        <v>0.19</v>
      </c>
      <c r="R41" s="1164">
        <v>0.19</v>
      </c>
    </row>
    <row r="42" spans="2:18" x14ac:dyDescent="0.2">
      <c r="B42" s="1154" t="s">
        <v>63</v>
      </c>
      <c r="C42" s="1713">
        <v>0.39322499999999999</v>
      </c>
      <c r="D42" s="1218">
        <v>0.39316000000000001</v>
      </c>
      <c r="E42" s="1218">
        <v>0.39289999999999997</v>
      </c>
      <c r="F42" s="1218">
        <v>0.39302999999999999</v>
      </c>
      <c r="G42" s="1218">
        <v>0.39270499999999997</v>
      </c>
      <c r="H42" s="1218">
        <v>0.39250999999999997</v>
      </c>
      <c r="I42" s="1218">
        <v>0.39159999999999995</v>
      </c>
      <c r="J42" s="1218">
        <v>0.39205499999999999</v>
      </c>
      <c r="K42" s="1218">
        <v>0.39192500000000002</v>
      </c>
      <c r="L42" s="1218">
        <v>0.39134000000000002</v>
      </c>
      <c r="M42" s="1218">
        <v>0.39049500000000004</v>
      </c>
      <c r="N42" s="1218">
        <v>0.39075499999999996</v>
      </c>
      <c r="O42" s="1218">
        <v>0.38997500000000002</v>
      </c>
      <c r="P42" s="1218">
        <v>0.38923934000000004</v>
      </c>
      <c r="Q42" s="1218">
        <v>0.38923934000000004</v>
      </c>
      <c r="R42" s="1164">
        <v>0.23923934000000002</v>
      </c>
    </row>
    <row r="43" spans="2:18" ht="17" x14ac:dyDescent="0.2">
      <c r="B43" s="7" t="s">
        <v>64</v>
      </c>
      <c r="C43" s="1183"/>
      <c r="D43" s="1184"/>
      <c r="E43" s="1184"/>
      <c r="F43" s="1184"/>
      <c r="G43" s="1184"/>
      <c r="H43" s="1184"/>
      <c r="I43" s="1184"/>
      <c r="J43" s="1184"/>
      <c r="K43" s="1184"/>
      <c r="L43" s="1184"/>
      <c r="M43" s="1184"/>
      <c r="N43" s="1184"/>
      <c r="O43" s="1184"/>
      <c r="P43" s="1184"/>
      <c r="Q43" s="1184"/>
      <c r="R43" s="1164"/>
    </row>
    <row r="44" spans="2:18" x14ac:dyDescent="0.2">
      <c r="B44" s="1155" t="s">
        <v>65</v>
      </c>
      <c r="C44" s="1183">
        <v>0.34</v>
      </c>
      <c r="D44" s="1184">
        <v>0.34</v>
      </c>
      <c r="E44" s="1184">
        <v>0.34</v>
      </c>
      <c r="F44" s="1184">
        <v>0.34</v>
      </c>
      <c r="G44" s="1184">
        <v>0.34</v>
      </c>
      <c r="H44" s="1184">
        <v>0.34</v>
      </c>
      <c r="I44" s="1184">
        <v>0.34</v>
      </c>
      <c r="J44" s="1184">
        <v>0.34</v>
      </c>
      <c r="K44" s="1184">
        <v>0.34</v>
      </c>
      <c r="L44" s="1184">
        <v>0.34</v>
      </c>
      <c r="M44" s="1184">
        <v>0.34</v>
      </c>
      <c r="N44" s="1184">
        <v>0.34</v>
      </c>
      <c r="O44" s="1184">
        <v>0.34</v>
      </c>
      <c r="P44" s="1184">
        <v>0.34</v>
      </c>
      <c r="Q44" s="1184">
        <v>0.34</v>
      </c>
      <c r="R44" s="1164">
        <v>0.34</v>
      </c>
    </row>
    <row r="45" spans="2:18" x14ac:dyDescent="0.2">
      <c r="B45" s="1154" t="s">
        <v>66</v>
      </c>
      <c r="C45" s="1183">
        <v>0.33</v>
      </c>
      <c r="D45" s="1184">
        <v>0.33</v>
      </c>
      <c r="E45" s="1184">
        <v>0.33</v>
      </c>
      <c r="F45" s="1184">
        <v>0.33</v>
      </c>
      <c r="G45" s="1184">
        <v>0.33</v>
      </c>
      <c r="H45" s="1184">
        <v>0.25</v>
      </c>
      <c r="I45" s="1184">
        <v>0.25</v>
      </c>
      <c r="J45" s="1184">
        <v>0.25</v>
      </c>
      <c r="K45" s="1184">
        <v>0.25</v>
      </c>
      <c r="L45" s="1184">
        <v>0.25</v>
      </c>
      <c r="M45" s="1184">
        <v>0.25</v>
      </c>
      <c r="N45" s="1184">
        <v>0.25</v>
      </c>
      <c r="O45" s="1184">
        <v>0.25</v>
      </c>
      <c r="P45" s="1184">
        <v>0.25</v>
      </c>
      <c r="Q45" s="1184">
        <v>0.25</v>
      </c>
      <c r="R45" s="1164">
        <v>0.25</v>
      </c>
    </row>
    <row r="46" spans="2:18" x14ac:dyDescent="0.2">
      <c r="B46" s="1154" t="s">
        <v>67</v>
      </c>
      <c r="C46" s="1183">
        <v>0.35</v>
      </c>
      <c r="D46" s="1184">
        <v>0.35</v>
      </c>
      <c r="E46" s="1184">
        <v>0.35</v>
      </c>
      <c r="F46" s="1184">
        <v>0.35</v>
      </c>
      <c r="G46" s="1184">
        <v>0.34</v>
      </c>
      <c r="H46" s="1184">
        <v>0.33</v>
      </c>
      <c r="I46" s="1184">
        <v>0.33</v>
      </c>
      <c r="J46" s="1184">
        <v>0.33</v>
      </c>
      <c r="K46" s="1184">
        <v>0.33</v>
      </c>
      <c r="L46" s="1184">
        <v>0.33</v>
      </c>
      <c r="M46" s="1184">
        <v>0.25</v>
      </c>
      <c r="N46" s="1184">
        <v>0.25</v>
      </c>
      <c r="O46" s="1184">
        <v>0.25</v>
      </c>
      <c r="P46" s="1184">
        <v>0.25</v>
      </c>
      <c r="Q46" s="1184">
        <v>0.34</v>
      </c>
      <c r="R46" s="1164">
        <v>0.33</v>
      </c>
    </row>
    <row r="47" spans="2:18" x14ac:dyDescent="0.2">
      <c r="B47" s="1154" t="s">
        <v>68</v>
      </c>
      <c r="C47" s="1183">
        <v>0.36</v>
      </c>
      <c r="D47" s="1184">
        <v>0.3</v>
      </c>
      <c r="E47" s="1184">
        <v>0.3</v>
      </c>
      <c r="F47" s="1184">
        <v>0.3</v>
      </c>
      <c r="G47" s="1184">
        <v>0.3</v>
      </c>
      <c r="H47" s="1184">
        <v>0.3</v>
      </c>
      <c r="I47" s="1184">
        <v>0.3</v>
      </c>
      <c r="J47" s="1184">
        <v>0.3</v>
      </c>
      <c r="K47" s="1184">
        <v>0.3</v>
      </c>
      <c r="L47" s="1184">
        <v>0.3</v>
      </c>
      <c r="M47" s="1184">
        <v>0.3</v>
      </c>
      <c r="N47" s="1184">
        <v>0.3</v>
      </c>
      <c r="O47" s="1184">
        <v>0.3</v>
      </c>
      <c r="P47" s="1184">
        <v>0.3</v>
      </c>
      <c r="Q47" s="1184">
        <v>0.3</v>
      </c>
      <c r="R47" s="1164">
        <v>0.3</v>
      </c>
    </row>
    <row r="48" spans="2:18" x14ac:dyDescent="0.2">
      <c r="B48" s="1154" t="s">
        <v>69</v>
      </c>
      <c r="C48" s="1183">
        <v>0.36749999999999999</v>
      </c>
      <c r="D48" s="1184">
        <v>0.35880000000000001</v>
      </c>
      <c r="E48" s="1184">
        <v>0.36590000000000006</v>
      </c>
      <c r="F48" s="1184">
        <v>0.33659999999999995</v>
      </c>
      <c r="G48" s="1184">
        <v>0.33990000000000004</v>
      </c>
      <c r="H48" s="1184">
        <v>0.33990000000000004</v>
      </c>
      <c r="I48" s="1184">
        <v>0.33990000000000004</v>
      </c>
      <c r="J48" s="1184">
        <v>0.33990000000000004</v>
      </c>
      <c r="K48" s="1184">
        <v>0.32439999999999997</v>
      </c>
      <c r="L48" s="1184">
        <v>0.32450000000000001</v>
      </c>
      <c r="M48" s="1184">
        <v>0.33990000000000004</v>
      </c>
      <c r="N48" s="1184">
        <v>0.33990000000000004</v>
      </c>
      <c r="O48" s="1184">
        <v>0.34610000000000002</v>
      </c>
      <c r="P48" s="1184">
        <v>0.34610000000000002</v>
      </c>
      <c r="Q48" s="1184">
        <v>0.34610000000000002</v>
      </c>
      <c r="R48" s="1164">
        <v>0.35</v>
      </c>
    </row>
    <row r="49" spans="2:18" x14ac:dyDescent="0.2">
      <c r="B49" s="1154" t="s">
        <v>70</v>
      </c>
      <c r="C49" s="1183">
        <v>0.24</v>
      </c>
      <c r="D49" s="1184">
        <v>0.24</v>
      </c>
      <c r="E49" s="1184">
        <v>0.24</v>
      </c>
      <c r="F49" s="1184">
        <v>0.24</v>
      </c>
      <c r="G49" s="1184">
        <v>0.24</v>
      </c>
      <c r="H49" s="1184">
        <v>0.24</v>
      </c>
      <c r="I49" s="1184">
        <v>0.2</v>
      </c>
      <c r="J49" s="1184">
        <v>0.2</v>
      </c>
      <c r="K49" s="1184">
        <v>0.2</v>
      </c>
      <c r="L49" s="1184">
        <v>0.2</v>
      </c>
      <c r="M49" s="1184">
        <v>0.2</v>
      </c>
      <c r="N49" s="1184">
        <v>0.2</v>
      </c>
      <c r="O49" s="1184">
        <v>0.2</v>
      </c>
      <c r="P49" s="1184">
        <v>0.2</v>
      </c>
      <c r="Q49" s="1184">
        <v>0.2</v>
      </c>
      <c r="R49" s="1164">
        <v>0.2</v>
      </c>
    </row>
    <row r="50" spans="2:18" x14ac:dyDescent="0.2">
      <c r="B50" s="1154" t="s">
        <v>71</v>
      </c>
      <c r="C50" s="1183">
        <v>0.37780000000000002</v>
      </c>
      <c r="D50" s="1184">
        <v>0.37780000000000002</v>
      </c>
      <c r="E50" s="1184">
        <v>0.37780000000000002</v>
      </c>
      <c r="F50" s="1184">
        <v>0.36890000000000001</v>
      </c>
      <c r="G50" s="1184">
        <v>0.36890000000000001</v>
      </c>
      <c r="H50" s="1184">
        <v>0.34549999999999997</v>
      </c>
      <c r="I50" s="1184">
        <v>0.34549999999999997</v>
      </c>
      <c r="J50" s="1184">
        <v>0.34549999999999997</v>
      </c>
      <c r="K50" s="1184">
        <v>0.34549999999999997</v>
      </c>
      <c r="L50" s="1184">
        <v>0.34549999999999997</v>
      </c>
      <c r="M50" s="1184">
        <v>0.28000000000000003</v>
      </c>
      <c r="N50" s="1184">
        <v>0.28000000000000003</v>
      </c>
      <c r="O50" s="1184">
        <v>0.28000000000000003</v>
      </c>
      <c r="P50" s="1184">
        <v>0.28000000000000003</v>
      </c>
      <c r="Q50" s="1184">
        <v>0.28000000000000003</v>
      </c>
      <c r="R50" s="1164">
        <v>0.28000000000000003</v>
      </c>
    </row>
    <row r="51" spans="2:18" ht="17" x14ac:dyDescent="0.2">
      <c r="B51" s="7" t="s">
        <v>72</v>
      </c>
      <c r="C51" s="1183"/>
      <c r="D51" s="1184"/>
      <c r="E51" s="1184"/>
      <c r="F51" s="1184"/>
      <c r="G51" s="1184"/>
      <c r="H51" s="1184"/>
      <c r="I51" s="1184"/>
      <c r="J51" s="1184"/>
      <c r="K51" s="1184"/>
      <c r="L51" s="1184"/>
      <c r="M51" s="1184"/>
      <c r="N51" s="1184"/>
      <c r="O51" s="1184"/>
      <c r="P51" s="1184"/>
      <c r="Q51" s="1184"/>
      <c r="R51" s="1164"/>
    </row>
    <row r="52" spans="2:18" x14ac:dyDescent="0.2">
      <c r="B52" s="1154" t="s">
        <v>73</v>
      </c>
      <c r="C52" s="1183">
        <v>0</v>
      </c>
      <c r="D52" s="1184">
        <v>0</v>
      </c>
      <c r="E52" s="1184">
        <v>0</v>
      </c>
      <c r="F52" s="1184">
        <v>0</v>
      </c>
      <c r="G52" s="1184">
        <v>0</v>
      </c>
      <c r="H52" s="1184">
        <v>0</v>
      </c>
      <c r="I52" s="1184">
        <v>0</v>
      </c>
      <c r="J52" s="1184">
        <v>0</v>
      </c>
      <c r="K52" s="1184">
        <v>0</v>
      </c>
      <c r="L52" s="1184">
        <v>0</v>
      </c>
      <c r="M52" s="1184">
        <v>0</v>
      </c>
      <c r="N52" s="1184">
        <v>0</v>
      </c>
      <c r="O52" s="1184">
        <v>0</v>
      </c>
      <c r="P52" s="1184">
        <v>0</v>
      </c>
      <c r="Q52" s="1184">
        <v>0.1</v>
      </c>
      <c r="R52" s="1164">
        <v>0.1</v>
      </c>
    </row>
    <row r="53" spans="2:18" x14ac:dyDescent="0.2">
      <c r="B53" s="1154" t="s">
        <v>74</v>
      </c>
      <c r="C53" s="1183">
        <v>0</v>
      </c>
      <c r="D53" s="1184">
        <v>0</v>
      </c>
      <c r="E53" s="1184">
        <v>0</v>
      </c>
      <c r="F53" s="1184">
        <v>0</v>
      </c>
      <c r="G53" s="1184">
        <v>0</v>
      </c>
      <c r="H53" s="1184">
        <v>0</v>
      </c>
      <c r="I53" s="1184">
        <v>0</v>
      </c>
      <c r="J53" s="1184">
        <v>0</v>
      </c>
      <c r="K53" s="1184">
        <v>0</v>
      </c>
      <c r="L53" s="1184">
        <v>0</v>
      </c>
      <c r="M53" s="1184">
        <v>0</v>
      </c>
      <c r="N53" s="1184">
        <v>0</v>
      </c>
      <c r="O53" s="1184">
        <v>0</v>
      </c>
      <c r="P53" s="1184">
        <v>0</v>
      </c>
      <c r="Q53" s="1184">
        <v>0</v>
      </c>
      <c r="R53" s="1164">
        <v>0</v>
      </c>
    </row>
    <row r="54" spans="2:18" x14ac:dyDescent="0.2">
      <c r="B54" s="1154" t="s">
        <v>75</v>
      </c>
      <c r="C54" s="1183">
        <v>0</v>
      </c>
      <c r="D54" s="1184">
        <v>0</v>
      </c>
      <c r="E54" s="1184">
        <v>0</v>
      </c>
      <c r="F54" s="1184">
        <v>0</v>
      </c>
      <c r="G54" s="1184">
        <v>0</v>
      </c>
      <c r="H54" s="1184">
        <v>0</v>
      </c>
      <c r="I54" s="1184">
        <v>0</v>
      </c>
      <c r="J54" s="1184">
        <v>0</v>
      </c>
      <c r="K54" s="1184">
        <v>0</v>
      </c>
      <c r="L54" s="1184">
        <v>0</v>
      </c>
      <c r="M54" s="1184">
        <v>0</v>
      </c>
      <c r="N54" s="1184">
        <v>0</v>
      </c>
      <c r="O54" s="1184">
        <v>0</v>
      </c>
      <c r="P54" s="1184">
        <v>0</v>
      </c>
      <c r="Q54" s="1184">
        <v>0.25</v>
      </c>
      <c r="R54" s="1164">
        <v>0.25</v>
      </c>
    </row>
    <row r="55" spans="2:18" x14ac:dyDescent="0.2">
      <c r="B55" s="1154" t="s">
        <v>76</v>
      </c>
      <c r="C55" s="1183">
        <v>0</v>
      </c>
      <c r="D55" s="1184">
        <v>0</v>
      </c>
      <c r="E55" s="1184">
        <v>0.35</v>
      </c>
      <c r="F55" s="1184">
        <v>0.35</v>
      </c>
      <c r="G55" s="1184">
        <v>0.28000000000000003</v>
      </c>
      <c r="H55" s="1184">
        <v>0.28000000000000003</v>
      </c>
      <c r="I55" s="1184">
        <v>0.28000000000000003</v>
      </c>
      <c r="J55" s="1184">
        <v>0.28000000000000003</v>
      </c>
      <c r="K55" s="1184">
        <v>0.28000000000000003</v>
      </c>
      <c r="L55" s="1184">
        <v>0.28000000000000003</v>
      </c>
      <c r="M55" s="1184">
        <v>0.28000000000000003</v>
      </c>
      <c r="N55" s="1184">
        <v>0.28000000000000003</v>
      </c>
      <c r="O55" s="1184">
        <v>0.25</v>
      </c>
      <c r="P55" s="1184">
        <v>0.25</v>
      </c>
      <c r="Q55" s="1184">
        <v>0.25</v>
      </c>
      <c r="R55" s="1164">
        <v>0.25</v>
      </c>
    </row>
    <row r="56" spans="2:18" x14ac:dyDescent="0.2">
      <c r="B56" s="1154" t="s">
        <v>152</v>
      </c>
      <c r="C56" s="1183">
        <v>0</v>
      </c>
      <c r="D56" s="1184">
        <v>0</v>
      </c>
      <c r="E56" s="1184">
        <v>0</v>
      </c>
      <c r="F56" s="1184">
        <v>0</v>
      </c>
      <c r="G56" s="1184">
        <v>0</v>
      </c>
      <c r="H56" s="1184">
        <v>0</v>
      </c>
      <c r="I56" s="1184">
        <v>0</v>
      </c>
      <c r="J56" s="1184">
        <v>0</v>
      </c>
      <c r="K56" s="1184">
        <v>0</v>
      </c>
      <c r="L56" s="1184">
        <v>0</v>
      </c>
      <c r="M56" s="1184">
        <v>0</v>
      </c>
      <c r="N56" s="1184">
        <v>0</v>
      </c>
      <c r="O56" s="1184">
        <v>0</v>
      </c>
      <c r="P56" s="1184">
        <v>0</v>
      </c>
      <c r="Q56" s="1184">
        <v>0</v>
      </c>
      <c r="R56" s="1164">
        <v>0</v>
      </c>
    </row>
    <row r="57" spans="2:18" x14ac:dyDescent="0.2">
      <c r="B57" s="1154" t="s">
        <v>78</v>
      </c>
      <c r="C57" s="1183">
        <v>0</v>
      </c>
      <c r="D57" s="1184">
        <v>0</v>
      </c>
      <c r="E57" s="1184">
        <v>0</v>
      </c>
      <c r="F57" s="1184">
        <v>0</v>
      </c>
      <c r="G57" s="1184">
        <v>0</v>
      </c>
      <c r="H57" s="1184">
        <v>0</v>
      </c>
      <c r="I57" s="1184">
        <v>0</v>
      </c>
      <c r="J57" s="1184">
        <v>0</v>
      </c>
      <c r="K57" s="1184">
        <v>0</v>
      </c>
      <c r="L57" s="1184">
        <v>0</v>
      </c>
      <c r="M57" s="1184">
        <v>0</v>
      </c>
      <c r="N57" s="1184">
        <v>0</v>
      </c>
      <c r="O57" s="1184">
        <v>0</v>
      </c>
      <c r="P57" s="1184">
        <v>0</v>
      </c>
      <c r="Q57" s="1184">
        <v>0</v>
      </c>
      <c r="R57" s="1164">
        <v>0</v>
      </c>
    </row>
    <row r="58" spans="2:18" x14ac:dyDescent="0.2">
      <c r="B58" s="1154" t="s">
        <v>79</v>
      </c>
      <c r="C58" s="1183">
        <v>0.36</v>
      </c>
      <c r="D58" s="1184">
        <v>0.33</v>
      </c>
      <c r="E58" s="1184">
        <v>0.3</v>
      </c>
      <c r="F58" s="1184">
        <v>0.25</v>
      </c>
      <c r="G58" s="1184">
        <v>0.25</v>
      </c>
      <c r="H58" s="1184">
        <v>0.25</v>
      </c>
      <c r="I58" s="1184">
        <v>0.25</v>
      </c>
      <c r="J58" s="1184">
        <v>0.25</v>
      </c>
      <c r="K58" s="1184">
        <v>0.25</v>
      </c>
      <c r="L58" s="1184">
        <v>0.25</v>
      </c>
      <c r="M58" s="1184">
        <v>0.25</v>
      </c>
      <c r="N58" s="1184">
        <v>0.25</v>
      </c>
      <c r="O58" s="1184">
        <v>0.25</v>
      </c>
      <c r="P58" s="1184">
        <v>0.25</v>
      </c>
      <c r="Q58" s="1184">
        <v>0.25</v>
      </c>
      <c r="R58" s="1164">
        <v>0.25</v>
      </c>
    </row>
    <row r="59" spans="2:18" x14ac:dyDescent="0.2">
      <c r="B59" s="1154" t="s">
        <v>80</v>
      </c>
      <c r="C59" s="1183">
        <v>0</v>
      </c>
      <c r="D59" s="1184">
        <v>0</v>
      </c>
      <c r="E59" s="1184">
        <v>0</v>
      </c>
      <c r="F59" s="1184">
        <v>0</v>
      </c>
      <c r="G59" s="1184">
        <v>0</v>
      </c>
      <c r="H59" s="1184">
        <v>0</v>
      </c>
      <c r="I59" s="1184">
        <v>0</v>
      </c>
      <c r="J59" s="1184">
        <v>0</v>
      </c>
      <c r="K59" s="1184">
        <v>0</v>
      </c>
      <c r="L59" s="1184">
        <v>0</v>
      </c>
      <c r="M59" s="1184">
        <v>0</v>
      </c>
      <c r="N59" s="1184">
        <v>0</v>
      </c>
      <c r="O59" s="1184">
        <v>0</v>
      </c>
      <c r="P59" s="1184">
        <v>0</v>
      </c>
      <c r="Q59" s="1184">
        <v>0</v>
      </c>
      <c r="R59" s="1164">
        <v>0</v>
      </c>
    </row>
    <row r="60" spans="2:18" x14ac:dyDescent="0.2">
      <c r="B60" s="1154" t="s">
        <v>81</v>
      </c>
      <c r="C60" s="1183">
        <v>0</v>
      </c>
      <c r="D60" s="1184">
        <v>0</v>
      </c>
      <c r="E60" s="1184">
        <v>0</v>
      </c>
      <c r="F60" s="1184">
        <v>0</v>
      </c>
      <c r="G60" s="1184">
        <v>0</v>
      </c>
      <c r="H60" s="1184">
        <v>0</v>
      </c>
      <c r="I60" s="1184">
        <v>0</v>
      </c>
      <c r="J60" s="1184">
        <v>0</v>
      </c>
      <c r="K60" s="1184">
        <v>0</v>
      </c>
      <c r="L60" s="1184">
        <v>0</v>
      </c>
      <c r="M60" s="1184">
        <v>0</v>
      </c>
      <c r="N60" s="1184">
        <v>0</v>
      </c>
      <c r="O60" s="1184">
        <v>0</v>
      </c>
      <c r="P60" s="1184">
        <v>0</v>
      </c>
      <c r="Q60" s="1184">
        <v>0</v>
      </c>
      <c r="R60" s="1164">
        <v>0</v>
      </c>
    </row>
    <row r="61" spans="2:18" x14ac:dyDescent="0.2">
      <c r="B61" s="1154" t="s">
        <v>82</v>
      </c>
      <c r="C61" s="1183">
        <v>0</v>
      </c>
      <c r="D61" s="1184">
        <v>0</v>
      </c>
      <c r="E61" s="1184">
        <v>0</v>
      </c>
      <c r="F61" s="1184">
        <v>0</v>
      </c>
      <c r="G61" s="1184">
        <v>0</v>
      </c>
      <c r="H61" s="1184">
        <v>0</v>
      </c>
      <c r="I61" s="1184">
        <v>0</v>
      </c>
      <c r="J61" s="1184">
        <v>0</v>
      </c>
      <c r="K61" s="1184">
        <v>0</v>
      </c>
      <c r="L61" s="1184">
        <v>0</v>
      </c>
      <c r="M61" s="1184">
        <v>0</v>
      </c>
      <c r="N61" s="1184">
        <v>0</v>
      </c>
      <c r="O61" s="1184">
        <v>0</v>
      </c>
      <c r="P61" s="1184">
        <v>0</v>
      </c>
      <c r="Q61" s="1184">
        <v>0</v>
      </c>
      <c r="R61" s="1164">
        <v>0</v>
      </c>
    </row>
    <row r="62" spans="2:18" x14ac:dyDescent="0.2">
      <c r="B62" s="1154" t="s">
        <v>153</v>
      </c>
      <c r="C62" s="1183">
        <v>0</v>
      </c>
      <c r="D62" s="1184">
        <v>0</v>
      </c>
      <c r="E62" s="1184">
        <v>0</v>
      </c>
      <c r="F62" s="1184">
        <v>0</v>
      </c>
      <c r="G62" s="1184">
        <v>0</v>
      </c>
      <c r="H62" s="1184">
        <v>0</v>
      </c>
      <c r="I62" s="1184">
        <v>0</v>
      </c>
      <c r="J62" s="1184">
        <v>0</v>
      </c>
      <c r="K62" s="1184">
        <v>0</v>
      </c>
      <c r="L62" s="1184">
        <v>0</v>
      </c>
      <c r="M62" s="1184">
        <v>0</v>
      </c>
      <c r="N62" s="1184">
        <v>0</v>
      </c>
      <c r="O62" s="1184">
        <v>0</v>
      </c>
      <c r="P62" s="1184">
        <v>0</v>
      </c>
      <c r="Q62" s="1184">
        <v>0</v>
      </c>
      <c r="R62" s="1164">
        <v>0</v>
      </c>
    </row>
    <row r="63" spans="2:18" x14ac:dyDescent="0.2">
      <c r="B63" s="113" t="s">
        <v>84</v>
      </c>
      <c r="C63" s="1183">
        <v>0</v>
      </c>
      <c r="D63" s="1184">
        <v>0</v>
      </c>
      <c r="E63" s="1184">
        <v>0</v>
      </c>
      <c r="F63" s="1184">
        <v>0</v>
      </c>
      <c r="G63" s="1184">
        <v>0</v>
      </c>
      <c r="H63" s="1184">
        <v>0</v>
      </c>
      <c r="I63" s="1184">
        <v>0</v>
      </c>
      <c r="J63" s="1184">
        <v>0</v>
      </c>
      <c r="K63" s="1184">
        <v>0</v>
      </c>
      <c r="L63" s="1184">
        <v>0</v>
      </c>
      <c r="M63" s="1184">
        <v>0</v>
      </c>
      <c r="N63" s="1184">
        <v>0</v>
      </c>
      <c r="O63" s="1184">
        <v>0</v>
      </c>
      <c r="P63" s="1184">
        <v>0</v>
      </c>
      <c r="Q63" s="1184">
        <v>0</v>
      </c>
      <c r="R63" s="1164">
        <v>0</v>
      </c>
    </row>
    <row r="64" spans="2:18" x14ac:dyDescent="0.2">
      <c r="B64" s="1154" t="s">
        <v>85</v>
      </c>
      <c r="C64" s="1183">
        <v>0</v>
      </c>
      <c r="D64" s="1184">
        <v>0</v>
      </c>
      <c r="E64" s="1184">
        <v>0</v>
      </c>
      <c r="F64" s="1184">
        <v>0</v>
      </c>
      <c r="G64" s="1184">
        <v>0</v>
      </c>
      <c r="H64" s="1184">
        <v>0</v>
      </c>
      <c r="I64" s="1184">
        <v>0</v>
      </c>
      <c r="J64" s="1184">
        <v>0</v>
      </c>
      <c r="K64" s="1184">
        <v>0.34499999999999997</v>
      </c>
      <c r="L64" s="1184">
        <v>0.27500000000000002</v>
      </c>
      <c r="M64" s="1184">
        <v>0.27500000000000002</v>
      </c>
      <c r="N64" s="1184">
        <v>0.27500000000000002</v>
      </c>
      <c r="O64" s="1184">
        <v>0.22</v>
      </c>
      <c r="P64" s="1184">
        <v>0.22</v>
      </c>
      <c r="Q64" s="1184">
        <v>0.22</v>
      </c>
      <c r="R64" s="1164">
        <v>0.22</v>
      </c>
    </row>
    <row r="65" spans="1:18" x14ac:dyDescent="0.2">
      <c r="B65" s="1154" t="s">
        <v>86</v>
      </c>
      <c r="C65" s="1183">
        <v>0.15</v>
      </c>
      <c r="D65" s="1184">
        <v>0.15</v>
      </c>
      <c r="E65" s="1184">
        <v>0.1</v>
      </c>
      <c r="F65" s="1184">
        <v>0.1</v>
      </c>
      <c r="G65" s="1184">
        <v>0.1</v>
      </c>
      <c r="H65" s="1184">
        <v>0.1</v>
      </c>
      <c r="I65" s="1184">
        <v>0.1</v>
      </c>
      <c r="J65" s="1184">
        <v>0.1</v>
      </c>
      <c r="K65" s="1184">
        <v>0.1</v>
      </c>
      <c r="L65" s="1184">
        <v>0.1</v>
      </c>
      <c r="M65" s="1184">
        <v>0.125</v>
      </c>
      <c r="N65" s="1184">
        <v>0.125</v>
      </c>
      <c r="O65" s="1184">
        <v>0.125</v>
      </c>
      <c r="P65" s="1184">
        <v>0.125</v>
      </c>
      <c r="Q65" s="1184">
        <v>0.125</v>
      </c>
      <c r="R65" s="1164">
        <v>0.125</v>
      </c>
    </row>
    <row r="66" spans="1:18" x14ac:dyDescent="0.2">
      <c r="B66" s="1154" t="s">
        <v>87</v>
      </c>
      <c r="C66" s="1183">
        <v>0</v>
      </c>
      <c r="D66" s="1184">
        <v>0</v>
      </c>
      <c r="E66" s="1184">
        <v>0</v>
      </c>
      <c r="F66" s="1184">
        <v>0</v>
      </c>
      <c r="G66" s="1184">
        <v>0</v>
      </c>
      <c r="H66" s="1184">
        <v>0</v>
      </c>
      <c r="I66" s="1184">
        <v>0</v>
      </c>
      <c r="J66" s="1184">
        <v>0</v>
      </c>
      <c r="K66" s="1184">
        <v>0</v>
      </c>
      <c r="L66" s="1184">
        <v>0</v>
      </c>
      <c r="M66" s="1184">
        <v>0</v>
      </c>
      <c r="N66" s="1184">
        <v>0</v>
      </c>
      <c r="O66" s="1184">
        <v>0.2</v>
      </c>
      <c r="P66" s="1184">
        <v>0.2</v>
      </c>
      <c r="Q66" s="1184">
        <v>0.2</v>
      </c>
      <c r="R66" s="1164">
        <v>0.2</v>
      </c>
    </row>
    <row r="67" spans="1:18" x14ac:dyDescent="0.2">
      <c r="B67" s="1154" t="s">
        <v>88</v>
      </c>
      <c r="C67" s="1183">
        <v>0</v>
      </c>
      <c r="D67" s="1184">
        <v>0</v>
      </c>
      <c r="E67" s="1184">
        <v>0</v>
      </c>
      <c r="F67" s="1184">
        <v>0</v>
      </c>
      <c r="G67" s="1184">
        <v>0</v>
      </c>
      <c r="H67" s="1184">
        <v>0</v>
      </c>
      <c r="I67" s="1184">
        <v>0</v>
      </c>
      <c r="J67" s="1184">
        <v>0</v>
      </c>
      <c r="K67" s="1184">
        <v>0</v>
      </c>
      <c r="L67" s="1184">
        <v>0</v>
      </c>
      <c r="M67" s="1184">
        <v>0</v>
      </c>
      <c r="N67" s="1184">
        <v>0</v>
      </c>
      <c r="O67" s="1184">
        <v>0</v>
      </c>
      <c r="P67" s="1184">
        <v>0</v>
      </c>
      <c r="Q67" s="1184">
        <v>0.3</v>
      </c>
      <c r="R67" s="1164">
        <v>0.3</v>
      </c>
    </row>
    <row r="68" spans="1:18" x14ac:dyDescent="0.2">
      <c r="B68" s="1154" t="s">
        <v>89</v>
      </c>
      <c r="C68" s="1183">
        <v>0</v>
      </c>
      <c r="D68" s="1184">
        <v>0</v>
      </c>
      <c r="E68" s="1184">
        <v>0</v>
      </c>
      <c r="F68" s="1184">
        <v>0</v>
      </c>
      <c r="G68" s="1184">
        <v>0</v>
      </c>
      <c r="H68" s="1184">
        <v>0</v>
      </c>
      <c r="I68" s="1184">
        <v>0</v>
      </c>
      <c r="J68" s="1184">
        <v>0</v>
      </c>
      <c r="K68" s="1184">
        <v>0</v>
      </c>
      <c r="L68" s="1184">
        <v>0</v>
      </c>
      <c r="M68" s="1184">
        <v>0</v>
      </c>
      <c r="N68" s="1184">
        <v>0</v>
      </c>
      <c r="O68" s="1184">
        <v>0</v>
      </c>
      <c r="P68" s="1184">
        <v>0</v>
      </c>
      <c r="Q68" s="1184">
        <v>0</v>
      </c>
      <c r="R68" s="1164">
        <v>0</v>
      </c>
    </row>
    <row r="69" spans="1:18" x14ac:dyDescent="0.2">
      <c r="B69" s="1154" t="s">
        <v>90</v>
      </c>
      <c r="C69" s="1183">
        <v>0.35</v>
      </c>
      <c r="D69" s="1184">
        <v>0.35</v>
      </c>
      <c r="E69" s="1184">
        <v>0.35</v>
      </c>
      <c r="F69" s="1184">
        <v>0.35</v>
      </c>
      <c r="G69" s="1184">
        <v>0.35</v>
      </c>
      <c r="H69" s="1184">
        <v>0.33</v>
      </c>
      <c r="I69" s="1184">
        <v>0.27</v>
      </c>
      <c r="J69" s="1184">
        <v>0.22</v>
      </c>
      <c r="K69" s="1184">
        <v>0.1</v>
      </c>
      <c r="L69" s="1184">
        <v>0.1</v>
      </c>
      <c r="M69" s="1184">
        <v>0.1</v>
      </c>
      <c r="N69" s="1184">
        <v>0.1</v>
      </c>
      <c r="O69" s="1184">
        <v>0.1</v>
      </c>
      <c r="P69" s="1184">
        <v>0.1</v>
      </c>
      <c r="Q69" s="1184">
        <v>0.1</v>
      </c>
      <c r="R69" s="1164">
        <v>0.1</v>
      </c>
    </row>
    <row r="70" spans="1:18" x14ac:dyDescent="0.2">
      <c r="A70" t="s">
        <v>910</v>
      </c>
      <c r="B70" s="1154" t="s">
        <v>91</v>
      </c>
      <c r="C70" s="1183">
        <v>0.16</v>
      </c>
      <c r="D70" s="1184">
        <v>0.17499999999999999</v>
      </c>
      <c r="E70" s="1184">
        <v>0.17499999999999999</v>
      </c>
      <c r="F70" s="1184">
        <v>0.17499999999999999</v>
      </c>
      <c r="G70" s="1184">
        <v>0.17499999999999999</v>
      </c>
      <c r="H70" s="1184">
        <v>0.16500000000000001</v>
      </c>
      <c r="I70" s="1184">
        <v>0.16500000000000001</v>
      </c>
      <c r="J70" s="1184">
        <v>0.16500000000000001</v>
      </c>
      <c r="K70" s="1184">
        <v>0.16500000000000001</v>
      </c>
      <c r="L70" s="1184">
        <v>0.16500000000000001</v>
      </c>
      <c r="M70" s="1184">
        <v>0.16500000000000001</v>
      </c>
      <c r="N70" s="1184">
        <v>0.16500000000000001</v>
      </c>
      <c r="O70" s="1184">
        <v>0.16500000000000001</v>
      </c>
      <c r="P70" s="1184">
        <v>0.16500000000000001</v>
      </c>
      <c r="Q70" s="1184">
        <v>0.16500000000000001</v>
      </c>
      <c r="R70" s="1164">
        <v>0.16500000000000001</v>
      </c>
    </row>
    <row r="71" spans="1:18" x14ac:dyDescent="0.2">
      <c r="B71" s="1154" t="s">
        <v>92</v>
      </c>
      <c r="C71" s="1183">
        <v>0</v>
      </c>
      <c r="D71" s="1184">
        <v>0</v>
      </c>
      <c r="E71" s="1184">
        <v>0</v>
      </c>
      <c r="F71" s="1184">
        <v>0</v>
      </c>
      <c r="G71" s="1184">
        <v>0</v>
      </c>
      <c r="H71" s="1184">
        <v>0</v>
      </c>
      <c r="I71" s="1184">
        <v>0</v>
      </c>
      <c r="J71" s="1184">
        <v>0</v>
      </c>
      <c r="K71" s="1184">
        <v>0</v>
      </c>
      <c r="L71" s="1184">
        <v>0</v>
      </c>
      <c r="M71" s="1184">
        <v>0</v>
      </c>
      <c r="N71" s="1184">
        <v>0</v>
      </c>
      <c r="O71" s="1184">
        <v>0</v>
      </c>
      <c r="P71" s="1184">
        <v>0</v>
      </c>
      <c r="Q71" s="1184">
        <v>0</v>
      </c>
      <c r="R71" s="1164">
        <v>0</v>
      </c>
    </row>
    <row r="72" spans="1:18" x14ac:dyDescent="0.2">
      <c r="B72" s="1154" t="s">
        <v>93</v>
      </c>
      <c r="C72" s="1183">
        <v>0</v>
      </c>
      <c r="D72" s="1184">
        <v>0</v>
      </c>
      <c r="E72" s="1184">
        <v>0</v>
      </c>
      <c r="F72" s="1184">
        <v>0</v>
      </c>
      <c r="G72" s="1184">
        <v>0</v>
      </c>
      <c r="H72" s="1184">
        <v>0</v>
      </c>
      <c r="I72" s="1184">
        <v>0</v>
      </c>
      <c r="J72" s="1184">
        <v>0</v>
      </c>
      <c r="K72" s="1184">
        <v>0</v>
      </c>
      <c r="L72" s="1184">
        <v>0</v>
      </c>
      <c r="M72" s="1184">
        <v>0.15</v>
      </c>
      <c r="N72" s="1184">
        <v>0.15</v>
      </c>
      <c r="O72" s="1184">
        <v>0.15</v>
      </c>
      <c r="P72" s="1184">
        <v>0.15</v>
      </c>
      <c r="Q72" s="1184">
        <v>0.15</v>
      </c>
      <c r="R72" s="1164">
        <v>0.15</v>
      </c>
    </row>
    <row r="73" spans="1:18" x14ac:dyDescent="0.2">
      <c r="B73" s="1154" t="s">
        <v>94</v>
      </c>
      <c r="C73" s="1183">
        <v>0</v>
      </c>
      <c r="D73" s="1184">
        <v>0</v>
      </c>
      <c r="E73" s="1184">
        <v>0</v>
      </c>
      <c r="F73" s="1184">
        <v>0</v>
      </c>
      <c r="G73" s="1184">
        <v>0</v>
      </c>
      <c r="H73" s="1184">
        <v>0</v>
      </c>
      <c r="I73" s="1184">
        <v>0</v>
      </c>
      <c r="J73" s="1184">
        <v>0</v>
      </c>
      <c r="K73" s="1184">
        <v>0.125</v>
      </c>
      <c r="L73" s="1184">
        <v>0.125</v>
      </c>
      <c r="M73" s="1184">
        <v>0.125</v>
      </c>
      <c r="N73" s="1184">
        <v>0.125</v>
      </c>
      <c r="O73" s="1184">
        <v>0.125</v>
      </c>
      <c r="P73" s="1184">
        <v>0.125</v>
      </c>
      <c r="Q73" s="1184">
        <v>0.125</v>
      </c>
      <c r="R73" s="1164">
        <v>0.125</v>
      </c>
    </row>
    <row r="74" spans="1:18" x14ac:dyDescent="0.2">
      <c r="B74" s="1154" t="s">
        <v>95</v>
      </c>
      <c r="C74" s="1183">
        <v>0.15</v>
      </c>
      <c r="D74" s="1184">
        <v>0.12</v>
      </c>
      <c r="E74" s="1184">
        <v>0.12</v>
      </c>
      <c r="F74" s="1184">
        <v>0.12</v>
      </c>
      <c r="G74" s="1184">
        <v>0.12</v>
      </c>
      <c r="H74" s="1184">
        <v>0.12</v>
      </c>
      <c r="I74" s="1184">
        <v>0.12</v>
      </c>
      <c r="J74" s="1184">
        <v>0.12</v>
      </c>
      <c r="K74" s="1184">
        <v>0.12</v>
      </c>
      <c r="L74" s="1184">
        <v>0.12</v>
      </c>
      <c r="M74" s="1184">
        <v>0.12</v>
      </c>
      <c r="N74" s="1184">
        <v>0.12</v>
      </c>
      <c r="O74" s="1184">
        <v>0.12</v>
      </c>
      <c r="P74" s="1184">
        <v>0.12</v>
      </c>
      <c r="Q74" s="1184">
        <v>0.12</v>
      </c>
      <c r="R74" s="1164">
        <v>0.12</v>
      </c>
    </row>
    <row r="75" spans="1:18" x14ac:dyDescent="0.2">
      <c r="B75" s="1154" t="s">
        <v>96</v>
      </c>
      <c r="C75" s="1183">
        <v>0.35</v>
      </c>
      <c r="D75" s="1184">
        <v>0.35</v>
      </c>
      <c r="E75" s="1184">
        <v>0.35</v>
      </c>
      <c r="F75" s="1184">
        <v>0.35</v>
      </c>
      <c r="G75" s="1184">
        <v>0.35</v>
      </c>
      <c r="H75" s="1184">
        <v>0.35</v>
      </c>
      <c r="I75" s="1184">
        <v>0.35</v>
      </c>
      <c r="J75" s="1184">
        <v>0.35</v>
      </c>
      <c r="K75" s="1184">
        <v>0.35</v>
      </c>
      <c r="L75" s="1184">
        <v>0.35</v>
      </c>
      <c r="M75" s="1184">
        <v>0.35</v>
      </c>
      <c r="N75" s="1184">
        <v>0.35</v>
      </c>
      <c r="O75" s="1184">
        <v>0.35</v>
      </c>
      <c r="P75" s="1184">
        <v>0.35</v>
      </c>
      <c r="Q75" s="1184">
        <v>0.35</v>
      </c>
      <c r="R75" s="1164">
        <v>0.35</v>
      </c>
    </row>
    <row r="76" spans="1:18" x14ac:dyDescent="0.2">
      <c r="B76" s="1154" t="s">
        <v>97</v>
      </c>
      <c r="C76" s="1183">
        <v>0</v>
      </c>
      <c r="D76" s="1184">
        <v>0</v>
      </c>
      <c r="E76" s="1184">
        <v>0</v>
      </c>
      <c r="F76" s="1184">
        <v>0</v>
      </c>
      <c r="G76" s="1184">
        <v>0</v>
      </c>
      <c r="H76" s="1184">
        <v>0</v>
      </c>
      <c r="I76" s="1184">
        <v>0</v>
      </c>
      <c r="J76" s="1184">
        <v>0</v>
      </c>
      <c r="K76" s="1184">
        <v>0</v>
      </c>
      <c r="L76" s="1184">
        <v>0</v>
      </c>
      <c r="M76" s="1184">
        <v>0</v>
      </c>
      <c r="N76" s="1184">
        <v>0</v>
      </c>
      <c r="O76" s="1184">
        <v>0</v>
      </c>
      <c r="P76" s="1184">
        <v>0</v>
      </c>
      <c r="Q76" s="1184">
        <v>0</v>
      </c>
      <c r="R76" s="1164">
        <v>0</v>
      </c>
    </row>
    <row r="77" spans="1:18" x14ac:dyDescent="0.2">
      <c r="B77" s="1154" t="s">
        <v>98</v>
      </c>
      <c r="C77" s="1183">
        <v>0</v>
      </c>
      <c r="D77" s="1184">
        <v>0</v>
      </c>
      <c r="E77" s="1184">
        <v>0</v>
      </c>
      <c r="F77" s="1184">
        <v>0</v>
      </c>
      <c r="G77" s="1184">
        <v>0</v>
      </c>
      <c r="H77" s="1184">
        <v>0</v>
      </c>
      <c r="I77" s="1184">
        <v>0</v>
      </c>
      <c r="J77" s="1184">
        <v>0</v>
      </c>
      <c r="K77" s="1184">
        <v>0</v>
      </c>
      <c r="L77" s="1184">
        <v>0</v>
      </c>
      <c r="M77" s="1184">
        <v>0</v>
      </c>
      <c r="N77" s="1184">
        <v>0</v>
      </c>
      <c r="O77" s="1184">
        <v>0</v>
      </c>
      <c r="P77" s="1184">
        <v>0</v>
      </c>
      <c r="Q77" s="1184">
        <v>0.33329999999999999</v>
      </c>
      <c r="R77" s="1164">
        <v>0.33</v>
      </c>
    </row>
    <row r="78" spans="1:18" x14ac:dyDescent="0.2">
      <c r="A78" t="s">
        <v>911</v>
      </c>
      <c r="B78" s="1154" t="s">
        <v>99</v>
      </c>
      <c r="C78" s="1183"/>
      <c r="D78" s="1184"/>
      <c r="E78" s="1184"/>
      <c r="F78" s="1184"/>
      <c r="G78" s="1184"/>
      <c r="H78" s="1184"/>
      <c r="I78" s="1184"/>
      <c r="J78" s="1184"/>
      <c r="K78" s="1184"/>
      <c r="L78" s="1184"/>
      <c r="M78" s="1184"/>
      <c r="N78" s="1184"/>
      <c r="O78" s="1184"/>
      <c r="P78" s="1184"/>
      <c r="Q78" s="1184"/>
      <c r="R78" s="1164"/>
    </row>
    <row r="79" spans="1:18" x14ac:dyDescent="0.2">
      <c r="B79" s="1154" t="s">
        <v>100</v>
      </c>
      <c r="C79" s="1183">
        <v>0.25</v>
      </c>
      <c r="D79" s="1184">
        <v>0.25</v>
      </c>
      <c r="E79" s="1184">
        <v>0.25</v>
      </c>
      <c r="F79" s="1184">
        <v>0.25</v>
      </c>
      <c r="G79" s="1184">
        <v>0.22500000000000001</v>
      </c>
      <c r="H79" s="1184">
        <v>0.15</v>
      </c>
      <c r="I79" s="1184">
        <v>0.15</v>
      </c>
      <c r="J79" s="1184">
        <v>0.15</v>
      </c>
      <c r="K79" s="1184">
        <v>0.15</v>
      </c>
      <c r="L79" s="1184">
        <v>0.15</v>
      </c>
      <c r="M79" s="1184">
        <v>0.15</v>
      </c>
      <c r="N79" s="1184">
        <v>0.15</v>
      </c>
      <c r="O79" s="1184">
        <v>0.15</v>
      </c>
      <c r="P79" s="1184">
        <v>0.15</v>
      </c>
      <c r="Q79" s="1184">
        <v>0.15</v>
      </c>
      <c r="R79" s="1164">
        <v>0.15</v>
      </c>
    </row>
    <row r="80" spans="1:18" x14ac:dyDescent="0.2">
      <c r="B80" s="1154" t="s">
        <v>101</v>
      </c>
      <c r="C80" s="1183"/>
      <c r="D80" s="1184"/>
      <c r="E80" s="1184"/>
      <c r="F80" s="1184"/>
      <c r="G80" s="1184"/>
      <c r="H80" s="1184"/>
      <c r="I80" s="1184"/>
      <c r="J80" s="1184"/>
      <c r="K80" s="1184"/>
      <c r="L80" s="1184"/>
      <c r="M80" s="1184"/>
      <c r="N80" s="1184"/>
      <c r="O80" s="1184"/>
      <c r="P80" s="1184"/>
      <c r="Q80" s="1184"/>
      <c r="R80" s="1164"/>
    </row>
    <row r="81" spans="2:18" x14ac:dyDescent="0.2">
      <c r="B81" s="1154" t="s">
        <v>102</v>
      </c>
      <c r="C81" s="1183">
        <v>0.22</v>
      </c>
      <c r="D81" s="1184">
        <v>0.22</v>
      </c>
      <c r="E81" s="1184">
        <v>0.2</v>
      </c>
      <c r="F81" s="1184">
        <v>0.2</v>
      </c>
      <c r="G81" s="1184">
        <v>0.2</v>
      </c>
      <c r="H81" s="1184">
        <v>0.18</v>
      </c>
      <c r="I81" s="1184">
        <v>0.18</v>
      </c>
      <c r="J81" s="1184">
        <v>0.17</v>
      </c>
      <c r="K81" s="1184">
        <v>0.17</v>
      </c>
      <c r="L81" s="1184">
        <v>0.17</v>
      </c>
      <c r="M81" s="1184">
        <v>0.17</v>
      </c>
      <c r="N81" s="1184">
        <v>0.17</v>
      </c>
      <c r="O81" s="1184">
        <v>0.17</v>
      </c>
      <c r="P81" s="1184">
        <v>0.17</v>
      </c>
      <c r="Q81" s="1184">
        <v>0.17</v>
      </c>
      <c r="R81" s="1164">
        <v>0.17</v>
      </c>
    </row>
    <row r="82" spans="2:18" x14ac:dyDescent="0.2">
      <c r="B82" s="1154" t="s">
        <v>103</v>
      </c>
      <c r="C82" s="1183"/>
      <c r="D82" s="1184"/>
      <c r="E82" s="1184"/>
      <c r="F82" s="1184"/>
      <c r="G82" s="1184"/>
      <c r="H82" s="1184"/>
      <c r="I82" s="1184"/>
      <c r="J82" s="1184"/>
      <c r="K82" s="1184"/>
      <c r="L82" s="1184"/>
      <c r="M82" s="1184"/>
      <c r="N82" s="1184"/>
      <c r="O82" s="1184"/>
      <c r="P82" s="1184"/>
      <c r="Q82" s="1184"/>
      <c r="R82" s="1164"/>
    </row>
    <row r="83" spans="2:18" x14ac:dyDescent="0.2">
      <c r="B83" s="1154" t="s">
        <v>104</v>
      </c>
      <c r="C83" s="1183"/>
      <c r="D83" s="1184"/>
      <c r="E83" s="1184"/>
      <c r="F83" s="1184"/>
      <c r="G83" s="1184"/>
      <c r="H83" s="1184"/>
      <c r="I83" s="1184"/>
      <c r="J83" s="1184"/>
      <c r="K83" s="1184"/>
      <c r="L83" s="1184"/>
      <c r="M83" s="1184"/>
      <c r="N83" s="1184"/>
      <c r="O83" s="1184"/>
      <c r="P83" s="1184"/>
      <c r="Q83" s="1184"/>
      <c r="R83" s="1164"/>
    </row>
    <row r="84" spans="2:18" x14ac:dyDescent="0.2">
      <c r="B84" s="1154" t="s">
        <v>105</v>
      </c>
      <c r="C84" s="1183"/>
      <c r="D84" s="1184"/>
      <c r="E84" s="1184"/>
      <c r="F84" s="1184"/>
      <c r="G84" s="1184"/>
      <c r="H84" s="1184"/>
      <c r="I84" s="1184"/>
      <c r="J84" s="1184"/>
      <c r="K84" s="1184"/>
      <c r="L84" s="1184"/>
      <c r="M84" s="1184"/>
      <c r="N84" s="1184"/>
      <c r="O84" s="1184"/>
      <c r="P84" s="1184"/>
      <c r="Q84" s="1184"/>
      <c r="R84" s="1164"/>
    </row>
    <row r="85" spans="2:18" x14ac:dyDescent="0.2">
      <c r="B85" s="1154" t="s">
        <v>106</v>
      </c>
      <c r="C85" s="1183">
        <v>0</v>
      </c>
      <c r="D85" s="1184">
        <v>0</v>
      </c>
      <c r="E85" s="1184">
        <v>0</v>
      </c>
      <c r="F85" s="1184">
        <v>0</v>
      </c>
      <c r="G85" s="1184">
        <v>0</v>
      </c>
      <c r="H85" s="1184">
        <v>0</v>
      </c>
      <c r="I85" s="1184">
        <v>0</v>
      </c>
      <c r="J85" s="1184">
        <v>0</v>
      </c>
      <c r="K85" s="1184">
        <v>0</v>
      </c>
      <c r="L85" s="1184">
        <v>0</v>
      </c>
      <c r="M85" s="1184">
        <v>0</v>
      </c>
      <c r="N85" s="1184">
        <v>0</v>
      </c>
      <c r="O85" s="1184">
        <v>0</v>
      </c>
      <c r="P85" s="1184">
        <v>0</v>
      </c>
      <c r="Q85" s="1184">
        <v>0</v>
      </c>
      <c r="R85" s="1164">
        <v>0</v>
      </c>
    </row>
    <row r="86" spans="2:18" x14ac:dyDescent="0.2">
      <c r="B86" s="1154" t="s">
        <v>107</v>
      </c>
      <c r="C86" s="1183">
        <v>0.3</v>
      </c>
      <c r="D86" s="1184">
        <v>0.3</v>
      </c>
      <c r="E86" s="1184">
        <v>0.3</v>
      </c>
      <c r="F86" s="1184">
        <v>0.3</v>
      </c>
      <c r="G86" s="1184">
        <v>0.3</v>
      </c>
      <c r="H86" s="1184">
        <v>0.3</v>
      </c>
      <c r="I86" s="1184">
        <v>0.3</v>
      </c>
      <c r="J86" s="1184">
        <v>0.27500000000000002</v>
      </c>
      <c r="K86" s="1184">
        <v>0.25</v>
      </c>
      <c r="L86" s="1184">
        <v>0.25</v>
      </c>
      <c r="M86" s="1184">
        <v>0.25</v>
      </c>
      <c r="N86" s="1184">
        <v>0.25</v>
      </c>
      <c r="O86" s="1184">
        <v>0.25</v>
      </c>
      <c r="P86" s="1184">
        <v>0.25</v>
      </c>
      <c r="Q86" s="1184">
        <v>0.25</v>
      </c>
      <c r="R86" s="1164">
        <v>0.25</v>
      </c>
    </row>
    <row r="87" spans="2:18" x14ac:dyDescent="0.2">
      <c r="B87" s="1154" t="s">
        <v>108</v>
      </c>
      <c r="C87" s="1514"/>
      <c r="D87" s="1515"/>
      <c r="E87" s="1515"/>
      <c r="F87" s="1515"/>
      <c r="G87" s="1515"/>
      <c r="H87" s="1515"/>
      <c r="I87" s="1515"/>
      <c r="J87" s="1515"/>
      <c r="K87" s="1515"/>
      <c r="L87" s="1515"/>
      <c r="M87" s="1515"/>
      <c r="N87" s="1515"/>
      <c r="O87" s="1515"/>
      <c r="P87" s="1515"/>
      <c r="Q87" s="1515"/>
      <c r="R87" s="1351"/>
    </row>
    <row r="88" spans="2:18" x14ac:dyDescent="0.2">
      <c r="B88" s="1154"/>
      <c r="C88" s="1514"/>
      <c r="D88" s="1515"/>
      <c r="E88" s="1515"/>
      <c r="F88" s="1515"/>
      <c r="G88" s="1515"/>
      <c r="H88" s="1515"/>
      <c r="I88" s="1515"/>
      <c r="J88" s="1515"/>
      <c r="K88" s="1515"/>
      <c r="L88" s="1515"/>
      <c r="M88" s="1515"/>
      <c r="N88" s="1515"/>
      <c r="O88" s="1515"/>
      <c r="P88" s="1515"/>
      <c r="Q88" s="1515"/>
      <c r="R88" s="1351"/>
    </row>
    <row r="89" spans="2:18" x14ac:dyDescent="0.2">
      <c r="B89" s="1154" t="s">
        <v>912</v>
      </c>
      <c r="C89" s="1183">
        <v>0.26719999999999999</v>
      </c>
      <c r="D89" s="1184">
        <v>0.25600000000000001</v>
      </c>
      <c r="E89" s="1184">
        <v>0.24030000000000001</v>
      </c>
      <c r="F89" s="1184">
        <v>0.23699999999999999</v>
      </c>
      <c r="G89" s="1184">
        <v>0.22989999999999999</v>
      </c>
      <c r="H89" s="1184">
        <v>0.2195</v>
      </c>
      <c r="I89" s="1184">
        <v>0.21640000000000001</v>
      </c>
      <c r="J89" s="1184">
        <v>0.21460000000000001</v>
      </c>
      <c r="K89" s="1184">
        <v>0.20829999999999999</v>
      </c>
      <c r="L89" s="1184">
        <v>0.20440000000000003</v>
      </c>
      <c r="M89" s="1184">
        <v>0.20600000000000002</v>
      </c>
      <c r="N89" s="1184">
        <v>0.20420000000000002</v>
      </c>
      <c r="O89" s="1184">
        <v>0.20050000000000001</v>
      </c>
      <c r="P89" s="1184">
        <v>0.19969999999999999</v>
      </c>
      <c r="Q89" s="1184">
        <v>0.1953</v>
      </c>
      <c r="R89" s="1164">
        <v>0.1948</v>
      </c>
    </row>
    <row r="90" spans="2:18" x14ac:dyDescent="0.2">
      <c r="B90" s="1154" t="s">
        <v>913</v>
      </c>
      <c r="C90" s="1183">
        <v>0.3019</v>
      </c>
      <c r="D90" s="1184">
        <v>0.30349999999999999</v>
      </c>
      <c r="E90" s="1184">
        <v>0.2979</v>
      </c>
      <c r="F90" s="1184">
        <v>0.28989999999999999</v>
      </c>
      <c r="G90" s="1184">
        <v>0.28339999999999999</v>
      </c>
      <c r="H90" s="1184">
        <v>0.26239999999999997</v>
      </c>
      <c r="I90" s="1184">
        <v>0.25370000000000004</v>
      </c>
      <c r="J90" s="1184">
        <v>0.23719999999999999</v>
      </c>
      <c r="K90" s="1184">
        <v>0.2291</v>
      </c>
      <c r="L90" s="1184">
        <v>0.22719999999999999</v>
      </c>
      <c r="M90" s="1184">
        <v>0.2213</v>
      </c>
      <c r="N90" s="1184">
        <v>0.22</v>
      </c>
      <c r="O90" s="1184">
        <v>0.2198</v>
      </c>
      <c r="P90" s="1184">
        <v>0.21410000000000001</v>
      </c>
      <c r="Q90" s="1184">
        <v>0.2104</v>
      </c>
      <c r="R90" s="1164">
        <v>0.21210000000000001</v>
      </c>
    </row>
    <row r="91" spans="2:18" x14ac:dyDescent="0.2">
      <c r="B91" s="1154" t="s">
        <v>914</v>
      </c>
      <c r="C91" s="1183">
        <v>0.3236</v>
      </c>
      <c r="D91" s="1184">
        <v>0.3236</v>
      </c>
      <c r="E91" s="1184">
        <v>0.30790000000000001</v>
      </c>
      <c r="F91" s="1184">
        <v>0.30730000000000002</v>
      </c>
      <c r="G91" s="1184">
        <v>0.30519999999999997</v>
      </c>
      <c r="H91" s="1184">
        <v>0.28749999999999998</v>
      </c>
      <c r="I91" s="1184">
        <v>0.2883</v>
      </c>
      <c r="J91" s="1184">
        <v>0.28489999999999999</v>
      </c>
      <c r="K91" s="1184">
        <v>0.28639999999999999</v>
      </c>
      <c r="L91" s="1184">
        <v>0.29070000000000001</v>
      </c>
      <c r="M91" s="1184">
        <v>0.28370000000000001</v>
      </c>
      <c r="N91" s="1184">
        <v>0.27850000000000003</v>
      </c>
      <c r="O91" s="1184">
        <v>0.28170000000000001</v>
      </c>
      <c r="P91" s="1184">
        <v>0.28059999999999996</v>
      </c>
      <c r="Q91" s="1184">
        <v>0.28210000000000002</v>
      </c>
      <c r="R91" s="1164">
        <v>0.28260000000000002</v>
      </c>
    </row>
    <row r="92" spans="2:18" x14ac:dyDescent="0.2">
      <c r="B92" s="1154" t="s">
        <v>915</v>
      </c>
      <c r="C92" s="1183">
        <v>0.30809999999999998</v>
      </c>
      <c r="D92" s="1184">
        <v>0.30020000000000002</v>
      </c>
      <c r="E92" s="1184">
        <v>0.29680000000000001</v>
      </c>
      <c r="F92" s="1184">
        <v>0.29070000000000001</v>
      </c>
      <c r="G92" s="1184">
        <v>0.28300000000000003</v>
      </c>
      <c r="H92" s="1184">
        <v>0.27960000000000002</v>
      </c>
      <c r="I92" s="1184">
        <v>0.27960000000000002</v>
      </c>
      <c r="J92" s="1184">
        <v>0.2752</v>
      </c>
      <c r="K92" s="1184">
        <v>0.2888</v>
      </c>
      <c r="L92" s="1184">
        <v>0.28300000000000003</v>
      </c>
      <c r="M92" s="1184">
        <v>0.27960000000000002</v>
      </c>
      <c r="N92" s="1184">
        <v>0.27310000000000001</v>
      </c>
      <c r="O92" s="1184">
        <v>0.27160000000000001</v>
      </c>
      <c r="P92" s="1184">
        <v>0.27379999999999999</v>
      </c>
      <c r="Q92" s="1184">
        <v>0.27979999999999999</v>
      </c>
      <c r="R92" s="1164">
        <v>0.27949999999999997</v>
      </c>
    </row>
    <row r="93" spans="2:18" ht="17" thickBot="1" x14ac:dyDescent="0.25">
      <c r="B93" s="703" t="s">
        <v>916</v>
      </c>
      <c r="C93" s="282">
        <v>0.29420000000000002</v>
      </c>
      <c r="D93" s="283">
        <v>0.28949999999999998</v>
      </c>
      <c r="E93" s="283">
        <v>0.28000000000000003</v>
      </c>
      <c r="F93" s="283">
        <v>0.27550000000000002</v>
      </c>
      <c r="G93" s="283">
        <v>0.26960000000000001</v>
      </c>
      <c r="H93" s="283">
        <v>0.25659999999999999</v>
      </c>
      <c r="I93" s="283">
        <v>0.25319999999999998</v>
      </c>
      <c r="J93" s="283">
        <v>0.2465</v>
      </c>
      <c r="K93" s="283">
        <v>0.2452</v>
      </c>
      <c r="L93" s="283">
        <v>0.24379999999999999</v>
      </c>
      <c r="M93" s="283">
        <v>0.24149999999999999</v>
      </c>
      <c r="N93" s="283">
        <v>0.23850000000000002</v>
      </c>
      <c r="O93" s="283">
        <v>0.23739999999999997</v>
      </c>
      <c r="P93" s="787">
        <v>0.23579999999999998</v>
      </c>
      <c r="Q93" s="283">
        <v>0.2404</v>
      </c>
      <c r="R93" s="704">
        <v>0.24</v>
      </c>
    </row>
    <row r="94" spans="2:18" ht="32.25" customHeight="1" thickTop="1" x14ac:dyDescent="0.2"/>
  </sheetData>
  <mergeCells count="1">
    <mergeCell ref="B3:R3"/>
  </mergeCells>
  <phoneticPr fontId="36" type="noConversion"/>
  <pageMargins left="0.7" right="0.7" top="0.75" bottom="0.75" header="0.3" footer="0.3"/>
  <pageSetup paperSize="9" scale="47" fitToHeight="0" orientation="portrait"/>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P89"/>
  <sheetViews>
    <sheetView topLeftCell="B1" workbookViewId="0">
      <pane xSplit="1" ySplit="6" topLeftCell="L33" activePane="bottomRight" state="frozen"/>
      <selection pane="topRight" activeCell="H9" sqref="H9"/>
      <selection pane="bottomLeft" activeCell="H9" sqref="H9"/>
      <selection pane="bottomRight" activeCell="B3" sqref="B3:AN44"/>
    </sheetView>
  </sheetViews>
  <sheetFormatPr baseColWidth="10" defaultColWidth="8.83203125" defaultRowHeight="16" x14ac:dyDescent="0.2"/>
  <cols>
    <col min="1" max="1" width="9" hidden="1" customWidth="1"/>
    <col min="2" max="2" width="30.33203125" bestFit="1" customWidth="1"/>
  </cols>
  <sheetData>
    <row r="1" spans="2:42" hidden="1" x14ac:dyDescent="0.2">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15</v>
      </c>
      <c r="AM1">
        <v>16</v>
      </c>
      <c r="AN1">
        <v>17</v>
      </c>
    </row>
    <row r="2" spans="2:42" ht="17" thickBot="1" x14ac:dyDescent="0.25"/>
    <row r="3" spans="2:42" ht="40" customHeight="1" thickTop="1" x14ac:dyDescent="0.2">
      <c r="B3" s="1934" t="s">
        <v>917</v>
      </c>
      <c r="C3" s="1935"/>
      <c r="D3" s="1935"/>
      <c r="E3" s="1935"/>
      <c r="F3" s="1935"/>
      <c r="G3" s="1935"/>
      <c r="H3" s="1935"/>
      <c r="I3" s="1935"/>
      <c r="J3" s="1935"/>
      <c r="K3" s="1935"/>
      <c r="L3" s="1935"/>
      <c r="M3" s="1935"/>
      <c r="N3" s="1935"/>
      <c r="O3" s="1935"/>
      <c r="P3" s="1935"/>
      <c r="Q3" s="1935"/>
      <c r="R3" s="1935"/>
      <c r="S3" s="1935"/>
      <c r="T3" s="1935"/>
      <c r="U3" s="1935"/>
      <c r="V3" s="1935"/>
      <c r="W3" s="1935"/>
      <c r="X3" s="1935"/>
      <c r="Y3" s="1935"/>
      <c r="Z3" s="1935"/>
      <c r="AA3" s="1935"/>
      <c r="AB3" s="1935"/>
      <c r="AC3" s="1935"/>
      <c r="AD3" s="1935"/>
      <c r="AE3" s="1935"/>
      <c r="AF3" s="1935"/>
      <c r="AG3" s="1935"/>
      <c r="AH3" s="1935"/>
      <c r="AI3" s="1935"/>
      <c r="AJ3" s="1935"/>
      <c r="AK3" s="1935"/>
      <c r="AL3" s="1935"/>
      <c r="AM3" s="1935"/>
      <c r="AN3" s="1936"/>
      <c r="AP3" t="s">
        <v>918</v>
      </c>
    </row>
    <row r="4" spans="2:42" ht="20" x14ac:dyDescent="0.2">
      <c r="B4" s="4"/>
      <c r="C4" s="620"/>
      <c r="D4" s="620"/>
      <c r="E4" s="620"/>
      <c r="F4" s="620"/>
      <c r="G4" s="620"/>
      <c r="H4" s="620"/>
      <c r="I4" s="528"/>
      <c r="J4" s="528"/>
      <c r="K4" s="528"/>
      <c r="L4" s="528"/>
      <c r="M4" s="528"/>
      <c r="N4" s="528"/>
      <c r="O4" s="528"/>
      <c r="P4" s="620"/>
      <c r="Q4" s="620"/>
      <c r="R4" s="620"/>
      <c r="S4" s="620"/>
      <c r="T4" s="620"/>
      <c r="U4" s="620"/>
      <c r="V4" s="528"/>
      <c r="W4" s="528"/>
      <c r="X4" s="528"/>
      <c r="Y4" s="528"/>
      <c r="Z4" s="528"/>
      <c r="AA4" s="528"/>
      <c r="AB4" s="528"/>
      <c r="AC4" s="528"/>
      <c r="AD4" s="528"/>
      <c r="AE4" s="528"/>
      <c r="AF4" s="528"/>
      <c r="AG4" s="528"/>
      <c r="AH4" s="528"/>
      <c r="AI4" s="528"/>
      <c r="AJ4" s="528"/>
      <c r="AK4" s="528"/>
      <c r="AL4" s="528"/>
      <c r="AM4" s="528"/>
      <c r="AN4" s="701"/>
      <c r="AO4" s="528"/>
    </row>
    <row r="5" spans="2:42" ht="21" thickBot="1" x14ac:dyDescent="0.25">
      <c r="B5" s="4"/>
      <c r="C5" s="160" t="s">
        <v>1</v>
      </c>
      <c r="D5" s="160" t="s">
        <v>2</v>
      </c>
      <c r="E5" s="160" t="s">
        <v>3</v>
      </c>
      <c r="F5" s="160" t="s">
        <v>4</v>
      </c>
      <c r="G5" s="160" t="s">
        <v>5</v>
      </c>
      <c r="H5" s="160" t="s">
        <v>6</v>
      </c>
      <c r="I5" s="160" t="s">
        <v>7</v>
      </c>
      <c r="J5" s="160" t="s">
        <v>8</v>
      </c>
      <c r="K5" s="160" t="s">
        <v>9</v>
      </c>
      <c r="L5" s="160" t="s">
        <v>10</v>
      </c>
      <c r="M5" s="160" t="s">
        <v>11</v>
      </c>
      <c r="N5" s="160" t="s">
        <v>12</v>
      </c>
      <c r="O5" s="160" t="s">
        <v>13</v>
      </c>
      <c r="P5" s="160" t="s">
        <v>177</v>
      </c>
      <c r="Q5" s="160" t="s">
        <v>178</v>
      </c>
      <c r="R5" s="160" t="s">
        <v>179</v>
      </c>
      <c r="S5" s="160" t="s">
        <v>619</v>
      </c>
      <c r="T5" s="160" t="s">
        <v>620</v>
      </c>
      <c r="U5" s="160" t="s">
        <v>621</v>
      </c>
      <c r="V5" s="160" t="s">
        <v>622</v>
      </c>
      <c r="W5" s="160" t="s">
        <v>623</v>
      </c>
      <c r="X5" s="160" t="s">
        <v>624</v>
      </c>
      <c r="Y5" s="160" t="s">
        <v>919</v>
      </c>
      <c r="Z5" s="160" t="s">
        <v>920</v>
      </c>
      <c r="AA5" s="160" t="s">
        <v>921</v>
      </c>
      <c r="AB5" s="160" t="s">
        <v>922</v>
      </c>
      <c r="AC5" s="160" t="s">
        <v>923</v>
      </c>
      <c r="AD5" s="160" t="s">
        <v>924</v>
      </c>
      <c r="AE5" s="160" t="s">
        <v>925</v>
      </c>
      <c r="AF5" s="160" t="s">
        <v>926</v>
      </c>
      <c r="AG5" s="160" t="s">
        <v>927</v>
      </c>
      <c r="AH5" s="160" t="s">
        <v>928</v>
      </c>
      <c r="AI5" s="160" t="s">
        <v>929</v>
      </c>
      <c r="AJ5" s="160" t="s">
        <v>930</v>
      </c>
      <c r="AK5" s="160" t="s">
        <v>931</v>
      </c>
      <c r="AL5" s="160" t="s">
        <v>932</v>
      </c>
      <c r="AM5" s="160" t="s">
        <v>933</v>
      </c>
      <c r="AN5" s="377" t="s">
        <v>934</v>
      </c>
      <c r="AO5" s="528"/>
    </row>
    <row r="6" spans="2:42" ht="20" x14ac:dyDescent="0.2">
      <c r="B6" s="1874"/>
      <c r="C6" s="1814">
        <v>1981</v>
      </c>
      <c r="D6" s="1815">
        <f>+C6+1</f>
        <v>1982</v>
      </c>
      <c r="E6" s="1815">
        <f t="shared" ref="E6:AK6" si="0">+D6+1</f>
        <v>1983</v>
      </c>
      <c r="F6" s="1815">
        <f t="shared" si="0"/>
        <v>1984</v>
      </c>
      <c r="G6" s="1815">
        <f t="shared" si="0"/>
        <v>1985</v>
      </c>
      <c r="H6" s="1815">
        <f t="shared" si="0"/>
        <v>1986</v>
      </c>
      <c r="I6" s="1815">
        <f t="shared" si="0"/>
        <v>1987</v>
      </c>
      <c r="J6" s="1815">
        <f t="shared" si="0"/>
        <v>1988</v>
      </c>
      <c r="K6" s="1815">
        <f t="shared" si="0"/>
        <v>1989</v>
      </c>
      <c r="L6" s="1815">
        <f t="shared" si="0"/>
        <v>1990</v>
      </c>
      <c r="M6" s="1815">
        <f t="shared" si="0"/>
        <v>1991</v>
      </c>
      <c r="N6" s="1815">
        <f t="shared" si="0"/>
        <v>1992</v>
      </c>
      <c r="O6" s="1815">
        <f t="shared" si="0"/>
        <v>1993</v>
      </c>
      <c r="P6" s="1815">
        <f t="shared" si="0"/>
        <v>1994</v>
      </c>
      <c r="Q6" s="1815">
        <f t="shared" si="0"/>
        <v>1995</v>
      </c>
      <c r="R6" s="1815">
        <f t="shared" si="0"/>
        <v>1996</v>
      </c>
      <c r="S6" s="1815">
        <f t="shared" si="0"/>
        <v>1997</v>
      </c>
      <c r="T6" s="1815">
        <f t="shared" si="0"/>
        <v>1998</v>
      </c>
      <c r="U6" s="1815">
        <f t="shared" si="0"/>
        <v>1999</v>
      </c>
      <c r="V6" s="1815">
        <f t="shared" si="0"/>
        <v>2000</v>
      </c>
      <c r="W6" s="1815">
        <f t="shared" si="0"/>
        <v>2001</v>
      </c>
      <c r="X6" s="1815">
        <f t="shared" si="0"/>
        <v>2002</v>
      </c>
      <c r="Y6" s="1815">
        <f t="shared" si="0"/>
        <v>2003</v>
      </c>
      <c r="Z6" s="1815">
        <f t="shared" si="0"/>
        <v>2004</v>
      </c>
      <c r="AA6" s="1815">
        <f t="shared" si="0"/>
        <v>2005</v>
      </c>
      <c r="AB6" s="1815">
        <f t="shared" si="0"/>
        <v>2006</v>
      </c>
      <c r="AC6" s="1815">
        <f t="shared" si="0"/>
        <v>2007</v>
      </c>
      <c r="AD6" s="1815">
        <f t="shared" si="0"/>
        <v>2008</v>
      </c>
      <c r="AE6" s="1815">
        <f t="shared" si="0"/>
        <v>2009</v>
      </c>
      <c r="AF6" s="1815">
        <f t="shared" si="0"/>
        <v>2010</v>
      </c>
      <c r="AG6" s="1815">
        <f t="shared" si="0"/>
        <v>2011</v>
      </c>
      <c r="AH6" s="1815">
        <f t="shared" si="0"/>
        <v>2012</v>
      </c>
      <c r="AI6" s="1815">
        <f t="shared" si="0"/>
        <v>2013</v>
      </c>
      <c r="AJ6" s="1815">
        <f t="shared" si="0"/>
        <v>2014</v>
      </c>
      <c r="AK6" s="1815">
        <f t="shared" si="0"/>
        <v>2015</v>
      </c>
      <c r="AL6" s="1815">
        <v>2016</v>
      </c>
      <c r="AM6" s="1815">
        <v>2017</v>
      </c>
      <c r="AN6" s="1845">
        <v>2018</v>
      </c>
      <c r="AO6" s="528"/>
    </row>
    <row r="7" spans="2:42" x14ac:dyDescent="0.2">
      <c r="B7" s="622" t="s">
        <v>28</v>
      </c>
      <c r="C7" s="521"/>
      <c r="D7" s="517"/>
      <c r="E7" s="517"/>
      <c r="F7" s="9"/>
      <c r="G7" s="516"/>
      <c r="H7" s="246"/>
      <c r="I7" s="528"/>
      <c r="J7" s="528"/>
      <c r="K7" s="528"/>
      <c r="L7" s="528"/>
      <c r="M7" s="528"/>
      <c r="N7" s="528"/>
      <c r="O7" s="528"/>
      <c r="P7" s="516"/>
      <c r="Q7" s="517"/>
      <c r="R7" s="517"/>
      <c r="S7" s="9"/>
      <c r="T7" s="516"/>
      <c r="U7" s="246"/>
      <c r="V7" s="528"/>
      <c r="W7" s="528"/>
      <c r="X7" s="528"/>
      <c r="Y7" s="528"/>
      <c r="Z7" s="528"/>
      <c r="AA7" s="528"/>
      <c r="AB7" s="528"/>
      <c r="AC7" s="528"/>
      <c r="AD7" s="528"/>
      <c r="AE7" s="528"/>
      <c r="AF7" s="528"/>
      <c r="AG7" s="528"/>
      <c r="AH7" s="528"/>
      <c r="AI7" s="528"/>
      <c r="AJ7" s="528"/>
      <c r="AK7" s="528"/>
      <c r="AL7" s="528"/>
      <c r="AM7" s="528"/>
      <c r="AN7" s="701"/>
      <c r="AO7" s="528"/>
    </row>
    <row r="8" spans="2:42" x14ac:dyDescent="0.2">
      <c r="B8" s="1155" t="s">
        <v>29</v>
      </c>
      <c r="C8" s="1183">
        <v>0.46</v>
      </c>
      <c r="D8" s="1184">
        <v>0.46</v>
      </c>
      <c r="E8" s="1184">
        <v>0.46</v>
      </c>
      <c r="F8" s="1184">
        <v>0.46</v>
      </c>
      <c r="G8" s="1184">
        <v>0.46</v>
      </c>
      <c r="H8" s="1184">
        <v>0.49</v>
      </c>
      <c r="I8" s="1184">
        <v>0.49</v>
      </c>
      <c r="J8" s="1184">
        <v>0.39</v>
      </c>
      <c r="K8" s="1184">
        <v>0.39</v>
      </c>
      <c r="L8" s="1184">
        <v>0.39</v>
      </c>
      <c r="M8" s="1184">
        <v>0.39</v>
      </c>
      <c r="N8" s="1184">
        <v>0.39</v>
      </c>
      <c r="O8" s="1184">
        <v>0.33</v>
      </c>
      <c r="P8" s="1184">
        <v>0.33</v>
      </c>
      <c r="Q8" s="1184">
        <v>0.36</v>
      </c>
      <c r="R8" s="1184">
        <v>0.36</v>
      </c>
      <c r="S8" s="1184">
        <v>0.36</v>
      </c>
      <c r="T8" s="1184">
        <v>0.36</v>
      </c>
      <c r="U8" s="1184">
        <v>0.36</v>
      </c>
      <c r="V8" s="1184">
        <v>0.34</v>
      </c>
      <c r="W8" s="1184">
        <v>0.3</v>
      </c>
      <c r="X8" s="1184">
        <v>0.3</v>
      </c>
      <c r="Y8" s="1184">
        <v>0.3</v>
      </c>
      <c r="Z8" s="1184">
        <v>0.3</v>
      </c>
      <c r="AA8" s="1184">
        <v>0.3</v>
      </c>
      <c r="AB8" s="1184">
        <v>0.3</v>
      </c>
      <c r="AC8" s="1184">
        <v>0.3</v>
      </c>
      <c r="AD8" s="1184">
        <v>0.3</v>
      </c>
      <c r="AE8" s="1184">
        <v>0.3</v>
      </c>
      <c r="AF8" s="1184">
        <v>0.3</v>
      </c>
      <c r="AG8" s="1184">
        <v>0.3</v>
      </c>
      <c r="AH8" s="1184">
        <v>0.3</v>
      </c>
      <c r="AI8" s="1184">
        <v>0.3</v>
      </c>
      <c r="AJ8" s="1184">
        <v>0.3</v>
      </c>
      <c r="AK8" s="1184">
        <v>0.3</v>
      </c>
      <c r="AL8" s="1184">
        <f>VLOOKUP($B8,TableF1a!$B$8:$R$42,AL$1,0)</f>
        <v>0.3</v>
      </c>
      <c r="AM8" s="1184">
        <f>VLOOKUP($B8,TableF1a!$B$8:$R$42,AM$1,0)</f>
        <v>0.3</v>
      </c>
      <c r="AN8" s="1164">
        <f>VLOOKUP($B8,TableF1a!$B$8:$R$42,AN$1,0)</f>
        <v>0.3</v>
      </c>
      <c r="AO8" s="528"/>
      <c r="AP8" s="789">
        <f>AL8-V8</f>
        <v>-4.0000000000000036E-2</v>
      </c>
    </row>
    <row r="9" spans="2:42" x14ac:dyDescent="0.2">
      <c r="B9" s="1155" t="s">
        <v>30</v>
      </c>
      <c r="C9" s="1183">
        <v>0.55000000000000004</v>
      </c>
      <c r="D9" s="1184">
        <v>0.55000000000000004</v>
      </c>
      <c r="E9" s="1184">
        <v>0.55000000000000004</v>
      </c>
      <c r="F9" s="1184">
        <v>0.55000000000000004</v>
      </c>
      <c r="G9" s="1184">
        <v>0.55000000000000004</v>
      </c>
      <c r="H9" s="1184">
        <v>0.55000000000000004</v>
      </c>
      <c r="I9" s="1184">
        <v>0.55000000000000004</v>
      </c>
      <c r="J9" s="1184">
        <v>0.55000000000000004</v>
      </c>
      <c r="K9" s="1184">
        <v>0.3</v>
      </c>
      <c r="L9" s="1184">
        <v>0.3</v>
      </c>
      <c r="M9" s="1184">
        <v>0.3</v>
      </c>
      <c r="N9" s="1184">
        <v>0.3</v>
      </c>
      <c r="O9" s="1184">
        <v>0.3</v>
      </c>
      <c r="P9" s="1184">
        <v>0.34</v>
      </c>
      <c r="Q9" s="1184">
        <v>0.34</v>
      </c>
      <c r="R9" s="1184">
        <v>0.34</v>
      </c>
      <c r="S9" s="1184">
        <v>0.34</v>
      </c>
      <c r="T9" s="1184">
        <v>0.34</v>
      </c>
      <c r="U9" s="1184">
        <v>0.34</v>
      </c>
      <c r="V9" s="1184">
        <v>0.34</v>
      </c>
      <c r="W9" s="1184">
        <v>0.34</v>
      </c>
      <c r="X9" s="1184">
        <v>0.34</v>
      </c>
      <c r="Y9" s="1184">
        <v>0.34</v>
      </c>
      <c r="Z9" s="1184">
        <v>0.34</v>
      </c>
      <c r="AA9" s="1184">
        <v>0.25</v>
      </c>
      <c r="AB9" s="1184">
        <v>0.25</v>
      </c>
      <c r="AC9" s="1184">
        <v>0.25</v>
      </c>
      <c r="AD9" s="1184">
        <v>0.25</v>
      </c>
      <c r="AE9" s="1184">
        <v>0.25</v>
      </c>
      <c r="AF9" s="1184">
        <v>0.25</v>
      </c>
      <c r="AG9" s="1184">
        <v>0.25</v>
      </c>
      <c r="AH9" s="1184">
        <v>0.25</v>
      </c>
      <c r="AI9" s="1184">
        <v>0.25</v>
      </c>
      <c r="AJ9" s="1184">
        <v>0.25</v>
      </c>
      <c r="AK9" s="1184">
        <v>0.25</v>
      </c>
      <c r="AL9" s="1184">
        <f>VLOOKUP($B9,TableF1a!$B$8:$R$42,AL$1,0)</f>
        <v>0.25</v>
      </c>
      <c r="AM9" s="1184">
        <f>VLOOKUP($B9,TableF1a!$B$8:$R$42,AM$1,0)</f>
        <v>0.25</v>
      </c>
      <c r="AN9" s="1164">
        <f>VLOOKUP($B9,TableF1a!$B$8:$R$42,AN$1,0)</f>
        <v>0.25</v>
      </c>
      <c r="AO9" s="528"/>
      <c r="AP9" s="789">
        <f t="shared" ref="AP9:AP44" si="1">AL9-V9</f>
        <v>-9.0000000000000024E-2</v>
      </c>
    </row>
    <row r="10" spans="2:42" x14ac:dyDescent="0.2">
      <c r="B10" s="1155" t="s">
        <v>31</v>
      </c>
      <c r="C10" s="1183">
        <v>0.48</v>
      </c>
      <c r="D10" s="1184">
        <v>0.48</v>
      </c>
      <c r="E10" s="1184">
        <v>0.45</v>
      </c>
      <c r="F10" s="1184">
        <v>0.45</v>
      </c>
      <c r="G10" s="1184">
        <v>0.45</v>
      </c>
      <c r="H10" s="1184">
        <v>0.45</v>
      </c>
      <c r="I10" s="1184">
        <v>0.43</v>
      </c>
      <c r="J10" s="1184">
        <v>0.43</v>
      </c>
      <c r="K10" s="1184">
        <v>0.43</v>
      </c>
      <c r="L10" s="1184">
        <v>0.41</v>
      </c>
      <c r="M10" s="1184">
        <v>0.39</v>
      </c>
      <c r="N10" s="1184">
        <v>0.39</v>
      </c>
      <c r="O10" s="1184">
        <v>0.4017</v>
      </c>
      <c r="P10" s="1184">
        <v>0.4017</v>
      </c>
      <c r="Q10" s="1184">
        <v>0.4017</v>
      </c>
      <c r="R10" s="1184">
        <v>0.4017</v>
      </c>
      <c r="S10" s="1184">
        <v>0.4017</v>
      </c>
      <c r="T10" s="1184">
        <v>0.4017</v>
      </c>
      <c r="U10" s="1184">
        <v>0.4017</v>
      </c>
      <c r="V10" s="1184">
        <v>0.40200000000000002</v>
      </c>
      <c r="W10" s="1184">
        <v>0.40200000000000002</v>
      </c>
      <c r="X10" s="1184">
        <v>0.4017</v>
      </c>
      <c r="Y10" s="1184">
        <v>0.33989999999999998</v>
      </c>
      <c r="Z10" s="1184">
        <v>0.33989999999999998</v>
      </c>
      <c r="AA10" s="1184">
        <v>0.33989999999999998</v>
      </c>
      <c r="AB10" s="1184">
        <v>0.33989999999999998</v>
      </c>
      <c r="AC10" s="1184">
        <v>0.33989999999999998</v>
      </c>
      <c r="AD10" s="1184">
        <v>0.33989999999999998</v>
      </c>
      <c r="AE10" s="1184">
        <v>0.33989999999999998</v>
      </c>
      <c r="AF10" s="1184">
        <v>0.33989999999999998</v>
      </c>
      <c r="AG10" s="1184">
        <v>0.33989999999999998</v>
      </c>
      <c r="AH10" s="1184">
        <v>0.33989999999999998</v>
      </c>
      <c r="AI10" s="1184">
        <v>0.33989999999999998</v>
      </c>
      <c r="AJ10" s="1184">
        <v>0.33989999999999998</v>
      </c>
      <c r="AK10" s="1184">
        <v>0.33989999999999998</v>
      </c>
      <c r="AL10" s="1184">
        <f>VLOOKUP($B10,TableF1a!$B$8:$R$42,AL$1,0)</f>
        <v>0.33990000000000004</v>
      </c>
      <c r="AM10" s="1184">
        <f>VLOOKUP($B10,TableF1a!$B$8:$R$42,AM$1,0)</f>
        <v>0.33990000000000004</v>
      </c>
      <c r="AN10" s="1164">
        <f>VLOOKUP($B10,TableF1a!$B$8:$R$42,AN$1,0)</f>
        <v>0.28999999999999998</v>
      </c>
      <c r="AP10" s="789">
        <f t="shared" si="1"/>
        <v>-6.2099999999999989E-2</v>
      </c>
    </row>
    <row r="11" spans="2:42" x14ac:dyDescent="0.2">
      <c r="B11" s="1155" t="s">
        <v>32</v>
      </c>
      <c r="C11" s="1183">
        <v>0.50919999999999999</v>
      </c>
      <c r="D11" s="1184">
        <v>0.49530000000000002</v>
      </c>
      <c r="E11" s="1184">
        <v>0.48270000000000002</v>
      </c>
      <c r="F11" s="1184">
        <v>0.4763</v>
      </c>
      <c r="G11" s="1184">
        <v>0.49430000000000002</v>
      </c>
      <c r="H11" s="1184">
        <v>0.49759999999999999</v>
      </c>
      <c r="I11" s="1184">
        <v>0.48580000000000001</v>
      </c>
      <c r="J11" s="1184">
        <v>0.41289999999999999</v>
      </c>
      <c r="K11" s="1184">
        <v>0.41339999999999999</v>
      </c>
      <c r="L11" s="1184">
        <v>0.41449999999999998</v>
      </c>
      <c r="M11" s="1184">
        <v>0.41810000000000003</v>
      </c>
      <c r="N11" s="1184">
        <v>0.42520000000000002</v>
      </c>
      <c r="O11" s="1184">
        <v>0.42559999999999998</v>
      </c>
      <c r="P11" s="1184">
        <v>0.42580000000000001</v>
      </c>
      <c r="Q11" s="1184">
        <v>0.42859999999999998</v>
      </c>
      <c r="R11" s="1184">
        <v>0.4294</v>
      </c>
      <c r="S11" s="1184">
        <v>0.4294</v>
      </c>
      <c r="T11" s="1184">
        <v>0.4294</v>
      </c>
      <c r="U11" s="1184">
        <v>0.42870000000000003</v>
      </c>
      <c r="V11" s="1184">
        <v>0.42430000000000001</v>
      </c>
      <c r="W11" s="1184">
        <v>0.40479999999999999</v>
      </c>
      <c r="X11" s="1184">
        <v>0.38019999999999998</v>
      </c>
      <c r="Y11" s="1184">
        <v>0.35870000000000002</v>
      </c>
      <c r="Z11" s="1184">
        <v>0.34379999999999999</v>
      </c>
      <c r="AA11" s="1184">
        <v>0.34179999999999999</v>
      </c>
      <c r="AB11" s="1184">
        <v>0.33929999999999999</v>
      </c>
      <c r="AC11" s="1184">
        <v>0.33950000000000002</v>
      </c>
      <c r="AD11" s="1184">
        <v>0.31430000000000002</v>
      </c>
      <c r="AE11" s="1184">
        <v>0.31019999999999998</v>
      </c>
      <c r="AF11" s="1184">
        <v>0.29360000000000003</v>
      </c>
      <c r="AG11" s="1184">
        <v>0.27639999999999998</v>
      </c>
      <c r="AH11" s="1184">
        <v>0.26140000000000002</v>
      </c>
      <c r="AI11" s="1184">
        <v>0.26140000000000002</v>
      </c>
      <c r="AJ11" s="1184">
        <v>0.26300000000000001</v>
      </c>
      <c r="AK11" s="1184">
        <v>0.26300000000000001</v>
      </c>
      <c r="AL11" s="1184">
        <f>VLOOKUP($B11,TableF1a!$B$8:$R$42,AL$1,0)</f>
        <v>0.26500000000000001</v>
      </c>
      <c r="AM11" s="1184">
        <f>VLOOKUP($B11,TableF1a!$B$8:$R$42,AM$1,0)</f>
        <v>0.26500000000000001</v>
      </c>
      <c r="AN11" s="1164">
        <f>VLOOKUP($B11,TableF1a!$B$8:$R$42,AN$1,0)</f>
        <v>0.26500000000000001</v>
      </c>
      <c r="AP11" s="789">
        <f t="shared" si="1"/>
        <v>-0.1593</v>
      </c>
    </row>
    <row r="12" spans="2:42" x14ac:dyDescent="0.2">
      <c r="B12" s="1155" t="s">
        <v>33</v>
      </c>
      <c r="C12" s="1183">
        <v>0</v>
      </c>
      <c r="D12" s="1184">
        <v>0</v>
      </c>
      <c r="E12" s="1184">
        <v>0</v>
      </c>
      <c r="F12" s="1184">
        <v>0</v>
      </c>
      <c r="G12" s="1184">
        <v>0</v>
      </c>
      <c r="H12" s="1184">
        <v>0</v>
      </c>
      <c r="I12" s="1184">
        <v>0</v>
      </c>
      <c r="J12" s="1184">
        <v>0</v>
      </c>
      <c r="K12" s="1184">
        <v>0</v>
      </c>
      <c r="L12" s="1184">
        <v>0</v>
      </c>
      <c r="M12" s="1184">
        <v>0</v>
      </c>
      <c r="N12" s="1184">
        <v>0</v>
      </c>
      <c r="O12" s="1184">
        <v>0</v>
      </c>
      <c r="P12" s="1184">
        <v>0</v>
      </c>
      <c r="Q12" s="1184">
        <v>0</v>
      </c>
      <c r="R12" s="1184">
        <v>0</v>
      </c>
      <c r="S12" s="1184">
        <v>0</v>
      </c>
      <c r="T12" s="1184">
        <v>0</v>
      </c>
      <c r="U12" s="1184">
        <v>0</v>
      </c>
      <c r="V12" s="1184">
        <v>0.15</v>
      </c>
      <c r="W12" s="1184">
        <v>0.15</v>
      </c>
      <c r="X12" s="1184">
        <v>0.15</v>
      </c>
      <c r="Y12" s="1184">
        <v>0.16</v>
      </c>
      <c r="Z12" s="1184">
        <v>0.16500000000000001</v>
      </c>
      <c r="AA12" s="1184">
        <v>0.17</v>
      </c>
      <c r="AB12" s="1184">
        <v>0.17</v>
      </c>
      <c r="AC12" s="1184">
        <v>0.17</v>
      </c>
      <c r="AD12" s="1184">
        <v>0.17</v>
      </c>
      <c r="AE12" s="1184">
        <v>0.17</v>
      </c>
      <c r="AF12" s="1184">
        <v>0.17</v>
      </c>
      <c r="AG12" s="1184">
        <v>0.2</v>
      </c>
      <c r="AH12" s="1184">
        <v>0.17</v>
      </c>
      <c r="AI12" s="1184">
        <v>0.2</v>
      </c>
      <c r="AJ12" s="1184">
        <v>0.21</v>
      </c>
      <c r="AK12" s="1184">
        <v>0.22500000000000001</v>
      </c>
      <c r="AL12" s="1184">
        <f>VLOOKUP($B12,TableF1a!$B$8:$R$42,AL$1,0)</f>
        <v>0.24</v>
      </c>
      <c r="AM12" s="1184">
        <f>VLOOKUP($B12,TableF1a!$B$8:$R$42,AM$1,0)</f>
        <v>0.255</v>
      </c>
      <c r="AN12" s="1164">
        <f>VLOOKUP($B12,TableF1a!$B$8:$R$42,AN$1,0)</f>
        <v>0.26</v>
      </c>
      <c r="AP12" s="789">
        <f t="shared" si="1"/>
        <v>0.09</v>
      </c>
    </row>
    <row r="13" spans="2:42" x14ac:dyDescent="0.2">
      <c r="B13" s="1155" t="s">
        <v>34</v>
      </c>
      <c r="C13" s="1183">
        <v>0</v>
      </c>
      <c r="D13" s="1184">
        <v>0</v>
      </c>
      <c r="E13" s="1184">
        <v>0</v>
      </c>
      <c r="F13" s="1184">
        <v>0</v>
      </c>
      <c r="G13" s="1184">
        <v>0</v>
      </c>
      <c r="H13" s="1184">
        <v>0</v>
      </c>
      <c r="I13" s="1184">
        <v>0</v>
      </c>
      <c r="J13" s="1184">
        <v>0</v>
      </c>
      <c r="K13" s="1184">
        <v>0</v>
      </c>
      <c r="L13" s="1184">
        <v>0</v>
      </c>
      <c r="M13" s="1184">
        <v>0</v>
      </c>
      <c r="N13" s="1184">
        <v>0</v>
      </c>
      <c r="O13" s="1184">
        <v>0.45</v>
      </c>
      <c r="P13" s="1184">
        <v>0.42</v>
      </c>
      <c r="Q13" s="1184">
        <v>0.41</v>
      </c>
      <c r="R13" s="1184">
        <v>0.39</v>
      </c>
      <c r="S13" s="1184">
        <v>0.39</v>
      </c>
      <c r="T13" s="1184">
        <v>0.35</v>
      </c>
      <c r="U13" s="1184">
        <v>0.35</v>
      </c>
      <c r="V13" s="1184">
        <v>0.31</v>
      </c>
      <c r="W13" s="1184">
        <v>0.31</v>
      </c>
      <c r="X13" s="1184">
        <v>0.31</v>
      </c>
      <c r="Y13" s="1184">
        <v>0.31</v>
      </c>
      <c r="Z13" s="1184">
        <v>0.28000000000000003</v>
      </c>
      <c r="AA13" s="1184">
        <v>0.26</v>
      </c>
      <c r="AB13" s="1184">
        <v>0.24</v>
      </c>
      <c r="AC13" s="1184">
        <v>0.24</v>
      </c>
      <c r="AD13" s="1184">
        <v>0.21</v>
      </c>
      <c r="AE13" s="1184">
        <v>0.2</v>
      </c>
      <c r="AF13" s="1184">
        <v>0.19</v>
      </c>
      <c r="AG13" s="1184">
        <v>0.19</v>
      </c>
      <c r="AH13" s="1184">
        <v>0.19</v>
      </c>
      <c r="AI13" s="1184">
        <v>0.19</v>
      </c>
      <c r="AJ13" s="1184">
        <v>0.19</v>
      </c>
      <c r="AK13" s="1184">
        <v>0.19</v>
      </c>
      <c r="AL13" s="1184">
        <f>VLOOKUP($B13,TableF1a!$B$8:$R$42,AL$1,0)</f>
        <v>0.19</v>
      </c>
      <c r="AM13" s="1184">
        <f>VLOOKUP($B13,TableF1a!$B$8:$R$42,AM$1,0)</f>
        <v>0.19</v>
      </c>
      <c r="AN13" s="1164">
        <f>VLOOKUP($B13,TableF1a!$B$8:$R$42,AN$1,0)</f>
        <v>0.19</v>
      </c>
      <c r="AP13" s="789">
        <f t="shared" si="1"/>
        <v>-0.12</v>
      </c>
    </row>
    <row r="14" spans="2:42" x14ac:dyDescent="0.2">
      <c r="B14" s="1155" t="s">
        <v>35</v>
      </c>
      <c r="C14" s="1183">
        <v>0.4</v>
      </c>
      <c r="D14" s="1184">
        <v>0.4</v>
      </c>
      <c r="E14" s="1184">
        <v>0.4</v>
      </c>
      <c r="F14" s="1184">
        <v>0.4</v>
      </c>
      <c r="G14" s="1184">
        <v>0.5</v>
      </c>
      <c r="H14" s="1184">
        <v>0.5</v>
      </c>
      <c r="I14" s="1184">
        <v>0.5</v>
      </c>
      <c r="J14" s="1184">
        <v>0.5</v>
      </c>
      <c r="K14" s="1184">
        <v>0.5</v>
      </c>
      <c r="L14" s="1184">
        <v>0.4</v>
      </c>
      <c r="M14" s="1184">
        <v>0.38</v>
      </c>
      <c r="N14" s="1184">
        <v>0.34</v>
      </c>
      <c r="O14" s="1184">
        <v>0.34</v>
      </c>
      <c r="P14" s="1184">
        <v>0.34</v>
      </c>
      <c r="Q14" s="1184">
        <v>0.34</v>
      </c>
      <c r="R14" s="1184">
        <v>0.34</v>
      </c>
      <c r="S14" s="1184">
        <v>0.34</v>
      </c>
      <c r="T14" s="1184">
        <v>0.34</v>
      </c>
      <c r="U14" s="1184">
        <v>0.32</v>
      </c>
      <c r="V14" s="1184">
        <v>0.32</v>
      </c>
      <c r="W14" s="1184">
        <v>0.3</v>
      </c>
      <c r="X14" s="1184">
        <v>0.3</v>
      </c>
      <c r="Y14" s="1184">
        <v>0.3</v>
      </c>
      <c r="Z14" s="1184">
        <v>0.3</v>
      </c>
      <c r="AA14" s="1184">
        <v>0.28000000000000003</v>
      </c>
      <c r="AB14" s="1184">
        <v>0.28000000000000003</v>
      </c>
      <c r="AC14" s="1184">
        <v>0.25</v>
      </c>
      <c r="AD14" s="1184">
        <v>0.25</v>
      </c>
      <c r="AE14" s="1184">
        <v>0.25</v>
      </c>
      <c r="AF14" s="1184">
        <v>0.25</v>
      </c>
      <c r="AG14" s="1184">
        <v>0.25</v>
      </c>
      <c r="AH14" s="1184">
        <v>0.25</v>
      </c>
      <c r="AI14" s="1184">
        <v>0.25</v>
      </c>
      <c r="AJ14" s="1184">
        <v>0.245</v>
      </c>
      <c r="AK14" s="1184">
        <v>0.23499999999999999</v>
      </c>
      <c r="AL14" s="1184">
        <f>VLOOKUP($B14,TableF1a!$B$8:$R$42,AL$1,0)</f>
        <v>0.22</v>
      </c>
      <c r="AM14" s="1184">
        <f>VLOOKUP($B14,TableF1a!$B$8:$R$42,AM$1,0)</f>
        <v>0.22</v>
      </c>
      <c r="AN14" s="1164">
        <f>VLOOKUP($B14,TableF1a!$B$8:$R$42,AN$1,0)</f>
        <v>0.22</v>
      </c>
      <c r="AP14" s="789">
        <f t="shared" si="1"/>
        <v>-0.1</v>
      </c>
    </row>
    <row r="15" spans="2:42" x14ac:dyDescent="0.2">
      <c r="B15" s="1094" t="s">
        <v>36</v>
      </c>
      <c r="C15" s="1183">
        <v>0</v>
      </c>
      <c r="D15" s="1184">
        <v>0</v>
      </c>
      <c r="E15" s="1184">
        <v>0</v>
      </c>
      <c r="F15" s="1184">
        <v>0</v>
      </c>
      <c r="G15" s="1184">
        <v>0</v>
      </c>
      <c r="H15" s="1184">
        <v>0</v>
      </c>
      <c r="I15" s="1184">
        <v>0</v>
      </c>
      <c r="J15" s="1184">
        <v>0</v>
      </c>
      <c r="K15" s="1184">
        <v>0</v>
      </c>
      <c r="L15" s="1184">
        <v>0</v>
      </c>
      <c r="M15" s="1184">
        <v>0</v>
      </c>
      <c r="N15" s="1184">
        <v>0</v>
      </c>
      <c r="O15" s="1184">
        <v>0</v>
      </c>
      <c r="P15" s="1184">
        <v>0</v>
      </c>
      <c r="Q15" s="1184">
        <v>0</v>
      </c>
      <c r="R15" s="1184">
        <v>0</v>
      </c>
      <c r="S15" s="1184">
        <v>0</v>
      </c>
      <c r="T15" s="1184">
        <v>0</v>
      </c>
      <c r="U15" s="1184">
        <v>0</v>
      </c>
      <c r="V15" s="1184">
        <v>0.26</v>
      </c>
      <c r="W15" s="1184">
        <v>0.26</v>
      </c>
      <c r="X15" s="1184">
        <v>0.26</v>
      </c>
      <c r="Y15" s="1184">
        <v>0.26</v>
      </c>
      <c r="Z15" s="1184">
        <v>0.26</v>
      </c>
      <c r="AA15" s="1184">
        <v>0.24</v>
      </c>
      <c r="AB15" s="1184">
        <v>0.23</v>
      </c>
      <c r="AC15" s="1184">
        <v>0.22</v>
      </c>
      <c r="AD15" s="1184">
        <v>0.21</v>
      </c>
      <c r="AE15" s="1184">
        <v>0.21</v>
      </c>
      <c r="AF15" s="1184">
        <v>0.21</v>
      </c>
      <c r="AG15" s="1184">
        <v>0.21</v>
      </c>
      <c r="AH15" s="1184">
        <v>0.21</v>
      </c>
      <c r="AI15" s="1184">
        <v>0.21</v>
      </c>
      <c r="AJ15" s="1184">
        <v>0.21</v>
      </c>
      <c r="AK15" s="1184">
        <v>0.2</v>
      </c>
      <c r="AL15" s="1184">
        <f>VLOOKUP($B15,TableF1a!$B$8:$R$42,AL$1,0)</f>
        <v>0.2</v>
      </c>
      <c r="AM15" s="1184">
        <f>VLOOKUP($B15,TableF1a!$B$8:$R$42,AM$1,0)</f>
        <v>0.2</v>
      </c>
      <c r="AN15" s="1164">
        <f>VLOOKUP($B15,TableF1a!$B$8:$R$42,AN$1,0)</f>
        <v>0.2</v>
      </c>
      <c r="AP15" s="789">
        <f t="shared" si="1"/>
        <v>-0.06</v>
      </c>
    </row>
    <row r="16" spans="2:42" x14ac:dyDescent="0.2">
      <c r="B16" s="1155" t="s">
        <v>37</v>
      </c>
      <c r="C16" s="1183">
        <v>0.61499999999999999</v>
      </c>
      <c r="D16" s="1184">
        <v>0.61750000000000005</v>
      </c>
      <c r="E16" s="1184">
        <v>0.61499999999999999</v>
      </c>
      <c r="F16" s="1184">
        <v>0.61750000000000005</v>
      </c>
      <c r="G16" s="1184">
        <v>0.61750000000000005</v>
      </c>
      <c r="H16" s="1184">
        <v>0.51500000000000001</v>
      </c>
      <c r="I16" s="1184">
        <v>0.51500000000000001</v>
      </c>
      <c r="J16" s="1184">
        <v>0.51500000000000001</v>
      </c>
      <c r="K16" s="1184">
        <v>0.52500000000000002</v>
      </c>
      <c r="L16" s="1184">
        <v>0.44500000000000001</v>
      </c>
      <c r="M16" s="1184">
        <v>0.42</v>
      </c>
      <c r="N16" s="1184">
        <v>0.39</v>
      </c>
      <c r="O16" s="1184">
        <v>0.25</v>
      </c>
      <c r="P16" s="1184">
        <v>0.25</v>
      </c>
      <c r="Q16" s="1184">
        <v>0.25</v>
      </c>
      <c r="R16" s="1184">
        <v>0.28000000000000003</v>
      </c>
      <c r="S16" s="1184">
        <v>0.28000000000000003</v>
      </c>
      <c r="T16" s="1184">
        <v>0.28000000000000003</v>
      </c>
      <c r="U16" s="1184">
        <v>0.28000000000000003</v>
      </c>
      <c r="V16" s="1184">
        <v>0.28999999999999998</v>
      </c>
      <c r="W16" s="1184">
        <v>0.28999999999999998</v>
      </c>
      <c r="X16" s="1184">
        <v>0.28999999999999998</v>
      </c>
      <c r="Y16" s="1184">
        <v>0.28999999999999998</v>
      </c>
      <c r="Z16" s="1184">
        <v>0.28999999999999998</v>
      </c>
      <c r="AA16" s="1184">
        <v>0.26</v>
      </c>
      <c r="AB16" s="1184">
        <v>0.26</v>
      </c>
      <c r="AC16" s="1184">
        <v>0.26</v>
      </c>
      <c r="AD16" s="1184">
        <v>0.26</v>
      </c>
      <c r="AE16" s="1184">
        <v>0.26</v>
      </c>
      <c r="AF16" s="1184">
        <v>0.26</v>
      </c>
      <c r="AG16" s="1184">
        <v>0.26</v>
      </c>
      <c r="AH16" s="1184">
        <v>0.245</v>
      </c>
      <c r="AI16" s="1184">
        <v>0.245</v>
      </c>
      <c r="AJ16" s="1184">
        <v>0.2</v>
      </c>
      <c r="AK16" s="1184">
        <v>0.2</v>
      </c>
      <c r="AL16" s="1184">
        <f>VLOOKUP($B16,TableF1a!$B$8:$R$42,AL$1,0)</f>
        <v>0.2</v>
      </c>
      <c r="AM16" s="1184">
        <f>VLOOKUP($B16,TableF1a!$B$8:$R$42,AM$1,0)</f>
        <v>0.2</v>
      </c>
      <c r="AN16" s="1164">
        <f>VLOOKUP($B16,TableF1a!$B$8:$R$42,AN$1,0)</f>
        <v>0.2</v>
      </c>
      <c r="AP16" s="789">
        <f t="shared" si="1"/>
        <v>-8.9999999999999969E-2</v>
      </c>
    </row>
    <row r="17" spans="1:42" x14ac:dyDescent="0.2">
      <c r="B17" s="1094" t="s">
        <v>38</v>
      </c>
      <c r="C17" s="1183">
        <v>0.5</v>
      </c>
      <c r="D17" s="1184">
        <v>0.5</v>
      </c>
      <c r="E17" s="1184">
        <v>0.5</v>
      </c>
      <c r="F17" s="1184">
        <v>0.5</v>
      </c>
      <c r="G17" s="1184">
        <v>0.5</v>
      </c>
      <c r="H17" s="1184">
        <v>0.45</v>
      </c>
      <c r="I17" s="1184">
        <v>0.45</v>
      </c>
      <c r="J17" s="1184">
        <v>0.42</v>
      </c>
      <c r="K17" s="1184">
        <v>0.42</v>
      </c>
      <c r="L17" s="1184">
        <v>0.42</v>
      </c>
      <c r="M17" s="1184">
        <v>0.42</v>
      </c>
      <c r="N17" s="1184">
        <v>0.34</v>
      </c>
      <c r="O17" s="1184">
        <v>0.33329999999999999</v>
      </c>
      <c r="P17" s="1184">
        <v>0.33329999999999999</v>
      </c>
      <c r="Q17" s="1184">
        <v>0.36659999999999998</v>
      </c>
      <c r="R17" s="1184">
        <v>0.36659999999999998</v>
      </c>
      <c r="S17" s="1184">
        <v>0.41660000000000003</v>
      </c>
      <c r="T17" s="1184">
        <v>0.41660000000000003</v>
      </c>
      <c r="U17" s="1184">
        <v>0.4</v>
      </c>
      <c r="V17" s="1184">
        <v>0.37759999999999999</v>
      </c>
      <c r="W17" s="1184">
        <v>0.36430000000000001</v>
      </c>
      <c r="X17" s="1184">
        <v>0.3543</v>
      </c>
      <c r="Y17" s="1184">
        <v>0.3543</v>
      </c>
      <c r="Z17" s="1184">
        <v>0.3543</v>
      </c>
      <c r="AA17" s="1184">
        <v>0.34949999999999998</v>
      </c>
      <c r="AB17" s="1184">
        <v>0.34429999999999999</v>
      </c>
      <c r="AC17" s="1184">
        <v>0.34429999999999999</v>
      </c>
      <c r="AD17" s="1184">
        <v>0.34429999999999999</v>
      </c>
      <c r="AE17" s="1184">
        <v>0.34429999999999999</v>
      </c>
      <c r="AF17" s="1184">
        <v>0.34429999999999999</v>
      </c>
      <c r="AG17" s="1184">
        <v>0.34429999999999999</v>
      </c>
      <c r="AH17" s="1184">
        <v>0.34429999999999999</v>
      </c>
      <c r="AI17" s="1184">
        <v>0.34429999999999999</v>
      </c>
      <c r="AJ17" s="1184">
        <v>0.34429999999999999</v>
      </c>
      <c r="AK17" s="1184">
        <v>0.34429999999999999</v>
      </c>
      <c r="AL17" s="1184">
        <f>VLOOKUP($B17,TableF1a!$B$8:$R$42,AL$1,0)</f>
        <v>0.33299999999999996</v>
      </c>
      <c r="AM17" s="1184">
        <f>VLOOKUP($B17,TableF1a!$B$8:$R$42,AM$1,0)</f>
        <v>0.33329999999999999</v>
      </c>
      <c r="AN17" s="1164">
        <f>VLOOKUP($B17,TableF1a!$B$8:$R$42,AN$1,0)</f>
        <v>0.33</v>
      </c>
      <c r="AP17" s="789">
        <f t="shared" si="1"/>
        <v>-4.4600000000000029E-2</v>
      </c>
    </row>
    <row r="18" spans="1:42" x14ac:dyDescent="0.2">
      <c r="B18" s="1155" t="s">
        <v>39</v>
      </c>
      <c r="C18" s="1183">
        <v>0.6</v>
      </c>
      <c r="D18" s="1184">
        <v>0.6</v>
      </c>
      <c r="E18" s="1184">
        <v>0.6</v>
      </c>
      <c r="F18" s="1184">
        <v>0.6</v>
      </c>
      <c r="G18" s="1184">
        <v>0.6</v>
      </c>
      <c r="H18" s="1184">
        <v>0.6</v>
      </c>
      <c r="I18" s="1184">
        <v>0.6</v>
      </c>
      <c r="J18" s="1184">
        <v>0.6</v>
      </c>
      <c r="K18" s="1184">
        <v>0.6</v>
      </c>
      <c r="L18" s="1184">
        <v>0.54545454500000001</v>
      </c>
      <c r="M18" s="1184">
        <v>0.5625</v>
      </c>
      <c r="N18" s="1184">
        <v>0.58152173900000004</v>
      </c>
      <c r="O18" s="1184">
        <v>0.56521739100000001</v>
      </c>
      <c r="P18" s="1184">
        <v>0.52173913000000005</v>
      </c>
      <c r="Q18" s="1184">
        <v>0.55108695699999999</v>
      </c>
      <c r="R18" s="1184">
        <v>0.55876068400000001</v>
      </c>
      <c r="S18" s="1184">
        <v>0.56799163200000002</v>
      </c>
      <c r="T18" s="1184">
        <v>0.56046025099999996</v>
      </c>
      <c r="U18" s="1184">
        <v>0.52033194999999999</v>
      </c>
      <c r="V18" s="1184">
        <v>0.52033194999999999</v>
      </c>
      <c r="W18" s="1184">
        <v>0.38901249999999998</v>
      </c>
      <c r="X18" s="1184">
        <v>0.38900414900000002</v>
      </c>
      <c r="Y18" s="1184">
        <v>0.40215767600000002</v>
      </c>
      <c r="Z18" s="1184">
        <v>0.38900414900000002</v>
      </c>
      <c r="AA18" s="1184">
        <v>0.38900414900000002</v>
      </c>
      <c r="AB18" s="1184">
        <v>0.38900414900000002</v>
      </c>
      <c r="AC18" s="1184">
        <v>0.38900414900000002</v>
      </c>
      <c r="AD18" s="1184">
        <v>0.30175000000000002</v>
      </c>
      <c r="AE18" s="1184">
        <v>0.30175000000000002</v>
      </c>
      <c r="AF18" s="1184">
        <v>0.30175000000000002</v>
      </c>
      <c r="AG18" s="1184">
        <v>0.30175000000000002</v>
      </c>
      <c r="AH18" s="1184">
        <v>0.30175000000000002</v>
      </c>
      <c r="AI18" s="1184">
        <v>0.30175000000000002</v>
      </c>
      <c r="AJ18" s="1184">
        <v>0.30180000000000001</v>
      </c>
      <c r="AK18" s="1184">
        <v>0.30180000000000001</v>
      </c>
      <c r="AL18" s="1184">
        <f>VLOOKUP($B18,TableF1a!$B$8:$R$42,AL$1,0)</f>
        <v>0.29719999999999996</v>
      </c>
      <c r="AM18" s="1184">
        <f>VLOOKUP($B18,TableF1a!$B$8:$R$42,AM$1,0)</f>
        <v>0.2979</v>
      </c>
      <c r="AN18" s="1164">
        <f>VLOOKUP($B18,TableF1a!$B$8:$R$42,AN$1,0)</f>
        <v>0.3</v>
      </c>
      <c r="AP18" s="789">
        <f t="shared" si="1"/>
        <v>-0.22313195000000002</v>
      </c>
    </row>
    <row r="19" spans="1:42" x14ac:dyDescent="0.2">
      <c r="B19" s="1155" t="s">
        <v>40</v>
      </c>
      <c r="C19" s="1183">
        <v>0.45</v>
      </c>
      <c r="D19" s="1184">
        <v>0.45</v>
      </c>
      <c r="E19" s="1184">
        <v>0.45</v>
      </c>
      <c r="F19" s="1184">
        <v>0.45</v>
      </c>
      <c r="G19" s="1184">
        <v>0.49</v>
      </c>
      <c r="H19" s="1184">
        <v>0.49</v>
      </c>
      <c r="I19" s="1184">
        <v>0.49</v>
      </c>
      <c r="J19" s="1184">
        <v>0.49</v>
      </c>
      <c r="K19" s="1184">
        <v>0.46</v>
      </c>
      <c r="L19" s="1184">
        <v>0.46</v>
      </c>
      <c r="M19" s="1184">
        <v>0.46</v>
      </c>
      <c r="N19" s="1184">
        <v>0.40500000000000003</v>
      </c>
      <c r="O19" s="1184">
        <v>0.35</v>
      </c>
      <c r="P19" s="1184">
        <v>0.35</v>
      </c>
      <c r="Q19" s="1184">
        <v>0.35</v>
      </c>
      <c r="R19" s="1184">
        <v>0.35</v>
      </c>
      <c r="S19" s="1184">
        <v>0.35</v>
      </c>
      <c r="T19" s="1184">
        <v>0.4</v>
      </c>
      <c r="U19" s="1184">
        <v>0.4</v>
      </c>
      <c r="V19" s="1184">
        <v>0.4</v>
      </c>
      <c r="W19" s="1184">
        <v>0.375</v>
      </c>
      <c r="X19" s="1184">
        <v>0.35</v>
      </c>
      <c r="Y19" s="1184">
        <v>0.35</v>
      </c>
      <c r="Z19" s="1184">
        <v>0.35</v>
      </c>
      <c r="AA19" s="1184">
        <v>0.32</v>
      </c>
      <c r="AB19" s="1184">
        <v>0.28999999999999998</v>
      </c>
      <c r="AC19" s="1184">
        <v>0.25</v>
      </c>
      <c r="AD19" s="1184">
        <v>0.25</v>
      </c>
      <c r="AE19" s="1184">
        <v>0.25</v>
      </c>
      <c r="AF19" s="1184">
        <v>0.24</v>
      </c>
      <c r="AG19" s="1184">
        <v>0.2</v>
      </c>
      <c r="AH19" s="1184">
        <v>0.2</v>
      </c>
      <c r="AI19" s="1184">
        <v>0.26</v>
      </c>
      <c r="AJ19" s="1184">
        <v>0.26</v>
      </c>
      <c r="AK19" s="1184">
        <v>0.26</v>
      </c>
      <c r="AL19" s="1184">
        <f>VLOOKUP($B19,TableF1a!$B$8:$R$42,AL$1,0)</f>
        <v>0.28999999999999998</v>
      </c>
      <c r="AM19" s="1184">
        <f>VLOOKUP($B19,TableF1a!$B$8:$R$42,AM$1,0)</f>
        <v>0.28999999999999998</v>
      </c>
      <c r="AN19" s="1164">
        <f>VLOOKUP($B19,TableF1a!$B$8:$R$42,AN$1,0)</f>
        <v>0.28999999999999998</v>
      </c>
      <c r="AP19" s="789">
        <f t="shared" si="1"/>
        <v>-0.11000000000000004</v>
      </c>
    </row>
    <row r="20" spans="1:42" x14ac:dyDescent="0.2">
      <c r="B20" s="1155" t="s">
        <v>41</v>
      </c>
      <c r="C20" s="1183">
        <v>0</v>
      </c>
      <c r="D20" s="1184">
        <v>0</v>
      </c>
      <c r="E20" s="1184">
        <v>0</v>
      </c>
      <c r="F20" s="1184">
        <v>0</v>
      </c>
      <c r="G20" s="1184">
        <v>0</v>
      </c>
      <c r="H20" s="1184">
        <v>0</v>
      </c>
      <c r="I20" s="1184">
        <v>0</v>
      </c>
      <c r="J20" s="1184">
        <v>0</v>
      </c>
      <c r="K20" s="1184">
        <v>0.5</v>
      </c>
      <c r="L20" s="1184">
        <v>0.4</v>
      </c>
      <c r="M20" s="1184">
        <v>0.4</v>
      </c>
      <c r="N20" s="1184">
        <v>0.4</v>
      </c>
      <c r="O20" s="1184">
        <v>0.4</v>
      </c>
      <c r="P20" s="1184">
        <v>0.36</v>
      </c>
      <c r="Q20" s="1184">
        <v>0.18</v>
      </c>
      <c r="R20" s="1184">
        <v>0.18</v>
      </c>
      <c r="S20" s="1184">
        <v>0.18</v>
      </c>
      <c r="T20" s="1184">
        <v>0.18</v>
      </c>
      <c r="U20" s="1184">
        <v>0.18</v>
      </c>
      <c r="V20" s="1184">
        <v>0.18</v>
      </c>
      <c r="W20" s="1184">
        <v>0.18</v>
      </c>
      <c r="X20" s="1184">
        <v>0.18</v>
      </c>
      <c r="Y20" s="1184">
        <v>0.18</v>
      </c>
      <c r="Z20" s="1184">
        <v>0.16</v>
      </c>
      <c r="AA20" s="1184">
        <v>0.16</v>
      </c>
      <c r="AB20" s="1184">
        <v>0.17330000000000001</v>
      </c>
      <c r="AC20" s="1184">
        <v>0.2</v>
      </c>
      <c r="AD20" s="1184">
        <v>0.2</v>
      </c>
      <c r="AE20" s="1184">
        <v>0.2</v>
      </c>
      <c r="AF20" s="1184">
        <v>0.19</v>
      </c>
      <c r="AG20" s="1184">
        <v>0.19</v>
      </c>
      <c r="AH20" s="1184">
        <v>0.19</v>
      </c>
      <c r="AI20" s="1184">
        <v>0.19</v>
      </c>
      <c r="AJ20" s="1184">
        <v>0.19</v>
      </c>
      <c r="AK20" s="1184">
        <v>0.19</v>
      </c>
      <c r="AL20" s="1184">
        <f>VLOOKUP($B20,TableF1a!$B$8:$R$42,AL$1,0)</f>
        <v>0.19</v>
      </c>
      <c r="AM20" s="1184">
        <f>VLOOKUP($B20,TableF1a!$B$8:$R$42,AM$1,0)</f>
        <v>0.09</v>
      </c>
      <c r="AN20" s="1164">
        <f>VLOOKUP($B20,TableF1a!$B$8:$R$42,AN$1,0)</f>
        <v>0.09</v>
      </c>
      <c r="AP20" s="789">
        <f t="shared" si="1"/>
        <v>1.0000000000000009E-2</v>
      </c>
    </row>
    <row r="21" spans="1:42" x14ac:dyDescent="0.2">
      <c r="B21" s="1155" t="s">
        <v>42</v>
      </c>
      <c r="C21" s="1183">
        <v>0</v>
      </c>
      <c r="D21" s="1184">
        <v>0</v>
      </c>
      <c r="E21" s="1184">
        <v>0</v>
      </c>
      <c r="F21" s="1184">
        <v>0</v>
      </c>
      <c r="G21" s="1184">
        <v>0</v>
      </c>
      <c r="H21" s="1184">
        <v>0</v>
      </c>
      <c r="I21" s="1184">
        <v>0</v>
      </c>
      <c r="J21" s="1184">
        <v>0</v>
      </c>
      <c r="K21" s="1184">
        <v>0</v>
      </c>
      <c r="L21" s="1184">
        <v>0</v>
      </c>
      <c r="M21" s="1184">
        <v>0</v>
      </c>
      <c r="N21" s="1184">
        <v>0</v>
      </c>
      <c r="O21" s="1184">
        <v>0</v>
      </c>
      <c r="P21" s="1184">
        <v>0</v>
      </c>
      <c r="Q21" s="1184">
        <v>0</v>
      </c>
      <c r="R21" s="1184">
        <v>0</v>
      </c>
      <c r="S21" s="1184">
        <v>0</v>
      </c>
      <c r="T21" s="1184">
        <v>0</v>
      </c>
      <c r="U21" s="1184">
        <v>0</v>
      </c>
      <c r="V21" s="1184">
        <v>0.3</v>
      </c>
      <c r="W21" s="1184">
        <v>0.3</v>
      </c>
      <c r="X21" s="1184">
        <v>0.18</v>
      </c>
      <c r="Y21" s="1184">
        <v>0.18</v>
      </c>
      <c r="Z21" s="1184">
        <v>0.18</v>
      </c>
      <c r="AA21" s="1184">
        <v>0.18</v>
      </c>
      <c r="AB21" s="1184">
        <v>0.18</v>
      </c>
      <c r="AC21" s="1184">
        <v>0.18</v>
      </c>
      <c r="AD21" s="1184">
        <v>0.15</v>
      </c>
      <c r="AE21" s="1184">
        <v>0.15</v>
      </c>
      <c r="AF21" s="1184">
        <v>0.18</v>
      </c>
      <c r="AG21" s="1184">
        <v>0.2</v>
      </c>
      <c r="AH21" s="1184">
        <v>0.2</v>
      </c>
      <c r="AI21" s="1184">
        <v>0.2</v>
      </c>
      <c r="AJ21" s="1184">
        <v>0.2</v>
      </c>
      <c r="AK21" s="1184">
        <v>0.2</v>
      </c>
      <c r="AL21" s="1184">
        <f>VLOOKUP($B21,TableF1a!$B$8:$R$42,AL$1,0)</f>
        <v>0.2</v>
      </c>
      <c r="AM21" s="1184">
        <f>VLOOKUP($B21,TableF1a!$B$8:$R$42,AM$1,0)</f>
        <v>0.2</v>
      </c>
      <c r="AN21" s="1164">
        <f>VLOOKUP($B21,TableF1a!$B$8:$R$42,AN$1,0)</f>
        <v>0.2</v>
      </c>
      <c r="AP21" s="789">
        <f t="shared" si="1"/>
        <v>-9.9999999999999978E-2</v>
      </c>
    </row>
    <row r="22" spans="1:42" x14ac:dyDescent="0.2">
      <c r="B22" s="1155" t="s">
        <v>43</v>
      </c>
      <c r="C22" s="1183">
        <v>0.45</v>
      </c>
      <c r="D22" s="1184">
        <v>0.5</v>
      </c>
      <c r="E22" s="1184">
        <v>0.5</v>
      </c>
      <c r="F22" s="1184">
        <v>0.5</v>
      </c>
      <c r="G22" s="1184">
        <v>0.5</v>
      </c>
      <c r="H22" s="1184">
        <v>0.5</v>
      </c>
      <c r="I22" s="1184">
        <v>0.5</v>
      </c>
      <c r="J22" s="1184">
        <v>0.47</v>
      </c>
      <c r="K22" s="1184">
        <v>0.43</v>
      </c>
      <c r="L22" s="1184">
        <v>0.43</v>
      </c>
      <c r="M22" s="1184">
        <v>0.4</v>
      </c>
      <c r="N22" s="1184">
        <v>0.4</v>
      </c>
      <c r="O22" s="1184">
        <v>0.4</v>
      </c>
      <c r="P22" s="1184">
        <v>0.4</v>
      </c>
      <c r="Q22" s="1184">
        <v>0.38</v>
      </c>
      <c r="R22" s="1184">
        <v>0.36</v>
      </c>
      <c r="S22" s="1184">
        <v>0.36</v>
      </c>
      <c r="T22" s="1184">
        <v>0.32</v>
      </c>
      <c r="U22" s="1184">
        <v>0.28000000000000003</v>
      </c>
      <c r="V22" s="1184">
        <v>0.24</v>
      </c>
      <c r="W22" s="1184">
        <v>0.2</v>
      </c>
      <c r="X22" s="1184">
        <v>0.16</v>
      </c>
      <c r="Y22" s="1184">
        <v>0.125</v>
      </c>
      <c r="Z22" s="1184">
        <v>0.125</v>
      </c>
      <c r="AA22" s="1184">
        <v>0.125</v>
      </c>
      <c r="AB22" s="1184">
        <v>0.125</v>
      </c>
      <c r="AC22" s="1184">
        <v>0.125</v>
      </c>
      <c r="AD22" s="1184">
        <v>0.125</v>
      </c>
      <c r="AE22" s="1184">
        <v>0.125</v>
      </c>
      <c r="AF22" s="1184">
        <v>0.125</v>
      </c>
      <c r="AG22" s="1184">
        <v>0.125</v>
      </c>
      <c r="AH22" s="1184">
        <v>0.125</v>
      </c>
      <c r="AI22" s="1184">
        <v>0.125</v>
      </c>
      <c r="AJ22" s="1184">
        <v>0.125</v>
      </c>
      <c r="AK22" s="1184">
        <v>0.125</v>
      </c>
      <c r="AL22" s="1184">
        <f>VLOOKUP($B22,TableF1a!$B$8:$R$42,AL$1,0)</f>
        <v>0.125</v>
      </c>
      <c r="AM22" s="1184">
        <f>VLOOKUP($B22,TableF1a!$B$8:$R$42,AM$1,0)</f>
        <v>0.125</v>
      </c>
      <c r="AN22" s="1164">
        <f>VLOOKUP($B22,TableF1a!$B$8:$R$42,AN$1,0)</f>
        <v>0.125</v>
      </c>
      <c r="AP22" s="789">
        <f t="shared" si="1"/>
        <v>-0.11499999999999999</v>
      </c>
    </row>
    <row r="23" spans="1:42" x14ac:dyDescent="0.2">
      <c r="B23" s="1155" t="s">
        <v>44</v>
      </c>
      <c r="C23" s="1183">
        <v>0</v>
      </c>
      <c r="D23" s="1184">
        <v>0</v>
      </c>
      <c r="E23" s="1184">
        <v>0</v>
      </c>
      <c r="F23" s="1184">
        <v>0</v>
      </c>
      <c r="G23" s="1184">
        <v>0</v>
      </c>
      <c r="H23" s="1184">
        <v>0</v>
      </c>
      <c r="I23" s="1184">
        <v>0</v>
      </c>
      <c r="J23" s="1184">
        <v>0</v>
      </c>
      <c r="K23" s="1184">
        <v>0</v>
      </c>
      <c r="L23" s="1184">
        <v>0</v>
      </c>
      <c r="M23" s="1184">
        <v>0</v>
      </c>
      <c r="N23" s="1184">
        <v>0</v>
      </c>
      <c r="O23" s="1184">
        <v>0</v>
      </c>
      <c r="P23" s="1184">
        <v>0</v>
      </c>
      <c r="Q23" s="1184">
        <v>0</v>
      </c>
      <c r="R23" s="1184">
        <v>0</v>
      </c>
      <c r="S23" s="1184">
        <v>0</v>
      </c>
      <c r="T23" s="1184">
        <v>0</v>
      </c>
      <c r="U23" s="1184">
        <v>0</v>
      </c>
      <c r="V23" s="1184">
        <v>0.36</v>
      </c>
      <c r="W23" s="1184">
        <v>0.36</v>
      </c>
      <c r="X23" s="1184">
        <v>0.36</v>
      </c>
      <c r="Y23" s="1184">
        <v>0.36</v>
      </c>
      <c r="Z23" s="1184">
        <v>0.35</v>
      </c>
      <c r="AA23" s="1184">
        <v>0.34</v>
      </c>
      <c r="AB23" s="1184">
        <v>0.31</v>
      </c>
      <c r="AC23" s="1184">
        <v>0.28999999999999998</v>
      </c>
      <c r="AD23" s="1184">
        <v>0.27</v>
      </c>
      <c r="AE23" s="1184">
        <v>0.26</v>
      </c>
      <c r="AF23" s="1184">
        <v>0.25</v>
      </c>
      <c r="AG23" s="1184">
        <v>0.24</v>
      </c>
      <c r="AH23" s="1184">
        <v>0.25</v>
      </c>
      <c r="AI23" s="1184">
        <v>0.25</v>
      </c>
      <c r="AJ23" s="1184">
        <v>0.26500000000000001</v>
      </c>
      <c r="AK23" s="1184">
        <v>0.26500000000000001</v>
      </c>
      <c r="AL23" s="1184">
        <f>VLOOKUP($B23,TableF1a!$B$8:$R$42,AL$1,0)</f>
        <v>0.25</v>
      </c>
      <c r="AM23" s="1184">
        <f>VLOOKUP($B23,TableF1a!$B$8:$R$42,AM$1,0)</f>
        <v>0.24</v>
      </c>
      <c r="AN23" s="1164">
        <f>VLOOKUP($B23,TableF1a!$B$8:$R$42,AN$1,0)</f>
        <v>0.23</v>
      </c>
      <c r="AP23" s="789">
        <f t="shared" si="1"/>
        <v>-0.10999999999999999</v>
      </c>
    </row>
    <row r="24" spans="1:42" x14ac:dyDescent="0.2">
      <c r="B24" s="1155" t="s">
        <v>45</v>
      </c>
      <c r="C24" s="1183">
        <v>0.36249999999999999</v>
      </c>
      <c r="D24" s="1184">
        <v>0.41339999999999999</v>
      </c>
      <c r="E24" s="1184">
        <v>0.46400000000000002</v>
      </c>
      <c r="F24" s="1184">
        <v>0.46400000000000002</v>
      </c>
      <c r="G24" s="1184">
        <v>0.46400000000000002</v>
      </c>
      <c r="H24" s="1184">
        <v>0.46400000000000002</v>
      </c>
      <c r="I24" s="1184">
        <v>0.46400000000000002</v>
      </c>
      <c r="J24" s="1184">
        <v>0.46400000000000002</v>
      </c>
      <c r="K24" s="1184">
        <v>0.46400000000000002</v>
      </c>
      <c r="L24" s="1184">
        <v>0.46400000000000002</v>
      </c>
      <c r="M24" s="1184">
        <v>0.47799999999999998</v>
      </c>
      <c r="N24" s="1184">
        <v>0.52200000000000002</v>
      </c>
      <c r="O24" s="1184">
        <v>0.52200000000000002</v>
      </c>
      <c r="P24" s="1184">
        <v>0.53200000000000003</v>
      </c>
      <c r="Q24" s="1184">
        <v>0.53200000000000003</v>
      </c>
      <c r="R24" s="1184">
        <v>0.53200000000000003</v>
      </c>
      <c r="S24" s="1184">
        <v>0.53200000000000003</v>
      </c>
      <c r="T24" s="1184">
        <v>0.37</v>
      </c>
      <c r="U24" s="1184">
        <v>0.37</v>
      </c>
      <c r="V24" s="1184">
        <v>0.37</v>
      </c>
      <c r="W24" s="1184">
        <v>0.36</v>
      </c>
      <c r="X24" s="1184">
        <v>0.36</v>
      </c>
      <c r="Y24" s="1184">
        <v>0.34</v>
      </c>
      <c r="Z24" s="1184">
        <v>0.33</v>
      </c>
      <c r="AA24" s="1184">
        <v>0.33</v>
      </c>
      <c r="AB24" s="1184">
        <v>0.33</v>
      </c>
      <c r="AC24" s="1184">
        <v>0.33</v>
      </c>
      <c r="AD24" s="1184">
        <v>0.27500000000000002</v>
      </c>
      <c r="AE24" s="1184">
        <v>0.27500000000000002</v>
      </c>
      <c r="AF24" s="1184">
        <v>0.27500000000000002</v>
      </c>
      <c r="AG24" s="1184">
        <v>0.27500000000000002</v>
      </c>
      <c r="AH24" s="1184">
        <v>0.27500000000000002</v>
      </c>
      <c r="AI24" s="1184">
        <v>0.27500000000000002</v>
      </c>
      <c r="AJ24" s="1184">
        <v>0.27500000000000002</v>
      </c>
      <c r="AK24" s="1184">
        <v>0.27500000000000002</v>
      </c>
      <c r="AL24" s="1184">
        <f>VLOOKUP($B24,TableF1a!$B$8:$R$42,AL$1,0)</f>
        <v>0.314</v>
      </c>
      <c r="AM24" s="1184">
        <f>VLOOKUP($B24,TableF1a!$B$8:$R$42,AM$1,0)</f>
        <v>0.24</v>
      </c>
      <c r="AN24" s="1164">
        <f>VLOOKUP($B24,TableF1a!$B$8:$R$42,AN$1,0)</f>
        <v>0.24</v>
      </c>
      <c r="AP24" s="789">
        <f t="shared" si="1"/>
        <v>-5.5999999999999994E-2</v>
      </c>
    </row>
    <row r="25" spans="1:42" x14ac:dyDescent="0.2">
      <c r="B25" s="1155" t="s">
        <v>46</v>
      </c>
      <c r="C25" s="1183">
        <v>0</v>
      </c>
      <c r="D25" s="1184">
        <v>0</v>
      </c>
      <c r="E25" s="1184">
        <v>0</v>
      </c>
      <c r="F25" s="1184">
        <v>0</v>
      </c>
      <c r="G25" s="1184">
        <v>0</v>
      </c>
      <c r="H25" s="1184">
        <v>0</v>
      </c>
      <c r="I25" s="1184">
        <v>0</v>
      </c>
      <c r="J25" s="1184">
        <v>0</v>
      </c>
      <c r="K25" s="1184">
        <v>0</v>
      </c>
      <c r="L25" s="1184">
        <v>0.49980000000000002</v>
      </c>
      <c r="M25" s="1184">
        <v>0.49980000000000002</v>
      </c>
      <c r="N25" s="1184">
        <v>0.49980000000000002</v>
      </c>
      <c r="O25" s="1184">
        <v>0.49980000000000002</v>
      </c>
      <c r="P25" s="1184">
        <v>0.49980000000000002</v>
      </c>
      <c r="Q25" s="1184">
        <v>0.49980000000000002</v>
      </c>
      <c r="R25" s="1184">
        <v>0.49980000000000002</v>
      </c>
      <c r="S25" s="1184">
        <v>0.49980000000000002</v>
      </c>
      <c r="T25" s="1184">
        <v>0.46360000000000001</v>
      </c>
      <c r="U25" s="1184">
        <v>0.40870000000000001</v>
      </c>
      <c r="V25" s="1184">
        <v>0.40870000000000001</v>
      </c>
      <c r="W25" s="1184">
        <v>0.40870000000000001</v>
      </c>
      <c r="X25" s="1184">
        <v>0.40870000000000001</v>
      </c>
      <c r="Y25" s="1184">
        <v>0.40870000000000001</v>
      </c>
      <c r="Z25" s="1184">
        <v>0.39539999999999997</v>
      </c>
      <c r="AA25" s="1184">
        <v>0.39539999999999997</v>
      </c>
      <c r="AB25" s="1184">
        <v>0.39539999999999997</v>
      </c>
      <c r="AC25" s="1184">
        <v>0.39539999999999997</v>
      </c>
      <c r="AD25" s="1184">
        <v>0.39539999999999997</v>
      </c>
      <c r="AE25" s="1184">
        <v>0.39539999999999997</v>
      </c>
      <c r="AF25" s="1184">
        <v>0.39539999999999997</v>
      </c>
      <c r="AG25" s="1184">
        <v>0.39539999999999997</v>
      </c>
      <c r="AH25" s="1184">
        <v>0.39539999999999997</v>
      </c>
      <c r="AI25" s="1184">
        <v>0.37</v>
      </c>
      <c r="AJ25" s="1184">
        <v>0.36990000000000001</v>
      </c>
      <c r="AK25" s="1184">
        <v>0.3211</v>
      </c>
      <c r="AL25" s="1184">
        <f>VLOOKUP($B25,TableF1a!$B$8:$R$42,AL$1,0)</f>
        <v>0.30859999999999999</v>
      </c>
      <c r="AM25" s="1184">
        <f>VLOOKUP($B25,TableF1a!$B$8:$R$42,AM$1,0)</f>
        <v>0.30859999999999999</v>
      </c>
      <c r="AN25" s="1164">
        <f>VLOOKUP($B25,TableF1a!$B$8:$R$42,AN$1,0)</f>
        <v>0.30859999999999999</v>
      </c>
      <c r="AP25" s="789">
        <f t="shared" si="1"/>
        <v>-0.10010000000000002</v>
      </c>
    </row>
    <row r="26" spans="1:42" x14ac:dyDescent="0.2">
      <c r="A26" t="s">
        <v>637</v>
      </c>
      <c r="B26" s="1155" t="s">
        <v>47</v>
      </c>
      <c r="C26" s="1183">
        <v>0</v>
      </c>
      <c r="D26" s="1184">
        <v>0</v>
      </c>
      <c r="E26" s="1184">
        <v>0</v>
      </c>
      <c r="F26" s="1184">
        <v>0</v>
      </c>
      <c r="G26" s="1184">
        <v>0</v>
      </c>
      <c r="H26" s="1184">
        <v>0</v>
      </c>
      <c r="I26" s="1184">
        <v>0</v>
      </c>
      <c r="J26" s="1184">
        <v>0</v>
      </c>
      <c r="K26" s="1184">
        <v>0</v>
      </c>
      <c r="L26" s="1184">
        <v>0</v>
      </c>
      <c r="M26" s="1184">
        <v>0</v>
      </c>
      <c r="N26" s="1184">
        <v>0</v>
      </c>
      <c r="O26" s="1184">
        <v>0</v>
      </c>
      <c r="P26" s="1184">
        <v>0</v>
      </c>
      <c r="Q26" s="1184">
        <v>0</v>
      </c>
      <c r="R26" s="1184">
        <v>0</v>
      </c>
      <c r="S26" s="1184">
        <v>0</v>
      </c>
      <c r="T26" s="1184">
        <v>0</v>
      </c>
      <c r="U26" s="1184">
        <v>0</v>
      </c>
      <c r="V26" s="1184">
        <v>0.308</v>
      </c>
      <c r="W26" s="1184">
        <v>0.308</v>
      </c>
      <c r="X26" s="1184">
        <v>0.29699999999999999</v>
      </c>
      <c r="Y26" s="1184">
        <v>0.29699999999999999</v>
      </c>
      <c r="Z26" s="1184">
        <v>0.29699999999999999</v>
      </c>
      <c r="AA26" s="1184">
        <v>0.27500000000000002</v>
      </c>
      <c r="AB26" s="1184">
        <v>0.27500000000000002</v>
      </c>
      <c r="AC26" s="1184">
        <v>0.27500000000000002</v>
      </c>
      <c r="AD26" s="1184">
        <v>0.27500000000000002</v>
      </c>
      <c r="AE26" s="1184">
        <v>0.24199999999999999</v>
      </c>
      <c r="AF26" s="1184">
        <v>0.24199999999999999</v>
      </c>
      <c r="AG26" s="1184">
        <v>0.24199999999999999</v>
      </c>
      <c r="AH26" s="1184">
        <v>0.24199999999999999</v>
      </c>
      <c r="AI26" s="1184">
        <v>0.24199999999999999</v>
      </c>
      <c r="AJ26" s="1184">
        <v>0.24199999999999999</v>
      </c>
      <c r="AK26" s="1184">
        <v>0.24199999999999999</v>
      </c>
      <c r="AL26" s="1184">
        <f>VLOOKUP($B26,TableF1a!$B$8:$R$42,AL$1,0)</f>
        <v>0.24199999999999999</v>
      </c>
      <c r="AM26" s="1184">
        <f>VLOOKUP($B26,TableF1a!$B$8:$R$42,AM$1,0)</f>
        <v>0.22</v>
      </c>
      <c r="AN26" s="1164">
        <f>VLOOKUP($B26,TableF1a!$B$8:$R$42,AN$1,0)</f>
        <v>0.25</v>
      </c>
      <c r="AP26" s="789">
        <f t="shared" si="1"/>
        <v>-6.6000000000000003E-2</v>
      </c>
    </row>
    <row r="27" spans="1:42" x14ac:dyDescent="0.2">
      <c r="B27" s="1154" t="s">
        <v>48</v>
      </c>
      <c r="C27" s="1183"/>
      <c r="D27" s="1184"/>
      <c r="E27" s="1184"/>
      <c r="F27" s="1184"/>
      <c r="G27" s="1184"/>
      <c r="H27" s="1184"/>
      <c r="I27" s="1184"/>
      <c r="J27" s="1184"/>
      <c r="K27" s="1184"/>
      <c r="L27" s="1184"/>
      <c r="M27" s="1184"/>
      <c r="N27" s="1184"/>
      <c r="O27" s="1184"/>
      <c r="P27" s="1184"/>
      <c r="Q27" s="1184"/>
      <c r="R27" s="1184"/>
      <c r="S27" s="1184"/>
      <c r="T27" s="1184"/>
      <c r="U27" s="1184"/>
      <c r="V27" s="1184"/>
      <c r="W27" s="1184"/>
      <c r="X27" s="1184"/>
      <c r="Y27" s="1184">
        <f>+TableF1a!C27</f>
        <v>0.19</v>
      </c>
      <c r="Z27" s="1184">
        <f>+TableF1a!D27</f>
        <v>0.15</v>
      </c>
      <c r="AA27" s="1184">
        <f>+TableF1a!E27</f>
        <v>0.15</v>
      </c>
      <c r="AB27" s="1184">
        <f>+TableF1a!F27</f>
        <v>0.15</v>
      </c>
      <c r="AC27" s="1184">
        <f>+TableF1a!G27</f>
        <v>0.15</v>
      </c>
      <c r="AD27" s="1184">
        <f>+TableF1a!H27</f>
        <v>0.15</v>
      </c>
      <c r="AE27" s="1184">
        <f>+TableF1a!I27</f>
        <v>0.15</v>
      </c>
      <c r="AF27" s="1184">
        <f>+TableF1a!J27</f>
        <v>0.15</v>
      </c>
      <c r="AG27" s="1184">
        <f>+TableF1a!K27</f>
        <v>0.15</v>
      </c>
      <c r="AH27" s="1184">
        <f>+TableF1a!L27</f>
        <v>0.15</v>
      </c>
      <c r="AI27" s="1184">
        <f>+TableF1a!M27</f>
        <v>0.15</v>
      </c>
      <c r="AJ27" s="1184">
        <f>+TableF1a!N27</f>
        <v>0.15</v>
      </c>
      <c r="AK27" s="1184">
        <f>+TableF1a!O27</f>
        <v>0.15</v>
      </c>
      <c r="AL27" s="1184">
        <f>VLOOKUP($B27,TableF1a!$B$8:$R$42,AL$1,0)</f>
        <v>0.15</v>
      </c>
      <c r="AM27" s="1184">
        <f>VLOOKUP($B27,TableF1a!$B$8:$R$42,AM$1,0)</f>
        <v>0.15</v>
      </c>
      <c r="AN27" s="1164">
        <f>VLOOKUP($B27,TableF1a!$B$8:$R$42,AN$1,0)</f>
        <v>0.2</v>
      </c>
      <c r="AP27" s="789">
        <f t="shared" si="1"/>
        <v>0.15</v>
      </c>
    </row>
    <row r="28" spans="1:42" x14ac:dyDescent="0.2">
      <c r="B28" s="1154" t="s">
        <v>49</v>
      </c>
      <c r="C28" s="1183">
        <v>0</v>
      </c>
      <c r="D28" s="1184">
        <v>0</v>
      </c>
      <c r="E28" s="1184">
        <v>0</v>
      </c>
      <c r="F28" s="1184">
        <v>0</v>
      </c>
      <c r="G28" s="1184">
        <v>0</v>
      </c>
      <c r="H28" s="1184">
        <v>0</v>
      </c>
      <c r="I28" s="1184">
        <v>0</v>
      </c>
      <c r="J28" s="1184">
        <v>0</v>
      </c>
      <c r="K28" s="1184">
        <v>0</v>
      </c>
      <c r="L28" s="1184">
        <v>0</v>
      </c>
      <c r="M28" s="1184">
        <v>0</v>
      </c>
      <c r="N28" s="1184">
        <v>0</v>
      </c>
      <c r="O28" s="1184">
        <v>0</v>
      </c>
      <c r="P28" s="1184">
        <v>0</v>
      </c>
      <c r="Q28" s="1184">
        <v>0</v>
      </c>
      <c r="R28" s="1184">
        <v>0</v>
      </c>
      <c r="S28" s="1184">
        <v>0</v>
      </c>
      <c r="T28" s="1184">
        <v>0</v>
      </c>
      <c r="U28" s="1184">
        <v>0</v>
      </c>
      <c r="V28" s="1184">
        <v>0.3745</v>
      </c>
      <c r="W28" s="1184">
        <v>0.3745</v>
      </c>
      <c r="X28" s="1184">
        <v>0.30380000000000001</v>
      </c>
      <c r="Y28" s="1184">
        <v>0.30380000000000001</v>
      </c>
      <c r="Z28" s="1184">
        <v>0.30380000000000001</v>
      </c>
      <c r="AA28" s="1184">
        <v>0.30380000000000001</v>
      </c>
      <c r="AB28" s="1184">
        <v>0.29630000000000001</v>
      </c>
      <c r="AC28" s="1184">
        <v>0.29630000000000001</v>
      </c>
      <c r="AD28" s="1184">
        <v>0.29630000000000001</v>
      </c>
      <c r="AE28" s="1184">
        <v>0.28589999999999999</v>
      </c>
      <c r="AF28" s="1184">
        <v>0.28589999999999999</v>
      </c>
      <c r="AG28" s="1184">
        <v>0.28799999999999998</v>
      </c>
      <c r="AH28" s="1184">
        <v>0.28799999999999998</v>
      </c>
      <c r="AI28" s="1184">
        <v>0.29220000000000002</v>
      </c>
      <c r="AJ28" s="1184">
        <v>0.29220000000000002</v>
      </c>
      <c r="AK28" s="1184">
        <v>0.29220000000000002</v>
      </c>
      <c r="AL28" s="1184">
        <f>VLOOKUP($B28,TableF1a!$B$8:$R$42,AL$1,0)</f>
        <v>0.29220000000000002</v>
      </c>
      <c r="AM28" s="1184">
        <f>VLOOKUP($B28,TableF1a!$B$8:$R$42,AM$1,0)</f>
        <v>0.27079999999999999</v>
      </c>
      <c r="AN28" s="1164">
        <f>VLOOKUP($B28,TableF1a!$B$8:$R$42,AN$1,0)</f>
        <v>0.2601</v>
      </c>
      <c r="AP28" s="789">
        <f t="shared" si="1"/>
        <v>-8.2299999999999984E-2</v>
      </c>
    </row>
    <row r="29" spans="1:42" x14ac:dyDescent="0.2">
      <c r="B29" s="1154" t="s">
        <v>50</v>
      </c>
      <c r="C29" s="1183">
        <v>0.42</v>
      </c>
      <c r="D29" s="1184">
        <v>0.42</v>
      </c>
      <c r="E29" s="1184">
        <v>0.42</v>
      </c>
      <c r="F29" s="1184">
        <v>0.42</v>
      </c>
      <c r="G29" s="1184">
        <v>0.42</v>
      </c>
      <c r="H29" s="1184">
        <v>0.42</v>
      </c>
      <c r="I29" s="1184">
        <v>0.40600000000000003</v>
      </c>
      <c r="J29" s="1184">
        <v>0.39200000000000002</v>
      </c>
      <c r="K29" s="1184">
        <v>0.37</v>
      </c>
      <c r="L29" s="1184">
        <v>0.36</v>
      </c>
      <c r="M29" s="1184">
        <v>0.35</v>
      </c>
      <c r="N29" s="1184">
        <v>0.35</v>
      </c>
      <c r="O29" s="1184">
        <v>0.34799999999999998</v>
      </c>
      <c r="P29" s="1184">
        <v>0.34</v>
      </c>
      <c r="Q29" s="1184">
        <v>0.34</v>
      </c>
      <c r="R29" s="1184">
        <v>0.34</v>
      </c>
      <c r="S29" s="1184">
        <v>0.34</v>
      </c>
      <c r="T29" s="1184">
        <v>0.34</v>
      </c>
      <c r="U29" s="1184">
        <v>0.35</v>
      </c>
      <c r="V29" s="1184">
        <v>0.35</v>
      </c>
      <c r="W29" s="1184">
        <v>0.35</v>
      </c>
      <c r="X29" s="1184">
        <v>0.35</v>
      </c>
      <c r="Y29" s="1184">
        <v>0.34</v>
      </c>
      <c r="Z29" s="1184">
        <v>0.33</v>
      </c>
      <c r="AA29" s="1184">
        <v>0.3</v>
      </c>
      <c r="AB29" s="1184">
        <v>0.28999999999999998</v>
      </c>
      <c r="AC29" s="1184">
        <v>0.28000000000000003</v>
      </c>
      <c r="AD29" s="1184">
        <v>0.28000000000000003</v>
      </c>
      <c r="AE29" s="1184">
        <v>0.28000000000000003</v>
      </c>
      <c r="AF29" s="1184">
        <v>0.3</v>
      </c>
      <c r="AG29" s="1184">
        <v>0.3</v>
      </c>
      <c r="AH29" s="1184">
        <v>0.3</v>
      </c>
      <c r="AI29" s="1184">
        <v>0.3</v>
      </c>
      <c r="AJ29" s="1184">
        <v>0.3</v>
      </c>
      <c r="AK29" s="1184">
        <v>0.3</v>
      </c>
      <c r="AL29" s="1184">
        <f>VLOOKUP($B29,TableF1a!$B$8:$R$42,AL$1,0)</f>
        <v>0.3</v>
      </c>
      <c r="AM29" s="1184">
        <f>VLOOKUP($B29,TableF1a!$B$8:$R$42,AM$1,0)</f>
        <v>0.3</v>
      </c>
      <c r="AN29" s="1164">
        <f>VLOOKUP($B29,TableF1a!$B$8:$R$42,AN$1,0)</f>
        <v>0.3</v>
      </c>
      <c r="AP29" s="789">
        <f t="shared" si="1"/>
        <v>-4.9999999999999989E-2</v>
      </c>
    </row>
    <row r="30" spans="1:42" x14ac:dyDescent="0.2">
      <c r="B30" s="1154" t="s">
        <v>51</v>
      </c>
      <c r="C30" s="1183">
        <v>0.48</v>
      </c>
      <c r="D30" s="1184">
        <v>0.48</v>
      </c>
      <c r="E30" s="1184">
        <v>0.48</v>
      </c>
      <c r="F30" s="1184">
        <v>0.43</v>
      </c>
      <c r="G30" s="1184">
        <v>0.43</v>
      </c>
      <c r="H30" s="1184">
        <v>0.42</v>
      </c>
      <c r="I30" s="1184">
        <v>0.42</v>
      </c>
      <c r="J30" s="1184">
        <v>0.42</v>
      </c>
      <c r="K30" s="1184">
        <v>0.35</v>
      </c>
      <c r="L30" s="1184">
        <v>0.35</v>
      </c>
      <c r="M30" s="1184">
        <v>0.35</v>
      </c>
      <c r="N30" s="1184">
        <v>0.35</v>
      </c>
      <c r="O30" s="1184">
        <v>0.35</v>
      </c>
      <c r="P30" s="1184">
        <v>0.35</v>
      </c>
      <c r="Q30" s="1184">
        <v>0.35</v>
      </c>
      <c r="R30" s="1184">
        <v>0.35</v>
      </c>
      <c r="S30" s="1184">
        <v>0.35</v>
      </c>
      <c r="T30" s="1184">
        <v>0.35</v>
      </c>
      <c r="U30" s="1184">
        <v>0.35</v>
      </c>
      <c r="V30" s="1184">
        <v>0.35</v>
      </c>
      <c r="W30" s="1184">
        <v>0.35</v>
      </c>
      <c r="X30" s="1184">
        <v>0.34499999999999997</v>
      </c>
      <c r="Y30" s="1184">
        <v>0.34499999999999997</v>
      </c>
      <c r="Z30" s="1184">
        <v>0.34499999999999997</v>
      </c>
      <c r="AA30" s="1184">
        <v>0.315</v>
      </c>
      <c r="AB30" s="1184">
        <v>0.29599999999999999</v>
      </c>
      <c r="AC30" s="1184">
        <v>0.255</v>
      </c>
      <c r="AD30" s="1184">
        <v>0.255</v>
      </c>
      <c r="AE30" s="1184">
        <v>0.255</v>
      </c>
      <c r="AF30" s="1184">
        <v>0.255</v>
      </c>
      <c r="AG30" s="1184">
        <v>0.25</v>
      </c>
      <c r="AH30" s="1184">
        <v>0.25</v>
      </c>
      <c r="AI30" s="1184">
        <v>0.25</v>
      </c>
      <c r="AJ30" s="1184">
        <v>0.25</v>
      </c>
      <c r="AK30" s="1184">
        <v>0.25</v>
      </c>
      <c r="AL30" s="1184">
        <f>VLOOKUP($B30,TableF1a!$B$8:$R$42,AL$1,0)</f>
        <v>0.25</v>
      </c>
      <c r="AM30" s="1184">
        <f>VLOOKUP($B30,TableF1a!$B$8:$R$42,AM$1,0)</f>
        <v>0.25</v>
      </c>
      <c r="AN30" s="1164">
        <f>VLOOKUP($B30,TableF1a!$B$8:$R$42,AN$1,0)</f>
        <v>0.25</v>
      </c>
      <c r="AP30" s="789">
        <f t="shared" si="1"/>
        <v>-9.9999999999999978E-2</v>
      </c>
    </row>
    <row r="31" spans="1:42" x14ac:dyDescent="0.2">
      <c r="B31" s="1154" t="s">
        <v>52</v>
      </c>
      <c r="C31" s="1183">
        <v>0.45</v>
      </c>
      <c r="D31" s="1184">
        <v>0.45</v>
      </c>
      <c r="E31" s="1184">
        <v>0.45</v>
      </c>
      <c r="F31" s="1184">
        <v>0.45</v>
      </c>
      <c r="G31" s="1184">
        <v>0.45</v>
      </c>
      <c r="H31" s="1184">
        <v>0.48</v>
      </c>
      <c r="I31" s="1184">
        <v>0.48</v>
      </c>
      <c r="J31" s="1184">
        <v>0.28000000000000003</v>
      </c>
      <c r="K31" s="1184">
        <v>0.33</v>
      </c>
      <c r="L31" s="1184">
        <v>0.33</v>
      </c>
      <c r="M31" s="1184">
        <v>0.33</v>
      </c>
      <c r="N31" s="1184">
        <v>0.33</v>
      </c>
      <c r="O31" s="1184">
        <v>0.33</v>
      </c>
      <c r="P31" s="1184">
        <v>0.33</v>
      </c>
      <c r="Q31" s="1184">
        <v>0.33</v>
      </c>
      <c r="R31" s="1184">
        <v>0.33</v>
      </c>
      <c r="S31" s="1184">
        <v>0.33</v>
      </c>
      <c r="T31" s="1184">
        <v>0.33</v>
      </c>
      <c r="U31" s="1184">
        <v>0.33</v>
      </c>
      <c r="V31" s="1184">
        <v>0.33</v>
      </c>
      <c r="W31" s="1184">
        <v>0.33</v>
      </c>
      <c r="X31" s="1184">
        <v>0.33</v>
      </c>
      <c r="Y31" s="1184">
        <v>0.33</v>
      </c>
      <c r="Z31" s="1184">
        <v>0.33</v>
      </c>
      <c r="AA31" s="1184">
        <v>0.33</v>
      </c>
      <c r="AB31" s="1184">
        <v>0.33</v>
      </c>
      <c r="AC31" s="1184">
        <v>0.33</v>
      </c>
      <c r="AD31" s="1184">
        <v>0.3</v>
      </c>
      <c r="AE31" s="1184">
        <v>0.3</v>
      </c>
      <c r="AF31" s="1184">
        <v>0.3</v>
      </c>
      <c r="AG31" s="1184">
        <v>0.28000000000000003</v>
      </c>
      <c r="AH31" s="1184">
        <v>0.28000000000000003</v>
      </c>
      <c r="AI31" s="1184">
        <v>0.28000000000000003</v>
      </c>
      <c r="AJ31" s="1184">
        <v>0.28000000000000003</v>
      </c>
      <c r="AK31" s="1184">
        <v>0.28000000000000003</v>
      </c>
      <c r="AL31" s="1184">
        <f>VLOOKUP($B31,TableF1a!$B$8:$R$42,AL$1,0)</f>
        <v>0.28000000000000003</v>
      </c>
      <c r="AM31" s="1184">
        <f>VLOOKUP($B31,TableF1a!$B$8:$R$42,AM$1,0)</f>
        <v>0.28000000000000003</v>
      </c>
      <c r="AN31" s="1164">
        <f>VLOOKUP($B31,TableF1a!$B$8:$R$42,AN$1,0)</f>
        <v>0.28000000000000003</v>
      </c>
      <c r="AP31" s="789">
        <f t="shared" si="1"/>
        <v>-4.9999999999999989E-2</v>
      </c>
    </row>
    <row r="32" spans="1:42" x14ac:dyDescent="0.2">
      <c r="B32" s="1154" t="s">
        <v>53</v>
      </c>
      <c r="C32" s="1183">
        <v>0.50800000000000001</v>
      </c>
      <c r="D32" s="1184">
        <v>0.50800000000000001</v>
      </c>
      <c r="E32" s="1184">
        <v>0.50800000000000001</v>
      </c>
      <c r="F32" s="1184">
        <v>0.50800000000000001</v>
      </c>
      <c r="G32" s="1184">
        <v>0.50800000000000001</v>
      </c>
      <c r="H32" s="1184">
        <v>0.50800000000000001</v>
      </c>
      <c r="I32" s="1184">
        <v>0.50800000000000001</v>
      </c>
      <c r="J32" s="1184">
        <v>0.50800000000000001</v>
      </c>
      <c r="K32" s="1184">
        <v>0.50800000000000001</v>
      </c>
      <c r="L32" s="1184">
        <v>0.50800000000000001</v>
      </c>
      <c r="M32" s="1184">
        <v>0.50800000000000001</v>
      </c>
      <c r="N32" s="1184">
        <v>0.28000000000000003</v>
      </c>
      <c r="O32" s="1184">
        <v>0.28000000000000003</v>
      </c>
      <c r="P32" s="1184">
        <v>0.28000000000000003</v>
      </c>
      <c r="Q32" s="1184">
        <v>0.28000000000000003</v>
      </c>
      <c r="R32" s="1184">
        <v>0.28000000000000003</v>
      </c>
      <c r="S32" s="1184">
        <v>0.28000000000000003</v>
      </c>
      <c r="T32" s="1184">
        <v>0.28000000000000003</v>
      </c>
      <c r="U32" s="1184">
        <v>0.28000000000000003</v>
      </c>
      <c r="V32" s="1184">
        <v>0.28000000000000003</v>
      </c>
      <c r="W32" s="1184">
        <v>0.28000000000000003</v>
      </c>
      <c r="X32" s="1184">
        <v>0.28000000000000003</v>
      </c>
      <c r="Y32" s="1184">
        <v>0.28000000000000003</v>
      </c>
      <c r="Z32" s="1184">
        <v>0.28000000000000003</v>
      </c>
      <c r="AA32" s="1184">
        <v>0.28000000000000003</v>
      </c>
      <c r="AB32" s="1184">
        <v>0.28000000000000003</v>
      </c>
      <c r="AC32" s="1184">
        <v>0.28000000000000003</v>
      </c>
      <c r="AD32" s="1184">
        <v>0.28000000000000003</v>
      </c>
      <c r="AE32" s="1184">
        <v>0.28000000000000003</v>
      </c>
      <c r="AF32" s="1184">
        <v>0.28000000000000003</v>
      </c>
      <c r="AG32" s="1184">
        <v>0.28000000000000003</v>
      </c>
      <c r="AH32" s="1184">
        <v>0.28000000000000003</v>
      </c>
      <c r="AI32" s="1184">
        <v>0.28000000000000003</v>
      </c>
      <c r="AJ32" s="1184">
        <v>0.27</v>
      </c>
      <c r="AK32" s="1184">
        <v>0.27</v>
      </c>
      <c r="AL32" s="1184">
        <f>VLOOKUP($B32,TableF1a!$B$8:$R$42,AL$1,0)</f>
        <v>0.25</v>
      </c>
      <c r="AM32" s="1184">
        <f>VLOOKUP($B32,TableF1a!$B$8:$R$42,AM$1,0)</f>
        <v>0.24</v>
      </c>
      <c r="AN32" s="1164">
        <f>VLOOKUP($B32,TableF1a!$B$8:$R$42,AN$1,0)</f>
        <v>0.23</v>
      </c>
      <c r="AP32" s="789">
        <f t="shared" si="1"/>
        <v>-3.0000000000000027E-2</v>
      </c>
    </row>
    <row r="33" spans="1:42" x14ac:dyDescent="0.2">
      <c r="B33" s="1154" t="s">
        <v>54</v>
      </c>
      <c r="C33" s="1183">
        <v>0</v>
      </c>
      <c r="D33" s="1184">
        <v>0</v>
      </c>
      <c r="E33" s="1184">
        <v>0</v>
      </c>
      <c r="F33" s="1184">
        <v>0</v>
      </c>
      <c r="G33" s="1184">
        <v>0</v>
      </c>
      <c r="H33" s="1184">
        <v>0</v>
      </c>
      <c r="I33" s="1184">
        <v>0</v>
      </c>
      <c r="J33" s="1184">
        <v>0</v>
      </c>
      <c r="K33" s="1184">
        <v>0</v>
      </c>
      <c r="L33" s="1184">
        <v>0</v>
      </c>
      <c r="M33" s="1184">
        <v>0</v>
      </c>
      <c r="N33" s="1184">
        <v>0.4</v>
      </c>
      <c r="O33" s="1184">
        <v>0.4</v>
      </c>
      <c r="P33" s="1184">
        <v>0.4</v>
      </c>
      <c r="Q33" s="1184">
        <v>0.4</v>
      </c>
      <c r="R33" s="1184">
        <v>0.4</v>
      </c>
      <c r="S33" s="1184">
        <v>0.38</v>
      </c>
      <c r="T33" s="1184">
        <v>0.36</v>
      </c>
      <c r="U33" s="1184">
        <v>0.34</v>
      </c>
      <c r="V33" s="1184">
        <v>0.3</v>
      </c>
      <c r="W33" s="1184">
        <v>0.28000000000000003</v>
      </c>
      <c r="X33" s="1184">
        <v>0.28000000000000003</v>
      </c>
      <c r="Y33" s="1184">
        <v>0.27</v>
      </c>
      <c r="Z33" s="1184">
        <v>0.19</v>
      </c>
      <c r="AA33" s="1184">
        <v>0.19</v>
      </c>
      <c r="AB33" s="1184">
        <v>0.19</v>
      </c>
      <c r="AC33" s="1184">
        <v>0.19</v>
      </c>
      <c r="AD33" s="1184">
        <v>0.19</v>
      </c>
      <c r="AE33" s="1184">
        <v>0.19</v>
      </c>
      <c r="AF33" s="1184">
        <v>0.19</v>
      </c>
      <c r="AG33" s="1184">
        <v>0.19</v>
      </c>
      <c r="AH33" s="1184">
        <v>0.19</v>
      </c>
      <c r="AI33" s="1184">
        <v>0.19</v>
      </c>
      <c r="AJ33" s="1184">
        <v>0.19</v>
      </c>
      <c r="AK33" s="1184">
        <v>0.19</v>
      </c>
      <c r="AL33" s="1184">
        <f>VLOOKUP($B33,TableF1a!$B$8:$R$42,AL$1,0)</f>
        <v>0.19</v>
      </c>
      <c r="AM33" s="1184">
        <f>VLOOKUP($B33,TableF1a!$B$8:$R$42,AM$1,0)</f>
        <v>0.19</v>
      </c>
      <c r="AN33" s="1164">
        <f>VLOOKUP($B33,TableF1a!$B$8:$R$42,AN$1,0)</f>
        <v>0.19</v>
      </c>
      <c r="AP33" s="789">
        <f t="shared" si="1"/>
        <v>-0.10999999999999999</v>
      </c>
    </row>
    <row r="34" spans="1:42" x14ac:dyDescent="0.2">
      <c r="B34" s="1154" t="s">
        <v>55</v>
      </c>
      <c r="C34" s="1183">
        <v>0.48959999999999998</v>
      </c>
      <c r="D34" s="1184">
        <v>0.50719999999999998</v>
      </c>
      <c r="E34" s="1184">
        <v>0.55120000000000002</v>
      </c>
      <c r="F34" s="1184">
        <v>0.55120000000000002</v>
      </c>
      <c r="G34" s="1184">
        <v>0.55120000000000002</v>
      </c>
      <c r="H34" s="1184">
        <v>0.50280000000000002</v>
      </c>
      <c r="I34" s="1184">
        <v>0.48080000000000001</v>
      </c>
      <c r="J34" s="1184">
        <v>0.48080000000000001</v>
      </c>
      <c r="K34" s="1184">
        <v>0.40150000000000002</v>
      </c>
      <c r="L34" s="1184">
        <v>0.40150000000000002</v>
      </c>
      <c r="M34" s="1184">
        <v>0.39600000000000002</v>
      </c>
      <c r="N34" s="1184">
        <v>0.39600000000000002</v>
      </c>
      <c r="O34" s="1184">
        <v>0.39600000000000002</v>
      </c>
      <c r="P34" s="1184">
        <v>0.39600000000000002</v>
      </c>
      <c r="Q34" s="1184">
        <v>0.39600000000000002</v>
      </c>
      <c r="R34" s="1184">
        <v>0.39600000000000002</v>
      </c>
      <c r="S34" s="1184">
        <v>0.374</v>
      </c>
      <c r="T34" s="1184">
        <v>0.374</v>
      </c>
      <c r="U34" s="1184">
        <v>0.374</v>
      </c>
      <c r="V34" s="1184">
        <v>0.35199999999999998</v>
      </c>
      <c r="W34" s="1184">
        <v>0.35199999999999998</v>
      </c>
      <c r="X34" s="1184">
        <v>0.33</v>
      </c>
      <c r="Y34" s="1184">
        <v>0.33</v>
      </c>
      <c r="Z34" s="1184">
        <v>0.27500000000000002</v>
      </c>
      <c r="AA34" s="1184">
        <v>0.27500000000000002</v>
      </c>
      <c r="AB34" s="1184">
        <v>0.27500000000000002</v>
      </c>
      <c r="AC34" s="1184">
        <v>0.26500000000000001</v>
      </c>
      <c r="AD34" s="1184">
        <v>0.26500000000000001</v>
      </c>
      <c r="AE34" s="1184">
        <v>0.26500000000000001</v>
      </c>
      <c r="AF34" s="1184">
        <v>0.26500000000000001</v>
      </c>
      <c r="AG34" s="1184">
        <v>0.26500000000000001</v>
      </c>
      <c r="AH34" s="1184">
        <v>0.315</v>
      </c>
      <c r="AI34" s="1184">
        <v>0.315</v>
      </c>
      <c r="AJ34" s="1184">
        <v>0.315</v>
      </c>
      <c r="AK34" s="1184">
        <v>0.29499999999999998</v>
      </c>
      <c r="AL34" s="1184">
        <f>VLOOKUP($B34,TableF1a!$B$8:$R$42,AL$1,0)</f>
        <v>0.21</v>
      </c>
      <c r="AM34" s="1184">
        <f>VLOOKUP($B34,TableF1a!$B$8:$R$42,AM$1,0)</f>
        <v>0.21</v>
      </c>
      <c r="AN34" s="1164">
        <f>VLOOKUP($B34,TableF1a!$B$8:$R$42,AN$1,0)</f>
        <v>0.21</v>
      </c>
      <c r="AP34" s="789">
        <f t="shared" si="1"/>
        <v>-0.14199999999999999</v>
      </c>
    </row>
    <row r="35" spans="1:42" x14ac:dyDescent="0.2">
      <c r="A35" t="s">
        <v>336</v>
      </c>
      <c r="B35" s="1154" t="s">
        <v>56</v>
      </c>
      <c r="C35" s="1183">
        <v>0</v>
      </c>
      <c r="D35" s="1184">
        <v>0</v>
      </c>
      <c r="E35" s="1184">
        <v>0</v>
      </c>
      <c r="F35" s="1184">
        <v>0</v>
      </c>
      <c r="G35" s="1184">
        <v>0</v>
      </c>
      <c r="H35" s="1184">
        <v>0</v>
      </c>
      <c r="I35" s="1184">
        <v>0</v>
      </c>
      <c r="J35" s="1184">
        <v>0</v>
      </c>
      <c r="K35" s="1184">
        <v>0</v>
      </c>
      <c r="L35" s="1184">
        <v>0</v>
      </c>
      <c r="M35" s="1184">
        <v>0</v>
      </c>
      <c r="N35" s="1184">
        <v>0</v>
      </c>
      <c r="O35" s="1184">
        <v>0.45</v>
      </c>
      <c r="P35" s="1184">
        <v>0.4</v>
      </c>
      <c r="Q35" s="1184">
        <v>0.4</v>
      </c>
      <c r="R35" s="1184">
        <v>0.4</v>
      </c>
      <c r="S35" s="1184">
        <v>0.4</v>
      </c>
      <c r="T35" s="1184">
        <v>0.4</v>
      </c>
      <c r="U35" s="1184">
        <v>0.4</v>
      </c>
      <c r="V35" s="1184">
        <v>0.28999999999999998</v>
      </c>
      <c r="W35" s="1184">
        <v>0.28999999999999998</v>
      </c>
      <c r="X35" s="1184">
        <v>0.25</v>
      </c>
      <c r="Y35" s="1184">
        <v>0.25</v>
      </c>
      <c r="Z35" s="1184">
        <v>0.19</v>
      </c>
      <c r="AA35" s="1184">
        <v>0.19</v>
      </c>
      <c r="AB35" s="1184">
        <v>0.19</v>
      </c>
      <c r="AC35" s="1184">
        <v>0.19</v>
      </c>
      <c r="AD35" s="1184">
        <v>0.19</v>
      </c>
      <c r="AE35" s="1184">
        <v>0.19</v>
      </c>
      <c r="AF35" s="1184">
        <v>0.19</v>
      </c>
      <c r="AG35" s="1184">
        <v>0.19</v>
      </c>
      <c r="AH35" s="1184">
        <v>0.19</v>
      </c>
      <c r="AI35" s="1184">
        <v>0.23</v>
      </c>
      <c r="AJ35" s="1184">
        <v>0.22</v>
      </c>
      <c r="AK35" s="1184">
        <v>0.22</v>
      </c>
      <c r="AL35" s="1184">
        <f>VLOOKUP($B35,TableF1a!$B$8:$R$42,AL$1,0)</f>
        <v>0.22</v>
      </c>
      <c r="AM35" s="1184">
        <f>VLOOKUP($B35,TableF1a!$B$8:$R$42,AM$1,0)</f>
        <v>0.21</v>
      </c>
      <c r="AN35" s="1164">
        <f>VLOOKUP($B35,TableF1a!$B$8:$R$42,AN$1,0)</f>
        <v>0.21</v>
      </c>
      <c r="AP35" s="789">
        <f t="shared" si="1"/>
        <v>-6.9999999999999979E-2</v>
      </c>
    </row>
    <row r="36" spans="1:42" x14ac:dyDescent="0.2">
      <c r="B36" s="1154" t="s">
        <v>57</v>
      </c>
      <c r="C36" s="1183">
        <v>0</v>
      </c>
      <c r="D36" s="1184">
        <v>0</v>
      </c>
      <c r="E36" s="1184">
        <v>0</v>
      </c>
      <c r="F36" s="1184">
        <v>0</v>
      </c>
      <c r="G36" s="1184">
        <v>0</v>
      </c>
      <c r="H36" s="1184">
        <v>0</v>
      </c>
      <c r="I36" s="1184">
        <v>0</v>
      </c>
      <c r="J36" s="1184">
        <v>0</v>
      </c>
      <c r="K36" s="1184">
        <v>0</v>
      </c>
      <c r="L36" s="1184">
        <v>0</v>
      </c>
      <c r="M36" s="1184">
        <v>0</v>
      </c>
      <c r="N36" s="1184">
        <v>0</v>
      </c>
      <c r="O36" s="1184">
        <v>0</v>
      </c>
      <c r="P36" s="1184">
        <v>0</v>
      </c>
      <c r="Q36" s="1184">
        <v>0</v>
      </c>
      <c r="R36" s="1184">
        <v>0</v>
      </c>
      <c r="S36" s="1184">
        <v>0</v>
      </c>
      <c r="T36" s="1184">
        <v>0</v>
      </c>
      <c r="U36" s="1184">
        <v>0</v>
      </c>
      <c r="V36" s="1184">
        <v>0.25</v>
      </c>
      <c r="W36" s="1184">
        <v>0.25</v>
      </c>
      <c r="X36" s="1184">
        <v>0.25</v>
      </c>
      <c r="Y36" s="1184">
        <v>0.25</v>
      </c>
      <c r="Z36" s="1184">
        <v>0.25</v>
      </c>
      <c r="AA36" s="1184">
        <v>0.25</v>
      </c>
      <c r="AB36" s="1184">
        <v>0.25</v>
      </c>
      <c r="AC36" s="1184">
        <v>0.23</v>
      </c>
      <c r="AD36" s="1184">
        <v>0.22</v>
      </c>
      <c r="AE36" s="1184">
        <v>0.21</v>
      </c>
      <c r="AF36" s="1184">
        <v>0.2</v>
      </c>
      <c r="AG36" s="1184">
        <v>0.2</v>
      </c>
      <c r="AH36" s="1184">
        <v>0.2</v>
      </c>
      <c r="AI36" s="1184">
        <v>0.17</v>
      </c>
      <c r="AJ36" s="1184">
        <v>0.17</v>
      </c>
      <c r="AK36" s="1184">
        <v>0.17</v>
      </c>
      <c r="AL36" s="1184">
        <f>VLOOKUP($B36,TableF1a!$B$8:$R$42,AL$1,0)</f>
        <v>0.17</v>
      </c>
      <c r="AM36" s="1184">
        <f>VLOOKUP($B36,TableF1a!$B$8:$R$42,AM$1,0)</f>
        <v>0.19</v>
      </c>
      <c r="AN36" s="1164">
        <f>VLOOKUP($B36,TableF1a!$B$8:$R$42,AN$1,0)</f>
        <v>0.19</v>
      </c>
      <c r="AP36" s="789">
        <f t="shared" si="1"/>
        <v>-7.9999999999999988E-2</v>
      </c>
    </row>
    <row r="37" spans="1:42" x14ac:dyDescent="0.2">
      <c r="B37" s="1154" t="s">
        <v>58</v>
      </c>
      <c r="C37" s="1183">
        <v>0.33</v>
      </c>
      <c r="D37" s="1184">
        <v>0.33</v>
      </c>
      <c r="E37" s="1184">
        <v>0.33</v>
      </c>
      <c r="F37" s="1184">
        <v>0.35</v>
      </c>
      <c r="G37" s="1184">
        <v>0.35</v>
      </c>
      <c r="H37" s="1184">
        <v>0.35</v>
      </c>
      <c r="I37" s="1184">
        <v>0.35</v>
      </c>
      <c r="J37" s="1184">
        <v>0.35</v>
      </c>
      <c r="K37" s="1184">
        <v>0.35</v>
      </c>
      <c r="L37" s="1184">
        <v>0.35</v>
      </c>
      <c r="M37" s="1184">
        <v>0.35</v>
      </c>
      <c r="N37" s="1184">
        <v>0.35</v>
      </c>
      <c r="O37" s="1184">
        <v>0.35</v>
      </c>
      <c r="P37" s="1184">
        <v>0.35</v>
      </c>
      <c r="Q37" s="1184">
        <v>0.35</v>
      </c>
      <c r="R37" s="1184">
        <v>0.35</v>
      </c>
      <c r="S37" s="1184">
        <v>0.35</v>
      </c>
      <c r="T37" s="1184">
        <v>0.35</v>
      </c>
      <c r="U37" s="1184">
        <v>0.35</v>
      </c>
      <c r="V37" s="1184">
        <v>0.35</v>
      </c>
      <c r="W37" s="1184">
        <v>0.35</v>
      </c>
      <c r="X37" s="1184">
        <v>0.35</v>
      </c>
      <c r="Y37" s="1184">
        <v>0.35</v>
      </c>
      <c r="Z37" s="1184">
        <v>0.35</v>
      </c>
      <c r="AA37" s="1184">
        <v>0.35</v>
      </c>
      <c r="AB37" s="1184">
        <v>0.35</v>
      </c>
      <c r="AC37" s="1184">
        <v>0.32500000000000001</v>
      </c>
      <c r="AD37" s="1184">
        <v>0.3</v>
      </c>
      <c r="AE37" s="1184">
        <v>0.3</v>
      </c>
      <c r="AF37" s="1184">
        <v>0.3</v>
      </c>
      <c r="AG37" s="1184">
        <v>0.3</v>
      </c>
      <c r="AH37" s="1184">
        <v>0.3</v>
      </c>
      <c r="AI37" s="1184">
        <v>0.3</v>
      </c>
      <c r="AJ37" s="1184">
        <v>0.3</v>
      </c>
      <c r="AK37" s="1184">
        <v>0.28000000000000003</v>
      </c>
      <c r="AL37" s="1184">
        <f>VLOOKUP($B37,TableF1a!$B$8:$R$42,AL$1,0)</f>
        <v>0.25</v>
      </c>
      <c r="AM37" s="1184">
        <f>VLOOKUP($B37,TableF1a!$B$8:$R$42,AM$1,0)</f>
        <v>0.25</v>
      </c>
      <c r="AN37" s="1164">
        <f>VLOOKUP($B37,TableF1a!$B$8:$R$42,AN$1,0)</f>
        <v>0.25</v>
      </c>
      <c r="AP37" s="789">
        <f t="shared" si="1"/>
        <v>-9.9999999999999978E-2</v>
      </c>
    </row>
    <row r="38" spans="1:42" x14ac:dyDescent="0.2">
      <c r="B38" s="1080" t="s">
        <v>59</v>
      </c>
      <c r="C38" s="1183">
        <v>0.57799999999999996</v>
      </c>
      <c r="D38" s="1184">
        <v>0.57799999999999996</v>
      </c>
      <c r="E38" s="1184">
        <v>0.58099999999999996</v>
      </c>
      <c r="F38" s="1184">
        <v>0.56599999999999995</v>
      </c>
      <c r="G38" s="1184">
        <v>0.56599999999999995</v>
      </c>
      <c r="H38" s="1184">
        <v>0.56599999999999995</v>
      </c>
      <c r="I38" s="1184">
        <v>0.56599999999999995</v>
      </c>
      <c r="J38" s="1184">
        <v>0.56599999999999995</v>
      </c>
      <c r="K38" s="1184">
        <v>0.60099999999999998</v>
      </c>
      <c r="L38" s="1184">
        <v>0.53</v>
      </c>
      <c r="M38" s="1184">
        <v>0.3</v>
      </c>
      <c r="N38" s="1184">
        <v>0.3</v>
      </c>
      <c r="O38" s="1184">
        <v>0.3</v>
      </c>
      <c r="P38" s="1184">
        <v>0.28000000000000003</v>
      </c>
      <c r="Q38" s="1184">
        <v>0.28000000000000003</v>
      </c>
      <c r="R38" s="1184">
        <v>0.28000000000000003</v>
      </c>
      <c r="S38" s="1184">
        <v>0.28000000000000003</v>
      </c>
      <c r="T38" s="1184">
        <v>0.28000000000000003</v>
      </c>
      <c r="U38" s="1184">
        <v>0.28000000000000003</v>
      </c>
      <c r="V38" s="1184">
        <v>0.28000000000000003</v>
      </c>
      <c r="W38" s="1184">
        <v>0.28000000000000003</v>
      </c>
      <c r="X38" s="1184">
        <v>0.28000000000000003</v>
      </c>
      <c r="Y38" s="1184">
        <v>0.28000000000000003</v>
      </c>
      <c r="Z38" s="1184">
        <v>0.28000000000000003</v>
      </c>
      <c r="AA38" s="1184">
        <v>0.28000000000000003</v>
      </c>
      <c r="AB38" s="1184">
        <v>0.28000000000000003</v>
      </c>
      <c r="AC38" s="1184">
        <v>0.28000000000000003</v>
      </c>
      <c r="AD38" s="1184">
        <v>0.28000000000000003</v>
      </c>
      <c r="AE38" s="1184">
        <v>0.26300000000000001</v>
      </c>
      <c r="AF38" s="1184">
        <v>0.26300000000000001</v>
      </c>
      <c r="AG38" s="1184">
        <v>0.26300000000000001</v>
      </c>
      <c r="AH38" s="1184">
        <v>0.26300000000000001</v>
      </c>
      <c r="AI38" s="1184">
        <v>0.22</v>
      </c>
      <c r="AJ38" s="1184">
        <v>0.22</v>
      </c>
      <c r="AK38" s="1184">
        <v>0.22</v>
      </c>
      <c r="AL38" s="1184">
        <f>VLOOKUP($B38,TableF1a!$B$8:$R$42,AL$1,0)</f>
        <v>0.22</v>
      </c>
      <c r="AM38" s="1184">
        <f>VLOOKUP($B38,TableF1a!$B$8:$R$42,AM$1,0)</f>
        <v>0.22</v>
      </c>
      <c r="AN38" s="1164">
        <f>VLOOKUP($B38,TableF1a!$B$8:$R$42,AN$1,0)</f>
        <v>0.22</v>
      </c>
      <c r="AP38" s="789">
        <f t="shared" si="1"/>
        <v>-6.0000000000000026E-2</v>
      </c>
    </row>
    <row r="39" spans="1:42" x14ac:dyDescent="0.2">
      <c r="B39" s="1154" t="s">
        <v>60</v>
      </c>
      <c r="C39" s="1183">
        <v>0.33048269600000002</v>
      </c>
      <c r="D39" s="1184">
        <v>0.33048269600000002</v>
      </c>
      <c r="E39" s="1184">
        <v>0.33048269600000002</v>
      </c>
      <c r="F39" s="1184">
        <v>0.32866120199999999</v>
      </c>
      <c r="G39" s="1184">
        <v>0.31866120199999998</v>
      </c>
      <c r="H39" s="1184">
        <v>0.31683970900000002</v>
      </c>
      <c r="I39" s="1184">
        <v>0.31687613799999997</v>
      </c>
      <c r="J39" s="1184">
        <v>0.30594717700000001</v>
      </c>
      <c r="K39" s="1184">
        <v>0.305965392</v>
      </c>
      <c r="L39" s="1184">
        <v>0.305965392</v>
      </c>
      <c r="M39" s="1184">
        <v>0.27721014700000002</v>
      </c>
      <c r="N39" s="1184">
        <v>0.280343593</v>
      </c>
      <c r="O39" s="1184">
        <v>0.28466785700000002</v>
      </c>
      <c r="P39" s="1184">
        <v>0.28466785700000002</v>
      </c>
      <c r="Q39" s="1184">
        <v>0.284692418</v>
      </c>
      <c r="R39" s="1184">
        <v>0.284692418</v>
      </c>
      <c r="S39" s="1184">
        <v>0.284692418</v>
      </c>
      <c r="T39" s="1184">
        <v>0.277984595</v>
      </c>
      <c r="U39" s="1184">
        <v>0.250941941</v>
      </c>
      <c r="V39" s="1184">
        <v>0.24925488500000001</v>
      </c>
      <c r="W39" s="1184">
        <v>0.246993622</v>
      </c>
      <c r="X39" s="1184">
        <v>0.24415352800000001</v>
      </c>
      <c r="Y39" s="1184">
        <v>0.240998239</v>
      </c>
      <c r="Z39" s="1184">
        <v>0.240998239</v>
      </c>
      <c r="AA39" s="1184">
        <v>0.2132</v>
      </c>
      <c r="AB39" s="1184">
        <v>0.2132</v>
      </c>
      <c r="AC39" s="1184">
        <v>0.213232795</v>
      </c>
      <c r="AD39" s="1184">
        <v>0.21174437800000001</v>
      </c>
      <c r="AE39" s="1184">
        <v>0.21174437800000001</v>
      </c>
      <c r="AF39" s="1184">
        <v>0.21174437800000001</v>
      </c>
      <c r="AG39" s="1184">
        <v>0.21174437800000001</v>
      </c>
      <c r="AH39" s="1184">
        <v>0.21174437800000001</v>
      </c>
      <c r="AI39" s="1184">
        <v>0.21148581299999999</v>
      </c>
      <c r="AJ39" s="1184">
        <v>0.21149999999999999</v>
      </c>
      <c r="AK39" s="1184">
        <v>0.21149999999999999</v>
      </c>
      <c r="AL39" s="1184">
        <f>VLOOKUP($B39,TableF1a!$B$8:$R$42,AL$1,0)</f>
        <v>0.17920000000000003</v>
      </c>
      <c r="AM39" s="1184">
        <f>VLOOKUP($B39,TableF1a!$B$8:$R$42,AM$1,0)</f>
        <v>0.1777</v>
      </c>
      <c r="AN39" s="1164">
        <f>VLOOKUP($B39,TableF1a!$B$8:$R$42,AN$1,0)</f>
        <v>0.18</v>
      </c>
      <c r="AP39" s="789">
        <f t="shared" si="1"/>
        <v>-7.0054884999999983E-2</v>
      </c>
    </row>
    <row r="40" spans="1:42" x14ac:dyDescent="0.2">
      <c r="B40" s="1154" t="s">
        <v>61</v>
      </c>
      <c r="C40" s="1183">
        <v>0</v>
      </c>
      <c r="D40" s="1184">
        <v>0</v>
      </c>
      <c r="E40" s="1184">
        <v>0</v>
      </c>
      <c r="F40" s="1184">
        <v>0</v>
      </c>
      <c r="G40" s="1184">
        <v>0</v>
      </c>
      <c r="H40" s="1184">
        <v>0</v>
      </c>
      <c r="I40" s="1184">
        <v>0</v>
      </c>
      <c r="J40" s="1184">
        <v>0</v>
      </c>
      <c r="K40" s="1184">
        <v>0</v>
      </c>
      <c r="L40" s="1184">
        <v>0</v>
      </c>
      <c r="M40" s="1184">
        <v>0</v>
      </c>
      <c r="N40" s="1184">
        <v>0</v>
      </c>
      <c r="O40" s="1184">
        <v>0</v>
      </c>
      <c r="P40" s="1184">
        <v>0</v>
      </c>
      <c r="Q40" s="1184">
        <v>0</v>
      </c>
      <c r="R40" s="1184">
        <v>0</v>
      </c>
      <c r="S40" s="1184">
        <v>0</v>
      </c>
      <c r="T40" s="1184">
        <v>0</v>
      </c>
      <c r="U40" s="1184">
        <v>0</v>
      </c>
      <c r="V40" s="1184">
        <v>0.33</v>
      </c>
      <c r="W40" s="1184">
        <v>0.33</v>
      </c>
      <c r="X40" s="1184">
        <v>0.33</v>
      </c>
      <c r="Y40" s="1184">
        <v>0.3</v>
      </c>
      <c r="Z40" s="1184">
        <v>0.33</v>
      </c>
      <c r="AA40" s="1184">
        <v>0.3</v>
      </c>
      <c r="AB40" s="1184">
        <v>0.2</v>
      </c>
      <c r="AC40" s="1184">
        <v>0.2</v>
      </c>
      <c r="AD40" s="1184">
        <v>0.2</v>
      </c>
      <c r="AE40" s="1184">
        <v>0.2</v>
      </c>
      <c r="AF40" s="1184">
        <v>0.2</v>
      </c>
      <c r="AG40" s="1184">
        <v>0.2</v>
      </c>
      <c r="AH40" s="1184">
        <v>0.2</v>
      </c>
      <c r="AI40" s="1184">
        <v>0.2</v>
      </c>
      <c r="AJ40" s="1184">
        <v>0.2</v>
      </c>
      <c r="AK40" s="1184">
        <v>0.2</v>
      </c>
      <c r="AL40" s="1184">
        <f>VLOOKUP($B40,TableF1a!$B$8:$R$42,AL$1,0)</f>
        <v>0.2</v>
      </c>
      <c r="AM40" s="1184">
        <f>VLOOKUP($B40,TableF1a!$B$8:$R$42,AM$1,0)</f>
        <v>0.2</v>
      </c>
      <c r="AN40" s="1164">
        <f>VLOOKUP($B40,TableF1a!$B$8:$R$42,AN$1,0)</f>
        <v>0.22</v>
      </c>
      <c r="AP40" s="789">
        <f t="shared" si="1"/>
        <v>-0.13</v>
      </c>
    </row>
    <row r="41" spans="1:42" x14ac:dyDescent="0.2">
      <c r="B41" s="1154" t="s">
        <v>62</v>
      </c>
      <c r="C41" s="1183">
        <v>0.52</v>
      </c>
      <c r="D41" s="1184">
        <v>0.52</v>
      </c>
      <c r="E41" s="1184">
        <v>0.5</v>
      </c>
      <c r="F41" s="1184">
        <v>0.45</v>
      </c>
      <c r="G41" s="1184">
        <v>0.4</v>
      </c>
      <c r="H41" s="1184">
        <v>0.35</v>
      </c>
      <c r="I41" s="1184">
        <v>0.35</v>
      </c>
      <c r="J41" s="1184">
        <v>0.35</v>
      </c>
      <c r="K41" s="1184">
        <v>0.35</v>
      </c>
      <c r="L41" s="1184">
        <v>0.34</v>
      </c>
      <c r="M41" s="1184">
        <v>0.33</v>
      </c>
      <c r="N41" s="1184">
        <v>0.33</v>
      </c>
      <c r="O41" s="1184">
        <v>0.33</v>
      </c>
      <c r="P41" s="1184">
        <v>0.33</v>
      </c>
      <c r="Q41" s="1184">
        <v>0.33</v>
      </c>
      <c r="R41" s="1184">
        <v>0.33</v>
      </c>
      <c r="S41" s="1184">
        <v>0.31</v>
      </c>
      <c r="T41" s="1184">
        <v>0.31</v>
      </c>
      <c r="U41" s="1184">
        <v>0.3</v>
      </c>
      <c r="V41" s="1184">
        <v>0.3</v>
      </c>
      <c r="W41" s="1184">
        <v>0.3</v>
      </c>
      <c r="X41" s="1184">
        <v>0.3</v>
      </c>
      <c r="Y41" s="1184">
        <v>0.3</v>
      </c>
      <c r="Z41" s="1184">
        <v>0.3</v>
      </c>
      <c r="AA41" s="1184">
        <v>0.3</v>
      </c>
      <c r="AB41" s="1184">
        <v>0.3</v>
      </c>
      <c r="AC41" s="1184">
        <v>0.3</v>
      </c>
      <c r="AD41" s="1184">
        <v>0.28000000000000003</v>
      </c>
      <c r="AE41" s="1184">
        <v>0.28000000000000003</v>
      </c>
      <c r="AF41" s="1184">
        <v>0.28000000000000003</v>
      </c>
      <c r="AG41" s="1184">
        <v>0.26</v>
      </c>
      <c r="AH41" s="1184">
        <v>0.24</v>
      </c>
      <c r="AI41" s="1184">
        <v>0.23</v>
      </c>
      <c r="AJ41" s="1184">
        <v>0.21</v>
      </c>
      <c r="AK41" s="1184">
        <v>0.2</v>
      </c>
      <c r="AL41" s="1184">
        <f>VLOOKUP($B41,TableF1a!$B$8:$R$42,AL$1,0)</f>
        <v>0.2</v>
      </c>
      <c r="AM41" s="1184">
        <f>VLOOKUP($B41,TableF1a!$B$8:$R$42,AM$1,0)</f>
        <v>0.19</v>
      </c>
      <c r="AN41" s="1164">
        <f>VLOOKUP($B41,TableF1a!$B$8:$R$42,AN$1,0)</f>
        <v>0.19</v>
      </c>
      <c r="AP41" s="789">
        <f t="shared" si="1"/>
        <v>-9.9999999999999978E-2</v>
      </c>
    </row>
    <row r="42" spans="1:42" x14ac:dyDescent="0.2">
      <c r="B42" s="1154" t="s">
        <v>63</v>
      </c>
      <c r="C42" s="1183">
        <v>0.49698999999999999</v>
      </c>
      <c r="D42" s="1184">
        <v>0.49698999999999999</v>
      </c>
      <c r="E42" s="1184">
        <v>0.49834000000000001</v>
      </c>
      <c r="F42" s="1184">
        <v>0.49785400000000002</v>
      </c>
      <c r="G42" s="1184">
        <v>0.49785400000000002</v>
      </c>
      <c r="H42" s="1184">
        <v>0.49823200000000001</v>
      </c>
      <c r="I42" s="1184">
        <v>0.44175999999999999</v>
      </c>
      <c r="J42" s="1184">
        <v>0.385936</v>
      </c>
      <c r="K42" s="1184">
        <v>0.38666200000000001</v>
      </c>
      <c r="L42" s="1184">
        <v>0.38652999999999998</v>
      </c>
      <c r="M42" s="1184">
        <v>0.38851000000000002</v>
      </c>
      <c r="N42" s="1184">
        <v>0.38864199999999999</v>
      </c>
      <c r="O42" s="1184">
        <v>0.39751500000000001</v>
      </c>
      <c r="P42" s="1184">
        <v>0.39686500000000002</v>
      </c>
      <c r="Q42" s="1184">
        <v>0.39608500000000002</v>
      </c>
      <c r="R42" s="1184">
        <v>0.39530500000000002</v>
      </c>
      <c r="S42" s="1184">
        <v>0.39452500000000001</v>
      </c>
      <c r="T42" s="1184">
        <v>0.394395</v>
      </c>
      <c r="U42" s="1184">
        <v>0.39394000000000001</v>
      </c>
      <c r="V42" s="1184">
        <v>0.39340000000000003</v>
      </c>
      <c r="W42" s="1184">
        <v>0.3926</v>
      </c>
      <c r="X42" s="1184">
        <v>0.39300000000000002</v>
      </c>
      <c r="Y42" s="1184">
        <v>0.39329999999999998</v>
      </c>
      <c r="Z42" s="1184">
        <v>0.39309500000000003</v>
      </c>
      <c r="AA42" s="1184">
        <v>0.39277000000000001</v>
      </c>
      <c r="AB42" s="1184">
        <v>0.39300000000000002</v>
      </c>
      <c r="AC42" s="1184">
        <v>0.39257500000000001</v>
      </c>
      <c r="AD42" s="1184">
        <v>0.39251000000000003</v>
      </c>
      <c r="AE42" s="1184">
        <v>0.39095000000000002</v>
      </c>
      <c r="AF42" s="1184">
        <v>0.39205499999999999</v>
      </c>
      <c r="AG42" s="1184">
        <v>0.39185999999999999</v>
      </c>
      <c r="AH42" s="1184">
        <v>0.39134000000000002</v>
      </c>
      <c r="AI42" s="1184">
        <v>0.39134000000000002</v>
      </c>
      <c r="AJ42" s="1184">
        <v>0.39079999999999998</v>
      </c>
      <c r="AK42" s="1184">
        <v>0.39</v>
      </c>
      <c r="AL42" s="1184">
        <f>VLOOKUP($B42,TableF1a!$B$8:$R$42,AL$1,0)</f>
        <v>0.38923934000000004</v>
      </c>
      <c r="AM42" s="1184">
        <f>VLOOKUP($B42,TableF1a!$B$8:$R$42,AM$1,0)</f>
        <v>0.38923934000000004</v>
      </c>
      <c r="AN42" s="1164">
        <f>VLOOKUP($B42,TableF1a!$B$8:$R$42,AN$1,0)</f>
        <v>0.23923934000000002</v>
      </c>
      <c r="AO42" s="528"/>
      <c r="AP42" s="789">
        <f t="shared" si="1"/>
        <v>-4.1606599999999827E-3</v>
      </c>
    </row>
    <row r="43" spans="1:42" x14ac:dyDescent="0.2">
      <c r="B43" s="1154" t="s">
        <v>935</v>
      </c>
      <c r="C43" s="1183">
        <f>AVERAGEIF(C7:C42,"&gt;0")</f>
        <v>0.47522727123809522</v>
      </c>
      <c r="D43" s="1184">
        <f t="shared" ref="D43:AK43" si="2">AVERAGEIF(D7:D42,"&gt;0")</f>
        <v>0.48032727123809527</v>
      </c>
      <c r="E43" s="1184">
        <f t="shared" si="2"/>
        <v>0.48193917600000008</v>
      </c>
      <c r="F43" s="1184">
        <f t="shared" si="2"/>
        <v>0.47711977152380947</v>
      </c>
      <c r="G43" s="1184">
        <f t="shared" si="2"/>
        <v>0.48178643819047628</v>
      </c>
      <c r="H43" s="1184">
        <f t="shared" si="2"/>
        <v>0.47230817661904761</v>
      </c>
      <c r="I43" s="1184">
        <f t="shared" si="2"/>
        <v>0.46639219704761914</v>
      </c>
      <c r="J43" s="1184">
        <f t="shared" si="2"/>
        <v>0.44193253223809525</v>
      </c>
      <c r="K43" s="1184">
        <f t="shared" si="2"/>
        <v>0.4266148814545454</v>
      </c>
      <c r="L43" s="1184">
        <f t="shared" si="2"/>
        <v>0.41046738856521736</v>
      </c>
      <c r="M43" s="1184">
        <f t="shared" si="2"/>
        <v>0.39557044117391305</v>
      </c>
      <c r="N43" s="1184">
        <f t="shared" si="2"/>
        <v>0.38077113883333341</v>
      </c>
      <c r="O43" s="1184">
        <f t="shared" si="2"/>
        <v>0.3763000095384616</v>
      </c>
      <c r="P43" s="1184">
        <f t="shared" si="2"/>
        <v>0.37084123026923077</v>
      </c>
      <c r="Q43" s="1184">
        <f t="shared" si="2"/>
        <v>0.3664063221153846</v>
      </c>
      <c r="R43" s="1184">
        <f t="shared" si="2"/>
        <v>0.36631761930769235</v>
      </c>
      <c r="S43" s="1184">
        <f t="shared" si="2"/>
        <v>0.36618111730769232</v>
      </c>
      <c r="T43" s="1184">
        <f t="shared" si="2"/>
        <v>0.35608230176923072</v>
      </c>
      <c r="U43" s="1184">
        <f t="shared" si="2"/>
        <v>0.34762745734615386</v>
      </c>
      <c r="V43" s="1184">
        <f t="shared" si="2"/>
        <v>0.32588490691176464</v>
      </c>
      <c r="W43" s="1184">
        <f t="shared" si="2"/>
        <v>0.3164090035882352</v>
      </c>
      <c r="X43" s="1184">
        <f t="shared" si="2"/>
        <v>0.30549581402941178</v>
      </c>
      <c r="Y43" s="1184">
        <f t="shared" si="2"/>
        <v>0.29739588328571431</v>
      </c>
      <c r="Z43" s="1184">
        <f t="shared" si="2"/>
        <v>0.28820849680000005</v>
      </c>
      <c r="AA43" s="1184">
        <f t="shared" si="2"/>
        <v>0.27786783282857153</v>
      </c>
      <c r="AB43" s="1184">
        <f t="shared" si="2"/>
        <v>0.27156297568571447</v>
      </c>
      <c r="AC43" s="1184">
        <f t="shared" si="2"/>
        <v>0.26643462697142867</v>
      </c>
      <c r="AD43" s="1184">
        <f t="shared" si="2"/>
        <v>0.25660583937142861</v>
      </c>
      <c r="AE43" s="1184">
        <f t="shared" si="2"/>
        <v>0.25386126794285713</v>
      </c>
      <c r="AF43" s="1184">
        <f t="shared" si="2"/>
        <v>0.25341855365714283</v>
      </c>
      <c r="AG43" s="1184">
        <f t="shared" si="2"/>
        <v>0.25169583937142859</v>
      </c>
      <c r="AH43" s="1184">
        <f t="shared" si="2"/>
        <v>0.25110955365714288</v>
      </c>
      <c r="AI43" s="1184">
        <f t="shared" si="2"/>
        <v>0.25183930894285717</v>
      </c>
      <c r="AJ43" s="1184">
        <f t="shared" si="2"/>
        <v>0.25001142857142866</v>
      </c>
      <c r="AK43" s="1184">
        <f t="shared" si="2"/>
        <v>0.24702285714285724</v>
      </c>
      <c r="AL43" s="1184">
        <f t="shared" ref="AL43" si="3">AVERAGEIF(AL7:AL42,"&gt;0")</f>
        <v>0.24300969542857145</v>
      </c>
      <c r="AM43" s="1184">
        <f t="shared" ref="AM43" si="4">AVERAGEIF(AM7:AM42,"&gt;0")</f>
        <v>0.23664112400000004</v>
      </c>
      <c r="AN43" s="1164">
        <f t="shared" ref="AN43" si="5">AVERAGEIF(AN7:AN42,"&gt;0")</f>
        <v>0.23308398114285717</v>
      </c>
      <c r="AO43" s="528"/>
      <c r="AP43" s="789">
        <f t="shared" si="1"/>
        <v>-8.2875211483193184E-2</v>
      </c>
    </row>
    <row r="44" spans="1:42" ht="40" customHeight="1" thickBot="1" x14ac:dyDescent="0.25">
      <c r="B44" s="788" t="s">
        <v>916</v>
      </c>
      <c r="C44" s="283">
        <f>+C43*(SUM($Y$43:$AN$43)/SUM(TableF1a!$C$93:$R$93))</f>
        <v>0.48011815410961156</v>
      </c>
      <c r="D44" s="283">
        <f>+D43*(SUM($Y$43:$AN$43)/SUM(TableF1a!$C$93:$R$93))</f>
        <v>0.48527064163327532</v>
      </c>
      <c r="E44" s="283">
        <f>+E43*(SUM($Y$43:$AN$43)/SUM(TableF1a!$C$93:$R$93))</f>
        <v>0.4868991355891672</v>
      </c>
      <c r="F44" s="283">
        <f>+F43*(SUM($Y$43:$AN$43)/SUM(TableF1a!$C$93:$R$93))</f>
        <v>0.48203013138621403</v>
      </c>
      <c r="G44" s="283">
        <f>+G43*(SUM($Y$43:$AN$43)/SUM(TableF1a!$C$93:$R$93))</f>
        <v>0.48674482585231166</v>
      </c>
      <c r="H44" s="283">
        <f>+H43*(SUM($Y$43:$AN$43)/SUM(TableF1a!$C$93:$R$93))</f>
        <v>0.47716901712823184</v>
      </c>
      <c r="I44" s="283">
        <f>+I43*(SUM($Y$43:$AN$43)/SUM(TableF1a!$C$93:$R$93))</f>
        <v>0.47119215223959765</v>
      </c>
      <c r="J44" s="283">
        <f>+J43*(SUM($Y$43:$AN$43)/SUM(TableF1a!$C$93:$R$93))</f>
        <v>0.44648075659958447</v>
      </c>
      <c r="K44" s="283">
        <f>+K43*(SUM($Y$43:$AN$43)/SUM(TableF1a!$C$93:$R$93))</f>
        <v>0.43100546158898101</v>
      </c>
      <c r="L44" s="283">
        <f>+L43*(SUM($Y$43:$AN$43)/SUM(TableF1a!$C$93:$R$93))</f>
        <v>0.41469178401041029</v>
      </c>
      <c r="M44" s="283">
        <f>+M43*(SUM($Y$43:$AN$43)/SUM(TableF1a!$C$93:$R$93))</f>
        <v>0.3996415221330829</v>
      </c>
      <c r="N44" s="283">
        <f>+N43*(SUM($Y$43:$AN$43)/SUM(TableF1a!$C$93:$R$93))</f>
        <v>0.38468991023724697</v>
      </c>
      <c r="O44" s="283">
        <f>+O43*(SUM($Y$43:$AN$43)/SUM(TableF1a!$C$93:$R$93))</f>
        <v>0.38017276554930302</v>
      </c>
      <c r="P44" s="283">
        <f>+P43*(SUM($Y$43:$AN$43)/SUM(TableF1a!$C$93:$R$93))</f>
        <v>0.37465780631809797</v>
      </c>
      <c r="Q44" s="283">
        <f>+Q43*(SUM($Y$43:$AN$43)/SUM(TableF1a!$C$93:$R$93))</f>
        <v>0.37017725554725744</v>
      </c>
      <c r="R44" s="283">
        <f>+R43*(SUM($Y$43:$AN$43)/SUM(TableF1a!$C$93:$R$93))</f>
        <v>0.37008763983942444</v>
      </c>
      <c r="S44" s="283">
        <f>+S43*(SUM($Y$43:$AN$43)/SUM(TableF1a!$C$93:$R$93))</f>
        <v>0.36994973300570771</v>
      </c>
      <c r="T44" s="283">
        <f>+T43*(SUM($Y$43:$AN$43)/SUM(TableF1a!$C$93:$R$93))</f>
        <v>0.35974698377713826</v>
      </c>
      <c r="U44" s="283">
        <f>+U43*(SUM($Y$43:$AN$43)/SUM(TableF1a!$C$93:$R$93))</f>
        <v>0.35120512487431066</v>
      </c>
      <c r="V44" s="283">
        <f>+V43*(SUM($Y$43:$AN$43)/SUM(TableF1a!$C$93:$R$93))</f>
        <v>0.32923880725748345</v>
      </c>
      <c r="W44" s="283">
        <f>+W43*(SUM($Y$43:$AN$43)/SUM(TableF1a!$C$93:$R$93))</f>
        <v>0.31966538105161507</v>
      </c>
      <c r="X44" s="283">
        <f>+X43*(SUM($Y$43:$AN$43)/SUM(TableF1a!$C$93:$R$93))</f>
        <v>0.30863987653294561</v>
      </c>
      <c r="Y44" s="283">
        <f>+TableF1a!C93</f>
        <v>0.29420000000000002</v>
      </c>
      <c r="Z44" s="283">
        <f>+TableF1a!D93</f>
        <v>0.28949999999999998</v>
      </c>
      <c r="AA44" s="283">
        <f>+TableF1a!E93</f>
        <v>0.28000000000000003</v>
      </c>
      <c r="AB44" s="283">
        <f>+TableF1a!F93</f>
        <v>0.27550000000000002</v>
      </c>
      <c r="AC44" s="283">
        <f>+TableF1a!G93</f>
        <v>0.26960000000000001</v>
      </c>
      <c r="AD44" s="283">
        <f>+TableF1a!H93</f>
        <v>0.25659999999999999</v>
      </c>
      <c r="AE44" s="283">
        <f>+TableF1a!I93</f>
        <v>0.25319999999999998</v>
      </c>
      <c r="AF44" s="283">
        <f>+TableF1a!J93</f>
        <v>0.2465</v>
      </c>
      <c r="AG44" s="283">
        <f>+TableF1a!K93</f>
        <v>0.2452</v>
      </c>
      <c r="AH44" s="283">
        <f>+TableF1a!L93</f>
        <v>0.24379999999999999</v>
      </c>
      <c r="AI44" s="283">
        <f>+TableF1a!M93</f>
        <v>0.24149999999999999</v>
      </c>
      <c r="AJ44" s="283">
        <f>+TableF1a!N93</f>
        <v>0.23850000000000002</v>
      </c>
      <c r="AK44" s="283">
        <f>+TableF1a!O93</f>
        <v>0.23739999999999997</v>
      </c>
      <c r="AL44" s="283">
        <f>+TableF1a!P93</f>
        <v>0.23579999999999998</v>
      </c>
      <c r="AM44" s="787">
        <f>+TableF1a!Q93</f>
        <v>0.2404</v>
      </c>
      <c r="AN44" s="668">
        <f>+TableF1a!R93</f>
        <v>0.24</v>
      </c>
      <c r="AO44" s="528"/>
      <c r="AP44" s="789">
        <f t="shared" si="1"/>
        <v>-9.3438807257483464E-2</v>
      </c>
    </row>
    <row r="45" spans="1:42" ht="17" thickTop="1" x14ac:dyDescent="0.2">
      <c r="B45" s="1714"/>
      <c r="C45" s="1715"/>
      <c r="D45" s="1715"/>
      <c r="E45" s="1715"/>
      <c r="F45" s="1715"/>
      <c r="G45" s="1715"/>
      <c r="H45" s="1715"/>
      <c r="I45" s="1715"/>
      <c r="J45" s="1715"/>
      <c r="K45" s="1715"/>
      <c r="L45" s="1715"/>
      <c r="M45" s="1715"/>
      <c r="N45" s="1715"/>
      <c r="O45" s="1202"/>
      <c r="P45" s="1715"/>
      <c r="Q45" s="1715"/>
      <c r="R45" s="1715"/>
      <c r="S45" s="1715"/>
      <c r="T45" s="1715"/>
      <c r="U45" s="1715"/>
      <c r="V45" s="1715"/>
      <c r="W45" s="1715"/>
      <c r="X45" s="1715"/>
      <c r="Y45" s="1715"/>
      <c r="Z45" s="1715"/>
      <c r="AA45" s="1715"/>
      <c r="AB45" s="1202"/>
      <c r="AC45" s="528"/>
      <c r="AD45" s="528"/>
      <c r="AE45" s="528"/>
      <c r="AF45" s="528"/>
      <c r="AG45" s="528"/>
      <c r="AH45" s="528"/>
      <c r="AI45" s="528"/>
      <c r="AJ45" s="528"/>
      <c r="AK45" s="528"/>
      <c r="AL45" s="528"/>
      <c r="AM45" s="528"/>
      <c r="AN45" s="528"/>
      <c r="AO45" s="528"/>
    </row>
    <row r="46" spans="1:42" x14ac:dyDescent="0.2">
      <c r="B46" s="790" t="s">
        <v>65</v>
      </c>
      <c r="C46" s="1715"/>
      <c r="D46" s="1715"/>
      <c r="E46" s="1715"/>
      <c r="F46" s="1715"/>
      <c r="G46" s="1715"/>
      <c r="H46" s="1715"/>
      <c r="I46" s="1715"/>
      <c r="J46" s="1715"/>
      <c r="K46" s="1715"/>
      <c r="L46" s="1715"/>
      <c r="M46" s="1715"/>
      <c r="N46" s="1715"/>
      <c r="O46" s="1202"/>
      <c r="P46" s="1715"/>
      <c r="Q46" s="1715"/>
      <c r="R46" s="1715"/>
      <c r="S46" s="1715"/>
      <c r="T46" s="1715"/>
      <c r="U46" s="1715"/>
      <c r="V46" s="789">
        <v>0.37</v>
      </c>
      <c r="W46" s="789">
        <v>0.35</v>
      </c>
      <c r="X46" s="789">
        <v>0.34</v>
      </c>
      <c r="Y46" s="789">
        <v>0.34</v>
      </c>
      <c r="Z46" s="789">
        <v>0.34</v>
      </c>
      <c r="AA46" s="789">
        <v>0.34</v>
      </c>
      <c r="AB46" s="789">
        <v>0.34</v>
      </c>
      <c r="AC46" s="789">
        <v>0.34</v>
      </c>
      <c r="AD46" s="789">
        <v>0.34</v>
      </c>
      <c r="AE46" s="789">
        <v>0.34</v>
      </c>
      <c r="AF46" s="789">
        <v>0.34</v>
      </c>
      <c r="AG46" s="789">
        <v>0.34</v>
      </c>
      <c r="AH46" s="789">
        <v>0.34</v>
      </c>
      <c r="AI46" s="789">
        <v>0.34</v>
      </c>
      <c r="AJ46" s="789">
        <v>0.34</v>
      </c>
      <c r="AK46" s="789">
        <v>0.34</v>
      </c>
      <c r="AL46" s="789">
        <v>0.34</v>
      </c>
      <c r="AM46" s="789">
        <v>0.34</v>
      </c>
      <c r="AN46" s="789">
        <v>0.34</v>
      </c>
      <c r="AO46" s="528"/>
    </row>
    <row r="47" spans="1:42" x14ac:dyDescent="0.2">
      <c r="B47" s="790" t="s">
        <v>66</v>
      </c>
      <c r="C47" s="1715"/>
      <c r="D47" s="1715"/>
      <c r="E47" s="1715"/>
      <c r="F47" s="1715"/>
      <c r="G47" s="1715"/>
      <c r="H47" s="1715"/>
      <c r="I47" s="1715"/>
      <c r="J47" s="1715"/>
      <c r="K47" s="1715"/>
      <c r="L47" s="1715"/>
      <c r="M47" s="1715"/>
      <c r="N47" s="1715"/>
      <c r="O47" s="1202"/>
      <c r="P47" s="1715"/>
      <c r="Q47" s="1715"/>
      <c r="R47" s="1715"/>
      <c r="S47" s="1715"/>
      <c r="T47" s="1715"/>
      <c r="U47" s="1715"/>
      <c r="V47" s="789">
        <v>0.33</v>
      </c>
      <c r="W47" s="789">
        <v>0.33</v>
      </c>
      <c r="X47" s="789">
        <v>0.33</v>
      </c>
      <c r="Y47" s="789">
        <v>0.33</v>
      </c>
      <c r="Z47" s="789">
        <v>0.33</v>
      </c>
      <c r="AA47" s="789">
        <v>0.33</v>
      </c>
      <c r="AB47" s="789">
        <v>0.33</v>
      </c>
      <c r="AC47" s="789">
        <v>0.33</v>
      </c>
      <c r="AD47" s="789">
        <v>0.25</v>
      </c>
      <c r="AE47" s="789">
        <v>0.25</v>
      </c>
      <c r="AF47" s="789">
        <v>0.25</v>
      </c>
      <c r="AG47" s="789">
        <v>0.25</v>
      </c>
      <c r="AH47" s="789">
        <v>0.25</v>
      </c>
      <c r="AI47" s="789">
        <v>0.25</v>
      </c>
      <c r="AJ47" s="789">
        <v>0.25</v>
      </c>
      <c r="AK47" s="789">
        <v>0.25</v>
      </c>
      <c r="AL47" s="789">
        <v>0.25</v>
      </c>
      <c r="AM47" s="789">
        <v>0.25</v>
      </c>
      <c r="AN47" s="789">
        <v>0.25</v>
      </c>
      <c r="AO47" s="528"/>
    </row>
    <row r="48" spans="1:42" x14ac:dyDescent="0.2">
      <c r="B48" s="790" t="s">
        <v>936</v>
      </c>
      <c r="C48" s="1715"/>
      <c r="D48" s="1715"/>
      <c r="E48" s="1715"/>
      <c r="F48" s="1715"/>
      <c r="G48" s="1715"/>
      <c r="H48" s="1715"/>
      <c r="I48" s="1715"/>
      <c r="J48" s="1715"/>
      <c r="K48" s="1715"/>
      <c r="L48" s="1715"/>
      <c r="M48" s="1715"/>
      <c r="N48" s="1715"/>
      <c r="O48" s="1202"/>
      <c r="P48" s="1715"/>
      <c r="Q48" s="1715"/>
      <c r="R48" s="1715"/>
      <c r="S48" s="1715"/>
      <c r="T48" s="1715"/>
      <c r="U48" s="1715"/>
      <c r="V48" s="1643">
        <f t="shared" ref="V48:AN48" si="6">(V8+V11+V17+V18+V25+V29+V41+V30)/8</f>
        <v>0.38386649374999998</v>
      </c>
      <c r="W48" s="1643">
        <f t="shared" si="6"/>
        <v>0.3583515625</v>
      </c>
      <c r="X48" s="1643">
        <f t="shared" si="6"/>
        <v>0.35340051862499999</v>
      </c>
      <c r="Y48" s="1643">
        <f t="shared" si="6"/>
        <v>0.35110720949999996</v>
      </c>
      <c r="Z48" s="1643">
        <f t="shared" si="6"/>
        <v>0.34468801862499998</v>
      </c>
      <c r="AA48" s="1643">
        <f t="shared" si="6"/>
        <v>0.33633801862499996</v>
      </c>
      <c r="AB48" s="1643">
        <f t="shared" si="6"/>
        <v>0.33175051862499993</v>
      </c>
      <c r="AC48" s="1643">
        <f t="shared" si="6"/>
        <v>0.32540051862499997</v>
      </c>
      <c r="AD48" s="1643">
        <f t="shared" si="6"/>
        <v>0.30884374999999997</v>
      </c>
      <c r="AE48" s="1643">
        <f t="shared" si="6"/>
        <v>0.30833124999999995</v>
      </c>
      <c r="AF48" s="1643">
        <f t="shared" si="6"/>
        <v>0.30875624999999995</v>
      </c>
      <c r="AG48" s="1643">
        <f t="shared" si="6"/>
        <v>0.30348125000000004</v>
      </c>
      <c r="AH48" s="1643">
        <f t="shared" si="6"/>
        <v>0.29910625000000002</v>
      </c>
      <c r="AI48" s="1643">
        <f t="shared" si="6"/>
        <v>0.29468125000000001</v>
      </c>
      <c r="AJ48" s="1643">
        <f t="shared" si="6"/>
        <v>0.29237500000000005</v>
      </c>
      <c r="AK48" s="1643">
        <f t="shared" si="6"/>
        <v>0.28502500000000003</v>
      </c>
      <c r="AL48" s="1643">
        <f t="shared" si="6"/>
        <v>0.281725</v>
      </c>
      <c r="AM48" s="1643">
        <f t="shared" si="6"/>
        <v>0.28059999999999996</v>
      </c>
      <c r="AN48" s="1643">
        <f t="shared" si="6"/>
        <v>0.28044999999999998</v>
      </c>
      <c r="AO48" s="528"/>
    </row>
    <row r="49" spans="2:41" x14ac:dyDescent="0.2">
      <c r="B49" s="790" t="s">
        <v>937</v>
      </c>
      <c r="C49" s="1715"/>
      <c r="D49" s="1715"/>
      <c r="E49" s="1715"/>
      <c r="F49" s="1715"/>
      <c r="G49" s="1715"/>
      <c r="H49" s="1715"/>
      <c r="I49" s="1715"/>
      <c r="J49" s="1715"/>
      <c r="K49" s="1715"/>
      <c r="L49" s="1715"/>
      <c r="M49" s="1715"/>
      <c r="N49" s="1715"/>
      <c r="O49" s="1202"/>
      <c r="P49" s="1715"/>
      <c r="Q49" s="1715"/>
      <c r="R49" s="1715"/>
      <c r="S49" s="1715"/>
      <c r="T49" s="1715"/>
      <c r="U49" s="1715"/>
      <c r="V49" s="1643">
        <f>(V8+V11+V17+V18+V25+V29+V41+V30+V46+V47)/10</f>
        <v>0.37709319499999999</v>
      </c>
      <c r="W49" s="1643">
        <f t="shared" ref="W49:AN49" si="7">(W8+W11+W17+W18+W25+W29+W41+W30+W46+W47)/10</f>
        <v>0.35468125</v>
      </c>
      <c r="X49" s="1643">
        <f t="shared" si="7"/>
        <v>0.3497204149</v>
      </c>
      <c r="Y49" s="1643">
        <f t="shared" si="7"/>
        <v>0.34788576759999995</v>
      </c>
      <c r="Z49" s="1643">
        <f t="shared" si="7"/>
        <v>0.34275041489999997</v>
      </c>
      <c r="AA49" s="1643">
        <f t="shared" si="7"/>
        <v>0.33607041489999995</v>
      </c>
      <c r="AB49" s="1643">
        <f t="shared" si="7"/>
        <v>0.33240041489999994</v>
      </c>
      <c r="AC49" s="1643">
        <f t="shared" si="7"/>
        <v>0.32732041489999997</v>
      </c>
      <c r="AD49" s="1643">
        <f t="shared" si="7"/>
        <v>0.30607499999999999</v>
      </c>
      <c r="AE49" s="1643">
        <f t="shared" si="7"/>
        <v>0.30566499999999996</v>
      </c>
      <c r="AF49" s="1643">
        <f t="shared" si="7"/>
        <v>0.30600499999999997</v>
      </c>
      <c r="AG49" s="1643">
        <f t="shared" si="7"/>
        <v>0.30178500000000003</v>
      </c>
      <c r="AH49" s="1643">
        <f t="shared" si="7"/>
        <v>0.29828500000000002</v>
      </c>
      <c r="AI49" s="1643">
        <f t="shared" si="7"/>
        <v>0.29474499999999998</v>
      </c>
      <c r="AJ49" s="1643">
        <f t="shared" si="7"/>
        <v>0.29290000000000005</v>
      </c>
      <c r="AK49" s="1643">
        <f t="shared" si="7"/>
        <v>0.28702</v>
      </c>
      <c r="AL49" s="1643">
        <f t="shared" si="7"/>
        <v>0.28437999999999997</v>
      </c>
      <c r="AM49" s="1643">
        <f t="shared" si="7"/>
        <v>0.28347999999999995</v>
      </c>
      <c r="AN49" s="1643">
        <f t="shared" si="7"/>
        <v>0.28335999999999995</v>
      </c>
      <c r="AO49" s="528"/>
    </row>
    <row r="50" spans="2:41" x14ac:dyDescent="0.2">
      <c r="B50" s="1838"/>
      <c r="C50" s="1715"/>
      <c r="D50" s="1715"/>
      <c r="E50" s="1715"/>
      <c r="F50" s="1715"/>
      <c r="G50" s="1715"/>
      <c r="H50" s="1715"/>
      <c r="I50" s="1715"/>
      <c r="J50" s="1715"/>
      <c r="K50" s="1715"/>
      <c r="L50" s="1715"/>
      <c r="M50" s="1715"/>
      <c r="N50" s="1715"/>
      <c r="O50" s="1202"/>
      <c r="P50" s="1715"/>
      <c r="Q50" s="1715"/>
      <c r="R50" s="1715"/>
      <c r="S50" s="1715"/>
      <c r="T50" s="1715"/>
      <c r="U50" s="1715"/>
      <c r="V50" s="1715"/>
      <c r="W50" s="1715"/>
      <c r="X50" s="1715"/>
      <c r="Y50" s="1715"/>
      <c r="Z50" s="1715"/>
      <c r="AA50" s="1715"/>
      <c r="AB50" s="1202"/>
      <c r="AC50" s="528"/>
      <c r="AD50" s="528"/>
      <c r="AE50" s="528"/>
      <c r="AF50" s="528"/>
      <c r="AG50" s="528"/>
      <c r="AH50" s="528"/>
      <c r="AI50" s="528"/>
      <c r="AJ50" s="528"/>
      <c r="AK50" s="528"/>
      <c r="AL50" s="528"/>
      <c r="AM50" s="528"/>
      <c r="AN50" s="528"/>
      <c r="AO50" s="528"/>
    </row>
    <row r="51" spans="2:41" x14ac:dyDescent="0.2">
      <c r="B51" s="1031"/>
      <c r="C51" s="1715"/>
      <c r="D51" s="1715"/>
      <c r="E51" s="1715"/>
      <c r="F51" s="1715"/>
      <c r="G51" s="1715"/>
      <c r="H51" s="1715"/>
      <c r="I51" s="1715"/>
      <c r="J51" s="1715"/>
      <c r="K51" s="1715"/>
      <c r="L51" s="1715"/>
      <c r="M51" s="1715"/>
      <c r="N51" s="1715"/>
      <c r="O51" s="1202"/>
      <c r="P51" s="1715"/>
      <c r="Q51" s="1715"/>
      <c r="R51" s="1715"/>
      <c r="S51" s="1715"/>
      <c r="T51" s="1715"/>
      <c r="U51" s="1715"/>
      <c r="V51" s="1715"/>
      <c r="W51" s="1715"/>
      <c r="X51" s="1715"/>
      <c r="Y51" s="1715"/>
      <c r="Z51" s="1715"/>
      <c r="AA51" s="1715"/>
      <c r="AB51" s="1202"/>
      <c r="AC51" s="528"/>
      <c r="AD51" s="528"/>
      <c r="AE51" s="528"/>
      <c r="AF51" s="528"/>
      <c r="AG51" s="528"/>
      <c r="AH51" s="528"/>
      <c r="AI51" s="528"/>
      <c r="AJ51" s="528"/>
      <c r="AK51" s="528"/>
      <c r="AL51" s="528"/>
      <c r="AM51" s="528"/>
      <c r="AN51" s="528"/>
      <c r="AO51" s="528"/>
    </row>
    <row r="52" spans="2:41" x14ac:dyDescent="0.2">
      <c r="B52" s="1031"/>
      <c r="C52" s="1715"/>
      <c r="D52" s="1715"/>
      <c r="E52" s="1715"/>
      <c r="F52" s="1715"/>
      <c r="G52" s="1715"/>
      <c r="H52" s="1715"/>
      <c r="I52" s="1715"/>
      <c r="J52" s="1715"/>
      <c r="K52" s="1715"/>
      <c r="L52" s="1715"/>
      <c r="M52" s="1715"/>
      <c r="N52" s="1715"/>
      <c r="O52" s="1202"/>
      <c r="P52" s="1715"/>
      <c r="Q52" s="1715"/>
      <c r="R52" s="1715"/>
      <c r="S52" s="1715"/>
      <c r="T52" s="1715"/>
      <c r="U52" s="1715"/>
      <c r="V52" s="1715"/>
      <c r="W52" s="1715"/>
      <c r="X52" s="1715"/>
      <c r="Y52" s="1715"/>
      <c r="Z52" s="1715"/>
      <c r="AA52" s="1715"/>
      <c r="AB52" s="1202"/>
      <c r="AC52" s="528"/>
      <c r="AD52" s="528"/>
      <c r="AE52" s="528"/>
      <c r="AF52" s="528"/>
      <c r="AG52" s="528"/>
      <c r="AH52" s="528"/>
      <c r="AI52" s="528"/>
      <c r="AJ52" s="528"/>
      <c r="AK52" s="528"/>
      <c r="AL52" s="528"/>
      <c r="AM52" s="528"/>
      <c r="AN52" s="528"/>
      <c r="AO52" s="528"/>
    </row>
    <row r="53" spans="2:41" x14ac:dyDescent="0.2">
      <c r="B53" s="1031"/>
      <c r="C53" s="1715"/>
      <c r="D53" s="1715"/>
      <c r="E53" s="1715"/>
      <c r="F53" s="1715"/>
      <c r="G53" s="1715"/>
      <c r="H53" s="1715"/>
      <c r="I53" s="1715"/>
      <c r="J53" s="1715"/>
      <c r="K53" s="1715"/>
      <c r="L53" s="1715"/>
      <c r="M53" s="1715"/>
      <c r="N53" s="1715"/>
      <c r="O53" s="1202"/>
      <c r="P53" s="1715"/>
      <c r="Q53" s="1715"/>
      <c r="R53" s="1715"/>
      <c r="S53" s="1715"/>
      <c r="T53" s="1715"/>
      <c r="U53" s="1715"/>
      <c r="V53" s="1715"/>
      <c r="W53" s="1715"/>
      <c r="X53" s="1715"/>
      <c r="Y53" s="1715"/>
      <c r="Z53" s="1715"/>
      <c r="AA53" s="1715"/>
      <c r="AB53" s="1202"/>
      <c r="AC53" s="528"/>
      <c r="AD53" s="528"/>
      <c r="AE53" s="528"/>
      <c r="AF53" s="528"/>
      <c r="AG53" s="528"/>
      <c r="AH53" s="528"/>
      <c r="AI53" s="528"/>
      <c r="AJ53" s="528"/>
      <c r="AK53" s="528"/>
      <c r="AL53" s="528"/>
      <c r="AM53" s="528"/>
      <c r="AN53" s="528"/>
      <c r="AO53" s="528"/>
    </row>
    <row r="54" spans="2:41" x14ac:dyDescent="0.2">
      <c r="B54" s="1031"/>
      <c r="C54" s="1715"/>
      <c r="D54" s="1715"/>
      <c r="E54" s="1715"/>
      <c r="F54" s="1715"/>
      <c r="G54" s="1715"/>
      <c r="H54" s="1715"/>
      <c r="I54" s="1715"/>
      <c r="J54" s="1715"/>
      <c r="K54" s="1715"/>
      <c r="L54" s="1715"/>
      <c r="M54" s="1715"/>
      <c r="N54" s="1715"/>
      <c r="O54" s="1202"/>
      <c r="P54" s="1715"/>
      <c r="Q54" s="1715"/>
      <c r="R54" s="1715"/>
      <c r="S54" s="1715"/>
      <c r="T54" s="1715"/>
      <c r="U54" s="1715"/>
      <c r="V54" s="1715"/>
      <c r="W54" s="1715"/>
      <c r="X54" s="1715"/>
      <c r="Y54" s="1715"/>
      <c r="Z54" s="1715"/>
      <c r="AA54" s="1715"/>
      <c r="AB54" s="1202"/>
      <c r="AC54" s="528"/>
      <c r="AD54" s="528"/>
      <c r="AE54" s="528"/>
      <c r="AF54" s="528"/>
      <c r="AG54" s="528"/>
      <c r="AH54" s="528"/>
      <c r="AI54" s="528"/>
      <c r="AJ54" s="528"/>
      <c r="AK54" s="528"/>
      <c r="AL54" s="528"/>
      <c r="AM54" s="528"/>
      <c r="AN54" s="528"/>
      <c r="AO54" s="528"/>
    </row>
    <row r="55" spans="2:41" x14ac:dyDescent="0.2">
      <c r="B55" s="1031"/>
      <c r="C55" s="1715"/>
      <c r="D55" s="1715"/>
      <c r="E55" s="1715"/>
      <c r="F55" s="1715"/>
      <c r="G55" s="1715"/>
      <c r="H55" s="1715"/>
      <c r="I55" s="1715"/>
      <c r="J55" s="1715"/>
      <c r="K55" s="1715"/>
      <c r="L55" s="1715"/>
      <c r="M55" s="1715"/>
      <c r="N55" s="1715"/>
      <c r="O55" s="1202"/>
      <c r="P55" s="1715"/>
      <c r="Q55" s="1715"/>
      <c r="R55" s="1715"/>
      <c r="S55" s="1715"/>
      <c r="T55" s="1715"/>
      <c r="U55" s="1715"/>
      <c r="V55" s="1715"/>
      <c r="W55" s="1715"/>
      <c r="X55" s="1715"/>
      <c r="Y55" s="1715"/>
      <c r="Z55" s="1715"/>
      <c r="AA55" s="1715"/>
      <c r="AB55" s="1202"/>
      <c r="AC55" s="528"/>
      <c r="AD55" s="528"/>
      <c r="AE55" s="528"/>
      <c r="AF55" s="528"/>
      <c r="AG55" s="528"/>
      <c r="AH55" s="528"/>
      <c r="AI55" s="528"/>
      <c r="AJ55" s="528"/>
      <c r="AK55" s="528"/>
      <c r="AL55" s="528"/>
      <c r="AM55" s="528"/>
      <c r="AN55" s="528"/>
      <c r="AO55" s="528"/>
    </row>
    <row r="56" spans="2:41" x14ac:dyDescent="0.2">
      <c r="B56" s="1031"/>
      <c r="C56" s="1715"/>
      <c r="D56" s="1715"/>
      <c r="E56" s="1715"/>
      <c r="F56" s="1715"/>
      <c r="G56" s="1715"/>
      <c r="H56" s="1715"/>
      <c r="I56" s="1715"/>
      <c r="J56" s="1715"/>
      <c r="K56" s="1715"/>
      <c r="L56" s="1715"/>
      <c r="M56" s="1715"/>
      <c r="N56" s="1715"/>
      <c r="O56" s="1202"/>
      <c r="P56" s="1715"/>
      <c r="Q56" s="1715"/>
      <c r="R56" s="1715"/>
      <c r="S56" s="1715"/>
      <c r="T56" s="1715"/>
      <c r="U56" s="1715"/>
      <c r="V56" s="1715"/>
      <c r="W56" s="1715"/>
      <c r="X56" s="1715"/>
      <c r="Y56" s="1715"/>
      <c r="Z56" s="1715"/>
      <c r="AA56" s="1715"/>
      <c r="AB56" s="1202"/>
      <c r="AC56" s="528"/>
      <c r="AD56" s="528"/>
      <c r="AE56" s="528"/>
      <c r="AF56" s="528"/>
      <c r="AG56" s="528"/>
      <c r="AH56" s="528"/>
      <c r="AI56" s="528"/>
      <c r="AJ56" s="528"/>
      <c r="AK56" s="528"/>
      <c r="AL56" s="528"/>
      <c r="AM56" s="528"/>
      <c r="AN56" s="528"/>
      <c r="AO56" s="528"/>
    </row>
    <row r="57" spans="2:41" x14ac:dyDescent="0.2">
      <c r="B57" s="1031"/>
      <c r="C57" s="1715"/>
      <c r="D57" s="1715"/>
      <c r="E57" s="1715"/>
      <c r="F57" s="1715"/>
      <c r="G57" s="1715"/>
      <c r="H57" s="1715"/>
      <c r="I57" s="1715"/>
      <c r="J57" s="1715"/>
      <c r="K57" s="1715"/>
      <c r="L57" s="1715"/>
      <c r="M57" s="1715"/>
      <c r="N57" s="1715"/>
      <c r="O57" s="1202"/>
      <c r="P57" s="1715"/>
      <c r="Q57" s="1715"/>
      <c r="R57" s="1715"/>
      <c r="S57" s="1715"/>
      <c r="T57" s="1715"/>
      <c r="U57" s="1715"/>
      <c r="V57" s="1715"/>
      <c r="W57" s="1715"/>
      <c r="X57" s="1715"/>
      <c r="Y57" s="1715"/>
      <c r="Z57" s="1715"/>
      <c r="AA57" s="1715"/>
      <c r="AB57" s="1202"/>
      <c r="AC57" s="528"/>
      <c r="AD57" s="528"/>
      <c r="AE57" s="528"/>
      <c r="AF57" s="528"/>
      <c r="AG57" s="528"/>
      <c r="AH57" s="528"/>
      <c r="AI57" s="528"/>
      <c r="AJ57" s="528"/>
      <c r="AK57" s="528"/>
      <c r="AL57" s="528"/>
      <c r="AM57" s="528"/>
      <c r="AN57" s="528"/>
      <c r="AO57" s="528"/>
    </row>
    <row r="58" spans="2:41" x14ac:dyDescent="0.2">
      <c r="B58" s="1031"/>
      <c r="C58" s="1715"/>
      <c r="D58" s="1715"/>
      <c r="E58" s="1715"/>
      <c r="F58" s="1715"/>
      <c r="G58" s="1715"/>
      <c r="H58" s="1715"/>
      <c r="I58" s="1715"/>
      <c r="J58" s="1715"/>
      <c r="K58" s="1715"/>
      <c r="L58" s="1715"/>
      <c r="M58" s="1715"/>
      <c r="N58" s="1715"/>
      <c r="O58" s="1202"/>
      <c r="P58" s="1715"/>
      <c r="Q58" s="1715"/>
      <c r="R58" s="1715"/>
      <c r="S58" s="1715"/>
      <c r="T58" s="1715"/>
      <c r="U58" s="1715"/>
      <c r="V58" s="1715"/>
      <c r="W58" s="1715"/>
      <c r="X58" s="1715"/>
      <c r="Y58" s="1715"/>
      <c r="Z58" s="1715"/>
      <c r="AA58" s="1715"/>
      <c r="AB58" s="1202"/>
      <c r="AC58" s="528"/>
      <c r="AD58" s="528"/>
      <c r="AE58" s="528"/>
      <c r="AF58" s="528"/>
      <c r="AG58" s="528"/>
      <c r="AH58" s="528"/>
      <c r="AI58" s="528"/>
      <c r="AJ58" s="528"/>
      <c r="AK58" s="528"/>
      <c r="AL58" s="528"/>
      <c r="AM58" s="528"/>
      <c r="AN58" s="528"/>
      <c r="AO58" s="528"/>
    </row>
    <row r="59" spans="2:41" x14ac:dyDescent="0.2">
      <c r="B59" s="1031"/>
      <c r="C59" s="1715"/>
      <c r="D59" s="1715"/>
      <c r="E59" s="1715"/>
      <c r="F59" s="1715"/>
      <c r="G59" s="1715"/>
      <c r="H59" s="1715"/>
      <c r="I59" s="1715"/>
      <c r="J59" s="1715"/>
      <c r="K59" s="1715"/>
      <c r="L59" s="1715"/>
      <c r="M59" s="1715"/>
      <c r="N59" s="1715"/>
      <c r="O59" s="1202"/>
      <c r="P59" s="1715"/>
      <c r="Q59" s="1715"/>
      <c r="R59" s="1715"/>
      <c r="S59" s="1715"/>
      <c r="T59" s="1715"/>
      <c r="U59" s="1715"/>
      <c r="V59" s="1715"/>
      <c r="W59" s="1715"/>
      <c r="X59" s="1715"/>
      <c r="Y59" s="1715"/>
      <c r="Z59" s="1715"/>
      <c r="AA59" s="1715"/>
      <c r="AB59" s="1202"/>
      <c r="AC59" s="528"/>
      <c r="AD59" s="528"/>
      <c r="AE59" s="528"/>
      <c r="AF59" s="528"/>
      <c r="AG59" s="528"/>
      <c r="AH59" s="528"/>
      <c r="AI59" s="528"/>
      <c r="AJ59" s="528"/>
      <c r="AK59" s="528"/>
      <c r="AL59" s="528"/>
      <c r="AM59" s="528"/>
      <c r="AN59" s="528"/>
      <c r="AO59" s="528"/>
    </row>
    <row r="60" spans="2:41" x14ac:dyDescent="0.2">
      <c r="B60" s="1031"/>
      <c r="C60" s="1715"/>
      <c r="D60" s="1715"/>
      <c r="E60" s="1715"/>
      <c r="F60" s="1715"/>
      <c r="G60" s="1715"/>
      <c r="H60" s="1715"/>
      <c r="I60" s="1715"/>
      <c r="J60" s="1715"/>
      <c r="K60" s="1715"/>
      <c r="L60" s="1715"/>
      <c r="M60" s="1715"/>
      <c r="N60" s="1715"/>
      <c r="O60" s="1202"/>
      <c r="P60" s="1715"/>
      <c r="Q60" s="1715"/>
      <c r="R60" s="1715"/>
      <c r="S60" s="1715"/>
      <c r="T60" s="1715"/>
      <c r="U60" s="1715"/>
      <c r="V60" s="1715"/>
      <c r="W60" s="1715"/>
      <c r="X60" s="1715"/>
      <c r="Y60" s="1715"/>
      <c r="Z60" s="1715"/>
      <c r="AA60" s="1715"/>
      <c r="AB60" s="1202"/>
      <c r="AC60" s="528"/>
      <c r="AD60" s="528"/>
      <c r="AE60" s="528"/>
      <c r="AF60" s="528"/>
      <c r="AG60" s="528"/>
      <c r="AH60" s="528"/>
      <c r="AI60" s="528"/>
      <c r="AJ60" s="528"/>
      <c r="AK60" s="528"/>
      <c r="AL60" s="528"/>
      <c r="AM60" s="528"/>
      <c r="AN60" s="528"/>
      <c r="AO60" s="528"/>
    </row>
    <row r="61" spans="2:41" x14ac:dyDescent="0.2">
      <c r="B61" s="1031"/>
      <c r="C61" s="1715"/>
      <c r="D61" s="1715"/>
      <c r="E61" s="1715"/>
      <c r="F61" s="1715"/>
      <c r="G61" s="1715"/>
      <c r="H61" s="1715"/>
      <c r="I61" s="1715"/>
      <c r="J61" s="1715"/>
      <c r="K61" s="1715"/>
      <c r="L61" s="1715"/>
      <c r="M61" s="1715"/>
      <c r="N61" s="1715"/>
      <c r="O61" s="1202"/>
      <c r="P61" s="1715"/>
      <c r="Q61" s="1715"/>
      <c r="R61" s="1715"/>
      <c r="S61" s="1715"/>
      <c r="T61" s="1715"/>
      <c r="U61" s="1715"/>
      <c r="V61" s="1715"/>
      <c r="W61" s="1715"/>
      <c r="X61" s="1715"/>
      <c r="Y61" s="1715"/>
      <c r="Z61" s="1715"/>
      <c r="AA61" s="1715"/>
      <c r="AB61" s="1202"/>
      <c r="AC61" s="528"/>
      <c r="AD61" s="528"/>
      <c r="AE61" s="528"/>
      <c r="AF61" s="528"/>
      <c r="AG61" s="528"/>
      <c r="AH61" s="528"/>
      <c r="AI61" s="528"/>
      <c r="AJ61" s="528"/>
      <c r="AK61" s="528"/>
      <c r="AL61" s="528"/>
      <c r="AM61" s="528"/>
      <c r="AN61" s="528"/>
      <c r="AO61" s="528"/>
    </row>
    <row r="62" spans="2:41" x14ac:dyDescent="0.2">
      <c r="B62" s="433"/>
      <c r="C62" s="1715"/>
      <c r="D62" s="1715"/>
      <c r="E62" s="1715"/>
      <c r="F62" s="1715"/>
      <c r="G62" s="1715"/>
      <c r="H62" s="1715"/>
      <c r="I62" s="1715"/>
      <c r="J62" s="1715"/>
      <c r="K62" s="1715"/>
      <c r="L62" s="1715"/>
      <c r="M62" s="1715"/>
      <c r="N62" s="1715"/>
      <c r="O62" s="1202"/>
      <c r="P62" s="1715"/>
      <c r="Q62" s="1715"/>
      <c r="R62" s="1715"/>
      <c r="S62" s="1715"/>
      <c r="T62" s="1715"/>
      <c r="U62" s="1715"/>
      <c r="V62" s="1715"/>
      <c r="W62" s="1715"/>
      <c r="X62" s="1715"/>
      <c r="Y62" s="1715"/>
      <c r="Z62" s="1715"/>
      <c r="AA62" s="1715"/>
      <c r="AB62" s="1202"/>
      <c r="AC62" s="528"/>
      <c r="AD62" s="528"/>
      <c r="AE62" s="528"/>
      <c r="AF62" s="528"/>
      <c r="AG62" s="528"/>
      <c r="AH62" s="528"/>
      <c r="AI62" s="528"/>
      <c r="AJ62" s="528"/>
      <c r="AK62" s="528"/>
      <c r="AL62" s="528"/>
      <c r="AM62" s="528"/>
      <c r="AN62" s="528"/>
      <c r="AO62" s="528"/>
    </row>
    <row r="63" spans="2:41" x14ac:dyDescent="0.2">
      <c r="B63" s="1031"/>
      <c r="C63" s="1715"/>
      <c r="D63" s="1715"/>
      <c r="E63" s="1715"/>
      <c r="F63" s="1715"/>
      <c r="G63" s="1715"/>
      <c r="H63" s="1715"/>
      <c r="I63" s="1715"/>
      <c r="J63" s="1715"/>
      <c r="K63" s="1715"/>
      <c r="L63" s="1715"/>
      <c r="M63" s="1715"/>
      <c r="N63" s="1715"/>
      <c r="O63" s="1202"/>
      <c r="P63" s="1715"/>
      <c r="Q63" s="1715"/>
      <c r="R63" s="1715"/>
      <c r="S63" s="1715"/>
      <c r="T63" s="1715"/>
      <c r="U63" s="1715"/>
      <c r="V63" s="1715"/>
      <c r="W63" s="1715"/>
      <c r="X63" s="1715"/>
      <c r="Y63" s="1715"/>
      <c r="Z63" s="1715"/>
      <c r="AA63" s="1715"/>
      <c r="AB63" s="1202"/>
      <c r="AC63" s="528"/>
      <c r="AD63" s="528"/>
      <c r="AE63" s="528"/>
      <c r="AF63" s="528"/>
      <c r="AG63" s="528"/>
      <c r="AH63" s="528"/>
      <c r="AI63" s="528"/>
      <c r="AJ63" s="528"/>
      <c r="AK63" s="528"/>
      <c r="AL63" s="528"/>
      <c r="AM63" s="528"/>
      <c r="AN63" s="528"/>
      <c r="AO63" s="528"/>
    </row>
    <row r="64" spans="2:41" x14ac:dyDescent="0.2">
      <c r="B64" s="1031"/>
      <c r="C64" s="1715"/>
      <c r="D64" s="1715"/>
      <c r="E64" s="1715"/>
      <c r="F64" s="1715"/>
      <c r="G64" s="1715"/>
      <c r="H64" s="1715"/>
      <c r="I64" s="1715"/>
      <c r="J64" s="1715"/>
      <c r="K64" s="1715"/>
      <c r="L64" s="1715"/>
      <c r="M64" s="1715"/>
      <c r="N64" s="1715"/>
      <c r="O64" s="1202"/>
      <c r="P64" s="1715"/>
      <c r="Q64" s="1715"/>
      <c r="R64" s="1715"/>
      <c r="S64" s="1715"/>
      <c r="T64" s="1715"/>
      <c r="U64" s="1715"/>
      <c r="V64" s="1715"/>
      <c r="W64" s="1715"/>
      <c r="X64" s="1715"/>
      <c r="Y64" s="1715"/>
      <c r="Z64" s="1715"/>
      <c r="AA64" s="1715"/>
      <c r="AB64" s="1202"/>
      <c r="AC64" s="528"/>
      <c r="AD64" s="528"/>
      <c r="AE64" s="528"/>
      <c r="AF64" s="528"/>
      <c r="AG64" s="528"/>
      <c r="AH64" s="528"/>
      <c r="AI64" s="528"/>
      <c r="AJ64" s="528"/>
      <c r="AK64" s="528"/>
      <c r="AL64" s="528"/>
      <c r="AM64" s="528"/>
      <c r="AN64" s="528"/>
      <c r="AO64" s="528"/>
    </row>
    <row r="65" spans="1:41" x14ac:dyDescent="0.2">
      <c r="B65" s="1031"/>
      <c r="C65" s="1715"/>
      <c r="D65" s="1715"/>
      <c r="E65" s="1715"/>
      <c r="F65" s="1715"/>
      <c r="G65" s="1715"/>
      <c r="H65" s="1715"/>
      <c r="I65" s="1715"/>
      <c r="J65" s="1715"/>
      <c r="K65" s="1715"/>
      <c r="L65" s="1715"/>
      <c r="M65" s="1715"/>
      <c r="N65" s="1715"/>
      <c r="O65" s="1202"/>
      <c r="P65" s="1715"/>
      <c r="Q65" s="1715"/>
      <c r="R65" s="1715"/>
      <c r="S65" s="1715"/>
      <c r="T65" s="1715"/>
      <c r="U65" s="1715"/>
      <c r="V65" s="1715"/>
      <c r="W65" s="1715"/>
      <c r="X65" s="1715"/>
      <c r="Y65" s="1715"/>
      <c r="Z65" s="1715"/>
      <c r="AA65" s="1715"/>
      <c r="AB65" s="1202"/>
      <c r="AC65" s="528"/>
      <c r="AD65" s="528"/>
      <c r="AE65" s="528"/>
      <c r="AF65" s="528"/>
      <c r="AG65" s="528"/>
      <c r="AH65" s="528"/>
      <c r="AI65" s="528"/>
      <c r="AJ65" s="528"/>
      <c r="AK65" s="528"/>
      <c r="AL65" s="528"/>
      <c r="AM65" s="528"/>
      <c r="AN65" s="528"/>
      <c r="AO65" s="528"/>
    </row>
    <row r="66" spans="1:41" x14ac:dyDescent="0.2">
      <c r="B66" s="1031"/>
      <c r="C66" s="1715"/>
      <c r="D66" s="1715"/>
      <c r="E66" s="1715"/>
      <c r="F66" s="1715"/>
      <c r="G66" s="1715"/>
      <c r="H66" s="1715"/>
      <c r="I66" s="1715"/>
      <c r="J66" s="1715"/>
      <c r="K66" s="1715"/>
      <c r="L66" s="1715"/>
      <c r="M66" s="1715"/>
      <c r="N66" s="1715"/>
      <c r="O66" s="1202"/>
      <c r="P66" s="1715"/>
      <c r="Q66" s="1715"/>
      <c r="R66" s="1715"/>
      <c r="S66" s="1715"/>
      <c r="T66" s="1715"/>
      <c r="U66" s="1715"/>
      <c r="V66" s="1715"/>
      <c r="W66" s="1715"/>
      <c r="X66" s="1715"/>
      <c r="Y66" s="1715"/>
      <c r="Z66" s="1715"/>
      <c r="AA66" s="1715"/>
      <c r="AB66" s="1202"/>
      <c r="AC66" s="528"/>
      <c r="AD66" s="528"/>
      <c r="AE66" s="528"/>
      <c r="AF66" s="528"/>
      <c r="AG66" s="528"/>
      <c r="AH66" s="528"/>
      <c r="AI66" s="528"/>
      <c r="AJ66" s="528"/>
      <c r="AK66" s="528"/>
      <c r="AL66" s="528"/>
      <c r="AM66" s="528"/>
      <c r="AN66" s="528"/>
      <c r="AO66" s="528"/>
    </row>
    <row r="67" spans="1:41" x14ac:dyDescent="0.2">
      <c r="B67" s="1031"/>
      <c r="C67" s="1715"/>
      <c r="D67" s="1715"/>
      <c r="E67" s="1715"/>
      <c r="F67" s="1715"/>
      <c r="G67" s="1715"/>
      <c r="H67" s="1715"/>
      <c r="I67" s="1715"/>
      <c r="J67" s="1715"/>
      <c r="K67" s="1715"/>
      <c r="L67" s="1715"/>
      <c r="M67" s="1715"/>
      <c r="N67" s="1715"/>
      <c r="O67" s="1202"/>
      <c r="P67" s="1715"/>
      <c r="Q67" s="1715"/>
      <c r="R67" s="1715"/>
      <c r="S67" s="1715"/>
      <c r="T67" s="1715"/>
      <c r="U67" s="1715"/>
      <c r="V67" s="1715"/>
      <c r="W67" s="1715"/>
      <c r="X67" s="1715"/>
      <c r="Y67" s="1715"/>
      <c r="Z67" s="1715"/>
      <c r="AA67" s="1715"/>
      <c r="AB67" s="1202"/>
      <c r="AC67" s="528"/>
      <c r="AD67" s="528"/>
      <c r="AE67" s="528"/>
      <c r="AF67" s="528"/>
      <c r="AG67" s="528"/>
      <c r="AH67" s="528"/>
      <c r="AI67" s="528"/>
      <c r="AJ67" s="528"/>
      <c r="AK67" s="528"/>
      <c r="AL67" s="528"/>
      <c r="AM67" s="528"/>
      <c r="AN67" s="528"/>
      <c r="AO67" s="528"/>
    </row>
    <row r="68" spans="1:41" x14ac:dyDescent="0.2">
      <c r="B68" s="1031"/>
      <c r="C68" s="1715"/>
      <c r="D68" s="1715"/>
      <c r="E68" s="1715"/>
      <c r="F68" s="1715"/>
      <c r="G68" s="1715"/>
      <c r="H68" s="1715"/>
      <c r="I68" s="1715"/>
      <c r="J68" s="1715"/>
      <c r="K68" s="1715"/>
      <c r="L68" s="1715"/>
      <c r="M68" s="1715"/>
      <c r="N68" s="1715"/>
      <c r="O68" s="1202"/>
      <c r="P68" s="1715"/>
      <c r="Q68" s="1715"/>
      <c r="R68" s="1715"/>
      <c r="S68" s="1715"/>
      <c r="T68" s="1715"/>
      <c r="U68" s="1715"/>
      <c r="V68" s="1715"/>
      <c r="W68" s="1715"/>
      <c r="X68" s="1715"/>
      <c r="Y68" s="1715"/>
      <c r="Z68" s="1715"/>
      <c r="AA68" s="1715"/>
      <c r="AB68" s="1202"/>
      <c r="AC68" s="528"/>
      <c r="AD68" s="528"/>
      <c r="AE68" s="528"/>
      <c r="AF68" s="528"/>
      <c r="AG68" s="528"/>
      <c r="AH68" s="528"/>
      <c r="AI68" s="528"/>
      <c r="AJ68" s="528"/>
      <c r="AK68" s="528"/>
      <c r="AL68" s="528"/>
      <c r="AM68" s="528"/>
      <c r="AN68" s="528"/>
      <c r="AO68" s="528"/>
    </row>
    <row r="69" spans="1:41" x14ac:dyDescent="0.2">
      <c r="A69" t="s">
        <v>910</v>
      </c>
      <c r="B69" s="1031"/>
      <c r="C69" s="1715"/>
      <c r="D69" s="1715"/>
      <c r="E69" s="1715"/>
      <c r="F69" s="1715"/>
      <c r="G69" s="1715"/>
      <c r="H69" s="1715"/>
      <c r="I69" s="1715"/>
      <c r="J69" s="1715"/>
      <c r="K69" s="1715"/>
      <c r="L69" s="1715"/>
      <c r="M69" s="1715"/>
      <c r="N69" s="1715"/>
      <c r="O69" s="1202"/>
      <c r="P69" s="1715"/>
      <c r="Q69" s="1715"/>
      <c r="R69" s="1715"/>
      <c r="S69" s="1715"/>
      <c r="T69" s="1715"/>
      <c r="U69" s="1715"/>
      <c r="V69" s="1715"/>
      <c r="W69" s="1715"/>
      <c r="X69" s="1715"/>
      <c r="Y69" s="1715"/>
      <c r="Z69" s="1715"/>
      <c r="AA69" s="1715"/>
      <c r="AB69" s="1202"/>
      <c r="AC69" s="528"/>
      <c r="AD69" s="528"/>
      <c r="AE69" s="528"/>
      <c r="AF69" s="528"/>
      <c r="AG69" s="528"/>
      <c r="AH69" s="528"/>
      <c r="AI69" s="528"/>
      <c r="AJ69" s="528"/>
      <c r="AK69" s="528"/>
      <c r="AL69" s="528"/>
      <c r="AM69" s="528"/>
      <c r="AN69" s="528"/>
      <c r="AO69" s="528"/>
    </row>
    <row r="70" spans="1:41" x14ac:dyDescent="0.2">
      <c r="B70" s="1031"/>
      <c r="C70" s="1715"/>
      <c r="D70" s="1715"/>
      <c r="E70" s="1715"/>
      <c r="F70" s="1715"/>
      <c r="G70" s="1715"/>
      <c r="H70" s="1715"/>
      <c r="I70" s="1715"/>
      <c r="J70" s="1715"/>
      <c r="K70" s="1715"/>
      <c r="L70" s="1715"/>
      <c r="M70" s="1715"/>
      <c r="N70" s="1715"/>
      <c r="O70" s="1202"/>
      <c r="P70" s="1715"/>
      <c r="Q70" s="1715"/>
      <c r="R70" s="1715"/>
      <c r="S70" s="1715"/>
      <c r="T70" s="1715"/>
      <c r="U70" s="1715"/>
      <c r="V70" s="1715"/>
      <c r="W70" s="1715"/>
      <c r="X70" s="1715"/>
      <c r="Y70" s="1715"/>
      <c r="Z70" s="1715"/>
      <c r="AA70" s="1715"/>
      <c r="AB70" s="1202"/>
      <c r="AC70" s="528"/>
      <c r="AD70" s="528"/>
      <c r="AE70" s="528"/>
      <c r="AF70" s="528"/>
      <c r="AG70" s="528"/>
      <c r="AH70" s="528"/>
      <c r="AI70" s="528"/>
      <c r="AJ70" s="528"/>
      <c r="AK70" s="528"/>
      <c r="AL70" s="528"/>
      <c r="AM70" s="528"/>
      <c r="AN70" s="528"/>
      <c r="AO70" s="528"/>
    </row>
    <row r="71" spans="1:41" x14ac:dyDescent="0.2">
      <c r="B71" s="1031"/>
      <c r="C71" s="1715"/>
      <c r="D71" s="1715"/>
      <c r="E71" s="1715"/>
      <c r="F71" s="1715"/>
      <c r="G71" s="1715"/>
      <c r="H71" s="1715"/>
      <c r="I71" s="1715"/>
      <c r="J71" s="1715"/>
      <c r="K71" s="1715"/>
      <c r="L71" s="1715"/>
      <c r="M71" s="1715"/>
      <c r="N71" s="1715"/>
      <c r="O71" s="1202"/>
      <c r="P71" s="1715"/>
      <c r="Q71" s="1715"/>
      <c r="R71" s="1715"/>
      <c r="S71" s="1715"/>
      <c r="T71" s="1715"/>
      <c r="U71" s="1715"/>
      <c r="V71" s="1715"/>
      <c r="W71" s="1715"/>
      <c r="X71" s="1715"/>
      <c r="Y71" s="1715"/>
      <c r="Z71" s="1715"/>
      <c r="AA71" s="1715"/>
      <c r="AB71" s="1202"/>
      <c r="AC71" s="528"/>
      <c r="AD71" s="528"/>
      <c r="AE71" s="528"/>
      <c r="AF71" s="528"/>
      <c r="AG71" s="528"/>
      <c r="AH71" s="528"/>
      <c r="AI71" s="528"/>
      <c r="AJ71" s="528"/>
      <c r="AK71" s="528"/>
      <c r="AL71" s="528"/>
      <c r="AM71" s="528"/>
      <c r="AN71" s="528"/>
      <c r="AO71" s="528"/>
    </row>
    <row r="72" spans="1:41" x14ac:dyDescent="0.2">
      <c r="B72" s="1031"/>
      <c r="C72" s="1715"/>
      <c r="D72" s="1715"/>
      <c r="E72" s="1715"/>
      <c r="F72" s="1715"/>
      <c r="G72" s="1715"/>
      <c r="H72" s="1715"/>
      <c r="I72" s="1715"/>
      <c r="J72" s="1715"/>
      <c r="K72" s="1715"/>
      <c r="L72" s="1715"/>
      <c r="M72" s="1715"/>
      <c r="N72" s="1715"/>
      <c r="O72" s="1202"/>
      <c r="P72" s="1715"/>
      <c r="Q72" s="1715"/>
      <c r="R72" s="1715"/>
      <c r="S72" s="1715"/>
      <c r="T72" s="1715"/>
      <c r="U72" s="1715"/>
      <c r="V72" s="1715"/>
      <c r="W72" s="1715"/>
      <c r="X72" s="1715"/>
      <c r="Y72" s="1715"/>
      <c r="Z72" s="1715"/>
      <c r="AA72" s="1715"/>
      <c r="AB72" s="1202"/>
      <c r="AC72" s="528"/>
      <c r="AD72" s="528"/>
      <c r="AE72" s="528"/>
      <c r="AF72" s="528"/>
      <c r="AG72" s="528"/>
      <c r="AH72" s="528"/>
      <c r="AI72" s="528"/>
      <c r="AJ72" s="528"/>
      <c r="AK72" s="528"/>
      <c r="AL72" s="528"/>
      <c r="AM72" s="528"/>
      <c r="AN72" s="528"/>
      <c r="AO72" s="528"/>
    </row>
    <row r="73" spans="1:41" x14ac:dyDescent="0.2">
      <c r="B73" s="1031"/>
      <c r="C73" s="1715"/>
      <c r="D73" s="1715"/>
      <c r="E73" s="1715"/>
      <c r="F73" s="1715"/>
      <c r="G73" s="1715"/>
      <c r="H73" s="1715"/>
      <c r="I73" s="1715"/>
      <c r="J73" s="1715"/>
      <c r="K73" s="1715"/>
      <c r="L73" s="1715"/>
      <c r="M73" s="1715"/>
      <c r="N73" s="1715"/>
      <c r="O73" s="1202"/>
      <c r="P73" s="1715"/>
      <c r="Q73" s="1715"/>
      <c r="R73" s="1715"/>
      <c r="S73" s="1715"/>
      <c r="T73" s="1715"/>
      <c r="U73" s="1715"/>
      <c r="V73" s="1715"/>
      <c r="W73" s="1715"/>
      <c r="X73" s="1715"/>
      <c r="Y73" s="1715"/>
      <c r="Z73" s="1715"/>
      <c r="AA73" s="1715"/>
      <c r="AB73" s="1202"/>
      <c r="AC73" s="528"/>
      <c r="AD73" s="528"/>
      <c r="AE73" s="528"/>
      <c r="AF73" s="528"/>
      <c r="AG73" s="528"/>
      <c r="AH73" s="528"/>
      <c r="AI73" s="528"/>
      <c r="AJ73" s="528"/>
      <c r="AK73" s="528"/>
      <c r="AL73" s="528"/>
      <c r="AM73" s="528"/>
      <c r="AN73" s="528"/>
      <c r="AO73" s="528"/>
    </row>
    <row r="74" spans="1:41" x14ac:dyDescent="0.2">
      <c r="B74" s="1031"/>
      <c r="C74" s="1715"/>
      <c r="D74" s="1715"/>
      <c r="E74" s="1715"/>
      <c r="F74" s="1715"/>
      <c r="G74" s="1715"/>
      <c r="H74" s="1715"/>
      <c r="I74" s="1715"/>
      <c r="J74" s="1715"/>
      <c r="K74" s="1715"/>
      <c r="L74" s="1715"/>
      <c r="M74" s="1715"/>
      <c r="N74" s="1715"/>
      <c r="O74" s="1202"/>
      <c r="P74" s="1715"/>
      <c r="Q74" s="1715"/>
      <c r="R74" s="1715"/>
      <c r="S74" s="1715"/>
      <c r="T74" s="1715"/>
      <c r="U74" s="1715"/>
      <c r="V74" s="1715"/>
      <c r="W74" s="1715"/>
      <c r="X74" s="1715"/>
      <c r="Y74" s="1715"/>
      <c r="Z74" s="1715"/>
      <c r="AA74" s="1715"/>
      <c r="AB74" s="1202"/>
      <c r="AC74" s="528"/>
      <c r="AD74" s="528"/>
      <c r="AE74" s="528"/>
      <c r="AF74" s="528"/>
      <c r="AG74" s="528"/>
      <c r="AH74" s="528"/>
      <c r="AI74" s="528"/>
      <c r="AJ74" s="528"/>
      <c r="AK74" s="528"/>
      <c r="AL74" s="528"/>
      <c r="AM74" s="528"/>
      <c r="AN74" s="528"/>
      <c r="AO74" s="528"/>
    </row>
    <row r="75" spans="1:41" x14ac:dyDescent="0.2">
      <c r="B75" s="1031"/>
      <c r="C75" s="1715"/>
      <c r="D75" s="1715"/>
      <c r="E75" s="1715"/>
      <c r="F75" s="1715"/>
      <c r="G75" s="1715"/>
      <c r="H75" s="1715"/>
      <c r="I75" s="1715"/>
      <c r="J75" s="1715"/>
      <c r="K75" s="1715"/>
      <c r="L75" s="1715"/>
      <c r="M75" s="1715"/>
      <c r="N75" s="1715"/>
      <c r="O75" s="1202"/>
      <c r="P75" s="1715"/>
      <c r="Q75" s="1715"/>
      <c r="R75" s="1715"/>
      <c r="S75" s="1715"/>
      <c r="T75" s="1715"/>
      <c r="U75" s="1715"/>
      <c r="V75" s="1715"/>
      <c r="W75" s="1715"/>
      <c r="X75" s="1715"/>
      <c r="Y75" s="1715"/>
      <c r="Z75" s="1715"/>
      <c r="AA75" s="1715"/>
      <c r="AB75" s="1202"/>
      <c r="AC75" s="528"/>
      <c r="AD75" s="528"/>
      <c r="AE75" s="528"/>
      <c r="AF75" s="528"/>
      <c r="AG75" s="528"/>
      <c r="AH75" s="528"/>
      <c r="AI75" s="528"/>
      <c r="AJ75" s="528"/>
      <c r="AK75" s="528"/>
      <c r="AL75" s="528"/>
      <c r="AM75" s="528"/>
      <c r="AN75" s="528"/>
      <c r="AO75" s="528"/>
    </row>
    <row r="76" spans="1:41" x14ac:dyDescent="0.2">
      <c r="B76" s="1031"/>
      <c r="C76" s="1715"/>
      <c r="D76" s="1715"/>
      <c r="E76" s="1715"/>
      <c r="F76" s="1715"/>
      <c r="G76" s="1715"/>
      <c r="H76" s="1715"/>
      <c r="I76" s="1715"/>
      <c r="J76" s="1715"/>
      <c r="K76" s="1715"/>
      <c r="L76" s="1715"/>
      <c r="M76" s="1715"/>
      <c r="N76" s="1715"/>
      <c r="O76" s="1202"/>
      <c r="P76" s="1715"/>
      <c r="Q76" s="1715"/>
      <c r="R76" s="1715"/>
      <c r="S76" s="1715"/>
      <c r="T76" s="1715"/>
      <c r="U76" s="1715"/>
      <c r="V76" s="1715"/>
      <c r="W76" s="1715"/>
      <c r="X76" s="1715"/>
      <c r="Y76" s="1715"/>
      <c r="Z76" s="1715"/>
      <c r="AA76" s="1715"/>
      <c r="AB76" s="1202"/>
      <c r="AC76" s="528"/>
      <c r="AD76" s="528"/>
      <c r="AE76" s="528"/>
      <c r="AF76" s="528"/>
      <c r="AG76" s="528"/>
      <c r="AH76" s="528"/>
      <c r="AI76" s="528"/>
      <c r="AJ76" s="528"/>
      <c r="AK76" s="528"/>
      <c r="AL76" s="528"/>
      <c r="AM76" s="528"/>
      <c r="AN76" s="528"/>
      <c r="AO76" s="528"/>
    </row>
    <row r="77" spans="1:41" x14ac:dyDescent="0.2">
      <c r="A77" t="s">
        <v>911</v>
      </c>
      <c r="B77" s="1031"/>
      <c r="C77" s="1715"/>
      <c r="D77" s="1715"/>
      <c r="E77" s="1715"/>
      <c r="F77" s="1715"/>
      <c r="G77" s="1715"/>
      <c r="H77" s="1715"/>
      <c r="I77" s="1715"/>
      <c r="J77" s="1715"/>
      <c r="K77" s="1715"/>
      <c r="L77" s="1715"/>
      <c r="M77" s="1715"/>
      <c r="N77" s="1715"/>
      <c r="O77" s="1202"/>
      <c r="P77" s="1715"/>
      <c r="Q77" s="1715"/>
      <c r="R77" s="1715"/>
      <c r="S77" s="1715"/>
      <c r="T77" s="1715"/>
      <c r="U77" s="1715"/>
      <c r="V77" s="1715"/>
      <c r="W77" s="1715"/>
      <c r="X77" s="1715"/>
      <c r="Y77" s="1715"/>
      <c r="Z77" s="1715"/>
      <c r="AA77" s="1715"/>
      <c r="AB77" s="1202"/>
      <c r="AC77" s="528"/>
      <c r="AD77" s="528"/>
      <c r="AE77" s="528"/>
      <c r="AF77" s="528"/>
      <c r="AG77" s="528"/>
      <c r="AH77" s="528"/>
      <c r="AI77" s="528"/>
      <c r="AJ77" s="528"/>
      <c r="AK77" s="528"/>
      <c r="AL77" s="528"/>
      <c r="AM77" s="528"/>
      <c r="AN77" s="528"/>
      <c r="AO77" s="528"/>
    </row>
    <row r="78" spans="1:41" x14ac:dyDescent="0.2">
      <c r="B78" s="1031"/>
      <c r="C78" s="1715"/>
      <c r="D78" s="1715"/>
      <c r="E78" s="1715"/>
      <c r="F78" s="1715"/>
      <c r="G78" s="1715"/>
      <c r="H78" s="1715"/>
      <c r="I78" s="1715"/>
      <c r="J78" s="1715"/>
      <c r="K78" s="1715"/>
      <c r="L78" s="1715"/>
      <c r="M78" s="1715"/>
      <c r="N78" s="1715"/>
      <c r="O78" s="1202"/>
      <c r="P78" s="1715"/>
      <c r="Q78" s="1715"/>
      <c r="R78" s="1715"/>
      <c r="S78" s="1715"/>
      <c r="T78" s="1715"/>
      <c r="U78" s="1715"/>
      <c r="V78" s="1715"/>
      <c r="W78" s="1715"/>
      <c r="X78" s="1715"/>
      <c r="Y78" s="1715"/>
      <c r="Z78" s="1715"/>
      <c r="AA78" s="1715"/>
      <c r="AB78" s="1202"/>
      <c r="AC78" s="528"/>
      <c r="AD78" s="528"/>
      <c r="AE78" s="528"/>
      <c r="AF78" s="528"/>
      <c r="AG78" s="528"/>
      <c r="AH78" s="528"/>
      <c r="AI78" s="528"/>
      <c r="AJ78" s="528"/>
      <c r="AK78" s="528"/>
      <c r="AL78" s="528"/>
      <c r="AM78" s="528"/>
      <c r="AN78" s="528"/>
      <c r="AO78" s="528"/>
    </row>
    <row r="79" spans="1:41" x14ac:dyDescent="0.2">
      <c r="B79" s="1031"/>
      <c r="C79" s="1715"/>
      <c r="D79" s="1715"/>
      <c r="E79" s="1715"/>
      <c r="F79" s="1715"/>
      <c r="G79" s="1715"/>
      <c r="H79" s="1715"/>
      <c r="I79" s="1715"/>
      <c r="J79" s="1715"/>
      <c r="K79" s="1715"/>
      <c r="L79" s="1715"/>
      <c r="M79" s="1715"/>
      <c r="N79" s="1715"/>
      <c r="O79" s="1202"/>
      <c r="P79" s="1715"/>
      <c r="Q79" s="1715"/>
      <c r="R79" s="1715"/>
      <c r="S79" s="1715"/>
      <c r="T79" s="1715"/>
      <c r="U79" s="1715"/>
      <c r="V79" s="1715"/>
      <c r="W79" s="1715"/>
      <c r="X79" s="1715"/>
      <c r="Y79" s="1715"/>
      <c r="Z79" s="1715"/>
      <c r="AA79" s="1715"/>
      <c r="AB79" s="1202"/>
      <c r="AC79" s="528"/>
      <c r="AD79" s="528"/>
      <c r="AE79" s="528"/>
      <c r="AF79" s="528"/>
      <c r="AG79" s="528"/>
      <c r="AH79" s="528"/>
      <c r="AI79" s="528"/>
      <c r="AJ79" s="528"/>
      <c r="AK79" s="528"/>
      <c r="AL79" s="528"/>
      <c r="AM79" s="528"/>
      <c r="AN79" s="528"/>
      <c r="AO79" s="528"/>
    </row>
    <row r="80" spans="1:41" x14ac:dyDescent="0.2">
      <c r="B80" s="1031"/>
      <c r="C80" s="1715"/>
      <c r="D80" s="1715"/>
      <c r="E80" s="1715"/>
      <c r="F80" s="1715"/>
      <c r="G80" s="1715"/>
      <c r="H80" s="1715"/>
      <c r="I80" s="1715"/>
      <c r="J80" s="1715"/>
      <c r="K80" s="1715"/>
      <c r="L80" s="1715"/>
      <c r="M80" s="1715"/>
      <c r="N80" s="1715"/>
      <c r="O80" s="1202"/>
      <c r="P80" s="1715"/>
      <c r="Q80" s="1715"/>
      <c r="R80" s="1715"/>
      <c r="S80" s="1715"/>
      <c r="T80" s="1715"/>
      <c r="U80" s="1715"/>
      <c r="V80" s="1715"/>
      <c r="W80" s="1715"/>
      <c r="X80" s="1715"/>
      <c r="Y80" s="1715"/>
      <c r="Z80" s="1715"/>
      <c r="AA80" s="1715"/>
      <c r="AB80" s="1202"/>
      <c r="AC80" s="528"/>
      <c r="AD80" s="528"/>
      <c r="AE80" s="528"/>
      <c r="AF80" s="528"/>
      <c r="AG80" s="528"/>
      <c r="AH80" s="528"/>
      <c r="AI80" s="528"/>
      <c r="AJ80" s="528"/>
      <c r="AK80" s="528"/>
      <c r="AL80" s="528"/>
      <c r="AM80" s="528"/>
      <c r="AN80" s="528"/>
      <c r="AO80" s="528"/>
    </row>
    <row r="81" spans="2:41" x14ac:dyDescent="0.2">
      <c r="B81" s="1031"/>
      <c r="C81" s="1715"/>
      <c r="D81" s="1715"/>
      <c r="E81" s="1715"/>
      <c r="F81" s="1715"/>
      <c r="G81" s="1715"/>
      <c r="H81" s="1715"/>
      <c r="I81" s="1715"/>
      <c r="J81" s="1715"/>
      <c r="K81" s="1715"/>
      <c r="L81" s="1715"/>
      <c r="M81" s="1715"/>
      <c r="N81" s="1715"/>
      <c r="O81" s="1202"/>
      <c r="P81" s="1715"/>
      <c r="Q81" s="1715"/>
      <c r="R81" s="1715"/>
      <c r="S81" s="1715"/>
      <c r="T81" s="1715"/>
      <c r="U81" s="1715"/>
      <c r="V81" s="1715"/>
      <c r="W81" s="1715"/>
      <c r="X81" s="1715"/>
      <c r="Y81" s="1715"/>
      <c r="Z81" s="1715"/>
      <c r="AA81" s="1715"/>
      <c r="AB81" s="1202"/>
      <c r="AC81" s="528"/>
      <c r="AD81" s="528"/>
      <c r="AE81" s="528"/>
      <c r="AF81" s="528"/>
      <c r="AG81" s="528"/>
      <c r="AH81" s="528"/>
      <c r="AI81" s="528"/>
      <c r="AJ81" s="528"/>
      <c r="AK81" s="528"/>
      <c r="AL81" s="528"/>
      <c r="AM81" s="528"/>
      <c r="AN81" s="528"/>
      <c r="AO81" s="528"/>
    </row>
    <row r="82" spans="2:41" x14ac:dyDescent="0.2">
      <c r="B82" s="1031"/>
      <c r="C82" s="1715"/>
      <c r="D82" s="1715"/>
      <c r="E82" s="1715"/>
      <c r="F82" s="1715"/>
      <c r="G82" s="1715"/>
      <c r="H82" s="1715"/>
      <c r="I82" s="1715"/>
      <c r="J82" s="1715"/>
      <c r="K82" s="1715"/>
      <c r="L82" s="1715"/>
      <c r="M82" s="1715"/>
      <c r="N82" s="1715"/>
      <c r="O82" s="1202"/>
      <c r="P82" s="1715"/>
      <c r="Q82" s="1715"/>
      <c r="R82" s="1715"/>
      <c r="S82" s="1715"/>
      <c r="T82" s="1715"/>
      <c r="U82" s="1715"/>
      <c r="V82" s="1715"/>
      <c r="W82" s="1715"/>
      <c r="X82" s="1715"/>
      <c r="Y82" s="1715"/>
      <c r="Z82" s="1715"/>
      <c r="AA82" s="1715"/>
      <c r="AB82" s="1202"/>
      <c r="AC82" s="528"/>
      <c r="AD82" s="528"/>
      <c r="AE82" s="528"/>
      <c r="AF82" s="528"/>
      <c r="AG82" s="528"/>
      <c r="AH82" s="528"/>
      <c r="AI82" s="528"/>
      <c r="AJ82" s="528"/>
      <c r="AK82" s="528"/>
      <c r="AL82" s="528"/>
      <c r="AM82" s="528"/>
      <c r="AN82" s="528"/>
      <c r="AO82" s="528"/>
    </row>
    <row r="83" spans="2:41" x14ac:dyDescent="0.2">
      <c r="B83" s="1031"/>
      <c r="C83" s="1715"/>
      <c r="D83" s="1715"/>
      <c r="E83" s="1715"/>
      <c r="F83" s="1715"/>
      <c r="G83" s="1715"/>
      <c r="H83" s="1715"/>
      <c r="I83" s="1715"/>
      <c r="J83" s="1715"/>
      <c r="K83" s="1715"/>
      <c r="L83" s="1715"/>
      <c r="M83" s="1715"/>
      <c r="N83" s="1715"/>
      <c r="O83" s="1202"/>
      <c r="P83" s="1715"/>
      <c r="Q83" s="1715"/>
      <c r="R83" s="1715"/>
      <c r="S83" s="1715"/>
      <c r="T83" s="1715"/>
      <c r="U83" s="1715"/>
      <c r="V83" s="1715"/>
      <c r="W83" s="1715"/>
      <c r="X83" s="1715"/>
      <c r="Y83" s="1715"/>
      <c r="Z83" s="1715"/>
      <c r="AA83" s="1715"/>
      <c r="AB83" s="1202"/>
      <c r="AC83" s="528"/>
      <c r="AD83" s="528"/>
      <c r="AE83" s="528"/>
      <c r="AF83" s="528"/>
      <c r="AG83" s="528"/>
      <c r="AH83" s="528"/>
      <c r="AI83" s="528"/>
      <c r="AJ83" s="528"/>
      <c r="AK83" s="528"/>
      <c r="AL83" s="528"/>
      <c r="AM83" s="528"/>
      <c r="AN83" s="528"/>
      <c r="AO83" s="528"/>
    </row>
    <row r="84" spans="2:41" x14ac:dyDescent="0.2">
      <c r="B84" s="1031"/>
      <c r="C84" s="1715"/>
      <c r="D84" s="1715"/>
      <c r="E84" s="1715"/>
      <c r="F84" s="1715"/>
      <c r="G84" s="1715"/>
      <c r="H84" s="1715"/>
      <c r="I84" s="1715"/>
      <c r="J84" s="1715"/>
      <c r="K84" s="1715"/>
      <c r="L84" s="1715"/>
      <c r="M84" s="1715"/>
      <c r="N84" s="1715"/>
      <c r="O84" s="1202"/>
      <c r="P84" s="1715"/>
      <c r="Q84" s="1715"/>
      <c r="R84" s="1715"/>
      <c r="S84" s="1715"/>
      <c r="T84" s="1715"/>
      <c r="U84" s="1715"/>
      <c r="V84" s="1715"/>
      <c r="W84" s="1715"/>
      <c r="X84" s="1715"/>
      <c r="Y84" s="1715"/>
      <c r="Z84" s="1715"/>
      <c r="AA84" s="1715"/>
      <c r="AB84" s="1202"/>
      <c r="AC84" s="528"/>
      <c r="AD84" s="528"/>
      <c r="AE84" s="528"/>
      <c r="AF84" s="528"/>
      <c r="AG84" s="528"/>
      <c r="AH84" s="528"/>
      <c r="AI84" s="528"/>
      <c r="AJ84" s="528"/>
      <c r="AK84" s="528"/>
      <c r="AL84" s="528"/>
      <c r="AM84" s="528"/>
      <c r="AN84" s="528"/>
      <c r="AO84" s="528"/>
    </row>
    <row r="85" spans="2:41" x14ac:dyDescent="0.2">
      <c r="B85" s="1031"/>
      <c r="C85" s="1715"/>
      <c r="D85" s="1715"/>
      <c r="E85" s="1715"/>
      <c r="F85" s="1715"/>
      <c r="G85" s="1715"/>
      <c r="H85" s="1715"/>
      <c r="I85" s="1715"/>
      <c r="J85" s="1715"/>
      <c r="K85" s="1715"/>
      <c r="L85" s="1715"/>
      <c r="M85" s="1715"/>
      <c r="N85" s="1715"/>
      <c r="O85" s="1202"/>
      <c r="P85" s="1715"/>
      <c r="Q85" s="1715"/>
      <c r="R85" s="1715"/>
      <c r="S85" s="1715"/>
      <c r="T85" s="1715"/>
      <c r="U85" s="1715"/>
      <c r="V85" s="1715"/>
      <c r="W85" s="1715"/>
      <c r="X85" s="1715"/>
      <c r="Y85" s="1715"/>
      <c r="Z85" s="1715"/>
      <c r="AA85" s="1715"/>
      <c r="AB85" s="1202"/>
      <c r="AC85" s="528"/>
      <c r="AD85" s="528"/>
      <c r="AE85" s="528"/>
      <c r="AF85" s="528"/>
      <c r="AG85" s="528"/>
      <c r="AH85" s="528"/>
      <c r="AI85" s="528"/>
      <c r="AJ85" s="528"/>
      <c r="AK85" s="528"/>
      <c r="AL85" s="528"/>
      <c r="AM85" s="528"/>
      <c r="AN85" s="528"/>
      <c r="AO85" s="528"/>
    </row>
    <row r="86" spans="2:41" x14ac:dyDescent="0.2">
      <c r="B86" s="1031"/>
      <c r="C86" s="1715"/>
      <c r="D86" s="1715"/>
      <c r="E86" s="1715"/>
      <c r="F86" s="1715"/>
      <c r="G86" s="1715"/>
      <c r="H86" s="1715"/>
      <c r="I86" s="1715"/>
      <c r="J86" s="1715"/>
      <c r="K86" s="1715"/>
      <c r="L86" s="1715"/>
      <c r="M86" s="1715"/>
      <c r="N86" s="1715"/>
      <c r="O86" s="1202"/>
      <c r="P86" s="1715"/>
      <c r="Q86" s="1715"/>
      <c r="R86" s="1715"/>
      <c r="S86" s="1715"/>
      <c r="T86" s="1715"/>
      <c r="U86" s="1715"/>
      <c r="V86" s="1715"/>
      <c r="W86" s="1715"/>
      <c r="X86" s="1715"/>
      <c r="Y86" s="1715"/>
      <c r="Z86" s="1715"/>
      <c r="AA86" s="1715"/>
      <c r="AB86" s="1202"/>
      <c r="AC86" s="528"/>
      <c r="AD86" s="528"/>
      <c r="AE86" s="528"/>
      <c r="AF86" s="528"/>
      <c r="AG86" s="528"/>
      <c r="AH86" s="528"/>
      <c r="AI86" s="528"/>
      <c r="AJ86" s="528"/>
      <c r="AK86" s="528"/>
      <c r="AL86" s="528"/>
      <c r="AM86" s="528"/>
      <c r="AN86" s="528"/>
      <c r="AO86" s="528"/>
    </row>
    <row r="87" spans="2:41" x14ac:dyDescent="0.2">
      <c r="B87" s="528"/>
      <c r="C87" s="528"/>
      <c r="D87" s="528"/>
      <c r="E87" s="528"/>
      <c r="F87" s="528"/>
      <c r="G87" s="528"/>
      <c r="H87" s="528"/>
      <c r="I87" s="528"/>
      <c r="J87" s="528"/>
      <c r="K87" s="528"/>
      <c r="L87" s="528"/>
      <c r="M87" s="528"/>
      <c r="N87" s="528"/>
      <c r="O87" s="528"/>
      <c r="P87" s="528"/>
      <c r="Q87" s="528"/>
      <c r="R87" s="528"/>
      <c r="S87" s="528"/>
      <c r="T87" s="528"/>
      <c r="U87" s="528"/>
      <c r="V87" s="528"/>
      <c r="W87" s="528"/>
      <c r="X87" s="528"/>
      <c r="Y87" s="528"/>
      <c r="Z87" s="528"/>
      <c r="AA87" s="528"/>
      <c r="AB87" s="528"/>
      <c r="AC87" s="528"/>
      <c r="AD87" s="528"/>
      <c r="AE87" s="528"/>
      <c r="AF87" s="528"/>
      <c r="AG87" s="528"/>
      <c r="AH87" s="528"/>
      <c r="AI87" s="528"/>
      <c r="AJ87" s="528"/>
      <c r="AK87" s="528"/>
      <c r="AL87" s="528"/>
      <c r="AM87" s="528"/>
      <c r="AN87" s="528"/>
      <c r="AO87" s="528"/>
    </row>
    <row r="88" spans="2:41" x14ac:dyDescent="0.2">
      <c r="B88" s="528"/>
      <c r="C88" s="528"/>
      <c r="D88" s="528"/>
      <c r="E88" s="528"/>
      <c r="F88" s="528"/>
      <c r="G88" s="528"/>
      <c r="H88" s="528"/>
      <c r="I88" s="528"/>
      <c r="J88" s="528"/>
      <c r="K88" s="528"/>
      <c r="L88" s="528"/>
      <c r="M88" s="528"/>
      <c r="N88" s="528"/>
      <c r="O88" s="528"/>
      <c r="P88" s="528"/>
      <c r="Q88" s="528"/>
      <c r="R88" s="528"/>
      <c r="S88" s="528"/>
      <c r="T88" s="528"/>
      <c r="U88" s="528"/>
      <c r="V88" s="528"/>
      <c r="W88" s="528"/>
      <c r="X88" s="528"/>
      <c r="Y88" s="528"/>
      <c r="Z88" s="528"/>
      <c r="AA88" s="528"/>
      <c r="AB88" s="528"/>
      <c r="AC88" s="528"/>
      <c r="AD88" s="528"/>
      <c r="AE88" s="528"/>
      <c r="AF88" s="528"/>
      <c r="AG88" s="528"/>
      <c r="AH88" s="528"/>
      <c r="AI88" s="528"/>
      <c r="AJ88" s="528"/>
      <c r="AK88" s="528"/>
      <c r="AL88" s="528"/>
      <c r="AM88" s="528"/>
      <c r="AN88" s="528"/>
      <c r="AO88" s="528"/>
    </row>
    <row r="89" spans="2:41" x14ac:dyDescent="0.2">
      <c r="B89" s="528"/>
      <c r="C89" s="528"/>
      <c r="D89" s="528"/>
      <c r="E89" s="528"/>
      <c r="F89" s="528"/>
      <c r="G89" s="528"/>
      <c r="H89" s="528"/>
      <c r="I89" s="528"/>
      <c r="J89" s="528"/>
      <c r="K89" s="528"/>
      <c r="L89" s="528"/>
      <c r="M89" s="528"/>
      <c r="N89" s="528"/>
      <c r="O89" s="528"/>
      <c r="P89" s="528"/>
      <c r="Q89" s="528"/>
      <c r="R89" s="528"/>
      <c r="S89" s="528"/>
      <c r="T89" s="528"/>
      <c r="U89" s="528"/>
      <c r="V89" s="528"/>
      <c r="W89" s="528"/>
      <c r="X89" s="528"/>
      <c r="Y89" s="528"/>
      <c r="Z89" s="528"/>
      <c r="AA89" s="528"/>
      <c r="AB89" s="528"/>
      <c r="AC89" s="528"/>
      <c r="AD89" s="528"/>
      <c r="AE89" s="528"/>
      <c r="AF89" s="528"/>
      <c r="AG89" s="528"/>
      <c r="AH89" s="528"/>
      <c r="AI89" s="528"/>
      <c r="AJ89" s="528"/>
      <c r="AK89" s="528"/>
      <c r="AL89" s="528"/>
      <c r="AM89" s="528"/>
      <c r="AN89" s="528"/>
      <c r="AO89" s="528"/>
    </row>
  </sheetData>
  <mergeCells count="1">
    <mergeCell ref="B3:AN3"/>
  </mergeCells>
  <conditionalFormatting sqref="C8:AN43">
    <cfRule type="cellIs" dxfId="0" priority="1" operator="between">
      <formula>0</formula>
      <formula>0</formula>
    </cfRule>
  </conditionalFormatting>
  <pageMargins left="0.7" right="0.7" top="0.75" bottom="0.75" header="0.3" footer="0.3"/>
  <pageSetup scale="31" orientation="landscape" horizontalDpi="4294967292" verticalDpi="429496729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E7"/>
  <sheetViews>
    <sheetView workbookViewId="0">
      <selection sqref="A1:E6"/>
    </sheetView>
  </sheetViews>
  <sheetFormatPr baseColWidth="10" defaultColWidth="8.83203125" defaultRowHeight="16" x14ac:dyDescent="0.2"/>
  <cols>
    <col min="1" max="1" width="36" bestFit="1" customWidth="1"/>
    <col min="2" max="5" width="23.6640625" customWidth="1"/>
  </cols>
  <sheetData>
    <row r="1" spans="1:5" ht="21" thickTop="1" x14ac:dyDescent="0.2">
      <c r="A1" s="1934" t="s">
        <v>938</v>
      </c>
      <c r="B1" s="1935"/>
      <c r="C1" s="1935"/>
      <c r="D1" s="1935"/>
      <c r="E1" s="1936"/>
    </row>
    <row r="2" spans="1:5" ht="20" x14ac:dyDescent="0.2">
      <c r="A2" s="4"/>
      <c r="B2" s="620"/>
      <c r="C2" s="528"/>
      <c r="D2" s="528"/>
      <c r="E2" s="701"/>
    </row>
    <row r="3" spans="1:5" ht="21" thickBot="1" x14ac:dyDescent="0.25">
      <c r="A3" s="4"/>
      <c r="B3" s="160" t="s">
        <v>1</v>
      </c>
      <c r="C3" s="160" t="s">
        <v>928</v>
      </c>
      <c r="D3" s="160" t="s">
        <v>929</v>
      </c>
      <c r="E3" s="377" t="s">
        <v>934</v>
      </c>
    </row>
    <row r="4" spans="1:5" ht="20" x14ac:dyDescent="0.2">
      <c r="A4" s="1874"/>
      <c r="B4" s="1814" t="s">
        <v>939</v>
      </c>
      <c r="C4" s="1815" t="s">
        <v>940</v>
      </c>
      <c r="D4" s="1815" t="s">
        <v>941</v>
      </c>
      <c r="E4" s="1845" t="s">
        <v>942</v>
      </c>
    </row>
    <row r="5" spans="1:5" x14ac:dyDescent="0.2">
      <c r="A5" s="1297" t="s">
        <v>943</v>
      </c>
      <c r="B5" s="1716">
        <f>AVERAGE(TableC6!M14:M22)</f>
        <v>4.0951752891782073E-2</v>
      </c>
      <c r="C5" s="1717">
        <f>+AVERAGE(TableC6!M23:M32)</f>
        <v>5.4207827423913016E-2</v>
      </c>
      <c r="D5" s="1717">
        <f>AVERAGE(TableC6!M33:M42)</f>
        <v>0.13052595912927956</v>
      </c>
      <c r="E5" s="1718">
        <f>AVERAGE(TableC6!M43:M48)</f>
        <v>0.16181784544476441</v>
      </c>
    </row>
    <row r="6" spans="1:5" ht="18" thickBot="1" x14ac:dyDescent="0.25">
      <c r="A6" s="1719" t="s">
        <v>944</v>
      </c>
      <c r="B6" s="1720">
        <f>+AVERAGEIF(TableF1b!C44:K44,"&gt;0")</f>
        <v>0.47187891956966382</v>
      </c>
      <c r="C6" s="1721">
        <f>+AVERAGEIF(TableF1b!L44:U44,"&gt;0")</f>
        <v>0.377502052529198</v>
      </c>
      <c r="D6" s="1721">
        <f>+AVERAGEIF(TableF1b!V44:AE44,"&gt;0")</f>
        <v>0.28761440648420444</v>
      </c>
      <c r="E6" s="1316">
        <f>+AVERAGEIF(TableF1b!AF44:AN44,"&gt;0")</f>
        <v>0.24101111111111115</v>
      </c>
    </row>
    <row r="7" spans="1:5" ht="17" thickTop="1" x14ac:dyDescent="0.2">
      <c r="A7" s="1714"/>
      <c r="B7" s="1715"/>
      <c r="C7" s="528"/>
      <c r="D7" s="528"/>
      <c r="E7" s="528"/>
    </row>
  </sheetData>
  <mergeCells count="1">
    <mergeCell ref="A1:E1"/>
  </mergeCells>
  <pageMargins left="0.7" right="0.7" top="0.75" bottom="0.75" header="0.3" footer="0.3"/>
  <pageSetup paperSize="9" scale="67" orientation="portrait"/>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62"/>
  <sheetViews>
    <sheetView topLeftCell="A4" workbookViewId="0">
      <selection activeCell="J52" sqref="J52"/>
    </sheetView>
  </sheetViews>
  <sheetFormatPr baseColWidth="10" defaultColWidth="8.83203125" defaultRowHeight="16" x14ac:dyDescent="0.2"/>
  <cols>
    <col min="1" max="4" width="13.5" customWidth="1"/>
    <col min="5" max="5" width="13.33203125" customWidth="1"/>
    <col min="6" max="7" width="13.5" customWidth="1"/>
  </cols>
  <sheetData>
    <row r="1" spans="1:9" ht="17" thickBot="1" x14ac:dyDescent="0.25">
      <c r="A1" s="528"/>
      <c r="B1" s="528"/>
      <c r="C1" s="528"/>
      <c r="D1" s="528"/>
      <c r="E1" s="528"/>
      <c r="F1" s="528"/>
      <c r="G1" s="528"/>
      <c r="H1" s="528"/>
    </row>
    <row r="2" spans="1:9" ht="21" thickTop="1" x14ac:dyDescent="0.2">
      <c r="A2" s="2385" t="s">
        <v>945</v>
      </c>
      <c r="B2" s="2386"/>
      <c r="C2" s="2386"/>
      <c r="D2" s="2386"/>
      <c r="E2" s="2386"/>
      <c r="F2" s="2386"/>
      <c r="G2" s="2387"/>
    </row>
    <row r="3" spans="1:9" x14ac:dyDescent="0.2">
      <c r="A3" s="711"/>
      <c r="B3" s="1031"/>
      <c r="C3" s="1031"/>
      <c r="D3" s="1031"/>
      <c r="E3" s="1031"/>
      <c r="F3" s="1031"/>
      <c r="G3" s="1079"/>
    </row>
    <row r="4" spans="1:9" ht="17" thickBot="1" x14ac:dyDescent="0.25">
      <c r="A4" s="711"/>
      <c r="B4" s="160" t="s">
        <v>1</v>
      </c>
      <c r="C4" s="160" t="s">
        <v>2</v>
      </c>
      <c r="D4" s="160" t="s">
        <v>3</v>
      </c>
      <c r="E4" s="160" t="s">
        <v>4</v>
      </c>
      <c r="F4" s="160" t="s">
        <v>5</v>
      </c>
      <c r="G4" s="377" t="s">
        <v>6</v>
      </c>
    </row>
    <row r="5" spans="1:9" s="710" customFormat="1" ht="91" customHeight="1" x14ac:dyDescent="0.2">
      <c r="A5" s="1875"/>
      <c r="B5" s="708" t="s">
        <v>38</v>
      </c>
      <c r="C5" s="709" t="s">
        <v>39</v>
      </c>
      <c r="D5" s="709" t="s">
        <v>45</v>
      </c>
      <c r="E5" s="709" t="s">
        <v>62</v>
      </c>
      <c r="F5" s="709" t="s">
        <v>946</v>
      </c>
      <c r="G5" s="712" t="s">
        <v>947</v>
      </c>
    </row>
    <row r="6" spans="1:9" x14ac:dyDescent="0.2">
      <c r="A6" s="713">
        <v>1970</v>
      </c>
      <c r="B6" s="810">
        <v>2.1160000000000002E-2</v>
      </c>
      <c r="C6" s="811">
        <v>1.7889999999999996E-2</v>
      </c>
      <c r="D6" s="811">
        <v>1.627E-2</v>
      </c>
      <c r="E6" s="811">
        <v>3.0449999999999998E-2</v>
      </c>
      <c r="F6" s="707">
        <v>2.066752377010701E-2</v>
      </c>
      <c r="G6" s="714">
        <f t="shared" ref="G6:G51" si="0">F6/0.85</f>
        <v>2.4314733847184716E-2</v>
      </c>
      <c r="H6" s="549"/>
      <c r="I6" s="549"/>
    </row>
    <row r="7" spans="1:9" x14ac:dyDescent="0.2">
      <c r="A7" s="713">
        <v>1971</v>
      </c>
      <c r="B7" s="810">
        <v>1.89E-2</v>
      </c>
      <c r="C7" s="811">
        <v>1.4759999999999999E-2</v>
      </c>
      <c r="D7" s="811">
        <v>1.7430000000000001E-2</v>
      </c>
      <c r="E7" s="811">
        <v>2.5090000000000001E-2</v>
      </c>
      <c r="F7" s="707">
        <v>1.8118277142797894E-2</v>
      </c>
      <c r="G7" s="714">
        <f t="shared" si="0"/>
        <v>2.1315620167997523E-2</v>
      </c>
      <c r="H7" s="549"/>
      <c r="I7" s="549"/>
    </row>
    <row r="8" spans="1:9" x14ac:dyDescent="0.2">
      <c r="A8" s="713">
        <v>1972</v>
      </c>
      <c r="B8" s="810">
        <v>1.932E-2</v>
      </c>
      <c r="C8" s="811">
        <v>1.6140000000000002E-2</v>
      </c>
      <c r="D8" s="811">
        <v>1.8870000000000001E-2</v>
      </c>
      <c r="E8" s="811">
        <v>2.1000000000000001E-2</v>
      </c>
      <c r="F8" s="707">
        <v>1.8097053294012479E-2</v>
      </c>
      <c r="G8" s="714">
        <f t="shared" si="0"/>
        <v>2.1290650934132328E-2</v>
      </c>
      <c r="H8" s="549"/>
      <c r="I8" s="549"/>
    </row>
    <row r="9" spans="1:9" x14ac:dyDescent="0.2">
      <c r="A9" s="713">
        <v>1973</v>
      </c>
      <c r="B9" s="810">
        <v>2.0019999999999996E-2</v>
      </c>
      <c r="C9" s="811">
        <v>1.8579999999999999E-2</v>
      </c>
      <c r="D9" s="811">
        <v>1.6420000000000001E-2</v>
      </c>
      <c r="E9" s="811">
        <v>2.4670000000000001E-2</v>
      </c>
      <c r="F9" s="707">
        <v>1.9397233982498145E-2</v>
      </c>
      <c r="G9" s="714">
        <f t="shared" si="0"/>
        <v>2.282027527352723E-2</v>
      </c>
      <c r="H9" s="549"/>
      <c r="I9" s="549"/>
    </row>
    <row r="10" spans="1:9" x14ac:dyDescent="0.2">
      <c r="A10" s="713">
        <v>1974</v>
      </c>
      <c r="B10" s="810">
        <v>2.6749999999999999E-2</v>
      </c>
      <c r="C10" s="811">
        <v>1.7139999999999999E-2</v>
      </c>
      <c r="D10" s="811">
        <v>1.3169999999999998E-2</v>
      </c>
      <c r="E10" s="811">
        <v>3.2290000000000006E-2</v>
      </c>
      <c r="F10" s="707">
        <v>2.1259185851828889E-2</v>
      </c>
      <c r="G10" s="714">
        <f t="shared" si="0"/>
        <v>2.5010806884504574E-2</v>
      </c>
      <c r="H10" s="549"/>
      <c r="I10" s="549"/>
    </row>
    <row r="11" spans="1:9" x14ac:dyDescent="0.2">
      <c r="A11" s="713">
        <v>1975</v>
      </c>
      <c r="B11" s="810">
        <v>1.8100000000000002E-2</v>
      </c>
      <c r="C11" s="811">
        <v>1.5180000000000001E-2</v>
      </c>
      <c r="D11" s="811">
        <v>1.5469999999999999E-2</v>
      </c>
      <c r="E11" s="811">
        <v>2.1139999999999999E-2</v>
      </c>
      <c r="F11" s="707">
        <v>1.6785213751435952E-2</v>
      </c>
      <c r="G11" s="714">
        <f t="shared" si="0"/>
        <v>1.9747310295807004E-2</v>
      </c>
      <c r="H11" s="549"/>
      <c r="I11" s="549"/>
    </row>
    <row r="12" spans="1:9" x14ac:dyDescent="0.2">
      <c r="A12" s="713">
        <v>1976</v>
      </c>
      <c r="B12" s="810">
        <v>2.1509999999999994E-2</v>
      </c>
      <c r="C12" s="811">
        <v>1.6279999999999999E-2</v>
      </c>
      <c r="D12" s="811">
        <v>1.7040000000000003E-2</v>
      </c>
      <c r="E12" s="811">
        <v>1.6750000000000001E-2</v>
      </c>
      <c r="F12" s="707">
        <v>1.7590847773840835E-2</v>
      </c>
      <c r="G12" s="714">
        <f t="shared" si="0"/>
        <v>2.0695115028048043E-2</v>
      </c>
      <c r="H12" s="549"/>
      <c r="I12" s="549"/>
    </row>
    <row r="13" spans="1:9" x14ac:dyDescent="0.2">
      <c r="A13" s="713">
        <v>1977</v>
      </c>
      <c r="B13" s="810">
        <v>2.0840000000000001E-2</v>
      </c>
      <c r="C13" s="811">
        <v>2.0039999999999999E-2</v>
      </c>
      <c r="D13" s="811">
        <v>1.8050000000000004E-2</v>
      </c>
      <c r="E13" s="811">
        <v>2.0139999999999998E-2</v>
      </c>
      <c r="F13" s="707">
        <v>1.9614846579600425E-2</v>
      </c>
      <c r="G13" s="714">
        <f t="shared" si="0"/>
        <v>2.3076290093647558E-2</v>
      </c>
      <c r="H13" s="549"/>
      <c r="I13" s="549"/>
    </row>
    <row r="14" spans="1:9" x14ac:dyDescent="0.2">
      <c r="A14" s="713">
        <v>1978</v>
      </c>
      <c r="B14" s="810">
        <v>1.7689999999999997E-2</v>
      </c>
      <c r="C14" s="811">
        <v>2.1170000000000001E-2</v>
      </c>
      <c r="D14" s="811">
        <v>2.3870000000000002E-2</v>
      </c>
      <c r="E14" s="811">
        <v>2.1920000000000002E-2</v>
      </c>
      <c r="F14" s="707">
        <v>2.0456629633863497E-2</v>
      </c>
      <c r="G14" s="714">
        <f t="shared" si="0"/>
        <v>2.4066623098662938E-2</v>
      </c>
      <c r="H14" s="549"/>
      <c r="I14" s="549"/>
    </row>
    <row r="15" spans="1:9" x14ac:dyDescent="0.2">
      <c r="A15" s="713">
        <v>1979</v>
      </c>
      <c r="B15" s="810">
        <v>1.8269999999999998E-2</v>
      </c>
      <c r="C15" s="811">
        <v>2.1909999999999999E-2</v>
      </c>
      <c r="D15" s="811">
        <v>2.0859999999999997E-2</v>
      </c>
      <c r="E15" s="811">
        <v>2.3559999999999994E-2</v>
      </c>
      <c r="F15" s="707">
        <v>2.0752796203872922E-2</v>
      </c>
      <c r="G15" s="714">
        <f t="shared" si="0"/>
        <v>2.4415054357497558E-2</v>
      </c>
      <c r="H15" s="549"/>
      <c r="I15" s="549"/>
    </row>
    <row r="16" spans="1:9" x14ac:dyDescent="0.2">
      <c r="A16" s="713">
        <v>1980</v>
      </c>
      <c r="B16" s="810">
        <v>2.0209999999999999E-2</v>
      </c>
      <c r="C16" s="811">
        <v>1.9890000000000001E-2</v>
      </c>
      <c r="D16" s="811">
        <v>2.2380000000000001E-2</v>
      </c>
      <c r="E16" s="811">
        <v>2.7900000000000001E-2</v>
      </c>
      <c r="F16" s="707">
        <v>2.1753262780163606E-2</v>
      </c>
      <c r="G16" s="714">
        <f t="shared" si="0"/>
        <v>2.5592073859016008E-2</v>
      </c>
      <c r="H16" s="549"/>
      <c r="I16" s="549"/>
    </row>
    <row r="17" spans="1:9" x14ac:dyDescent="0.2">
      <c r="A17" s="713">
        <v>1981</v>
      </c>
      <c r="B17" s="810">
        <v>2.0549999999999999E-2</v>
      </c>
      <c r="C17" s="811">
        <v>1.806E-2</v>
      </c>
      <c r="D17" s="811">
        <v>2.4639999999999999E-2</v>
      </c>
      <c r="E17" s="811">
        <v>3.1480000000000001E-2</v>
      </c>
      <c r="F17" s="707">
        <v>2.2641379499949672E-2</v>
      </c>
      <c r="G17" s="714">
        <f t="shared" si="0"/>
        <v>2.6636917058764319E-2</v>
      </c>
      <c r="H17" s="549"/>
      <c r="I17" s="549"/>
    </row>
    <row r="18" spans="1:9" x14ac:dyDescent="0.2">
      <c r="A18" s="713">
        <v>1982</v>
      </c>
      <c r="B18" s="810">
        <v>2.1240000000000002E-2</v>
      </c>
      <c r="C18" s="811">
        <v>1.8110000000000001E-2</v>
      </c>
      <c r="D18" s="811">
        <v>2.8040000000000002E-2</v>
      </c>
      <c r="E18" s="811">
        <v>3.5590000000000004E-2</v>
      </c>
      <c r="F18" s="707">
        <v>2.4396230885268252E-2</v>
      </c>
      <c r="G18" s="714">
        <f t="shared" si="0"/>
        <v>2.8701448100315594E-2</v>
      </c>
      <c r="H18" s="549"/>
      <c r="I18" s="549"/>
    </row>
    <row r="19" spans="1:9" x14ac:dyDescent="0.2">
      <c r="A19" s="713">
        <v>1983</v>
      </c>
      <c r="B19" s="810">
        <v>1.8700000000000001E-2</v>
      </c>
      <c r="C19" s="811">
        <v>1.823E-2</v>
      </c>
      <c r="D19" s="811">
        <v>3.031E-2</v>
      </c>
      <c r="E19" s="811">
        <v>3.7370000000000007E-2</v>
      </c>
      <c r="F19" s="707">
        <v>2.4576894658283985E-2</v>
      </c>
      <c r="G19" s="714">
        <f t="shared" si="0"/>
        <v>2.8913993715628219E-2</v>
      </c>
      <c r="H19" s="549"/>
      <c r="I19" s="549"/>
    </row>
    <row r="20" spans="1:9" x14ac:dyDescent="0.2">
      <c r="A20" s="713">
        <v>1984</v>
      </c>
      <c r="B20" s="810">
        <v>1.8189999999999998E-2</v>
      </c>
      <c r="C20" s="811">
        <v>1.9179999999999996E-2</v>
      </c>
      <c r="D20" s="811">
        <v>3.243E-2</v>
      </c>
      <c r="E20" s="811">
        <v>4.0339999999999994E-2</v>
      </c>
      <c r="F20" s="707">
        <v>2.5844381212549176E-2</v>
      </c>
      <c r="G20" s="714">
        <f t="shared" si="0"/>
        <v>3.0405154367704912E-2</v>
      </c>
      <c r="H20" s="549"/>
      <c r="I20" s="549"/>
    </row>
    <row r="21" spans="1:9" x14ac:dyDescent="0.2">
      <c r="A21" s="713">
        <v>1985</v>
      </c>
      <c r="B21" s="810">
        <v>1.865E-2</v>
      </c>
      <c r="C21" s="811">
        <v>2.2090000000000002E-2</v>
      </c>
      <c r="D21" s="811">
        <v>3.0079999999999999E-2</v>
      </c>
      <c r="E21" s="811">
        <v>4.4210000000000006E-2</v>
      </c>
      <c r="F21" s="707">
        <v>2.742628261703858E-2</v>
      </c>
      <c r="G21" s="714">
        <f t="shared" si="0"/>
        <v>3.2266214843574802E-2</v>
      </c>
      <c r="H21" s="549"/>
      <c r="I21" s="549"/>
    </row>
    <row r="22" spans="1:9" x14ac:dyDescent="0.2">
      <c r="A22" s="713">
        <v>1986</v>
      </c>
      <c r="B22" s="810">
        <v>2.0760000000000001E-2</v>
      </c>
      <c r="C22" s="811">
        <v>2.1400000000000002E-2</v>
      </c>
      <c r="D22" s="811">
        <v>3.6030000000000006E-2</v>
      </c>
      <c r="E22" s="811">
        <v>3.7399999999999996E-2</v>
      </c>
      <c r="F22" s="707">
        <v>2.7148696390805582E-2</v>
      </c>
      <c r="G22" s="714">
        <f t="shared" si="0"/>
        <v>3.193964281271245E-2</v>
      </c>
      <c r="H22" s="549"/>
      <c r="I22" s="549"/>
    </row>
    <row r="23" spans="1:9" x14ac:dyDescent="0.2">
      <c r="A23" s="713">
        <v>1987</v>
      </c>
      <c r="B23" s="810">
        <v>2.1500000000000002E-2</v>
      </c>
      <c r="C23" s="811">
        <v>1.8350000000000002E-2</v>
      </c>
      <c r="D23" s="811">
        <v>3.5979999999999998E-2</v>
      </c>
      <c r="E23" s="811">
        <v>3.567E-2</v>
      </c>
      <c r="F23" s="707">
        <v>2.6038315981476903E-2</v>
      </c>
      <c r="G23" s="714">
        <f t="shared" si="0"/>
        <v>3.0633312919384592E-2</v>
      </c>
      <c r="H23" s="549"/>
      <c r="I23" s="549"/>
    </row>
    <row r="24" spans="1:9" x14ac:dyDescent="0.2">
      <c r="A24" s="713">
        <v>1988</v>
      </c>
      <c r="B24" s="810">
        <v>2.1730000000000003E-2</v>
      </c>
      <c r="C24" s="811">
        <v>1.9099999999999999E-2</v>
      </c>
      <c r="D24" s="811">
        <v>3.2450000000000007E-2</v>
      </c>
      <c r="E24" s="811">
        <v>3.6760000000000001E-2</v>
      </c>
      <c r="F24" s="707">
        <v>2.6081031495675276E-2</v>
      </c>
      <c r="G24" s="714">
        <f t="shared" si="0"/>
        <v>3.0683566465500325E-2</v>
      </c>
      <c r="H24" s="549"/>
      <c r="I24" s="549"/>
    </row>
    <row r="25" spans="1:9" x14ac:dyDescent="0.2">
      <c r="A25" s="713">
        <v>1989</v>
      </c>
      <c r="B25" s="810">
        <v>2.2609999999999998E-2</v>
      </c>
      <c r="C25" s="811">
        <v>1.9980000000000001E-2</v>
      </c>
      <c r="D25" s="811">
        <v>3.5739999999999994E-2</v>
      </c>
      <c r="E25" s="811">
        <v>4.1360000000000001E-2</v>
      </c>
      <c r="F25" s="707">
        <v>2.8449615017550656E-2</v>
      </c>
      <c r="G25" s="714">
        <f t="shared" si="0"/>
        <v>3.3470135314765476E-2</v>
      </c>
      <c r="H25" s="549"/>
      <c r="I25" s="549"/>
    </row>
    <row r="26" spans="1:9" x14ac:dyDescent="0.2">
      <c r="A26" s="713">
        <v>1990</v>
      </c>
      <c r="B26" s="810">
        <v>2.1839999999999998E-2</v>
      </c>
      <c r="C26" s="811">
        <v>1.6810000000000002E-2</v>
      </c>
      <c r="D26" s="811">
        <v>3.6519999999999997E-2</v>
      </c>
      <c r="E26" s="811">
        <v>3.2599999999999997E-2</v>
      </c>
      <c r="F26" s="707">
        <v>2.5523545870566763E-2</v>
      </c>
      <c r="G26" s="714">
        <f t="shared" si="0"/>
        <v>3.0027701024196191E-2</v>
      </c>
      <c r="H26" s="549"/>
      <c r="I26" s="549"/>
    </row>
    <row r="27" spans="1:9" x14ac:dyDescent="0.2">
      <c r="A27" s="713">
        <v>1991</v>
      </c>
      <c r="B27" s="810">
        <v>1.8419999999999999E-2</v>
      </c>
      <c r="C27" s="811">
        <v>1.5189999999999999E-2</v>
      </c>
      <c r="D27" s="811">
        <v>3.5310000000000001E-2</v>
      </c>
      <c r="E27" s="811">
        <v>2.5830000000000002E-2</v>
      </c>
      <c r="F27" s="707">
        <v>2.261711149841146E-2</v>
      </c>
      <c r="G27" s="714">
        <f t="shared" si="0"/>
        <v>2.6608366468719367E-2</v>
      </c>
      <c r="H27" s="549"/>
      <c r="I27" s="549"/>
    </row>
    <row r="28" spans="1:9" x14ac:dyDescent="0.2">
      <c r="A28" s="713">
        <v>1992</v>
      </c>
      <c r="B28" s="810">
        <v>1.9200000000000002E-2</v>
      </c>
      <c r="C28" s="811">
        <v>1.439E-2</v>
      </c>
      <c r="D28" s="811">
        <v>4.0789999999999993E-2</v>
      </c>
      <c r="E28" s="811">
        <v>1.9300000000000001E-2</v>
      </c>
      <c r="F28" s="707">
        <v>2.2141792684895554E-2</v>
      </c>
      <c r="G28" s="714">
        <f t="shared" si="0"/>
        <v>2.6049167864583004E-2</v>
      </c>
      <c r="H28" s="549"/>
      <c r="I28" s="549"/>
    </row>
    <row r="29" spans="1:9" x14ac:dyDescent="0.2">
      <c r="A29" s="713">
        <v>1993</v>
      </c>
      <c r="B29" s="810">
        <v>1.8960000000000001E-2</v>
      </c>
      <c r="C29" s="811">
        <v>1.2979999999999998E-2</v>
      </c>
      <c r="D29" s="811">
        <v>3.7599999999999995E-2</v>
      </c>
      <c r="E29" s="811">
        <v>1.7769999999999998E-2</v>
      </c>
      <c r="F29" s="707">
        <v>1.9994277457432822E-2</v>
      </c>
      <c r="G29" s="714">
        <f t="shared" si="0"/>
        <v>2.3522679361685672E-2</v>
      </c>
      <c r="H29" s="549"/>
      <c r="I29" s="549"/>
    </row>
    <row r="30" spans="1:9" x14ac:dyDescent="0.2">
      <c r="A30" s="713">
        <v>1994</v>
      </c>
      <c r="B30" s="810">
        <v>1.9359999999999999E-2</v>
      </c>
      <c r="C30" s="811">
        <v>1.0539999999999999E-2</v>
      </c>
      <c r="D30" s="811">
        <v>3.4429999999999995E-2</v>
      </c>
      <c r="E30" s="811">
        <v>2.0659999999999998E-2</v>
      </c>
      <c r="F30" s="707">
        <v>1.9009831299521534E-2</v>
      </c>
      <c r="G30" s="714">
        <f t="shared" si="0"/>
        <v>2.2364507411201804E-2</v>
      </c>
      <c r="H30" s="549"/>
      <c r="I30" s="549"/>
    </row>
    <row r="31" spans="1:9" x14ac:dyDescent="0.2">
      <c r="A31" s="713">
        <v>1995</v>
      </c>
      <c r="B31" s="810">
        <v>2.0410000000000001E-2</v>
      </c>
      <c r="C31" s="811">
        <v>1.0100000000000001E-2</v>
      </c>
      <c r="D31" s="811">
        <v>3.3490000000000006E-2</v>
      </c>
      <c r="E31" s="811">
        <v>2.4109999999999999E-2</v>
      </c>
      <c r="F31" s="707">
        <v>1.9582451923889035E-2</v>
      </c>
      <c r="G31" s="714">
        <f t="shared" si="0"/>
        <v>2.30381787339871E-2</v>
      </c>
      <c r="H31" s="549"/>
      <c r="I31" s="549"/>
    </row>
    <row r="32" spans="1:9" x14ac:dyDescent="0.2">
      <c r="A32" s="713">
        <v>1996</v>
      </c>
      <c r="B32" s="810">
        <v>2.247E-2</v>
      </c>
      <c r="C32" s="811">
        <v>1.3529999999999999E-2</v>
      </c>
      <c r="D32" s="811">
        <v>3.6939999999999994E-2</v>
      </c>
      <c r="E32" s="811">
        <v>2.7689999999999999E-2</v>
      </c>
      <c r="F32" s="707">
        <v>2.317594277567208E-2</v>
      </c>
      <c r="G32" s="714">
        <f t="shared" si="0"/>
        <v>2.7265815030202447E-2</v>
      </c>
      <c r="H32" s="549"/>
      <c r="I32" s="549"/>
    </row>
    <row r="33" spans="1:9" x14ac:dyDescent="0.2">
      <c r="A33" s="713">
        <v>1997</v>
      </c>
      <c r="B33" s="810">
        <v>2.5419999999999998E-2</v>
      </c>
      <c r="C33" s="811">
        <v>1.4319999999999999E-2</v>
      </c>
      <c r="D33" s="811">
        <v>3.9309999999999998E-2</v>
      </c>
      <c r="E33" s="811">
        <v>3.4230000000000003E-2</v>
      </c>
      <c r="F33" s="707">
        <v>2.6453515057654774E-2</v>
      </c>
      <c r="G33" s="714">
        <f t="shared" si="0"/>
        <v>3.1121782420770322E-2</v>
      </c>
      <c r="H33" s="549"/>
      <c r="I33" s="549"/>
    </row>
    <row r="34" spans="1:9" x14ac:dyDescent="0.2">
      <c r="A34" s="713">
        <v>1998</v>
      </c>
      <c r="B34" s="810">
        <v>2.5710000000000004E-2</v>
      </c>
      <c r="C34" s="811">
        <v>1.545E-2</v>
      </c>
      <c r="D34" s="811">
        <v>2.8169999999999997E-2</v>
      </c>
      <c r="E34" s="811">
        <v>3.483E-2</v>
      </c>
      <c r="F34" s="707">
        <v>2.4917944765257504E-2</v>
      </c>
      <c r="G34" s="714">
        <f t="shared" si="0"/>
        <v>2.9315229135597063E-2</v>
      </c>
      <c r="H34" s="549"/>
      <c r="I34" s="549"/>
    </row>
    <row r="35" spans="1:9" x14ac:dyDescent="0.2">
      <c r="A35" s="713">
        <v>1999</v>
      </c>
      <c r="B35" s="810">
        <v>2.8709999999999999E-2</v>
      </c>
      <c r="C35" s="811">
        <v>1.7250000000000001E-2</v>
      </c>
      <c r="D35" s="811">
        <v>3.1489999999999997E-2</v>
      </c>
      <c r="E35" s="811">
        <v>3.2190000000000003E-2</v>
      </c>
      <c r="F35" s="707">
        <v>2.6253053241328872E-2</v>
      </c>
      <c r="G35" s="714">
        <f t="shared" si="0"/>
        <v>3.0885944989798672E-2</v>
      </c>
      <c r="H35" s="549"/>
      <c r="I35" s="549"/>
    </row>
    <row r="36" spans="1:9" x14ac:dyDescent="0.2">
      <c r="A36" s="713">
        <v>2000</v>
      </c>
      <c r="B36" s="810">
        <v>2.9760000000000002E-2</v>
      </c>
      <c r="C36" s="811">
        <v>1.7520000000000001E-2</v>
      </c>
      <c r="D36" s="811">
        <v>2.7999999999999997E-2</v>
      </c>
      <c r="E36" s="811">
        <v>3.1879999999999999E-2</v>
      </c>
      <c r="F36" s="707">
        <v>2.6001460549413109E-2</v>
      </c>
      <c r="G36" s="714">
        <f t="shared" si="0"/>
        <v>3.0589953587544835E-2</v>
      </c>
      <c r="H36" s="549"/>
      <c r="I36" s="549"/>
    </row>
    <row r="37" spans="1:9" x14ac:dyDescent="0.2">
      <c r="A37" s="713">
        <v>2001</v>
      </c>
      <c r="B37" s="810">
        <v>3.2660000000000008E-2</v>
      </c>
      <c r="C37" s="811">
        <v>5.8100000000000001E-3</v>
      </c>
      <c r="D37" s="811">
        <v>3.3709999999999997E-2</v>
      </c>
      <c r="E37" s="811">
        <v>3.134E-2</v>
      </c>
      <c r="F37" s="707">
        <v>2.3854445599094439E-2</v>
      </c>
      <c r="G37" s="714">
        <f t="shared" si="0"/>
        <v>2.8064053645993459E-2</v>
      </c>
      <c r="H37" s="549"/>
      <c r="I37" s="549"/>
    </row>
    <row r="38" spans="1:9" x14ac:dyDescent="0.2">
      <c r="A38" s="713">
        <v>2002</v>
      </c>
      <c r="B38" s="810">
        <v>2.7839999999999997E-2</v>
      </c>
      <c r="C38" s="811">
        <v>9.8300000000000002E-3</v>
      </c>
      <c r="D38" s="811">
        <v>2.9969999999999997E-2</v>
      </c>
      <c r="E38" s="811">
        <v>2.588E-2</v>
      </c>
      <c r="F38" s="707">
        <v>2.2013180420553859E-2</v>
      </c>
      <c r="G38" s="714">
        <f t="shared" si="0"/>
        <v>2.5897859318298657E-2</v>
      </c>
      <c r="H38" s="549"/>
      <c r="I38" s="549"/>
    </row>
    <row r="39" spans="1:9" x14ac:dyDescent="0.2">
      <c r="A39" s="713">
        <v>2003</v>
      </c>
      <c r="B39" s="810">
        <v>2.4170000000000001E-2</v>
      </c>
      <c r="C39" s="811">
        <v>1.2280000000000001E-2</v>
      </c>
      <c r="D39" s="811">
        <v>2.6610000000000002E-2</v>
      </c>
      <c r="E39" s="811">
        <v>2.479E-2</v>
      </c>
      <c r="F39" s="707">
        <v>2.0992948306607705E-2</v>
      </c>
      <c r="G39" s="714">
        <f t="shared" si="0"/>
        <v>2.4697586243067889E-2</v>
      </c>
      <c r="H39" s="549"/>
      <c r="I39" s="549"/>
    </row>
    <row r="40" spans="1:9" x14ac:dyDescent="0.2">
      <c r="A40" s="713">
        <v>2004</v>
      </c>
      <c r="B40" s="810">
        <v>2.6819999999999997E-2</v>
      </c>
      <c r="C40" s="811">
        <v>1.5029999999999998E-2</v>
      </c>
      <c r="D40" s="811">
        <v>2.7069999999999997E-2</v>
      </c>
      <c r="E40" s="811">
        <v>2.6120000000000001E-2</v>
      </c>
      <c r="F40" s="707">
        <v>2.2819106093671947E-2</v>
      </c>
      <c r="G40" s="714">
        <f t="shared" si="0"/>
        <v>2.6846007169025823E-2</v>
      </c>
      <c r="H40" s="549"/>
      <c r="I40" s="549"/>
    </row>
    <row r="41" spans="1:9" x14ac:dyDescent="0.2">
      <c r="A41" s="713">
        <v>2005</v>
      </c>
      <c r="B41" s="810">
        <v>2.3519999999999996E-2</v>
      </c>
      <c r="C41" s="811">
        <v>1.737E-2</v>
      </c>
      <c r="D41" s="811">
        <v>2.2460000000000001E-2</v>
      </c>
      <c r="E41" s="811">
        <v>3.0290000000000001E-2</v>
      </c>
      <c r="F41" s="707">
        <v>2.2939286425762914E-2</v>
      </c>
      <c r="G41" s="714">
        <f t="shared" si="0"/>
        <v>2.6987395795015193E-2</v>
      </c>
      <c r="H41" s="549"/>
      <c r="I41" s="549"/>
    </row>
    <row r="42" spans="1:9" x14ac:dyDescent="0.2">
      <c r="A42" s="713">
        <v>2006</v>
      </c>
      <c r="B42" s="810">
        <v>2.8929999999999997E-2</v>
      </c>
      <c r="C42" s="811">
        <v>2.1100000000000001E-2</v>
      </c>
      <c r="D42" s="811">
        <v>2.7710000000000002E-2</v>
      </c>
      <c r="E42" s="811">
        <v>3.5889999999999991E-2</v>
      </c>
      <c r="F42" s="707">
        <v>2.7821224442074206E-2</v>
      </c>
      <c r="G42" s="714">
        <f t="shared" si="0"/>
        <v>3.2730852284793187E-2</v>
      </c>
      <c r="H42" s="549"/>
      <c r="I42" s="549"/>
    </row>
    <row r="43" spans="1:9" x14ac:dyDescent="0.2">
      <c r="A43" s="713">
        <v>2007</v>
      </c>
      <c r="B43" s="810">
        <v>2.8910000000000002E-2</v>
      </c>
      <c r="C43" s="811">
        <v>2.1780000000000001E-2</v>
      </c>
      <c r="D43" s="811">
        <v>3.1390000000000001E-2</v>
      </c>
      <c r="E43" s="811">
        <v>3.1199999999999999E-2</v>
      </c>
      <c r="F43" s="707">
        <v>2.75098709157338E-2</v>
      </c>
      <c r="G43" s="714">
        <f t="shared" si="0"/>
        <v>3.2364554018510357E-2</v>
      </c>
      <c r="H43" s="549"/>
      <c r="I43" s="549"/>
    </row>
    <row r="44" spans="1:9" x14ac:dyDescent="0.2">
      <c r="A44" s="713">
        <v>2008</v>
      </c>
      <c r="B44" s="810">
        <v>2.8390000000000002E-2</v>
      </c>
      <c r="C44" s="811">
        <v>1.8940000000000002E-2</v>
      </c>
      <c r="D44" s="811">
        <v>2.9260000000000005E-2</v>
      </c>
      <c r="E44" s="811">
        <v>3.2999999999999995E-2</v>
      </c>
      <c r="F44" s="707">
        <v>2.6512912527066147E-2</v>
      </c>
      <c r="G44" s="714">
        <f t="shared" si="0"/>
        <v>3.119166179654841E-2</v>
      </c>
      <c r="H44" s="549"/>
      <c r="I44" s="549"/>
    </row>
    <row r="45" spans="1:9" x14ac:dyDescent="0.2">
      <c r="A45" s="713">
        <v>2009</v>
      </c>
      <c r="B45" s="810">
        <v>1.43E-2</v>
      </c>
      <c r="C45" s="811">
        <v>1.3220000000000001E-2</v>
      </c>
      <c r="D45" s="811">
        <v>2.3809999999999998E-2</v>
      </c>
      <c r="E45" s="811">
        <v>2.5499999999999998E-2</v>
      </c>
      <c r="F45" s="707">
        <v>1.8163904560756026E-2</v>
      </c>
      <c r="G45" s="714">
        <f t="shared" si="0"/>
        <v>2.1369299483242385E-2</v>
      </c>
      <c r="H45" s="549"/>
      <c r="I45" s="549"/>
    </row>
    <row r="46" spans="1:9" x14ac:dyDescent="0.2">
      <c r="A46" s="713">
        <v>2010</v>
      </c>
      <c r="B46" s="810">
        <v>2.3350000000000003E-2</v>
      </c>
      <c r="C46" s="811">
        <v>1.49E-2</v>
      </c>
      <c r="D46" s="811">
        <v>2.2899999999999997E-2</v>
      </c>
      <c r="E46" s="811">
        <v>2.844E-2</v>
      </c>
      <c r="F46" s="707">
        <v>2.1406379231113583E-2</v>
      </c>
      <c r="G46" s="714">
        <f t="shared" si="0"/>
        <v>2.5183975566015981E-2</v>
      </c>
      <c r="H46" s="549"/>
      <c r="I46" s="549"/>
    </row>
    <row r="47" spans="1:9" x14ac:dyDescent="0.2">
      <c r="A47" s="713">
        <v>2011</v>
      </c>
      <c r="B47" s="810">
        <v>2.6259999999999999E-2</v>
      </c>
      <c r="C47" s="811">
        <v>1.6789999999999999E-2</v>
      </c>
      <c r="D47" s="811">
        <v>2.1860000000000001E-2</v>
      </c>
      <c r="E47" s="811">
        <v>2.8660000000000001E-2</v>
      </c>
      <c r="F47" s="707">
        <v>2.2476996285876905E-2</v>
      </c>
      <c r="G47" s="714">
        <f t="shared" si="0"/>
        <v>2.6443525042208125E-2</v>
      </c>
      <c r="H47" s="549"/>
      <c r="I47" s="549"/>
    </row>
    <row r="48" spans="1:9" x14ac:dyDescent="0.2">
      <c r="A48" s="713">
        <v>2012</v>
      </c>
      <c r="B48" s="810">
        <v>2.5899999999999996E-2</v>
      </c>
      <c r="C48" s="811">
        <v>1.7199999999999997E-2</v>
      </c>
      <c r="D48" s="811">
        <v>2.393E-2</v>
      </c>
      <c r="E48" s="811">
        <v>2.6609999999999998E-2</v>
      </c>
      <c r="F48" s="707">
        <v>2.2643778077388634E-2</v>
      </c>
      <c r="G48" s="714">
        <f t="shared" si="0"/>
        <v>2.6639738914574863E-2</v>
      </c>
      <c r="H48" s="549"/>
      <c r="I48" s="549"/>
    </row>
    <row r="49" spans="1:12" x14ac:dyDescent="0.2">
      <c r="A49" s="713">
        <v>2013</v>
      </c>
      <c r="B49" s="810">
        <v>2.6390000000000004E-2</v>
      </c>
      <c r="C49" s="811">
        <v>1.7869999999999997E-2</v>
      </c>
      <c r="D49" s="811">
        <v>2.5670000000000002E-2</v>
      </c>
      <c r="E49" s="811">
        <v>2.5059999999999999E-2</v>
      </c>
      <c r="F49" s="707">
        <v>2.2917418684582139E-2</v>
      </c>
      <c r="G49" s="714">
        <f t="shared" si="0"/>
        <v>2.6961669040684869E-2</v>
      </c>
      <c r="H49" s="549"/>
      <c r="I49" s="549"/>
    </row>
    <row r="50" spans="1:12" x14ac:dyDescent="0.2">
      <c r="A50" s="713">
        <v>2014</v>
      </c>
      <c r="B50" s="810">
        <v>2.3210000000000001E-2</v>
      </c>
      <c r="C50" s="811">
        <v>1.7430000000000001E-2</v>
      </c>
      <c r="D50" s="811">
        <v>2.1870000000000001E-2</v>
      </c>
      <c r="E50" s="811">
        <v>2.3989999999999997E-2</v>
      </c>
      <c r="F50" s="707">
        <v>2.1143800869511526E-2</v>
      </c>
      <c r="G50" s="714">
        <f t="shared" si="0"/>
        <v>2.4875059846484148E-2</v>
      </c>
      <c r="H50" s="549"/>
      <c r="I50" s="549"/>
    </row>
    <row r="51" spans="1:12" ht="17" thickBot="1" x14ac:dyDescent="0.25">
      <c r="A51" s="715">
        <v>2015</v>
      </c>
      <c r="B51" s="812">
        <v>2.112E-2</v>
      </c>
      <c r="C51" s="813">
        <v>1.7440000000000001E-2</v>
      </c>
      <c r="D51" s="813">
        <v>2.06E-2</v>
      </c>
      <c r="E51" s="813">
        <v>2.4539999999999999E-2</v>
      </c>
      <c r="F51" s="716">
        <v>2.0686571072367189E-2</v>
      </c>
      <c r="G51" s="717">
        <f t="shared" si="0"/>
        <v>2.4337142438079048E-2</v>
      </c>
      <c r="H51" s="549"/>
      <c r="I51" s="549"/>
    </row>
    <row r="52" spans="1:12" ht="18" thickTop="1" thickBot="1" x14ac:dyDescent="0.25">
      <c r="A52" s="551"/>
      <c r="B52" s="550"/>
      <c r="C52" s="551"/>
      <c r="D52" s="551"/>
      <c r="E52" s="551"/>
      <c r="F52" s="551"/>
      <c r="G52" s="551"/>
      <c r="H52" s="549"/>
      <c r="I52" s="549"/>
    </row>
    <row r="53" spans="1:12" x14ac:dyDescent="0.2">
      <c r="A53" s="2388" t="s">
        <v>948</v>
      </c>
      <c r="B53" s="2389"/>
      <c r="C53" s="2389"/>
      <c r="D53" s="2389"/>
      <c r="E53" s="2389"/>
      <c r="F53" s="2389"/>
      <c r="G53" s="2390"/>
      <c r="H53" s="549"/>
      <c r="I53" s="549"/>
    </row>
    <row r="54" spans="1:12" ht="17" thickBot="1" x14ac:dyDescent="0.25">
      <c r="A54" s="2391"/>
      <c r="B54" s="2392"/>
      <c r="C54" s="2392"/>
      <c r="D54" s="2392"/>
      <c r="E54" s="2392"/>
      <c r="F54" s="2392"/>
      <c r="G54" s="2393"/>
      <c r="H54" s="549"/>
      <c r="I54" s="549"/>
    </row>
    <row r="55" spans="1:12" x14ac:dyDescent="0.2">
      <c r="A55" s="551"/>
      <c r="B55" s="1722"/>
      <c r="C55" s="958"/>
      <c r="D55" s="958"/>
      <c r="E55" s="958"/>
      <c r="F55" s="958"/>
      <c r="G55" s="958"/>
    </row>
    <row r="56" spans="1:12" x14ac:dyDescent="0.2">
      <c r="A56" s="958"/>
      <c r="B56" s="958"/>
      <c r="C56" s="958"/>
      <c r="D56" s="958"/>
      <c r="E56" s="958"/>
      <c r="F56" s="958"/>
      <c r="G56" s="958"/>
      <c r="L56" s="528"/>
    </row>
    <row r="57" spans="1:12" x14ac:dyDescent="0.2">
      <c r="A57" s="552"/>
      <c r="B57" s="552"/>
      <c r="C57" s="958"/>
      <c r="D57" s="958"/>
      <c r="E57" s="958"/>
      <c r="F57" s="958"/>
      <c r="G57" s="958"/>
    </row>
    <row r="58" spans="1:12" x14ac:dyDescent="0.2">
      <c r="A58" s="552"/>
      <c r="B58" s="553"/>
      <c r="C58" s="958"/>
      <c r="D58" s="958"/>
      <c r="E58" s="958"/>
      <c r="F58" s="958"/>
      <c r="G58" s="958"/>
    </row>
    <row r="59" spans="1:12" x14ac:dyDescent="0.2">
      <c r="A59" s="552"/>
      <c r="B59" s="552"/>
      <c r="C59" s="958"/>
      <c r="D59" s="958"/>
      <c r="E59" s="958"/>
      <c r="F59" s="958"/>
      <c r="G59" s="958"/>
    </row>
    <row r="60" spans="1:12" x14ac:dyDescent="0.2">
      <c r="A60" s="958"/>
      <c r="B60" s="958"/>
      <c r="C60" s="958"/>
      <c r="D60" s="958"/>
      <c r="E60" s="958"/>
      <c r="F60" s="958"/>
      <c r="G60" s="958"/>
    </row>
    <row r="61" spans="1:12" x14ac:dyDescent="0.2">
      <c r="A61" s="958"/>
      <c r="B61" s="958"/>
      <c r="C61" s="958"/>
      <c r="D61" s="958"/>
      <c r="E61" s="958"/>
      <c r="F61" s="958"/>
      <c r="G61" s="958"/>
    </row>
    <row r="62" spans="1:12" x14ac:dyDescent="0.2">
      <c r="A62" s="958"/>
      <c r="B62" s="958"/>
      <c r="C62" s="958"/>
      <c r="D62" s="958"/>
      <c r="E62" s="958"/>
      <c r="F62" s="958"/>
      <c r="G62" s="958"/>
    </row>
  </sheetData>
  <mergeCells count="2">
    <mergeCell ref="A2:G2"/>
    <mergeCell ref="A53:G54"/>
  </mergeCells>
  <pageMargins left="0.7" right="0.7" top="0.75" bottom="0.75" header="0.3" footer="0.3"/>
  <pageSetup paperSize="9" scale="84" orientation="portrait"/>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H16"/>
  <sheetViews>
    <sheetView workbookViewId="0">
      <selection activeCell="L14" sqref="L14"/>
    </sheetView>
  </sheetViews>
  <sheetFormatPr baseColWidth="10" defaultColWidth="8.83203125" defaultRowHeight="16" x14ac:dyDescent="0.2"/>
  <cols>
    <col min="1" max="1" width="15.6640625" style="143" customWidth="1"/>
    <col min="2" max="3" width="23.1640625" style="143" customWidth="1"/>
    <col min="4" max="4" width="24.1640625" style="143" customWidth="1"/>
    <col min="5" max="16384" width="8.83203125" style="143"/>
  </cols>
  <sheetData>
    <row r="1" spans="1:8" ht="17" thickBot="1" x14ac:dyDescent="0.25">
      <c r="A1" s="958"/>
      <c r="B1" s="958"/>
      <c r="C1" s="958"/>
      <c r="D1" s="958"/>
      <c r="E1" s="958"/>
      <c r="F1" s="958"/>
      <c r="G1" s="958"/>
      <c r="H1" s="958"/>
    </row>
    <row r="2" spans="1:8" ht="40" customHeight="1" thickTop="1" x14ac:dyDescent="0.2">
      <c r="A2" s="2394" t="s">
        <v>949</v>
      </c>
      <c r="B2" s="2395"/>
      <c r="C2" s="2395"/>
      <c r="D2" s="2396"/>
      <c r="E2" s="958"/>
      <c r="F2" s="958"/>
      <c r="G2" s="958"/>
      <c r="H2" s="958"/>
    </row>
    <row r="3" spans="1:8" x14ac:dyDescent="0.2">
      <c r="A3" s="1154"/>
      <c r="B3" s="1031"/>
      <c r="C3" s="1031"/>
      <c r="D3" s="1079"/>
      <c r="E3" s="958"/>
      <c r="F3" s="958"/>
      <c r="G3" s="958"/>
      <c r="H3" s="958"/>
    </row>
    <row r="4" spans="1:8" ht="17" thickBot="1" x14ac:dyDescent="0.25">
      <c r="A4" s="718"/>
      <c r="B4" s="1866" t="s">
        <v>1</v>
      </c>
      <c r="C4" s="1866" t="s">
        <v>2</v>
      </c>
      <c r="D4" s="1679" t="s">
        <v>3</v>
      </c>
      <c r="E4" s="958"/>
      <c r="F4" s="958"/>
      <c r="G4" s="958"/>
      <c r="H4" s="1866"/>
    </row>
    <row r="5" spans="1:8" ht="31" x14ac:dyDescent="0.2">
      <c r="A5" s="1876"/>
      <c r="B5" s="570" t="s">
        <v>950</v>
      </c>
      <c r="C5" s="571" t="s">
        <v>951</v>
      </c>
      <c r="D5" s="719" t="s">
        <v>952</v>
      </c>
      <c r="E5" s="958"/>
      <c r="F5" s="958"/>
      <c r="G5" s="958"/>
      <c r="H5" s="569"/>
    </row>
    <row r="6" spans="1:8" x14ac:dyDescent="0.2">
      <c r="A6" s="720" t="s">
        <v>953</v>
      </c>
      <c r="B6" s="567"/>
      <c r="C6" s="565">
        <v>3.3000000000000002E-2</v>
      </c>
      <c r="D6" s="721">
        <f>D7*C6/C7</f>
        <v>1.0425330907353418E-2</v>
      </c>
      <c r="E6" s="958"/>
      <c r="F6" s="958"/>
      <c r="G6" s="958"/>
      <c r="H6" s="958"/>
    </row>
    <row r="7" spans="1:8" x14ac:dyDescent="0.2">
      <c r="A7" s="720" t="s">
        <v>954</v>
      </c>
      <c r="B7" s="567"/>
      <c r="C7" s="565">
        <v>3.5000000000000003E-2</v>
      </c>
      <c r="D7" s="722">
        <f>D8*C7/C8</f>
        <v>1.1057169144162717E-2</v>
      </c>
      <c r="E7" s="958"/>
      <c r="F7" s="958"/>
      <c r="G7" s="958"/>
      <c r="H7" s="958"/>
    </row>
    <row r="8" spans="1:8" x14ac:dyDescent="0.2">
      <c r="A8" s="720" t="s">
        <v>955</v>
      </c>
      <c r="B8" s="567"/>
      <c r="C8" s="565">
        <v>5.8000000000000003E-2</v>
      </c>
      <c r="D8" s="722">
        <f>D9*C8/C9</f>
        <v>1.8323308867469645E-2</v>
      </c>
      <c r="E8" s="958"/>
      <c r="F8" s="958"/>
      <c r="G8" s="958"/>
      <c r="H8" s="958"/>
    </row>
    <row r="9" spans="1:8" x14ac:dyDescent="0.2">
      <c r="A9" s="720" t="s">
        <v>956</v>
      </c>
      <c r="B9" s="567"/>
      <c r="C9" s="565">
        <v>6.4000000000000001E-2</v>
      </c>
      <c r="D9" s="722">
        <f>D10*C9/C10</f>
        <v>2.0218823577897539E-2</v>
      </c>
      <c r="E9" s="958"/>
      <c r="F9" s="958"/>
      <c r="G9" s="958"/>
      <c r="H9" s="958"/>
    </row>
    <row r="10" spans="1:8" x14ac:dyDescent="0.2">
      <c r="A10" s="720" t="s">
        <v>957</v>
      </c>
      <c r="B10" s="567"/>
      <c r="C10" s="565">
        <v>0.111</v>
      </c>
      <c r="D10" s="722">
        <f>B11*C10/C11</f>
        <v>3.5067022142916043E-2</v>
      </c>
      <c r="E10" s="958"/>
      <c r="F10" s="958"/>
      <c r="G10" s="958"/>
      <c r="H10" s="958"/>
    </row>
    <row r="11" spans="1:8" x14ac:dyDescent="0.2">
      <c r="A11" s="713" t="s">
        <v>958</v>
      </c>
      <c r="B11" s="568">
        <f>AVERAGE(TableC6!M13:M22)</f>
        <v>4.2017242747818324E-2</v>
      </c>
      <c r="C11" s="566">
        <v>0.13300000000000001</v>
      </c>
      <c r="D11" s="1723">
        <f>+B11</f>
        <v>4.2017242747818324E-2</v>
      </c>
      <c r="E11" s="958"/>
      <c r="F11" s="958"/>
      <c r="G11" s="958"/>
      <c r="H11" s="958"/>
    </row>
    <row r="12" spans="1:8" x14ac:dyDescent="0.2">
      <c r="A12" s="713" t="s">
        <v>959</v>
      </c>
      <c r="B12" s="568">
        <f>AVERAGE(TableC6!M23:M32)</f>
        <v>5.4207827423913016E-2</v>
      </c>
      <c r="C12" s="566">
        <v>0.13100000000000001</v>
      </c>
      <c r="D12" s="1723">
        <f>+B12</f>
        <v>5.4207827423913016E-2</v>
      </c>
      <c r="E12" s="958"/>
      <c r="F12" s="958"/>
      <c r="G12" s="958"/>
      <c r="H12" s="958"/>
    </row>
    <row r="13" spans="1:8" x14ac:dyDescent="0.2">
      <c r="A13" s="713" t="s">
        <v>960</v>
      </c>
      <c r="B13" s="568">
        <f>AVERAGE(TableC6!M33:M42)</f>
        <v>0.13052595912927956</v>
      </c>
      <c r="C13" s="566">
        <v>0.20399999999999999</v>
      </c>
      <c r="D13" s="1723">
        <f>+B13</f>
        <v>0.13052595912927956</v>
      </c>
      <c r="E13" s="958"/>
      <c r="F13" s="958"/>
      <c r="G13" s="958"/>
      <c r="H13" s="958"/>
    </row>
    <row r="14" spans="1:8" ht="17" thickBot="1" x14ac:dyDescent="0.25">
      <c r="A14" s="715" t="s">
        <v>961</v>
      </c>
      <c r="B14" s="723">
        <f>AVERAGE(TableC6!M43:M48)</f>
        <v>0.16181784544476441</v>
      </c>
      <c r="C14" s="724">
        <v>0.223</v>
      </c>
      <c r="D14" s="1724">
        <f>+B14</f>
        <v>0.16181784544476441</v>
      </c>
      <c r="E14" s="958"/>
      <c r="F14" s="958"/>
      <c r="G14" s="958"/>
      <c r="H14" s="958"/>
    </row>
    <row r="15" spans="1:8" ht="17" thickTop="1" x14ac:dyDescent="0.2">
      <c r="A15" s="1031"/>
      <c r="B15" s="1031"/>
      <c r="C15" s="958"/>
      <c r="D15" s="1031"/>
      <c r="E15" s="958"/>
      <c r="F15" s="958"/>
      <c r="G15" s="958"/>
      <c r="H15" s="1031"/>
    </row>
    <row r="16" spans="1:8" x14ac:dyDescent="0.2">
      <c r="A16" s="1031"/>
      <c r="B16" s="1031"/>
      <c r="C16" s="1031"/>
      <c r="D16" s="1031"/>
      <c r="E16" s="958"/>
      <c r="F16" s="958"/>
      <c r="G16" s="958"/>
      <c r="H16" s="958"/>
    </row>
  </sheetData>
  <mergeCells count="1">
    <mergeCell ref="A2:D2"/>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AD10"/>
  <sheetViews>
    <sheetView workbookViewId="0">
      <selection activeCell="E21" sqref="E21"/>
    </sheetView>
  </sheetViews>
  <sheetFormatPr baseColWidth="10" defaultColWidth="8.83203125" defaultRowHeight="16" x14ac:dyDescent="0.2"/>
  <cols>
    <col min="2" max="2" width="21.5" bestFit="1" customWidth="1"/>
    <col min="3" max="4" width="10" bestFit="1" customWidth="1"/>
    <col min="5" max="5" width="10.6640625" bestFit="1" customWidth="1"/>
    <col min="6" max="7" width="8.33203125" bestFit="1" customWidth="1"/>
    <col min="8" max="8" width="10.6640625" bestFit="1" customWidth="1"/>
    <col min="11" max="11" width="10.6640625" bestFit="1" customWidth="1"/>
    <col min="12" max="12" width="10" bestFit="1" customWidth="1"/>
    <col min="13" max="13" width="15.33203125" bestFit="1" customWidth="1"/>
    <col min="14" max="14" width="12.6640625" customWidth="1"/>
  </cols>
  <sheetData>
    <row r="1" spans="2:30" ht="17" thickBot="1" x14ac:dyDescent="0.25"/>
    <row r="2" spans="2:30" x14ac:dyDescent="0.2">
      <c r="B2" s="945"/>
      <c r="C2" s="2403" t="s">
        <v>962</v>
      </c>
      <c r="D2" s="2403"/>
      <c r="E2" s="2403"/>
      <c r="F2" s="2403"/>
      <c r="G2" s="2403"/>
      <c r="H2" s="2403"/>
      <c r="I2" s="2403"/>
      <c r="J2" s="2403"/>
      <c r="K2" s="2403"/>
      <c r="L2" s="2403"/>
      <c r="M2" s="2403"/>
      <c r="N2" s="2404"/>
    </row>
    <row r="3" spans="2:30" x14ac:dyDescent="0.2">
      <c r="B3" s="527"/>
      <c r="C3" s="944" t="s">
        <v>1</v>
      </c>
      <c r="D3" s="944" t="s">
        <v>2</v>
      </c>
      <c r="E3" s="944" t="s">
        <v>3</v>
      </c>
      <c r="F3" s="944" t="s">
        <v>4</v>
      </c>
      <c r="G3" s="944" t="s">
        <v>5</v>
      </c>
      <c r="H3" s="944" t="s">
        <v>6</v>
      </c>
      <c r="I3" s="944" t="s">
        <v>7</v>
      </c>
      <c r="J3" s="944" t="s">
        <v>8</v>
      </c>
      <c r="K3" s="944" t="s">
        <v>9</v>
      </c>
      <c r="L3" s="944" t="s">
        <v>10</v>
      </c>
      <c r="M3" s="944" t="s">
        <v>11</v>
      </c>
      <c r="N3" s="943" t="s">
        <v>12</v>
      </c>
    </row>
    <row r="4" spans="2:30" s="690" customFormat="1" ht="50.25" customHeight="1" x14ac:dyDescent="0.2">
      <c r="B4" s="1725"/>
      <c r="C4" s="2400" t="s">
        <v>963</v>
      </c>
      <c r="D4" s="2401"/>
      <c r="E4" s="2405"/>
      <c r="F4" s="2400" t="s">
        <v>964</v>
      </c>
      <c r="G4" s="2401"/>
      <c r="H4" s="2402"/>
      <c r="I4" s="2406" t="s">
        <v>965</v>
      </c>
      <c r="J4" s="2401"/>
      <c r="K4" s="2405"/>
      <c r="L4" s="2400" t="s">
        <v>966</v>
      </c>
      <c r="M4" s="2401"/>
      <c r="N4" s="2402"/>
    </row>
    <row r="5" spans="2:30" x14ac:dyDescent="0.2">
      <c r="B5" s="942"/>
      <c r="C5" s="940">
        <v>2017</v>
      </c>
      <c r="D5" s="939">
        <v>2016</v>
      </c>
      <c r="E5" s="941" t="s">
        <v>967</v>
      </c>
      <c r="F5" s="940">
        <v>2017</v>
      </c>
      <c r="G5" s="939">
        <v>2016</v>
      </c>
      <c r="H5" s="941" t="s">
        <v>967</v>
      </c>
      <c r="I5" s="940">
        <v>2017</v>
      </c>
      <c r="J5" s="939">
        <v>2016</v>
      </c>
      <c r="K5" s="941" t="s">
        <v>967</v>
      </c>
      <c r="L5" s="940">
        <v>2017</v>
      </c>
      <c r="M5" s="939">
        <v>2016</v>
      </c>
      <c r="N5" s="938" t="s">
        <v>967</v>
      </c>
    </row>
    <row r="6" spans="2:30" x14ac:dyDescent="0.2">
      <c r="B6" s="937" t="s">
        <v>344</v>
      </c>
      <c r="C6" s="935">
        <v>2022023.8898980001</v>
      </c>
      <c r="D6" s="934">
        <v>1420512.5125050002</v>
      </c>
      <c r="E6" s="936">
        <f>+C6/D6</f>
        <v>1.4234467293302935</v>
      </c>
      <c r="F6" s="935"/>
      <c r="G6" s="934"/>
      <c r="H6" s="936"/>
      <c r="I6" s="935"/>
      <c r="J6" s="934"/>
      <c r="K6" s="936"/>
      <c r="L6" s="935"/>
      <c r="M6" s="934"/>
      <c r="N6" s="933"/>
    </row>
    <row r="7" spans="2:30" x14ac:dyDescent="0.2">
      <c r="B7" s="937" t="s">
        <v>652</v>
      </c>
      <c r="C7" s="935">
        <v>1179985.5616639999</v>
      </c>
      <c r="D7" s="934">
        <v>867852.04630299995</v>
      </c>
      <c r="E7" s="936">
        <f>+C7/D7</f>
        <v>1.3596621298419136</v>
      </c>
      <c r="F7" s="935"/>
      <c r="G7" s="934"/>
      <c r="H7" s="936"/>
      <c r="I7" s="935"/>
      <c r="J7" s="934"/>
      <c r="K7" s="936"/>
      <c r="L7" s="935">
        <v>1815428</v>
      </c>
      <c r="M7" s="934">
        <v>1801629.25</v>
      </c>
      <c r="N7" s="933">
        <f>+L7/M7</f>
        <v>1.0076590397275134</v>
      </c>
    </row>
    <row r="8" spans="2:30" x14ac:dyDescent="0.2">
      <c r="B8" s="937" t="s">
        <v>968</v>
      </c>
      <c r="C8" s="935">
        <v>203571.043317</v>
      </c>
      <c r="D8" s="934">
        <v>120847.25043</v>
      </c>
      <c r="E8" s="936">
        <f>+C8/D8</f>
        <v>1.6845318581320743</v>
      </c>
      <c r="F8" s="935"/>
      <c r="G8" s="934"/>
      <c r="H8" s="936"/>
      <c r="I8" s="935"/>
      <c r="J8" s="934"/>
      <c r="K8" s="936"/>
      <c r="L8" s="935"/>
      <c r="M8" s="934"/>
      <c r="N8" s="933"/>
    </row>
    <row r="9" spans="2:30" ht="17" thickBot="1" x14ac:dyDescent="0.25">
      <c r="B9" s="932" t="s">
        <v>969</v>
      </c>
      <c r="C9" s="930">
        <f>+C6-C7-C8</f>
        <v>638467.2849170001</v>
      </c>
      <c r="D9" s="929">
        <v>431813.21577200014</v>
      </c>
      <c r="E9" s="931">
        <f>+C9/D9</f>
        <v>1.4785728217593843</v>
      </c>
      <c r="F9" s="930">
        <f>+'Table G3'!J11</f>
        <v>563866.32756899996</v>
      </c>
      <c r="G9" s="929">
        <f>+'Table G3'!K11</f>
        <v>473632.9</v>
      </c>
      <c r="H9" s="931">
        <f>+IFERROR(F9/G9,"")</f>
        <v>1.1905134283724799</v>
      </c>
      <c r="I9" s="930">
        <f>+'Table G3'!S11</f>
        <v>588274.52756899991</v>
      </c>
      <c r="J9" s="929">
        <f>+'Table G3'!T11</f>
        <v>539160.29999999993</v>
      </c>
      <c r="K9" s="931">
        <f>+IFERROR(I9/J9,"")</f>
        <v>1.0910939243282562</v>
      </c>
      <c r="L9" s="930"/>
      <c r="M9" s="929"/>
      <c r="N9" s="928"/>
    </row>
    <row r="10" spans="2:30" ht="33" customHeight="1" thickBot="1" x14ac:dyDescent="0.25">
      <c r="B10" s="2397" t="s">
        <v>970</v>
      </c>
      <c r="C10" s="2398"/>
      <c r="D10" s="2398"/>
      <c r="E10" s="2398"/>
      <c r="F10" s="2398"/>
      <c r="G10" s="2398"/>
      <c r="H10" s="2398"/>
      <c r="I10" s="2398"/>
      <c r="J10" s="2398"/>
      <c r="K10" s="2398"/>
      <c r="L10" s="2398"/>
      <c r="M10" s="2398"/>
      <c r="N10" s="2399"/>
      <c r="O10" s="927"/>
      <c r="P10" s="927"/>
      <c r="Q10" s="927"/>
      <c r="R10" s="927"/>
      <c r="S10" s="927"/>
      <c r="T10" s="927"/>
      <c r="U10" s="927"/>
      <c r="V10" s="927"/>
      <c r="W10" s="927"/>
      <c r="X10" s="927"/>
      <c r="Y10" s="927"/>
      <c r="Z10" s="927"/>
      <c r="AA10" s="927"/>
      <c r="AB10" s="927"/>
      <c r="AC10" s="927"/>
      <c r="AD10" s="927"/>
    </row>
  </sheetData>
  <mergeCells count="6">
    <mergeCell ref="B10:N10"/>
    <mergeCell ref="L4:N4"/>
    <mergeCell ref="C2:N2"/>
    <mergeCell ref="C4:E4"/>
    <mergeCell ref="F4:H4"/>
    <mergeCell ref="I4:K4"/>
  </mergeCells>
  <pageMargins left="0.7" right="0.7" top="0.75" bottom="0.75" header="0.3" footer="0.3"/>
  <pageSetup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G18"/>
  <sheetViews>
    <sheetView workbookViewId="0">
      <selection activeCell="B20" sqref="B20"/>
    </sheetView>
  </sheetViews>
  <sheetFormatPr baseColWidth="10" defaultColWidth="8.83203125" defaultRowHeight="16" x14ac:dyDescent="0.2"/>
  <cols>
    <col min="2" max="2" width="44.1640625" bestFit="1" customWidth="1"/>
    <col min="3" max="4" width="13.6640625" customWidth="1"/>
    <col min="5" max="5" width="5.1640625" customWidth="1"/>
    <col min="6" max="7" width="13.6640625" customWidth="1"/>
  </cols>
  <sheetData>
    <row r="1" spans="2:7" ht="17" thickBot="1" x14ac:dyDescent="0.25"/>
    <row r="2" spans="2:7" ht="32.25" customHeight="1" x14ac:dyDescent="0.2">
      <c r="B2" s="2410" t="s">
        <v>971</v>
      </c>
      <c r="C2" s="2411"/>
      <c r="D2" s="2411"/>
      <c r="E2" s="2411"/>
      <c r="F2" s="2411"/>
      <c r="G2" s="2412"/>
    </row>
    <row r="3" spans="2:7" x14ac:dyDescent="0.2">
      <c r="B3" s="321"/>
      <c r="C3" s="1029"/>
      <c r="D3" s="1029"/>
      <c r="E3" s="1029"/>
      <c r="F3" s="1029"/>
      <c r="G3" s="966"/>
    </row>
    <row r="4" spans="2:7" ht="12.75" customHeight="1" x14ac:dyDescent="0.2">
      <c r="B4" s="1840"/>
      <c r="C4" s="1030" t="s">
        <v>1</v>
      </c>
      <c r="D4" s="1030" t="s">
        <v>2</v>
      </c>
      <c r="E4" s="528"/>
      <c r="F4" s="1030" t="s">
        <v>3</v>
      </c>
      <c r="G4" s="965" t="s">
        <v>4</v>
      </c>
    </row>
    <row r="5" spans="2:7" ht="27.75" customHeight="1" x14ac:dyDescent="0.2">
      <c r="B5" s="1373"/>
      <c r="C5" s="2407" t="s">
        <v>972</v>
      </c>
      <c r="D5" s="2407"/>
      <c r="E5" s="964"/>
      <c r="F5" s="2408" t="s">
        <v>973</v>
      </c>
      <c r="G5" s="2409"/>
    </row>
    <row r="6" spans="2:7" x14ac:dyDescent="0.2">
      <c r="B6" s="1660"/>
      <c r="C6" s="1726">
        <v>2017</v>
      </c>
      <c r="D6" s="1727">
        <v>2016</v>
      </c>
      <c r="E6" s="1727"/>
      <c r="F6" s="1726">
        <v>2017</v>
      </c>
      <c r="G6" s="1728">
        <v>2016</v>
      </c>
    </row>
    <row r="7" spans="2:7" x14ac:dyDescent="0.2">
      <c r="B7" s="1729" t="s">
        <v>974</v>
      </c>
      <c r="C7" s="956">
        <f>SUM(C8:C12)</f>
        <v>149602.66088400001</v>
      </c>
      <c r="D7" s="956">
        <f>SUM(D8:D12)</f>
        <v>67134.760000000009</v>
      </c>
      <c r="E7" s="956"/>
      <c r="F7" s="956">
        <f>SUM(F8:F12)</f>
        <v>189266</v>
      </c>
      <c r="G7" s="955">
        <f>SUM(G8:G12)</f>
        <v>168629</v>
      </c>
    </row>
    <row r="8" spans="2:7" x14ac:dyDescent="0.2">
      <c r="B8" s="937" t="s">
        <v>31</v>
      </c>
      <c r="C8" s="963">
        <f>+'Table G3'!D15</f>
        <v>5872.3124979999993</v>
      </c>
      <c r="D8" s="963">
        <f>+'Table G3'!E15</f>
        <v>6445.82</v>
      </c>
      <c r="E8" s="963"/>
      <c r="F8" s="963">
        <f>+'Table G3'!J15</f>
        <v>8622</v>
      </c>
      <c r="G8" s="962">
        <f>+'Table G3'!K15</f>
        <v>7544</v>
      </c>
    </row>
    <row r="9" spans="2:7" x14ac:dyDescent="0.2">
      <c r="B9" s="959" t="str">
        <f>+'Table G3'!C27</f>
        <v>Ireland</v>
      </c>
      <c r="C9" s="961">
        <f>+'Table G3'!D27</f>
        <v>29478.218004000002</v>
      </c>
      <c r="D9" s="961">
        <f>+'Table G3'!E27</f>
        <v>31390.5</v>
      </c>
      <c r="E9" s="961"/>
      <c r="F9" s="961">
        <f>+'Table G3'!J27</f>
        <v>83825</v>
      </c>
      <c r="G9" s="960">
        <f>+'Table G3'!K27</f>
        <v>76543</v>
      </c>
    </row>
    <row r="10" spans="2:7" x14ac:dyDescent="0.2">
      <c r="B10" s="959" t="str">
        <f>+'Table G3'!C33</f>
        <v>Luxembourg</v>
      </c>
      <c r="C10" s="961">
        <f>+'Table G3'!D33</f>
        <v>24865.511556000001</v>
      </c>
      <c r="D10" s="961">
        <f>+'Table G3'!E33</f>
        <v>-2139.73</v>
      </c>
      <c r="E10" s="961"/>
      <c r="F10" s="961">
        <f>+'Table G3'!J33</f>
        <v>5917</v>
      </c>
      <c r="G10" s="960">
        <f>+'Table G3'!K33</f>
        <v>305</v>
      </c>
    </row>
    <row r="11" spans="2:7" x14ac:dyDescent="0.2">
      <c r="B11" s="959" t="str">
        <f>+'Table G3'!C35</f>
        <v>Netherlands</v>
      </c>
      <c r="C11" s="961">
        <f>+'Table G3'!D35</f>
        <v>40010.225659999996</v>
      </c>
      <c r="D11" s="961">
        <f>+'Table G3'!E35</f>
        <v>37642.6</v>
      </c>
      <c r="E11" s="961"/>
      <c r="F11" s="961">
        <f>+'Table G3'!J35</f>
        <v>52678</v>
      </c>
      <c r="G11" s="960">
        <f>+'Table G3'!K35</f>
        <v>43310</v>
      </c>
    </row>
    <row r="12" spans="2:7" x14ac:dyDescent="0.2">
      <c r="B12" s="959" t="str">
        <f>+'Table G3'!C44</f>
        <v>Switzerland</v>
      </c>
      <c r="C12" s="961">
        <f>+'Table G3'!D44</f>
        <v>49376.393166000002</v>
      </c>
      <c r="D12" s="961">
        <f>+'Table G3'!E44</f>
        <v>-6204.43</v>
      </c>
      <c r="E12" s="961"/>
      <c r="F12" s="961">
        <f>+'Table G3'!J44</f>
        <v>38224</v>
      </c>
      <c r="G12" s="960">
        <f>+'Table G3'!K44</f>
        <v>40927</v>
      </c>
    </row>
    <row r="13" spans="2:7" ht="4.5" customHeight="1" x14ac:dyDescent="0.2">
      <c r="B13" s="959"/>
      <c r="C13" s="1031"/>
      <c r="D13" s="1031"/>
      <c r="E13" s="1031"/>
      <c r="F13" s="1031"/>
      <c r="G13" s="957"/>
    </row>
    <row r="14" spans="2:7" x14ac:dyDescent="0.2">
      <c r="B14" s="1729" t="s">
        <v>975</v>
      </c>
      <c r="C14" s="956">
        <f>+SUM('Table G3'!D57:D92)</f>
        <v>202536.921695536</v>
      </c>
      <c r="D14" s="956">
        <f>+SUM('Table G3'!E57:E92)</f>
        <v>159418.87767300001</v>
      </c>
      <c r="E14" s="956"/>
      <c r="F14" s="956">
        <v>124012.655138</v>
      </c>
      <c r="G14" s="955">
        <v>118835.79999999999</v>
      </c>
    </row>
    <row r="15" spans="2:7" ht="4.5" customHeight="1" x14ac:dyDescent="0.2">
      <c r="B15" s="1660"/>
      <c r="C15" s="1661"/>
      <c r="D15" s="1661"/>
      <c r="E15" s="1661"/>
      <c r="F15" s="1661"/>
      <c r="G15" s="1730"/>
    </row>
    <row r="16" spans="2:7" x14ac:dyDescent="0.2">
      <c r="B16" s="1729" t="s">
        <v>976</v>
      </c>
      <c r="C16" s="1032">
        <f>+C14+C7</f>
        <v>352139.58257953601</v>
      </c>
      <c r="D16" s="1032">
        <f>+D14+D7</f>
        <v>226553.63767300002</v>
      </c>
      <c r="E16" s="1032"/>
      <c r="F16" s="1032">
        <f>+F14+F7</f>
        <v>313278.65513800003</v>
      </c>
      <c r="G16" s="953">
        <f>+G14+G7</f>
        <v>287464.8</v>
      </c>
    </row>
    <row r="17" spans="2:7" ht="17" thickBot="1" x14ac:dyDescent="0.25">
      <c r="B17" s="952" t="s">
        <v>977</v>
      </c>
      <c r="C17" s="951">
        <f>+C16/'Table G3'!D11</f>
        <v>0.55153896041096873</v>
      </c>
      <c r="D17" s="951">
        <f>+D16/'Table G3'!E11</f>
        <v>0.52465656306503983</v>
      </c>
      <c r="E17" s="951"/>
      <c r="F17" s="951">
        <f>+F16/'Table G3'!J11</f>
        <v>0.55559028766381569</v>
      </c>
      <c r="G17" s="950">
        <f>+G16/'Table G3'!K11</f>
        <v>0.60693587797638204</v>
      </c>
    </row>
    <row r="18" spans="2:7" ht="17" thickBot="1" x14ac:dyDescent="0.25">
      <c r="B18" s="949" t="s">
        <v>978</v>
      </c>
      <c r="C18" s="947">
        <f>+C9+'Table G3'!D65</f>
        <v>61954.698269</v>
      </c>
      <c r="D18" s="947">
        <f>+D9+'Table G3'!E65</f>
        <v>56291</v>
      </c>
      <c r="E18" s="948"/>
      <c r="F18" s="947">
        <f>+F9+'Table G3'!J65</f>
        <v>74543</v>
      </c>
      <c r="G18" s="946">
        <f>+G9+'Table G3'!K65</f>
        <v>71297</v>
      </c>
    </row>
  </sheetData>
  <mergeCells count="3">
    <mergeCell ref="C5:D5"/>
    <mergeCell ref="F5:G5"/>
    <mergeCell ref="B2:G2"/>
  </mergeCells>
  <pageMargins left="0.7" right="0.7" top="0.75" bottom="0.75" header="0.3" footer="0.3"/>
  <pageSetup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1:AA203"/>
  <sheetViews>
    <sheetView zoomScale="70" zoomScaleNormal="70" workbookViewId="0">
      <selection activeCell="G396" sqref="G396"/>
    </sheetView>
  </sheetViews>
  <sheetFormatPr baseColWidth="10" defaultColWidth="8.83203125" defaultRowHeight="16" x14ac:dyDescent="0.2"/>
  <cols>
    <col min="2" max="2" width="12.1640625" hidden="1" customWidth="1"/>
    <col min="3" max="3" width="31.83203125" style="970" bestFit="1" customWidth="1"/>
    <col min="4" max="4" width="15" style="969" customWidth="1"/>
    <col min="5" max="5" width="14.6640625" style="969" bestFit="1" customWidth="1"/>
    <col min="6" max="6" width="12.83203125" style="968" customWidth="1"/>
    <col min="7" max="8" width="12.83203125" style="969" customWidth="1"/>
    <col min="9" max="9" width="9.33203125" style="968" bestFit="1" customWidth="1"/>
    <col min="10" max="11" width="12.83203125" style="969" customWidth="1"/>
    <col min="12" max="12" width="9.33203125" style="968" bestFit="1" customWidth="1"/>
    <col min="13" max="13" width="10.1640625" customWidth="1"/>
    <col min="14" max="14" width="42.33203125" bestFit="1" customWidth="1"/>
    <col min="15" max="16" width="11.1640625" bestFit="1" customWidth="1"/>
    <col min="17" max="17" width="12.6640625" customWidth="1"/>
    <col min="18" max="18" width="11.1640625" bestFit="1" customWidth="1"/>
    <col min="19" max="27" width="0" hidden="1" customWidth="1"/>
  </cols>
  <sheetData>
    <row r="1" spans="2:27" ht="17" thickBot="1" x14ac:dyDescent="0.25"/>
    <row r="2" spans="2:27" ht="33" customHeight="1" x14ac:dyDescent="0.2">
      <c r="C2" s="2073" t="s">
        <v>979</v>
      </c>
      <c r="D2" s="2074"/>
      <c r="E2" s="2074"/>
      <c r="F2" s="2074"/>
      <c r="G2" s="2074"/>
      <c r="H2" s="2074"/>
      <c r="I2" s="2074"/>
      <c r="J2" s="2074"/>
      <c r="K2" s="2074"/>
      <c r="L2" s="2075"/>
    </row>
    <row r="3" spans="2:27" x14ac:dyDescent="0.2">
      <c r="C3" s="321"/>
      <c r="D3" s="967"/>
      <c r="E3" s="967"/>
      <c r="F3" s="967"/>
      <c r="G3" s="967"/>
      <c r="H3" s="967"/>
      <c r="I3" s="967"/>
      <c r="J3" s="971"/>
      <c r="K3" s="971"/>
      <c r="L3" s="990"/>
    </row>
    <row r="4" spans="2:27" ht="17" thickBot="1" x14ac:dyDescent="0.25">
      <c r="C4" s="1840"/>
      <c r="D4" s="1731" t="s">
        <v>1</v>
      </c>
      <c r="E4" s="1731" t="s">
        <v>2</v>
      </c>
      <c r="F4" s="1731" t="s">
        <v>3</v>
      </c>
      <c r="G4" s="1731" t="s">
        <v>4</v>
      </c>
      <c r="H4" s="1731" t="s">
        <v>5</v>
      </c>
      <c r="I4" s="1731" t="s">
        <v>6</v>
      </c>
      <c r="J4" s="67" t="s">
        <v>7</v>
      </c>
      <c r="K4" s="1731" t="s">
        <v>8</v>
      </c>
      <c r="L4" s="1732" t="s">
        <v>9</v>
      </c>
    </row>
    <row r="5" spans="2:27" x14ac:dyDescent="0.2">
      <c r="C5" s="989"/>
      <c r="D5" s="2403" t="s">
        <v>963</v>
      </c>
      <c r="E5" s="2403"/>
      <c r="F5" s="2403"/>
      <c r="G5" s="2403"/>
      <c r="H5" s="2403"/>
      <c r="I5" s="2403"/>
      <c r="J5" s="2416" t="s">
        <v>980</v>
      </c>
      <c r="K5" s="2417"/>
      <c r="L5" s="2418"/>
    </row>
    <row r="6" spans="2:27" x14ac:dyDescent="0.2">
      <c r="C6" s="988"/>
      <c r="D6" s="2413" t="s">
        <v>981</v>
      </c>
      <c r="E6" s="2414"/>
      <c r="F6" s="2419"/>
      <c r="G6" s="2413" t="s">
        <v>244</v>
      </c>
      <c r="H6" s="2414"/>
      <c r="I6" s="2419"/>
      <c r="J6" s="2413" t="s">
        <v>982</v>
      </c>
      <c r="K6" s="2414"/>
      <c r="L6" s="2415"/>
      <c r="M6" s="987"/>
    </row>
    <row r="7" spans="2:27" x14ac:dyDescent="0.2">
      <c r="C7" s="942"/>
      <c r="D7" s="940">
        <v>2017</v>
      </c>
      <c r="E7" s="939">
        <v>2016</v>
      </c>
      <c r="F7" s="941" t="s">
        <v>967</v>
      </c>
      <c r="G7" s="940">
        <v>2017</v>
      </c>
      <c r="H7" s="939">
        <v>2016</v>
      </c>
      <c r="I7" s="941" t="s">
        <v>967</v>
      </c>
      <c r="J7" s="940">
        <v>2017</v>
      </c>
      <c r="K7" s="939">
        <v>2016</v>
      </c>
      <c r="L7" s="938" t="s">
        <v>967</v>
      </c>
      <c r="S7" s="986">
        <v>2017</v>
      </c>
      <c r="T7">
        <v>2016</v>
      </c>
    </row>
    <row r="8" spans="2:27" x14ac:dyDescent="0.2">
      <c r="C8" s="937" t="s">
        <v>344</v>
      </c>
      <c r="D8" s="935">
        <v>2022023.8898980001</v>
      </c>
      <c r="E8" s="934">
        <v>1420512.5125050002</v>
      </c>
      <c r="F8" s="936">
        <f t="shared" ref="F8:F30" si="0">+D8/E8</f>
        <v>1.4234467293302935</v>
      </c>
      <c r="G8" s="935">
        <v>37069101</v>
      </c>
      <c r="H8" s="934">
        <v>27553900</v>
      </c>
      <c r="I8" s="936">
        <f t="shared" ref="I8:I30" si="1">+G8/H8</f>
        <v>1.3453304613865913</v>
      </c>
      <c r="J8" s="935"/>
      <c r="K8" s="934"/>
      <c r="L8" s="933"/>
      <c r="T8" s="985"/>
    </row>
    <row r="9" spans="2:27" x14ac:dyDescent="0.2">
      <c r="C9" s="937" t="s">
        <v>652</v>
      </c>
      <c r="D9" s="935">
        <v>1179985.5616639999</v>
      </c>
      <c r="E9" s="934">
        <v>867852.04630299995</v>
      </c>
      <c r="F9" s="936">
        <f t="shared" si="0"/>
        <v>1.3596621298419136</v>
      </c>
      <c r="G9" s="935">
        <v>22903463</v>
      </c>
      <c r="H9" s="934">
        <v>16377437</v>
      </c>
      <c r="I9" s="936">
        <f t="shared" si="1"/>
        <v>1.3984766358740992</v>
      </c>
      <c r="J9" s="935"/>
      <c r="K9" s="934"/>
      <c r="L9" s="933"/>
    </row>
    <row r="10" spans="2:27" x14ac:dyDescent="0.2">
      <c r="C10" s="937" t="s">
        <v>968</v>
      </c>
      <c r="D10" s="935">
        <v>203571.043317</v>
      </c>
      <c r="E10" s="934">
        <v>120847.25043</v>
      </c>
      <c r="F10" s="936">
        <f t="shared" si="0"/>
        <v>1.6845318581320743</v>
      </c>
      <c r="G10" s="935">
        <v>1069528</v>
      </c>
      <c r="H10" s="934">
        <v>482627</v>
      </c>
      <c r="I10" s="936">
        <f t="shared" si="1"/>
        <v>2.2160550487229269</v>
      </c>
      <c r="J10" s="935"/>
      <c r="K10" s="934"/>
      <c r="L10" s="933"/>
      <c r="M10" s="983"/>
      <c r="S10" s="984">
        <v>461616</v>
      </c>
      <c r="T10" s="984">
        <v>416862</v>
      </c>
    </row>
    <row r="11" spans="2:27" ht="28.5" customHeight="1" x14ac:dyDescent="0.2">
      <c r="C11" s="937" t="s">
        <v>969</v>
      </c>
      <c r="D11" s="935">
        <f>+D8-D9-D10</f>
        <v>638467.2849170001</v>
      </c>
      <c r="E11" s="1733">
        <v>431813.21577200014</v>
      </c>
      <c r="F11" s="1734">
        <f t="shared" si="0"/>
        <v>1.4785728217593843</v>
      </c>
      <c r="G11" s="935">
        <f>+G8-G9-G10</f>
        <v>13096110</v>
      </c>
      <c r="H11" s="1733">
        <f>+H8-H9-H10</f>
        <v>10693836</v>
      </c>
      <c r="I11" s="1734">
        <f t="shared" si="1"/>
        <v>1.2246409987959419</v>
      </c>
      <c r="J11" s="935">
        <f>529531+J92</f>
        <v>563866.32756899996</v>
      </c>
      <c r="K11" s="1733">
        <f>434707+K92</f>
        <v>473632.9</v>
      </c>
      <c r="L11" s="1735">
        <f t="shared" ref="L11:L42" si="2">+IFERROR(J11/K11,"")</f>
        <v>1.1905134283724799</v>
      </c>
      <c r="M11" s="983"/>
      <c r="S11">
        <f>+S10*1.2+J92</f>
        <v>588274.52756899991</v>
      </c>
      <c r="T11">
        <f>+T10*1.2+K92</f>
        <v>539160.29999999993</v>
      </c>
    </row>
    <row r="12" spans="2:27" ht="28.5" customHeight="1" x14ac:dyDescent="0.2">
      <c r="C12" s="1736" t="s">
        <v>115</v>
      </c>
      <c r="D12" s="1737">
        <f>SUM(D13:D47)</f>
        <v>299624.66103200003</v>
      </c>
      <c r="E12" s="973">
        <f>SUM(E13:E47)</f>
        <v>200141.28033100005</v>
      </c>
      <c r="F12" s="982">
        <f t="shared" si="0"/>
        <v>1.4970657754186003</v>
      </c>
      <c r="G12" s="1737">
        <f>SUM(G13:G47)</f>
        <v>29709952</v>
      </c>
      <c r="H12" s="973">
        <f>SUM(H13:H47)</f>
        <v>22111436</v>
      </c>
      <c r="I12" s="982">
        <f t="shared" si="1"/>
        <v>1.343646428029369</v>
      </c>
      <c r="J12" s="1737">
        <f>SUM(J13:J47)</f>
        <v>366486</v>
      </c>
      <c r="K12" s="973">
        <f>SUM(K13:K47)</f>
        <v>306725</v>
      </c>
      <c r="L12" s="981">
        <f t="shared" si="2"/>
        <v>1.1948357649360175</v>
      </c>
      <c r="M12" s="980"/>
    </row>
    <row r="13" spans="2:27" x14ac:dyDescent="0.2">
      <c r="B13" s="145" t="s">
        <v>809</v>
      </c>
      <c r="C13" s="937" t="s">
        <v>29</v>
      </c>
      <c r="D13" s="935">
        <v>14812.275371</v>
      </c>
      <c r="E13" s="934">
        <f>+IFERROR(VLOOKUP(B13,'US CBCR 2016'!$A$1:$B$210,2,0)/1000000,"")</f>
        <v>2494.83</v>
      </c>
      <c r="F13" s="936">
        <f t="shared" si="0"/>
        <v>5.93718825370867</v>
      </c>
      <c r="G13" s="935">
        <v>271545</v>
      </c>
      <c r="H13" s="934">
        <f>+IFERROR(VLOOKUP(B13,'US CBCR 2016'!$A$442:$B$587,2,0),"")</f>
        <v>243078</v>
      </c>
      <c r="I13" s="936">
        <f t="shared" si="1"/>
        <v>1.1171105571051267</v>
      </c>
      <c r="J13" s="935">
        <v>7755</v>
      </c>
      <c r="K13" s="934">
        <v>3471</v>
      </c>
      <c r="L13" s="933">
        <f t="shared" si="2"/>
        <v>2.2342264477095939</v>
      </c>
    </row>
    <row r="14" spans="2:27" x14ac:dyDescent="0.2">
      <c r="B14" s="145" t="s">
        <v>810</v>
      </c>
      <c r="C14" s="937" t="s">
        <v>30</v>
      </c>
      <c r="D14" s="935">
        <v>290.751014</v>
      </c>
      <c r="E14" s="934">
        <f>+IFERROR(VLOOKUP(B14,'US CBCR 2016'!$A$1:$B$210,2,0)/1000000,"")</f>
        <v>685.154</v>
      </c>
      <c r="F14" s="936">
        <f t="shared" si="0"/>
        <v>0.42435863178205191</v>
      </c>
      <c r="G14" s="935">
        <v>28885</v>
      </c>
      <c r="H14" s="934">
        <f>+IFERROR(VLOOKUP(B14,'US CBCR 2016'!$A$442:$B$587,2,0),"")</f>
        <v>26312</v>
      </c>
      <c r="I14" s="936">
        <f t="shared" si="1"/>
        <v>1.0977880814837337</v>
      </c>
      <c r="J14" s="935">
        <v>1616</v>
      </c>
      <c r="K14" s="934">
        <v>1227</v>
      </c>
      <c r="L14" s="933">
        <f t="shared" si="2"/>
        <v>1.3170334148329259</v>
      </c>
    </row>
    <row r="15" spans="2:27" x14ac:dyDescent="0.2">
      <c r="B15" s="145" t="s">
        <v>811</v>
      </c>
      <c r="C15" s="937" t="s">
        <v>31</v>
      </c>
      <c r="D15" s="935">
        <v>5872.3124979999993</v>
      </c>
      <c r="E15" s="934">
        <f>+IFERROR(VLOOKUP(B15,'US CBCR 2016'!$A$1:$B$210,2,0)/1000000,"")</f>
        <v>6445.82</v>
      </c>
      <c r="F15" s="936">
        <f t="shared" si="0"/>
        <v>0.91102644783751319</v>
      </c>
      <c r="G15" s="935">
        <v>106179</v>
      </c>
      <c r="H15" s="934">
        <f>+IFERROR(VLOOKUP(B15,'US CBCR 2016'!$A$442:$B$587,2,0),"")</f>
        <v>90847</v>
      </c>
      <c r="I15" s="936">
        <f t="shared" si="1"/>
        <v>1.1687672680440742</v>
      </c>
      <c r="J15" s="935">
        <v>8622</v>
      </c>
      <c r="K15" s="934">
        <v>7544</v>
      </c>
      <c r="L15" s="933">
        <f t="shared" si="2"/>
        <v>1.1428950159066809</v>
      </c>
      <c r="S15" s="979"/>
      <c r="T15" s="979"/>
      <c r="U15" s="979"/>
      <c r="V15" s="979"/>
      <c r="Y15" s="979">
        <f>+L15</f>
        <v>1.1428950159066809</v>
      </c>
      <c r="Z15" s="979" t="str">
        <f>+'Table G2'!B8</f>
        <v>Belgium</v>
      </c>
      <c r="AA15" s="979">
        <f>+'Table G2'!C8</f>
        <v>5872.3124979999993</v>
      </c>
    </row>
    <row r="16" spans="2:27" x14ac:dyDescent="0.2">
      <c r="B16" s="145" t="s">
        <v>812</v>
      </c>
      <c r="C16" s="937" t="s">
        <v>32</v>
      </c>
      <c r="D16" s="935">
        <v>31651.886254999998</v>
      </c>
      <c r="E16" s="934">
        <f>+IFERROR(VLOOKUP(B16,'US CBCR 2016'!$A$1:$B$210,2,0)/1000000,"")</f>
        <v>17595</v>
      </c>
      <c r="F16" s="936">
        <f t="shared" si="0"/>
        <v>1.7989136831486217</v>
      </c>
      <c r="G16" s="935">
        <v>979512</v>
      </c>
      <c r="H16" s="934">
        <f>+IFERROR(VLOOKUP(B16,'US CBCR 2016'!$A$442:$B$587,2,0),"")</f>
        <v>761499</v>
      </c>
      <c r="I16" s="936">
        <f t="shared" si="1"/>
        <v>1.2862945322318218</v>
      </c>
      <c r="J16" s="935">
        <v>32713</v>
      </c>
      <c r="K16" s="934">
        <v>22950</v>
      </c>
      <c r="L16" s="933">
        <f t="shared" si="2"/>
        <v>1.4254030501089325</v>
      </c>
      <c r="Y16">
        <f>+L27</f>
        <v>1.0951360673085717</v>
      </c>
      <c r="Z16">
        <f>+N27</f>
        <v>0</v>
      </c>
      <c r="AA16">
        <f>+O27</f>
        <v>0</v>
      </c>
    </row>
    <row r="17" spans="2:27" x14ac:dyDescent="0.2">
      <c r="B17" s="145" t="s">
        <v>813</v>
      </c>
      <c r="C17" s="937" t="s">
        <v>33</v>
      </c>
      <c r="D17" s="935">
        <v>3447.6660929999998</v>
      </c>
      <c r="E17" s="934">
        <f>+IFERROR(VLOOKUP(B17,'US CBCR 2016'!$A$1:$B$210,2,0)/1000000,"")</f>
        <v>4252.5600000000004</v>
      </c>
      <c r="F17" s="936">
        <f t="shared" si="0"/>
        <v>0.81072720737626269</v>
      </c>
      <c r="G17" s="935">
        <v>125948</v>
      </c>
      <c r="H17" s="934">
        <f>+IFERROR(VLOOKUP(B17,'US CBCR 2016'!$A$442:$B$587,2,0),"")</f>
        <v>112241</v>
      </c>
      <c r="I17" s="936">
        <f t="shared" si="1"/>
        <v>1.1221211500253918</v>
      </c>
      <c r="J17" s="935">
        <v>3170</v>
      </c>
      <c r="K17" s="934">
        <v>2705</v>
      </c>
      <c r="L17" s="933">
        <f t="shared" si="2"/>
        <v>1.1719038817005545</v>
      </c>
      <c r="Y17">
        <f>+L33</f>
        <v>19.399999999999999</v>
      </c>
      <c r="Z17">
        <f>+N33</f>
        <v>0</v>
      </c>
      <c r="AA17">
        <f>+O33</f>
        <v>0</v>
      </c>
    </row>
    <row r="18" spans="2:27" x14ac:dyDescent="0.2">
      <c r="B18" s="145" t="s">
        <v>814</v>
      </c>
      <c r="C18" s="937" t="s">
        <v>34</v>
      </c>
      <c r="D18" s="935">
        <v>1229.291551</v>
      </c>
      <c r="E18" s="934">
        <f>+IFERROR(VLOOKUP(B18,'US CBCR 2016'!$A$1:$B$210,2,0)/1000000,"")</f>
        <v>942.54700000000003</v>
      </c>
      <c r="F18" s="936">
        <f t="shared" si="0"/>
        <v>1.3042230795917868</v>
      </c>
      <c r="G18" s="935">
        <v>98790</v>
      </c>
      <c r="H18" s="934">
        <f>+IFERROR(VLOOKUP(B18,'US CBCR 2016'!$A$442:$B$587,2,0),"")</f>
        <v>77576</v>
      </c>
      <c r="I18" s="936">
        <f t="shared" si="1"/>
        <v>1.2734608641847993</v>
      </c>
      <c r="J18" s="935">
        <v>1031</v>
      </c>
      <c r="K18" s="934">
        <v>865</v>
      </c>
      <c r="L18" s="933">
        <f t="shared" si="2"/>
        <v>1.1919075144508671</v>
      </c>
      <c r="Y18">
        <f>+L35</f>
        <v>1.2163010851997229</v>
      </c>
      <c r="Z18">
        <f>+N35</f>
        <v>0</v>
      </c>
      <c r="AA18">
        <f>+O35</f>
        <v>0</v>
      </c>
    </row>
    <row r="19" spans="2:27" x14ac:dyDescent="0.2">
      <c r="B19" s="145" t="s">
        <v>815</v>
      </c>
      <c r="C19" s="937" t="s">
        <v>35</v>
      </c>
      <c r="D19" s="935">
        <v>1036.7956830000001</v>
      </c>
      <c r="E19" s="934">
        <f>+IFERROR(VLOOKUP(B19,'US CBCR 2016'!$A$1:$B$210,2,0)/1000000,"")</f>
        <v>980.30499999999995</v>
      </c>
      <c r="F19" s="936">
        <f t="shared" si="0"/>
        <v>1.0576256195775806</v>
      </c>
      <c r="G19" s="935">
        <v>32279.000000000004</v>
      </c>
      <c r="H19" s="934">
        <f>+IFERROR(VLOOKUP(B19,'US CBCR 2016'!$A$442:$B$587,2,0),"")</f>
        <v>29025</v>
      </c>
      <c r="I19" s="936">
        <f t="shared" si="1"/>
        <v>1.1121102497846684</v>
      </c>
      <c r="J19" s="935">
        <v>452</v>
      </c>
      <c r="K19" s="934">
        <v>597</v>
      </c>
      <c r="L19" s="933">
        <f t="shared" si="2"/>
        <v>0.75711892797319935</v>
      </c>
      <c r="Y19">
        <f>+L44</f>
        <v>0.93395557944633123</v>
      </c>
      <c r="Z19">
        <f>+N44</f>
        <v>0</v>
      </c>
      <c r="AA19">
        <f>+O44</f>
        <v>0</v>
      </c>
    </row>
    <row r="20" spans="2:27" x14ac:dyDescent="0.2">
      <c r="B20" s="145" t="s">
        <v>816</v>
      </c>
      <c r="C20" s="937" t="s">
        <v>36</v>
      </c>
      <c r="D20" s="935">
        <v>38.911203999999998</v>
      </c>
      <c r="E20" s="934">
        <f>+IFERROR(VLOOKUP(B20,'US CBCR 2016'!$A$1:$B$210,2,0)/1000000,"")</f>
        <v>52.655330999999997</v>
      </c>
      <c r="F20" s="936">
        <f t="shared" si="0"/>
        <v>0.73897938273334562</v>
      </c>
      <c r="G20" s="935">
        <v>4660</v>
      </c>
      <c r="H20" s="934">
        <f>+IFERROR(VLOOKUP(B20,'US CBCR 2016'!$A$442:$B$587,2,0),"")</f>
        <v>3648</v>
      </c>
      <c r="I20" s="936">
        <f t="shared" si="1"/>
        <v>1.2774122807017543</v>
      </c>
      <c r="J20" s="935" t="s">
        <v>262</v>
      </c>
      <c r="K20" s="934" t="s">
        <v>262</v>
      </c>
      <c r="L20" s="933" t="str">
        <f t="shared" si="2"/>
        <v/>
      </c>
    </row>
    <row r="21" spans="2:27" x14ac:dyDescent="0.2">
      <c r="B21" s="145" t="s">
        <v>817</v>
      </c>
      <c r="C21" s="937" t="s">
        <v>37</v>
      </c>
      <c r="D21" s="935">
        <v>594.465867</v>
      </c>
      <c r="E21" s="934">
        <f>+IFERROR(VLOOKUP(B21,'US CBCR 2016'!$A$1:$B$210,2,0)/1000000,"")</f>
        <v>851.29100000000005</v>
      </c>
      <c r="F21" s="936">
        <f t="shared" si="0"/>
        <v>0.6983109970621092</v>
      </c>
      <c r="G21" s="935">
        <v>20605</v>
      </c>
      <c r="H21" s="934">
        <f>+IFERROR(VLOOKUP(B21,'US CBCR 2016'!$A$442:$B$587,2,0),"")</f>
        <v>18452</v>
      </c>
      <c r="I21" s="936">
        <f t="shared" si="1"/>
        <v>1.116681118577932</v>
      </c>
      <c r="J21" s="935">
        <v>761</v>
      </c>
      <c r="K21" s="934">
        <v>-1016</v>
      </c>
      <c r="L21" s="933">
        <f t="shared" si="2"/>
        <v>-0.74901574803149606</v>
      </c>
    </row>
    <row r="22" spans="2:27" x14ac:dyDescent="0.2">
      <c r="B22" s="145" t="s">
        <v>818</v>
      </c>
      <c r="C22" s="937" t="s">
        <v>38</v>
      </c>
      <c r="D22" s="935">
        <v>4851.349921</v>
      </c>
      <c r="E22" s="934">
        <f>+IFERROR(VLOOKUP(B22,'US CBCR 2016'!$A$1:$B$210,2,0)/1000000,"")</f>
        <v>4795.8999999999996</v>
      </c>
      <c r="F22" s="936">
        <f t="shared" si="0"/>
        <v>1.0115619427010571</v>
      </c>
      <c r="G22" s="935">
        <v>377747</v>
      </c>
      <c r="H22" s="934">
        <f>+IFERROR(VLOOKUP(B22,'US CBCR 2016'!$A$442:$B$587,2,0),"")</f>
        <v>309741</v>
      </c>
      <c r="I22" s="936">
        <f t="shared" si="1"/>
        <v>1.2195576304073403</v>
      </c>
      <c r="J22" s="935">
        <v>5875</v>
      </c>
      <c r="K22" s="934">
        <v>6072</v>
      </c>
      <c r="L22" s="933">
        <f t="shared" si="2"/>
        <v>0.96755599472990772</v>
      </c>
    </row>
    <row r="23" spans="2:27" x14ac:dyDescent="0.2">
      <c r="B23" s="145" t="s">
        <v>819</v>
      </c>
      <c r="C23" s="937" t="s">
        <v>39</v>
      </c>
      <c r="D23" s="935">
        <v>6815.2045900000003</v>
      </c>
      <c r="E23" s="934">
        <f>+IFERROR(VLOOKUP(B23,'US CBCR 2016'!$A$1:$B$210,2,0)/1000000,"")</f>
        <v>11109.5</v>
      </c>
      <c r="F23" s="936">
        <f t="shared" si="0"/>
        <v>0.6134573644178406</v>
      </c>
      <c r="G23" s="935">
        <v>563009</v>
      </c>
      <c r="H23" s="934">
        <f>+IFERROR(VLOOKUP(B23,'US CBCR 2016'!$A$442:$B$587,2,0),"")</f>
        <v>500806</v>
      </c>
      <c r="I23" s="936">
        <f t="shared" si="1"/>
        <v>1.1242057802821852</v>
      </c>
      <c r="J23" s="935">
        <v>11148</v>
      </c>
      <c r="K23" s="934">
        <v>9295</v>
      </c>
      <c r="L23" s="933">
        <f t="shared" si="2"/>
        <v>1.1993544916621839</v>
      </c>
    </row>
    <row r="24" spans="2:27" x14ac:dyDescent="0.2">
      <c r="B24" s="145" t="s">
        <v>820</v>
      </c>
      <c r="C24" s="937" t="s">
        <v>40</v>
      </c>
      <c r="D24" s="935">
        <v>501.41703999999999</v>
      </c>
      <c r="E24" s="934">
        <f>+IFERROR(VLOOKUP(B24,'US CBCR 2016'!$A$1:$B$210,2,0)/1000000,"")</f>
        <v>276.19</v>
      </c>
      <c r="F24" s="936">
        <f t="shared" si="0"/>
        <v>1.8154786197907238</v>
      </c>
      <c r="G24" s="935">
        <v>14937</v>
      </c>
      <c r="H24" s="934">
        <f>+IFERROR(VLOOKUP(B24,'US CBCR 2016'!$A$442:$B$587,2,0),"")</f>
        <v>13130</v>
      </c>
      <c r="I24" s="936">
        <f t="shared" si="1"/>
        <v>1.1376237623762375</v>
      </c>
      <c r="J24" s="935">
        <v>513</v>
      </c>
      <c r="K24" s="934">
        <v>116</v>
      </c>
      <c r="L24" s="933">
        <f t="shared" si="2"/>
        <v>4.4224137931034484</v>
      </c>
    </row>
    <row r="25" spans="2:27" x14ac:dyDescent="0.2">
      <c r="B25" s="145" t="s">
        <v>821</v>
      </c>
      <c r="C25" s="937" t="s">
        <v>41</v>
      </c>
      <c r="D25" s="935">
        <v>3179.8901809999998</v>
      </c>
      <c r="E25" s="934">
        <f>+IFERROR(VLOOKUP(B25,'US CBCR 2016'!$A$1:$B$210,2,0)/1000000,"")</f>
        <v>6030.49</v>
      </c>
      <c r="F25" s="936">
        <f t="shared" si="0"/>
        <v>0.5273021232105517</v>
      </c>
      <c r="G25" s="935">
        <v>78054</v>
      </c>
      <c r="H25" s="934">
        <f>+IFERROR(VLOOKUP(B25,'US CBCR 2016'!$A$442:$B$587,2,0),"")</f>
        <v>70413</v>
      </c>
      <c r="I25" s="936">
        <f t="shared" si="1"/>
        <v>1.1085168931873375</v>
      </c>
      <c r="J25" s="935">
        <v>1676</v>
      </c>
      <c r="K25" s="934">
        <v>1239</v>
      </c>
      <c r="L25" s="933">
        <f t="shared" si="2"/>
        <v>1.3527037933817594</v>
      </c>
    </row>
    <row r="26" spans="2:27" x14ac:dyDescent="0.2">
      <c r="B26" s="145" t="s">
        <v>822</v>
      </c>
      <c r="C26" s="937" t="s">
        <v>42</v>
      </c>
      <c r="D26" s="935">
        <v>26.396639</v>
      </c>
      <c r="E26" s="934">
        <f>+IFERROR(VLOOKUP(B26,'US CBCR 2016'!$A$1:$B$210,2,0)/1000000,"")</f>
        <v>-291.95800000000003</v>
      </c>
      <c r="F26" s="936">
        <f t="shared" si="0"/>
        <v>-9.0412453161071105E-2</v>
      </c>
      <c r="G26" s="935">
        <v>1353</v>
      </c>
      <c r="H26" s="934">
        <f>+IFERROR(VLOOKUP(B26,'US CBCR 2016'!$A$442:$B$587,2,0),"")</f>
        <v>1944</v>
      </c>
      <c r="I26" s="936">
        <f t="shared" si="1"/>
        <v>0.69598765432098764</v>
      </c>
      <c r="J26" s="935" t="s">
        <v>262</v>
      </c>
      <c r="K26" s="934" t="s">
        <v>262</v>
      </c>
      <c r="L26" s="933" t="str">
        <f t="shared" si="2"/>
        <v/>
      </c>
    </row>
    <row r="27" spans="2:27" x14ac:dyDescent="0.2">
      <c r="B27" s="145" t="s">
        <v>823</v>
      </c>
      <c r="C27" s="937" t="s">
        <v>43</v>
      </c>
      <c r="D27" s="935">
        <v>29478.218004000002</v>
      </c>
      <c r="E27" s="934">
        <f>+IFERROR(VLOOKUP(B27,'US CBCR 2016'!$A$1:$B$210,2,0)/1000000,"")</f>
        <v>31390.5</v>
      </c>
      <c r="F27" s="936">
        <f t="shared" si="0"/>
        <v>0.93908086854303063</v>
      </c>
      <c r="G27" s="935">
        <v>147860</v>
      </c>
      <c r="H27" s="934">
        <f>+IFERROR(VLOOKUP(B27,'US CBCR 2016'!$A$442:$B$587,2,0),"")</f>
        <v>108127</v>
      </c>
      <c r="I27" s="936">
        <f t="shared" si="1"/>
        <v>1.3674660353103296</v>
      </c>
      <c r="J27" s="935">
        <v>83825</v>
      </c>
      <c r="K27" s="934">
        <v>76543</v>
      </c>
      <c r="L27" s="933">
        <f t="shared" si="2"/>
        <v>1.0951360673085717</v>
      </c>
    </row>
    <row r="28" spans="2:27" x14ac:dyDescent="0.2">
      <c r="B28" s="145" t="s">
        <v>824</v>
      </c>
      <c r="C28" s="937" t="s">
        <v>44</v>
      </c>
      <c r="D28" s="935">
        <v>3445.855626</v>
      </c>
      <c r="E28" s="934">
        <f>+IFERROR(VLOOKUP(B28,'US CBCR 2016'!$A$1:$B$210,2,0)/1000000,"")</f>
        <v>2482.0100000000002</v>
      </c>
      <c r="F28" s="936">
        <f t="shared" si="0"/>
        <v>1.3883326924549053</v>
      </c>
      <c r="G28" s="935">
        <v>59362</v>
      </c>
      <c r="H28" s="934">
        <f>+IFERROR(VLOOKUP(B28,'US CBCR 2016'!$A$442:$B$587,2,0),"")</f>
        <v>43835</v>
      </c>
      <c r="I28" s="936">
        <f t="shared" si="1"/>
        <v>1.3542146686437777</v>
      </c>
      <c r="J28" s="935">
        <v>2642</v>
      </c>
      <c r="K28" s="934">
        <v>2372</v>
      </c>
      <c r="L28" s="933">
        <f t="shared" si="2"/>
        <v>1.1138279932546373</v>
      </c>
    </row>
    <row r="29" spans="2:27" x14ac:dyDescent="0.2">
      <c r="B29" s="145" t="s">
        <v>825</v>
      </c>
      <c r="C29" s="937" t="s">
        <v>45</v>
      </c>
      <c r="D29" s="935">
        <v>7146.3542630000002</v>
      </c>
      <c r="E29" s="934">
        <f>+IFERROR(VLOOKUP(B29,'US CBCR 2016'!$A$1:$B$210,2,0)/1000000,"")</f>
        <v>3399.82</v>
      </c>
      <c r="F29" s="936">
        <f t="shared" si="0"/>
        <v>2.1019801821861157</v>
      </c>
      <c r="G29" s="935">
        <v>182394</v>
      </c>
      <c r="H29" s="934">
        <f>+IFERROR(VLOOKUP(B29,'US CBCR 2016'!$A$442:$B$587,2,0),"")</f>
        <v>157598</v>
      </c>
      <c r="I29" s="936">
        <f t="shared" si="1"/>
        <v>1.1573370220434269</v>
      </c>
      <c r="J29" s="935">
        <v>5433</v>
      </c>
      <c r="K29" s="934">
        <v>3787</v>
      </c>
      <c r="L29" s="933">
        <f t="shared" si="2"/>
        <v>1.4346448376023238</v>
      </c>
    </row>
    <row r="30" spans="2:27" x14ac:dyDescent="0.2">
      <c r="B30" s="145" t="s">
        <v>826</v>
      </c>
      <c r="C30" s="937" t="s">
        <v>46</v>
      </c>
      <c r="D30" s="935">
        <v>24933.215374000003</v>
      </c>
      <c r="E30" s="934">
        <f>+IFERROR(VLOOKUP(B30,'US CBCR 2016'!$A$1:$B$210,2,0)/1000000,"")</f>
        <v>25952.400000000001</v>
      </c>
      <c r="F30" s="936">
        <f t="shared" si="0"/>
        <v>0.96072869461013244</v>
      </c>
      <c r="G30" s="935">
        <v>390536</v>
      </c>
      <c r="H30" s="934">
        <f>+IFERROR(VLOOKUP(B30,'US CBCR 2016'!$A$442:$B$587,2,0),"")</f>
        <v>310802</v>
      </c>
      <c r="I30" s="936">
        <f t="shared" si="1"/>
        <v>1.2565427506901501</v>
      </c>
      <c r="J30" s="935">
        <v>22156</v>
      </c>
      <c r="K30" s="934">
        <v>21489</v>
      </c>
      <c r="L30" s="933">
        <f t="shared" si="2"/>
        <v>1.0310391363022942</v>
      </c>
    </row>
    <row r="31" spans="2:27" x14ac:dyDescent="0.2">
      <c r="B31" s="145" t="s">
        <v>827</v>
      </c>
      <c r="C31" s="937" t="s">
        <v>47</v>
      </c>
      <c r="D31" s="935"/>
      <c r="E31" s="934">
        <f>+IFERROR(VLOOKUP(B31,'US CBCR 2016'!$A$1:$B$210,2,0)/1000000,"")</f>
        <v>4403.7700000000004</v>
      </c>
      <c r="F31" s="936"/>
      <c r="G31" s="935" t="s">
        <v>262</v>
      </c>
      <c r="H31" s="934">
        <f>+IFERROR(VLOOKUP(B31,'US CBCR 2016'!$A$442:$B$587,2,0),"")</f>
        <v>111232</v>
      </c>
      <c r="I31" s="936"/>
      <c r="J31" s="935" t="s">
        <v>262</v>
      </c>
      <c r="K31" s="934" t="s">
        <v>262</v>
      </c>
      <c r="L31" s="933" t="str">
        <f t="shared" si="2"/>
        <v/>
      </c>
    </row>
    <row r="32" spans="2:27" x14ac:dyDescent="0.2">
      <c r="B32" s="145" t="s">
        <v>828</v>
      </c>
      <c r="C32" s="937" t="s">
        <v>48</v>
      </c>
      <c r="D32" s="935">
        <v>30.570689999999999</v>
      </c>
      <c r="E32" s="934">
        <f>+IFERROR(VLOOKUP(B32,'US CBCR 2016'!$A$1:$B$210,2,0)/1000000,"")</f>
        <v>60.399870999999997</v>
      </c>
      <c r="F32" s="936">
        <f t="shared" ref="F32:F46" si="3">+D32/E32</f>
        <v>0.50613833264643893</v>
      </c>
      <c r="G32" s="935">
        <v>2146</v>
      </c>
      <c r="H32" s="934">
        <f>+IFERROR(VLOOKUP(B32,'US CBCR 2016'!$A$442:$B$587,2,0),"")</f>
        <v>1314</v>
      </c>
      <c r="I32" s="936">
        <f t="shared" ref="I32:I39" si="4">+G32/H32</f>
        <v>1.6331811263318112</v>
      </c>
      <c r="J32" s="935" t="s">
        <v>262</v>
      </c>
      <c r="K32" s="934" t="s">
        <v>262</v>
      </c>
      <c r="L32" s="933" t="str">
        <f t="shared" si="2"/>
        <v/>
      </c>
    </row>
    <row r="33" spans="2:12" x14ac:dyDescent="0.2">
      <c r="B33" s="145" t="s">
        <v>829</v>
      </c>
      <c r="C33" s="937" t="s">
        <v>49</v>
      </c>
      <c r="D33" s="935">
        <v>24865.511556000001</v>
      </c>
      <c r="E33" s="934">
        <f>+IFERROR(VLOOKUP(B33,'US CBCR 2016'!$A$1:$B$210,2,0)/1000000,"")</f>
        <v>-2139.73</v>
      </c>
      <c r="F33" s="936">
        <f t="shared" si="3"/>
        <v>-11.620864107153707</v>
      </c>
      <c r="G33" s="935">
        <v>12553</v>
      </c>
      <c r="H33" s="934">
        <f>+IFERROR(VLOOKUP(B33,'US CBCR 2016'!$A$442:$B$587,2,0),"")</f>
        <v>11361</v>
      </c>
      <c r="I33" s="936">
        <f t="shared" si="4"/>
        <v>1.1049203415192324</v>
      </c>
      <c r="J33" s="935">
        <v>5917</v>
      </c>
      <c r="K33" s="934">
        <v>305</v>
      </c>
      <c r="L33" s="933">
        <f t="shared" si="2"/>
        <v>19.399999999999999</v>
      </c>
    </row>
    <row r="34" spans="2:12" x14ac:dyDescent="0.2">
      <c r="B34" s="145" t="s">
        <v>830</v>
      </c>
      <c r="C34" s="937" t="s">
        <v>50</v>
      </c>
      <c r="D34" s="935">
        <v>15605.119307999999</v>
      </c>
      <c r="E34" s="934">
        <f>+IFERROR(VLOOKUP(B34,'US CBCR 2016'!$A$1:$B$210,2,0)/1000000,"")</f>
        <v>9844.0300000000007</v>
      </c>
      <c r="F34" s="936">
        <f t="shared" si="3"/>
        <v>1.5852368702655313</v>
      </c>
      <c r="G34" s="935">
        <v>1226718</v>
      </c>
      <c r="H34" s="934">
        <f>+IFERROR(VLOOKUP(B34,'US CBCR 2016'!$A$442:$B$587,2,0),"")</f>
        <v>975451</v>
      </c>
      <c r="I34" s="936">
        <f t="shared" si="4"/>
        <v>1.2575905914289902</v>
      </c>
      <c r="J34" s="935">
        <v>20338</v>
      </c>
      <c r="K34" s="934">
        <v>16508</v>
      </c>
      <c r="L34" s="933">
        <f t="shared" si="2"/>
        <v>1.2320087230433729</v>
      </c>
    </row>
    <row r="35" spans="2:12" x14ac:dyDescent="0.2">
      <c r="B35" s="145" t="s">
        <v>831</v>
      </c>
      <c r="C35" s="937" t="s">
        <v>51</v>
      </c>
      <c r="D35" s="935">
        <v>40010.225659999996</v>
      </c>
      <c r="E35" s="934">
        <f>+IFERROR(VLOOKUP(B35,'US CBCR 2016'!$A$1:$B$210,2,0)/1000000,"")</f>
        <v>37642.6</v>
      </c>
      <c r="F35" s="936">
        <f t="shared" si="3"/>
        <v>1.0628975060171189</v>
      </c>
      <c r="G35" s="935">
        <v>159393</v>
      </c>
      <c r="H35" s="934">
        <f>+IFERROR(VLOOKUP(B35,'US CBCR 2016'!$A$442:$B$587,2,0),"")</f>
        <v>135788</v>
      </c>
      <c r="I35" s="936">
        <f t="shared" si="4"/>
        <v>1.1738371579226441</v>
      </c>
      <c r="J35" s="935">
        <v>52678</v>
      </c>
      <c r="K35" s="934">
        <v>43310</v>
      </c>
      <c r="L35" s="933">
        <f t="shared" si="2"/>
        <v>1.2163010851997229</v>
      </c>
    </row>
    <row r="36" spans="2:12" x14ac:dyDescent="0.2">
      <c r="B36" s="145" t="s">
        <v>832</v>
      </c>
      <c r="C36" s="937" t="s">
        <v>52</v>
      </c>
      <c r="D36" s="935">
        <v>1412.7834010000001</v>
      </c>
      <c r="E36" s="934">
        <f>+IFERROR(VLOOKUP(B36,'US CBCR 2016'!$A$1:$B$210,2,0)/1000000,"")</f>
        <v>910.87400000000002</v>
      </c>
      <c r="F36" s="936">
        <f t="shared" si="3"/>
        <v>1.5510195713128272</v>
      </c>
      <c r="G36" s="935">
        <v>28780</v>
      </c>
      <c r="H36" s="934">
        <f>+IFERROR(VLOOKUP(B36,'US CBCR 2016'!$A$442:$B$587,2,0),"")</f>
        <v>26473</v>
      </c>
      <c r="I36" s="936">
        <f t="shared" si="4"/>
        <v>1.0871453934197106</v>
      </c>
      <c r="J36" s="935">
        <v>1185</v>
      </c>
      <c r="K36" s="934">
        <v>1094</v>
      </c>
      <c r="L36" s="933">
        <f t="shared" si="2"/>
        <v>1.083180987202925</v>
      </c>
    </row>
    <row r="37" spans="2:12" x14ac:dyDescent="0.2">
      <c r="B37" s="145" t="s">
        <v>833</v>
      </c>
      <c r="C37" s="937" t="s">
        <v>53</v>
      </c>
      <c r="D37" s="935">
        <v>1282.795734</v>
      </c>
      <c r="E37" s="934">
        <f>+IFERROR(VLOOKUP(B37,'US CBCR 2016'!$A$1:$B$210,2,0)/1000000,"")</f>
        <v>1082.3800000000001</v>
      </c>
      <c r="F37" s="936">
        <f t="shared" si="3"/>
        <v>1.1851620817088269</v>
      </c>
      <c r="G37" s="935">
        <v>32308</v>
      </c>
      <c r="H37" s="934">
        <f>+IFERROR(VLOOKUP(B37,'US CBCR 2016'!$A$442:$B$587,2,0),"")</f>
        <v>32668</v>
      </c>
      <c r="I37" s="936">
        <f t="shared" si="4"/>
        <v>0.98898004163095388</v>
      </c>
      <c r="J37" s="935">
        <v>4640</v>
      </c>
      <c r="K37" s="934">
        <v>3322</v>
      </c>
      <c r="L37" s="933">
        <f t="shared" si="2"/>
        <v>1.3967489464178207</v>
      </c>
    </row>
    <row r="38" spans="2:12" x14ac:dyDescent="0.2">
      <c r="B38" s="145" t="s">
        <v>834</v>
      </c>
      <c r="C38" s="937" t="s">
        <v>54</v>
      </c>
      <c r="D38" s="935">
        <v>3031.6982799999996</v>
      </c>
      <c r="E38" s="934">
        <f>+IFERROR(VLOOKUP(B38,'US CBCR 2016'!$A$1:$B$210,2,0)/1000000,"")</f>
        <v>1974.05</v>
      </c>
      <c r="F38" s="936">
        <f t="shared" si="3"/>
        <v>1.535775831412578</v>
      </c>
      <c r="G38" s="935">
        <v>237897</v>
      </c>
      <c r="H38" s="934">
        <f>+IFERROR(VLOOKUP(B38,'US CBCR 2016'!$A$442:$B$587,2,0),"")</f>
        <v>187607</v>
      </c>
      <c r="I38" s="936">
        <f t="shared" si="4"/>
        <v>1.2680603602211005</v>
      </c>
      <c r="J38" s="935">
        <v>2176</v>
      </c>
      <c r="K38" s="934">
        <v>2582</v>
      </c>
      <c r="L38" s="933">
        <f t="shared" si="2"/>
        <v>0.84275755228505034</v>
      </c>
    </row>
    <row r="39" spans="2:12" x14ac:dyDescent="0.2">
      <c r="B39" s="145" t="s">
        <v>835</v>
      </c>
      <c r="C39" s="937" t="s">
        <v>55</v>
      </c>
      <c r="D39" s="935">
        <v>598.04053199999998</v>
      </c>
      <c r="E39" s="934">
        <f>+IFERROR(VLOOKUP(B39,'US CBCR 2016'!$A$1:$B$210,2,0)/1000000,"")</f>
        <v>281.51400000000001</v>
      </c>
      <c r="F39" s="936">
        <f t="shared" si="3"/>
        <v>2.1243722585732856</v>
      </c>
      <c r="G39" s="935">
        <v>38955</v>
      </c>
      <c r="H39" s="934">
        <f>+IFERROR(VLOOKUP(B39,'US CBCR 2016'!$A$442:$B$587,2,0),"")</f>
        <v>35089</v>
      </c>
      <c r="I39" s="936">
        <f t="shared" si="4"/>
        <v>1.1101769785402833</v>
      </c>
      <c r="J39" s="935">
        <v>414</v>
      </c>
      <c r="K39" s="934">
        <v>427</v>
      </c>
      <c r="L39" s="933">
        <f t="shared" si="2"/>
        <v>0.96955503512880559</v>
      </c>
    </row>
    <row r="40" spans="2:12" x14ac:dyDescent="0.2">
      <c r="B40" s="145" t="s">
        <v>836</v>
      </c>
      <c r="C40" s="937" t="s">
        <v>336</v>
      </c>
      <c r="D40" s="935"/>
      <c r="E40" s="934">
        <f>+IFERROR(VLOOKUP(B40,'US CBCR 2016'!$A$1:$B$210,2,0)/1000000,"")</f>
        <v>415.24400000000003</v>
      </c>
      <c r="F40" s="936">
        <f t="shared" si="3"/>
        <v>0</v>
      </c>
      <c r="G40" s="935" t="s">
        <v>262</v>
      </c>
      <c r="H40" s="934">
        <f>+IFERROR(VLOOKUP(B40,'US CBCR 2016'!$A$442:$B$587,2,0),"")</f>
        <v>41391</v>
      </c>
      <c r="I40" s="936"/>
      <c r="J40" s="935" t="s">
        <v>262</v>
      </c>
      <c r="K40" s="934" t="s">
        <v>262</v>
      </c>
      <c r="L40" s="933" t="str">
        <f t="shared" si="2"/>
        <v/>
      </c>
    </row>
    <row r="41" spans="2:12" x14ac:dyDescent="0.2">
      <c r="B41" s="145" t="s">
        <v>837</v>
      </c>
      <c r="C41" s="937" t="s">
        <v>57</v>
      </c>
      <c r="D41" s="935">
        <v>83.628509000000008</v>
      </c>
      <c r="E41" s="934">
        <f>+IFERROR(VLOOKUP(B41,'US CBCR 2016'!$A$1:$B$210,2,0)/1000000,"")</f>
        <v>47.613129000000001</v>
      </c>
      <c r="F41" s="936">
        <f t="shared" si="3"/>
        <v>1.7564169958248281</v>
      </c>
      <c r="G41" s="935">
        <v>4279</v>
      </c>
      <c r="H41" s="934">
        <f>+IFERROR(VLOOKUP(B41,'US CBCR 2016'!$A$442:$B$587,2,0),"")</f>
        <v>3849</v>
      </c>
      <c r="I41" s="936">
        <f t="shared" ref="I41:I56" si="5">+G41/H41</f>
        <v>1.1117173291764095</v>
      </c>
      <c r="J41" s="935" t="s">
        <v>262</v>
      </c>
      <c r="K41" s="934" t="s">
        <v>262</v>
      </c>
      <c r="L41" s="933" t="str">
        <f t="shared" si="2"/>
        <v/>
      </c>
    </row>
    <row r="42" spans="2:12" x14ac:dyDescent="0.2">
      <c r="B42" s="145" t="s">
        <v>838</v>
      </c>
      <c r="C42" s="937" t="s">
        <v>58</v>
      </c>
      <c r="D42" s="935">
        <v>3785.3189130000001</v>
      </c>
      <c r="E42" s="934">
        <f>+IFERROR(VLOOKUP(B42,'US CBCR 2016'!$A$1:$B$210,2,0)/1000000,"")</f>
        <v>912.03300000000002</v>
      </c>
      <c r="F42" s="936">
        <f t="shared" si="3"/>
        <v>4.1504188039248584</v>
      </c>
      <c r="G42" s="935">
        <v>174980</v>
      </c>
      <c r="H42" s="934">
        <f>+IFERROR(VLOOKUP(B42,'US CBCR 2016'!$A$442:$B$587,2,0),"")</f>
        <v>147905</v>
      </c>
      <c r="I42" s="936">
        <f t="shared" si="5"/>
        <v>1.1830566917954093</v>
      </c>
      <c r="J42" s="935">
        <v>5122</v>
      </c>
      <c r="K42" s="934">
        <v>3492</v>
      </c>
      <c r="L42" s="933">
        <f t="shared" si="2"/>
        <v>1.4667812142038945</v>
      </c>
    </row>
    <row r="43" spans="2:12" x14ac:dyDescent="0.2">
      <c r="B43" s="145" t="s">
        <v>839</v>
      </c>
      <c r="C43" s="937" t="s">
        <v>59</v>
      </c>
      <c r="D43" s="935">
        <v>1085.9013580000001</v>
      </c>
      <c r="E43" s="934">
        <f>+IFERROR(VLOOKUP(B43,'US CBCR 2016'!$A$1:$B$210,2,0)/1000000,"")</f>
        <v>2191.5</v>
      </c>
      <c r="F43" s="936">
        <f t="shared" si="3"/>
        <v>0.49550598129135298</v>
      </c>
      <c r="G43" s="935">
        <v>54794</v>
      </c>
      <c r="H43" s="934">
        <f>+IFERROR(VLOOKUP(B43,'US CBCR 2016'!$A$442:$B$587,2,0),"")</f>
        <v>45381</v>
      </c>
      <c r="I43" s="936">
        <f t="shared" si="5"/>
        <v>1.2074216081620062</v>
      </c>
      <c r="J43" s="935">
        <v>3073</v>
      </c>
      <c r="K43" s="934">
        <v>2799</v>
      </c>
      <c r="L43" s="933">
        <f t="shared" ref="L43:L74" si="6">+IFERROR(J43/K43,"")</f>
        <v>1.0978921043229726</v>
      </c>
    </row>
    <row r="44" spans="2:12" x14ac:dyDescent="0.2">
      <c r="B44" s="145" t="s">
        <v>840</v>
      </c>
      <c r="C44" s="937" t="s">
        <v>60</v>
      </c>
      <c r="D44" s="935">
        <v>49376.393166000002</v>
      </c>
      <c r="E44" s="934">
        <f>+IFERROR(VLOOKUP(B44,'US CBCR 2016'!$A$1:$B$210,2,0)/1000000,"")</f>
        <v>-6204.43</v>
      </c>
      <c r="F44" s="936">
        <f t="shared" si="3"/>
        <v>-7.9582480849973321</v>
      </c>
      <c r="G44" s="935">
        <v>79928</v>
      </c>
      <c r="H44" s="934">
        <f>+IFERROR(VLOOKUP(B44,'US CBCR 2016'!$A$442:$B$587,2,0),"")</f>
        <v>73146</v>
      </c>
      <c r="I44" s="936">
        <f t="shared" si="5"/>
        <v>1.0927186722445521</v>
      </c>
      <c r="J44" s="935">
        <v>38224</v>
      </c>
      <c r="K44" s="934">
        <v>40927</v>
      </c>
      <c r="L44" s="933">
        <f t="shared" si="6"/>
        <v>0.93395557944633123</v>
      </c>
    </row>
    <row r="45" spans="2:12" x14ac:dyDescent="0.2">
      <c r="B45" s="145" t="s">
        <v>841</v>
      </c>
      <c r="C45" s="937" t="s">
        <v>61</v>
      </c>
      <c r="D45" s="935">
        <v>1010.4614350000001</v>
      </c>
      <c r="E45" s="934">
        <f>+IFERROR(VLOOKUP(B45,'US CBCR 2016'!$A$1:$B$210,2,0)/1000000,"")</f>
        <v>554.91800000000001</v>
      </c>
      <c r="F45" s="936">
        <f t="shared" si="3"/>
        <v>1.820920271103118</v>
      </c>
      <c r="G45" s="935">
        <v>57296</v>
      </c>
      <c r="H45" s="934">
        <f>+IFERROR(VLOOKUP(B45,'US CBCR 2016'!$A$442:$B$587,2,0),"")</f>
        <v>48017</v>
      </c>
      <c r="I45" s="936">
        <f t="shared" si="5"/>
        <v>1.1932440593956306</v>
      </c>
      <c r="J45" s="935">
        <v>1200</v>
      </c>
      <c r="K45" s="934">
        <v>1162</v>
      </c>
      <c r="L45" s="933">
        <f t="shared" si="6"/>
        <v>1.0327022375215147</v>
      </c>
    </row>
    <row r="46" spans="2:12" x14ac:dyDescent="0.2">
      <c r="B46" s="145" t="s">
        <v>842</v>
      </c>
      <c r="C46" s="937" t="s">
        <v>62</v>
      </c>
      <c r="D46" s="935">
        <v>18093.955316</v>
      </c>
      <c r="E46" s="934">
        <f>+IFERROR(VLOOKUP(B46,'US CBCR 2016'!$A$1:$B$210,2,0)/1000000,"")</f>
        <v>28719.5</v>
      </c>
      <c r="F46" s="936">
        <f t="shared" si="3"/>
        <v>0.63002334009993211</v>
      </c>
      <c r="G46" s="935">
        <v>1212807</v>
      </c>
      <c r="H46" s="934">
        <f>+IFERROR(VLOOKUP(B46,'US CBCR 2016'!$A$442:$B$587,2,0),"")</f>
        <v>978253</v>
      </c>
      <c r="I46" s="936">
        <f t="shared" si="5"/>
        <v>1.2397682399133967</v>
      </c>
      <c r="J46" s="935">
        <v>42131</v>
      </c>
      <c r="K46" s="934">
        <v>31541</v>
      </c>
      <c r="L46" s="933">
        <f t="shared" si="6"/>
        <v>1.335753463745601</v>
      </c>
    </row>
    <row r="47" spans="2:12" x14ac:dyDescent="0.2">
      <c r="B47" s="145" t="s">
        <v>242</v>
      </c>
      <c r="C47" s="937" t="s">
        <v>63</v>
      </c>
      <c r="D47" s="935"/>
      <c r="E47" s="934"/>
      <c r="F47" s="936"/>
      <c r="G47" s="935">
        <v>22903463</v>
      </c>
      <c r="H47" s="934">
        <f>+IFERROR(VLOOKUP(B47,'US CBCR 2016'!$A$442:$B$587,2,0),"")</f>
        <v>16377437</v>
      </c>
      <c r="I47" s="936">
        <f t="shared" si="5"/>
        <v>1.3984766358740992</v>
      </c>
      <c r="J47" s="935" t="s">
        <v>262</v>
      </c>
      <c r="K47" s="934" t="s">
        <v>262</v>
      </c>
      <c r="L47" s="933" t="str">
        <f t="shared" si="6"/>
        <v/>
      </c>
    </row>
    <row r="48" spans="2:12" ht="39" customHeight="1" x14ac:dyDescent="0.2">
      <c r="B48" s="853"/>
      <c r="C48" s="976" t="s">
        <v>64</v>
      </c>
      <c r="D48" s="974">
        <f>+SUM(D49:D55)</f>
        <v>48237.584421000007</v>
      </c>
      <c r="E48" s="973">
        <f>+SUM(E49:E55)</f>
        <v>36414.100999999995</v>
      </c>
      <c r="F48" s="978">
        <f t="shared" ref="F48:F56" si="7">+D48/E48</f>
        <v>1.3246951893992938</v>
      </c>
      <c r="G48" s="974">
        <f>+SUM(G49:G55)</f>
        <v>3799780</v>
      </c>
      <c r="H48" s="973">
        <f>+SUM(H49:H55)</f>
        <v>3154385</v>
      </c>
      <c r="I48" s="978">
        <f t="shared" si="5"/>
        <v>1.2046024819418049</v>
      </c>
      <c r="J48" s="974">
        <f>+SUM(J49:J55)</f>
        <v>46978</v>
      </c>
      <c r="K48" s="973">
        <f>+SUM(K49:K55)</f>
        <v>35876</v>
      </c>
      <c r="L48" s="977">
        <f t="shared" si="6"/>
        <v>1.3094547887166907</v>
      </c>
    </row>
    <row r="49" spans="2:12" x14ac:dyDescent="0.2">
      <c r="B49" s="145" t="s">
        <v>843</v>
      </c>
      <c r="C49" s="937" t="s">
        <v>65</v>
      </c>
      <c r="D49" s="935">
        <v>5932.5397750000002</v>
      </c>
      <c r="E49" s="934">
        <f>+IFERROR(VLOOKUP(B49,'US CBCR 2016'!$A$1:$B$210,2,0)/1000000,"")</f>
        <v>367.61399999999998</v>
      </c>
      <c r="F49" s="936">
        <f t="shared" si="7"/>
        <v>16.137959313301455</v>
      </c>
      <c r="G49" s="935">
        <v>563445</v>
      </c>
      <c r="H49" s="934">
        <f>+IFERROR(VLOOKUP(B49,'US CBCR 2016'!$A$442:$B$587,2,0),"")</f>
        <v>532715</v>
      </c>
      <c r="I49" s="936">
        <f t="shared" si="5"/>
        <v>1.0576856292764423</v>
      </c>
      <c r="J49" s="935">
        <v>4260</v>
      </c>
      <c r="K49" s="934">
        <v>1720</v>
      </c>
      <c r="L49" s="933">
        <f t="shared" si="6"/>
        <v>2.4767441860465116</v>
      </c>
    </row>
    <row r="50" spans="2:12" x14ac:dyDescent="0.2">
      <c r="B50" s="145" t="s">
        <v>844</v>
      </c>
      <c r="C50" s="937" t="s">
        <v>66</v>
      </c>
      <c r="D50" s="935">
        <v>26774.768893</v>
      </c>
      <c r="E50" s="934">
        <f>+IFERROR(VLOOKUP(B50,'US CBCR 2016'!$A$1:$B$210,2,0)/1000000,"")</f>
        <v>19083.099999999999</v>
      </c>
      <c r="F50" s="936">
        <f t="shared" si="7"/>
        <v>1.4030618134894226</v>
      </c>
      <c r="G50" s="935">
        <v>1322419</v>
      </c>
      <c r="H50" s="934">
        <f>+IFERROR(VLOOKUP(B50,'US CBCR 2016'!$A$442:$B$587,2,0),"")</f>
        <v>1055018</v>
      </c>
      <c r="I50" s="936">
        <f t="shared" si="5"/>
        <v>1.2534563391335503</v>
      </c>
      <c r="J50" s="935">
        <v>27340</v>
      </c>
      <c r="K50" s="934">
        <v>23023</v>
      </c>
      <c r="L50" s="933">
        <f t="shared" si="6"/>
        <v>1.1875081440298831</v>
      </c>
    </row>
    <row r="51" spans="2:12" x14ac:dyDescent="0.2">
      <c r="B51" s="145" t="s">
        <v>845</v>
      </c>
      <c r="C51" s="937" t="s">
        <v>67</v>
      </c>
      <c r="D51" s="935">
        <v>1429.2953170000001</v>
      </c>
      <c r="E51" s="934">
        <f>+IFERROR(VLOOKUP(B51,'US CBCR 2016'!$A$1:$B$210,2,0)/1000000,"")</f>
        <v>1055.4100000000001</v>
      </c>
      <c r="F51" s="936">
        <f t="shared" si="7"/>
        <v>1.3542559924579074</v>
      </c>
      <c r="G51" s="935">
        <v>93463</v>
      </c>
      <c r="H51" s="934">
        <f>+IFERROR(VLOOKUP(B51,'US CBCR 2016'!$A$442:$B$587,2,0),"")</f>
        <v>73043</v>
      </c>
      <c r="I51" s="936">
        <f t="shared" si="5"/>
        <v>1.279561354270772</v>
      </c>
      <c r="J51" s="935">
        <v>1117</v>
      </c>
      <c r="K51" s="934">
        <v>909</v>
      </c>
      <c r="L51" s="933">
        <f t="shared" si="6"/>
        <v>1.2288228822882288</v>
      </c>
    </row>
    <row r="52" spans="2:12" x14ac:dyDescent="0.2">
      <c r="B52" s="145" t="s">
        <v>846</v>
      </c>
      <c r="C52" s="937" t="s">
        <v>68</v>
      </c>
      <c r="D52" s="935">
        <v>1499.972066</v>
      </c>
      <c r="E52" s="934">
        <f>+IFERROR(VLOOKUP(B52,'US CBCR 2016'!$A$1:$B$210,2,0)/1000000,"")</f>
        <v>797.30700000000002</v>
      </c>
      <c r="F52" s="936">
        <f t="shared" si="7"/>
        <v>1.8812980018988921</v>
      </c>
      <c r="G52" s="935">
        <v>90353</v>
      </c>
      <c r="H52" s="934">
        <f>+IFERROR(VLOOKUP(B52,'US CBCR 2016'!$A$442:$B$587,2,0),"")</f>
        <v>69844</v>
      </c>
      <c r="I52" s="936">
        <f t="shared" si="5"/>
        <v>1.2936401122501575</v>
      </c>
      <c r="J52" s="935">
        <v>1127</v>
      </c>
      <c r="K52" s="934">
        <v>1087</v>
      </c>
      <c r="L52" s="933">
        <f t="shared" si="6"/>
        <v>1.0367985280588776</v>
      </c>
    </row>
    <row r="53" spans="2:12" x14ac:dyDescent="0.2">
      <c r="B53" s="145" t="s">
        <v>847</v>
      </c>
      <c r="C53" s="937" t="s">
        <v>69</v>
      </c>
      <c r="D53" s="935">
        <v>11799.551782</v>
      </c>
      <c r="E53" s="934">
        <f>+IFERROR(VLOOKUP(B53,'US CBCR 2016'!$A$1:$B$210,2,0)/1000000,"")</f>
        <v>12030.9</v>
      </c>
      <c r="F53" s="936">
        <f t="shared" si="7"/>
        <v>0.9807704978014945</v>
      </c>
      <c r="G53" s="935">
        <v>1416861</v>
      </c>
      <c r="H53" s="934">
        <f>+IFERROR(VLOOKUP(B53,'US CBCR 2016'!$A$442:$B$587,2,0),"")</f>
        <v>1149992</v>
      </c>
      <c r="I53" s="936">
        <f t="shared" si="5"/>
        <v>1.2320616143416649</v>
      </c>
      <c r="J53" s="935">
        <v>9921</v>
      </c>
      <c r="K53" s="934">
        <v>6760</v>
      </c>
      <c r="L53" s="933">
        <f t="shared" si="6"/>
        <v>1.467603550295858</v>
      </c>
    </row>
    <row r="54" spans="2:12" x14ac:dyDescent="0.2">
      <c r="B54" s="145" t="s">
        <v>848</v>
      </c>
      <c r="C54" s="937" t="s">
        <v>70</v>
      </c>
      <c r="D54" s="935"/>
      <c r="E54" s="934">
        <f>+IFERROR(VLOOKUP(B54,'US CBCR 2016'!$A$1:$B$210,2,0)/1000000,"")</f>
        <v>1967.68</v>
      </c>
      <c r="F54" s="936">
        <f t="shared" si="7"/>
        <v>0</v>
      </c>
      <c r="G54" s="935">
        <v>191930</v>
      </c>
      <c r="H54" s="934">
        <f>+IFERROR(VLOOKUP(B54,'US CBCR 2016'!$A$442:$B$587,2,0),"")</f>
        <v>171424</v>
      </c>
      <c r="I54" s="936">
        <f t="shared" si="5"/>
        <v>1.1196215232406197</v>
      </c>
      <c r="J54" s="935">
        <v>2664</v>
      </c>
      <c r="K54" s="934">
        <v>1582</v>
      </c>
      <c r="L54" s="933">
        <f t="shared" si="6"/>
        <v>1.683944374209861</v>
      </c>
    </row>
    <row r="55" spans="2:12" x14ac:dyDescent="0.2">
      <c r="B55" s="145" t="s">
        <v>849</v>
      </c>
      <c r="C55" s="937" t="s">
        <v>71</v>
      </c>
      <c r="D55" s="935">
        <v>801.45658800000001</v>
      </c>
      <c r="E55" s="934">
        <f>+IFERROR(VLOOKUP(B55,'US CBCR 2016'!$A$1:$B$210,2,0)/1000000,"")</f>
        <v>1112.0899999999999</v>
      </c>
      <c r="F55" s="936">
        <f t="shared" si="7"/>
        <v>0.7206760136319903</v>
      </c>
      <c r="G55" s="935">
        <v>121309</v>
      </c>
      <c r="H55" s="934">
        <f>+IFERROR(VLOOKUP(B55,'US CBCR 2016'!$A$442:$B$587,2,0),"")</f>
        <v>102349</v>
      </c>
      <c r="I55" s="936">
        <f t="shared" si="5"/>
        <v>1.1852485124427206</v>
      </c>
      <c r="J55" s="935">
        <v>549</v>
      </c>
      <c r="K55" s="934">
        <v>795</v>
      </c>
      <c r="L55" s="933">
        <f t="shared" si="6"/>
        <v>0.69056603773584901</v>
      </c>
    </row>
    <row r="56" spans="2:12" ht="30" customHeight="1" x14ac:dyDescent="0.2">
      <c r="B56" s="863"/>
      <c r="C56" s="976" t="s">
        <v>72</v>
      </c>
      <c r="D56" s="974">
        <f>SUM(D57:D92)</f>
        <v>202536.921695536</v>
      </c>
      <c r="E56" s="973">
        <f>SUM(E57:E92)</f>
        <v>159418.87767300001</v>
      </c>
      <c r="F56" s="975">
        <f t="shared" si="7"/>
        <v>1.2704701265742173</v>
      </c>
      <c r="G56" s="974">
        <f>SUM(G57:G92)</f>
        <v>323777</v>
      </c>
      <c r="H56" s="973">
        <f>SUM(H57:H92)</f>
        <v>338492</v>
      </c>
      <c r="I56" s="975">
        <f t="shared" si="5"/>
        <v>0.9565277761365113</v>
      </c>
      <c r="J56" s="974">
        <f>SUM(J57:J92)</f>
        <v>73436.327569000001</v>
      </c>
      <c r="K56" s="973">
        <f>SUM(K57:K92)</f>
        <v>66848.899999999994</v>
      </c>
      <c r="L56" s="972">
        <f t="shared" si="6"/>
        <v>1.0985420488444837</v>
      </c>
    </row>
    <row r="57" spans="2:12" x14ac:dyDescent="0.2">
      <c r="B57" s="145" t="s">
        <v>850</v>
      </c>
      <c r="C57" s="937" t="s">
        <v>73</v>
      </c>
      <c r="D57" s="935"/>
      <c r="E57" s="934" t="str">
        <f>+IFERROR(VLOOKUP(B57,'US CBCR 2016'!$A$1:$B$210,2,0)/1000000,"")</f>
        <v/>
      </c>
      <c r="F57" s="936"/>
      <c r="G57" s="935" t="s">
        <v>262</v>
      </c>
      <c r="H57" s="934" t="str">
        <f>+IFERROR(VLOOKUP(B57,'US CBCR 2016'!$A$442:$B$587,2,0),"")</f>
        <v/>
      </c>
      <c r="I57" s="936"/>
      <c r="J57" s="935" t="s">
        <v>262</v>
      </c>
      <c r="K57" s="934" t="s">
        <v>262</v>
      </c>
      <c r="L57" s="933" t="str">
        <f t="shared" si="6"/>
        <v/>
      </c>
    </row>
    <row r="58" spans="2:12" x14ac:dyDescent="0.2">
      <c r="B58" s="145" t="s">
        <v>851</v>
      </c>
      <c r="C58" s="937" t="s">
        <v>74</v>
      </c>
      <c r="D58" s="935"/>
      <c r="E58" s="934" t="str">
        <f>+IFERROR(VLOOKUP(B58,'US CBCR 2016'!$A$1:$B$210,2,0)/1000000,"")</f>
        <v/>
      </c>
      <c r="F58" s="936"/>
      <c r="G58" s="935" t="s">
        <v>262</v>
      </c>
      <c r="H58" s="934" t="str">
        <f>+IFERROR(VLOOKUP(B58,'US CBCR 2016'!$A$442:$B$587,2,0),"")</f>
        <v/>
      </c>
      <c r="I58" s="936"/>
      <c r="J58" s="935" t="s">
        <v>262</v>
      </c>
      <c r="K58" s="934" t="s">
        <v>262</v>
      </c>
      <c r="L58" s="933" t="str">
        <f t="shared" si="6"/>
        <v/>
      </c>
    </row>
    <row r="59" spans="2:12" x14ac:dyDescent="0.2">
      <c r="B59" s="145" t="s">
        <v>852</v>
      </c>
      <c r="C59" s="937" t="s">
        <v>75</v>
      </c>
      <c r="D59" s="935"/>
      <c r="E59" s="934" t="str">
        <f>+IFERROR(VLOOKUP(B59,'US CBCR 2016'!$A$1:$B$210,2,0)/1000000,"")</f>
        <v/>
      </c>
      <c r="F59" s="936"/>
      <c r="G59" s="935" t="s">
        <v>262</v>
      </c>
      <c r="H59" s="934" t="str">
        <f>+IFERROR(VLOOKUP(B59,'US CBCR 2016'!$A$442:$B$587,2,0),"")</f>
        <v/>
      </c>
      <c r="I59" s="936"/>
      <c r="J59" s="935" t="s">
        <v>262</v>
      </c>
      <c r="K59" s="934" t="s">
        <v>262</v>
      </c>
      <c r="L59" s="933" t="str">
        <f t="shared" si="6"/>
        <v/>
      </c>
    </row>
    <row r="60" spans="2:12" x14ac:dyDescent="0.2">
      <c r="B60" s="145" t="s">
        <v>853</v>
      </c>
      <c r="C60" s="937" t="s">
        <v>76</v>
      </c>
      <c r="D60" s="935">
        <v>27.886282999999999</v>
      </c>
      <c r="E60" s="934">
        <f>+IFERROR(VLOOKUP(B60,'US CBCR 2016'!$A$1:$B$210,2,0)/1000000,"")</f>
        <v>176.18799999999999</v>
      </c>
      <c r="F60" s="936">
        <f>+D60/E60</f>
        <v>0.15827572252366789</v>
      </c>
      <c r="G60" s="935">
        <v>939</v>
      </c>
      <c r="H60" s="934">
        <f>+IFERROR(VLOOKUP(B60,'US CBCR 2016'!$A$442:$B$587,2,0),"")</f>
        <v>805</v>
      </c>
      <c r="I60" s="936">
        <f>+G60/H60</f>
        <v>1.1664596273291925</v>
      </c>
      <c r="J60" s="935" t="s">
        <v>262</v>
      </c>
      <c r="K60" s="934" t="s">
        <v>262</v>
      </c>
      <c r="L60" s="933" t="str">
        <f t="shared" si="6"/>
        <v/>
      </c>
    </row>
    <row r="61" spans="2:12" x14ac:dyDescent="0.2">
      <c r="B61" s="145" t="s">
        <v>854</v>
      </c>
      <c r="C61" s="937" t="s">
        <v>152</v>
      </c>
      <c r="D61" s="935">
        <v>-988.05941000000007</v>
      </c>
      <c r="E61" s="934">
        <f>+IFERROR(VLOOKUP(B61,'US CBCR 2016'!$A$1:$B$210,2,0)/1000000,"")</f>
        <v>21809.599999999999</v>
      </c>
      <c r="F61" s="936">
        <f>+D61/E61</f>
        <v>-4.530387581615436E-2</v>
      </c>
      <c r="G61" s="935">
        <v>2943</v>
      </c>
      <c r="H61" s="934">
        <f>+IFERROR(VLOOKUP(B61,'US CBCR 2016'!$A$442:$B$587,2,0),"")</f>
        <v>2839</v>
      </c>
      <c r="I61" s="936">
        <f>+G61/H61</f>
        <v>1.0366326171187037</v>
      </c>
      <c r="J61" s="935" t="s">
        <v>262</v>
      </c>
      <c r="K61" s="934" t="s">
        <v>262</v>
      </c>
      <c r="L61" s="933" t="str">
        <f t="shared" si="6"/>
        <v/>
      </c>
    </row>
    <row r="62" spans="2:12" x14ac:dyDescent="0.2">
      <c r="B62" s="145" t="s">
        <v>983</v>
      </c>
      <c r="C62" s="937" t="s">
        <v>78</v>
      </c>
      <c r="D62" s="935">
        <v>218.418171</v>
      </c>
      <c r="E62" s="934">
        <f>+IFERROR(VLOOKUP(B62,'US CBCR 2016'!$A$1:$B$210,2,0)/1000000,"")</f>
        <v>223.15799999999999</v>
      </c>
      <c r="F62" s="936">
        <f>+D62/E62</f>
        <v>0.9787602102546179</v>
      </c>
      <c r="G62" s="935">
        <v>5677</v>
      </c>
      <c r="H62" s="934">
        <f>+IFERROR(VLOOKUP(B62,'US CBCR 2016'!$A$442:$B$587,2,0),"")</f>
        <v>3630</v>
      </c>
      <c r="I62" s="936">
        <f>+G62/H62</f>
        <v>1.5639118457300276</v>
      </c>
      <c r="J62" s="935" t="s">
        <v>262</v>
      </c>
      <c r="K62" s="934" t="s">
        <v>262</v>
      </c>
      <c r="L62" s="933" t="str">
        <f t="shared" si="6"/>
        <v/>
      </c>
    </row>
    <row r="63" spans="2:12" x14ac:dyDescent="0.2">
      <c r="B63" s="145" t="s">
        <v>855</v>
      </c>
      <c r="C63" s="937" t="s">
        <v>79</v>
      </c>
      <c r="D63" s="935">
        <v>6170.2162550000003</v>
      </c>
      <c r="E63" s="934">
        <f>+IFERROR(VLOOKUP(B63,'US CBCR 2016'!$A$1:$B$210,2,0)/1000000,"")</f>
        <v>1276.9100000000001</v>
      </c>
      <c r="F63" s="936">
        <f>+D63/E63</f>
        <v>4.8321465530068677</v>
      </c>
      <c r="G63" s="935">
        <v>638</v>
      </c>
      <c r="H63" s="934">
        <f>+IFERROR(VLOOKUP(B63,'US CBCR 2016'!$A$442:$B$587,2,0),"")</f>
        <v>403</v>
      </c>
      <c r="I63" s="936">
        <f>+G63/H63</f>
        <v>1.5831265508684864</v>
      </c>
      <c r="J63" s="935">
        <v>5304</v>
      </c>
      <c r="K63" s="934">
        <v>1189</v>
      </c>
      <c r="L63" s="933">
        <f t="shared" si="6"/>
        <v>4.4608915054667788</v>
      </c>
    </row>
    <row r="64" spans="2:12" x14ac:dyDescent="0.2">
      <c r="B64" s="145" t="s">
        <v>856</v>
      </c>
      <c r="C64" s="937" t="s">
        <v>80</v>
      </c>
      <c r="D64" s="935"/>
      <c r="E64" s="934" t="str">
        <f>+IFERROR(VLOOKUP(B64,'US CBCR 2016'!$A$1:$B$210,2,0)/1000000,"")</f>
        <v/>
      </c>
      <c r="F64" s="936"/>
      <c r="G64" s="935" t="s">
        <v>262</v>
      </c>
      <c r="H64" s="934" t="str">
        <f>+IFERROR(VLOOKUP(B64,'US CBCR 2016'!$A$442:$B$587,2,0),"")</f>
        <v/>
      </c>
      <c r="I64" s="936"/>
      <c r="J64" s="935" t="s">
        <v>262</v>
      </c>
      <c r="K64" s="934" t="s">
        <v>262</v>
      </c>
      <c r="L64" s="933" t="str">
        <f t="shared" si="6"/>
        <v/>
      </c>
    </row>
    <row r="65" spans="2:12" x14ac:dyDescent="0.2">
      <c r="B65" s="145" t="s">
        <v>857</v>
      </c>
      <c r="C65" s="937" t="s">
        <v>81</v>
      </c>
      <c r="D65" s="935">
        <v>32476.480265000002</v>
      </c>
      <c r="E65" s="934">
        <f>+IFERROR(VLOOKUP(B65,'US CBCR 2016'!$A$1:$B$210,2,0)/1000000,"")</f>
        <v>24900.5</v>
      </c>
      <c r="F65" s="936">
        <f>+D65/E65</f>
        <v>1.3042501261018855</v>
      </c>
      <c r="G65" s="935">
        <v>547</v>
      </c>
      <c r="H65" s="934">
        <f>+IFERROR(VLOOKUP(B65,'US CBCR 2016'!$A$442:$B$587,2,0),"")</f>
        <v>551</v>
      </c>
      <c r="I65" s="936">
        <f>+G65/H65</f>
        <v>0.99274047186932846</v>
      </c>
      <c r="J65" s="935">
        <v>-9282</v>
      </c>
      <c r="K65" s="934">
        <v>-5246</v>
      </c>
      <c r="L65" s="933">
        <f t="shared" si="6"/>
        <v>1.769348074723599</v>
      </c>
    </row>
    <row r="66" spans="2:12" x14ac:dyDescent="0.2">
      <c r="B66" s="145" t="s">
        <v>858</v>
      </c>
      <c r="C66" s="937" t="s">
        <v>82</v>
      </c>
      <c r="D66" s="935"/>
      <c r="E66" s="934" t="str">
        <f>+IFERROR(VLOOKUP(B66,'US CBCR 2016'!$A$1:$B$210,2,0)/1000000,"")</f>
        <v/>
      </c>
      <c r="F66" s="936"/>
      <c r="G66" s="935" t="s">
        <v>262</v>
      </c>
      <c r="H66" s="934" t="str">
        <f>+IFERROR(VLOOKUP(B66,'US CBCR 2016'!$A$442:$B$587,2,0),"")</f>
        <v/>
      </c>
      <c r="I66" s="936"/>
      <c r="J66" s="935" t="s">
        <v>262</v>
      </c>
      <c r="K66" s="934" t="s">
        <v>262</v>
      </c>
      <c r="L66" s="933" t="str">
        <f t="shared" si="6"/>
        <v/>
      </c>
    </row>
    <row r="67" spans="2:12" x14ac:dyDescent="0.2">
      <c r="B67" s="145" t="s">
        <v>984</v>
      </c>
      <c r="C67" s="937" t="s">
        <v>83</v>
      </c>
      <c r="D67" s="935">
        <v>2.9005435359999998</v>
      </c>
      <c r="E67" s="934">
        <f>+IFERROR(VLOOKUP(B67,'US CBCR 2016'!$A$1:$B$210,2,0)/1000000,"")</f>
        <v>2289.7800000000002</v>
      </c>
      <c r="F67" s="936">
        <f>+D67/E67</f>
        <v>1.2667345928429803E-3</v>
      </c>
      <c r="G67" s="935">
        <v>63</v>
      </c>
      <c r="H67" s="934">
        <f>+IFERROR(VLOOKUP(B67,'US CBCR 2016'!$A$442:$B$587,2,0),"")</f>
        <v>456</v>
      </c>
      <c r="I67" s="936">
        <f>+G67/H67</f>
        <v>0.13815789473684212</v>
      </c>
      <c r="J67" s="935" t="s">
        <v>262</v>
      </c>
      <c r="K67" s="934" t="s">
        <v>262</v>
      </c>
      <c r="L67" s="933" t="str">
        <f t="shared" si="6"/>
        <v/>
      </c>
    </row>
    <row r="68" spans="2:12" x14ac:dyDescent="0.2">
      <c r="B68" s="145" t="s">
        <v>859</v>
      </c>
      <c r="C68" s="937" t="s">
        <v>84</v>
      </c>
      <c r="D68" s="935">
        <v>58540.240003999999</v>
      </c>
      <c r="E68" s="934">
        <f>+IFERROR(VLOOKUP(B68,'US CBCR 2016'!$A$1:$B$210,2,0)/1000000,"")</f>
        <v>23792.3</v>
      </c>
      <c r="F68" s="936">
        <f>+D68/E68</f>
        <v>2.4604699841545377</v>
      </c>
      <c r="G68" s="935">
        <v>1567</v>
      </c>
      <c r="H68" s="934">
        <f>+IFERROR(VLOOKUP(B68,'US CBCR 2016'!$A$442:$B$587,2,0),"")</f>
        <v>3139</v>
      </c>
      <c r="I68" s="936">
        <f>+G68/H68</f>
        <v>0.49920356801529148</v>
      </c>
      <c r="J68" s="935" t="s">
        <v>262</v>
      </c>
      <c r="K68" s="934" t="s">
        <v>262</v>
      </c>
      <c r="L68" s="933" t="str">
        <f t="shared" si="6"/>
        <v/>
      </c>
    </row>
    <row r="69" spans="2:12" x14ac:dyDescent="0.2">
      <c r="B69" s="145" t="s">
        <v>860</v>
      </c>
      <c r="C69" s="937" t="s">
        <v>85</v>
      </c>
      <c r="D69" s="935">
        <v>167.75585599999999</v>
      </c>
      <c r="E69" s="934">
        <f>+IFERROR(VLOOKUP(B69,'US CBCR 2016'!$A$1:$B$210,2,0)/1000000,"")</f>
        <v>178.547</v>
      </c>
      <c r="F69" s="936">
        <f>+D69/E69</f>
        <v>0.93956132558934058</v>
      </c>
      <c r="G69" s="935">
        <v>200</v>
      </c>
      <c r="H69" s="934">
        <f>+IFERROR(VLOOKUP(B69,'US CBCR 2016'!$A$442:$B$587,2,0),"")</f>
        <v>288</v>
      </c>
      <c r="I69" s="936">
        <f>+G69/H69</f>
        <v>0.69444444444444442</v>
      </c>
      <c r="J69" s="935" t="s">
        <v>262</v>
      </c>
      <c r="K69" s="934" t="s">
        <v>262</v>
      </c>
      <c r="L69" s="933" t="str">
        <f t="shared" si="6"/>
        <v/>
      </c>
    </row>
    <row r="70" spans="2:12" x14ac:dyDescent="0.2">
      <c r="B70" s="145" t="s">
        <v>861</v>
      </c>
      <c r="C70" s="937" t="s">
        <v>86</v>
      </c>
      <c r="D70" s="935">
        <v>-70.184334000000007</v>
      </c>
      <c r="E70" s="934">
        <f>+IFERROR(VLOOKUP(B70,'US CBCR 2016'!$A$1:$B$210,2,0)/1000000,"")</f>
        <v>1523.09</v>
      </c>
      <c r="F70" s="936">
        <f>+D70/E70</f>
        <v>-4.6080227695014749E-2</v>
      </c>
      <c r="G70" s="935">
        <v>1750</v>
      </c>
      <c r="H70" s="934">
        <f>+IFERROR(VLOOKUP(B70,'US CBCR 2016'!$A$442:$B$587,2,0),"")</f>
        <v>1542</v>
      </c>
      <c r="I70" s="936">
        <f>+G70/H70</f>
        <v>1.1348897535667963</v>
      </c>
      <c r="J70" s="935" t="s">
        <v>262</v>
      </c>
      <c r="K70" s="934" t="s">
        <v>262</v>
      </c>
      <c r="L70" s="933" t="str">
        <f t="shared" si="6"/>
        <v/>
      </c>
    </row>
    <row r="71" spans="2:12" x14ac:dyDescent="0.2">
      <c r="B71" s="145" t="s">
        <v>862</v>
      </c>
      <c r="C71" s="937" t="s">
        <v>87</v>
      </c>
      <c r="D71" s="935">
        <v>11687.595963</v>
      </c>
      <c r="E71" s="934">
        <f>+IFERROR(VLOOKUP(B71,'US CBCR 2016'!$A$1:$B$210,2,0)/1000000,"")</f>
        <v>89.081266999999997</v>
      </c>
      <c r="F71" s="936">
        <f>+D71/E71</f>
        <v>131.20150124267991</v>
      </c>
      <c r="G71" s="935">
        <v>531</v>
      </c>
      <c r="H71" s="934">
        <f>+IFERROR(VLOOKUP(B71,'US CBCR 2016'!$A$442:$B$587,2,0),"")</f>
        <v>459</v>
      </c>
      <c r="I71" s="936">
        <f>+G71/H71</f>
        <v>1.1568627450980393</v>
      </c>
      <c r="J71" s="935" t="s">
        <v>262</v>
      </c>
      <c r="K71" s="934" t="s">
        <v>262</v>
      </c>
      <c r="L71" s="933" t="str">
        <f t="shared" si="6"/>
        <v/>
      </c>
    </row>
    <row r="72" spans="2:12" x14ac:dyDescent="0.2">
      <c r="B72" s="145" t="s">
        <v>863</v>
      </c>
      <c r="C72" s="937" t="s">
        <v>88</v>
      </c>
      <c r="D72" s="935"/>
      <c r="E72" s="934" t="str">
        <f>+IFERROR(VLOOKUP(B72,'US CBCR 2016'!$A$1:$B$210,2,0)/1000000,"")</f>
        <v/>
      </c>
      <c r="F72" s="936"/>
      <c r="G72" s="935" t="s">
        <v>262</v>
      </c>
      <c r="H72" s="934" t="str">
        <f>+IFERROR(VLOOKUP(B72,'US CBCR 2016'!$A$442:$B$587,2,0),"")</f>
        <v/>
      </c>
      <c r="I72" s="936"/>
      <c r="J72" s="935" t="s">
        <v>262</v>
      </c>
      <c r="K72" s="934" t="s">
        <v>262</v>
      </c>
      <c r="L72" s="933" t="str">
        <f t="shared" si="6"/>
        <v/>
      </c>
    </row>
    <row r="73" spans="2:12" x14ac:dyDescent="0.2">
      <c r="B73" s="145" t="s">
        <v>864</v>
      </c>
      <c r="C73" s="937" t="s">
        <v>89</v>
      </c>
      <c r="D73" s="935">
        <v>-1645.845155</v>
      </c>
      <c r="E73" s="934">
        <f>+IFERROR(VLOOKUP(B73,'US CBCR 2016'!$A$1:$B$210,2,0)/1000000,"")</f>
        <v>236.39099999999999</v>
      </c>
      <c r="F73" s="936">
        <f>+D73/E73</f>
        <v>-6.9623850104276395</v>
      </c>
      <c r="G73" s="935">
        <v>4956</v>
      </c>
      <c r="H73" s="934">
        <f>+IFERROR(VLOOKUP(B73,'US CBCR 2016'!$A$442:$B$587,2,0),"")</f>
        <v>1529</v>
      </c>
      <c r="I73" s="936">
        <f>+G73/H73</f>
        <v>3.2413342053629823</v>
      </c>
      <c r="J73" s="935" t="s">
        <v>262</v>
      </c>
      <c r="K73" s="934" t="s">
        <v>262</v>
      </c>
      <c r="L73" s="933" t="str">
        <f t="shared" si="6"/>
        <v/>
      </c>
    </row>
    <row r="74" spans="2:12" x14ac:dyDescent="0.2">
      <c r="B74" s="145" t="s">
        <v>865</v>
      </c>
      <c r="C74" s="937" t="s">
        <v>90</v>
      </c>
      <c r="D74" s="935"/>
      <c r="E74" s="934" t="str">
        <f>+IFERROR(VLOOKUP(B74,'US CBCR 2016'!$A$1:$B$210,2,0)/1000000,"")</f>
        <v/>
      </c>
      <c r="F74" s="936"/>
      <c r="G74" s="935" t="s">
        <v>262</v>
      </c>
      <c r="H74" s="934" t="str">
        <f>+IFERROR(VLOOKUP(B74,'US CBCR 2016'!$A$442:$B$587,2,0),"")</f>
        <v/>
      </c>
      <c r="I74" s="936"/>
      <c r="J74" s="935" t="s">
        <v>262</v>
      </c>
      <c r="K74" s="934" t="s">
        <v>262</v>
      </c>
      <c r="L74" s="933" t="str">
        <f t="shared" si="6"/>
        <v/>
      </c>
    </row>
    <row r="75" spans="2:12" x14ac:dyDescent="0.2">
      <c r="B75" s="145" t="s">
        <v>866</v>
      </c>
      <c r="C75" s="937" t="s">
        <v>341</v>
      </c>
      <c r="D75" s="935"/>
      <c r="E75" s="934">
        <f>+IFERROR(VLOOKUP(B75,'US CBCR 2016'!$A$1:$B$210,2,0)/1000000,"")</f>
        <v>9714.42</v>
      </c>
      <c r="F75" s="936">
        <f>+D75/E75</f>
        <v>0</v>
      </c>
      <c r="G75" s="935" t="s">
        <v>262</v>
      </c>
      <c r="H75" s="934">
        <f>+IFERROR(VLOOKUP(B75,'US CBCR 2016'!$A$442:$B$587,2,0),"")</f>
        <v>85285</v>
      </c>
      <c r="I75" s="936"/>
      <c r="J75" s="935">
        <v>7654</v>
      </c>
      <c r="K75" s="934">
        <v>5420</v>
      </c>
      <c r="L75" s="933">
        <f t="shared" ref="L75:L92" si="8">+IFERROR(J75/K75,"")</f>
        <v>1.4121771217712178</v>
      </c>
    </row>
    <row r="76" spans="2:12" x14ac:dyDescent="0.2">
      <c r="B76" s="145" t="s">
        <v>867</v>
      </c>
      <c r="C76" s="937" t="s">
        <v>92</v>
      </c>
      <c r="D76" s="935"/>
      <c r="E76" s="934" t="str">
        <f>+IFERROR(VLOOKUP(B76,'US CBCR 2016'!$A$1:$B$210,2,0)/1000000,"")</f>
        <v/>
      </c>
      <c r="F76" s="936"/>
      <c r="G76" s="935" t="s">
        <v>262</v>
      </c>
      <c r="H76" s="934" t="str">
        <f>+IFERROR(VLOOKUP(B76,'US CBCR 2016'!$A$442:$B$587,2,0),"")</f>
        <v/>
      </c>
      <c r="I76" s="936"/>
      <c r="J76" s="935" t="s">
        <v>262</v>
      </c>
      <c r="K76" s="934" t="s">
        <v>262</v>
      </c>
      <c r="L76" s="933" t="str">
        <f t="shared" si="8"/>
        <v/>
      </c>
    </row>
    <row r="77" spans="2:12" x14ac:dyDescent="0.2">
      <c r="B77" s="145" t="s">
        <v>868</v>
      </c>
      <c r="C77" s="937" t="s">
        <v>93</v>
      </c>
      <c r="D77" s="935">
        <v>48.439442</v>
      </c>
      <c r="E77" s="934">
        <f>+IFERROR(VLOOKUP(B77,'US CBCR 2016'!$A$1:$B$210,2,0)/1000000,"")</f>
        <v>62.190390999999998</v>
      </c>
      <c r="F77" s="936">
        <f>+D77/E77</f>
        <v>0.77888949114341477</v>
      </c>
      <c r="G77" s="935">
        <v>918</v>
      </c>
      <c r="H77" s="934">
        <f>+IFERROR(VLOOKUP(B77,'US CBCR 2016'!$A$442:$B$587,2,0),"")</f>
        <v>845</v>
      </c>
      <c r="I77" s="936">
        <f>+G77/H77</f>
        <v>1.0863905325443788</v>
      </c>
      <c r="J77" s="935" t="s">
        <v>262</v>
      </c>
      <c r="K77" s="934" t="s">
        <v>262</v>
      </c>
      <c r="L77" s="933" t="str">
        <f t="shared" si="8"/>
        <v/>
      </c>
    </row>
    <row r="78" spans="2:12" x14ac:dyDescent="0.2">
      <c r="B78" s="145" t="s">
        <v>869</v>
      </c>
      <c r="C78" s="937" t="s">
        <v>94</v>
      </c>
      <c r="D78" s="935"/>
      <c r="E78" s="934" t="str">
        <f>+IFERROR(VLOOKUP(B78,'US CBCR 2016'!$A$1:$B$210,2,0)/1000000,"")</f>
        <v/>
      </c>
      <c r="F78" s="936"/>
      <c r="G78" s="935" t="s">
        <v>262</v>
      </c>
      <c r="H78" s="934" t="str">
        <f>+IFERROR(VLOOKUP(B78,'US CBCR 2016'!$A$442:$B$587,2,0),"")</f>
        <v/>
      </c>
      <c r="I78" s="936"/>
      <c r="J78" s="935" t="s">
        <v>262</v>
      </c>
      <c r="K78" s="934" t="s">
        <v>262</v>
      </c>
      <c r="L78" s="933" t="str">
        <f t="shared" si="8"/>
        <v/>
      </c>
    </row>
    <row r="79" spans="2:12" x14ac:dyDescent="0.2">
      <c r="B79" s="145" t="s">
        <v>985</v>
      </c>
      <c r="C79" s="937" t="s">
        <v>95</v>
      </c>
      <c r="D79" s="935">
        <v>3065.5717480000003</v>
      </c>
      <c r="E79" s="934">
        <f>+IFERROR(VLOOKUP(B79,'US CBCR 2016'!$A$1:$B$210,2,0)/1000000,"")</f>
        <v>1528.01</v>
      </c>
      <c r="F79" s="936">
        <f>+D79/E79</f>
        <v>2.0062511030686974</v>
      </c>
      <c r="G79" s="935">
        <v>51287</v>
      </c>
      <c r="H79" s="934">
        <f>+IFERROR(VLOOKUP(B79,'US CBCR 2016'!$A$442:$B$587,2,0),"")</f>
        <v>29073</v>
      </c>
      <c r="I79" s="936">
        <f>+G79/H79</f>
        <v>1.7640766346782237</v>
      </c>
      <c r="J79" s="935" t="s">
        <v>262</v>
      </c>
      <c r="K79" s="934" t="s">
        <v>262</v>
      </c>
      <c r="L79" s="933" t="str">
        <f t="shared" si="8"/>
        <v/>
      </c>
    </row>
    <row r="80" spans="2:12" x14ac:dyDescent="0.2">
      <c r="B80" s="145" t="s">
        <v>870</v>
      </c>
      <c r="C80" s="937" t="s">
        <v>96</v>
      </c>
      <c r="D80" s="935">
        <v>-251.88258100000002</v>
      </c>
      <c r="E80" s="934">
        <f>+IFERROR(VLOOKUP(B80,'US CBCR 2016'!$A$1:$B$210,2,0)/1000000,"")</f>
        <v>133.898</v>
      </c>
      <c r="F80" s="936">
        <f>+D80/E80</f>
        <v>-1.8811526759174897</v>
      </c>
      <c r="G80" s="935">
        <v>836</v>
      </c>
      <c r="H80" s="934">
        <f>+IFERROR(VLOOKUP(B80,'US CBCR 2016'!$A$442:$B$587,2,0),"")</f>
        <v>422</v>
      </c>
      <c r="I80" s="936">
        <f>+G80/H80</f>
        <v>1.981042654028436</v>
      </c>
      <c r="J80" s="935" t="s">
        <v>262</v>
      </c>
      <c r="K80" s="934" t="s">
        <v>262</v>
      </c>
      <c r="L80" s="933" t="str">
        <f t="shared" si="8"/>
        <v/>
      </c>
    </row>
    <row r="81" spans="2:12" x14ac:dyDescent="0.2">
      <c r="B81" s="145" t="s">
        <v>986</v>
      </c>
      <c r="C81" s="937" t="s">
        <v>97</v>
      </c>
      <c r="D81" s="935"/>
      <c r="E81" s="934" t="str">
        <f>+IFERROR(VLOOKUP(B81,'US CBCR 2016'!$A$1:$B$210,2,0)/1000000,"")</f>
        <v/>
      </c>
      <c r="F81" s="936"/>
      <c r="G81" s="935" t="s">
        <v>262</v>
      </c>
      <c r="H81" s="934" t="str">
        <f>+IFERROR(VLOOKUP(B81,'US CBCR 2016'!$A$442:$B$587,2,0),"")</f>
        <v/>
      </c>
      <c r="I81" s="936"/>
      <c r="J81" s="935" t="s">
        <v>262</v>
      </c>
      <c r="K81" s="934" t="s">
        <v>262</v>
      </c>
      <c r="L81" s="933" t="str">
        <f t="shared" si="8"/>
        <v/>
      </c>
    </row>
    <row r="82" spans="2:12" x14ac:dyDescent="0.2">
      <c r="B82" s="145" t="s">
        <v>871</v>
      </c>
      <c r="C82" s="937" t="s">
        <v>98</v>
      </c>
      <c r="D82" s="935">
        <v>8.5976239999999997</v>
      </c>
      <c r="E82" s="934">
        <f>+IFERROR(VLOOKUP(B82,'US CBCR 2016'!$A$1:$B$210,2,0)/1000000,"")</f>
        <v>7.4733640000000001</v>
      </c>
      <c r="F82" s="936">
        <f>+D82/E82</f>
        <v>1.1504356003534686</v>
      </c>
      <c r="G82" s="935">
        <v>240</v>
      </c>
      <c r="H82" s="934">
        <f>+IFERROR(VLOOKUP(B82,'US CBCR 2016'!$A$442:$B$587,2,0),"")</f>
        <v>250</v>
      </c>
      <c r="I82" s="936">
        <f>+G82/H82</f>
        <v>0.96</v>
      </c>
      <c r="J82" s="935" t="s">
        <v>262</v>
      </c>
      <c r="K82" s="934" t="s">
        <v>262</v>
      </c>
      <c r="L82" s="933" t="str">
        <f t="shared" si="8"/>
        <v/>
      </c>
    </row>
    <row r="83" spans="2:12" x14ac:dyDescent="0.2">
      <c r="B83" s="145" t="s">
        <v>872</v>
      </c>
      <c r="C83" s="937" t="s">
        <v>99</v>
      </c>
      <c r="D83" s="935"/>
      <c r="E83" s="934" t="str">
        <f>+IFERROR(VLOOKUP(B83,'US CBCR 2016'!$A$1:$B$210,2,0)/1000000,"")</f>
        <v/>
      </c>
      <c r="F83" s="936"/>
      <c r="G83" s="935" t="s">
        <v>262</v>
      </c>
      <c r="H83" s="934" t="str">
        <f>+IFERROR(VLOOKUP(B83,'US CBCR 2016'!$A$442:$B$587,2,0),"")</f>
        <v/>
      </c>
      <c r="I83" s="936"/>
      <c r="J83" s="935" t="s">
        <v>262</v>
      </c>
      <c r="K83" s="934" t="s">
        <v>262</v>
      </c>
      <c r="L83" s="933" t="str">
        <f t="shared" si="8"/>
        <v/>
      </c>
    </row>
    <row r="84" spans="2:12" x14ac:dyDescent="0.2">
      <c r="B84" s="145" t="s">
        <v>873</v>
      </c>
      <c r="C84" s="937" t="s">
        <v>100</v>
      </c>
      <c r="D84" s="935">
        <v>3212.1146060000001</v>
      </c>
      <c r="E84" s="934">
        <f>+IFERROR(VLOOKUP(B84,'US CBCR 2016'!$A$1:$B$210,2,0)/1000000,"")</f>
        <v>2507.67</v>
      </c>
      <c r="F84" s="936">
        <f>+D84/E84</f>
        <v>1.2809159921361264</v>
      </c>
      <c r="G84" s="935">
        <v>2938</v>
      </c>
      <c r="H84" s="934">
        <f>+IFERROR(VLOOKUP(B84,'US CBCR 2016'!$A$442:$B$587,2,0),"")</f>
        <v>3321</v>
      </c>
      <c r="I84" s="936">
        <f>+G84/H84</f>
        <v>0.88467329117735627</v>
      </c>
      <c r="J84" s="935" t="s">
        <v>262</v>
      </c>
      <c r="K84" s="934" t="s">
        <v>262</v>
      </c>
      <c r="L84" s="933" t="str">
        <f t="shared" si="8"/>
        <v/>
      </c>
    </row>
    <row r="85" spans="2:12" x14ac:dyDescent="0.2">
      <c r="B85" s="145" t="s">
        <v>874</v>
      </c>
      <c r="C85" s="937" t="s">
        <v>101</v>
      </c>
      <c r="D85" s="935"/>
      <c r="E85" s="934" t="str">
        <f>+IFERROR(VLOOKUP(B85,'US CBCR 2016'!$A$1:$B$210,2,0)/1000000,"")</f>
        <v/>
      </c>
      <c r="F85" s="936"/>
      <c r="G85" s="935" t="s">
        <v>262</v>
      </c>
      <c r="H85" s="934" t="str">
        <f>+IFERROR(VLOOKUP(B85,'US CBCR 2016'!$A$442:$B$587,2,0),"")</f>
        <v/>
      </c>
      <c r="I85" s="936"/>
      <c r="J85" s="935" t="s">
        <v>262</v>
      </c>
      <c r="K85" s="934" t="s">
        <v>262</v>
      </c>
      <c r="L85" s="933" t="str">
        <f t="shared" si="8"/>
        <v/>
      </c>
    </row>
    <row r="86" spans="2:12" x14ac:dyDescent="0.2">
      <c r="B86" s="145" t="s">
        <v>875</v>
      </c>
      <c r="C86" s="937" t="s">
        <v>102</v>
      </c>
      <c r="D86" s="935">
        <v>54642.381560999995</v>
      </c>
      <c r="E86" s="934">
        <f>+IFERROR(VLOOKUP(B86,'US CBCR 2016'!$A$1:$B$210,2,0)/1000000,"")</f>
        <v>29040.6</v>
      </c>
      <c r="F86" s="936">
        <f>+D86/E86</f>
        <v>1.8815858336604614</v>
      </c>
      <c r="G86" s="935">
        <v>162019</v>
      </c>
      <c r="H86" s="934">
        <f>+IFERROR(VLOOKUP(B86,'US CBCR 2016'!$A$442:$B$587,2,0),"")</f>
        <v>126190</v>
      </c>
      <c r="I86" s="936">
        <f>+G86/H86</f>
        <v>1.2839289959584752</v>
      </c>
      <c r="J86" s="935">
        <v>35179</v>
      </c>
      <c r="K86" s="934">
        <v>26392</v>
      </c>
      <c r="L86" s="933">
        <f t="shared" si="8"/>
        <v>1.3329418005456199</v>
      </c>
    </row>
    <row r="87" spans="2:12" x14ac:dyDescent="0.2">
      <c r="B87" s="145" t="s">
        <v>876</v>
      </c>
      <c r="C87" s="937" t="s">
        <v>425</v>
      </c>
      <c r="D87" s="935"/>
      <c r="E87" s="934">
        <f>+IFERROR(VLOOKUP(B87,'US CBCR 2016'!$A$1:$B$210,2,0)/1000000,"")</f>
        <v>66.165643000000003</v>
      </c>
      <c r="F87" s="936">
        <f>+D87/E87</f>
        <v>0</v>
      </c>
      <c r="G87" s="935" t="s">
        <v>262</v>
      </c>
      <c r="H87" s="934">
        <f>+IFERROR(VLOOKUP(B87,'US CBCR 2016'!$A$442:$B$587,2,0),"")</f>
        <v>916</v>
      </c>
      <c r="I87" s="936"/>
      <c r="J87" s="935" t="s">
        <v>262</v>
      </c>
      <c r="K87" s="934" t="s">
        <v>262</v>
      </c>
      <c r="L87" s="933" t="str">
        <f t="shared" si="8"/>
        <v/>
      </c>
    </row>
    <row r="88" spans="2:12" x14ac:dyDescent="0.2">
      <c r="B88" s="145" t="s">
        <v>877</v>
      </c>
      <c r="C88" s="937" t="s">
        <v>426</v>
      </c>
      <c r="D88" s="935"/>
      <c r="E88" s="934">
        <f>+IFERROR(VLOOKUP(B88,'US CBCR 2016'!$A$1:$B$210,2,0)/1000000,"")</f>
        <v>55.876007999999999</v>
      </c>
      <c r="F88" s="936">
        <f>+D88/E88</f>
        <v>0</v>
      </c>
      <c r="G88" s="935" t="s">
        <v>262</v>
      </c>
      <c r="H88" s="934">
        <f>+IFERROR(VLOOKUP(B88,'US CBCR 2016'!$A$442:$B$587,2,0),"")</f>
        <v>292</v>
      </c>
      <c r="I88" s="936"/>
      <c r="J88" s="935" t="s">
        <v>262</v>
      </c>
      <c r="K88" s="934" t="s">
        <v>262</v>
      </c>
      <c r="L88" s="933" t="str">
        <f t="shared" si="8"/>
        <v/>
      </c>
    </row>
    <row r="89" spans="2:12" x14ac:dyDescent="0.2">
      <c r="B89" s="145" t="s">
        <v>878</v>
      </c>
      <c r="C89" s="937" t="s">
        <v>427</v>
      </c>
      <c r="D89" s="935"/>
      <c r="E89" s="934" t="str">
        <f>+IFERROR(VLOOKUP(B89,'US CBCR 2016'!$A$1:$B$210,2,0)/1000000,"")</f>
        <v/>
      </c>
      <c r="F89" s="936"/>
      <c r="G89" s="935" t="s">
        <v>262</v>
      </c>
      <c r="H89" s="934" t="str">
        <f>+IFERROR(VLOOKUP(B89,'US CBCR 2016'!$A$442:$B$587,2,0),"")</f>
        <v/>
      </c>
      <c r="I89" s="936"/>
      <c r="J89" s="935" t="s">
        <v>262</v>
      </c>
      <c r="K89" s="934" t="s">
        <v>262</v>
      </c>
      <c r="L89" s="933" t="str">
        <f t="shared" si="8"/>
        <v/>
      </c>
    </row>
    <row r="90" spans="2:12" x14ac:dyDescent="0.2">
      <c r="B90" s="145" t="s">
        <v>879</v>
      </c>
      <c r="C90" s="937" t="s">
        <v>106</v>
      </c>
      <c r="D90" s="935"/>
      <c r="E90" s="934" t="str">
        <f>+IFERROR(VLOOKUP(B90,'US CBCR 2016'!$A$1:$B$210,2,0)/1000000,"")</f>
        <v/>
      </c>
      <c r="F90" s="936"/>
      <c r="G90" s="935" t="s">
        <v>262</v>
      </c>
      <c r="H90" s="934" t="str">
        <f>+IFERROR(VLOOKUP(B90,'US CBCR 2016'!$A$442:$B$587,2,0),"")</f>
        <v/>
      </c>
      <c r="I90" s="936"/>
      <c r="J90" s="935" t="s">
        <v>262</v>
      </c>
      <c r="K90" s="934" t="s">
        <v>262</v>
      </c>
      <c r="L90" s="933" t="str">
        <f t="shared" si="8"/>
        <v/>
      </c>
    </row>
    <row r="91" spans="2:12" x14ac:dyDescent="0.2">
      <c r="B91" s="145" t="s">
        <v>880</v>
      </c>
      <c r="C91" s="937" t="s">
        <v>107</v>
      </c>
      <c r="D91" s="935">
        <v>888.96728500000006</v>
      </c>
      <c r="E91" s="934">
        <f>+IFERROR(VLOOKUP(B91,'US CBCR 2016'!$A$1:$B$210,2,0)/1000000,"")</f>
        <v>881.12900000000002</v>
      </c>
      <c r="F91" s="936">
        <f>+D91/E91</f>
        <v>1.0088957292292049</v>
      </c>
      <c r="G91" s="935">
        <v>14109</v>
      </c>
      <c r="H91" s="934">
        <f>+IFERROR(VLOOKUP(B91,'US CBCR 2016'!$A$442:$B$587,2,0),"")</f>
        <v>9931</v>
      </c>
      <c r="I91" s="936">
        <f>+G91/H91</f>
        <v>1.4207028496626724</v>
      </c>
      <c r="J91" s="935">
        <v>246</v>
      </c>
      <c r="K91" s="934">
        <v>168</v>
      </c>
      <c r="L91" s="933">
        <f t="shared" si="8"/>
        <v>1.4642857142857142</v>
      </c>
    </row>
    <row r="92" spans="2:12" ht="17" thickBot="1" x14ac:dyDescent="0.25">
      <c r="B92" s="145" t="s">
        <v>881</v>
      </c>
      <c r="C92" s="932" t="s">
        <v>108</v>
      </c>
      <c r="D92" s="930">
        <v>34335.327569000001</v>
      </c>
      <c r="E92" s="929">
        <f>+IFERROR(VLOOKUP(B92,'US CBCR 2016'!$A$1:$B$210,2,0)/1000000,"")</f>
        <v>38925.9</v>
      </c>
      <c r="F92" s="931">
        <f>+D92/E92</f>
        <v>0.88206894558635762</v>
      </c>
      <c r="G92" s="930">
        <v>71619</v>
      </c>
      <c r="H92" s="929">
        <f>+IFERROR(VLOOKUP(B92,'US CBCR 2016'!$A$442:$B$587,2,0),"")</f>
        <v>66326</v>
      </c>
      <c r="I92" s="931">
        <f>+G92/H92</f>
        <v>1.0798027922684921</v>
      </c>
      <c r="J92" s="930">
        <f>+D92</f>
        <v>34335.327569000001</v>
      </c>
      <c r="K92" s="929">
        <f>+E92</f>
        <v>38925.9</v>
      </c>
      <c r="L92" s="928">
        <f t="shared" si="8"/>
        <v>0.88206894558635762</v>
      </c>
    </row>
    <row r="93" spans="2:12" x14ac:dyDescent="0.2">
      <c r="E93" s="971"/>
    </row>
    <row r="94" spans="2:12" x14ac:dyDescent="0.2">
      <c r="E94" s="971"/>
    </row>
    <row r="95" spans="2:12" x14ac:dyDescent="0.2">
      <c r="E95" s="971"/>
    </row>
    <row r="96" spans="2:12" x14ac:dyDescent="0.2">
      <c r="E96" s="971"/>
    </row>
    <row r="97" spans="5:5" x14ac:dyDescent="0.2">
      <c r="E97" s="971"/>
    </row>
    <row r="98" spans="5:5" x14ac:dyDescent="0.2">
      <c r="E98" s="971"/>
    </row>
    <row r="99" spans="5:5" x14ac:dyDescent="0.2">
      <c r="E99" s="971"/>
    </row>
    <row r="100" spans="5:5" x14ac:dyDescent="0.2">
      <c r="E100" s="971"/>
    </row>
    <row r="101" spans="5:5" x14ac:dyDescent="0.2">
      <c r="E101" s="971"/>
    </row>
    <row r="102" spans="5:5" x14ac:dyDescent="0.2">
      <c r="E102" s="971"/>
    </row>
    <row r="103" spans="5:5" x14ac:dyDescent="0.2">
      <c r="E103" s="971"/>
    </row>
    <row r="104" spans="5:5" x14ac:dyDescent="0.2">
      <c r="E104" s="971"/>
    </row>
    <row r="105" spans="5:5" x14ac:dyDescent="0.2">
      <c r="E105" s="971"/>
    </row>
    <row r="106" spans="5:5" x14ac:dyDescent="0.2">
      <c r="E106" s="971"/>
    </row>
    <row r="107" spans="5:5" x14ac:dyDescent="0.2">
      <c r="E107" s="971"/>
    </row>
    <row r="108" spans="5:5" x14ac:dyDescent="0.2">
      <c r="E108" s="971"/>
    </row>
    <row r="109" spans="5:5" x14ac:dyDescent="0.2">
      <c r="E109" s="971"/>
    </row>
    <row r="110" spans="5:5" x14ac:dyDescent="0.2">
      <c r="E110" s="971"/>
    </row>
    <row r="111" spans="5:5" x14ac:dyDescent="0.2">
      <c r="E111" s="971"/>
    </row>
    <row r="112" spans="5:5" x14ac:dyDescent="0.2">
      <c r="E112" s="971"/>
    </row>
    <row r="113" spans="5:5" x14ac:dyDescent="0.2">
      <c r="E113" s="971"/>
    </row>
    <row r="114" spans="5:5" x14ac:dyDescent="0.2">
      <c r="E114" s="971"/>
    </row>
    <row r="115" spans="5:5" x14ac:dyDescent="0.2">
      <c r="E115" s="971"/>
    </row>
    <row r="116" spans="5:5" x14ac:dyDescent="0.2">
      <c r="E116" s="971"/>
    </row>
    <row r="117" spans="5:5" x14ac:dyDescent="0.2">
      <c r="E117" s="971"/>
    </row>
    <row r="118" spans="5:5" x14ac:dyDescent="0.2">
      <c r="E118" s="971"/>
    </row>
    <row r="119" spans="5:5" x14ac:dyDescent="0.2">
      <c r="E119" s="971"/>
    </row>
    <row r="120" spans="5:5" x14ac:dyDescent="0.2">
      <c r="E120" s="971"/>
    </row>
    <row r="121" spans="5:5" x14ac:dyDescent="0.2">
      <c r="E121" s="971"/>
    </row>
    <row r="122" spans="5:5" x14ac:dyDescent="0.2">
      <c r="E122" s="971"/>
    </row>
    <row r="123" spans="5:5" x14ac:dyDescent="0.2">
      <c r="E123" s="971"/>
    </row>
    <row r="124" spans="5:5" x14ac:dyDescent="0.2">
      <c r="E124" s="971"/>
    </row>
    <row r="125" spans="5:5" x14ac:dyDescent="0.2">
      <c r="E125" s="971"/>
    </row>
    <row r="126" spans="5:5" x14ac:dyDescent="0.2">
      <c r="E126" s="971"/>
    </row>
    <row r="127" spans="5:5" x14ac:dyDescent="0.2">
      <c r="E127" s="971"/>
    </row>
    <row r="128" spans="5:5" x14ac:dyDescent="0.2">
      <c r="E128" s="971"/>
    </row>
    <row r="129" spans="5:5" x14ac:dyDescent="0.2">
      <c r="E129" s="971"/>
    </row>
    <row r="130" spans="5:5" x14ac:dyDescent="0.2">
      <c r="E130" s="971"/>
    </row>
    <row r="131" spans="5:5" x14ac:dyDescent="0.2">
      <c r="E131" s="971"/>
    </row>
    <row r="132" spans="5:5" x14ac:dyDescent="0.2">
      <c r="E132" s="971"/>
    </row>
    <row r="133" spans="5:5" x14ac:dyDescent="0.2">
      <c r="E133" s="971"/>
    </row>
    <row r="134" spans="5:5" x14ac:dyDescent="0.2">
      <c r="E134" s="971"/>
    </row>
    <row r="135" spans="5:5" x14ac:dyDescent="0.2">
      <c r="E135" s="971"/>
    </row>
    <row r="136" spans="5:5" x14ac:dyDescent="0.2">
      <c r="E136" s="971"/>
    </row>
    <row r="137" spans="5:5" x14ac:dyDescent="0.2">
      <c r="E137" s="971"/>
    </row>
    <row r="138" spans="5:5" x14ac:dyDescent="0.2">
      <c r="E138" s="971"/>
    </row>
    <row r="139" spans="5:5" x14ac:dyDescent="0.2">
      <c r="E139" s="971"/>
    </row>
    <row r="140" spans="5:5" x14ac:dyDescent="0.2">
      <c r="E140" s="971"/>
    </row>
    <row r="141" spans="5:5" x14ac:dyDescent="0.2">
      <c r="E141" s="971"/>
    </row>
    <row r="142" spans="5:5" x14ac:dyDescent="0.2">
      <c r="E142" s="971"/>
    </row>
    <row r="143" spans="5:5" x14ac:dyDescent="0.2">
      <c r="E143" s="971"/>
    </row>
    <row r="144" spans="5:5" x14ac:dyDescent="0.2">
      <c r="E144" s="971"/>
    </row>
    <row r="145" spans="5:5" x14ac:dyDescent="0.2">
      <c r="E145" s="971"/>
    </row>
    <row r="146" spans="5:5" x14ac:dyDescent="0.2">
      <c r="E146" s="971"/>
    </row>
    <row r="147" spans="5:5" x14ac:dyDescent="0.2">
      <c r="E147" s="971"/>
    </row>
    <row r="148" spans="5:5" x14ac:dyDescent="0.2">
      <c r="E148" s="971"/>
    </row>
    <row r="149" spans="5:5" x14ac:dyDescent="0.2">
      <c r="E149" s="971"/>
    </row>
    <row r="150" spans="5:5" x14ac:dyDescent="0.2">
      <c r="E150" s="971"/>
    </row>
    <row r="151" spans="5:5" x14ac:dyDescent="0.2">
      <c r="E151" s="971"/>
    </row>
    <row r="152" spans="5:5" x14ac:dyDescent="0.2">
      <c r="E152" s="971"/>
    </row>
    <row r="153" spans="5:5" x14ac:dyDescent="0.2">
      <c r="E153" s="971"/>
    </row>
    <row r="154" spans="5:5" x14ac:dyDescent="0.2">
      <c r="E154" s="971"/>
    </row>
    <row r="155" spans="5:5" x14ac:dyDescent="0.2">
      <c r="E155" s="971"/>
    </row>
    <row r="156" spans="5:5" x14ac:dyDescent="0.2">
      <c r="E156" s="971"/>
    </row>
    <row r="157" spans="5:5" x14ac:dyDescent="0.2">
      <c r="E157" s="971"/>
    </row>
    <row r="158" spans="5:5" x14ac:dyDescent="0.2">
      <c r="E158" s="971"/>
    </row>
    <row r="159" spans="5:5" x14ac:dyDescent="0.2">
      <c r="E159" s="971"/>
    </row>
    <row r="160" spans="5:5" x14ac:dyDescent="0.2">
      <c r="E160" s="971"/>
    </row>
    <row r="161" spans="5:5" x14ac:dyDescent="0.2">
      <c r="E161" s="971"/>
    </row>
    <row r="162" spans="5:5" x14ac:dyDescent="0.2">
      <c r="E162" s="971"/>
    </row>
    <row r="163" spans="5:5" x14ac:dyDescent="0.2">
      <c r="E163" s="971"/>
    </row>
    <row r="164" spans="5:5" x14ac:dyDescent="0.2">
      <c r="E164" s="971"/>
    </row>
    <row r="165" spans="5:5" x14ac:dyDescent="0.2">
      <c r="E165" s="971"/>
    </row>
    <row r="166" spans="5:5" x14ac:dyDescent="0.2">
      <c r="E166" s="971"/>
    </row>
    <row r="167" spans="5:5" x14ac:dyDescent="0.2">
      <c r="E167" s="971"/>
    </row>
    <row r="168" spans="5:5" x14ac:dyDescent="0.2">
      <c r="E168" s="971"/>
    </row>
    <row r="169" spans="5:5" x14ac:dyDescent="0.2">
      <c r="E169" s="971"/>
    </row>
    <row r="170" spans="5:5" x14ac:dyDescent="0.2">
      <c r="E170" s="971"/>
    </row>
    <row r="171" spans="5:5" x14ac:dyDescent="0.2">
      <c r="E171" s="971"/>
    </row>
    <row r="172" spans="5:5" x14ac:dyDescent="0.2">
      <c r="E172" s="971"/>
    </row>
    <row r="173" spans="5:5" x14ac:dyDescent="0.2">
      <c r="E173" s="971"/>
    </row>
    <row r="174" spans="5:5" x14ac:dyDescent="0.2">
      <c r="E174" s="971"/>
    </row>
    <row r="175" spans="5:5" x14ac:dyDescent="0.2">
      <c r="E175" s="971"/>
    </row>
    <row r="176" spans="5:5" x14ac:dyDescent="0.2">
      <c r="E176" s="971"/>
    </row>
    <row r="177" spans="5:5" x14ac:dyDescent="0.2">
      <c r="E177" s="971"/>
    </row>
    <row r="178" spans="5:5" x14ac:dyDescent="0.2">
      <c r="E178" s="971"/>
    </row>
    <row r="179" spans="5:5" x14ac:dyDescent="0.2">
      <c r="E179" s="971"/>
    </row>
    <row r="180" spans="5:5" x14ac:dyDescent="0.2">
      <c r="E180" s="971"/>
    </row>
    <row r="181" spans="5:5" x14ac:dyDescent="0.2">
      <c r="E181" s="971"/>
    </row>
    <row r="182" spans="5:5" x14ac:dyDescent="0.2">
      <c r="E182" s="971"/>
    </row>
    <row r="183" spans="5:5" x14ac:dyDescent="0.2">
      <c r="E183" s="971"/>
    </row>
    <row r="184" spans="5:5" x14ac:dyDescent="0.2">
      <c r="E184" s="971"/>
    </row>
    <row r="185" spans="5:5" x14ac:dyDescent="0.2">
      <c r="E185" s="971"/>
    </row>
    <row r="186" spans="5:5" x14ac:dyDescent="0.2">
      <c r="E186" s="971"/>
    </row>
    <row r="187" spans="5:5" x14ac:dyDescent="0.2">
      <c r="E187" s="971"/>
    </row>
    <row r="188" spans="5:5" x14ac:dyDescent="0.2">
      <c r="E188" s="971"/>
    </row>
    <row r="189" spans="5:5" x14ac:dyDescent="0.2">
      <c r="E189" s="971"/>
    </row>
    <row r="190" spans="5:5" x14ac:dyDescent="0.2">
      <c r="E190" s="971"/>
    </row>
    <row r="191" spans="5:5" x14ac:dyDescent="0.2">
      <c r="E191" s="971"/>
    </row>
    <row r="192" spans="5:5" x14ac:dyDescent="0.2">
      <c r="E192" s="971"/>
    </row>
    <row r="193" spans="5:5" x14ac:dyDescent="0.2">
      <c r="E193" s="971"/>
    </row>
    <row r="194" spans="5:5" x14ac:dyDescent="0.2">
      <c r="E194" s="971"/>
    </row>
    <row r="195" spans="5:5" x14ac:dyDescent="0.2">
      <c r="E195" s="971"/>
    </row>
    <row r="196" spans="5:5" x14ac:dyDescent="0.2">
      <c r="E196" s="971"/>
    </row>
    <row r="197" spans="5:5" x14ac:dyDescent="0.2">
      <c r="E197" s="971"/>
    </row>
    <row r="198" spans="5:5" x14ac:dyDescent="0.2">
      <c r="E198" s="971"/>
    </row>
    <row r="199" spans="5:5" x14ac:dyDescent="0.2">
      <c r="E199" s="971"/>
    </row>
    <row r="200" spans="5:5" x14ac:dyDescent="0.2">
      <c r="E200" s="971"/>
    </row>
    <row r="201" spans="5:5" x14ac:dyDescent="0.2">
      <c r="E201" s="971"/>
    </row>
    <row r="202" spans="5:5" x14ac:dyDescent="0.2">
      <c r="E202" s="971"/>
    </row>
    <row r="203" spans="5:5" x14ac:dyDescent="0.2">
      <c r="E203" s="971"/>
    </row>
  </sheetData>
  <mergeCells count="6">
    <mergeCell ref="C2:L2"/>
    <mergeCell ref="D5:I5"/>
    <mergeCell ref="J6:L6"/>
    <mergeCell ref="J5:L5"/>
    <mergeCell ref="D6:F6"/>
    <mergeCell ref="G6:I6"/>
  </mergeCells>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S100"/>
  <sheetViews>
    <sheetView zoomScale="97" zoomScaleNormal="97" zoomScalePageLayoutView="150" workbookViewId="0">
      <pane xSplit="1" ySplit="8" topLeftCell="C9" activePane="bottomRight" state="frozen"/>
      <selection pane="topRight" activeCell="X16" sqref="X16"/>
      <selection pane="bottomLeft" activeCell="X16" sqref="X16"/>
      <selection pane="bottomRight" activeCell="A3" sqref="A3:K3"/>
    </sheetView>
  </sheetViews>
  <sheetFormatPr baseColWidth="10" defaultColWidth="10.83203125" defaultRowHeight="16" x14ac:dyDescent="0.2"/>
  <cols>
    <col min="1" max="1" width="19" style="1" customWidth="1"/>
    <col min="2" max="2" width="11.33203125" style="1" customWidth="1"/>
    <col min="3" max="3" width="11.83203125" style="1" customWidth="1"/>
    <col min="4" max="5" width="11.33203125" style="1" customWidth="1"/>
    <col min="6" max="6" width="11.83203125" style="1" customWidth="1"/>
    <col min="7" max="9" width="11.33203125" style="1" customWidth="1"/>
    <col min="10" max="16384" width="10.83203125" style="1"/>
  </cols>
  <sheetData>
    <row r="2" spans="1:19" ht="17" thickBot="1" x14ac:dyDescent="0.25">
      <c r="A2" s="958"/>
      <c r="B2" s="958"/>
      <c r="C2" s="958"/>
      <c r="D2" s="958"/>
      <c r="E2" s="958"/>
      <c r="F2" s="958"/>
      <c r="G2" s="958"/>
      <c r="H2" s="958"/>
      <c r="I2" s="958"/>
      <c r="J2" s="958"/>
      <c r="K2" s="958"/>
      <c r="L2" s="958"/>
      <c r="M2" s="958"/>
      <c r="N2" s="958"/>
      <c r="O2" s="958"/>
      <c r="P2" s="958"/>
      <c r="Q2" s="958"/>
      <c r="R2" s="958"/>
      <c r="S2" s="958"/>
    </row>
    <row r="3" spans="1:19" ht="32.25" customHeight="1" thickTop="1" x14ac:dyDescent="0.2">
      <c r="A3" s="1934" t="s">
        <v>158</v>
      </c>
      <c r="B3" s="1935"/>
      <c r="C3" s="1935"/>
      <c r="D3" s="1935"/>
      <c r="E3" s="1935"/>
      <c r="F3" s="1935"/>
      <c r="G3" s="1935"/>
      <c r="H3" s="1935"/>
      <c r="I3" s="1935"/>
      <c r="J3" s="1935"/>
      <c r="K3" s="1936"/>
      <c r="L3" s="958"/>
      <c r="M3" s="958"/>
      <c r="N3" s="958"/>
      <c r="O3" s="958"/>
      <c r="P3" s="958"/>
      <c r="Q3" s="958"/>
      <c r="R3" s="958"/>
      <c r="S3" s="958"/>
    </row>
    <row r="4" spans="1:19" ht="12" customHeight="1" x14ac:dyDescent="0.2">
      <c r="A4" s="4"/>
      <c r="B4" s="620"/>
      <c r="C4" s="620"/>
      <c r="D4" s="620"/>
      <c r="E4" s="620"/>
      <c r="F4" s="620"/>
      <c r="G4" s="620"/>
      <c r="H4" s="620"/>
      <c r="I4" s="620"/>
      <c r="J4" s="1031"/>
      <c r="K4" s="1079"/>
      <c r="L4" s="958"/>
      <c r="M4" s="958"/>
      <c r="N4" s="958"/>
      <c r="O4" s="958"/>
      <c r="P4" s="958"/>
      <c r="Q4" s="958"/>
      <c r="R4" s="958"/>
      <c r="S4" s="958"/>
    </row>
    <row r="5" spans="1:19" ht="17" thickBot="1" x14ac:dyDescent="0.25">
      <c r="A5" s="1154"/>
      <c r="B5" s="3" t="s">
        <v>1</v>
      </c>
      <c r="C5" s="3" t="s">
        <v>2</v>
      </c>
      <c r="D5" s="3" t="s">
        <v>3</v>
      </c>
      <c r="E5" s="3" t="s">
        <v>4</v>
      </c>
      <c r="F5" s="3" t="s">
        <v>5</v>
      </c>
      <c r="G5" s="3" t="s">
        <v>6</v>
      </c>
      <c r="H5" s="3" t="s">
        <v>7</v>
      </c>
      <c r="I5" s="3" t="s">
        <v>8</v>
      </c>
      <c r="J5" s="3" t="s">
        <v>9</v>
      </c>
      <c r="K5" s="6" t="s">
        <v>10</v>
      </c>
      <c r="L5" s="958"/>
      <c r="M5" s="958"/>
      <c r="N5" s="958"/>
      <c r="O5" s="958"/>
      <c r="P5" s="958"/>
      <c r="Q5" s="958"/>
      <c r="R5" s="958"/>
      <c r="S5" s="958"/>
    </row>
    <row r="6" spans="1:19" ht="35.25" customHeight="1" x14ac:dyDescent="0.2">
      <c r="A6" s="1154"/>
      <c r="B6" s="2004" t="s">
        <v>14</v>
      </c>
      <c r="C6" s="2005"/>
      <c r="D6" s="2005"/>
      <c r="E6" s="2005"/>
      <c r="F6" s="2005"/>
      <c r="G6" s="2005"/>
      <c r="H6" s="2006"/>
      <c r="I6" s="2008" t="s">
        <v>159</v>
      </c>
      <c r="J6" s="2009"/>
      <c r="K6" s="2010"/>
      <c r="L6" s="958"/>
      <c r="M6" s="958"/>
      <c r="N6" s="958"/>
      <c r="O6" s="958"/>
      <c r="P6" s="958"/>
      <c r="Q6" s="958"/>
      <c r="R6" s="958"/>
      <c r="S6" s="958"/>
    </row>
    <row r="7" spans="1:19" ht="85" customHeight="1" x14ac:dyDescent="0.2">
      <c r="A7" s="1154"/>
      <c r="B7" s="2007" t="s">
        <v>124</v>
      </c>
      <c r="C7" s="2003" t="s">
        <v>160</v>
      </c>
      <c r="D7" s="1826" t="s">
        <v>125</v>
      </c>
      <c r="E7" s="1826" t="s">
        <v>161</v>
      </c>
      <c r="F7" s="2003" t="s">
        <v>162</v>
      </c>
      <c r="G7" s="1826" t="s">
        <v>125</v>
      </c>
      <c r="H7" s="1843" t="s">
        <v>161</v>
      </c>
      <c r="I7" s="2007" t="s">
        <v>163</v>
      </c>
      <c r="J7" s="2012" t="s">
        <v>164</v>
      </c>
      <c r="K7" s="2014" t="s">
        <v>165</v>
      </c>
      <c r="L7" s="958"/>
      <c r="M7" s="958"/>
      <c r="N7" s="10" t="s">
        <v>166</v>
      </c>
      <c r="O7" s="10"/>
      <c r="P7" s="317" t="s">
        <v>167</v>
      </c>
      <c r="Q7" s="317" t="s">
        <v>168</v>
      </c>
      <c r="R7" s="1004" t="s">
        <v>169</v>
      </c>
      <c r="S7" s="1004" t="s">
        <v>170</v>
      </c>
    </row>
    <row r="8" spans="1:19" ht="33" customHeight="1" x14ac:dyDescent="0.2">
      <c r="A8" s="1154"/>
      <c r="B8" s="2007"/>
      <c r="C8" s="2003"/>
      <c r="D8" s="1834"/>
      <c r="E8" s="1834"/>
      <c r="F8" s="2003"/>
      <c r="G8" s="1834"/>
      <c r="H8" s="748"/>
      <c r="I8" s="2011"/>
      <c r="J8" s="2013"/>
      <c r="K8" s="2015"/>
      <c r="L8" s="958"/>
      <c r="M8" s="958"/>
      <c r="N8" s="10"/>
      <c r="O8" s="10"/>
      <c r="P8" s="10"/>
      <c r="Q8" s="10"/>
      <c r="R8" s="958"/>
      <c r="S8" s="958"/>
    </row>
    <row r="9" spans="1:19" ht="40" customHeight="1" x14ac:dyDescent="0.2">
      <c r="A9" s="8" t="s">
        <v>28</v>
      </c>
      <c r="B9" s="256">
        <f t="shared" ref="B9:H9" si="0">SUM(B10:B44)</f>
        <v>26359.302824524231</v>
      </c>
      <c r="C9" s="257">
        <f t="shared" si="0"/>
        <v>3955.8909394053185</v>
      </c>
      <c r="D9" s="258">
        <f t="shared" si="0"/>
        <v>2276.3407946990947</v>
      </c>
      <c r="E9" s="258">
        <f t="shared" si="0"/>
        <v>1679.5501447062243</v>
      </c>
      <c r="F9" s="257">
        <f t="shared" si="0"/>
        <v>22403.411885118912</v>
      </c>
      <c r="G9" s="258">
        <f t="shared" si="0"/>
        <v>13106.098911167552</v>
      </c>
      <c r="H9" s="259">
        <f t="shared" si="0"/>
        <v>9297.3123686798081</v>
      </c>
      <c r="I9" s="21">
        <f>C9/B9</f>
        <v>0.15007570441980078</v>
      </c>
      <c r="J9" s="260">
        <f>D9/(D9+G9)</f>
        <v>0.1479830792920924</v>
      </c>
      <c r="K9" s="261">
        <f>E9/(E9+H9)</f>
        <v>0.15300821547669485</v>
      </c>
      <c r="L9" s="958"/>
      <c r="M9" s="958"/>
      <c r="N9" s="268">
        <f>D9+G9-TableA2!C9</f>
        <v>0</v>
      </c>
      <c r="O9" s="268">
        <f>H9+E9-TableA2!G9-TableA2!D9</f>
        <v>0</v>
      </c>
      <c r="P9" s="10"/>
      <c r="Q9" s="10"/>
      <c r="R9" s="958"/>
      <c r="S9" s="958"/>
    </row>
    <row r="10" spans="1:19" ht="14.25" customHeight="1" x14ac:dyDescent="0.2">
      <c r="A10" s="1155" t="s">
        <v>29</v>
      </c>
      <c r="B10" s="299">
        <f>+TableA2!B10</f>
        <v>774.05825301069046</v>
      </c>
      <c r="C10" s="1156">
        <f>D10+E10</f>
        <v>197.29292981323601</v>
      </c>
      <c r="D10" s="1157">
        <f>+TableA6!F10/TableA7!N10</f>
        <v>103.34199428911158</v>
      </c>
      <c r="E10" s="1158">
        <f>TableA5!B10</f>
        <v>93.950935524124446</v>
      </c>
      <c r="F10" s="1156">
        <f>B10-C10</f>
        <v>576.76532319745445</v>
      </c>
      <c r="G10" s="1159">
        <f>+TableA2!C10-TableA4!D10</f>
        <v>393.64258226093392</v>
      </c>
      <c r="H10" s="1160">
        <f>+TableA2!D10+TableA2!G10-TableA4!E10</f>
        <v>183.12274093652056</v>
      </c>
      <c r="I10" s="9">
        <f t="shared" ref="I10:I43" si="1">C10/B10</f>
        <v>0.25488124316983574</v>
      </c>
      <c r="J10" s="1161">
        <f>D10/(D10+G10)</f>
        <v>0.20793803100790034</v>
      </c>
      <c r="K10" s="1162">
        <f>E10/(E10+H10)</f>
        <v>0.33908286317292596</v>
      </c>
      <c r="L10" s="1163"/>
      <c r="M10" s="1163"/>
      <c r="N10" s="268">
        <f>D10+G10-TableA2!C10</f>
        <v>0</v>
      </c>
      <c r="O10" s="268">
        <f>H10+E10-TableA2!G10-TableA2!D10</f>
        <v>0</v>
      </c>
      <c r="P10" s="318">
        <f>TableB2!K10/TableA1!B10</f>
        <v>0.43561327527257365</v>
      </c>
      <c r="Q10" s="319">
        <f>I10</f>
        <v>0.25488124316983574</v>
      </c>
      <c r="R10" s="958"/>
      <c r="S10" s="958">
        <v>1</v>
      </c>
    </row>
    <row r="11" spans="1:19" ht="14.25" customHeight="1" x14ac:dyDescent="0.2">
      <c r="A11" s="1155" t="s">
        <v>30</v>
      </c>
      <c r="B11" s="299">
        <f>+TableA2!B11</f>
        <v>216.83707476995184</v>
      </c>
      <c r="C11" s="1156">
        <f t="shared" ref="C11:C44" si="2">D11+E11</f>
        <v>58.214990623901087</v>
      </c>
      <c r="D11" s="1158">
        <f>J11*TableA2!C11</f>
        <v>34.166269406006975</v>
      </c>
      <c r="E11" s="1158">
        <f>K11*(TableA2!D11+TableA2!G11)</f>
        <v>24.048721217894112</v>
      </c>
      <c r="F11" s="1156">
        <f t="shared" ref="F11:F43" si="3">B11-C11</f>
        <v>158.62208414605075</v>
      </c>
      <c r="G11" s="1159">
        <f>+TableA2!C11-TableA4!D11</f>
        <v>90.16122025471843</v>
      </c>
      <c r="H11" s="1160">
        <f>+TableA2!D11+TableA2!G11-TableA4!E11</f>
        <v>68.46075298465918</v>
      </c>
      <c r="I11" s="9">
        <f t="shared" si="1"/>
        <v>0.26847341805206931</v>
      </c>
      <c r="J11" s="1161">
        <f>TableA9!M11/TableA9!E11</f>
        <v>0.27480864850760334</v>
      </c>
      <c r="K11" s="1162">
        <f>TableA9!N11/TableA9!J11</f>
        <v>0.25995954928074122</v>
      </c>
      <c r="L11" s="1163"/>
      <c r="M11" s="1163"/>
      <c r="N11" s="268">
        <f>D11+G11-TableA2!C11</f>
        <v>0</v>
      </c>
      <c r="O11" s="268">
        <f>H11+E11-TableA2!G11-TableA2!D11</f>
        <v>0</v>
      </c>
      <c r="P11" s="318">
        <f>TableB2!K11/TableA1!B11</f>
        <v>0.63707162800450889</v>
      </c>
      <c r="Q11" s="319">
        <f t="shared" ref="Q11:Q52" si="4">I11</f>
        <v>0.26847341805206931</v>
      </c>
      <c r="R11" s="958">
        <v>1</v>
      </c>
      <c r="S11" s="958"/>
    </row>
    <row r="12" spans="1:19" x14ac:dyDescent="0.2">
      <c r="A12" s="1155" t="s">
        <v>31</v>
      </c>
      <c r="B12" s="299">
        <f>+TableA2!B12</f>
        <v>283.38418404296965</v>
      </c>
      <c r="C12" s="1156">
        <f t="shared" si="2"/>
        <v>77.081904759105726</v>
      </c>
      <c r="D12" s="1158">
        <f>J12*TableA2!C12</f>
        <v>47.376726963536328</v>
      </c>
      <c r="E12" s="1158">
        <f>K12*(TableA2!D12+TableA2!G12)</f>
        <v>29.705177795569394</v>
      </c>
      <c r="F12" s="1156">
        <f t="shared" si="3"/>
        <v>206.30227928386392</v>
      </c>
      <c r="G12" s="1159">
        <f>+TableA2!C12-TableA4!D12</f>
        <v>119.14986457494996</v>
      </c>
      <c r="H12" s="1160">
        <f>+TableA2!D12+TableA2!G12-TableA4!E12</f>
        <v>87.152414708914009</v>
      </c>
      <c r="I12" s="9">
        <f t="shared" si="1"/>
        <v>0.27200496393058327</v>
      </c>
      <c r="J12" s="1161">
        <f>TableA9!M12/TableA9!E12</f>
        <v>0.28449946957922934</v>
      </c>
      <c r="K12" s="1162">
        <f>TableA9!N12/TableA9!J12</f>
        <v>0.25419980986198831</v>
      </c>
      <c r="L12" s="1163"/>
      <c r="M12" s="1163"/>
      <c r="N12" s="268">
        <f>D12+G12-TableA2!C12</f>
        <v>0</v>
      </c>
      <c r="O12" s="268">
        <f>H12+E12-TableA2!G12-TableA2!D12</f>
        <v>0</v>
      </c>
      <c r="P12" s="318"/>
      <c r="Q12" s="319"/>
      <c r="R12" s="958"/>
      <c r="S12" s="958"/>
    </row>
    <row r="13" spans="1:19" x14ac:dyDescent="0.2">
      <c r="A13" s="1155" t="s">
        <v>32</v>
      </c>
      <c r="B13" s="299">
        <f>+TableA2!B13</f>
        <v>963.75367641885134</v>
      </c>
      <c r="C13" s="1156">
        <f t="shared" si="2"/>
        <v>160.04835909901968</v>
      </c>
      <c r="D13" s="1157">
        <f>+TableA6!F13/TableA7!N13</f>
        <v>91.55391880071636</v>
      </c>
      <c r="E13" s="1158">
        <f>TableA5!B13</f>
        <v>68.494440298303317</v>
      </c>
      <c r="F13" s="1156">
        <f>B13-C13</f>
        <v>803.70531731983169</v>
      </c>
      <c r="G13" s="1159">
        <f>+TableA2!C13-TableA4!D13</f>
        <v>521.84036373275637</v>
      </c>
      <c r="H13" s="1160">
        <f>+TableA2!D13+TableA2!G13-TableA4!E13</f>
        <v>281.86495358707532</v>
      </c>
      <c r="I13" s="9">
        <f>C13/B13</f>
        <v>0.16606770279075128</v>
      </c>
      <c r="J13" s="1161">
        <f>D13/(D13+G13)</f>
        <v>0.14925786139149461</v>
      </c>
      <c r="K13" s="1162">
        <f>E13/(E13+H13)</f>
        <v>0.19549765610312572</v>
      </c>
      <c r="L13" s="1163"/>
      <c r="M13" s="1163"/>
      <c r="N13" s="268">
        <f>D13+G13-TableA2!C13</f>
        <v>0</v>
      </c>
      <c r="O13" s="268">
        <f>H13+E13-TableA2!G13-TableA2!D13</f>
        <v>0</v>
      </c>
      <c r="P13" s="318">
        <f>TableB2!K13/TableA1!B13</f>
        <v>0.51079708096514354</v>
      </c>
      <c r="Q13" s="319">
        <f t="shared" si="4"/>
        <v>0.16606770279075128</v>
      </c>
      <c r="R13" s="958"/>
      <c r="S13" s="958">
        <v>1</v>
      </c>
    </row>
    <row r="14" spans="1:19" x14ac:dyDescent="0.2">
      <c r="A14" s="1155" t="s">
        <v>33</v>
      </c>
      <c r="B14" s="299">
        <f>+TableA2!B14</f>
        <v>154.1756815022006</v>
      </c>
      <c r="C14" s="1156">
        <f>D14+E14</f>
        <v>27.305278745233569</v>
      </c>
      <c r="D14" s="1157">
        <f>+TableA6!F14/TableA7!N14</f>
        <v>9.9875864667598862</v>
      </c>
      <c r="E14" s="1158">
        <f>TableA5!B14</f>
        <v>17.317692278473682</v>
      </c>
      <c r="F14" s="1156">
        <f>B14-C14</f>
        <v>126.87040275696704</v>
      </c>
      <c r="G14" s="1159">
        <f>+TableA2!C14-TableA4!D14</f>
        <v>57.041887054532872</v>
      </c>
      <c r="H14" s="1160">
        <f>+TableA2!D14+TableA2!G14-TableA4!E14</f>
        <v>69.82851570243416</v>
      </c>
      <c r="I14" s="9">
        <f>C14/B14</f>
        <v>0.17710496544712098</v>
      </c>
      <c r="J14" s="1161">
        <f>D14/(D14+G14)</f>
        <v>0.14900290785645517</v>
      </c>
      <c r="K14" s="1162">
        <f>E14/(E14+H14)</f>
        <v>0.19871997508219377</v>
      </c>
      <c r="L14" s="1163"/>
      <c r="M14" s="1163"/>
      <c r="N14" s="268">
        <f>D14+G14-TableA2!C14</f>
        <v>0</v>
      </c>
      <c r="O14" s="268">
        <f>H14+E14-TableA2!G14-TableA2!D14</f>
        <v>0</v>
      </c>
      <c r="P14" s="318">
        <f>TableB2!K14/TableA1!B14</f>
        <v>1.0459478672026534</v>
      </c>
      <c r="Q14" s="319">
        <f t="shared" si="4"/>
        <v>0.17710496544712098</v>
      </c>
      <c r="R14" s="958"/>
      <c r="S14" s="958">
        <v>1</v>
      </c>
    </row>
    <row r="15" spans="1:19" x14ac:dyDescent="0.2">
      <c r="A15" s="1155" t="s">
        <v>34</v>
      </c>
      <c r="B15" s="299">
        <f>+TableA2!B15</f>
        <v>112.15354438741807</v>
      </c>
      <c r="C15" s="1156">
        <f t="shared" si="2"/>
        <v>46.856993653406334</v>
      </c>
      <c r="D15" s="1158">
        <f>J15*TableA2!C15</f>
        <v>22.880712544827599</v>
      </c>
      <c r="E15" s="1158">
        <f>K15*(TableA2!D15+TableA2!G15)</f>
        <v>23.976281108578732</v>
      </c>
      <c r="F15" s="1156">
        <f t="shared" si="3"/>
        <v>65.296550734011731</v>
      </c>
      <c r="G15" s="1159">
        <f>+TableA2!C15-TableA4!D15</f>
        <v>31.128617197537356</v>
      </c>
      <c r="H15" s="1160">
        <f>+TableA2!D15+TableA2!G15-TableA4!E15</f>
        <v>34.167933536474372</v>
      </c>
      <c r="I15" s="9">
        <f t="shared" si="1"/>
        <v>0.41779324861589467</v>
      </c>
      <c r="J15" s="1161">
        <f>TableA9!M15/TableA9!E15</f>
        <v>0.4236437047816195</v>
      </c>
      <c r="K15" s="1164">
        <f>TableA9!N15/TableA9!J15</f>
        <v>0.41235884352285473</v>
      </c>
      <c r="L15" s="1163"/>
      <c r="M15" s="1163"/>
      <c r="N15" s="268">
        <f>D15+G15-TableA2!C15</f>
        <v>0</v>
      </c>
      <c r="O15" s="268">
        <f>H15+E15-TableA2!G15-TableA2!D15</f>
        <v>0</v>
      </c>
      <c r="P15" s="318">
        <f>TableB2!K15/TableA1!B15</f>
        <v>0.62424587574706658</v>
      </c>
      <c r="Q15" s="319">
        <f t="shared" si="4"/>
        <v>0.41779324861589467</v>
      </c>
      <c r="R15" s="958">
        <v>1</v>
      </c>
      <c r="S15" s="958"/>
    </row>
    <row r="16" spans="1:19" x14ac:dyDescent="0.2">
      <c r="A16" s="1155" t="s">
        <v>35</v>
      </c>
      <c r="B16" s="299">
        <f>+TableA2!B16</f>
        <v>171.31642871995703</v>
      </c>
      <c r="C16" s="1156">
        <f t="shared" si="2"/>
        <v>36.60079380297519</v>
      </c>
      <c r="D16" s="1158">
        <f>J16*TableA2!C16</f>
        <v>22.761452923037087</v>
      </c>
      <c r="E16" s="1158">
        <f>K16*(TableA2!D16+TableA2!G16)</f>
        <v>13.839340879938103</v>
      </c>
      <c r="F16" s="1156">
        <f t="shared" si="3"/>
        <v>134.71563491698186</v>
      </c>
      <c r="G16" s="1159">
        <f>+TableA2!C16-TableA4!D16</f>
        <v>75.81853636635114</v>
      </c>
      <c r="H16" s="1160">
        <f>+TableA2!D16+TableA2!G16-TableA4!E16</f>
        <v>58.897098550630716</v>
      </c>
      <c r="I16" s="9">
        <f t="shared" si="1"/>
        <v>0.21364438937029676</v>
      </c>
      <c r="J16" s="1161">
        <f>TableA9!M16/TableA9!E16</f>
        <v>0.23089323793918565</v>
      </c>
      <c r="K16" s="1164">
        <f>TableA9!N16/TableA9!J16</f>
        <v>0.19026695543914493</v>
      </c>
      <c r="L16" s="1163"/>
      <c r="M16" s="1163"/>
      <c r="N16" s="268">
        <f>D16+G16-TableA2!C16</f>
        <v>0</v>
      </c>
      <c r="O16" s="268">
        <f>H16+E16-TableA2!G16-TableA2!D16</f>
        <v>0</v>
      </c>
      <c r="P16" s="318">
        <f>TableB2!K16/TableA1!B16</f>
        <v>0.37469158681083548</v>
      </c>
      <c r="Q16" s="319">
        <f t="shared" si="4"/>
        <v>0.21364438937029676</v>
      </c>
      <c r="R16" s="958">
        <v>1</v>
      </c>
      <c r="S16" s="958"/>
    </row>
    <row r="17" spans="1:19" x14ac:dyDescent="0.2">
      <c r="A17" s="1155" t="s">
        <v>36</v>
      </c>
      <c r="B17" s="299">
        <f>+TableA2!B17</f>
        <v>14.300084621791608</v>
      </c>
      <c r="C17" s="1156">
        <f t="shared" si="2"/>
        <v>5.8723090121622592</v>
      </c>
      <c r="D17" s="1158">
        <f>J17*TableA2!C17</f>
        <v>3.2197474636718431</v>
      </c>
      <c r="E17" s="1158">
        <f>K17*(TableA2!D17+TableA2!G17)</f>
        <v>2.6525615484904161</v>
      </c>
      <c r="F17" s="1156">
        <f t="shared" si="3"/>
        <v>8.4277756096293501</v>
      </c>
      <c r="G17" s="1159">
        <f>+TableA2!C17-TableA4!D17</f>
        <v>4.7380281477289197</v>
      </c>
      <c r="H17" s="1160">
        <f>+TableA2!D17+TableA2!G17-TableA4!E17</f>
        <v>3.6895256485541417</v>
      </c>
      <c r="I17" s="9">
        <f t="shared" si="1"/>
        <v>0.41064854981442322</v>
      </c>
      <c r="J17" s="1161">
        <f>TableA9!M17/TableA9!E17</f>
        <v>0.40460395227267398</v>
      </c>
      <c r="K17" s="1164">
        <f>TableA9!N17/TableA9!J17</f>
        <v>0.41824741068311427</v>
      </c>
      <c r="L17" s="1163"/>
      <c r="M17" s="1163"/>
      <c r="N17" s="268">
        <f>D17+G17-TableA2!C17</f>
        <v>0</v>
      </c>
      <c r="O17" s="268">
        <f>H17+E17-TableA2!G17-TableA2!D17</f>
        <v>0</v>
      </c>
      <c r="P17" s="318">
        <f>TableB2!K17/TableA1!B17</f>
        <v>0.83980010002856997</v>
      </c>
      <c r="Q17" s="319">
        <f t="shared" si="4"/>
        <v>0.41064854981442322</v>
      </c>
      <c r="R17" s="958">
        <v>1</v>
      </c>
      <c r="S17" s="958"/>
    </row>
    <row r="18" spans="1:19" x14ac:dyDescent="0.2">
      <c r="A18" s="1155" t="s">
        <v>37</v>
      </c>
      <c r="B18" s="299">
        <f>+TableA2!B18</f>
        <v>127.77114186183469</v>
      </c>
      <c r="C18" s="1156">
        <f t="shared" si="2"/>
        <v>28.12836736505291</v>
      </c>
      <c r="D18" s="1158">
        <f>J18*TableA2!C18</f>
        <v>16.339177250094341</v>
      </c>
      <c r="E18" s="1158">
        <f>K18*(TableA2!D18+TableA2!G18)</f>
        <v>11.789190114958569</v>
      </c>
      <c r="F18" s="1156">
        <f t="shared" si="3"/>
        <v>99.642774496781783</v>
      </c>
      <c r="G18" s="1159">
        <f>+TableA2!C18-TableA4!D18</f>
        <v>59.108414356045017</v>
      </c>
      <c r="H18" s="1160">
        <f>+TableA2!D18+TableA2!G18-TableA4!E18</f>
        <v>40.534360140736766</v>
      </c>
      <c r="I18" s="9">
        <f t="shared" si="1"/>
        <v>0.22014648186731803</v>
      </c>
      <c r="J18" s="1161">
        <f>TableA9!M18/TableA9!E18</f>
        <v>0.21656327130215222</v>
      </c>
      <c r="K18" s="1164">
        <f>TableA9!N18/TableA9!J18</f>
        <v>0.22531326825773512</v>
      </c>
      <c r="L18" s="1163"/>
      <c r="M18" s="1163"/>
      <c r="N18" s="268">
        <f>D18+G18-TableA2!C18</f>
        <v>0</v>
      </c>
      <c r="O18" s="268">
        <f>H18+E18-TableA2!G18-TableA2!D18</f>
        <v>0</v>
      </c>
      <c r="P18" s="318">
        <f>TableB2!K18/TableA1!B18</f>
        <v>0.35113512632375482</v>
      </c>
      <c r="Q18" s="319">
        <f t="shared" si="4"/>
        <v>0.22014648186731803</v>
      </c>
      <c r="R18" s="958">
        <v>1</v>
      </c>
      <c r="S18" s="958"/>
    </row>
    <row r="19" spans="1:19" x14ac:dyDescent="0.2">
      <c r="A19" s="1155" t="s">
        <v>38</v>
      </c>
      <c r="B19" s="299">
        <f>+TableA2!B19</f>
        <v>1308.4658390810716</v>
      </c>
      <c r="C19" s="1156">
        <f t="shared" si="2"/>
        <v>211.37422828897019</v>
      </c>
      <c r="D19" s="1158">
        <f>J19*TableA2!C19</f>
        <v>153.37468637532214</v>
      </c>
      <c r="E19" s="1158">
        <f>K19*(TableA2!D19+TableA2!G19)</f>
        <v>57.999541913648059</v>
      </c>
      <c r="F19" s="1156">
        <f t="shared" si="3"/>
        <v>1097.0916107921014</v>
      </c>
      <c r="G19" s="1159">
        <f>+TableA2!C19-TableA4!D19</f>
        <v>718.0057357132946</v>
      </c>
      <c r="H19" s="1160">
        <f>+TableA2!D19+TableA2!G19-TableA4!E19</f>
        <v>379.08587507880696</v>
      </c>
      <c r="I19" s="9">
        <f t="shared" si="1"/>
        <v>0.16154355885776669</v>
      </c>
      <c r="J19" s="1161">
        <f>TableA9!M19/TableA9!E19</f>
        <v>0.17601346379540808</v>
      </c>
      <c r="K19" s="1164">
        <f>TableA9!N19/TableA9!J19</f>
        <v>0.13269612679539305</v>
      </c>
      <c r="L19" s="1163"/>
      <c r="M19" s="1163"/>
      <c r="N19" s="268">
        <f>D19+G19-TableA2!C19</f>
        <v>0</v>
      </c>
      <c r="O19" s="268">
        <f>H19+E19-TableA2!G19-TableA2!D19</f>
        <v>0</v>
      </c>
      <c r="P19" s="318">
        <f>TableB2!K19/TableA1!B19</f>
        <v>0.28285909683503752</v>
      </c>
      <c r="Q19" s="319">
        <f t="shared" si="4"/>
        <v>0.16154355885776669</v>
      </c>
      <c r="R19" s="958">
        <v>1</v>
      </c>
      <c r="S19" s="958"/>
    </row>
    <row r="20" spans="1:19" x14ac:dyDescent="0.2">
      <c r="A20" s="1155" t="s">
        <v>39</v>
      </c>
      <c r="B20" s="299">
        <f>+TableA2!B20</f>
        <v>2072.973263728305</v>
      </c>
      <c r="C20" s="1156">
        <f t="shared" si="2"/>
        <v>418.34195930404996</v>
      </c>
      <c r="D20" s="1158">
        <f>J20*TableA2!C20</f>
        <v>234.01373793675208</v>
      </c>
      <c r="E20" s="1158">
        <f>K20*(TableA2!D20+TableA2!G20)</f>
        <v>184.32822136729789</v>
      </c>
      <c r="F20" s="1156">
        <f t="shared" si="3"/>
        <v>1654.6313044242552</v>
      </c>
      <c r="G20" s="1159">
        <f>+TableA2!C20-TableA4!D20</f>
        <v>988.99296415350591</v>
      </c>
      <c r="H20" s="1160">
        <f>+TableA2!D20+TableA2!G20-TableA4!E20</f>
        <v>665.63834027074927</v>
      </c>
      <c r="I20" s="9">
        <f t="shared" si="1"/>
        <v>0.20180769652168562</v>
      </c>
      <c r="J20" s="1161">
        <f>TableA9!M20/TableA9!E20</f>
        <v>0.1913429726401302</v>
      </c>
      <c r="K20" s="1164">
        <f>TableA9!N20/TableA9!J20</f>
        <v>0.21686526233698222</v>
      </c>
      <c r="L20" s="1163"/>
      <c r="M20" s="1163"/>
      <c r="N20" s="268">
        <f>D20+G20-TableA2!C20</f>
        <v>0</v>
      </c>
      <c r="O20" s="268">
        <f>H20+E20-TableA2!G20-TableA2!D20</f>
        <v>0</v>
      </c>
      <c r="P20" s="318">
        <f>TableB2!K20/TableA1!B20</f>
        <v>0.2338030357460614</v>
      </c>
      <c r="Q20" s="319">
        <f t="shared" si="4"/>
        <v>0.20180769652168562</v>
      </c>
      <c r="R20" s="958">
        <v>1</v>
      </c>
      <c r="S20" s="958"/>
    </row>
    <row r="21" spans="1:19" x14ac:dyDescent="0.2">
      <c r="A21" s="1155" t="s">
        <v>40</v>
      </c>
      <c r="B21" s="299">
        <f>+TableA2!B21</f>
        <v>65.374766181006336</v>
      </c>
      <c r="C21" s="1156">
        <f t="shared" si="2"/>
        <v>8.6576655673265428</v>
      </c>
      <c r="D21" s="1158">
        <f>J21*TableA2!C21</f>
        <v>4.1948249888750162</v>
      </c>
      <c r="E21" s="1158">
        <f>K21*(TableA2!D21+TableA2!G21)</f>
        <v>4.4628405784515266</v>
      </c>
      <c r="F21" s="1156">
        <f t="shared" si="3"/>
        <v>56.71710061367979</v>
      </c>
      <c r="G21" s="1159">
        <f>+TableA2!C21-TableA4!D21</f>
        <v>23.498553993644979</v>
      </c>
      <c r="H21" s="1160">
        <f>+TableA2!D21+TableA2!G21-TableA4!E21</f>
        <v>33.218546730941497</v>
      </c>
      <c r="I21" s="9">
        <f t="shared" si="1"/>
        <v>0.13243130450907675</v>
      </c>
      <c r="J21" s="1161">
        <f>TableA9!M21/TableA9!E21</f>
        <v>0.1514739314232034</v>
      </c>
      <c r="K21" s="1164">
        <f>TableA9!N21/TableA9!J21</f>
        <v>0.11843620676192707</v>
      </c>
      <c r="L21" s="1163"/>
      <c r="M21" s="1163"/>
      <c r="N21" s="268">
        <f>D21+G21-TableA2!C21</f>
        <v>0</v>
      </c>
      <c r="O21" s="268">
        <f>H21+E21-TableA2!G21-TableA2!D21</f>
        <v>0</v>
      </c>
      <c r="P21" s="318">
        <f>TableB2!K21/TableA1!B21</f>
        <v>0.13830806972928111</v>
      </c>
      <c r="Q21" s="319">
        <f t="shared" si="4"/>
        <v>0.13243130450907675</v>
      </c>
      <c r="R21" s="958">
        <v>1</v>
      </c>
      <c r="S21" s="958"/>
    </row>
    <row r="22" spans="1:19" x14ac:dyDescent="0.2">
      <c r="A22" s="1155" t="s">
        <v>41</v>
      </c>
      <c r="B22" s="299">
        <f>+TableA2!B22</f>
        <v>66.600399165868637</v>
      </c>
      <c r="C22" s="1156">
        <f t="shared" si="2"/>
        <v>34.774086885014654</v>
      </c>
      <c r="D22" s="1158">
        <f>J22*TableA2!C22</f>
        <v>15.828195934347765</v>
      </c>
      <c r="E22" s="1158">
        <f>K22*(TableA2!D22+TableA2!G22)</f>
        <v>18.945890950666893</v>
      </c>
      <c r="F22" s="1156">
        <f t="shared" si="3"/>
        <v>31.826312280853983</v>
      </c>
      <c r="G22" s="1159">
        <f>+TableA2!C22-TableA4!D22</f>
        <v>18.378063630865736</v>
      </c>
      <c r="H22" s="1160">
        <f>+TableA2!D22+TableA2!G22-TableA4!E22</f>
        <v>13.448248649988244</v>
      </c>
      <c r="I22" s="9">
        <f t="shared" si="1"/>
        <v>0.52213030733358834</v>
      </c>
      <c r="J22" s="1161">
        <f>TableA9!M22/TableA9!E22</f>
        <v>0.46272805432501757</v>
      </c>
      <c r="K22" s="1164">
        <f>TableA9!N22/TableA9!J22</f>
        <v>0.58485550733021263</v>
      </c>
      <c r="L22" s="1163"/>
      <c r="M22" s="1163"/>
      <c r="N22" s="268">
        <f>D22+G22-TableA2!C22</f>
        <v>0</v>
      </c>
      <c r="O22" s="268">
        <f>H22+E22-TableA2!G22-TableA2!D22</f>
        <v>0</v>
      </c>
      <c r="P22" s="318"/>
      <c r="Q22" s="319"/>
      <c r="R22" s="958">
        <v>1</v>
      </c>
      <c r="S22" s="958"/>
    </row>
    <row r="23" spans="1:19" x14ac:dyDescent="0.2">
      <c r="A23" s="1155" t="s">
        <v>42</v>
      </c>
      <c r="B23" s="299">
        <f>+TableA2!B23</f>
        <v>8.7968397543178742</v>
      </c>
      <c r="C23" s="1156">
        <f>D23+E23</f>
        <v>1.4368665366564288</v>
      </c>
      <c r="D23" s="1165">
        <f>+TableA2!C23*AVERAGE(J40,J34)</f>
        <v>1.4154993051686313</v>
      </c>
      <c r="E23" s="1158">
        <f>TableA5!B23</f>
        <v>2.1367231487797442E-2</v>
      </c>
      <c r="F23" s="1156">
        <f>B23-C23</f>
        <v>7.3599732176614454</v>
      </c>
      <c r="G23" s="1159">
        <f>+TableA2!C23-TableA4!D23</f>
        <v>3.7120509929743211</v>
      </c>
      <c r="H23" s="1160">
        <f>+TableA2!D23+TableA2!G23-TableA4!E23</f>
        <v>3.6479222246871243</v>
      </c>
      <c r="I23" s="9">
        <f>C23/B23</f>
        <v>0.16333894634731203</v>
      </c>
      <c r="J23" s="1161">
        <f>D23/TableA9!B23</f>
        <v>0.27605761481877289</v>
      </c>
      <c r="K23" s="1164">
        <f>E23/TableA9!G23</f>
        <v>5.8232613542764412E-3</v>
      </c>
      <c r="L23" s="1163"/>
      <c r="M23" s="1163"/>
      <c r="N23" s="268">
        <f>D23+G23-TableA2!C23</f>
        <v>0</v>
      </c>
      <c r="O23" s="268">
        <f>H23+E23-TableA2!G23-TableA2!D23</f>
        <v>0</v>
      </c>
      <c r="P23" s="318">
        <f>TableB2!K23/TableA1!B23</f>
        <v>0.67304135369080642</v>
      </c>
      <c r="Q23" s="319">
        <f t="shared" si="4"/>
        <v>0.16333894634731203</v>
      </c>
      <c r="R23" s="958">
        <v>1</v>
      </c>
      <c r="S23" s="958"/>
    </row>
    <row r="24" spans="1:19" x14ac:dyDescent="0.2">
      <c r="A24" s="1155" t="s">
        <v>43</v>
      </c>
      <c r="B24" s="299">
        <f>+TableA2!B24</f>
        <v>216.35996679454206</v>
      </c>
      <c r="C24" s="1156">
        <f t="shared" si="2"/>
        <v>129.43928440981816</v>
      </c>
      <c r="D24" s="1158">
        <f>J24*TableA2!C24</f>
        <v>14.534778765501809</v>
      </c>
      <c r="E24" s="1158">
        <f>K24*(TableA2!D24+TableA2!G24)</f>
        <v>114.90450564431634</v>
      </c>
      <c r="F24" s="1156">
        <f t="shared" si="3"/>
        <v>86.920682384723904</v>
      </c>
      <c r="G24" s="1159">
        <f>+TableA2!C24-TableA4!D24</f>
        <v>46.826255283955916</v>
      </c>
      <c r="H24" s="1160">
        <f>+TableA2!D24+TableA2!G24-TableA4!E24</f>
        <v>40.094427100768002</v>
      </c>
      <c r="I24" s="9">
        <f>C24/B24</f>
        <v>0.59825894007801916</v>
      </c>
      <c r="J24" s="1161">
        <f>TableA9!M24/TableA9!E24</f>
        <v>0.23687310669808145</v>
      </c>
      <c r="K24" s="1164">
        <f>TableA9!N24/TableA9!J24</f>
        <v>0.74132449565502212</v>
      </c>
      <c r="L24" s="1163"/>
      <c r="M24" s="1163"/>
      <c r="N24" s="268">
        <f>D24+G24-TableA2!C24</f>
        <v>0</v>
      </c>
      <c r="O24" s="268">
        <f>H24+E24-TableA2!G24-TableA2!D24</f>
        <v>0</v>
      </c>
      <c r="P24" s="318"/>
      <c r="Q24" s="319"/>
      <c r="R24" s="958"/>
      <c r="S24" s="958"/>
    </row>
    <row r="25" spans="1:19" x14ac:dyDescent="0.2">
      <c r="A25" s="1155" t="s">
        <v>44</v>
      </c>
      <c r="B25" s="299">
        <f>+TableA2!B25</f>
        <v>168.61095158963607</v>
      </c>
      <c r="C25" s="1156">
        <f>D25+E25</f>
        <v>20.001467408286921</v>
      </c>
      <c r="D25" s="1157">
        <f>+TableA6!F25/TableA7!N25</f>
        <v>11.482695813055287</v>
      </c>
      <c r="E25" s="1158">
        <f>TableA5!B25</f>
        <v>8.5187715952316321</v>
      </c>
      <c r="F25" s="1156">
        <f>B25-C25</f>
        <v>148.60948418134916</v>
      </c>
      <c r="G25" s="1159">
        <f>+TableA2!C25-TableA4!D25</f>
        <v>80.471637161888566</v>
      </c>
      <c r="H25" s="1160">
        <f>+TableA2!D25+TableA2!G25-TableA4!E25</f>
        <v>68.137847045188494</v>
      </c>
      <c r="I25" s="9">
        <f>C25/B25</f>
        <v>0.11862496012101471</v>
      </c>
      <c r="J25" s="1161">
        <f>D25/TableA9!B25</f>
        <v>0.12487389600427144</v>
      </c>
      <c r="K25" s="1164">
        <f>E25/TableA9!G25</f>
        <v>0.11112897681009615</v>
      </c>
      <c r="L25" s="1163"/>
      <c r="M25" s="1163"/>
      <c r="N25" s="268">
        <f>D25+G25-TableA2!C25</f>
        <v>0</v>
      </c>
      <c r="O25" s="268">
        <f>H25+E25-TableA2!G25-TableA2!D25</f>
        <v>0</v>
      </c>
      <c r="P25" s="318"/>
      <c r="Q25" s="319"/>
      <c r="R25" s="958"/>
      <c r="S25" s="958">
        <v>1</v>
      </c>
    </row>
    <row r="26" spans="1:19" x14ac:dyDescent="0.2">
      <c r="A26" s="1155" t="s">
        <v>45</v>
      </c>
      <c r="B26" s="299">
        <f>+TableA2!B26</f>
        <v>872.75122856867165</v>
      </c>
      <c r="C26" s="1156">
        <f t="shared" si="2"/>
        <v>133.17920652871467</v>
      </c>
      <c r="D26" s="1158">
        <f>J26*TableA2!C26</f>
        <v>81.299813448428011</v>
      </c>
      <c r="E26" s="1158">
        <f>K26*(TableA2!D26+TableA2!G26)</f>
        <v>51.879393080286654</v>
      </c>
      <c r="F26" s="1156">
        <f t="shared" si="3"/>
        <v>739.57202203995701</v>
      </c>
      <c r="G26" s="1159">
        <f>+TableA2!C26-TableA4!D26</f>
        <v>410.39638211996316</v>
      </c>
      <c r="H26" s="1160">
        <f>+TableA2!D26+TableA2!G26-TableA4!E26</f>
        <v>329.17552901332084</v>
      </c>
      <c r="I26" s="9">
        <f t="shared" si="1"/>
        <v>0.15259698545154851</v>
      </c>
      <c r="J26" s="1161">
        <f>TableA9!M26/TableA9!E26</f>
        <v>0.16534562231958502</v>
      </c>
      <c r="K26" s="1164">
        <f>TableA9!N26/TableA9!J26</f>
        <v>0.13614676014483365</v>
      </c>
      <c r="L26" s="1163"/>
      <c r="M26" s="1163"/>
      <c r="N26" s="268">
        <f>D26+G26-TableA2!C26</f>
        <v>0</v>
      </c>
      <c r="O26" s="268">
        <f>H26+E26-TableA2!G26-TableA2!D26</f>
        <v>0</v>
      </c>
      <c r="P26" s="318">
        <f>TableB2!K26/TableA1!B26</f>
        <v>0.18583546955900887</v>
      </c>
      <c r="Q26" s="319">
        <f t="shared" si="4"/>
        <v>0.15259698545154851</v>
      </c>
      <c r="R26" s="958">
        <v>1</v>
      </c>
      <c r="S26" s="958"/>
    </row>
    <row r="27" spans="1:19" x14ac:dyDescent="0.2">
      <c r="A27" s="1155" t="s">
        <v>46</v>
      </c>
      <c r="B27" s="299">
        <f>+TableA2!B27</f>
        <v>2733.7570791303033</v>
      </c>
      <c r="C27" s="1156">
        <f>D27+E27</f>
        <v>206.25682932165813</v>
      </c>
      <c r="D27" s="1165">
        <f>+TableA2!C27*J44</f>
        <v>135.22206240620594</v>
      </c>
      <c r="E27" s="1158">
        <f>TableA5!B27</f>
        <v>71.034766915452195</v>
      </c>
      <c r="F27" s="1156">
        <f>B27-C27</f>
        <v>2527.5002498086451</v>
      </c>
      <c r="G27" s="1159">
        <f>+TableA2!C27-TableA4!D27</f>
        <v>1378.7962158926975</v>
      </c>
      <c r="H27" s="1160">
        <f>+TableA2!D27+TableA2!G27-TableA4!E27</f>
        <v>1148.7040339159478</v>
      </c>
      <c r="I27" s="9">
        <f>C27/B27</f>
        <v>7.5448118962814031E-2</v>
      </c>
      <c r="J27" s="1161">
        <f>D27/TableA9!B27</f>
        <v>8.9313361895562174E-2</v>
      </c>
      <c r="K27" s="1164">
        <f>E27/TableA9!G27</f>
        <v>5.8237687336857191E-2</v>
      </c>
      <c r="L27" s="1163"/>
      <c r="M27" s="1163"/>
      <c r="N27" s="268">
        <f>D27+G27-TableA2!C27</f>
        <v>0</v>
      </c>
      <c r="O27" s="268">
        <f>H27+E27-TableA2!G27-TableA2!D27</f>
        <v>0</v>
      </c>
      <c r="P27" s="318">
        <f>TableB2!K27/TableA1!B27</f>
        <v>4.7053689258015251E-2</v>
      </c>
      <c r="Q27" s="319">
        <f t="shared" si="4"/>
        <v>7.5448118962814031E-2</v>
      </c>
      <c r="R27" s="958"/>
      <c r="S27" s="958">
        <v>1</v>
      </c>
    </row>
    <row r="28" spans="1:19" x14ac:dyDescent="0.2">
      <c r="A28" s="1155" t="s">
        <v>47</v>
      </c>
      <c r="B28" s="299">
        <f>+TableA2!B28</f>
        <v>843.46264777451415</v>
      </c>
      <c r="C28" s="1156">
        <f>D28+E28</f>
        <v>68.707525310376454</v>
      </c>
      <c r="D28" s="1165">
        <f>+TableA2!C28*$B$98</f>
        <v>64.003009513839302</v>
      </c>
      <c r="E28" s="1158">
        <f>TableA5!B28</f>
        <v>4.7045157965371542</v>
      </c>
      <c r="F28" s="1156">
        <f t="shared" si="3"/>
        <v>774.75512246413768</v>
      </c>
      <c r="G28" s="1159">
        <f>+TableA2!C28-TableA4!D28</f>
        <v>350.67717428019472</v>
      </c>
      <c r="H28" s="1160">
        <f>+TableA2!D28+TableA2!G28-TableA4!E28</f>
        <v>424.07794818394296</v>
      </c>
      <c r="I28" s="9">
        <f>C28/B28</f>
        <v>8.145888320207427E-2</v>
      </c>
      <c r="J28" s="1161">
        <f>D28/TableA9!B28</f>
        <v>0.15434306247348614</v>
      </c>
      <c r="K28" s="1164">
        <f>E28/TableA9!G28</f>
        <v>1.0971800835472886E-2</v>
      </c>
      <c r="L28" s="1163"/>
      <c r="M28" s="1163"/>
      <c r="N28" s="268">
        <f>D28+G28-TableA2!C28</f>
        <v>0</v>
      </c>
      <c r="O28" s="268">
        <f>H28+E28-TableA2!G28-TableA2!D28</f>
        <v>0</v>
      </c>
      <c r="P28" s="318">
        <f>TableB2!K28/TableA1!B28</f>
        <v>0.12269555518747587</v>
      </c>
      <c r="Q28" s="319">
        <f t="shared" si="4"/>
        <v>8.145888320207427E-2</v>
      </c>
      <c r="R28" s="958"/>
      <c r="S28" s="958">
        <v>1</v>
      </c>
    </row>
    <row r="29" spans="1:19" x14ac:dyDescent="0.2">
      <c r="A29" s="1155" t="s">
        <v>48</v>
      </c>
      <c r="B29" s="299">
        <f>+TableA2!B29</f>
        <v>16.865578894016473</v>
      </c>
      <c r="C29" s="1156">
        <f t="shared" si="2"/>
        <v>5.6429965651966789</v>
      </c>
      <c r="D29" s="1158">
        <f>J29*TableA2!C29</f>
        <v>2.9223870232507698</v>
      </c>
      <c r="E29" s="1158">
        <f>K29*(TableA2!D29+TableA2!G29)</f>
        <v>2.7206095419459095</v>
      </c>
      <c r="F29" s="1156">
        <f t="shared" si="3"/>
        <v>11.222582328819794</v>
      </c>
      <c r="G29" s="1159">
        <f>+TableA2!C29-TableA4!D29</f>
        <v>6.2797658970882937</v>
      </c>
      <c r="H29" s="1160">
        <f>+TableA2!D29+TableA2!G29-TableA4!E29</f>
        <v>4.9428175407982327</v>
      </c>
      <c r="I29" s="9">
        <f t="shared" si="1"/>
        <v>0.33458659205576913</v>
      </c>
      <c r="J29" s="1161">
        <f>TableA9!M29/TableA9!E29</f>
        <v>0.31757644635437021</v>
      </c>
      <c r="K29" s="1164">
        <f>TableA9!N29/TableA9!J29</f>
        <v>0.35501212611156019</v>
      </c>
      <c r="L29" s="1163"/>
      <c r="M29" s="1163"/>
      <c r="N29" s="268">
        <f>D29+G29-TableA2!C29</f>
        <v>0</v>
      </c>
      <c r="O29" s="268">
        <f>H29+E29-TableA2!G29-TableA2!D29</f>
        <v>0</v>
      </c>
      <c r="P29" s="318">
        <f>TableB2!K29/TableA1!B29</f>
        <v>0.54583244130060771</v>
      </c>
      <c r="Q29" s="319">
        <f t="shared" si="4"/>
        <v>0.33458659205576913</v>
      </c>
      <c r="R29" s="958">
        <v>1</v>
      </c>
      <c r="S29" s="958"/>
    </row>
    <row r="30" spans="1:19" x14ac:dyDescent="0.2">
      <c r="A30" s="1155" t="s">
        <v>49</v>
      </c>
      <c r="B30" s="299">
        <f>+TableA2!B30</f>
        <v>39.231128397764564</v>
      </c>
      <c r="C30" s="1156">
        <f t="shared" si="2"/>
        <v>25.429791085099801</v>
      </c>
      <c r="D30" s="1158">
        <f>J30*TableA2!C30</f>
        <v>11.134697263599653</v>
      </c>
      <c r="E30" s="1158">
        <f>K30*(TableA2!D30+TableA2!G30)</f>
        <v>14.295093821500146</v>
      </c>
      <c r="F30" s="1156">
        <f t="shared" si="3"/>
        <v>13.801337312664764</v>
      </c>
      <c r="G30" s="1159">
        <f>+TableA2!C30-TableA4!D30</f>
        <v>10.41757471505303</v>
      </c>
      <c r="H30" s="1160">
        <f>+TableA2!D30+TableA2!G30-TableA4!E30</f>
        <v>3.3837625976117351</v>
      </c>
      <c r="I30" s="28">
        <f t="shared" si="1"/>
        <v>0.64820442652750254</v>
      </c>
      <c r="J30" s="1166">
        <f>(TableA9!M30+TableA9!D30)/TableA9!B30</f>
        <v>0.51663682022148116</v>
      </c>
      <c r="K30" s="1167">
        <f>(TableA9!N30+TableA9!I30)/TableA9!G30</f>
        <v>0.80859833252824609</v>
      </c>
      <c r="L30" s="1163"/>
      <c r="M30" s="1163"/>
      <c r="N30" s="268">
        <f>D30+G30-TableA2!C30</f>
        <v>0</v>
      </c>
      <c r="O30" s="268">
        <f>H30+E30-TableA2!G30-TableA2!D30</f>
        <v>0</v>
      </c>
      <c r="P30" s="318"/>
      <c r="Q30" s="319"/>
      <c r="R30" s="958"/>
      <c r="S30" s="958"/>
    </row>
    <row r="31" spans="1:19" x14ac:dyDescent="0.2">
      <c r="A31" s="1154" t="s">
        <v>50</v>
      </c>
      <c r="B31" s="299">
        <f>+TableA2!B31</f>
        <v>580.51899302302263</v>
      </c>
      <c r="C31" s="1156">
        <f>D31+E31</f>
        <v>65.009276406836875</v>
      </c>
      <c r="D31" s="1157">
        <f>+TableA6!F31/TableA7!N31</f>
        <v>32.357373994477598</v>
      </c>
      <c r="E31" s="1158">
        <f>TableA5!B31</f>
        <v>32.651902412359277</v>
      </c>
      <c r="F31" s="1156">
        <f>B31-C31</f>
        <v>515.50971661618576</v>
      </c>
      <c r="G31" s="1159">
        <f>+TableA2!C31-TableA4!D31</f>
        <v>107.87082887464368</v>
      </c>
      <c r="H31" s="1160">
        <f>+TableA2!D31+TableA2!G31-TableA4!E31</f>
        <v>407.63882464316043</v>
      </c>
      <c r="I31" s="9">
        <f>C31/B31</f>
        <v>0.11198475362245158</v>
      </c>
      <c r="J31" s="1161">
        <f>D31/TableA9!B31</f>
        <v>0.23074797603073896</v>
      </c>
      <c r="K31" s="1164">
        <f>E31/TableA9!G31</f>
        <v>7.415986848217665E-2</v>
      </c>
      <c r="L31" s="1163"/>
      <c r="M31" s="1163"/>
      <c r="N31" s="268">
        <f>D31+G31-TableA2!C31</f>
        <v>0</v>
      </c>
      <c r="O31" s="268">
        <f>H31+E31-TableA2!G31-TableA2!D31</f>
        <v>0</v>
      </c>
      <c r="P31" s="318"/>
      <c r="Q31" s="319"/>
      <c r="R31" s="958"/>
      <c r="S31" s="958">
        <v>1</v>
      </c>
    </row>
    <row r="32" spans="1:19" x14ac:dyDescent="0.2">
      <c r="A32" s="1154" t="s">
        <v>51</v>
      </c>
      <c r="B32" s="299">
        <f>+TableA2!B32</f>
        <v>501.13845699981925</v>
      </c>
      <c r="C32" s="1156">
        <f t="shared" si="2"/>
        <v>140.66521226439096</v>
      </c>
      <c r="D32" s="1158">
        <f>J32*TableA2!C32</f>
        <v>77.710709775013825</v>
      </c>
      <c r="E32" s="1158">
        <f>K32*(TableA2!D32+TableA2!G32)</f>
        <v>62.954502489377148</v>
      </c>
      <c r="F32" s="1156">
        <f t="shared" si="3"/>
        <v>360.4732447354283</v>
      </c>
      <c r="G32" s="1159">
        <f>+TableA2!C32-TableA4!D32</f>
        <v>204.32828722939695</v>
      </c>
      <c r="H32" s="1160">
        <f>+TableA2!D32+TableA2!G32-TableA4!E32</f>
        <v>156.14495750603135</v>
      </c>
      <c r="I32" s="9">
        <f t="shared" si="1"/>
        <v>0.2806913145451172</v>
      </c>
      <c r="J32" s="1161">
        <f>TableA9!M32/TableA9!E32</f>
        <v>0.27553179028571895</v>
      </c>
      <c r="K32" s="1164">
        <f>TableA9!N32/TableA9!J32</f>
        <v>0.28733298790739348</v>
      </c>
      <c r="L32" s="1163"/>
      <c r="M32" s="1163"/>
      <c r="N32" s="268">
        <f>D32+G32-TableA2!C32</f>
        <v>0</v>
      </c>
      <c r="O32" s="268">
        <f>H32+E32-TableA2!G32-TableA2!D32</f>
        <v>0</v>
      </c>
      <c r="P32" s="318"/>
      <c r="Q32" s="319"/>
      <c r="R32" s="958"/>
      <c r="S32" s="958"/>
    </row>
    <row r="33" spans="1:19" x14ac:dyDescent="0.2">
      <c r="A33" s="1154" t="s">
        <v>52</v>
      </c>
      <c r="B33" s="299">
        <f>+TableA2!B33</f>
        <v>117.72450705207552</v>
      </c>
      <c r="C33" s="1156">
        <f>D33+E33</f>
        <v>18.692186411311809</v>
      </c>
      <c r="D33" s="1157">
        <f>+TableA6!F33/TableA7!N33</f>
        <v>9.1720055414100905</v>
      </c>
      <c r="E33" s="1158">
        <f>TableA5!B33</f>
        <v>9.5201808699017167</v>
      </c>
      <c r="F33" s="1156">
        <f>B33-C33</f>
        <v>99.032320640763714</v>
      </c>
      <c r="G33" s="1159">
        <f>+TableA2!C33-TableA4!D33</f>
        <v>47.969855369693661</v>
      </c>
      <c r="H33" s="1160">
        <f>+TableA2!D33+TableA2!G33-TableA4!E33</f>
        <v>51.06246527107006</v>
      </c>
      <c r="I33" s="9">
        <f>C33/B33</f>
        <v>0.15877905866314909</v>
      </c>
      <c r="J33" s="1161">
        <f>D33/TableA9!B33</f>
        <v>0.16051289536543245</v>
      </c>
      <c r="K33" s="1164">
        <f>E33/TableA9!G33</f>
        <v>0.1571436950401422</v>
      </c>
      <c r="L33" s="1163"/>
      <c r="M33" s="1163"/>
      <c r="N33" s="268">
        <f>D33+G33-TableA2!C33</f>
        <v>0</v>
      </c>
      <c r="O33" s="268">
        <f>H33+E33-TableA2!G33-TableA2!D33</f>
        <v>0</v>
      </c>
      <c r="P33" s="318">
        <f>TableB2!K33/TableA1!B33</f>
        <v>0.37935721698885838</v>
      </c>
      <c r="Q33" s="319">
        <f t="shared" si="4"/>
        <v>0.15877905866314909</v>
      </c>
      <c r="R33" s="958"/>
      <c r="S33" s="958">
        <v>1</v>
      </c>
    </row>
    <row r="34" spans="1:19" x14ac:dyDescent="0.2">
      <c r="A34" s="1154" t="s">
        <v>53</v>
      </c>
      <c r="B34" s="299">
        <f>+TableA2!B34</f>
        <v>244.0517414879925</v>
      </c>
      <c r="C34" s="1156">
        <f t="shared" si="2"/>
        <v>60.982347489637597</v>
      </c>
      <c r="D34" s="1158">
        <f>J34*TableA2!C34</f>
        <v>33.195608121398337</v>
      </c>
      <c r="E34" s="1158">
        <f>K34*(TableA2!D34+TableA2!G34)</f>
        <v>27.78673936823926</v>
      </c>
      <c r="F34" s="1156">
        <f t="shared" si="3"/>
        <v>183.06939399835491</v>
      </c>
      <c r="G34" s="1159">
        <f>+TableA2!C34-TableA4!D34</f>
        <v>87.25502242729938</v>
      </c>
      <c r="H34" s="1160">
        <f>+TableA2!D34+TableA2!G34-TableA4!E34</f>
        <v>95.814371571055545</v>
      </c>
      <c r="I34" s="9">
        <f t="shared" si="1"/>
        <v>0.24987466640404191</v>
      </c>
      <c r="J34" s="1161">
        <f>TableA9!M34/TableA9!E34</f>
        <v>0.27559513777702876</v>
      </c>
      <c r="K34" s="1164">
        <f>TableA9!N34/TableA9!J34</f>
        <v>0.22480978655512557</v>
      </c>
      <c r="L34" s="1163"/>
      <c r="M34" s="1163"/>
      <c r="N34" s="268">
        <f>D34+G34-TableA2!C34</f>
        <v>0</v>
      </c>
      <c r="O34" s="268">
        <f>H34+E34-TableA2!G34-TableA2!D34</f>
        <v>0</v>
      </c>
      <c r="P34" s="318">
        <f>TableB2!K34/TableA1!B34</f>
        <v>0.38665659545495995</v>
      </c>
      <c r="Q34" s="319">
        <f t="shared" si="4"/>
        <v>0.24987466640404191</v>
      </c>
      <c r="R34" s="958"/>
      <c r="S34" s="958">
        <v>1</v>
      </c>
    </row>
    <row r="35" spans="1:19" x14ac:dyDescent="0.2">
      <c r="A35" s="1154" t="s">
        <v>54</v>
      </c>
      <c r="B35" s="299">
        <f>+TableA2!B35</f>
        <v>234.89932351770796</v>
      </c>
      <c r="C35" s="1156">
        <f t="shared" si="2"/>
        <v>83.337596477929566</v>
      </c>
      <c r="D35" s="1158">
        <f>J35*TableA2!C35</f>
        <v>39.193037102238662</v>
      </c>
      <c r="E35" s="1158">
        <f>K35*(TableA2!D35+TableA2!G35)</f>
        <v>44.144559375690896</v>
      </c>
      <c r="F35" s="1156">
        <f t="shared" si="3"/>
        <v>151.56172703977839</v>
      </c>
      <c r="G35" s="1159">
        <f>+TableA2!C35-TableA4!D35</f>
        <v>71.641291057994792</v>
      </c>
      <c r="H35" s="1160">
        <f>+TableA2!D35+TableA2!G35-TableA4!E35</f>
        <v>79.920435981783555</v>
      </c>
      <c r="I35" s="9">
        <f t="shared" si="1"/>
        <v>0.3547800616447801</v>
      </c>
      <c r="J35" s="1161">
        <f>TableA9!M35/TableA9!E35</f>
        <v>0.35361821335333216</v>
      </c>
      <c r="K35" s="1164">
        <f>TableA9!N35/TableA9!J35</f>
        <v>0.3558180069123853</v>
      </c>
      <c r="L35" s="1163"/>
      <c r="M35" s="1163"/>
      <c r="N35" s="268">
        <f>D35+G35-TableA2!C35</f>
        <v>0</v>
      </c>
      <c r="O35" s="268">
        <f>H35+E35-TableA2!G35-TableA2!D35</f>
        <v>0</v>
      </c>
      <c r="P35" s="318">
        <f>TableB2!K35/TableA1!B35</f>
        <v>0.38815750454674208</v>
      </c>
      <c r="Q35" s="319">
        <f t="shared" si="4"/>
        <v>0.3547800616447801</v>
      </c>
      <c r="R35" s="958">
        <v>1</v>
      </c>
      <c r="S35" s="958"/>
    </row>
    <row r="36" spans="1:19" x14ac:dyDescent="0.2">
      <c r="A36" s="1154" t="s">
        <v>55</v>
      </c>
      <c r="B36" s="299">
        <f>+TableA2!B36</f>
        <v>101.75390252856124</v>
      </c>
      <c r="C36" s="1156">
        <f t="shared" si="2"/>
        <v>24.453109744915967</v>
      </c>
      <c r="D36" s="1158">
        <f>J36*TableA2!C36</f>
        <v>13.115654195957454</v>
      </c>
      <c r="E36" s="1158">
        <f>K36*(TableA2!D36+TableA2!G36)</f>
        <v>11.337455548958513</v>
      </c>
      <c r="F36" s="1156">
        <f t="shared" si="3"/>
        <v>77.300792783645278</v>
      </c>
      <c r="G36" s="1159">
        <f>+TableA2!C36-TableA4!D36</f>
        <v>44.878003051405457</v>
      </c>
      <c r="H36" s="1160">
        <f>+TableA2!D36+TableA2!G36-TableA4!E36</f>
        <v>32.422789732239821</v>
      </c>
      <c r="I36" s="9">
        <f t="shared" si="1"/>
        <v>0.24031618579004613</v>
      </c>
      <c r="J36" s="1161">
        <f>TableA9!M36/TableA9!E36</f>
        <v>0.2261567008960079</v>
      </c>
      <c r="K36" s="1164">
        <f>TableA9!N36/TableA9!J36</f>
        <v>0.25908117004613024</v>
      </c>
      <c r="L36" s="1163"/>
      <c r="M36" s="1163"/>
      <c r="N36" s="268">
        <f>D36+G36-TableA2!C36</f>
        <v>0</v>
      </c>
      <c r="O36" s="268">
        <f>H36+E36-TableA2!G36-TableA2!D36</f>
        <v>0</v>
      </c>
      <c r="P36" s="318">
        <f>TableB2!K36/TableA1!B36</f>
        <v>0.58760425366217361</v>
      </c>
      <c r="Q36" s="319">
        <f t="shared" si="4"/>
        <v>0.24031618579004613</v>
      </c>
      <c r="R36" s="958">
        <v>1</v>
      </c>
      <c r="S36" s="958"/>
    </row>
    <row r="37" spans="1:19" x14ac:dyDescent="0.2">
      <c r="A37" s="1154" t="s">
        <v>56</v>
      </c>
      <c r="B37" s="299">
        <f>+TableA2!B37</f>
        <v>43.35690211044308</v>
      </c>
      <c r="C37" s="1156">
        <f t="shared" si="2"/>
        <v>19.882539197567318</v>
      </c>
      <c r="D37" s="1158">
        <f>J37*TableA2!C37</f>
        <v>9.6007058772968481</v>
      </c>
      <c r="E37" s="1158">
        <f>K37*(TableA2!D37+TableA2!G37)</f>
        <v>10.281833320270469</v>
      </c>
      <c r="F37" s="1156">
        <f t="shared" si="3"/>
        <v>23.474362912875762</v>
      </c>
      <c r="G37" s="1159">
        <f>+TableA2!C37-TableA4!D37</f>
        <v>11.642195263821913</v>
      </c>
      <c r="H37" s="1160">
        <f>+TableA2!D37+TableA2!G37-TableA4!E37</f>
        <v>11.832167649053851</v>
      </c>
      <c r="I37" s="9">
        <f t="shared" si="1"/>
        <v>0.45857840919815962</v>
      </c>
      <c r="J37" s="1161">
        <f>TableA9!M37/TableA9!E37</f>
        <v>0.4519489034721943</v>
      </c>
      <c r="K37" s="1164">
        <f>TableA9!N37/TableA9!J37</f>
        <v>0.46494676990079847</v>
      </c>
      <c r="L37" s="1163"/>
      <c r="M37" s="1163"/>
      <c r="N37" s="268">
        <f>D37+G37-TableA2!C37</f>
        <v>0</v>
      </c>
      <c r="O37" s="268">
        <f>H37+E37-TableA2!G37-TableA2!D37</f>
        <v>0</v>
      </c>
      <c r="P37" s="318">
        <f>TableB2!K37/TableA1!B37</f>
        <v>0.52588557151835713</v>
      </c>
      <c r="Q37" s="319">
        <f t="shared" si="4"/>
        <v>0.45857840919815962</v>
      </c>
      <c r="R37" s="958">
        <v>1</v>
      </c>
      <c r="S37" s="958"/>
    </row>
    <row r="38" spans="1:19" x14ac:dyDescent="0.2">
      <c r="A38" s="1154" t="s">
        <v>57</v>
      </c>
      <c r="B38" s="299">
        <f>+TableA2!B38</f>
        <v>23.475728296395868</v>
      </c>
      <c r="C38" s="1156">
        <f t="shared" si="2"/>
        <v>6.1878086902872891</v>
      </c>
      <c r="D38" s="1158">
        <f>J38*TableA2!C38</f>
        <v>3.988545148405708</v>
      </c>
      <c r="E38" s="1158">
        <f>K38*(TableA2!D38+TableA2!G38)</f>
        <v>2.1992635418815816</v>
      </c>
      <c r="F38" s="1156">
        <f t="shared" si="3"/>
        <v>17.287919606108581</v>
      </c>
      <c r="G38" s="1159">
        <f>+TableA2!C38-TableA4!D38</f>
        <v>10.95434956012601</v>
      </c>
      <c r="H38" s="1160">
        <f>+TableA2!D38+TableA2!G38-TableA4!E38</f>
        <v>6.333570045982567</v>
      </c>
      <c r="I38" s="9">
        <f t="shared" si="1"/>
        <v>0.2635832470099459</v>
      </c>
      <c r="J38" s="1161">
        <f>TableA9!M38/TableA9!E38</f>
        <v>0.26691917638477564</v>
      </c>
      <c r="K38" s="1164">
        <f>TableA9!N38/TableA9!J38</f>
        <v>0.25774129065513379</v>
      </c>
      <c r="L38" s="1163"/>
      <c r="M38" s="1163"/>
      <c r="N38" s="268">
        <f>D38+G38-TableA2!C38</f>
        <v>0</v>
      </c>
      <c r="O38" s="268">
        <f>H38+E38-TableA2!G38-TableA2!D38</f>
        <v>0</v>
      </c>
      <c r="P38" s="318">
        <f>TableB2!K38/TableA1!B38</f>
        <v>0.29554344801039062</v>
      </c>
      <c r="Q38" s="319">
        <f t="shared" si="4"/>
        <v>0.2635832470099459</v>
      </c>
      <c r="R38" s="958">
        <v>1</v>
      </c>
      <c r="S38" s="958"/>
    </row>
    <row r="39" spans="1:19" x14ac:dyDescent="0.2">
      <c r="A39" s="1154" t="s">
        <v>58</v>
      </c>
      <c r="B39" s="299">
        <f>+TableA2!B39</f>
        <v>678.97508925214515</v>
      </c>
      <c r="C39" s="1156">
        <f t="shared" si="2"/>
        <v>149.10309882409237</v>
      </c>
      <c r="D39" s="1158">
        <f>J39*TableA2!C39</f>
        <v>84.581926770837981</v>
      </c>
      <c r="E39" s="1158">
        <f>K39*(TableA2!D39+TableA2!G39)</f>
        <v>64.521172053254389</v>
      </c>
      <c r="F39" s="1156">
        <f t="shared" si="3"/>
        <v>529.87199042805275</v>
      </c>
      <c r="G39" s="1159">
        <f>+TableA2!C39-TableA4!D39</f>
        <v>308.58999299040215</v>
      </c>
      <c r="H39" s="1160">
        <f>+TableA2!D39+TableA2!G39-TableA4!E39</f>
        <v>221.28199743765074</v>
      </c>
      <c r="I39" s="9">
        <f t="shared" si="1"/>
        <v>0.21960024923494834</v>
      </c>
      <c r="J39" s="1161">
        <f>TableA9!M39/TableA9!E39</f>
        <v>0.21512707932499781</v>
      </c>
      <c r="K39" s="1164">
        <f>TableA9!N39/TableA9!J39</f>
        <v>0.22575387168793307</v>
      </c>
      <c r="L39" s="1163"/>
      <c r="M39" s="1163"/>
      <c r="N39" s="268">
        <f>D39+G39-TableA2!C39</f>
        <v>0</v>
      </c>
      <c r="O39" s="268">
        <f>H39+E39-TableA2!G39-TableA2!D39</f>
        <v>0</v>
      </c>
      <c r="P39" s="318">
        <f>TableB2!K39/TableA1!B39</f>
        <v>0.45408528644092888</v>
      </c>
      <c r="Q39" s="319">
        <f t="shared" si="4"/>
        <v>0.21960024923494834</v>
      </c>
      <c r="R39" s="958">
        <v>1</v>
      </c>
      <c r="S39" s="958"/>
    </row>
    <row r="40" spans="1:19" x14ac:dyDescent="0.2">
      <c r="A40" s="1154" t="s">
        <v>59</v>
      </c>
      <c r="B40" s="299">
        <f>+TableA2!B40</f>
        <v>287.8253425286855</v>
      </c>
      <c r="C40" s="1156">
        <f t="shared" si="2"/>
        <v>78.161963173851206</v>
      </c>
      <c r="D40" s="1158">
        <f>J40*TableA2!C40</f>
        <v>45.364312208613207</v>
      </c>
      <c r="E40" s="1158">
        <f>K40*(TableA2!D40+TableA2!G40)</f>
        <v>32.797650965237999</v>
      </c>
      <c r="F40" s="1156">
        <f t="shared" si="3"/>
        <v>209.66337935483429</v>
      </c>
      <c r="G40" s="1159">
        <f>+TableA2!C40-TableA4!D40</f>
        <v>118.68999539481405</v>
      </c>
      <c r="H40" s="1160">
        <f>+TableA2!D40+TableA2!G40-TableA4!E40</f>
        <v>90.973383960020215</v>
      </c>
      <c r="I40" s="9">
        <f t="shared" si="1"/>
        <v>0.27156039314384334</v>
      </c>
      <c r="J40" s="1161">
        <f>TableA9!M40/TableA9!E40</f>
        <v>0.27652009186051696</v>
      </c>
      <c r="K40" s="1164">
        <f>TableA9!N40/TableA9!J40</f>
        <v>0.26498648076299564</v>
      </c>
      <c r="L40" s="1163"/>
      <c r="M40" s="1163"/>
      <c r="N40" s="268">
        <f>D40+G40-TableA2!C40</f>
        <v>0</v>
      </c>
      <c r="O40" s="268">
        <f>H40+E40-TableA2!G40-TableA2!D40</f>
        <v>0</v>
      </c>
      <c r="P40" s="318">
        <f>TableB2!K40/TableA1!B40</f>
        <v>0.60791032866305494</v>
      </c>
      <c r="Q40" s="319">
        <f t="shared" si="4"/>
        <v>0.27156039314384334</v>
      </c>
      <c r="R40" s="958">
        <v>1</v>
      </c>
      <c r="S40" s="958"/>
    </row>
    <row r="41" spans="1:19" x14ac:dyDescent="0.2">
      <c r="A41" s="1154" t="s">
        <v>60</v>
      </c>
      <c r="B41" s="299">
        <f>+TableA2!B41</f>
        <v>483.52057116672086</v>
      </c>
      <c r="C41" s="1156">
        <f t="shared" si="2"/>
        <v>79.990300559539349</v>
      </c>
      <c r="D41" s="1157">
        <f>+TableA6!F41/TableA7!N41</f>
        <v>18.886427858840669</v>
      </c>
      <c r="E41" s="1158">
        <f>TableA5!B41</f>
        <v>61.10387270069868</v>
      </c>
      <c r="F41" s="1156">
        <f t="shared" si="3"/>
        <v>403.53027060718148</v>
      </c>
      <c r="G41" s="1159">
        <f>+TableA2!C41-TableA4!D41</f>
        <v>302.26740144576951</v>
      </c>
      <c r="H41" s="1160">
        <f>+TableA2!D41+TableA2!G41-TableA4!E41</f>
        <v>101.26286936922997</v>
      </c>
      <c r="I41" s="9">
        <f t="shared" si="1"/>
        <v>0.16543308667617826</v>
      </c>
      <c r="J41" s="1161">
        <f>D41/TableA9!B41</f>
        <v>5.8808041927244599E-2</v>
      </c>
      <c r="K41" s="1164">
        <f>E41/TableA9!G41</f>
        <v>0.37633244297272567</v>
      </c>
      <c r="L41" s="1163"/>
      <c r="M41" s="1163"/>
      <c r="N41" s="268">
        <f>D41+G41-TableA2!C41</f>
        <v>0</v>
      </c>
      <c r="O41" s="268">
        <f>H41+E41-TableA2!G41-TableA2!D41</f>
        <v>0</v>
      </c>
      <c r="P41" s="318"/>
      <c r="Q41" s="319">
        <f t="shared" si="4"/>
        <v>0.16543308667617826</v>
      </c>
      <c r="R41" s="958"/>
      <c r="S41" s="958">
        <v>1</v>
      </c>
    </row>
    <row r="42" spans="1:19" x14ac:dyDescent="0.2">
      <c r="A42" s="1154" t="s">
        <v>61</v>
      </c>
      <c r="B42" s="299">
        <f>+TableA2!B42</f>
        <v>461.75718903871274</v>
      </c>
      <c r="C42" s="1156">
        <f t="shared" si="2"/>
        <v>13.18393403924207</v>
      </c>
      <c r="D42" s="1157">
        <f>+TableA6!F42/TableA7!N42</f>
        <v>8.3567244424339737</v>
      </c>
      <c r="E42" s="1158">
        <f>TableA5!B42</f>
        <v>4.8272095968080961</v>
      </c>
      <c r="F42" s="1156">
        <f t="shared" si="3"/>
        <v>448.57325499947069</v>
      </c>
      <c r="G42" s="1159">
        <f>+TableA2!C42-TableA4!D42</f>
        <v>172.01765299528776</v>
      </c>
      <c r="H42" s="1160">
        <f>+TableA2!D42+TableA2!G42-TableA4!E42</f>
        <v>276.5556020041829</v>
      </c>
      <c r="I42" s="9">
        <f t="shared" si="1"/>
        <v>2.8551659513278864E-2</v>
      </c>
      <c r="J42" s="1161">
        <f>D42/TableA9!B42</f>
        <v>4.6329886545661503E-2</v>
      </c>
      <c r="K42" s="1164">
        <f>E42/TableA9!G42</f>
        <v>1.715531083559297E-2</v>
      </c>
      <c r="L42" s="1163"/>
      <c r="M42" s="1163"/>
      <c r="N42" s="268">
        <f>D42+G42-TableA2!C42</f>
        <v>0</v>
      </c>
      <c r="O42" s="268">
        <f>H42+E42-TableA2!G42-TableA2!D42</f>
        <v>0</v>
      </c>
      <c r="P42" s="318">
        <f>TableB2!K42/TableA1!B42</f>
        <v>0.18138526162148752</v>
      </c>
      <c r="Q42" s="319">
        <f t="shared" si="4"/>
        <v>2.8551659513278864E-2</v>
      </c>
      <c r="R42" s="958"/>
      <c r="S42" s="958">
        <v>1</v>
      </c>
    </row>
    <row r="43" spans="1:19" x14ac:dyDescent="0.2">
      <c r="A43" s="1154" t="s">
        <v>62</v>
      </c>
      <c r="B43" s="299">
        <f>+TableA2!B43</f>
        <v>1619.5418191262634</v>
      </c>
      <c r="C43" s="1156">
        <f t="shared" si="2"/>
        <v>481.06573204045446</v>
      </c>
      <c r="D43" s="1158">
        <f>J43*TableA2!C43</f>
        <v>280.65878878006157</v>
      </c>
      <c r="E43" s="1158">
        <f>K43*(TableA2!D43+TableA2!G43)</f>
        <v>200.40694326039292</v>
      </c>
      <c r="F43" s="1156">
        <f t="shared" si="3"/>
        <v>1138.476087085809</v>
      </c>
      <c r="G43" s="1159">
        <f>+TableA2!C43-TableA4!D43</f>
        <v>731.91024772621381</v>
      </c>
      <c r="H43" s="1160">
        <f>+TableA2!D43+TableA2!G43-TableA4!E43</f>
        <v>406.56583935959486</v>
      </c>
      <c r="I43" s="9">
        <f t="shared" si="1"/>
        <v>0.29703816620183826</v>
      </c>
      <c r="J43" s="1161">
        <f>TableA9!M43/TableA9!E43</f>
        <v>0.27717496650740436</v>
      </c>
      <c r="K43" s="1164">
        <f>TableA9!N43/TableA9!J43</f>
        <v>0.33017451358418365</v>
      </c>
      <c r="L43" s="1163"/>
      <c r="M43" s="1163"/>
      <c r="N43" s="268">
        <f>D43+G43-TableA2!C43</f>
        <v>0</v>
      </c>
      <c r="O43" s="268">
        <f>H43+E43-TableA2!G43-TableA2!D43</f>
        <v>0</v>
      </c>
      <c r="P43" s="318">
        <f>TableB2!K43/TableA1!B43</f>
        <v>0.49212306945558248</v>
      </c>
      <c r="Q43" s="319">
        <f t="shared" si="4"/>
        <v>0.29703816620183826</v>
      </c>
      <c r="R43" s="958">
        <v>1</v>
      </c>
      <c r="S43" s="958"/>
    </row>
    <row r="44" spans="1:19" x14ac:dyDescent="0.2">
      <c r="A44" s="1080" t="s">
        <v>63</v>
      </c>
      <c r="B44" s="1168">
        <f>+TableA2!B44</f>
        <v>9749.7634999999991</v>
      </c>
      <c r="C44" s="1169">
        <f t="shared" si="2"/>
        <v>834.53200000000004</v>
      </c>
      <c r="D44" s="1170">
        <f>J44*TableA2!C44</f>
        <v>539.10500000000002</v>
      </c>
      <c r="E44" s="1170">
        <f>K44*(TableA2!D44+TableA2!G44)</f>
        <v>295.42700000000002</v>
      </c>
      <c r="F44" s="1169">
        <f>B44-C44</f>
        <v>8915.2314999999999</v>
      </c>
      <c r="G44" s="1113">
        <f>+TableA2!C44-TableA4!D44</f>
        <v>5497.0019000000011</v>
      </c>
      <c r="H44" s="1114">
        <f>+TableA2!D44+TableA2!G44-TableA4!E44</f>
        <v>3418.2294999999999</v>
      </c>
      <c r="I44" s="24">
        <f>C44/B44</f>
        <v>8.5595101870932569E-2</v>
      </c>
      <c r="J44" s="1161">
        <f>TableA9!M44/TableA9!E44</f>
        <v>8.9313361895562174E-2</v>
      </c>
      <c r="K44" s="1171">
        <f>TableA9!N44/TableA9!J44</f>
        <v>7.9551514794111947E-2</v>
      </c>
      <c r="L44" s="958"/>
      <c r="M44" s="23"/>
      <c r="N44" s="268">
        <f>D44+G44-TableA2!C44</f>
        <v>0</v>
      </c>
      <c r="O44" s="268">
        <f>H44+E44-TableA2!G44-TableA2!D44</f>
        <v>0</v>
      </c>
      <c r="P44" s="318">
        <f>TableB2!K44/TableA1!B44</f>
        <v>0.31509012804501185</v>
      </c>
      <c r="Q44" s="319">
        <f t="shared" si="4"/>
        <v>8.5595101870932569E-2</v>
      </c>
      <c r="R44" s="958"/>
      <c r="S44" s="958"/>
    </row>
    <row r="45" spans="1:19" ht="40" customHeight="1" x14ac:dyDescent="0.2">
      <c r="A45" s="7" t="s">
        <v>64</v>
      </c>
      <c r="B45" s="304">
        <f>SUM(B46:B52)</f>
        <v>9449.600738407149</v>
      </c>
      <c r="C45" s="1172">
        <f t="shared" ref="C45:H45" si="5">SUM(C46:C52)</f>
        <v>814.11043913941683</v>
      </c>
      <c r="D45" s="175">
        <f t="shared" si="5"/>
        <v>419.75893109651633</v>
      </c>
      <c r="E45" s="245">
        <f t="shared" si="5"/>
        <v>394.35150804290049</v>
      </c>
      <c r="F45" s="1172">
        <f t="shared" si="5"/>
        <v>8635.4902992677326</v>
      </c>
      <c r="G45" s="245">
        <f t="shared" si="5"/>
        <v>4215.6653759356486</v>
      </c>
      <c r="H45" s="623">
        <f t="shared" si="5"/>
        <v>4419.8249233322731</v>
      </c>
      <c r="I45" s="176">
        <f>C45/B45</f>
        <v>8.6152892770435252E-2</v>
      </c>
      <c r="J45" s="1161">
        <f>D45/(D45+G45)</f>
        <v>9.0554586439847928E-2</v>
      </c>
      <c r="K45" s="1162">
        <f>E45/(E45+H45)</f>
        <v>8.1914635590173757E-2</v>
      </c>
      <c r="L45" s="958"/>
      <c r="M45" s="958"/>
      <c r="N45" s="268">
        <f>D45+G45-TableA2!C45</f>
        <v>0</v>
      </c>
      <c r="O45" s="268">
        <f>H45+E45-TableA2!G45-TableA2!D45</f>
        <v>0</v>
      </c>
      <c r="P45" s="318"/>
      <c r="Q45" s="319"/>
      <c r="R45" s="958"/>
      <c r="S45" s="958"/>
    </row>
    <row r="46" spans="1:19" x14ac:dyDescent="0.2">
      <c r="A46" s="1155" t="s">
        <v>65</v>
      </c>
      <c r="B46" s="299">
        <f>+TableA2!B46</f>
        <v>1105.0676793002151</v>
      </c>
      <c r="C46" s="1156">
        <f>D46+E46</f>
        <v>171.85972585851067</v>
      </c>
      <c r="D46" s="1157">
        <f>+TableA6!F46/TableA7!N46</f>
        <v>104.04870666105121</v>
      </c>
      <c r="E46" s="1158">
        <f>TableA5!B46</f>
        <v>67.811019197459444</v>
      </c>
      <c r="F46" s="1156">
        <f>B46-C46</f>
        <v>933.20795344170438</v>
      </c>
      <c r="G46" s="1159">
        <f>+TableA2!C46-TableA4!D46</f>
        <v>579.79907263916391</v>
      </c>
      <c r="H46" s="1160">
        <f>+TableA2!D46+TableA2!G46-TableA4!E46</f>
        <v>353.40888080254058</v>
      </c>
      <c r="I46" s="9">
        <f>C46/B46</f>
        <v>0.15551963836942637</v>
      </c>
      <c r="J46" s="1161">
        <f>D46/TableA9!B46</f>
        <v>0.15215185281075969</v>
      </c>
      <c r="K46" s="1164">
        <f>E46/TableA9!G46</f>
        <v>0.16098721640990715</v>
      </c>
      <c r="L46" s="958"/>
      <c r="M46" s="958"/>
      <c r="N46" s="268">
        <f>D46+G46-TableA2!C46</f>
        <v>0</v>
      </c>
      <c r="O46" s="268">
        <f>H46+E46-TableA2!G46-TableA2!D46</f>
        <v>0</v>
      </c>
      <c r="P46" s="318">
        <f>TableB2!K46/TableA1!B46</f>
        <v>0.18729308232823494</v>
      </c>
      <c r="Q46" s="319">
        <f t="shared" si="4"/>
        <v>0.15551963836942637</v>
      </c>
      <c r="R46" s="958"/>
      <c r="S46" s="958"/>
    </row>
    <row r="47" spans="1:19" x14ac:dyDescent="0.2">
      <c r="A47" s="1154" t="s">
        <v>66</v>
      </c>
      <c r="B47" s="299">
        <f>+TableA2!B47</f>
        <v>6211.8447853385696</v>
      </c>
      <c r="C47" s="1156">
        <f t="shared" ref="C47:C52" si="6">D47+E47</f>
        <v>402.25088376888084</v>
      </c>
      <c r="D47" s="1157">
        <f>+TableA6!F47/TableA7!N47</f>
        <v>188.62094795395103</v>
      </c>
      <c r="E47" s="1158">
        <f>TableA5!B47</f>
        <v>213.62993581492978</v>
      </c>
      <c r="F47" s="1156">
        <f t="shared" ref="F47:F52" si="7">B47-C47</f>
        <v>5809.5939015696886</v>
      </c>
      <c r="G47" s="1159">
        <f>+TableA2!C47-TableA4!D47</f>
        <v>2811.7259151746216</v>
      </c>
      <c r="H47" s="1160">
        <f>+TableA2!D47+TableA2!G47-TableA4!E47</f>
        <v>2997.8679863950674</v>
      </c>
      <c r="I47" s="9">
        <f t="shared" ref="I47:I53" si="8">C47/B47</f>
        <v>6.4755462776257475E-2</v>
      </c>
      <c r="J47" s="1161">
        <f>D47/TableA9!B47</f>
        <v>6.2866380641493219E-2</v>
      </c>
      <c r="K47" s="1164">
        <f>E47/TableA9!G47</f>
        <v>6.6520340660198837E-2</v>
      </c>
      <c r="L47" s="958"/>
      <c r="M47" s="23"/>
      <c r="N47" s="268">
        <f>D47+G47-TableA2!C47</f>
        <v>0</v>
      </c>
      <c r="O47" s="268">
        <f>H47+E47-TableA2!G47-TableA2!D47</f>
        <v>0</v>
      </c>
      <c r="P47" s="318">
        <f>TableB2!K47/TableA1!B47</f>
        <v>0.23320832282540019</v>
      </c>
      <c r="Q47" s="319">
        <f t="shared" si="4"/>
        <v>6.4755462776257475E-2</v>
      </c>
      <c r="R47" s="958"/>
      <c r="S47" s="958"/>
    </row>
    <row r="48" spans="1:19" x14ac:dyDescent="0.2">
      <c r="A48" s="1154" t="s">
        <v>67</v>
      </c>
      <c r="B48" s="299">
        <f>+TableA2!B48</f>
        <v>135.02409969740114</v>
      </c>
      <c r="C48" s="1156">
        <f t="shared" si="6"/>
        <v>27.321661734164316</v>
      </c>
      <c r="D48" s="1157">
        <f>+TableA6!F48/TableA7!N48</f>
        <v>11.396413822804858</v>
      </c>
      <c r="E48" s="1158">
        <f>TableA5!B48</f>
        <v>15.925247911359456</v>
      </c>
      <c r="F48" s="1156">
        <f t="shared" si="7"/>
        <v>107.70243796323683</v>
      </c>
      <c r="G48" s="1159">
        <f>+TableA2!C48-TableA4!D48</f>
        <v>42.774064552094643</v>
      </c>
      <c r="H48" s="1160">
        <f>+TableA2!D48+TableA2!G48-TableA4!E48</f>
        <v>64.928373411142189</v>
      </c>
      <c r="I48" s="9">
        <f t="shared" si="8"/>
        <v>0.2023465573582357</v>
      </c>
      <c r="J48" s="1161">
        <f>D48/TableA9!B48</f>
        <v>0.21038052763598103</v>
      </c>
      <c r="K48" s="1164">
        <f>E48/TableA9!G48</f>
        <v>0.19696394114294846</v>
      </c>
      <c r="L48" s="958"/>
      <c r="M48" s="958"/>
      <c r="N48" s="268">
        <f>D48+G48-TableA2!C48</f>
        <v>0</v>
      </c>
      <c r="O48" s="268">
        <f>H48+E48-TableA2!G48-TableA2!D48</f>
        <v>0</v>
      </c>
      <c r="P48" s="318">
        <f>TableB2!K48/TableA1!B48</f>
        <v>0.12897932451908642</v>
      </c>
      <c r="Q48" s="319">
        <f t="shared" si="4"/>
        <v>0.2023465573582357</v>
      </c>
      <c r="R48" s="958"/>
      <c r="S48" s="958"/>
    </row>
    <row r="49" spans="1:17" x14ac:dyDescent="0.2">
      <c r="A49" s="1154" t="s">
        <v>68</v>
      </c>
      <c r="B49" s="299">
        <f>+TableA2!B49</f>
        <v>29.987501894855708</v>
      </c>
      <c r="C49" s="1156">
        <f t="shared" si="6"/>
        <v>5.2422977692851846</v>
      </c>
      <c r="D49" s="1157">
        <f>+TableA6!F49/TableA7!N49</f>
        <v>1.8941195373363828</v>
      </c>
      <c r="E49" s="1158">
        <f>TableA5!B49</f>
        <v>3.3481782319488018</v>
      </c>
      <c r="F49" s="1156">
        <f t="shared" si="7"/>
        <v>24.745204125570524</v>
      </c>
      <c r="G49" s="1159">
        <f>+TableA2!C49-TableA4!D49</f>
        <v>13.737700166719861</v>
      </c>
      <c r="H49" s="1160">
        <f>+TableA2!D49+TableA2!G49-TableA4!E49</f>
        <v>11.007503959037725</v>
      </c>
      <c r="I49" s="9">
        <f t="shared" si="8"/>
        <v>0.17481608797111872</v>
      </c>
      <c r="J49" s="1161">
        <f>D49/TableA9!B49</f>
        <v>0.12117076406945025</v>
      </c>
      <c r="K49" s="1164">
        <f>E49/TableA9!G49</f>
        <v>0.23323017237390609</v>
      </c>
      <c r="L49" s="958"/>
      <c r="M49" s="958"/>
      <c r="N49" s="268">
        <f>D49+G49-TableA2!C49</f>
        <v>0</v>
      </c>
      <c r="O49" s="268">
        <f>H49+E49-TableA2!G49-TableA2!D49</f>
        <v>0</v>
      </c>
      <c r="P49" s="318">
        <f>TableB2!K49/TableA1!B49</f>
        <v>0.55897274397359109</v>
      </c>
      <c r="Q49" s="319">
        <f t="shared" si="4"/>
        <v>0.17481608797111872</v>
      </c>
    </row>
    <row r="50" spans="1:17" x14ac:dyDescent="0.2">
      <c r="A50" s="1154" t="s">
        <v>69</v>
      </c>
      <c r="B50" s="299">
        <f>+TableA2!B50</f>
        <v>919.01579786888453</v>
      </c>
      <c r="C50" s="1156">
        <f>D50+E50</f>
        <v>40.810781580339878</v>
      </c>
      <c r="D50" s="1157">
        <f>+TableA6!F50/TableA7!N50</f>
        <v>21.047688887867366</v>
      </c>
      <c r="E50" s="1158">
        <f>TableA5!B50</f>
        <v>19.763092692472515</v>
      </c>
      <c r="F50" s="1156">
        <f t="shared" si="7"/>
        <v>878.2050162885447</v>
      </c>
      <c r="G50" s="1159">
        <f>+TableA2!C50-TableA4!D50</f>
        <v>297.57804130044929</v>
      </c>
      <c r="H50" s="1160">
        <f>+TableA2!D50+TableA2!G50-TableA4!E50</f>
        <v>580.62697498809541</v>
      </c>
      <c r="I50" s="9">
        <f>C50/B50</f>
        <v>4.4407051189953896E-2</v>
      </c>
      <c r="J50" s="1161">
        <f>D50/TableA9!B50</f>
        <v>6.6057718802017648E-2</v>
      </c>
      <c r="K50" s="1164">
        <f>E50/TableA9!G50</f>
        <v>3.2917088000508514E-2</v>
      </c>
      <c r="L50" s="958"/>
      <c r="M50" s="958"/>
      <c r="N50" s="268">
        <f>D50+G50-TableA2!C50</f>
        <v>0</v>
      </c>
      <c r="O50" s="268">
        <f>H50+E50-TableA2!G50-TableA2!D50</f>
        <v>0</v>
      </c>
      <c r="P50" s="318">
        <f>TableB2!K50/TableA1!B50</f>
        <v>0.14628968956737795</v>
      </c>
      <c r="Q50" s="319">
        <f t="shared" si="4"/>
        <v>4.4407051189953896E-2</v>
      </c>
    </row>
    <row r="51" spans="1:17" x14ac:dyDescent="0.2">
      <c r="A51" s="1154" t="s">
        <v>70</v>
      </c>
      <c r="B51" s="299">
        <f>+TableA2!B51</f>
        <v>856.3415010588692</v>
      </c>
      <c r="C51" s="1156">
        <f t="shared" si="6"/>
        <v>126.88808218662315</v>
      </c>
      <c r="D51" s="1157">
        <f>+TableA6!F51/TableA7!N51</f>
        <v>64.762767723495699</v>
      </c>
      <c r="E51" s="1158">
        <f>TableA5!B51</f>
        <v>62.125314463127452</v>
      </c>
      <c r="F51" s="1156">
        <f t="shared" si="7"/>
        <v>729.45341887224606</v>
      </c>
      <c r="G51" s="1159">
        <f>+TableA2!C51-TableA4!D51</f>
        <v>400.90172541005973</v>
      </c>
      <c r="H51" s="1160">
        <f>+TableA2!D51+TableA2!G51-TableA4!E51</f>
        <v>328.55169346218634</v>
      </c>
      <c r="I51" s="9">
        <f t="shared" si="8"/>
        <v>0.14817462662935943</v>
      </c>
      <c r="J51" s="1161">
        <f>D51/TableA9!B51</f>
        <v>0.13907602722228887</v>
      </c>
      <c r="K51" s="1164">
        <f>E51/TableA9!G51</f>
        <v>0.1590196331057292</v>
      </c>
      <c r="L51" s="958"/>
      <c r="M51" s="958"/>
      <c r="N51" s="268">
        <f>D51+G51-TableA2!C51</f>
        <v>0</v>
      </c>
      <c r="O51" s="268">
        <f>H51+E51-TableA2!G51-TableA2!D51</f>
        <v>0</v>
      </c>
      <c r="P51" s="318">
        <f>TableB2!K51/TableA1!B51</f>
        <v>0.18815911779605865</v>
      </c>
      <c r="Q51" s="319">
        <f t="shared" si="4"/>
        <v>0.14817462662935943</v>
      </c>
    </row>
    <row r="52" spans="1:17" x14ac:dyDescent="0.2">
      <c r="A52" s="1154" t="s">
        <v>71</v>
      </c>
      <c r="B52" s="299">
        <f>+TableA2!B52</f>
        <v>192.31937324835505</v>
      </c>
      <c r="C52" s="1156">
        <f t="shared" si="6"/>
        <v>39.737006241612832</v>
      </c>
      <c r="D52" s="1157">
        <f>+TableA6!F52/TableA7!N52</f>
        <v>27.988286510009779</v>
      </c>
      <c r="E52" s="1158">
        <f>TableA5!B52</f>
        <v>11.748719731603057</v>
      </c>
      <c r="F52" s="1156">
        <f t="shared" si="7"/>
        <v>152.58236700674223</v>
      </c>
      <c r="G52" s="1159">
        <f>+TableA2!C52-TableA4!D52</f>
        <v>69.14885669253897</v>
      </c>
      <c r="H52" s="1160">
        <f>+TableA2!D52+TableA2!G52-TableA4!E52</f>
        <v>83.433510314203232</v>
      </c>
      <c r="I52" s="9">
        <f t="shared" si="8"/>
        <v>0.20661988218055255</v>
      </c>
      <c r="J52" s="1161">
        <f>D52/TableA9!B52</f>
        <v>0.28813166197042739</v>
      </c>
      <c r="K52" s="1164">
        <f>E52/TableA9!G52</f>
        <v>0.12343396163284895</v>
      </c>
      <c r="L52" s="958"/>
      <c r="M52" s="958"/>
      <c r="N52" s="268">
        <f>D52+G52-TableA2!C52</f>
        <v>0</v>
      </c>
      <c r="O52" s="268">
        <f>H52+E52-TableA2!G52-TableA2!D52</f>
        <v>0</v>
      </c>
      <c r="P52" s="318">
        <f>TableB2!K52/TableA1!B52</f>
        <v>0.363045392813305</v>
      </c>
      <c r="Q52" s="319">
        <f t="shared" si="4"/>
        <v>0.20661988218055255</v>
      </c>
    </row>
    <row r="53" spans="1:17" ht="40" customHeight="1" x14ac:dyDescent="0.2">
      <c r="A53" s="7" t="s">
        <v>72</v>
      </c>
      <c r="B53" s="304">
        <f>SUM(B54:B89)</f>
        <v>687.54671431433303</v>
      </c>
      <c r="C53" s="1172">
        <f t="shared" ref="C53:H53" si="9">SUM(C54:C89)</f>
        <v>303.6332367588368</v>
      </c>
      <c r="D53" s="175">
        <f t="shared" si="9"/>
        <v>93.59346009202666</v>
      </c>
      <c r="E53" s="245">
        <f t="shared" si="9"/>
        <v>210.03977666681013</v>
      </c>
      <c r="F53" s="1172">
        <f t="shared" si="9"/>
        <v>383.91347755549617</v>
      </c>
      <c r="G53" s="245">
        <f t="shared" si="9"/>
        <v>221.08100266005408</v>
      </c>
      <c r="H53" s="623">
        <f t="shared" si="9"/>
        <v>162.83247489544209</v>
      </c>
      <c r="I53" s="176">
        <f t="shared" si="8"/>
        <v>0.4416183372523857</v>
      </c>
      <c r="J53" s="1161">
        <f>D53/(D53+G53)</f>
        <v>0.29742947449080148</v>
      </c>
      <c r="K53" s="1162">
        <f>E53/(E53+H53)</f>
        <v>0.56330224570691423</v>
      </c>
      <c r="L53" s="958"/>
      <c r="M53" s="958"/>
      <c r="N53" s="268">
        <f>D53+G53-TableA2!C53</f>
        <v>0</v>
      </c>
      <c r="O53" s="268">
        <f>H53+E53-TableA2!G53-TableA2!D53</f>
        <v>0</v>
      </c>
      <c r="P53" s="958"/>
      <c r="Q53" s="958"/>
    </row>
    <row r="54" spans="1:17" x14ac:dyDescent="0.2">
      <c r="A54" s="1154" t="s">
        <v>73</v>
      </c>
      <c r="B54" s="299">
        <f>TableA2!B54</f>
        <v>1.8902000000000001</v>
      </c>
      <c r="C54" s="1173">
        <f t="shared" ref="C54:C88" si="10">D54+E54</f>
        <v>0.16140384864391827</v>
      </c>
      <c r="D54" s="1165">
        <f>TableA2!C54*$B$97</f>
        <v>0.20364200000000002</v>
      </c>
      <c r="E54" s="1174">
        <f>TableA5!B54</f>
        <v>-4.2238151356081763E-2</v>
      </c>
      <c r="F54" s="1173">
        <f>B54-C54</f>
        <v>1.7287961513560819</v>
      </c>
      <c r="G54" s="1175">
        <f>+TableA2!C54-TableA4!D54</f>
        <v>0.30546300000000004</v>
      </c>
      <c r="H54" s="1176">
        <f>+TableA2!D54+TableA2!G54-TableA4!E54</f>
        <v>1.4233331513560818</v>
      </c>
      <c r="I54" s="9">
        <f>C54/B54</f>
        <v>8.5389825755961407E-2</v>
      </c>
      <c r="J54" s="1161">
        <f>D54/TableA9!B54</f>
        <v>0.4</v>
      </c>
      <c r="K54" s="1164">
        <f>E54/TableA9!G54</f>
        <v>-3.0583089038829159E-2</v>
      </c>
      <c r="L54" s="958"/>
      <c r="M54" s="1177"/>
      <c r="N54" s="268">
        <f>D54+G54-TableA2!C54</f>
        <v>0</v>
      </c>
      <c r="O54" s="268">
        <f>H54+E54-TableA2!G54-TableA2!D54</f>
        <v>0</v>
      </c>
      <c r="P54" s="958"/>
      <c r="Q54" s="958"/>
    </row>
    <row r="55" spans="1:17" x14ac:dyDescent="0.2">
      <c r="A55" s="1154" t="s">
        <v>74</v>
      </c>
      <c r="B55" s="299">
        <f>TableA2!B55</f>
        <v>0.17888200000000001</v>
      </c>
      <c r="C55" s="1173">
        <f t="shared" si="10"/>
        <v>0.14529533849679047</v>
      </c>
      <c r="D55" s="1165">
        <f>TableA2!C55*$B$97</f>
        <v>1.9271961600000002E-2</v>
      </c>
      <c r="E55" s="1174">
        <f>TableA5!B55</f>
        <v>0.12602337689679047</v>
      </c>
      <c r="F55" s="1173">
        <f>B55-C55</f>
        <v>3.3586661503209547E-2</v>
      </c>
      <c r="G55" s="1175">
        <f>+TableA2!C55-TableA4!D55</f>
        <v>2.8907942400000001E-2</v>
      </c>
      <c r="H55" s="1176">
        <f>+TableA2!D55+TableA2!G55-TableA4!E55</f>
        <v>4.6787191032095499E-3</v>
      </c>
      <c r="I55" s="9">
        <f t="shared" ref="I55:I90" si="11">C55/B55</f>
        <v>0.81224124560766575</v>
      </c>
      <c r="J55" s="1161">
        <f>D55/TableA9!B55</f>
        <v>0.4</v>
      </c>
      <c r="K55" s="1164">
        <f>E55/TableA9!G55</f>
        <v>0.96420318230237445</v>
      </c>
      <c r="L55" s="958"/>
      <c r="M55" s="1177"/>
      <c r="N55" s="268">
        <f>D55+G55-TableA2!C55</f>
        <v>0</v>
      </c>
      <c r="O55" s="268">
        <f>H55+E55-TableA2!G55-TableA2!D55</f>
        <v>0</v>
      </c>
      <c r="P55" s="958"/>
      <c r="Q55" s="958"/>
    </row>
    <row r="56" spans="1:17" x14ac:dyDescent="0.2">
      <c r="A56" s="1154" t="s">
        <v>76</v>
      </c>
      <c r="B56" s="299">
        <f>TableA2!B56</f>
        <v>0.91761499999999996</v>
      </c>
      <c r="C56" s="1156">
        <f t="shared" si="10"/>
        <v>0.13299863583449367</v>
      </c>
      <c r="D56" s="1165">
        <f>TableA2!C56*$B$97</f>
        <v>3.7688159999999998E-2</v>
      </c>
      <c r="E56" s="1174">
        <f>TableA5!B56</f>
        <v>9.5310475834493674E-2</v>
      </c>
      <c r="F56" s="1156">
        <f>B56-C56</f>
        <v>0.78461636416550629</v>
      </c>
      <c r="G56" s="1159">
        <f>+TableA2!C56-TableA4!D56</f>
        <v>5.6532239999999997E-2</v>
      </c>
      <c r="H56" s="1160">
        <f>+TableA2!D56+TableA2!G56-TableA4!E56</f>
        <v>0.72808412416550627</v>
      </c>
      <c r="I56" s="9">
        <f t="shared" si="11"/>
        <v>0.14493947443589489</v>
      </c>
      <c r="J56" s="1161">
        <f>D56/TableA9!B56</f>
        <v>0.4</v>
      </c>
      <c r="K56" s="1164">
        <f>E56/TableA9!G56</f>
        <v>0.11575309800974366</v>
      </c>
      <c r="L56" s="958"/>
      <c r="M56" s="1177"/>
      <c r="N56" s="268">
        <f>D56+G56-TableA2!C56</f>
        <v>0</v>
      </c>
      <c r="O56" s="268">
        <f>H56+E56-TableA2!G56-TableA2!D56</f>
        <v>0</v>
      </c>
      <c r="P56" s="958"/>
      <c r="Q56" s="958"/>
    </row>
    <row r="57" spans="1:17" x14ac:dyDescent="0.2">
      <c r="A57" s="1154" t="str">
        <f>+TableA1!A56</f>
        <v>Antigua and Barbuda</v>
      </c>
      <c r="B57" s="299">
        <f>TableA2!B57</f>
        <v>1.6807799999999999</v>
      </c>
      <c r="C57" s="1156">
        <f t="shared" si="10"/>
        <v>0.23496326669783862</v>
      </c>
      <c r="D57" s="1165">
        <f>TableA2!C57*$B$97</f>
        <v>0.18108040000000003</v>
      </c>
      <c r="E57" s="1174">
        <f>TableA5!B57</f>
        <v>5.388286669783858E-2</v>
      </c>
      <c r="F57" s="1156">
        <f t="shared" ref="F57:F69" si="12">B57-C57</f>
        <v>1.4458167333021614</v>
      </c>
      <c r="G57" s="1159">
        <f>+TableA2!C57-TableA4!D57</f>
        <v>0.27162059999999999</v>
      </c>
      <c r="H57" s="1160">
        <f>+TableA2!D57+TableA2!G57-TableA4!E57</f>
        <v>1.1741961333021613</v>
      </c>
      <c r="I57" s="9">
        <f t="shared" si="11"/>
        <v>0.13979418287809151</v>
      </c>
      <c r="J57" s="1161">
        <f>D57/TableA9!B57</f>
        <v>0.4</v>
      </c>
      <c r="K57" s="1164">
        <f>E57/TableA9!G57</f>
        <v>4.3875733318327718E-2</v>
      </c>
      <c r="L57" s="958"/>
      <c r="M57" s="1177"/>
      <c r="N57" s="268">
        <f>D57+G57-TableA2!C57</f>
        <v>0</v>
      </c>
      <c r="O57" s="268">
        <f>H57+E57-TableA2!G57-TableA2!D57</f>
        <v>0</v>
      </c>
      <c r="P57" s="958"/>
      <c r="Q57" s="958"/>
    </row>
    <row r="58" spans="1:17" x14ac:dyDescent="0.2">
      <c r="A58" s="1154" t="s">
        <v>152</v>
      </c>
      <c r="B58" s="299">
        <f>TableA2!B58</f>
        <v>7.5567900000000003</v>
      </c>
      <c r="C58" s="1156">
        <f t="shared" si="10"/>
        <v>1.0606760880178145</v>
      </c>
      <c r="D58" s="1165">
        <f>TableA2!C58*$B$97</f>
        <v>0.19690840000000001</v>
      </c>
      <c r="E58" s="1174">
        <f>TableA5!B58</f>
        <v>0.86376768801781456</v>
      </c>
      <c r="F58" s="1156">
        <f t="shared" si="12"/>
        <v>6.496113911982186</v>
      </c>
      <c r="G58" s="1159">
        <f>+TableA2!C58-TableA4!D58</f>
        <v>0.29536260000000003</v>
      </c>
      <c r="H58" s="1160">
        <f>+TableA2!D58+TableA2!G58-TableA4!E58</f>
        <v>6.2007513119821862</v>
      </c>
      <c r="I58" s="9">
        <f t="shared" si="11"/>
        <v>0.14036066742860587</v>
      </c>
      <c r="J58" s="1161">
        <f>D58/TableA9!B58</f>
        <v>0.4</v>
      </c>
      <c r="K58" s="1164">
        <f>E58/TableA9!G58</f>
        <v>0.12226843582950439</v>
      </c>
      <c r="L58" s="958"/>
      <c r="M58" s="1177"/>
      <c r="N58" s="268">
        <f>D58+G58-TableA2!C58</f>
        <v>0</v>
      </c>
      <c r="O58" s="268">
        <f>H58+E58-TableA2!G58-TableA2!D58</f>
        <v>0</v>
      </c>
      <c r="P58" s="958"/>
      <c r="Q58" s="958"/>
    </row>
    <row r="59" spans="1:17" x14ac:dyDescent="0.2">
      <c r="A59" s="1154" t="s">
        <v>78</v>
      </c>
      <c r="B59" s="299">
        <f>TableA2!B59</f>
        <v>22.1172</v>
      </c>
      <c r="C59" s="1156">
        <f t="shared" si="10"/>
        <v>4.7529171260279162</v>
      </c>
      <c r="D59" s="1165">
        <f>TableA2!C59*$B$97</f>
        <v>4.0490153658990335</v>
      </c>
      <c r="E59" s="1174">
        <f>TableA5!B59</f>
        <v>0.70390176012888261</v>
      </c>
      <c r="F59" s="1156">
        <f t="shared" si="12"/>
        <v>17.364282873972083</v>
      </c>
      <c r="G59" s="1159">
        <f>+TableA2!C59-TableA4!D59</f>
        <v>6.0735230488485508</v>
      </c>
      <c r="H59" s="1160">
        <f>+TableA2!D59+TableA2!G59-TableA4!E59</f>
        <v>11.290759825123533</v>
      </c>
      <c r="I59" s="9">
        <f t="shared" si="11"/>
        <v>0.21489687329444576</v>
      </c>
      <c r="J59" s="1161">
        <f>D59/TableA9!B59</f>
        <v>0.39999999999999997</v>
      </c>
      <c r="K59" s="1164">
        <f>E59/TableA9!G59</f>
        <v>5.8684586899420195E-2</v>
      </c>
      <c r="L59" s="958"/>
      <c r="M59" s="1177"/>
      <c r="N59" s="268">
        <f>D59+G59-TableA2!C59</f>
        <v>0</v>
      </c>
      <c r="O59" s="268">
        <f>H59+E59-TableA2!G59-TableA2!D59</f>
        <v>0</v>
      </c>
      <c r="P59" s="958"/>
      <c r="Q59" s="958"/>
    </row>
    <row r="60" spans="1:17" x14ac:dyDescent="0.2">
      <c r="A60" s="1154" t="str">
        <f>+TableA1!A60</f>
        <v>Barbados</v>
      </c>
      <c r="B60" s="299">
        <f>TableA2!B60</f>
        <v>3.0819800000000002</v>
      </c>
      <c r="C60" s="1156">
        <f t="shared" si="10"/>
        <v>2.4919779098343042</v>
      </c>
      <c r="D60" s="1165">
        <f>TableA2!C60*$B$97</f>
        <v>0.13797319999999999</v>
      </c>
      <c r="E60" s="1174">
        <f>TableA5!B60</f>
        <v>2.3540047098343044</v>
      </c>
      <c r="F60" s="1156">
        <f t="shared" si="12"/>
        <v>0.59000209016569594</v>
      </c>
      <c r="G60" s="1159">
        <f>+TableA2!C60-TableA4!D60</f>
        <v>0.2069598</v>
      </c>
      <c r="H60" s="1160">
        <f>+TableA2!D60+TableA2!G60-TableA4!E60</f>
        <v>0.38304229016569558</v>
      </c>
      <c r="I60" s="9">
        <f t="shared" si="11"/>
        <v>0.80856394585114244</v>
      </c>
      <c r="J60" s="1161">
        <f>D60/TableA9!B60</f>
        <v>0.39999999999999997</v>
      </c>
      <c r="K60" s="1164">
        <f>E60/TableA9!G60</f>
        <v>0.86005271733890742</v>
      </c>
      <c r="L60" s="958"/>
      <c r="M60" s="1177"/>
      <c r="N60" s="268">
        <f>D60+G60-TableA2!C60</f>
        <v>0</v>
      </c>
      <c r="O60" s="268">
        <f>H60+E60-TableA2!G60-TableA2!D60</f>
        <v>0</v>
      </c>
      <c r="P60" s="958"/>
      <c r="Q60" s="958"/>
    </row>
    <row r="61" spans="1:17" x14ac:dyDescent="0.2">
      <c r="A61" s="1154" t="s">
        <v>80</v>
      </c>
      <c r="B61" s="299">
        <f>TableA2!B61</f>
        <v>1.17154</v>
      </c>
      <c r="C61" s="1156">
        <f t="shared" si="10"/>
        <v>0.13025787396569335</v>
      </c>
      <c r="D61" s="1165">
        <f>TableA2!C61*$B$97</f>
        <v>5.3558399999999999E-2</v>
      </c>
      <c r="E61" s="1174">
        <f>TableA5!B61</f>
        <v>7.6699473965693349E-2</v>
      </c>
      <c r="F61" s="1156">
        <f t="shared" si="12"/>
        <v>1.0412821260343066</v>
      </c>
      <c r="G61" s="1159">
        <f>+TableA2!C61-TableA4!D61</f>
        <v>8.0337599999999981E-2</v>
      </c>
      <c r="H61" s="1160">
        <f>+TableA2!D61+TableA2!G61-TableA4!E61</f>
        <v>0.96094452603430669</v>
      </c>
      <c r="I61" s="9">
        <f t="shared" si="11"/>
        <v>0.11118516991796554</v>
      </c>
      <c r="J61" s="1161">
        <f>D61/TableA9!B61</f>
        <v>0.4</v>
      </c>
      <c r="K61" s="1164">
        <f>E61/TableA9!G61</f>
        <v>7.3916944506683749E-2</v>
      </c>
      <c r="L61" s="958"/>
      <c r="M61" s="1177"/>
      <c r="N61" s="268">
        <f>D61+G61-TableA2!C61</f>
        <v>0</v>
      </c>
      <c r="O61" s="268">
        <f>H61+E61-TableA2!G61-TableA2!D61</f>
        <v>0</v>
      </c>
      <c r="P61" s="958"/>
      <c r="Q61" s="958"/>
    </row>
    <row r="62" spans="1:17" x14ac:dyDescent="0.2">
      <c r="A62" s="1080" t="s">
        <v>81</v>
      </c>
      <c r="B62" s="299">
        <f>TableA2!B62</f>
        <v>4.8467700000000002</v>
      </c>
      <c r="C62" s="1169">
        <f t="shared" si="10"/>
        <v>1.2395480000000001</v>
      </c>
      <c r="D62" s="1165">
        <f>TableA2!C62*$B$97</f>
        <v>1.2395480000000001</v>
      </c>
      <c r="E62" s="1174">
        <v>0</v>
      </c>
      <c r="F62" s="1169">
        <f t="shared" si="12"/>
        <v>3.6072220000000002</v>
      </c>
      <c r="G62" s="1113">
        <f>+TableA2!C62-TableA4!D62</f>
        <v>1.8593219999999997</v>
      </c>
      <c r="H62" s="1114">
        <f>+TableA2!D62+TableA2!G62-TableA4!E62</f>
        <v>1.7479000000000005</v>
      </c>
      <c r="I62" s="24">
        <f t="shared" si="11"/>
        <v>0.25574722959826857</v>
      </c>
      <c r="J62" s="1161">
        <f>D62/TableA9!B62</f>
        <v>0.40000000000000008</v>
      </c>
      <c r="K62" s="1164">
        <f>E62/TableA9!G62</f>
        <v>0</v>
      </c>
      <c r="L62" s="958"/>
      <c r="M62" s="1177"/>
      <c r="N62" s="268">
        <f>D62+G62-TableA2!C62</f>
        <v>0</v>
      </c>
      <c r="O62" s="268">
        <f>H62+E62-TableA2!G62-TableA2!D62</f>
        <v>0</v>
      </c>
      <c r="P62" s="958"/>
      <c r="Q62" s="958"/>
    </row>
    <row r="63" spans="1:17" x14ac:dyDescent="0.2">
      <c r="A63" s="1154" t="s">
        <v>82</v>
      </c>
      <c r="B63" s="299">
        <f>TableA2!B63</f>
        <v>0.26904600000000001</v>
      </c>
      <c r="C63" s="1156">
        <f t="shared" si="10"/>
        <v>1.6844057443692596E-2</v>
      </c>
      <c r="D63" s="1165">
        <f>TableA2!C63*$B$97</f>
        <v>2.8985919999999998E-2</v>
      </c>
      <c r="E63" s="1174">
        <f>TableA5!B63</f>
        <v>-1.2141862556307403E-2</v>
      </c>
      <c r="F63" s="1156">
        <f t="shared" si="12"/>
        <v>0.2522019425563074</v>
      </c>
      <c r="G63" s="1159">
        <f>+TableA2!C63-TableA4!D63</f>
        <v>4.3478879999999998E-2</v>
      </c>
      <c r="H63" s="1160">
        <f>+TableA2!D63+TableA2!G63-TableA4!E63</f>
        <v>0.2087230625563074</v>
      </c>
      <c r="I63" s="9">
        <f t="shared" si="11"/>
        <v>6.2606607954374324E-2</v>
      </c>
      <c r="J63" s="1161">
        <f>D63/TableA9!B63</f>
        <v>0.4</v>
      </c>
      <c r="K63" s="1164">
        <f>E63/TableA9!G63</f>
        <v>-6.176512584269199E-2</v>
      </c>
      <c r="L63" s="958"/>
      <c r="M63" s="1177"/>
      <c r="N63" s="268">
        <f>D63+G63-TableA2!C63</f>
        <v>0</v>
      </c>
      <c r="O63" s="268">
        <f>H63+E63-TableA2!G63-TableA2!D63</f>
        <v>0</v>
      </c>
      <c r="P63" s="958"/>
      <c r="Q63" s="958"/>
    </row>
    <row r="64" spans="1:17" x14ac:dyDescent="0.2">
      <c r="A64" s="1154" t="s">
        <v>153</v>
      </c>
      <c r="B64" s="299">
        <f>TableA2!B64</f>
        <v>0.60508099999999998</v>
      </c>
      <c r="C64" s="1156">
        <f t="shared" si="10"/>
        <v>-4.8543913474907159</v>
      </c>
      <c r="D64" s="1165">
        <f>TableA2!C64*$B$97</f>
        <v>6.5188800000000005E-2</v>
      </c>
      <c r="E64" s="1174">
        <f>TableA5!B64</f>
        <v>-4.9195801474907155</v>
      </c>
      <c r="F64" s="1156">
        <f t="shared" si="12"/>
        <v>5.4594723474907161</v>
      </c>
      <c r="G64" s="1159">
        <f>+TableA2!C64-TableA4!D64</f>
        <v>9.7783200000000001E-2</v>
      </c>
      <c r="H64" s="1160">
        <f>+TableA2!D64+TableA2!G64-TableA4!E64</f>
        <v>5.3616891474907158</v>
      </c>
      <c r="I64" s="9">
        <f t="shared" si="11"/>
        <v>-8.0227132358985269</v>
      </c>
      <c r="J64" s="1161">
        <f>D64/TableA9!B64</f>
        <v>0.4</v>
      </c>
      <c r="K64" s="1164">
        <f>E64/TableA9!G64</f>
        <v>-11.127527708078134</v>
      </c>
      <c r="L64" s="958"/>
      <c r="M64" s="1177"/>
      <c r="N64" s="268">
        <f>D64+G64-TableA2!C64</f>
        <v>0</v>
      </c>
      <c r="O64" s="268">
        <f>H64+E64-TableA2!G64-TableA2!D64</f>
        <v>0</v>
      </c>
      <c r="P64" s="958"/>
      <c r="Q64" s="958"/>
    </row>
    <row r="65" spans="1:15" x14ac:dyDescent="0.2">
      <c r="A65" s="113" t="s">
        <v>84</v>
      </c>
      <c r="B65" s="299">
        <f>TableA2!B65</f>
        <v>2.3189600000000001</v>
      </c>
      <c r="C65" s="1156">
        <f t="shared" si="10"/>
        <v>25.149475082111486</v>
      </c>
      <c r="D65" s="1165">
        <f>TableA2!C65*$B$97</f>
        <v>0.56655600000000006</v>
      </c>
      <c r="E65" s="1174">
        <f>TableA5!B65</f>
        <v>24.582919082111488</v>
      </c>
      <c r="F65" s="1156">
        <f t="shared" si="12"/>
        <v>-22.830515082111486</v>
      </c>
      <c r="G65" s="1159">
        <f>+TableA2!C65-TableA4!D65</f>
        <v>0.84983399999999998</v>
      </c>
      <c r="H65" s="1160">
        <f>+TableA2!D65+TableA2!G65-TableA4!E65</f>
        <v>-23.680349082111487</v>
      </c>
      <c r="I65" s="9">
        <f t="shared" si="11"/>
        <v>10.845152603801482</v>
      </c>
      <c r="J65" s="1161">
        <f>D65/TableA9!B65</f>
        <v>0.4</v>
      </c>
      <c r="K65" s="1164">
        <f>E65/TableA9!G65</f>
        <v>27.236578971283652</v>
      </c>
      <c r="L65" s="958"/>
      <c r="M65" s="1177"/>
      <c r="N65" s="268">
        <f>D65+G65-TableA2!C65</f>
        <v>0</v>
      </c>
      <c r="O65" s="268">
        <f>H65+E65-TableA2!G65-TableA2!D65</f>
        <v>0</v>
      </c>
    </row>
    <row r="66" spans="1:15" x14ac:dyDescent="0.2">
      <c r="A66" s="1154" t="s">
        <v>85</v>
      </c>
      <c r="B66" s="299">
        <f>TableA2!B66</f>
        <v>2.0247299999999999</v>
      </c>
      <c r="C66" s="1156">
        <f t="shared" si="10"/>
        <v>-3.7772554797817461</v>
      </c>
      <c r="D66" s="1165">
        <f>TableA2!C66*$B$97</f>
        <v>0.54332400000000003</v>
      </c>
      <c r="E66" s="1174">
        <f>TableA5!B66</f>
        <v>-4.3205794797817463</v>
      </c>
      <c r="F66" s="1156">
        <f t="shared" si="12"/>
        <v>5.8019854797817461</v>
      </c>
      <c r="G66" s="1159">
        <f>+TableA2!C66-TableA4!D66</f>
        <v>0.81498599999999988</v>
      </c>
      <c r="H66" s="1160">
        <f>+TableA2!D66+TableA2!G66-TableA4!E66</f>
        <v>4.9869994797817458</v>
      </c>
      <c r="I66" s="9">
        <f t="shared" si="11"/>
        <v>-1.8655600893856199</v>
      </c>
      <c r="J66" s="1161">
        <f>D66/TableA9!B66</f>
        <v>0.4</v>
      </c>
      <c r="K66" s="1164">
        <f>E66/TableA9!G66</f>
        <v>-6.4832680288432911</v>
      </c>
      <c r="L66" s="958"/>
      <c r="M66" s="1177"/>
      <c r="N66" s="268">
        <f>D66+G66-TableA2!C66</f>
        <v>0</v>
      </c>
      <c r="O66" s="268">
        <f>H66+E66-TableA2!G66-TableA2!D66</f>
        <v>-4.4408920985006262E-16</v>
      </c>
    </row>
    <row r="67" spans="1:15" x14ac:dyDescent="0.2">
      <c r="A67" s="1080" t="str">
        <f>+TableA1!A67</f>
        <v>Cyprus</v>
      </c>
      <c r="B67" s="299">
        <f>TableA2!B67</f>
        <v>9.9627499999999998</v>
      </c>
      <c r="C67" s="1169">
        <f t="shared" si="10"/>
        <v>7.3633393969721084</v>
      </c>
      <c r="D67" s="1165">
        <f>TableA2!C67*$B$97</f>
        <v>2.2181320000000002</v>
      </c>
      <c r="E67" s="1174">
        <f>TableA5!B67</f>
        <v>5.1452073969721077</v>
      </c>
      <c r="F67" s="1169">
        <f t="shared" si="12"/>
        <v>2.5994106030278914</v>
      </c>
      <c r="G67" s="1113">
        <f>+TableA2!C67-TableA4!D67</f>
        <v>3.3271979999999997</v>
      </c>
      <c r="H67" s="1114">
        <f>+TableA2!D67+TableA2!G67-TableA4!E67</f>
        <v>-0.72778739697210781</v>
      </c>
      <c r="I67" s="24">
        <f t="shared" si="11"/>
        <v>0.73908703891717731</v>
      </c>
      <c r="J67" s="1161">
        <f>D67/TableA9!B67</f>
        <v>0.4</v>
      </c>
      <c r="K67" s="1164">
        <f>E67/TableA9!G67</f>
        <v>1.1647539507160531</v>
      </c>
      <c r="L67" s="958"/>
      <c r="M67" s="1177"/>
      <c r="N67" s="268">
        <f>D67+G67-TableA2!C67</f>
        <v>0</v>
      </c>
      <c r="O67" s="268">
        <f>H67+E67-TableA2!G67-TableA2!D67</f>
        <v>0</v>
      </c>
    </row>
    <row r="68" spans="1:15" x14ac:dyDescent="0.2">
      <c r="A68" s="1154" t="s">
        <v>87</v>
      </c>
      <c r="B68" s="299">
        <f>TableA2!B68</f>
        <v>4.6878599999999997</v>
      </c>
      <c r="C68" s="1156">
        <f t="shared" si="10"/>
        <v>3.1336845789067267</v>
      </c>
      <c r="D68" s="1165">
        <f>TableA2!C68*$B$97</f>
        <v>0.50505199999999995</v>
      </c>
      <c r="E68" s="1174">
        <f>TableA5!B68</f>
        <v>2.6286325789067266</v>
      </c>
      <c r="F68" s="1156">
        <f t="shared" si="12"/>
        <v>1.554175421093273</v>
      </c>
      <c r="G68" s="1159">
        <f>+TableA2!C68-TableA4!D68</f>
        <v>0.75757799999999997</v>
      </c>
      <c r="H68" s="1160">
        <f>+TableA2!D68+TableA2!G68-TableA4!E68</f>
        <v>0.79659742109327336</v>
      </c>
      <c r="I68" s="9">
        <f t="shared" si="11"/>
        <v>0.66846803848807923</v>
      </c>
      <c r="J68" s="1161">
        <f>D68/TableA9!B68</f>
        <v>0.39999999999999997</v>
      </c>
      <c r="K68" s="1164">
        <f>E68/TableA9!G68</f>
        <v>0.76743242903592657</v>
      </c>
      <c r="L68" s="958"/>
      <c r="M68" s="1177"/>
      <c r="N68" s="268">
        <f>D68+G68-TableA2!C68</f>
        <v>0</v>
      </c>
      <c r="O68" s="268">
        <f>H68+E68-TableA2!G68-TableA2!D68</f>
        <v>0</v>
      </c>
    </row>
    <row r="69" spans="1:15" x14ac:dyDescent="0.2">
      <c r="A69" s="1154" t="str">
        <f>+TableA1!A69</f>
        <v>Grenada</v>
      </c>
      <c r="B69" s="299">
        <f>TableA2!B69</f>
        <v>0.50683400000000001</v>
      </c>
      <c r="C69" s="1156">
        <f t="shared" si="10"/>
        <v>4.8885746177407069E-2</v>
      </c>
      <c r="D69" s="1165">
        <f>TableA2!C69*$B$97</f>
        <v>2.9562819200000003E-2</v>
      </c>
      <c r="E69" s="1174">
        <f>TableA5!B69</f>
        <v>1.9322926977407062E-2</v>
      </c>
      <c r="F69" s="1156">
        <f t="shared" si="12"/>
        <v>0.45794825382259297</v>
      </c>
      <c r="G69" s="1159">
        <f>+TableA2!C69-TableA4!D69</f>
        <v>4.4344228799999996E-2</v>
      </c>
      <c r="H69" s="1160">
        <f>+TableA2!D69+TableA2!G69-TableA4!E69</f>
        <v>0.41360402502259291</v>
      </c>
      <c r="I69" s="9">
        <f t="shared" si="11"/>
        <v>9.6453170421493165E-2</v>
      </c>
      <c r="J69" s="1161">
        <f>D69/TableA9!B69</f>
        <v>0.4</v>
      </c>
      <c r="K69" s="1164">
        <f>E69/TableA9!G69</f>
        <v>4.4633227125593845E-2</v>
      </c>
      <c r="L69" s="958"/>
      <c r="M69" s="1177"/>
      <c r="N69" s="268">
        <f>D69+G69-TableA2!C69</f>
        <v>0</v>
      </c>
      <c r="O69" s="268">
        <f>H69+E69-TableA2!G69-TableA2!D69</f>
        <v>0</v>
      </c>
    </row>
    <row r="70" spans="1:15" x14ac:dyDescent="0.2">
      <c r="A70" s="1154" t="s">
        <v>89</v>
      </c>
      <c r="B70" s="299">
        <f>TableA2!B70</f>
        <v>3.1522600000000001</v>
      </c>
      <c r="C70" s="1156">
        <f t="shared" si="10"/>
        <v>-2.0687888906068452</v>
      </c>
      <c r="D70" s="1165">
        <f>TableA2!C70*$B$97</f>
        <v>0.33961160000000001</v>
      </c>
      <c r="E70" s="1174">
        <f>TableA5!B70</f>
        <v>-2.4084004906068452</v>
      </c>
      <c r="F70" s="1156">
        <f t="shared" ref="F70:F81" si="13">B70-C70</f>
        <v>5.2210488906068449</v>
      </c>
      <c r="G70" s="1159">
        <f>+TableA2!C70-TableA4!D70</f>
        <v>0.50941740000000002</v>
      </c>
      <c r="H70" s="1160">
        <f>+TableA2!D70+TableA2!G70-TableA4!E70</f>
        <v>4.7116314906068455</v>
      </c>
      <c r="I70" s="9">
        <f t="shared" si="11"/>
        <v>-0.65628751771961868</v>
      </c>
      <c r="J70" s="1161">
        <f>D70/TableA9!B70</f>
        <v>0.4</v>
      </c>
      <c r="K70" s="1164">
        <f>E70/TableA9!G70</f>
        <v>-1.0456617206901284</v>
      </c>
      <c r="L70" s="958"/>
      <c r="M70" s="1177"/>
      <c r="N70" s="268">
        <f>D70+G70-TableA2!C70</f>
        <v>0</v>
      </c>
      <c r="O70" s="268">
        <f>H70+E70-TableA2!G70-TableA2!D70</f>
        <v>0</v>
      </c>
    </row>
    <row r="71" spans="1:15" x14ac:dyDescent="0.2">
      <c r="A71" s="1154" t="s">
        <v>154</v>
      </c>
      <c r="B71" s="299">
        <f>TableA2!B71</f>
        <v>1.6875</v>
      </c>
      <c r="C71" s="1156">
        <f t="shared" si="10"/>
        <v>-3.4119978828111419</v>
      </c>
      <c r="D71" s="1165">
        <f>TableA2!C71*$B$97</f>
        <v>0.18180480000000002</v>
      </c>
      <c r="E71" s="1174">
        <f>TableA5!B71</f>
        <v>-3.593802682811142</v>
      </c>
      <c r="F71" s="1156">
        <f t="shared" si="13"/>
        <v>5.0994978828111419</v>
      </c>
      <c r="G71" s="1159">
        <f>+TableA2!C71-TableA4!D71</f>
        <v>0.27270720000000004</v>
      </c>
      <c r="H71" s="1160">
        <f>+TableA2!D71+TableA2!G71-TableA4!E71</f>
        <v>4.8267906828111418</v>
      </c>
      <c r="I71" s="9">
        <f t="shared" si="11"/>
        <v>-2.0219246712954915</v>
      </c>
      <c r="J71" s="1161">
        <f>D71/TableA9!B71</f>
        <v>0.4</v>
      </c>
      <c r="K71" s="1164">
        <f>E71/TableA9!G71</f>
        <v>-2.9147101859962481</v>
      </c>
      <c r="L71" s="958"/>
      <c r="M71" s="1177"/>
      <c r="N71" s="268">
        <f>D71+G71-TableA2!C71</f>
        <v>0</v>
      </c>
      <c r="O71" s="268">
        <f>H71+E71-TableA2!G71-TableA2!D71</f>
        <v>0</v>
      </c>
    </row>
    <row r="72" spans="1:15" x14ac:dyDescent="0.2">
      <c r="A72" s="1154" t="s">
        <v>91</v>
      </c>
      <c r="B72" s="299">
        <f>TableA2!B72</f>
        <v>219.09200000000001</v>
      </c>
      <c r="C72" s="1156">
        <f t="shared" si="10"/>
        <v>51.525126827377107</v>
      </c>
      <c r="D72" s="1165">
        <f>TableA6!F72/TableA7!N72</f>
        <v>23.587237340311784</v>
      </c>
      <c r="E72" s="1174">
        <f>TableA5!B72</f>
        <v>27.93788948706532</v>
      </c>
      <c r="F72" s="1156">
        <f t="shared" si="13"/>
        <v>167.56687317262291</v>
      </c>
      <c r="G72" s="1159">
        <f>+TableA2!C72-TableA4!D72</f>
        <v>93.481762659688215</v>
      </c>
      <c r="H72" s="1160">
        <f>+TableA2!D72+TableA2!G72-TableA4!E72</f>
        <v>74.085110512934691</v>
      </c>
      <c r="I72" s="9">
        <f t="shared" si="11"/>
        <v>0.23517575642824523</v>
      </c>
      <c r="J72" s="1161">
        <f>D72/TableA9!B72</f>
        <v>0.20148149672681737</v>
      </c>
      <c r="K72" s="1164">
        <f>E72/TableA9!G72</f>
        <v>0.27383912928521331</v>
      </c>
      <c r="L72" s="958"/>
      <c r="M72" s="1177"/>
      <c r="N72" s="268">
        <f>D72+G72-TableA2!C72</f>
        <v>0</v>
      </c>
      <c r="O72" s="268">
        <f>H72+E72-TableA2!G72-TableA2!D72</f>
        <v>0</v>
      </c>
    </row>
    <row r="73" spans="1:15" x14ac:dyDescent="0.2">
      <c r="A73" s="1154" t="s">
        <v>92</v>
      </c>
      <c r="B73" s="299">
        <f>TableA2!B73</f>
        <v>4.56663</v>
      </c>
      <c r="C73" s="1156">
        <f t="shared" si="10"/>
        <v>1.2034496315253735</v>
      </c>
      <c r="D73" s="1165">
        <f>TableA2!C73*$B$97</f>
        <v>0.49198800000000004</v>
      </c>
      <c r="E73" s="1174">
        <f>TableA5!B73</f>
        <v>0.71146163152537345</v>
      </c>
      <c r="F73" s="1156">
        <f t="shared" si="13"/>
        <v>3.3631803684746266</v>
      </c>
      <c r="G73" s="1159">
        <f>+TableA2!C73-TableA4!D73</f>
        <v>0.73798199999999992</v>
      </c>
      <c r="H73" s="1160">
        <f>+TableA2!D73+TableA2!G73-TableA4!E73</f>
        <v>2.625198368474627</v>
      </c>
      <c r="I73" s="9">
        <f t="shared" si="11"/>
        <v>0.26353123233661879</v>
      </c>
      <c r="J73" s="1161">
        <f>D73/TableA9!B73</f>
        <v>0.4</v>
      </c>
      <c r="K73" s="1164">
        <f>E73/TableA9!G73</f>
        <v>0.21322569021877369</v>
      </c>
      <c r="L73" s="958"/>
      <c r="M73" s="1177"/>
      <c r="N73" s="268">
        <f>D73+G73-TableA2!C73</f>
        <v>0</v>
      </c>
      <c r="O73" s="268">
        <f>H73+E73-TableA2!G73-TableA2!D73</f>
        <v>0</v>
      </c>
    </row>
    <row r="74" spans="1:15" x14ac:dyDescent="0.2">
      <c r="A74" s="1154" t="s">
        <v>93</v>
      </c>
      <c r="B74" s="299">
        <f>TableA2!B74</f>
        <v>33.252099999999999</v>
      </c>
      <c r="C74" s="1156">
        <f t="shared" si="10"/>
        <v>6.0152157422435497</v>
      </c>
      <c r="D74" s="1165">
        <f>TableA2!C74*$B$97</f>
        <v>6.0874913573332634</v>
      </c>
      <c r="E74" s="1174">
        <f>TableA5!B74</f>
        <v>-7.2275615089713682E-2</v>
      </c>
      <c r="F74" s="1156">
        <f t="shared" si="13"/>
        <v>27.236884257756451</v>
      </c>
      <c r="G74" s="1159">
        <f>+TableA2!C74-TableA4!D74</f>
        <v>9.1312370359998933</v>
      </c>
      <c r="H74" s="1160">
        <f>+TableA2!D74+TableA2!G74-TableA4!E74</f>
        <v>18.105647221756552</v>
      </c>
      <c r="I74" s="9">
        <f t="shared" si="11"/>
        <v>0.18089731903379186</v>
      </c>
      <c r="J74" s="1161">
        <f>D74/TableA9!B74</f>
        <v>0.4</v>
      </c>
      <c r="K74" s="1164">
        <f>E74/TableA9!G74</f>
        <v>-4.0078814248464649E-3</v>
      </c>
      <c r="L74" s="958"/>
      <c r="M74" s="1177"/>
      <c r="N74" s="268">
        <f>D74+G74-TableA2!C74</f>
        <v>0</v>
      </c>
      <c r="O74" s="268">
        <f>H74+E74-TableA2!G74-TableA2!D74</f>
        <v>0</v>
      </c>
    </row>
    <row r="75" spans="1:15" x14ac:dyDescent="0.2">
      <c r="A75" s="1154" t="s">
        <v>94</v>
      </c>
      <c r="B75" s="299">
        <f>TableA2!B75</f>
        <v>4.7388899999999996</v>
      </c>
      <c r="C75" s="1156">
        <f t="shared" si="10"/>
        <v>-1.8038415681969429</v>
      </c>
      <c r="D75" s="1165">
        <f>TableA2!C75*$B$97</f>
        <v>1.1673600000000002</v>
      </c>
      <c r="E75" s="1174">
        <f>TableA5!B75</f>
        <v>-2.971201568196943</v>
      </c>
      <c r="F75" s="1156">
        <f t="shared" si="13"/>
        <v>6.5427315681969427</v>
      </c>
      <c r="G75" s="1159">
        <f>+TableA2!C75-TableA4!D75</f>
        <v>1.7510399999999999</v>
      </c>
      <c r="H75" s="1160">
        <f>+TableA2!D75+TableA2!G75-TableA4!E75</f>
        <v>4.7916915681969421</v>
      </c>
      <c r="I75" s="9">
        <f t="shared" si="11"/>
        <v>-0.38064643158987505</v>
      </c>
      <c r="J75" s="1161">
        <f>D75/TableA9!B75</f>
        <v>0.4</v>
      </c>
      <c r="K75" s="1164">
        <f>E75/TableA9!G75</f>
        <v>-1.6320889256172479</v>
      </c>
      <c r="L75" s="958"/>
      <c r="M75" s="1177"/>
      <c r="N75" s="268">
        <f>D75+G75-TableA2!C75</f>
        <v>0</v>
      </c>
      <c r="O75" s="268">
        <f>H75+E75-TableA2!G75-TableA2!D75</f>
        <v>0</v>
      </c>
    </row>
    <row r="76" spans="1:15" x14ac:dyDescent="0.2">
      <c r="A76" s="1154" t="s">
        <v>95</v>
      </c>
      <c r="B76" s="299">
        <f>TableA2!B76</f>
        <v>25.217500000000001</v>
      </c>
      <c r="C76" s="1156">
        <f t="shared" si="10"/>
        <v>12.385535326215198</v>
      </c>
      <c r="D76" s="1165">
        <f>TableA6!F76/TableA7!N76</f>
        <v>3.7507153715351045</v>
      </c>
      <c r="E76" s="1174">
        <f>TableA5!B76</f>
        <v>8.6348199546800934</v>
      </c>
      <c r="F76" s="1156">
        <f t="shared" si="13"/>
        <v>12.831964673784803</v>
      </c>
      <c r="G76" s="1159">
        <f>+TableA2!C76-TableA4!D76</f>
        <v>6.3518846284648962</v>
      </c>
      <c r="H76" s="1160">
        <f>+TableA2!D76+TableA2!G76-TableA4!E76</f>
        <v>6.480080045319907</v>
      </c>
      <c r="I76" s="9">
        <f t="shared" si="11"/>
        <v>0.49114842177912948</v>
      </c>
      <c r="J76" s="1161">
        <f>D76/TableA9!B76</f>
        <v>0.37126238508256332</v>
      </c>
      <c r="K76" s="1164">
        <f>E76/TableA9!G76</f>
        <v>0.57127866904048941</v>
      </c>
      <c r="L76" s="958"/>
      <c r="M76" s="1177"/>
      <c r="N76" s="268">
        <f>D76+G76-TableA2!C76</f>
        <v>0</v>
      </c>
      <c r="O76" s="268">
        <f>H76+E76-TableA2!G76-TableA2!D76</f>
        <v>0</v>
      </c>
    </row>
    <row r="77" spans="1:15" x14ac:dyDescent="0.2">
      <c r="A77" s="1080" t="s">
        <v>96</v>
      </c>
      <c r="B77" s="299">
        <f>TableA2!B77</f>
        <v>5.8736199999999998</v>
      </c>
      <c r="C77" s="1169">
        <f t="shared" si="10"/>
        <v>1.0993080000000002</v>
      </c>
      <c r="D77" s="1165">
        <f>TableA2!C77*$B$97</f>
        <v>1.0993080000000002</v>
      </c>
      <c r="E77" s="1174">
        <f>TableA5!B77</f>
        <v>0</v>
      </c>
      <c r="F77" s="1169">
        <f t="shared" si="13"/>
        <v>4.7743120000000001</v>
      </c>
      <c r="G77" s="1113">
        <f>+TableA2!C77-TableA4!D77</f>
        <v>1.648962</v>
      </c>
      <c r="H77" s="1114">
        <f>+TableA2!D77+TableA2!G77-TableA4!E77</f>
        <v>3.1253499999999996</v>
      </c>
      <c r="I77" s="24">
        <f t="shared" si="11"/>
        <v>0.18716021805973151</v>
      </c>
      <c r="J77" s="1161">
        <f>D77/TableA9!B77</f>
        <v>0.4</v>
      </c>
      <c r="K77" s="1164">
        <f>E77/TableA9!G77</f>
        <v>0</v>
      </c>
      <c r="L77" s="958"/>
      <c r="M77" s="1177"/>
      <c r="N77" s="268">
        <f>D77+G77-TableA2!C77</f>
        <v>0</v>
      </c>
      <c r="O77" s="268">
        <f>H77+E77-TableA2!G77-TableA2!D77</f>
        <v>0</v>
      </c>
    </row>
    <row r="78" spans="1:15" x14ac:dyDescent="0.2">
      <c r="A78" s="1154" t="s">
        <v>97</v>
      </c>
      <c r="B78" s="299">
        <f>TableA2!B78</f>
        <v>0.12894600000000001</v>
      </c>
      <c r="C78" s="1156">
        <f t="shared" si="10"/>
        <v>-0.42258460190344499</v>
      </c>
      <c r="D78" s="1165">
        <f>TableA2!C78*$B$97</f>
        <v>3.3394457600000003E-2</v>
      </c>
      <c r="E78" s="1174">
        <f>TableA5!B78</f>
        <v>-0.45597905950344497</v>
      </c>
      <c r="F78" s="1156">
        <f t="shared" si="13"/>
        <v>0.55153060190344494</v>
      </c>
      <c r="G78" s="1159">
        <f>+TableA2!C78-TableA4!D78</f>
        <v>5.0091686399999995E-2</v>
      </c>
      <c r="H78" s="1160">
        <f>+TableA2!D78+TableA2!G78-TableA4!E78</f>
        <v>0.50143891550344499</v>
      </c>
      <c r="I78" s="9">
        <f t="shared" si="11"/>
        <v>-3.2772214873159693</v>
      </c>
      <c r="J78" s="1161">
        <f>D78/TableA9!B78</f>
        <v>0.4</v>
      </c>
      <c r="K78" s="1164">
        <f>E78/TableA9!G78</f>
        <v>-10.030367441186899</v>
      </c>
      <c r="L78" s="958"/>
      <c r="M78" s="1177"/>
      <c r="N78" s="268">
        <f>D78+G78-TableA2!C78</f>
        <v>0</v>
      </c>
      <c r="O78" s="268">
        <f>H78+E78-TableA2!G78-TableA2!D78</f>
        <v>0</v>
      </c>
    </row>
    <row r="79" spans="1:15" x14ac:dyDescent="0.2">
      <c r="A79" s="1154" t="str">
        <f>+TableA1!A79</f>
        <v>Monaco</v>
      </c>
      <c r="B79" s="299">
        <f>TableA2!B79</f>
        <v>3.85907</v>
      </c>
      <c r="C79" s="1156">
        <f t="shared" si="10"/>
        <v>0.41576000000000007</v>
      </c>
      <c r="D79" s="1165">
        <f>TableA2!C79*$B$97</f>
        <v>0.41576000000000007</v>
      </c>
      <c r="E79" s="1174">
        <f>TableA5!B79</f>
        <v>0</v>
      </c>
      <c r="F79" s="1156">
        <f t="shared" si="13"/>
        <v>3.4433099999999999</v>
      </c>
      <c r="G79" s="1159">
        <f>+TableA2!C79-TableA4!D79</f>
        <v>0.62363999999999997</v>
      </c>
      <c r="H79" s="1160">
        <f>+TableA2!D79+TableA2!G79-TableA4!E79</f>
        <v>2.8196699999999999</v>
      </c>
      <c r="I79" s="9">
        <f t="shared" si="11"/>
        <v>0.10773580163096291</v>
      </c>
      <c r="J79" s="1161">
        <f>D79/TableA9!B79</f>
        <v>0.4</v>
      </c>
      <c r="K79" s="1164">
        <f>E79/TableA9!G79</f>
        <v>0</v>
      </c>
      <c r="L79" s="958"/>
      <c r="M79" s="1177"/>
      <c r="N79" s="268">
        <f>D79+G79-TableA2!C79</f>
        <v>0</v>
      </c>
      <c r="O79" s="268">
        <f>H79+E79-TableA2!G79-TableA2!D79</f>
        <v>0</v>
      </c>
    </row>
    <row r="80" spans="1:15" x14ac:dyDescent="0.2">
      <c r="A80" s="1154" t="s">
        <v>99</v>
      </c>
      <c r="B80" s="299">
        <f>TableA2!B80</f>
        <v>0.53428699999999996</v>
      </c>
      <c r="C80" s="1156">
        <f t="shared" si="10"/>
        <v>6.2111048138080972E-2</v>
      </c>
      <c r="D80" s="1165">
        <f>TableA2!C80*$B$97</f>
        <v>5.7562000000000002E-2</v>
      </c>
      <c r="E80" s="1174">
        <f>TableA5!B80</f>
        <v>4.5490481380809685E-3</v>
      </c>
      <c r="F80" s="1156">
        <f t="shared" si="13"/>
        <v>0.47217595186191896</v>
      </c>
      <c r="G80" s="1159">
        <f>+TableA2!C80-TableA4!D80</f>
        <v>8.6343000000000003E-2</v>
      </c>
      <c r="H80" s="1160">
        <f>+TableA2!D80+TableA2!G80-TableA4!E80</f>
        <v>0.38583295186191896</v>
      </c>
      <c r="I80" s="9">
        <f t="shared" si="11"/>
        <v>0.11625034511055103</v>
      </c>
      <c r="J80" s="1161">
        <f>D80/TableA9!B80</f>
        <v>0.4</v>
      </c>
      <c r="K80" s="1164">
        <f>E80/TableA9!G80</f>
        <v>1.1652812214909932E-2</v>
      </c>
      <c r="L80" s="958"/>
      <c r="M80" s="1177"/>
      <c r="N80" s="268">
        <f>D80+G80-TableA2!C80</f>
        <v>0</v>
      </c>
      <c r="O80" s="268">
        <f>H80+E80-TableA2!G80-TableA2!D80</f>
        <v>0</v>
      </c>
    </row>
    <row r="81" spans="1:15" x14ac:dyDescent="0.2">
      <c r="A81" s="1154" t="s">
        <v>100</v>
      </c>
      <c r="B81" s="299">
        <f>TableA2!B81</f>
        <v>7.8608700000000002</v>
      </c>
      <c r="C81" s="1156">
        <f t="shared" si="10"/>
        <v>0.57881763996199997</v>
      </c>
      <c r="D81" s="1165">
        <f>TableA6!F81/TableA7!N81</f>
        <v>0.18809294843367241</v>
      </c>
      <c r="E81" s="1174">
        <f>TableA5!B81</f>
        <v>0.39072469152832756</v>
      </c>
      <c r="F81" s="1156">
        <f t="shared" si="13"/>
        <v>7.2820523600380005</v>
      </c>
      <c r="G81" s="1159">
        <f>+TableA2!C81-TableA4!D81</f>
        <v>0.1749870515663276</v>
      </c>
      <c r="H81" s="1160">
        <f>+TableA2!D81+TableA2!G81-TableA4!E81</f>
        <v>7.1070653084716726</v>
      </c>
      <c r="I81" s="9">
        <f t="shared" si="11"/>
        <v>7.3632770922556906E-2</v>
      </c>
      <c r="J81" s="1161">
        <f>D81/TableA9!B81</f>
        <v>0.51804822197221656</v>
      </c>
      <c r="K81" s="1164">
        <f>E81/TableA9!G81</f>
        <v>5.2111981200904205E-2</v>
      </c>
      <c r="L81" s="958"/>
      <c r="M81" s="1177"/>
      <c r="N81" s="268">
        <f>D81+G81-TableA2!C81</f>
        <v>0</v>
      </c>
      <c r="O81" s="268">
        <f>H81+E81-TableA2!G81-TableA2!D81</f>
        <v>0</v>
      </c>
    </row>
    <row r="82" spans="1:15" x14ac:dyDescent="0.2">
      <c r="A82" s="1154" t="str">
        <f>+TableA1!A82</f>
        <v>Seychelles</v>
      </c>
      <c r="B82" s="299">
        <f>TableA2!B82</f>
        <v>0.96659899999999999</v>
      </c>
      <c r="C82" s="1156">
        <f t="shared" si="10"/>
        <v>0.12415270981953189</v>
      </c>
      <c r="D82" s="1165">
        <f>TableA6!F82/TableA7!N82</f>
        <v>4.0218179796021394E-2</v>
      </c>
      <c r="E82" s="1174">
        <f>TableA5!B82</f>
        <v>8.3934530023510492E-2</v>
      </c>
      <c r="F82" s="1156">
        <f t="shared" ref="F82:F88" si="14">B82-C82</f>
        <v>0.84244629018046813</v>
      </c>
      <c r="G82" s="1159">
        <f>+TableA2!C82-TableA4!D82</f>
        <v>2.9622644203978601E-2</v>
      </c>
      <c r="H82" s="1160">
        <f>+TableA2!D82+TableA2!G82-TableA4!E82</f>
        <v>0.81282364597648959</v>
      </c>
      <c r="I82" s="9">
        <f t="shared" si="11"/>
        <v>0.1284428287423553</v>
      </c>
      <c r="J82" s="1161">
        <f>D82/TableA9!B82</f>
        <v>0.57585488676395624</v>
      </c>
      <c r="K82" s="1164">
        <f>E82/TableA9!G82</f>
        <v>9.3597730435981533E-2</v>
      </c>
      <c r="L82" s="958"/>
      <c r="M82" s="1177"/>
      <c r="N82" s="268">
        <f>D82+G82-TableA2!C82</f>
        <v>0</v>
      </c>
      <c r="O82" s="268">
        <f>H82+E82-TableA2!G82-TableA2!D82</f>
        <v>0</v>
      </c>
    </row>
    <row r="83" spans="1:15" x14ac:dyDescent="0.2">
      <c r="A83" s="1154" t="s">
        <v>102</v>
      </c>
      <c r="B83" s="299">
        <f>TableA2!B83</f>
        <v>193.44101831433295</v>
      </c>
      <c r="C83" s="1178">
        <f t="shared" si="10"/>
        <v>148.14040087715458</v>
      </c>
      <c r="D83" s="1165">
        <f>TableA2!C83*$B$97</f>
        <v>41.384517600000002</v>
      </c>
      <c r="E83" s="1174">
        <f>TableA5!B83</f>
        <v>106.75588327715457</v>
      </c>
      <c r="F83" s="1156">
        <f t="shared" si="14"/>
        <v>45.300617437178374</v>
      </c>
      <c r="G83" s="1159">
        <f>+TableA2!C83-TableA4!D83</f>
        <v>62.076776399999993</v>
      </c>
      <c r="H83" s="1160">
        <f>+TableA2!D83+TableA2!G83-TableA4!E83</f>
        <v>-16.776158962821611</v>
      </c>
      <c r="I83" s="9">
        <f t="shared" si="11"/>
        <v>0.7658168994769925</v>
      </c>
      <c r="J83" s="1161">
        <f>D83/TableA9!B83</f>
        <v>0.4</v>
      </c>
      <c r="K83" s="1164">
        <f>E83/TableA9!G83</f>
        <v>1.1864437693120307</v>
      </c>
      <c r="L83" s="958"/>
      <c r="M83" s="1177"/>
      <c r="N83" s="268">
        <f>D83+G83-TableA2!C83</f>
        <v>0</v>
      </c>
      <c r="O83" s="268">
        <f>H83+E83-TableA2!G83-TableA2!D83</f>
        <v>0</v>
      </c>
    </row>
    <row r="84" spans="1:15" x14ac:dyDescent="0.2">
      <c r="A84" s="1154" t="str">
        <f>+TableA1!A84</f>
        <v>St. Kitts and Nevis</v>
      </c>
      <c r="B84" s="299">
        <f>TableA2!B84</f>
        <v>0.59048</v>
      </c>
      <c r="C84" s="1156">
        <f t="shared" si="10"/>
        <v>2.9868655712276579E-2</v>
      </c>
      <c r="D84" s="1165">
        <f>TableA2!C84*$B$97</f>
        <v>2.9495152000000004E-2</v>
      </c>
      <c r="E84" s="1174">
        <f>TableA5!B84</f>
        <v>3.7350371227657623E-4</v>
      </c>
      <c r="F84" s="1156">
        <f t="shared" si="14"/>
        <v>0.56061134428772341</v>
      </c>
      <c r="G84" s="1159">
        <f>+TableA2!C84-TableA4!D84</f>
        <v>4.4242728000000002E-2</v>
      </c>
      <c r="H84" s="1160">
        <f>+TableA2!D84+TableA2!G84-TableA4!E84</f>
        <v>0.51636861628772335</v>
      </c>
      <c r="I84" s="9">
        <f t="shared" si="11"/>
        <v>5.0583687359904789E-2</v>
      </c>
      <c r="J84" s="1161">
        <f>D84/TableA9!B84</f>
        <v>0.4</v>
      </c>
      <c r="K84" s="1164">
        <f>E84/TableA9!G84</f>
        <v>7.2280485336975481E-4</v>
      </c>
      <c r="L84" s="958"/>
      <c r="M84" s="1177"/>
      <c r="N84" s="268">
        <f>D84+G84-TableA2!C84</f>
        <v>0</v>
      </c>
      <c r="O84" s="268">
        <f>H84+E84-TableA2!G84-TableA2!D84</f>
        <v>0</v>
      </c>
    </row>
    <row r="85" spans="1:15" x14ac:dyDescent="0.2">
      <c r="A85" s="1154" t="str">
        <f>+TableA1!A85</f>
        <v>St. Lucia</v>
      </c>
      <c r="B85" s="299">
        <f>TableA2!B85</f>
        <v>1.1087400000000001</v>
      </c>
      <c r="C85" s="1156">
        <f t="shared" si="10"/>
        <v>0.13212946557604072</v>
      </c>
      <c r="D85" s="1165">
        <f>TableA2!C85*$B$97</f>
        <v>4.6093200000000001E-2</v>
      </c>
      <c r="E85" s="1174">
        <f>TableA5!B85</f>
        <v>8.6036265576040702E-2</v>
      </c>
      <c r="F85" s="1156">
        <f t="shared" si="14"/>
        <v>0.97661053442395929</v>
      </c>
      <c r="G85" s="1159">
        <f>+TableA2!C85-TableA4!D85</f>
        <v>6.9139800000000001E-2</v>
      </c>
      <c r="H85" s="1160">
        <f>+TableA2!D85+TableA2!G85-TableA4!E85</f>
        <v>0.90747073442395931</v>
      </c>
      <c r="I85" s="9">
        <f t="shared" si="11"/>
        <v>0.11917082956873633</v>
      </c>
      <c r="J85" s="1161">
        <f>D85/TableA9!B85</f>
        <v>0.4</v>
      </c>
      <c r="K85" s="1164">
        <f>E85/TableA9!G85</f>
        <v>8.6598549960937063E-2</v>
      </c>
      <c r="L85" s="958"/>
      <c r="M85" s="1177"/>
      <c r="N85" s="268">
        <f>D85+G85-TableA2!C85</f>
        <v>0</v>
      </c>
      <c r="O85" s="268">
        <f>H85+E85-TableA2!G85-TableA2!D85</f>
        <v>0</v>
      </c>
    </row>
    <row r="86" spans="1:15" x14ac:dyDescent="0.2">
      <c r="A86" s="1154" t="str">
        <f>+TableA1!A86</f>
        <v>St. Vincent and the Grenadines</v>
      </c>
      <c r="B86" s="299">
        <f>TableA2!B86</f>
        <v>0.50773400000000002</v>
      </c>
      <c r="C86" s="1156">
        <f t="shared" si="10"/>
        <v>4.9949939900137338E-2</v>
      </c>
      <c r="D86" s="1165">
        <f>TableA2!C86*$B$97</f>
        <v>2.9565977600000001E-2</v>
      </c>
      <c r="E86" s="1174">
        <f>TableA5!B86</f>
        <v>2.0383962300137334E-2</v>
      </c>
      <c r="F86" s="1156">
        <f t="shared" si="14"/>
        <v>0.45778406009986267</v>
      </c>
      <c r="G86" s="1159">
        <f>+TableA2!C86-TableA4!D86</f>
        <v>4.4348966399999995E-2</v>
      </c>
      <c r="H86" s="1160">
        <f>+TableA2!D86+TableA2!G86-TableA4!E86</f>
        <v>0.4134350936998627</v>
      </c>
      <c r="I86" s="9">
        <f t="shared" si="11"/>
        <v>9.8378166323581512E-2</v>
      </c>
      <c r="J86" s="1161">
        <f>D86/TableA9!B86</f>
        <v>0.4</v>
      </c>
      <c r="K86" s="1164">
        <f>E86/TableA9!G86</f>
        <v>4.698724506960647E-2</v>
      </c>
      <c r="L86" s="958"/>
      <c r="M86" s="1177"/>
      <c r="N86" s="268">
        <f>D86+G86-TableA2!C86</f>
        <v>0</v>
      </c>
      <c r="O86" s="268">
        <f>H86+E86-TableA2!G86-TableA2!D86</f>
        <v>0</v>
      </c>
    </row>
    <row r="87" spans="1:15" x14ac:dyDescent="0.2">
      <c r="A87" s="1154" t="str">
        <f>+TableA1!A87</f>
        <v>Turks and Caicos</v>
      </c>
      <c r="B87" s="299">
        <f>TableA2!B87</f>
        <v>0.424902</v>
      </c>
      <c r="C87" s="1173">
        <f t="shared" si="10"/>
        <v>4.5777200000000004E-2</v>
      </c>
      <c r="D87" s="1165">
        <f>TableA2!C87*$B$97</f>
        <v>4.5777200000000004E-2</v>
      </c>
      <c r="E87" s="1174">
        <f>TableA5!B87</f>
        <v>0</v>
      </c>
      <c r="F87" s="1173">
        <f t="shared" si="14"/>
        <v>0.37912479999999998</v>
      </c>
      <c r="G87" s="1175">
        <f>+TableA2!C87-TableA4!D87</f>
        <v>6.8665799999999999E-2</v>
      </c>
      <c r="H87" s="1176">
        <f>+TableA2!D87+TableA2!G87-TableA4!E87</f>
        <v>0.31045899999999998</v>
      </c>
      <c r="I87" s="9">
        <f t="shared" si="11"/>
        <v>0.10773590145492373</v>
      </c>
      <c r="J87" s="1161">
        <f>D87/TableA9!B87</f>
        <v>0.4</v>
      </c>
      <c r="K87" s="1164">
        <f>E87/TableA9!G87</f>
        <v>0</v>
      </c>
      <c r="L87" s="958"/>
      <c r="M87" s="1177"/>
      <c r="N87" s="268">
        <f>D87+G87-TableA2!C87</f>
        <v>0</v>
      </c>
      <c r="O87" s="268">
        <f>H87+E87-TableA2!G87-TableA2!D87</f>
        <v>0</v>
      </c>
    </row>
    <row r="88" spans="1:15" x14ac:dyDescent="0.2">
      <c r="A88" s="1154" t="str">
        <f>+TableA1!A88</f>
        <v>Panama</v>
      </c>
      <c r="B88" s="299">
        <f>TableA2!B88</f>
        <v>35.049199999999999</v>
      </c>
      <c r="C88" s="1156">
        <f t="shared" si="10"/>
        <v>6.3425300869724222</v>
      </c>
      <c r="D88" s="1165">
        <f>TableA6!F88/TableA7!N88</f>
        <v>1.9793235988718809</v>
      </c>
      <c r="E88" s="1174">
        <f>TableA5!B88</f>
        <v>4.3632064881005412</v>
      </c>
      <c r="F88" s="1156">
        <f t="shared" si="14"/>
        <v>28.706669913027575</v>
      </c>
      <c r="G88" s="1159">
        <f>+TableA2!C88-TableA4!D88</f>
        <v>8.2887764011281195</v>
      </c>
      <c r="H88" s="1160">
        <f>+TableA2!D88+TableA2!G88-TableA4!E88</f>
        <v>20.417893511899461</v>
      </c>
      <c r="I88" s="9">
        <f t="shared" si="11"/>
        <v>0.18096076620785703</v>
      </c>
      <c r="J88" s="1161">
        <f>D88/TableA9!B88</f>
        <v>0.19276434772468917</v>
      </c>
      <c r="K88" s="1164">
        <f>E88/TableA9!G88</f>
        <v>0.176069927811943</v>
      </c>
      <c r="L88" s="958"/>
      <c r="M88" s="1177"/>
      <c r="N88" s="268">
        <f>D88+G88-TableA2!C88</f>
        <v>0</v>
      </c>
      <c r="O88" s="268">
        <f>H88+E88-TableA2!G88-TableA2!D88</f>
        <v>0</v>
      </c>
    </row>
    <row r="89" spans="1:15" x14ac:dyDescent="0.2">
      <c r="A89" s="1154" t="s">
        <v>108</v>
      </c>
      <c r="B89" s="299">
        <f>TableA2!B89</f>
        <v>81.677350000000004</v>
      </c>
      <c r="C89" s="1156">
        <f>D89+E89</f>
        <v>45.759696429901176</v>
      </c>
      <c r="D89" s="1165">
        <f>TableA6!F89/TableA7!N89</f>
        <v>2.5626558818459046</v>
      </c>
      <c r="E89" s="1174">
        <f>TableA5!B89</f>
        <v>43.19704054805527</v>
      </c>
      <c r="F89" s="1156">
        <f>B89-C89</f>
        <v>35.917653570098828</v>
      </c>
      <c r="G89" s="1159">
        <f>+TableA2!C89-TableA4!D89</f>
        <v>20.526144118154097</v>
      </c>
      <c r="H89" s="1160">
        <f>+TableA2!D89+TableA2!G89-TableA4!E89</f>
        <v>15.391509451944728</v>
      </c>
      <c r="I89" s="9">
        <f t="shared" si="11"/>
        <v>0.56024952364273783</v>
      </c>
      <c r="J89" s="1161">
        <f>D89/TableA9!B89</f>
        <v>0.11099129802527218</v>
      </c>
      <c r="K89" s="1164">
        <f>E89/TableA9!G89</f>
        <v>0.73729492448704181</v>
      </c>
      <c r="L89" s="958"/>
      <c r="M89" s="1177"/>
      <c r="N89" s="268">
        <f>D89+G89-TableA2!C89</f>
        <v>0</v>
      </c>
      <c r="O89" s="268">
        <f>H89+E89-TableA2!G89-TableA2!D89</f>
        <v>0</v>
      </c>
    </row>
    <row r="90" spans="1:15" ht="40" customHeight="1" x14ac:dyDescent="0.2">
      <c r="A90" s="7" t="s">
        <v>155</v>
      </c>
      <c r="B90" s="304">
        <f>TableA2!B90</f>
        <v>4259.654706389314</v>
      </c>
      <c r="C90" s="1172">
        <f>D90+E90</f>
        <v>366.98157515863141</v>
      </c>
      <c r="D90" s="175">
        <f>J90*TableA2!C90</f>
        <v>189.21731784147516</v>
      </c>
      <c r="E90" s="175">
        <f>K90*(TableA2!D90+TableA2!G90)</f>
        <v>177.76425731715625</v>
      </c>
      <c r="F90" s="1172">
        <f>B90-C90</f>
        <v>3892.6731312306824</v>
      </c>
      <c r="G90" s="245">
        <f>+TableA2!C90-TableA4!D90</f>
        <v>1900.3214375164907</v>
      </c>
      <c r="H90" s="623">
        <f>+TableA2!D90+TableA2!G90-TableA4!E90</f>
        <v>1992.3516937141919</v>
      </c>
      <c r="I90" s="176">
        <f t="shared" si="11"/>
        <v>8.6152892770433601E-2</v>
      </c>
      <c r="J90" s="246">
        <f>J45</f>
        <v>9.0554586439847928E-2</v>
      </c>
      <c r="K90" s="269">
        <f>K45</f>
        <v>8.1914635590173757E-2</v>
      </c>
      <c r="L90" s="958"/>
      <c r="M90" s="958"/>
      <c r="N90" s="268">
        <f>D90+G90-TableA2!C90</f>
        <v>0</v>
      </c>
      <c r="O90" s="268">
        <f>H90+E90-TableA2!G90-TableA2!D90</f>
        <v>0</v>
      </c>
    </row>
    <row r="91" spans="1:15" ht="40" customHeight="1" thickBot="1" x14ac:dyDescent="0.25">
      <c r="A91" s="247" t="s">
        <v>110</v>
      </c>
      <c r="B91" s="248">
        <f>TableA2!B91</f>
        <v>40756.104983635028</v>
      </c>
      <c r="C91" s="249">
        <f t="shared" ref="C91:H91" si="15">C90+C53+C45+C9</f>
        <v>5440.616190462204</v>
      </c>
      <c r="D91" s="250">
        <f t="shared" si="15"/>
        <v>2978.9105037291129</v>
      </c>
      <c r="E91" s="251">
        <f t="shared" si="15"/>
        <v>2461.7056867330912</v>
      </c>
      <c r="F91" s="249">
        <f t="shared" si="15"/>
        <v>35315.488793172823</v>
      </c>
      <c r="G91" s="251">
        <f t="shared" si="15"/>
        <v>19443.166727279746</v>
      </c>
      <c r="H91" s="252">
        <f t="shared" si="15"/>
        <v>15872.321460621715</v>
      </c>
      <c r="I91" s="253">
        <f>C91/B91</f>
        <v>0.13349205456818794</v>
      </c>
      <c r="J91" s="254">
        <f>D91/(D91+G91)</f>
        <v>0.13285613429291895</v>
      </c>
      <c r="K91" s="255">
        <f>E91/(E91+H91)</f>
        <v>0.13426977428078374</v>
      </c>
      <c r="L91" s="958"/>
      <c r="M91" s="958"/>
      <c r="N91" s="268">
        <f>D91+G91-TableA2!C91</f>
        <v>0</v>
      </c>
      <c r="O91" s="268">
        <f>H91+E91-TableA2!G91-TableA2!D91</f>
        <v>0</v>
      </c>
    </row>
    <row r="92" spans="1:15" ht="18" customHeight="1" thickTop="1" x14ac:dyDescent="0.2">
      <c r="A92" s="1838"/>
      <c r="B92" s="245"/>
      <c r="C92" s="245"/>
      <c r="D92" s="175"/>
      <c r="E92" s="245"/>
      <c r="F92" s="245"/>
      <c r="G92" s="245"/>
      <c r="H92" s="245"/>
      <c r="I92" s="176"/>
      <c r="J92" s="246"/>
      <c r="K92" s="176"/>
      <c r="L92" s="958"/>
      <c r="M92" s="958"/>
      <c r="N92" s="958"/>
      <c r="O92" s="958"/>
    </row>
    <row r="93" spans="1:15" s="2" customFormat="1" ht="17" thickBot="1" x14ac:dyDescent="0.25">
      <c r="B93" s="958"/>
      <c r="C93" s="958"/>
      <c r="D93" s="958"/>
      <c r="E93" s="958"/>
      <c r="F93" s="958"/>
      <c r="G93" s="958"/>
      <c r="H93" s="958"/>
      <c r="I93" s="958"/>
      <c r="J93" s="958"/>
    </row>
    <row r="94" spans="1:15" s="2" customFormat="1" ht="47.25" customHeight="1" thickBot="1" x14ac:dyDescent="0.25">
      <c r="A94" s="1978" t="s">
        <v>171</v>
      </c>
      <c r="B94" s="1962"/>
      <c r="C94" s="1962"/>
      <c r="D94" s="1962"/>
      <c r="E94" s="1962"/>
      <c r="F94" s="1962"/>
      <c r="G94" s="1962"/>
      <c r="H94" s="1962"/>
      <c r="I94" s="1962"/>
      <c r="J94" s="1962"/>
      <c r="K94" s="1963"/>
    </row>
    <row r="95" spans="1:15" s="2" customFormat="1" x14ac:dyDescent="0.2">
      <c r="A95" s="958"/>
      <c r="B95" s="958"/>
      <c r="C95" s="958"/>
      <c r="D95" s="958"/>
      <c r="E95" s="958"/>
      <c r="F95" s="958"/>
      <c r="G95" s="958"/>
      <c r="H95" s="958"/>
      <c r="I95" s="958"/>
      <c r="J95" s="958"/>
    </row>
    <row r="96" spans="1:15" s="2" customFormat="1" x14ac:dyDescent="0.2">
      <c r="A96" s="958" t="s">
        <v>172</v>
      </c>
      <c r="B96" s="958">
        <v>0.90165899999999999</v>
      </c>
      <c r="C96" s="958"/>
      <c r="D96" s="958"/>
      <c r="E96" s="958"/>
      <c r="F96" s="958"/>
      <c r="G96" s="958"/>
      <c r="H96" s="958"/>
      <c r="I96" s="958"/>
      <c r="J96" s="958"/>
    </row>
    <row r="97" spans="1:10" s="2" customFormat="1" x14ac:dyDescent="0.2">
      <c r="A97" s="958" t="s">
        <v>173</v>
      </c>
      <c r="B97" s="1179">
        <v>0.4</v>
      </c>
      <c r="C97" s="958"/>
      <c r="D97" s="958"/>
      <c r="E97" s="958"/>
      <c r="F97" s="958"/>
      <c r="G97" s="958"/>
      <c r="H97" s="958"/>
      <c r="I97" s="958"/>
      <c r="J97" s="958"/>
    </row>
    <row r="98" spans="1:10" s="2" customFormat="1" x14ac:dyDescent="0.2">
      <c r="A98" s="958" t="s">
        <v>174</v>
      </c>
      <c r="B98" s="1179">
        <f>+SUM(D10:D22,D24:D26,D29:D44)/(SUM(G29:G44,G24:G26,G10:G22)+SUM(D10:D22,D24:D26,D29:D44))</f>
        <v>0.15434306247348614</v>
      </c>
      <c r="C98" s="958"/>
      <c r="D98" s="958"/>
      <c r="E98" s="958"/>
      <c r="F98" s="958"/>
      <c r="G98" s="958"/>
      <c r="H98" s="958"/>
      <c r="I98" s="958"/>
      <c r="J98" s="958"/>
    </row>
    <row r="99" spans="1:10" x14ac:dyDescent="0.2">
      <c r="A99" s="1004" t="s">
        <v>175</v>
      </c>
      <c r="B99" s="958"/>
      <c r="C99" s="958"/>
      <c r="D99" s="958"/>
      <c r="E99" s="958"/>
      <c r="F99" s="958"/>
      <c r="G99" s="958"/>
      <c r="H99" s="958"/>
      <c r="I99" s="958"/>
      <c r="J99" s="958"/>
    </row>
    <row r="100" spans="1:10" s="2" customFormat="1" x14ac:dyDescent="0.2">
      <c r="A100" s="958"/>
      <c r="B100" s="958"/>
      <c r="C100" s="958"/>
      <c r="D100" s="958"/>
      <c r="E100" s="958"/>
      <c r="F100" s="958"/>
      <c r="G100" s="958"/>
      <c r="H100" s="958"/>
      <c r="I100" s="958"/>
      <c r="J100" s="958"/>
    </row>
  </sheetData>
  <mergeCells count="10">
    <mergeCell ref="A94:K94"/>
    <mergeCell ref="A3:K3"/>
    <mergeCell ref="F7:F8"/>
    <mergeCell ref="B6:H6"/>
    <mergeCell ref="B7:B8"/>
    <mergeCell ref="C7:C8"/>
    <mergeCell ref="I6:K6"/>
    <mergeCell ref="I7:I8"/>
    <mergeCell ref="J7:J8"/>
    <mergeCell ref="K7:K8"/>
  </mergeCells>
  <phoneticPr fontId="36" type="noConversion"/>
  <pageMargins left="0.75" right="0.75" top="1" bottom="1" header="0.5" footer="0.5"/>
  <pageSetup scale="63" fitToHeight="2" orientation="portrait" horizontalDpi="4294967292" verticalDpi="4294967292"/>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E17"/>
  <sheetViews>
    <sheetView workbookViewId="0">
      <selection activeCell="G396" sqref="G396"/>
    </sheetView>
  </sheetViews>
  <sheetFormatPr baseColWidth="10" defaultColWidth="8.83203125" defaultRowHeight="16" x14ac:dyDescent="0.2"/>
  <cols>
    <col min="2" max="2" width="45.83203125" bestFit="1" customWidth="1"/>
    <col min="3" max="3" width="20.5" customWidth="1"/>
    <col min="4" max="4" width="27" bestFit="1" customWidth="1"/>
    <col min="5" max="5" width="28.1640625" customWidth="1"/>
  </cols>
  <sheetData>
    <row r="2" spans="2:5" ht="17" thickBot="1" x14ac:dyDescent="0.25"/>
    <row r="3" spans="2:5" ht="30.75" customHeight="1" x14ac:dyDescent="0.2">
      <c r="B3" s="2410" t="s">
        <v>987</v>
      </c>
      <c r="C3" s="2411"/>
      <c r="D3" s="2411"/>
      <c r="E3" s="2412"/>
    </row>
    <row r="4" spans="2:5" ht="11.25" customHeight="1" x14ac:dyDescent="0.2">
      <c r="B4" s="310"/>
      <c r="C4" s="1002"/>
      <c r="D4" s="1002"/>
      <c r="E4" s="652"/>
    </row>
    <row r="5" spans="2:5" ht="15.75" customHeight="1" x14ac:dyDescent="0.2">
      <c r="B5" s="310"/>
      <c r="C5" s="1001" t="s">
        <v>1</v>
      </c>
      <c r="D5" s="1001" t="s">
        <v>2</v>
      </c>
      <c r="E5" s="1000" t="s">
        <v>3</v>
      </c>
    </row>
    <row r="6" spans="2:5" ht="33" customHeight="1" x14ac:dyDescent="0.2">
      <c r="B6" s="1660"/>
      <c r="C6" s="1842" t="s">
        <v>963</v>
      </c>
      <c r="D6" s="1842" t="s">
        <v>988</v>
      </c>
      <c r="E6" s="1512" t="s">
        <v>989</v>
      </c>
    </row>
    <row r="7" spans="2:5" ht="33" customHeight="1" x14ac:dyDescent="0.2">
      <c r="B7" s="998" t="s">
        <v>990</v>
      </c>
      <c r="C7" s="999"/>
      <c r="D7" s="999"/>
      <c r="E7" s="1865"/>
    </row>
    <row r="8" spans="2:5" x14ac:dyDescent="0.2">
      <c r="B8" s="959" t="s">
        <v>991</v>
      </c>
      <c r="C8" s="996">
        <v>1373</v>
      </c>
      <c r="D8" s="996">
        <v>1840.9666013593485</v>
      </c>
      <c r="E8" s="994">
        <f>+C8/D8</f>
        <v>0.74580386139878507</v>
      </c>
    </row>
    <row r="9" spans="2:5" x14ac:dyDescent="0.2">
      <c r="B9" s="959" t="s">
        <v>992</v>
      </c>
      <c r="C9" s="997">
        <v>992</v>
      </c>
      <c r="D9" s="996">
        <v>1840.9666013593485</v>
      </c>
      <c r="E9" s="994">
        <f>+C9/D9</f>
        <v>0.53884736380742526</v>
      </c>
    </row>
    <row r="10" spans="2:5" x14ac:dyDescent="0.2">
      <c r="B10" s="959" t="s">
        <v>993</v>
      </c>
      <c r="C10" s="997">
        <v>121</v>
      </c>
      <c r="D10" s="995">
        <v>0</v>
      </c>
      <c r="E10" s="994" t="s">
        <v>994</v>
      </c>
    </row>
    <row r="11" spans="2:5" x14ac:dyDescent="0.2">
      <c r="B11" s="959" t="s">
        <v>995</v>
      </c>
      <c r="C11" s="996">
        <f>+C8-C9-C10</f>
        <v>260</v>
      </c>
      <c r="D11" s="995">
        <v>79</v>
      </c>
      <c r="E11" s="994">
        <f>+C11/D11</f>
        <v>3.2911392405063293</v>
      </c>
    </row>
    <row r="12" spans="2:5" x14ac:dyDescent="0.2">
      <c r="B12" s="959"/>
      <c r="C12" s="997"/>
      <c r="D12" s="995"/>
      <c r="E12" s="994"/>
    </row>
    <row r="13" spans="2:5" x14ac:dyDescent="0.2">
      <c r="B13" s="998" t="s">
        <v>996</v>
      </c>
      <c r="C13" s="997"/>
      <c r="D13" s="995"/>
      <c r="E13" s="994"/>
    </row>
    <row r="14" spans="2:5" x14ac:dyDescent="0.2">
      <c r="B14" s="959" t="s">
        <v>992</v>
      </c>
      <c r="C14" s="996">
        <f>+'Table G5'!Q9</f>
        <v>394.62637537853607</v>
      </c>
      <c r="D14" s="995">
        <v>767.37367713650679</v>
      </c>
      <c r="E14" s="994">
        <f>+C14/D14</f>
        <v>0.51425581452194724</v>
      </c>
    </row>
    <row r="15" spans="2:5" ht="17" thickBot="1" x14ac:dyDescent="0.25">
      <c r="B15" s="993" t="s">
        <v>997</v>
      </c>
      <c r="C15" s="992">
        <f>+C14/C9</f>
        <v>0.39780884614771783</v>
      </c>
      <c r="D15" s="992">
        <f>+D14/D9</f>
        <v>0.41683193848812189</v>
      </c>
      <c r="E15" s="991"/>
    </row>
    <row r="17" spans="4:4" x14ac:dyDescent="0.2">
      <c r="D17" s="109"/>
    </row>
  </sheetData>
  <mergeCells count="1">
    <mergeCell ref="B3:E3"/>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2:R98"/>
  <sheetViews>
    <sheetView zoomScale="70" zoomScaleNormal="70" workbookViewId="0">
      <pane xSplit="2" ySplit="7" topLeftCell="C29" activePane="bottomRight" state="frozen"/>
      <selection pane="topRight" activeCell="G396" sqref="G396"/>
      <selection pane="bottomLeft" activeCell="G396" sqref="G396"/>
      <selection pane="bottomRight" activeCell="T29" sqref="T29"/>
    </sheetView>
  </sheetViews>
  <sheetFormatPr baseColWidth="10" defaultColWidth="10.6640625" defaultRowHeight="16" outlineLevelCol="1" x14ac:dyDescent="0.2"/>
  <cols>
    <col min="1" max="1" width="5.1640625" style="1003" bestFit="1" customWidth="1"/>
    <col min="2" max="2" width="19" style="958" customWidth="1"/>
    <col min="3" max="3" width="17.83203125" style="958" customWidth="1"/>
    <col min="4" max="4" width="17.83203125" style="958" customWidth="1" outlineLevel="1"/>
    <col min="5" max="5" width="19.1640625" style="958" customWidth="1" outlineLevel="1"/>
    <col min="6" max="6" width="10.6640625" style="958"/>
    <col min="7" max="12" width="0" style="958" hidden="1" customWidth="1"/>
    <col min="13" max="13" width="22" style="958" hidden="1" customWidth="1"/>
    <col min="14" max="14" width="36.33203125" style="958" hidden="1" customWidth="1"/>
    <col min="15" max="15" width="0" style="958" hidden="1" customWidth="1"/>
    <col min="16" max="16" width="19.6640625" style="958" hidden="1" customWidth="1"/>
    <col min="17" max="17" width="0" style="958" hidden="1" customWidth="1"/>
    <col min="18" max="18" width="14.1640625" style="958" hidden="1" customWidth="1"/>
    <col min="19" max="16384" width="10.6640625" style="958"/>
  </cols>
  <sheetData>
    <row r="2" spans="1:18" ht="17" thickBot="1" x14ac:dyDescent="0.25"/>
    <row r="3" spans="1:18" ht="32.25" customHeight="1" x14ac:dyDescent="0.2">
      <c r="B3" s="1027"/>
      <c r="C3" s="2074" t="s">
        <v>998</v>
      </c>
      <c r="D3" s="2074"/>
      <c r="E3" s="2075"/>
    </row>
    <row r="4" spans="1:18" ht="17.25" customHeight="1" x14ac:dyDescent="0.2">
      <c r="B4" s="118"/>
      <c r="C4" s="2426" t="s">
        <v>999</v>
      </c>
      <c r="D4" s="2427"/>
      <c r="E4" s="2428"/>
    </row>
    <row r="5" spans="1:18" ht="14.25" customHeight="1" x14ac:dyDescent="0.2">
      <c r="B5" s="1738"/>
      <c r="C5" s="944" t="s">
        <v>1</v>
      </c>
      <c r="D5" s="944" t="s">
        <v>2</v>
      </c>
      <c r="E5" s="943" t="s">
        <v>3</v>
      </c>
    </row>
    <row r="6" spans="1:18" ht="85.5" customHeight="1" x14ac:dyDescent="0.2">
      <c r="B6" s="937"/>
      <c r="C6" s="2422" t="s">
        <v>1000</v>
      </c>
      <c r="D6" s="2420" t="s">
        <v>1001</v>
      </c>
      <c r="E6" s="2424" t="s">
        <v>1002</v>
      </c>
      <c r="F6" s="2"/>
      <c r="G6" s="2"/>
      <c r="H6" s="2"/>
      <c r="M6" s="2" t="s">
        <v>1003</v>
      </c>
      <c r="N6" s="2" t="s">
        <v>1004</v>
      </c>
    </row>
    <row r="7" spans="1:18" ht="65.25" customHeight="1" x14ac:dyDescent="0.2">
      <c r="A7" s="1026"/>
      <c r="B7" s="937"/>
      <c r="C7" s="2423"/>
      <c r="D7" s="2421"/>
      <c r="E7" s="2425"/>
    </row>
    <row r="8" spans="1:18" ht="40.5" customHeight="1" x14ac:dyDescent="0.2">
      <c r="A8" s="1026"/>
      <c r="B8" s="1736" t="s">
        <v>28</v>
      </c>
      <c r="C8" s="1024">
        <v>1046.0335104629648</v>
      </c>
      <c r="D8" s="1012">
        <v>496.9494922841489</v>
      </c>
      <c r="E8" s="1025">
        <v>549.08401817881588</v>
      </c>
      <c r="G8" s="1007">
        <v>75.205105454963132</v>
      </c>
      <c r="M8" s="1024">
        <f>SUM(M9:M43)</f>
        <v>496.9494922841489</v>
      </c>
      <c r="N8" s="1024">
        <f>SUM(N9:N43)</f>
        <v>549.08401817881588</v>
      </c>
      <c r="P8" s="2"/>
      <c r="Q8" s="2" t="s">
        <v>1005</v>
      </c>
      <c r="R8" s="2" t="s">
        <v>1006</v>
      </c>
    </row>
    <row r="9" spans="1:18" ht="14.25" customHeight="1" x14ac:dyDescent="0.2">
      <c r="A9" s="1003" t="s">
        <v>809</v>
      </c>
      <c r="B9" s="937" t="s">
        <v>29</v>
      </c>
      <c r="C9" s="1013">
        <v>34.989894108238531</v>
      </c>
      <c r="D9" s="1012">
        <v>10.3535</v>
      </c>
      <c r="E9" s="1017">
        <v>24.63639410823853</v>
      </c>
      <c r="G9" s="1007">
        <v>5.9397256575711843</v>
      </c>
      <c r="M9" s="1006">
        <v>10.3535</v>
      </c>
      <c r="N9" s="1005">
        <f t="shared" ref="N9:N40" si="0">+C9-M9</f>
        <v>24.63639410823853</v>
      </c>
      <c r="P9" s="2" t="s">
        <v>976</v>
      </c>
      <c r="Q9" s="954">
        <f>+M11+M23+M29+M31+M40+M52</f>
        <v>394.62637537853607</v>
      </c>
      <c r="R9" s="954">
        <f>+Q9+N11+N23+N29+N31+N40+N52</f>
        <v>767.3736771365069</v>
      </c>
    </row>
    <row r="10" spans="1:18" ht="14.25" customHeight="1" x14ac:dyDescent="0.2">
      <c r="A10" s="1003" t="s">
        <v>810</v>
      </c>
      <c r="B10" s="937" t="s">
        <v>30</v>
      </c>
      <c r="C10" s="1013">
        <v>14.729860112306165</v>
      </c>
      <c r="D10" s="1012">
        <v>2.8082400000000001</v>
      </c>
      <c r="E10" s="1017">
        <v>11.921620112306165</v>
      </c>
      <c r="G10" s="1007">
        <v>3.0738299699783926</v>
      </c>
      <c r="M10" s="1006">
        <v>2.8082400000000001</v>
      </c>
      <c r="N10" s="1005">
        <f t="shared" si="0"/>
        <v>11.921620112306165</v>
      </c>
      <c r="P10" s="2" t="s">
        <v>968</v>
      </c>
      <c r="Q10" s="2">
        <v>121.113</v>
      </c>
      <c r="R10" s="2"/>
    </row>
    <row r="11" spans="1:18" ht="14.25" customHeight="1" x14ac:dyDescent="0.2">
      <c r="A11" s="1003" t="s">
        <v>811</v>
      </c>
      <c r="B11" s="937" t="s">
        <v>31</v>
      </c>
      <c r="C11" s="1013">
        <v>31.107659577911136</v>
      </c>
      <c r="D11" s="1012">
        <v>14.8108</v>
      </c>
      <c r="E11" s="1017">
        <v>16.296859577911135</v>
      </c>
      <c r="G11" s="1007">
        <v>-2.078173502330209</v>
      </c>
      <c r="M11" s="1021">
        <v>14.8108</v>
      </c>
      <c r="N11" s="1020">
        <f t="shared" si="0"/>
        <v>16.296859577911135</v>
      </c>
    </row>
    <row r="12" spans="1:18" x14ac:dyDescent="0.2">
      <c r="A12" s="1003" t="s">
        <v>812</v>
      </c>
      <c r="B12" s="937" t="s">
        <v>32</v>
      </c>
      <c r="C12" s="1013">
        <v>36.903713666263677</v>
      </c>
      <c r="D12" s="1012">
        <v>20.6572</v>
      </c>
      <c r="E12" s="1017">
        <v>16.246513666263699</v>
      </c>
      <c r="G12" s="1007">
        <v>-9.2526227226123581</v>
      </c>
      <c r="M12" s="1006">
        <v>20.6572</v>
      </c>
      <c r="N12" s="1005">
        <f t="shared" si="0"/>
        <v>16.246513666263677</v>
      </c>
    </row>
    <row r="13" spans="1:18" x14ac:dyDescent="0.2">
      <c r="A13" s="1003" t="s">
        <v>813</v>
      </c>
      <c r="B13" s="937" t="s">
        <v>33</v>
      </c>
      <c r="C13" s="1013">
        <v>8.7231514201492431</v>
      </c>
      <c r="D13" s="1012">
        <v>11.307399999999999</v>
      </c>
      <c r="E13" s="1017">
        <v>-2.5842485798507564</v>
      </c>
      <c r="G13" s="1007">
        <v>-1.4298606363942916</v>
      </c>
      <c r="M13" s="1006">
        <v>11.307399999999999</v>
      </c>
      <c r="N13" s="1005">
        <f t="shared" si="0"/>
        <v>-2.5842485798507564</v>
      </c>
    </row>
    <row r="14" spans="1:18" x14ac:dyDescent="0.2">
      <c r="A14" s="1003" t="s">
        <v>814</v>
      </c>
      <c r="B14" s="937" t="s">
        <v>34</v>
      </c>
      <c r="C14" s="1013">
        <v>17.670947870106176</v>
      </c>
      <c r="D14" s="1012">
        <v>4.6360599999999996</v>
      </c>
      <c r="E14" s="1017">
        <v>13.034887870106175</v>
      </c>
      <c r="G14" s="1007">
        <v>-0.59309786186205926</v>
      </c>
      <c r="M14" s="1006">
        <v>4.6360599999999996</v>
      </c>
      <c r="N14" s="1005">
        <f t="shared" si="0"/>
        <v>13.034887870106175</v>
      </c>
    </row>
    <row r="15" spans="1:18" x14ac:dyDescent="0.2">
      <c r="A15" s="1003" t="s">
        <v>815</v>
      </c>
      <c r="B15" s="937" t="s">
        <v>35</v>
      </c>
      <c r="C15" s="1013">
        <v>6.0614959264176704</v>
      </c>
      <c r="D15" s="1012">
        <v>1.75312</v>
      </c>
      <c r="E15" s="1017">
        <v>4.3083759264176704</v>
      </c>
      <c r="G15" s="1007">
        <v>0.79493678202300444</v>
      </c>
      <c r="M15" s="1006">
        <v>1.75312</v>
      </c>
      <c r="N15" s="1005">
        <f t="shared" si="0"/>
        <v>4.3083759264176704</v>
      </c>
    </row>
    <row r="16" spans="1:18" x14ac:dyDescent="0.2">
      <c r="A16" s="1003" t="s">
        <v>816</v>
      </c>
      <c r="B16" s="937" t="s">
        <v>36</v>
      </c>
      <c r="C16" s="1013">
        <v>1.7476260494749656</v>
      </c>
      <c r="D16" s="1012">
        <v>7.9734546665999995E-2</v>
      </c>
      <c r="E16" s="1017">
        <v>1.6678915028089656</v>
      </c>
      <c r="G16" s="1007">
        <v>0.22414552838493917</v>
      </c>
      <c r="M16" s="1006">
        <v>7.9734546665999995E-2</v>
      </c>
      <c r="N16" s="1005">
        <f t="shared" si="0"/>
        <v>1.6678915028089656</v>
      </c>
    </row>
    <row r="17" spans="1:14" x14ac:dyDescent="0.2">
      <c r="A17" s="1003" t="s">
        <v>817</v>
      </c>
      <c r="B17" s="937" t="s">
        <v>37</v>
      </c>
      <c r="C17" s="1013">
        <v>7.174666864410173</v>
      </c>
      <c r="D17" s="1012">
        <v>2.3459099999999999</v>
      </c>
      <c r="E17" s="1017">
        <v>4.828756864410173</v>
      </c>
      <c r="G17" s="1007">
        <v>2.8081334170633028</v>
      </c>
      <c r="M17" s="1006">
        <v>2.3459099999999999</v>
      </c>
      <c r="N17" s="1005">
        <f t="shared" si="0"/>
        <v>4.828756864410173</v>
      </c>
    </row>
    <row r="18" spans="1:14" x14ac:dyDescent="0.2">
      <c r="A18" s="1003" t="s">
        <v>818</v>
      </c>
      <c r="B18" s="937" t="s">
        <v>38</v>
      </c>
      <c r="C18" s="1013">
        <v>35.297208160983295</v>
      </c>
      <c r="D18" s="1012">
        <v>10.5999</v>
      </c>
      <c r="E18" s="1017">
        <v>24.697308160983297</v>
      </c>
      <c r="G18" s="1007">
        <v>3.1704151362056194</v>
      </c>
      <c r="M18" s="1006">
        <v>10.5999</v>
      </c>
      <c r="N18" s="1005">
        <f t="shared" si="0"/>
        <v>24.697308160983297</v>
      </c>
    </row>
    <row r="19" spans="1:14" x14ac:dyDescent="0.2">
      <c r="A19" s="1003" t="s">
        <v>819</v>
      </c>
      <c r="B19" s="937" t="s">
        <v>39</v>
      </c>
      <c r="C19" s="1013">
        <v>34.58356112978359</v>
      </c>
      <c r="D19" s="1012">
        <v>28.889199999999999</v>
      </c>
      <c r="E19" s="1017">
        <v>5.6943611297835908</v>
      </c>
      <c r="G19" s="1007">
        <v>-9.6894479162922593</v>
      </c>
      <c r="M19" s="1006">
        <v>28.889199999999999</v>
      </c>
      <c r="N19" s="1005">
        <f t="shared" si="0"/>
        <v>5.6943611297835908</v>
      </c>
    </row>
    <row r="20" spans="1:14" x14ac:dyDescent="0.2">
      <c r="A20" s="1003" t="s">
        <v>820</v>
      </c>
      <c r="B20" s="937" t="s">
        <v>40</v>
      </c>
      <c r="C20" s="1013">
        <v>1.3042807040679436</v>
      </c>
      <c r="D20" s="1012">
        <v>0.57931299999999997</v>
      </c>
      <c r="E20" s="1017">
        <v>0.72496770406794364</v>
      </c>
      <c r="G20" s="1007">
        <v>-2.924402134726134E-2</v>
      </c>
      <c r="M20" s="1006">
        <v>0.57931299999999997</v>
      </c>
      <c r="N20" s="1005">
        <f t="shared" si="0"/>
        <v>0.72496770406794364</v>
      </c>
    </row>
    <row r="21" spans="1:14" x14ac:dyDescent="0.2">
      <c r="A21" s="1003" t="s">
        <v>821</v>
      </c>
      <c r="B21" s="937" t="s">
        <v>41</v>
      </c>
      <c r="C21" s="1013">
        <v>7.7999658814152051</v>
      </c>
      <c r="D21" s="1012">
        <v>7.7014800000000001</v>
      </c>
      <c r="E21" s="1017">
        <v>9.8485881415204979E-2</v>
      </c>
      <c r="G21" s="1007">
        <v>-2.1481137636505645</v>
      </c>
      <c r="M21" s="1006">
        <v>7.7014800000000001</v>
      </c>
      <c r="N21" s="1005">
        <f t="shared" si="0"/>
        <v>9.8485881415204979E-2</v>
      </c>
    </row>
    <row r="22" spans="1:14" x14ac:dyDescent="0.2">
      <c r="A22" s="1003" t="s">
        <v>822</v>
      </c>
      <c r="B22" s="937" t="s">
        <v>42</v>
      </c>
      <c r="C22" s="1013">
        <v>-0.12036359802335883</v>
      </c>
      <c r="D22" s="1012">
        <v>-0.28886099999999998</v>
      </c>
      <c r="E22" s="1017">
        <v>0.16849740197664115</v>
      </c>
      <c r="G22" s="1007">
        <v>-6.3158254763436422E-3</v>
      </c>
      <c r="M22" s="1006">
        <v>-0.28886099999999998</v>
      </c>
      <c r="N22" s="1005">
        <f t="shared" si="0"/>
        <v>0.16849740197664115</v>
      </c>
    </row>
    <row r="23" spans="1:14" x14ac:dyDescent="0.2">
      <c r="A23" s="1003" t="s">
        <v>823</v>
      </c>
      <c r="B23" s="937" t="s">
        <v>43</v>
      </c>
      <c r="C23" s="1013">
        <v>120.97418055310273</v>
      </c>
      <c r="D23" s="1012">
        <v>36.898699999999998</v>
      </c>
      <c r="E23" s="1017">
        <v>84.075480553102722</v>
      </c>
      <c r="G23" s="1007">
        <v>0.259417759305407</v>
      </c>
      <c r="L23" s="1023"/>
      <c r="M23" s="1021">
        <v>36.898699999999998</v>
      </c>
      <c r="N23" s="1020">
        <f t="shared" si="0"/>
        <v>84.075480553102722</v>
      </c>
    </row>
    <row r="24" spans="1:14" x14ac:dyDescent="0.2">
      <c r="A24" s="1003" t="s">
        <v>824</v>
      </c>
      <c r="B24" s="937" t="s">
        <v>44</v>
      </c>
      <c r="C24" s="1013">
        <v>16.521955415395304</v>
      </c>
      <c r="D24" s="1012">
        <v>2.6156100000000002</v>
      </c>
      <c r="E24" s="1017">
        <v>13.906345415395304</v>
      </c>
      <c r="G24" s="1007">
        <v>10.327828789071626</v>
      </c>
      <c r="M24" s="1006">
        <v>2.6156100000000002</v>
      </c>
      <c r="N24" s="1005">
        <f t="shared" si="0"/>
        <v>13.906345415395304</v>
      </c>
    </row>
    <row r="25" spans="1:14" x14ac:dyDescent="0.2">
      <c r="A25" s="1003" t="s">
        <v>825</v>
      </c>
      <c r="B25" s="937" t="s">
        <v>45</v>
      </c>
      <c r="C25" s="1013">
        <v>15.875701329617428</v>
      </c>
      <c r="D25" s="1012">
        <v>9.1840499999999992</v>
      </c>
      <c r="E25" s="1017">
        <v>6.6916513296174287</v>
      </c>
      <c r="G25" s="1007">
        <v>2.4130629938076193</v>
      </c>
      <c r="M25" s="1006">
        <v>9.1840499999999992</v>
      </c>
      <c r="N25" s="1005">
        <f t="shared" si="0"/>
        <v>6.6916513296174287</v>
      </c>
    </row>
    <row r="26" spans="1:14" x14ac:dyDescent="0.2">
      <c r="A26" s="1003" t="s">
        <v>826</v>
      </c>
      <c r="B26" s="937" t="s">
        <v>46</v>
      </c>
      <c r="C26" s="1013">
        <v>38.441987088900703</v>
      </c>
      <c r="D26" s="1012">
        <v>30.217199999999998</v>
      </c>
      <c r="E26" s="1017">
        <v>8.2247870889007046</v>
      </c>
      <c r="G26" s="1007">
        <v>2.422943670054309</v>
      </c>
      <c r="M26" s="1006">
        <v>30.217199999999998</v>
      </c>
      <c r="N26" s="1005">
        <f t="shared" si="0"/>
        <v>8.2247870889007046</v>
      </c>
    </row>
    <row r="27" spans="1:14" x14ac:dyDescent="0.2">
      <c r="A27" s="1003" t="s">
        <v>827</v>
      </c>
      <c r="B27" s="937" t="s">
        <v>47</v>
      </c>
      <c r="C27" s="1013">
        <v>4.9071193726732165</v>
      </c>
      <c r="D27" s="1012">
        <v>11.196099999999999</v>
      </c>
      <c r="E27" s="1017">
        <v>-6.288980627326783</v>
      </c>
      <c r="G27" s="1007">
        <v>2.3040942801583317</v>
      </c>
      <c r="M27" s="1006">
        <v>11.196099999999999</v>
      </c>
      <c r="N27" s="1005">
        <f t="shared" si="0"/>
        <v>-6.288980627326783</v>
      </c>
    </row>
    <row r="28" spans="1:14" x14ac:dyDescent="0.2">
      <c r="A28" s="1003" t="s">
        <v>828</v>
      </c>
      <c r="B28" s="937" t="s">
        <v>48</v>
      </c>
      <c r="C28" s="1013">
        <v>1.1901566598717574</v>
      </c>
      <c r="D28" s="1012">
        <v>-3.7122625170000001E-3</v>
      </c>
      <c r="E28" s="1017">
        <v>1.1938689223887575</v>
      </c>
      <c r="G28" s="1007">
        <v>-6.6779294176420478E-2</v>
      </c>
      <c r="M28" s="1006">
        <v>-3.7122625170000001E-3</v>
      </c>
      <c r="N28" s="1005">
        <f t="shared" si="0"/>
        <v>1.1938689223887575</v>
      </c>
    </row>
    <row r="29" spans="1:14" x14ac:dyDescent="0.2">
      <c r="A29" s="1003" t="s">
        <v>829</v>
      </c>
      <c r="B29" s="937" t="s">
        <v>49</v>
      </c>
      <c r="C29" s="1013">
        <v>51.581034504854152</v>
      </c>
      <c r="D29" s="1012">
        <v>3.9131100000000001</v>
      </c>
      <c r="E29" s="1017">
        <v>47.667924504854149</v>
      </c>
      <c r="G29" s="1007">
        <v>-1.2942385907827045</v>
      </c>
      <c r="M29" s="1021">
        <v>3.9131100000000001</v>
      </c>
      <c r="N29" s="1020">
        <f t="shared" si="0"/>
        <v>47.667924504854149</v>
      </c>
    </row>
    <row r="30" spans="1:14" x14ac:dyDescent="0.2">
      <c r="A30" s="1003" t="s">
        <v>830</v>
      </c>
      <c r="B30" s="937" t="s">
        <v>50</v>
      </c>
      <c r="C30" s="1013">
        <v>19.659289355649214</v>
      </c>
      <c r="D30" s="1012">
        <v>18.133299999999998</v>
      </c>
      <c r="E30" s="1017">
        <v>1.5259893556492159</v>
      </c>
      <c r="G30" s="1007">
        <v>-1.9426456371239453</v>
      </c>
      <c r="M30" s="1006">
        <v>18.133299999999998</v>
      </c>
      <c r="N30" s="1005">
        <f t="shared" si="0"/>
        <v>1.5259893556492159</v>
      </c>
    </row>
    <row r="31" spans="1:14" x14ac:dyDescent="0.2">
      <c r="A31" s="1003" t="s">
        <v>831</v>
      </c>
      <c r="B31" s="937" t="s">
        <v>51</v>
      </c>
      <c r="C31" s="1013">
        <v>116.79073172782384</v>
      </c>
      <c r="D31" s="1012">
        <v>99.539100000000005</v>
      </c>
      <c r="E31" s="1017">
        <v>17.251631727823835</v>
      </c>
      <c r="G31" s="1007">
        <v>25.333316788198985</v>
      </c>
      <c r="M31" s="1021">
        <v>99.539100000000005</v>
      </c>
      <c r="N31" s="1020">
        <f t="shared" si="0"/>
        <v>17.251631727823835</v>
      </c>
    </row>
    <row r="32" spans="1:14" x14ac:dyDescent="0.2">
      <c r="A32" s="1003" t="s">
        <v>832</v>
      </c>
      <c r="B32" s="937" t="s">
        <v>52</v>
      </c>
      <c r="C32" s="1013">
        <v>6.7788749878910295</v>
      </c>
      <c r="D32" s="1012">
        <v>4.7012799999999997</v>
      </c>
      <c r="E32" s="1017">
        <v>2.0775949878910298</v>
      </c>
      <c r="G32" s="1007">
        <v>0.19923375424348944</v>
      </c>
      <c r="M32" s="1006">
        <v>4.7012799999999997</v>
      </c>
      <c r="N32" s="1005">
        <f t="shared" si="0"/>
        <v>2.0775949878910298</v>
      </c>
    </row>
    <row r="33" spans="1:14" x14ac:dyDescent="0.2">
      <c r="A33" s="1003" t="s">
        <v>833</v>
      </c>
      <c r="B33" s="937" t="s">
        <v>53</v>
      </c>
      <c r="C33" s="1013">
        <v>6.3016376424689327</v>
      </c>
      <c r="D33" s="1012">
        <v>2.3354699999999999</v>
      </c>
      <c r="E33" s="1017">
        <v>3.9661676424689327</v>
      </c>
      <c r="G33" s="1007">
        <v>-0.33369579702551633</v>
      </c>
      <c r="M33" s="1006">
        <v>2.3354699999999999</v>
      </c>
      <c r="N33" s="1005">
        <f t="shared" si="0"/>
        <v>3.9661676424689327</v>
      </c>
    </row>
    <row r="34" spans="1:14" x14ac:dyDescent="0.2">
      <c r="A34" s="1003" t="s">
        <v>834</v>
      </c>
      <c r="B34" s="937" t="s">
        <v>54</v>
      </c>
      <c r="C34" s="1013">
        <v>20.896402519913561</v>
      </c>
      <c r="D34" s="1012">
        <v>3.89418</v>
      </c>
      <c r="E34" s="1017">
        <v>17.002222519913563</v>
      </c>
      <c r="G34" s="1007">
        <v>1.7446115989723587</v>
      </c>
      <c r="M34" s="1006">
        <v>3.89418</v>
      </c>
      <c r="N34" s="1005">
        <f t="shared" si="0"/>
        <v>17.002222519913563</v>
      </c>
    </row>
    <row r="35" spans="1:14" x14ac:dyDescent="0.2">
      <c r="A35" s="1003" t="s">
        <v>835</v>
      </c>
      <c r="B35" s="937" t="s">
        <v>55</v>
      </c>
      <c r="C35" s="1013">
        <v>5.6966183871865246</v>
      </c>
      <c r="D35" s="1012">
        <v>1.1522699999999999</v>
      </c>
      <c r="E35" s="1017">
        <v>4.5443483871865249</v>
      </c>
      <c r="G35" s="1007">
        <v>0.70952661699010822</v>
      </c>
      <c r="M35" s="1006">
        <v>1.1522699999999999</v>
      </c>
      <c r="N35" s="1005">
        <f t="shared" si="0"/>
        <v>4.5443483871865249</v>
      </c>
    </row>
    <row r="36" spans="1:14" x14ac:dyDescent="0.2">
      <c r="A36" s="1003" t="s">
        <v>836</v>
      </c>
      <c r="B36" s="937" t="s">
        <v>336</v>
      </c>
      <c r="C36" s="1013">
        <v>5.6827296351281689</v>
      </c>
      <c r="D36" s="1012">
        <v>1.55504</v>
      </c>
      <c r="E36" s="1017">
        <v>4.1276896351281689</v>
      </c>
      <c r="G36" s="1007">
        <v>5.9232472250386969E-2</v>
      </c>
      <c r="M36" s="1006">
        <v>1.55504</v>
      </c>
      <c r="N36" s="1005">
        <f t="shared" si="0"/>
        <v>4.1276896351281689</v>
      </c>
    </row>
    <row r="37" spans="1:14" x14ac:dyDescent="0.2">
      <c r="A37" s="1003" t="s">
        <v>837</v>
      </c>
      <c r="B37" s="937" t="s">
        <v>57</v>
      </c>
      <c r="C37" s="1013">
        <v>1.4722810724484763</v>
      </c>
      <c r="D37" s="1012">
        <v>0.20626800000000001</v>
      </c>
      <c r="E37" s="1017">
        <v>1.2660130724484762</v>
      </c>
      <c r="G37" s="1007">
        <v>0.17541429427980759</v>
      </c>
      <c r="M37" s="1006">
        <v>0.20626800000000001</v>
      </c>
      <c r="N37" s="1005">
        <f t="shared" si="0"/>
        <v>1.2660130724484762</v>
      </c>
    </row>
    <row r="38" spans="1:14" x14ac:dyDescent="0.2">
      <c r="A38" s="1003" t="s">
        <v>838</v>
      </c>
      <c r="B38" s="937" t="s">
        <v>58</v>
      </c>
      <c r="C38" s="1013">
        <v>23.86000412090284</v>
      </c>
      <c r="D38" s="1012">
        <v>15.59</v>
      </c>
      <c r="E38" s="1017">
        <v>8.2700041209028399</v>
      </c>
      <c r="G38" s="1007">
        <v>2.3500796782907898</v>
      </c>
      <c r="M38" s="1006">
        <v>15.59</v>
      </c>
      <c r="N38" s="1005">
        <f t="shared" si="0"/>
        <v>8.2700041209028399</v>
      </c>
    </row>
    <row r="39" spans="1:14" x14ac:dyDescent="0.2">
      <c r="A39" s="1003" t="s">
        <v>839</v>
      </c>
      <c r="B39" s="937" t="s">
        <v>59</v>
      </c>
      <c r="C39" s="1013">
        <v>23.138033012430562</v>
      </c>
      <c r="D39" s="1012">
        <v>4.8305800000000003</v>
      </c>
      <c r="E39" s="1017">
        <v>18.30745301243056</v>
      </c>
      <c r="G39" s="1007">
        <v>-2.0280014961016235</v>
      </c>
      <c r="K39" s="1022"/>
      <c r="M39" s="1006">
        <v>4.8305800000000003</v>
      </c>
      <c r="N39" s="1005">
        <f t="shared" si="0"/>
        <v>18.30745301243056</v>
      </c>
    </row>
    <row r="40" spans="1:14" x14ac:dyDescent="0.2">
      <c r="A40" s="1003" t="s">
        <v>840</v>
      </c>
      <c r="B40" s="937" t="s">
        <v>60</v>
      </c>
      <c r="C40" s="1013">
        <v>74.475091338037956</v>
      </c>
      <c r="D40" s="1012">
        <v>4.0603899999999999</v>
      </c>
      <c r="E40" s="1017">
        <v>70.414701338037958</v>
      </c>
      <c r="G40" s="1007">
        <v>15.002729189836039</v>
      </c>
      <c r="M40" s="1021">
        <v>4.0603899999999999</v>
      </c>
      <c r="N40" s="1020">
        <f t="shared" si="0"/>
        <v>70.414701338037958</v>
      </c>
    </row>
    <row r="41" spans="1:14" x14ac:dyDescent="0.2">
      <c r="A41" s="1003" t="s">
        <v>841</v>
      </c>
      <c r="B41" s="937" t="s">
        <v>61</v>
      </c>
      <c r="C41" s="1013">
        <v>3.0949831637283318</v>
      </c>
      <c r="D41" s="1012">
        <v>1.79166</v>
      </c>
      <c r="E41" s="1017">
        <v>1.3033231637283318</v>
      </c>
      <c r="G41" s="1007">
        <v>-0.52968178720452386</v>
      </c>
      <c r="M41" s="1006">
        <v>1.79166</v>
      </c>
      <c r="N41" s="1005">
        <f t="shared" ref="N41:N72" si="1">+C41-M41</f>
        <v>1.3033231637283318</v>
      </c>
    </row>
    <row r="42" spans="1:14" x14ac:dyDescent="0.2">
      <c r="A42" s="1003" t="s">
        <v>842</v>
      </c>
      <c r="B42" s="937" t="s">
        <v>62</v>
      </c>
      <c r="C42" s="1013">
        <v>77.12171185508565</v>
      </c>
      <c r="D42" s="1012">
        <v>47.438000000000002</v>
      </c>
      <c r="E42" s="1017">
        <v>29.683711855085647</v>
      </c>
      <c r="G42" s="1007">
        <v>10.607011084307615</v>
      </c>
      <c r="M42" s="1006">
        <v>47.438000000000002</v>
      </c>
      <c r="N42" s="1005">
        <f t="shared" si="1"/>
        <v>29.683711855085647</v>
      </c>
    </row>
    <row r="43" spans="1:14" x14ac:dyDescent="0.2">
      <c r="A43" s="1003" t="s">
        <v>242</v>
      </c>
      <c r="B43" s="937" t="s">
        <v>63</v>
      </c>
      <c r="C43" s="1013">
        <v>173.59931884635012</v>
      </c>
      <c r="D43" s="1012">
        <v>81.4679</v>
      </c>
      <c r="E43" s="1017">
        <v>92.131418846350115</v>
      </c>
      <c r="G43" s="1007">
        <v>16.707334846350136</v>
      </c>
      <c r="M43" s="1006">
        <v>81.4679</v>
      </c>
      <c r="N43" s="1005">
        <f t="shared" si="1"/>
        <v>92.131418846350115</v>
      </c>
    </row>
    <row r="44" spans="1:14" s="2" customFormat="1" ht="40.5" customHeight="1" x14ac:dyDescent="0.2">
      <c r="A44" s="1019"/>
      <c r="B44" s="976" t="s">
        <v>64</v>
      </c>
      <c r="C44" s="1013">
        <v>299.45141460636631</v>
      </c>
      <c r="D44" s="973">
        <v>117.04582600000001</v>
      </c>
      <c r="E44" s="1018">
        <v>182.40558860636631</v>
      </c>
      <c r="G44" s="1007">
        <v>39.635499883679472</v>
      </c>
      <c r="M44" s="1013">
        <f>+SUM(M45:M51)</f>
        <v>117.04582600000001</v>
      </c>
      <c r="N44" s="954">
        <f t="shared" si="1"/>
        <v>182.40558860636631</v>
      </c>
    </row>
    <row r="45" spans="1:14" x14ac:dyDescent="0.2">
      <c r="A45" s="1003" t="s">
        <v>843</v>
      </c>
      <c r="B45" s="937" t="s">
        <v>65</v>
      </c>
      <c r="C45" s="1013">
        <v>36.592139372351674</v>
      </c>
      <c r="D45" s="1012">
        <v>4.4921899999999999</v>
      </c>
      <c r="E45" s="1017">
        <v>32.099949372351674</v>
      </c>
      <c r="G45" s="1007">
        <v>7.0226794726332358</v>
      </c>
      <c r="M45" s="1006">
        <v>4.4921899999999999</v>
      </c>
      <c r="N45" s="1005">
        <f t="shared" si="1"/>
        <v>32.099949372351674</v>
      </c>
    </row>
    <row r="46" spans="1:14" x14ac:dyDescent="0.2">
      <c r="A46" s="1003" t="s">
        <v>844</v>
      </c>
      <c r="B46" s="937" t="s">
        <v>66</v>
      </c>
      <c r="C46" s="1013">
        <v>170.74535649676403</v>
      </c>
      <c r="D46" s="1012">
        <v>99.093100000000007</v>
      </c>
      <c r="E46" s="1017">
        <v>71.652256496764025</v>
      </c>
      <c r="G46" s="1007">
        <v>8.5163998852483758</v>
      </c>
      <c r="M46" s="1006">
        <v>99.093100000000007</v>
      </c>
      <c r="N46" s="1005">
        <f t="shared" si="1"/>
        <v>71.652256496764025</v>
      </c>
    </row>
    <row r="47" spans="1:14" x14ac:dyDescent="0.2">
      <c r="A47" s="1003" t="s">
        <v>845</v>
      </c>
      <c r="B47" s="937" t="s">
        <v>67</v>
      </c>
      <c r="C47" s="1013">
        <v>6.6938160931741955</v>
      </c>
      <c r="D47" s="1012">
        <v>-9.8330099999999998</v>
      </c>
      <c r="E47" s="1017">
        <v>16.526826093174193</v>
      </c>
      <c r="G47" s="1007">
        <v>0.18374958927641849</v>
      </c>
      <c r="M47" s="1006">
        <v>-9.8330099999999998</v>
      </c>
      <c r="N47" s="1005">
        <f t="shared" si="1"/>
        <v>16.526826093174193</v>
      </c>
    </row>
    <row r="48" spans="1:14" x14ac:dyDescent="0.2">
      <c r="A48" s="1003" t="s">
        <v>846</v>
      </c>
      <c r="B48" s="937" t="s">
        <v>68</v>
      </c>
      <c r="C48" s="1013">
        <v>2.1003162704202181</v>
      </c>
      <c r="D48" s="1012">
        <v>0.93594599999999994</v>
      </c>
      <c r="E48" s="1017">
        <v>1.1643702704202181</v>
      </c>
      <c r="G48" s="1007">
        <v>0.95311440578458728</v>
      </c>
      <c r="M48" s="1006">
        <v>0.93594599999999994</v>
      </c>
      <c r="N48" s="1005">
        <f t="shared" si="1"/>
        <v>1.1643702704202181</v>
      </c>
    </row>
    <row r="49" spans="1:14" x14ac:dyDescent="0.2">
      <c r="A49" s="1003" t="s">
        <v>847</v>
      </c>
      <c r="B49" s="937" t="s">
        <v>69</v>
      </c>
      <c r="C49" s="1013">
        <v>22.339691046068683</v>
      </c>
      <c r="D49" s="1012">
        <v>13.8314</v>
      </c>
      <c r="E49" s="1017">
        <v>8.5082910460686829</v>
      </c>
      <c r="G49" s="1007">
        <v>13.922352193264606</v>
      </c>
      <c r="M49" s="1006">
        <v>13.8314</v>
      </c>
      <c r="N49" s="1005">
        <f t="shared" si="1"/>
        <v>8.5082910460686829</v>
      </c>
    </row>
    <row r="50" spans="1:14" x14ac:dyDescent="0.2">
      <c r="A50" s="1003" t="s">
        <v>848</v>
      </c>
      <c r="B50" s="937" t="s">
        <v>70</v>
      </c>
      <c r="C50" s="1013">
        <v>53.138658872858791</v>
      </c>
      <c r="D50" s="1012">
        <v>5.62751</v>
      </c>
      <c r="E50" s="1017">
        <v>47.51114887285879</v>
      </c>
      <c r="G50" s="1007">
        <v>18.304360443398899</v>
      </c>
      <c r="M50" s="1006">
        <v>5.62751</v>
      </c>
      <c r="N50" s="1005">
        <f t="shared" si="1"/>
        <v>47.51114887285879</v>
      </c>
    </row>
    <row r="51" spans="1:14" x14ac:dyDescent="0.2">
      <c r="A51" s="1003" t="s">
        <v>849</v>
      </c>
      <c r="B51" s="937" t="s">
        <v>71</v>
      </c>
      <c r="C51" s="1013">
        <v>7.8414364547286777</v>
      </c>
      <c r="D51" s="1012">
        <v>2.8986900000000002</v>
      </c>
      <c r="E51" s="1017">
        <v>4.9427464547286775</v>
      </c>
      <c r="G51" s="1007">
        <v>-0.31516724653629424</v>
      </c>
      <c r="M51" s="1006">
        <v>2.8986900000000002</v>
      </c>
      <c r="N51" s="1005">
        <f t="shared" si="1"/>
        <v>4.9427464547286775</v>
      </c>
    </row>
    <row r="52" spans="1:14" s="1014" customFormat="1" ht="40.5" customHeight="1" x14ac:dyDescent="0.2">
      <c r="A52" s="1016"/>
      <c r="B52" s="976" t="s">
        <v>72</v>
      </c>
      <c r="C52" s="1013">
        <v>372.44497943477711</v>
      </c>
      <c r="D52" s="973">
        <v>235.40427537853603</v>
      </c>
      <c r="E52" s="1015">
        <v>137.04070405624108</v>
      </c>
      <c r="G52" s="1007" t="e">
        <v>#REF!</v>
      </c>
      <c r="M52" s="1013">
        <f>SUM(M53:M88)</f>
        <v>235.40427537853603</v>
      </c>
      <c r="N52" s="954">
        <f t="shared" si="1"/>
        <v>137.04070405624108</v>
      </c>
    </row>
    <row r="53" spans="1:14" ht="15.75" customHeight="1" x14ac:dyDescent="0.2">
      <c r="A53" s="1003" t="s">
        <v>850</v>
      </c>
      <c r="B53" s="937" t="s">
        <v>73</v>
      </c>
      <c r="C53" s="1013">
        <v>1.0988663489993817</v>
      </c>
      <c r="D53" s="1012">
        <v>-1.99635E-6</v>
      </c>
      <c r="E53" s="1011">
        <v>1.0988683453493817</v>
      </c>
      <c r="G53" s="1007">
        <v>-1.1565081536213384E-5</v>
      </c>
      <c r="J53" s="958" t="s">
        <v>1007</v>
      </c>
      <c r="K53" s="958" t="s">
        <v>303</v>
      </c>
      <c r="L53" s="958" t="s">
        <v>1008</v>
      </c>
      <c r="M53" s="1006">
        <v>-1.99635E-6</v>
      </c>
      <c r="N53" s="1005">
        <f t="shared" si="1"/>
        <v>1.0988683453493817</v>
      </c>
    </row>
    <row r="54" spans="1:14" ht="15.75" customHeight="1" x14ac:dyDescent="0.2">
      <c r="A54" s="1003" t="s">
        <v>851</v>
      </c>
      <c r="B54" s="937" t="s">
        <v>74</v>
      </c>
      <c r="C54" s="1013">
        <v>0.13585863030987044</v>
      </c>
      <c r="D54" s="1012">
        <v>0</v>
      </c>
      <c r="E54" s="1011">
        <v>0.13585863030987044</v>
      </c>
      <c r="G54" s="1007">
        <v>-9.6040879385723171E-2</v>
      </c>
      <c r="K54" s="958" t="s">
        <v>1009</v>
      </c>
      <c r="L54" s="958" t="s">
        <v>1010</v>
      </c>
      <c r="M54" s="1006">
        <v>0</v>
      </c>
      <c r="N54" s="1005">
        <f t="shared" si="1"/>
        <v>0.13585863030987044</v>
      </c>
    </row>
    <row r="55" spans="1:14" ht="15.75" customHeight="1" x14ac:dyDescent="0.2">
      <c r="A55" s="1003" t="s">
        <v>852</v>
      </c>
      <c r="B55" s="937" t="s">
        <v>75</v>
      </c>
      <c r="C55" s="1013">
        <v>0.77298716932806955</v>
      </c>
      <c r="D55" s="1012">
        <v>0</v>
      </c>
      <c r="E55" s="1011">
        <v>0.77298716932806955</v>
      </c>
      <c r="G55" s="1007">
        <v>-9.9930426056821786E-2</v>
      </c>
      <c r="J55" s="958" t="s">
        <v>1011</v>
      </c>
      <c r="K55" s="958" t="s">
        <v>1009</v>
      </c>
      <c r="L55" s="958" t="s">
        <v>1010</v>
      </c>
      <c r="M55" s="1006">
        <v>0</v>
      </c>
      <c r="N55" s="1005">
        <f t="shared" si="1"/>
        <v>0.77298716932806955</v>
      </c>
    </row>
    <row r="56" spans="1:14" ht="15.75" customHeight="1" x14ac:dyDescent="0.2">
      <c r="A56" s="1003" t="s">
        <v>853</v>
      </c>
      <c r="B56" s="937" t="s">
        <v>76</v>
      </c>
      <c r="C56" s="1013">
        <v>1.0500939649939438</v>
      </c>
      <c r="D56" s="1012">
        <v>0.17943600000000001</v>
      </c>
      <c r="E56" s="1011">
        <v>0.87065796499394377</v>
      </c>
      <c r="G56" s="1007">
        <v>0.11303351864874878</v>
      </c>
      <c r="J56" s="958" t="s">
        <v>1012</v>
      </c>
      <c r="K56" s="958" t="s">
        <v>1009</v>
      </c>
      <c r="L56" s="958" t="s">
        <v>1010</v>
      </c>
      <c r="M56" s="1006">
        <v>0.17943600000000001</v>
      </c>
      <c r="N56" s="1005">
        <f t="shared" si="1"/>
        <v>0.87065796499394377</v>
      </c>
    </row>
    <row r="57" spans="1:14" ht="15.75" customHeight="1" x14ac:dyDescent="0.2">
      <c r="A57" s="1003" t="s">
        <v>854</v>
      </c>
      <c r="B57" s="937" t="s">
        <v>77</v>
      </c>
      <c r="C57" s="1013">
        <v>23.01295048795701</v>
      </c>
      <c r="D57" s="1012">
        <v>21.8063</v>
      </c>
      <c r="E57" s="1011">
        <v>1.2066504879570097</v>
      </c>
      <c r="G57" s="1007">
        <v>15.557634387209866</v>
      </c>
      <c r="J57" s="958" t="s">
        <v>1011</v>
      </c>
      <c r="K57" s="958" t="s">
        <v>1009</v>
      </c>
      <c r="L57" s="958" t="s">
        <v>1010</v>
      </c>
      <c r="M57" s="1006">
        <v>21.8063</v>
      </c>
      <c r="N57" s="1005">
        <f t="shared" si="1"/>
        <v>1.2066504879570097</v>
      </c>
    </row>
    <row r="58" spans="1:14" ht="15.75" customHeight="1" x14ac:dyDescent="0.2">
      <c r="A58" s="1003" t="s">
        <v>983</v>
      </c>
      <c r="B58" s="937" t="s">
        <v>78</v>
      </c>
      <c r="C58" s="1013">
        <v>9.3510785996380665</v>
      </c>
      <c r="D58" s="1012">
        <v>0.130801</v>
      </c>
      <c r="E58" s="1011">
        <v>9.2202775996380666</v>
      </c>
      <c r="G58" s="1007">
        <v>-0.80710578998650995</v>
      </c>
      <c r="J58" s="958" t="s">
        <v>1013</v>
      </c>
      <c r="K58" s="958" t="e">
        <v>#N/A</v>
      </c>
      <c r="L58" s="958" t="e">
        <v>#N/A</v>
      </c>
      <c r="M58" s="1006">
        <v>0.130801</v>
      </c>
      <c r="N58" s="1005">
        <f t="shared" si="1"/>
        <v>9.2202775996380666</v>
      </c>
    </row>
    <row r="59" spans="1:14" ht="15.75" customHeight="1" x14ac:dyDescent="0.2">
      <c r="A59" s="1003" t="s">
        <v>855</v>
      </c>
      <c r="B59" s="937" t="s">
        <v>79</v>
      </c>
      <c r="C59" s="1013">
        <v>3.1948373065139912</v>
      </c>
      <c r="D59" s="1012">
        <v>1.3211900000000001</v>
      </c>
      <c r="E59" s="1011">
        <v>1.8736473065139911</v>
      </c>
      <c r="G59" s="1007">
        <v>-1.613845944093995</v>
      </c>
      <c r="K59" s="958" t="s">
        <v>1009</v>
      </c>
      <c r="L59" s="958" t="s">
        <v>1010</v>
      </c>
      <c r="M59" s="1006">
        <v>1.3211900000000001</v>
      </c>
      <c r="N59" s="1005">
        <f t="shared" si="1"/>
        <v>1.8736473065139911</v>
      </c>
    </row>
    <row r="60" spans="1:14" ht="15.75" customHeight="1" x14ac:dyDescent="0.2">
      <c r="A60" s="1003" t="s">
        <v>856</v>
      </c>
      <c r="B60" s="937" t="s">
        <v>80</v>
      </c>
      <c r="C60" s="1013">
        <v>0.92037547804379038</v>
      </c>
      <c r="D60" s="1012">
        <v>-3.4558400000000001E-7</v>
      </c>
      <c r="E60" s="1011">
        <v>0.92037582362779036</v>
      </c>
      <c r="G60" s="1007">
        <v>-2.64112901128436E-2</v>
      </c>
      <c r="J60" s="958" t="s">
        <v>1011</v>
      </c>
      <c r="K60" s="958" t="s">
        <v>1009</v>
      </c>
      <c r="L60" s="958" t="s">
        <v>1010</v>
      </c>
      <c r="M60" s="1006">
        <v>-3.4558400000000001E-7</v>
      </c>
      <c r="N60" s="1005">
        <f t="shared" si="1"/>
        <v>0.92037582362779036</v>
      </c>
    </row>
    <row r="61" spans="1:14" s="23" customFormat="1" ht="15.75" customHeight="1" x14ac:dyDescent="0.2">
      <c r="A61" s="1003" t="s">
        <v>857</v>
      </c>
      <c r="B61" s="937" t="s">
        <v>81</v>
      </c>
      <c r="C61" s="1013">
        <v>17.853004838754249</v>
      </c>
      <c r="D61" s="1012">
        <v>25.8203</v>
      </c>
      <c r="E61" s="1011">
        <v>-7.967295161245751</v>
      </c>
      <c r="G61" s="1007">
        <v>-7.3236811061375811</v>
      </c>
      <c r="K61" s="958" t="s">
        <v>1009</v>
      </c>
      <c r="L61" s="958" t="s">
        <v>1014</v>
      </c>
      <c r="M61" s="1006">
        <v>25.8203</v>
      </c>
      <c r="N61" s="1005">
        <f t="shared" si="1"/>
        <v>-7.967295161245751</v>
      </c>
    </row>
    <row r="62" spans="1:14" ht="15.75" customHeight="1" x14ac:dyDescent="0.2">
      <c r="A62" s="1003" t="s">
        <v>858</v>
      </c>
      <c r="B62" s="937" t="s">
        <v>82</v>
      </c>
      <c r="C62" s="1013">
        <v>0.15640939255467917</v>
      </c>
      <c r="D62" s="1012">
        <v>0</v>
      </c>
      <c r="E62" s="1011">
        <v>0.15640939255467917</v>
      </c>
      <c r="G62" s="1007">
        <v>-1.6461463165917678E-6</v>
      </c>
      <c r="K62" s="958" t="s">
        <v>1009</v>
      </c>
      <c r="L62" s="958" t="s">
        <v>1010</v>
      </c>
      <c r="M62" s="1006">
        <v>0</v>
      </c>
      <c r="N62" s="1005">
        <f t="shared" si="1"/>
        <v>0.15640939255467917</v>
      </c>
    </row>
    <row r="63" spans="1:14" ht="15.75" customHeight="1" x14ac:dyDescent="0.2">
      <c r="A63" s="1003" t="s">
        <v>984</v>
      </c>
      <c r="B63" s="937" t="s">
        <v>83</v>
      </c>
      <c r="C63" s="1013">
        <v>34.354154352304938</v>
      </c>
      <c r="D63" s="1012">
        <v>23.590599999999998</v>
      </c>
      <c r="E63" s="1011">
        <v>10.76355435230494</v>
      </c>
      <c r="G63" s="1007">
        <v>4.5284160179053146</v>
      </c>
      <c r="K63" s="958" t="e">
        <v>#N/A</v>
      </c>
      <c r="L63" s="958" t="e">
        <v>#N/A</v>
      </c>
      <c r="M63" s="1006">
        <v>23.590599999999998</v>
      </c>
      <c r="N63" s="1005">
        <f t="shared" si="1"/>
        <v>10.76355435230494</v>
      </c>
    </row>
    <row r="64" spans="1:14" ht="15.75" customHeight="1" x14ac:dyDescent="0.2">
      <c r="A64" s="1003" t="s">
        <v>859</v>
      </c>
      <c r="B64" s="937" t="s">
        <v>84</v>
      </c>
      <c r="C64" s="1013">
        <v>15.174604288417083</v>
      </c>
      <c r="D64" s="1012">
        <v>25.371099999999998</v>
      </c>
      <c r="E64" s="1011">
        <v>-10.196495711582916</v>
      </c>
      <c r="G64" s="1007">
        <v>-7.9171384684479698</v>
      </c>
      <c r="K64" s="958" t="s">
        <v>1009</v>
      </c>
      <c r="L64" s="958" t="s">
        <v>1010</v>
      </c>
      <c r="M64" s="1006">
        <v>25.371099999999998</v>
      </c>
      <c r="N64" s="1005">
        <f t="shared" si="1"/>
        <v>-10.196495711582916</v>
      </c>
    </row>
    <row r="65" spans="1:14" ht="15.75" customHeight="1" x14ac:dyDescent="0.2">
      <c r="A65" s="1003" t="s">
        <v>860</v>
      </c>
      <c r="B65" s="937" t="s">
        <v>85</v>
      </c>
      <c r="C65" s="1013">
        <v>13.315782372124771</v>
      </c>
      <c r="D65" s="1012">
        <v>0.17893000000000001</v>
      </c>
      <c r="E65" s="1011">
        <v>13.136852372124771</v>
      </c>
      <c r="G65" s="1007">
        <v>1.7291714303428538</v>
      </c>
      <c r="K65" s="958" t="s">
        <v>1009</v>
      </c>
      <c r="L65" s="958" t="s">
        <v>1010</v>
      </c>
      <c r="M65" s="1006">
        <v>0.17893000000000001</v>
      </c>
      <c r="N65" s="1005">
        <f t="shared" si="1"/>
        <v>13.136852372124771</v>
      </c>
    </row>
    <row r="66" spans="1:14" ht="15.75" customHeight="1" x14ac:dyDescent="0.2">
      <c r="A66" s="1003" t="s">
        <v>861</v>
      </c>
      <c r="B66" s="937" t="s">
        <v>86</v>
      </c>
      <c r="C66" s="1013">
        <v>5.3579042617860004</v>
      </c>
      <c r="D66" s="1012">
        <v>2.26172</v>
      </c>
      <c r="E66" s="1011">
        <v>3.0961842617860005</v>
      </c>
      <c r="G66" s="1007" t="e">
        <v>#REF!</v>
      </c>
      <c r="K66" s="958" t="s">
        <v>1015</v>
      </c>
      <c r="L66" s="958" t="s">
        <v>1016</v>
      </c>
      <c r="M66" s="1006">
        <v>2.26172</v>
      </c>
      <c r="N66" s="1005">
        <f t="shared" si="1"/>
        <v>3.0961842617860005</v>
      </c>
    </row>
    <row r="67" spans="1:14" ht="15.75" customHeight="1" x14ac:dyDescent="0.2">
      <c r="A67" s="1003" t="s">
        <v>862</v>
      </c>
      <c r="B67" s="937" t="s">
        <v>87</v>
      </c>
      <c r="C67" s="1013">
        <v>2.7252758299838886</v>
      </c>
      <c r="D67" s="1012">
        <v>-5.2532200000000001E-2</v>
      </c>
      <c r="E67" s="1011">
        <v>2.7778080299838885</v>
      </c>
      <c r="G67" s="1007">
        <v>-2.562920720603926</v>
      </c>
      <c r="K67" s="958" t="s">
        <v>303</v>
      </c>
      <c r="L67" s="958" t="s">
        <v>1017</v>
      </c>
      <c r="M67" s="1006">
        <v>-5.2532200000000001E-2</v>
      </c>
      <c r="N67" s="1005">
        <f t="shared" si="1"/>
        <v>2.7778080299838885</v>
      </c>
    </row>
    <row r="68" spans="1:14" ht="15.75" customHeight="1" x14ac:dyDescent="0.2">
      <c r="A68" s="1003" t="s">
        <v>863</v>
      </c>
      <c r="B68" s="937" t="s">
        <v>88</v>
      </c>
      <c r="C68" s="1013">
        <v>0.38558316196483711</v>
      </c>
      <c r="D68" s="1012">
        <v>0</v>
      </c>
      <c r="E68" s="1011">
        <v>0.38558316196483711</v>
      </c>
      <c r="G68" s="1007">
        <v>-1.9518947831985156E-2</v>
      </c>
      <c r="K68" s="958" t="s">
        <v>1009</v>
      </c>
      <c r="L68" s="958" t="s">
        <v>1010</v>
      </c>
      <c r="M68" s="1006">
        <v>0</v>
      </c>
      <c r="N68" s="1005">
        <f t="shared" si="1"/>
        <v>0.38558316196483711</v>
      </c>
    </row>
    <row r="69" spans="1:14" ht="15.75" customHeight="1" x14ac:dyDescent="0.2">
      <c r="A69" s="1003" t="s">
        <v>864</v>
      </c>
      <c r="B69" s="937" t="s">
        <v>89</v>
      </c>
      <c r="C69" s="1013">
        <v>1.8325605201823425</v>
      </c>
      <c r="D69" s="1012">
        <v>0.37750699999999998</v>
      </c>
      <c r="E69" s="1011">
        <v>1.4550535201823425</v>
      </c>
      <c r="G69" s="1007">
        <v>-1.9286963615527952E-5</v>
      </c>
      <c r="K69" s="958" t="s">
        <v>303</v>
      </c>
      <c r="L69" s="958" t="s">
        <v>1017</v>
      </c>
      <c r="M69" s="1006">
        <v>0.37750699999999998</v>
      </c>
      <c r="N69" s="1005">
        <f t="shared" si="1"/>
        <v>1.4550535201823425</v>
      </c>
    </row>
    <row r="70" spans="1:14" ht="15.75" customHeight="1" x14ac:dyDescent="0.2">
      <c r="A70" s="1003" t="s">
        <v>865</v>
      </c>
      <c r="B70" s="937" t="s">
        <v>90</v>
      </c>
      <c r="C70" s="1013">
        <v>0.94969028110890008</v>
      </c>
      <c r="D70" s="1012">
        <v>3.9790705326E-2</v>
      </c>
      <c r="E70" s="1011">
        <v>0.90989957578290004</v>
      </c>
      <c r="G70" s="1007">
        <v>-9.9951537977371885E-6</v>
      </c>
      <c r="K70" s="958" t="s">
        <v>303</v>
      </c>
      <c r="L70" s="958" t="s">
        <v>1008</v>
      </c>
      <c r="M70" s="1006">
        <v>3.9790705326E-2</v>
      </c>
      <c r="N70" s="1005">
        <f t="shared" si="1"/>
        <v>0.90989957578290004</v>
      </c>
    </row>
    <row r="71" spans="1:14" s="23" customFormat="1" ht="15.75" customHeight="1" x14ac:dyDescent="0.2">
      <c r="A71" s="1003" t="s">
        <v>866</v>
      </c>
      <c r="B71" s="937" t="s">
        <v>91</v>
      </c>
      <c r="C71" s="1013">
        <v>41.247754455415667</v>
      </c>
      <c r="D71" s="1012">
        <v>59.546100000000003</v>
      </c>
      <c r="E71" s="1011">
        <v>-18.298345544584336</v>
      </c>
      <c r="G71" s="1007" t="e">
        <v>#REF!</v>
      </c>
      <c r="K71" s="958" t="e">
        <v>#N/A</v>
      </c>
      <c r="L71" s="958" t="e">
        <v>#N/A</v>
      </c>
      <c r="M71" s="1006">
        <v>59.546100000000003</v>
      </c>
      <c r="N71" s="1005">
        <f t="shared" si="1"/>
        <v>-18.298345544584336</v>
      </c>
    </row>
    <row r="72" spans="1:14" ht="15.75" customHeight="1" x14ac:dyDescent="0.2">
      <c r="A72" s="1003" t="s">
        <v>867</v>
      </c>
      <c r="B72" s="937" t="s">
        <v>92</v>
      </c>
      <c r="C72" s="1013">
        <v>2.6686585922329056</v>
      </c>
      <c r="D72" s="1012">
        <v>-3.0309599999999999E-2</v>
      </c>
      <c r="E72" s="1011">
        <v>2.6989681922329054</v>
      </c>
      <c r="G72" s="1007">
        <v>-0.70667162533526584</v>
      </c>
      <c r="K72" s="958" t="s">
        <v>303</v>
      </c>
      <c r="L72" s="958" t="s">
        <v>1017</v>
      </c>
      <c r="M72" s="1006">
        <v>-3.0309599999999999E-2</v>
      </c>
      <c r="N72" s="1005">
        <f t="shared" si="1"/>
        <v>2.6989681922329054</v>
      </c>
    </row>
    <row r="73" spans="1:14" ht="15.75" customHeight="1" x14ac:dyDescent="0.2">
      <c r="A73" s="1003" t="s">
        <v>868</v>
      </c>
      <c r="B73" s="937" t="s">
        <v>93</v>
      </c>
      <c r="C73" s="1013">
        <v>11.053105073537282</v>
      </c>
      <c r="D73" s="1012">
        <v>0.13980000000000001</v>
      </c>
      <c r="E73" s="1011">
        <v>10.913305073537282</v>
      </c>
      <c r="G73" s="1007">
        <v>-6.9829331338723932E-2</v>
      </c>
      <c r="K73" s="958" t="s">
        <v>1015</v>
      </c>
      <c r="L73" s="958" t="s">
        <v>1016</v>
      </c>
      <c r="M73" s="1006">
        <v>0.13980000000000001</v>
      </c>
      <c r="N73" s="1005">
        <f t="shared" ref="N73:N88" si="2">+C73-M73</f>
        <v>10.913305073537282</v>
      </c>
    </row>
    <row r="74" spans="1:14" ht="15.75" customHeight="1" x14ac:dyDescent="0.2">
      <c r="A74" s="1003" t="s">
        <v>869</v>
      </c>
      <c r="B74" s="937" t="s">
        <v>94</v>
      </c>
      <c r="C74" s="1013">
        <v>0.55824105720097961</v>
      </c>
      <c r="D74" s="1012">
        <v>0</v>
      </c>
      <c r="E74" s="1011">
        <v>0.55824105720097961</v>
      </c>
      <c r="G74" s="1007">
        <v>-6.6295821009920708E-5</v>
      </c>
      <c r="K74" s="958" t="s">
        <v>303</v>
      </c>
      <c r="L74" s="958" t="s">
        <v>1018</v>
      </c>
      <c r="M74" s="1006">
        <v>0</v>
      </c>
      <c r="N74" s="1005">
        <f t="shared" si="2"/>
        <v>0.55824105720097961</v>
      </c>
    </row>
    <row r="75" spans="1:14" ht="15.75" customHeight="1" x14ac:dyDescent="0.2">
      <c r="A75" s="1003" t="s">
        <v>985</v>
      </c>
      <c r="B75" s="937" t="s">
        <v>95</v>
      </c>
      <c r="C75" s="1013">
        <v>10.286567109700968</v>
      </c>
      <c r="D75" s="1012">
        <v>3.6612100000000001</v>
      </c>
      <c r="E75" s="1011">
        <v>6.6253571097009676</v>
      </c>
      <c r="G75" s="1007">
        <v>-0.798852694928609</v>
      </c>
      <c r="K75" s="958" t="e">
        <v>#N/A</v>
      </c>
      <c r="L75" s="958" t="e">
        <v>#N/A</v>
      </c>
      <c r="M75" s="1006">
        <v>3.6612100000000001</v>
      </c>
      <c r="N75" s="1005">
        <f t="shared" si="2"/>
        <v>6.6253571097009676</v>
      </c>
    </row>
    <row r="76" spans="1:14" ht="15.75" customHeight="1" x14ac:dyDescent="0.2">
      <c r="A76" s="1003" t="s">
        <v>870</v>
      </c>
      <c r="B76" s="937" t="s">
        <v>96</v>
      </c>
      <c r="C76" s="1013">
        <v>11.371342760819482</v>
      </c>
      <c r="D76" s="1012">
        <v>0.372726</v>
      </c>
      <c r="E76" s="1011">
        <v>10.998616760819482</v>
      </c>
      <c r="G76" s="1007">
        <v>-2.3786803347262762</v>
      </c>
      <c r="K76" s="958" t="s">
        <v>303</v>
      </c>
      <c r="L76" s="958" t="s">
        <v>1008</v>
      </c>
      <c r="M76" s="1006">
        <v>0.372726</v>
      </c>
      <c r="N76" s="1005">
        <f t="shared" si="2"/>
        <v>10.998616760819482</v>
      </c>
    </row>
    <row r="77" spans="1:14" ht="15.75" customHeight="1" x14ac:dyDescent="0.2">
      <c r="A77" s="1003" t="s">
        <v>986</v>
      </c>
      <c r="B77" s="937" t="s">
        <v>97</v>
      </c>
      <c r="C77" s="1013">
        <v>3.0894454039654223E-2</v>
      </c>
      <c r="D77" s="1012">
        <v>3.6561687209999997E-3</v>
      </c>
      <c r="E77" s="1011">
        <v>2.7238285318654222E-2</v>
      </c>
      <c r="G77" s="1007">
        <v>2.034211719341962E-2</v>
      </c>
      <c r="K77" s="958" t="e">
        <v>#N/A</v>
      </c>
      <c r="L77" s="958" t="e">
        <v>#N/A</v>
      </c>
      <c r="M77" s="1006">
        <v>3.6561687209999997E-3</v>
      </c>
      <c r="N77" s="1005">
        <f t="shared" si="2"/>
        <v>2.7238285318654222E-2</v>
      </c>
    </row>
    <row r="78" spans="1:14" ht="15.75" customHeight="1" x14ac:dyDescent="0.2">
      <c r="A78" s="1003" t="s">
        <v>871</v>
      </c>
      <c r="B78" s="937" t="s">
        <v>98</v>
      </c>
      <c r="C78" s="1013">
        <v>2.2492864285899197</v>
      </c>
      <c r="D78" s="1012">
        <v>0.31755899999999998</v>
      </c>
      <c r="E78" s="1011">
        <v>1.9317274285899197</v>
      </c>
      <c r="G78" s="1007">
        <v>5.7976885460129246E-3</v>
      </c>
      <c r="K78" s="958" t="s">
        <v>303</v>
      </c>
      <c r="L78" s="958" t="s">
        <v>1018</v>
      </c>
      <c r="M78" s="1006">
        <v>0.31755899999999998</v>
      </c>
      <c r="N78" s="1005">
        <f t="shared" si="2"/>
        <v>1.9317274285899197</v>
      </c>
    </row>
    <row r="79" spans="1:14" ht="15.75" customHeight="1" x14ac:dyDescent="0.2">
      <c r="A79" s="1003" t="s">
        <v>872</v>
      </c>
      <c r="B79" s="937" t="s">
        <v>99</v>
      </c>
      <c r="C79" s="1013">
        <v>0.31060656026282224</v>
      </c>
      <c r="D79" s="1012">
        <v>0</v>
      </c>
      <c r="E79" s="1011">
        <v>0.31060656026282224</v>
      </c>
      <c r="G79" s="1007" t="e">
        <v>#REF!</v>
      </c>
      <c r="K79" s="958" t="s">
        <v>1009</v>
      </c>
      <c r="L79" s="958" t="s">
        <v>1010</v>
      </c>
      <c r="M79" s="1006">
        <v>0</v>
      </c>
      <c r="N79" s="1005">
        <f t="shared" si="2"/>
        <v>0.31060656026282224</v>
      </c>
    </row>
    <row r="80" spans="1:14" ht="15.75" customHeight="1" x14ac:dyDescent="0.2">
      <c r="A80" s="1003" t="s">
        <v>873</v>
      </c>
      <c r="B80" s="937" t="s">
        <v>100</v>
      </c>
      <c r="C80" s="1013">
        <v>7.5028811322830036</v>
      </c>
      <c r="D80" s="1012">
        <v>1.9911700000000001</v>
      </c>
      <c r="E80" s="1011">
        <v>5.5117111322830032</v>
      </c>
      <c r="G80" s="1007">
        <v>-0.19721876540762651</v>
      </c>
      <c r="K80" s="958" t="s">
        <v>305</v>
      </c>
      <c r="L80" s="958" t="s">
        <v>1019</v>
      </c>
      <c r="M80" s="1006">
        <v>1.9911700000000001</v>
      </c>
      <c r="N80" s="1005">
        <f t="shared" si="2"/>
        <v>5.5117111322830032</v>
      </c>
    </row>
    <row r="81" spans="1:14" ht="15.75" customHeight="1" x14ac:dyDescent="0.2">
      <c r="A81" s="1003" t="s">
        <v>874</v>
      </c>
      <c r="B81" s="937" t="s">
        <v>101</v>
      </c>
      <c r="C81" s="1013">
        <v>1.2355773667622216</v>
      </c>
      <c r="D81" s="1012">
        <v>6.739544888E-3</v>
      </c>
      <c r="E81" s="1011">
        <v>1.2288378218742215</v>
      </c>
      <c r="G81" s="1007">
        <v>0.39618786183211985</v>
      </c>
      <c r="K81" s="958" t="s">
        <v>305</v>
      </c>
      <c r="L81" s="958" t="s">
        <v>1019</v>
      </c>
      <c r="M81" s="1006">
        <v>6.739544888E-3</v>
      </c>
      <c r="N81" s="1005">
        <f t="shared" si="2"/>
        <v>1.2288378218742215</v>
      </c>
    </row>
    <row r="82" spans="1:14" s="23" customFormat="1" ht="15.75" customHeight="1" x14ac:dyDescent="0.2">
      <c r="A82" s="1003" t="s">
        <v>875</v>
      </c>
      <c r="B82" s="937" t="s">
        <v>102</v>
      </c>
      <c r="C82" s="1013">
        <v>86.989256538472546</v>
      </c>
      <c r="D82" s="1012">
        <v>28.290500000000002</v>
      </c>
      <c r="E82" s="1011">
        <v>58.698756538472544</v>
      </c>
      <c r="G82" s="1007">
        <v>-6.3279548686591056</v>
      </c>
      <c r="K82" s="958" t="s">
        <v>1015</v>
      </c>
      <c r="L82" s="958" t="s">
        <v>1020</v>
      </c>
      <c r="M82" s="1006">
        <v>28.290500000000002</v>
      </c>
      <c r="N82" s="1005">
        <f t="shared" si="2"/>
        <v>58.698756538472544</v>
      </c>
    </row>
    <row r="83" spans="1:14" ht="15.75" customHeight="1" x14ac:dyDescent="0.2">
      <c r="A83" s="1003" t="s">
        <v>876</v>
      </c>
      <c r="B83" s="937" t="s">
        <v>103</v>
      </c>
      <c r="C83" s="1013">
        <v>0.48984553221642657</v>
      </c>
      <c r="D83" s="1012">
        <v>6.5713192907999998E-2</v>
      </c>
      <c r="E83" s="1011">
        <v>0.42413233930842659</v>
      </c>
      <c r="G83" s="1007" t="e">
        <v>#REF!</v>
      </c>
      <c r="K83" s="958" t="s">
        <v>1009</v>
      </c>
      <c r="L83" s="958" t="s">
        <v>1010</v>
      </c>
      <c r="M83" s="1006">
        <v>6.5713192907999998E-2</v>
      </c>
      <c r="N83" s="1005">
        <f t="shared" si="2"/>
        <v>0.42413233930842659</v>
      </c>
    </row>
    <row r="84" spans="1:14" ht="15.75" customHeight="1" x14ac:dyDescent="0.2">
      <c r="A84" s="1003" t="s">
        <v>877</v>
      </c>
      <c r="B84" s="937" t="s">
        <v>104</v>
      </c>
      <c r="C84" s="1013">
        <v>0.8893833966607867</v>
      </c>
      <c r="D84" s="1012">
        <v>5.5390908626999996E-2</v>
      </c>
      <c r="E84" s="1011">
        <v>0.83399248803378667</v>
      </c>
      <c r="G84" s="1007">
        <v>-8.6455280772847143E-2</v>
      </c>
      <c r="K84" s="958" t="s">
        <v>1009</v>
      </c>
      <c r="L84" s="958" t="s">
        <v>1010</v>
      </c>
      <c r="M84" s="1006">
        <v>5.5390908626999996E-2</v>
      </c>
      <c r="N84" s="1005">
        <f t="shared" si="2"/>
        <v>0.83399248803378667</v>
      </c>
    </row>
    <row r="85" spans="1:14" ht="15.75" customHeight="1" x14ac:dyDescent="0.2">
      <c r="A85" s="1003" t="s">
        <v>878</v>
      </c>
      <c r="B85" s="937" t="s">
        <v>105</v>
      </c>
      <c r="C85" s="1013">
        <v>0.37672398905719778</v>
      </c>
      <c r="D85" s="1012">
        <v>0</v>
      </c>
      <c r="E85" s="1011">
        <v>0.37672398905719778</v>
      </c>
      <c r="G85" s="1007" t="e">
        <v>#REF!</v>
      </c>
      <c r="K85" s="958" t="s">
        <v>1009</v>
      </c>
      <c r="L85" s="958" t="s">
        <v>1010</v>
      </c>
      <c r="M85" s="1006">
        <v>0</v>
      </c>
      <c r="N85" s="1005">
        <f t="shared" si="2"/>
        <v>0.37672398905719778</v>
      </c>
    </row>
    <row r="86" spans="1:14" ht="15.75" customHeight="1" x14ac:dyDescent="0.2">
      <c r="A86" s="1003" t="s">
        <v>879</v>
      </c>
      <c r="B86" s="937" t="s">
        <v>106</v>
      </c>
      <c r="C86" s="1013">
        <v>0.30631060215142369</v>
      </c>
      <c r="D86" s="1012">
        <v>0</v>
      </c>
      <c r="E86" s="1011">
        <v>0.30631060215142369</v>
      </c>
      <c r="G86" s="1007">
        <v>3.2455948916383315E-2</v>
      </c>
      <c r="K86" s="958" t="s">
        <v>1009</v>
      </c>
      <c r="L86" s="958" t="s">
        <v>1010</v>
      </c>
      <c r="M86" s="1006">
        <v>0</v>
      </c>
      <c r="N86" s="1005">
        <f t="shared" si="2"/>
        <v>0.30631060215142369</v>
      </c>
    </row>
    <row r="87" spans="1:14" ht="15.75" customHeight="1" x14ac:dyDescent="0.2">
      <c r="A87" s="1003" t="s">
        <v>880</v>
      </c>
      <c r="B87" s="937" t="s">
        <v>107</v>
      </c>
      <c r="C87" s="1013">
        <v>23.264968868592899</v>
      </c>
      <c r="D87" s="1012">
        <v>1.0861799999999999</v>
      </c>
      <c r="E87" s="1011">
        <v>22.1787888685929</v>
      </c>
      <c r="G87" s="1007">
        <v>4.1270990230241829</v>
      </c>
      <c r="K87" s="958" t="s">
        <v>1009</v>
      </c>
      <c r="L87" s="958" t="s">
        <v>1010</v>
      </c>
      <c r="M87" s="1006">
        <v>1.0861799999999999</v>
      </c>
      <c r="N87" s="1005">
        <f t="shared" si="2"/>
        <v>22.1787888685929</v>
      </c>
    </row>
    <row r="88" spans="1:14" s="23" customFormat="1" ht="15.75" customHeight="1" thickBot="1" x14ac:dyDescent="0.25">
      <c r="A88" s="1003" t="s">
        <v>881</v>
      </c>
      <c r="B88" s="932" t="s">
        <v>108</v>
      </c>
      <c r="C88" s="1010">
        <v>39.971558231815095</v>
      </c>
      <c r="D88" s="1009">
        <v>38.872700000000002</v>
      </c>
      <c r="E88" s="1008">
        <v>1.0988582318150932</v>
      </c>
      <c r="G88" s="1007">
        <v>-3.1843724027236178</v>
      </c>
      <c r="K88" s="958" t="s">
        <v>1009</v>
      </c>
      <c r="L88" s="958" t="s">
        <v>1010</v>
      </c>
      <c r="M88" s="1006">
        <v>38.872700000000002</v>
      </c>
      <c r="N88" s="1005">
        <f t="shared" si="2"/>
        <v>1.0988582318150932</v>
      </c>
    </row>
    <row r="89" spans="1:14" s="2" customFormat="1" x14ac:dyDescent="0.2">
      <c r="A89" s="1003"/>
      <c r="B89" s="958"/>
      <c r="C89" s="958"/>
      <c r="D89" s="958"/>
      <c r="E89" s="958"/>
    </row>
    <row r="90" spans="1:14" s="2" customFormat="1" x14ac:dyDescent="0.2">
      <c r="A90" s="1003"/>
      <c r="B90" s="958"/>
      <c r="C90" s="958"/>
      <c r="D90" s="958"/>
      <c r="E90" s="958"/>
    </row>
    <row r="91" spans="1:14" s="2" customFormat="1" x14ac:dyDescent="0.2">
      <c r="A91" s="1003"/>
      <c r="B91" s="1004"/>
      <c r="C91" s="958"/>
      <c r="D91" s="958"/>
      <c r="E91" s="958"/>
    </row>
    <row r="92" spans="1:14" s="2" customFormat="1" x14ac:dyDescent="0.2">
      <c r="A92" s="1003"/>
      <c r="B92" s="958"/>
      <c r="C92" s="268"/>
      <c r="D92" s="268"/>
      <c r="E92" s="268"/>
    </row>
    <row r="94" spans="1:14" s="2" customFormat="1" ht="30" customHeight="1" x14ac:dyDescent="0.2">
      <c r="A94" s="1003"/>
      <c r="B94" s="128"/>
      <c r="C94" s="958"/>
      <c r="D94" s="958"/>
      <c r="E94" s="958"/>
    </row>
    <row r="98" ht="15" customHeight="1" x14ac:dyDescent="0.2"/>
  </sheetData>
  <mergeCells count="5">
    <mergeCell ref="D6:D7"/>
    <mergeCell ref="C6:C7"/>
    <mergeCell ref="E6:E7"/>
    <mergeCell ref="C3:E3"/>
    <mergeCell ref="C4:E4"/>
  </mergeCells>
  <pageMargins left="0.7" right="0.7" top="0.75" bottom="0.75" header="0.3" footer="0.3"/>
  <pageSetup scale="42" fitToHeight="0" orientation="portrait" horizontalDpi="4294967292" verticalDpi="4294967292"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4FDCE-97FA-664D-AEA2-8A1767FF4C15}">
  <sheetPr>
    <pageSetUpPr fitToPage="1"/>
  </sheetPr>
  <dimension ref="A2:I406"/>
  <sheetViews>
    <sheetView zoomScale="87" zoomScaleNormal="70" zoomScalePageLayoutView="85" workbookViewId="0">
      <pane xSplit="1" ySplit="7" topLeftCell="B61" activePane="bottomRight" state="frozen"/>
      <selection pane="topRight" activeCell="AR8" sqref="AR8"/>
      <selection pane="bottomLeft" activeCell="AR8" sqref="AR8"/>
      <selection pane="bottomRight" activeCell="K400" sqref="K400"/>
    </sheetView>
  </sheetViews>
  <sheetFormatPr baseColWidth="10" defaultColWidth="10.83203125" defaultRowHeight="16" x14ac:dyDescent="0.2"/>
  <cols>
    <col min="1" max="1" width="24.6640625" style="1899" customWidth="1"/>
    <col min="2" max="4" width="12.1640625" style="128" customWidth="1"/>
    <col min="5" max="16384" width="10.83203125" style="128"/>
  </cols>
  <sheetData>
    <row r="2" spans="1:5" ht="17" thickBot="1" x14ac:dyDescent="0.25"/>
    <row r="3" spans="1:5" ht="32.25" customHeight="1" thickTop="1" x14ac:dyDescent="0.2">
      <c r="A3" s="2430" t="s">
        <v>1759</v>
      </c>
      <c r="B3" s="2430"/>
      <c r="C3" s="2430"/>
      <c r="D3" s="2430"/>
      <c r="E3" s="2430"/>
    </row>
    <row r="4" spans="1:5" ht="17" customHeight="1" x14ac:dyDescent="0.2">
      <c r="A4" s="1905"/>
      <c r="B4" s="1905"/>
      <c r="C4" s="1905"/>
      <c r="D4" s="1905"/>
    </row>
    <row r="5" spans="1:5" ht="20" customHeight="1" x14ac:dyDescent="0.2">
      <c r="A5" s="1900"/>
      <c r="B5" s="2429" t="s">
        <v>1758</v>
      </c>
      <c r="C5" s="2429"/>
      <c r="D5" s="2429"/>
      <c r="E5" s="2429"/>
    </row>
    <row r="6" spans="1:5" x14ac:dyDescent="0.2">
      <c r="A6" s="1901"/>
      <c r="B6" s="1902" t="s">
        <v>1</v>
      </c>
      <c r="C6" s="1902" t="s">
        <v>2</v>
      </c>
      <c r="D6" s="1902" t="s">
        <v>3</v>
      </c>
      <c r="E6" s="1902" t="s">
        <v>4</v>
      </c>
    </row>
    <row r="7" spans="1:5" ht="91" customHeight="1" x14ac:dyDescent="0.2">
      <c r="A7" s="1903" t="s">
        <v>1021</v>
      </c>
      <c r="B7" s="1064" t="s">
        <v>1760</v>
      </c>
      <c r="C7" s="1064" t="s">
        <v>1761</v>
      </c>
      <c r="D7" s="1064" t="s">
        <v>1783</v>
      </c>
      <c r="E7" s="1064" t="s">
        <v>1762</v>
      </c>
    </row>
    <row r="8" spans="1:5" ht="16" customHeight="1" x14ac:dyDescent="0.2">
      <c r="A8" t="s">
        <v>1022</v>
      </c>
      <c r="B8" s="169" t="s">
        <v>1023</v>
      </c>
      <c r="C8" s="169" t="s">
        <v>262</v>
      </c>
      <c r="D8" s="169" t="s">
        <v>262</v>
      </c>
      <c r="E8" s="169" t="s">
        <v>262</v>
      </c>
    </row>
    <row r="9" spans="1:5" ht="16" customHeight="1" x14ac:dyDescent="0.2">
      <c r="A9" t="s">
        <v>262</v>
      </c>
      <c r="B9" s="169" t="s">
        <v>1024</v>
      </c>
      <c r="C9" s="169" t="s">
        <v>262</v>
      </c>
      <c r="D9" s="169" t="s">
        <v>262</v>
      </c>
      <c r="E9" s="169" t="s">
        <v>262</v>
      </c>
    </row>
    <row r="10" spans="1:5" ht="16" customHeight="1" x14ac:dyDescent="0.2">
      <c r="A10" t="s">
        <v>1025</v>
      </c>
      <c r="B10" s="169" t="s">
        <v>1026</v>
      </c>
      <c r="C10" s="169" t="s">
        <v>262</v>
      </c>
      <c r="D10" s="169" t="s">
        <v>262</v>
      </c>
      <c r="E10" s="169" t="s">
        <v>262</v>
      </c>
    </row>
    <row r="11" spans="1:5" ht="16" customHeight="1" x14ac:dyDescent="0.2">
      <c r="A11" t="s">
        <v>262</v>
      </c>
      <c r="B11" s="169" t="s">
        <v>1027</v>
      </c>
      <c r="C11" s="169" t="s">
        <v>262</v>
      </c>
      <c r="D11" s="169" t="s">
        <v>262</v>
      </c>
      <c r="E11" s="169" t="s">
        <v>262</v>
      </c>
    </row>
    <row r="12" spans="1:5" ht="16" customHeight="1" x14ac:dyDescent="0.2">
      <c r="A12" t="s">
        <v>1028</v>
      </c>
      <c r="B12" s="169" t="s">
        <v>1029</v>
      </c>
      <c r="C12" s="169" t="s">
        <v>262</v>
      </c>
      <c r="D12" s="169" t="s">
        <v>262</v>
      </c>
      <c r="E12" s="169" t="s">
        <v>262</v>
      </c>
    </row>
    <row r="13" spans="1:5" ht="16" customHeight="1" x14ac:dyDescent="0.2">
      <c r="A13" t="s">
        <v>262</v>
      </c>
      <c r="B13" s="169" t="s">
        <v>1030</v>
      </c>
      <c r="C13" s="169" t="s">
        <v>262</v>
      </c>
      <c r="D13" s="169" t="s">
        <v>262</v>
      </c>
      <c r="E13" s="169" t="s">
        <v>262</v>
      </c>
    </row>
    <row r="14" spans="1:5" ht="16" customHeight="1" x14ac:dyDescent="0.2">
      <c r="A14" t="s">
        <v>1031</v>
      </c>
      <c r="B14" s="169" t="s">
        <v>1032</v>
      </c>
      <c r="C14" s="169" t="s">
        <v>262</v>
      </c>
      <c r="D14" s="169" t="s">
        <v>262</v>
      </c>
      <c r="E14" s="169" t="s">
        <v>262</v>
      </c>
    </row>
    <row r="15" spans="1:5" ht="16" customHeight="1" x14ac:dyDescent="0.2">
      <c r="A15" t="s">
        <v>262</v>
      </c>
      <c r="B15" s="169" t="s">
        <v>1033</v>
      </c>
      <c r="C15" s="169" t="s">
        <v>262</v>
      </c>
      <c r="D15" s="169" t="s">
        <v>262</v>
      </c>
      <c r="E15" s="169" t="s">
        <v>262</v>
      </c>
    </row>
    <row r="16" spans="1:5" ht="16" customHeight="1" x14ac:dyDescent="0.2">
      <c r="A16" t="s">
        <v>1034</v>
      </c>
      <c r="B16" s="169" t="s">
        <v>1035</v>
      </c>
      <c r="C16" s="169" t="s">
        <v>262</v>
      </c>
      <c r="D16" s="169" t="s">
        <v>262</v>
      </c>
      <c r="E16" s="169" t="s">
        <v>262</v>
      </c>
    </row>
    <row r="17" spans="1:5" ht="16" customHeight="1" x14ac:dyDescent="0.2">
      <c r="A17" t="s">
        <v>262</v>
      </c>
      <c r="B17" s="169" t="s">
        <v>1036</v>
      </c>
      <c r="C17" s="169" t="s">
        <v>262</v>
      </c>
      <c r="D17" s="169" t="s">
        <v>262</v>
      </c>
      <c r="E17" s="169" t="s">
        <v>262</v>
      </c>
    </row>
    <row r="18" spans="1:5" ht="16" customHeight="1" x14ac:dyDescent="0.2">
      <c r="A18" t="s">
        <v>1037</v>
      </c>
      <c r="B18" s="169" t="s">
        <v>1038</v>
      </c>
      <c r="C18" s="169" t="s">
        <v>262</v>
      </c>
      <c r="D18" s="169" t="s">
        <v>262</v>
      </c>
      <c r="E18" s="169" t="s">
        <v>262</v>
      </c>
    </row>
    <row r="19" spans="1:5" ht="16" customHeight="1" x14ac:dyDescent="0.2">
      <c r="A19" t="s">
        <v>262</v>
      </c>
      <c r="B19" s="169" t="s">
        <v>1039</v>
      </c>
      <c r="C19" s="169" t="s">
        <v>262</v>
      </c>
      <c r="D19" s="169" t="s">
        <v>262</v>
      </c>
      <c r="E19" s="169" t="s">
        <v>262</v>
      </c>
    </row>
    <row r="20" spans="1:5" ht="16" customHeight="1" x14ac:dyDescent="0.2">
      <c r="A20" t="s">
        <v>1040</v>
      </c>
      <c r="B20" s="169" t="s">
        <v>1041</v>
      </c>
      <c r="C20" s="169" t="s">
        <v>262</v>
      </c>
      <c r="D20" s="169" t="s">
        <v>262</v>
      </c>
      <c r="E20" s="169" t="s">
        <v>262</v>
      </c>
    </row>
    <row r="21" spans="1:5" ht="16" customHeight="1" x14ac:dyDescent="0.2">
      <c r="A21" t="s">
        <v>262</v>
      </c>
      <c r="B21" s="169" t="s">
        <v>1042</v>
      </c>
      <c r="C21" s="169" t="s">
        <v>262</v>
      </c>
      <c r="D21" s="169" t="s">
        <v>262</v>
      </c>
      <c r="E21" s="169" t="s">
        <v>262</v>
      </c>
    </row>
    <row r="22" spans="1:5" ht="16" customHeight="1" x14ac:dyDescent="0.2">
      <c r="A22" t="s">
        <v>1043</v>
      </c>
      <c r="B22" s="169" t="s">
        <v>1044</v>
      </c>
      <c r="C22" s="169" t="s">
        <v>262</v>
      </c>
      <c r="D22" s="169" t="s">
        <v>262</v>
      </c>
      <c r="E22" s="169" t="s">
        <v>262</v>
      </c>
    </row>
    <row r="23" spans="1:5" ht="16" customHeight="1" x14ac:dyDescent="0.2">
      <c r="A23" t="s">
        <v>262</v>
      </c>
      <c r="B23" s="169" t="s">
        <v>1045</v>
      </c>
      <c r="C23" s="169" t="s">
        <v>262</v>
      </c>
      <c r="D23" s="169" t="s">
        <v>262</v>
      </c>
      <c r="E23" s="169" t="s">
        <v>262</v>
      </c>
    </row>
    <row r="24" spans="1:5" ht="16" customHeight="1" x14ac:dyDescent="0.2">
      <c r="A24" t="s">
        <v>1046</v>
      </c>
      <c r="B24" s="169" t="s">
        <v>1047</v>
      </c>
      <c r="C24" s="169" t="s">
        <v>262</v>
      </c>
      <c r="D24" s="169" t="s">
        <v>262</v>
      </c>
      <c r="E24" s="169" t="s">
        <v>262</v>
      </c>
    </row>
    <row r="25" spans="1:5" ht="16" customHeight="1" x14ac:dyDescent="0.2">
      <c r="A25" t="s">
        <v>262</v>
      </c>
      <c r="B25" s="169" t="s">
        <v>1048</v>
      </c>
      <c r="C25" s="169" t="s">
        <v>262</v>
      </c>
      <c r="D25" s="169" t="s">
        <v>262</v>
      </c>
      <c r="E25" s="169" t="s">
        <v>262</v>
      </c>
    </row>
    <row r="26" spans="1:5" ht="16" customHeight="1" x14ac:dyDescent="0.2">
      <c r="A26" t="s">
        <v>1049</v>
      </c>
      <c r="B26" s="169" t="s">
        <v>1050</v>
      </c>
      <c r="C26" s="169" t="s">
        <v>262</v>
      </c>
      <c r="D26" s="169" t="s">
        <v>262</v>
      </c>
      <c r="E26" s="169" t="s">
        <v>262</v>
      </c>
    </row>
    <row r="27" spans="1:5" ht="16" customHeight="1" x14ac:dyDescent="0.2">
      <c r="A27" t="s">
        <v>262</v>
      </c>
      <c r="B27" s="169" t="s">
        <v>1051</v>
      </c>
      <c r="C27" s="169" t="s">
        <v>262</v>
      </c>
      <c r="D27" s="169" t="s">
        <v>262</v>
      </c>
      <c r="E27" s="169" t="s">
        <v>262</v>
      </c>
    </row>
    <row r="28" spans="1:5" ht="16" customHeight="1" x14ac:dyDescent="0.2">
      <c r="A28" t="s">
        <v>1052</v>
      </c>
      <c r="B28" s="169" t="s">
        <v>1053</v>
      </c>
      <c r="C28" s="169" t="s">
        <v>262</v>
      </c>
      <c r="D28" s="169" t="s">
        <v>262</v>
      </c>
      <c r="E28" s="169" t="s">
        <v>262</v>
      </c>
    </row>
    <row r="29" spans="1:5" ht="16" customHeight="1" x14ac:dyDescent="0.2">
      <c r="A29" t="s">
        <v>262</v>
      </c>
      <c r="B29" s="169" t="s">
        <v>1054</v>
      </c>
      <c r="C29" s="169" t="s">
        <v>262</v>
      </c>
      <c r="D29" s="169" t="s">
        <v>262</v>
      </c>
      <c r="E29" s="169" t="s">
        <v>262</v>
      </c>
    </row>
    <row r="30" spans="1:5" ht="16" customHeight="1" x14ac:dyDescent="0.2">
      <c r="A30" t="s">
        <v>1055</v>
      </c>
      <c r="B30" s="169" t="s">
        <v>1056</v>
      </c>
      <c r="C30" s="169" t="s">
        <v>1057</v>
      </c>
      <c r="D30" s="169" t="s">
        <v>262</v>
      </c>
      <c r="E30" s="169" t="s">
        <v>262</v>
      </c>
    </row>
    <row r="31" spans="1:5" ht="16" customHeight="1" x14ac:dyDescent="0.2">
      <c r="A31" t="s">
        <v>262</v>
      </c>
      <c r="B31" s="169" t="s">
        <v>1058</v>
      </c>
      <c r="C31" s="169" t="s">
        <v>1059</v>
      </c>
      <c r="D31" s="169" t="s">
        <v>262</v>
      </c>
      <c r="E31" s="169" t="s">
        <v>262</v>
      </c>
    </row>
    <row r="32" spans="1:5" ht="16" customHeight="1" x14ac:dyDescent="0.2">
      <c r="A32" t="s">
        <v>1932</v>
      </c>
      <c r="B32" s="169" t="s">
        <v>1766</v>
      </c>
      <c r="C32" s="169" t="s">
        <v>1773</v>
      </c>
      <c r="D32" s="169" t="s">
        <v>262</v>
      </c>
      <c r="E32" s="169" t="s">
        <v>1784</v>
      </c>
    </row>
    <row r="33" spans="1:5" ht="16" customHeight="1" x14ac:dyDescent="0.2">
      <c r="A33" t="s">
        <v>262</v>
      </c>
      <c r="B33" s="169" t="s">
        <v>1763</v>
      </c>
      <c r="C33" s="169" t="s">
        <v>1464</v>
      </c>
      <c r="D33" s="169" t="s">
        <v>262</v>
      </c>
      <c r="E33" s="169" t="s">
        <v>1346</v>
      </c>
    </row>
    <row r="34" spans="1:5" ht="16" customHeight="1" x14ac:dyDescent="0.2">
      <c r="A34" t="s">
        <v>1060</v>
      </c>
      <c r="B34" s="169" t="s">
        <v>1061</v>
      </c>
      <c r="C34" s="169" t="s">
        <v>1062</v>
      </c>
      <c r="D34" s="169" t="s">
        <v>262</v>
      </c>
      <c r="E34" s="169" t="s">
        <v>1785</v>
      </c>
    </row>
    <row r="35" spans="1:5" ht="16" customHeight="1" x14ac:dyDescent="0.2">
      <c r="A35" t="s">
        <v>262</v>
      </c>
      <c r="B35" s="169" t="s">
        <v>1063</v>
      </c>
      <c r="C35" s="169" t="s">
        <v>1064</v>
      </c>
      <c r="D35" s="169" t="s">
        <v>262</v>
      </c>
      <c r="E35" s="169" t="s">
        <v>1786</v>
      </c>
    </row>
    <row r="36" spans="1:5" ht="16" customHeight="1" x14ac:dyDescent="0.2">
      <c r="A36" t="s">
        <v>1065</v>
      </c>
      <c r="B36" s="169" t="s">
        <v>1066</v>
      </c>
      <c r="C36" s="169" t="s">
        <v>1067</v>
      </c>
      <c r="D36" s="169" t="s">
        <v>262</v>
      </c>
      <c r="E36" s="169" t="s">
        <v>1787</v>
      </c>
    </row>
    <row r="37" spans="1:5" ht="16" customHeight="1" x14ac:dyDescent="0.2">
      <c r="A37" t="s">
        <v>262</v>
      </c>
      <c r="B37" s="169" t="s">
        <v>1068</v>
      </c>
      <c r="C37" s="169" t="s">
        <v>1069</v>
      </c>
      <c r="D37" s="169" t="s">
        <v>262</v>
      </c>
      <c r="E37" s="169" t="s">
        <v>1788</v>
      </c>
    </row>
    <row r="38" spans="1:5" ht="16" customHeight="1" x14ac:dyDescent="0.2">
      <c r="A38" t="s">
        <v>1070</v>
      </c>
      <c r="B38" s="169" t="s">
        <v>1071</v>
      </c>
      <c r="C38" s="169" t="s">
        <v>1072</v>
      </c>
      <c r="D38" s="169" t="s">
        <v>262</v>
      </c>
      <c r="E38" s="169" t="s">
        <v>1789</v>
      </c>
    </row>
    <row r="39" spans="1:5" ht="16" customHeight="1" x14ac:dyDescent="0.2">
      <c r="A39" t="s">
        <v>262</v>
      </c>
      <c r="B39" s="169" t="s">
        <v>1073</v>
      </c>
      <c r="C39" s="169" t="s">
        <v>1074</v>
      </c>
      <c r="D39" s="169" t="s">
        <v>262</v>
      </c>
      <c r="E39" s="169" t="s">
        <v>1790</v>
      </c>
    </row>
    <row r="40" spans="1:5" ht="16" customHeight="1" x14ac:dyDescent="0.2">
      <c r="A40" t="s">
        <v>1075</v>
      </c>
      <c r="B40" s="169" t="s">
        <v>1076</v>
      </c>
      <c r="C40" s="169" t="s">
        <v>1077</v>
      </c>
      <c r="D40" s="169" t="s">
        <v>1078</v>
      </c>
      <c r="E40" s="169" t="s">
        <v>1791</v>
      </c>
    </row>
    <row r="41" spans="1:5" ht="16" customHeight="1" x14ac:dyDescent="0.2">
      <c r="A41" t="s">
        <v>262</v>
      </c>
      <c r="B41" s="169" t="s">
        <v>1079</v>
      </c>
      <c r="C41" s="169" t="s">
        <v>1080</v>
      </c>
      <c r="D41" s="169" t="s">
        <v>1051</v>
      </c>
      <c r="E41" s="169" t="s">
        <v>1792</v>
      </c>
    </row>
    <row r="42" spans="1:5" ht="16" customHeight="1" x14ac:dyDescent="0.2">
      <c r="A42" t="s">
        <v>1081</v>
      </c>
      <c r="B42" s="169" t="s">
        <v>1082</v>
      </c>
      <c r="C42" s="169" t="s">
        <v>1083</v>
      </c>
      <c r="D42" s="169" t="s">
        <v>262</v>
      </c>
      <c r="E42" s="169" t="s">
        <v>1793</v>
      </c>
    </row>
    <row r="43" spans="1:5" ht="16" customHeight="1" x14ac:dyDescent="0.2">
      <c r="A43" t="s">
        <v>262</v>
      </c>
      <c r="B43" s="169" t="s">
        <v>1084</v>
      </c>
      <c r="C43" s="169" t="s">
        <v>1774</v>
      </c>
      <c r="D43" s="169" t="s">
        <v>262</v>
      </c>
      <c r="E43" s="169" t="s">
        <v>1790</v>
      </c>
    </row>
    <row r="44" spans="1:5" ht="16" customHeight="1" x14ac:dyDescent="0.2">
      <c r="A44" t="s">
        <v>1085</v>
      </c>
      <c r="B44" s="169" t="s">
        <v>1086</v>
      </c>
      <c r="C44" s="169" t="s">
        <v>1087</v>
      </c>
      <c r="D44" s="169" t="s">
        <v>262</v>
      </c>
      <c r="E44" s="169" t="s">
        <v>1794</v>
      </c>
    </row>
    <row r="45" spans="1:5" ht="16" customHeight="1" x14ac:dyDescent="0.2">
      <c r="A45" t="s">
        <v>262</v>
      </c>
      <c r="B45" s="169" t="s">
        <v>1088</v>
      </c>
      <c r="C45" s="169" t="s">
        <v>1089</v>
      </c>
      <c r="D45" s="169" t="s">
        <v>262</v>
      </c>
      <c r="E45" s="169" t="s">
        <v>1795</v>
      </c>
    </row>
    <row r="46" spans="1:5" ht="16" customHeight="1" x14ac:dyDescent="0.2">
      <c r="A46" t="s">
        <v>1090</v>
      </c>
      <c r="B46" s="169" t="s">
        <v>1091</v>
      </c>
      <c r="C46" s="169" t="s">
        <v>1092</v>
      </c>
      <c r="D46" s="169" t="s">
        <v>262</v>
      </c>
      <c r="E46" s="169" t="s">
        <v>1796</v>
      </c>
    </row>
    <row r="47" spans="1:5" ht="16" customHeight="1" x14ac:dyDescent="0.2">
      <c r="A47" t="s">
        <v>262</v>
      </c>
      <c r="B47" s="169" t="s">
        <v>1093</v>
      </c>
      <c r="C47" s="169" t="s">
        <v>1094</v>
      </c>
      <c r="D47" s="169" t="s">
        <v>262</v>
      </c>
      <c r="E47" s="169" t="s">
        <v>1797</v>
      </c>
    </row>
    <row r="48" spans="1:5" ht="16" customHeight="1" x14ac:dyDescent="0.2">
      <c r="A48" t="s">
        <v>1095</v>
      </c>
      <c r="B48" s="169" t="s">
        <v>1096</v>
      </c>
      <c r="C48" s="169" t="s">
        <v>1097</v>
      </c>
      <c r="D48" s="169" t="s">
        <v>262</v>
      </c>
      <c r="E48" s="169" t="s">
        <v>1798</v>
      </c>
    </row>
    <row r="49" spans="1:9" ht="16" customHeight="1" x14ac:dyDescent="0.2">
      <c r="A49" t="s">
        <v>262</v>
      </c>
      <c r="B49" s="169" t="s">
        <v>1098</v>
      </c>
      <c r="C49" s="169" t="s">
        <v>1099</v>
      </c>
      <c r="D49" s="169" t="s">
        <v>262</v>
      </c>
      <c r="E49" s="169" t="s">
        <v>1799</v>
      </c>
    </row>
    <row r="50" spans="1:9" ht="16" customHeight="1" x14ac:dyDescent="0.2">
      <c r="A50" t="s">
        <v>1100</v>
      </c>
      <c r="B50" s="169" t="s">
        <v>1101</v>
      </c>
      <c r="C50" s="169" t="s">
        <v>1102</v>
      </c>
      <c r="D50" s="169" t="s">
        <v>1103</v>
      </c>
      <c r="E50" s="169" t="s">
        <v>1800</v>
      </c>
      <c r="F50" s="129"/>
      <c r="G50" s="129"/>
      <c r="H50" s="129"/>
      <c r="I50" s="129"/>
    </row>
    <row r="51" spans="1:9" ht="16" customHeight="1" x14ac:dyDescent="0.2">
      <c r="A51" t="s">
        <v>262</v>
      </c>
      <c r="B51" s="169" t="s">
        <v>1104</v>
      </c>
      <c r="C51" s="169" t="s">
        <v>1105</v>
      </c>
      <c r="D51" s="169" t="s">
        <v>1106</v>
      </c>
      <c r="E51" s="169" t="s">
        <v>1801</v>
      </c>
    </row>
    <row r="52" spans="1:9" ht="16" customHeight="1" x14ac:dyDescent="0.2">
      <c r="A52" t="s">
        <v>1107</v>
      </c>
      <c r="B52" s="169" t="s">
        <v>1108</v>
      </c>
      <c r="C52" s="169" t="s">
        <v>1109</v>
      </c>
      <c r="D52" s="169" t="s">
        <v>262</v>
      </c>
      <c r="E52" s="169" t="s">
        <v>1802</v>
      </c>
      <c r="F52" s="129"/>
      <c r="G52" s="129"/>
      <c r="H52" s="129"/>
      <c r="I52" s="129"/>
    </row>
    <row r="53" spans="1:9" ht="16" customHeight="1" x14ac:dyDescent="0.2">
      <c r="A53" t="s">
        <v>262</v>
      </c>
      <c r="B53" s="169" t="s">
        <v>1110</v>
      </c>
      <c r="C53" s="169" t="s">
        <v>1111</v>
      </c>
      <c r="D53" s="169" t="s">
        <v>262</v>
      </c>
      <c r="E53" s="169" t="s">
        <v>1803</v>
      </c>
    </row>
    <row r="54" spans="1:9" ht="16" customHeight="1" x14ac:dyDescent="0.2">
      <c r="A54" t="s">
        <v>1113</v>
      </c>
      <c r="B54" s="169" t="s">
        <v>1114</v>
      </c>
      <c r="C54" s="169" t="s">
        <v>1115</v>
      </c>
      <c r="D54" s="169" t="s">
        <v>262</v>
      </c>
      <c r="E54" s="169" t="s">
        <v>1804</v>
      </c>
      <c r="F54" s="129"/>
      <c r="G54" s="129"/>
      <c r="H54" s="129"/>
      <c r="I54" s="129"/>
    </row>
    <row r="55" spans="1:9" ht="16" customHeight="1" x14ac:dyDescent="0.2">
      <c r="A55" t="s">
        <v>262</v>
      </c>
      <c r="B55" s="169" t="s">
        <v>1116</v>
      </c>
      <c r="C55" s="169" t="s">
        <v>1105</v>
      </c>
      <c r="D55" s="169" t="s">
        <v>262</v>
      </c>
      <c r="E55" s="169" t="s">
        <v>1805</v>
      </c>
    </row>
    <row r="56" spans="1:9" ht="16" customHeight="1" x14ac:dyDescent="0.2">
      <c r="A56" t="s">
        <v>1117</v>
      </c>
      <c r="B56" s="169" t="s">
        <v>1118</v>
      </c>
      <c r="C56" s="169" t="s">
        <v>1119</v>
      </c>
      <c r="D56" s="169" t="s">
        <v>262</v>
      </c>
      <c r="E56" s="169" t="s">
        <v>1806</v>
      </c>
      <c r="F56" s="129"/>
      <c r="G56" s="129"/>
      <c r="H56" s="129"/>
      <c r="I56" s="129"/>
    </row>
    <row r="57" spans="1:9" ht="16" customHeight="1" x14ac:dyDescent="0.2">
      <c r="A57" t="s">
        <v>262</v>
      </c>
      <c r="B57" s="169" t="s">
        <v>1120</v>
      </c>
      <c r="C57" s="169" t="s">
        <v>1121</v>
      </c>
      <c r="D57" s="169" t="s">
        <v>262</v>
      </c>
      <c r="E57" s="169" t="s">
        <v>1807</v>
      </c>
    </row>
    <row r="58" spans="1:9" ht="16" customHeight="1" x14ac:dyDescent="0.2">
      <c r="A58" t="s">
        <v>1122</v>
      </c>
      <c r="B58" s="169" t="s">
        <v>1123</v>
      </c>
      <c r="C58" s="169" t="s">
        <v>1124</v>
      </c>
      <c r="D58" s="169" t="s">
        <v>262</v>
      </c>
      <c r="E58" s="169" t="s">
        <v>1808</v>
      </c>
      <c r="F58" s="129"/>
      <c r="G58" s="129"/>
      <c r="H58" s="129"/>
      <c r="I58" s="129"/>
    </row>
    <row r="59" spans="1:9" ht="16" customHeight="1" x14ac:dyDescent="0.2">
      <c r="A59" t="s">
        <v>262</v>
      </c>
      <c r="B59" s="169" t="s">
        <v>1125</v>
      </c>
      <c r="C59" s="169" t="s">
        <v>1126</v>
      </c>
      <c r="D59" s="169" t="s">
        <v>262</v>
      </c>
      <c r="E59" s="169" t="s">
        <v>1809</v>
      </c>
    </row>
    <row r="60" spans="1:9" ht="16" customHeight="1" x14ac:dyDescent="0.2">
      <c r="A60" t="s">
        <v>1127</v>
      </c>
      <c r="B60" s="169" t="s">
        <v>1128</v>
      </c>
      <c r="C60" s="169" t="s">
        <v>1129</v>
      </c>
      <c r="D60" s="169" t="s">
        <v>1130</v>
      </c>
      <c r="E60" s="169" t="s">
        <v>1810</v>
      </c>
      <c r="F60" s="129"/>
      <c r="G60" s="129"/>
      <c r="H60" s="129"/>
      <c r="I60" s="129"/>
    </row>
    <row r="61" spans="1:9" ht="16" customHeight="1" x14ac:dyDescent="0.2">
      <c r="A61" t="s">
        <v>262</v>
      </c>
      <c r="B61" s="169" t="s">
        <v>1131</v>
      </c>
      <c r="C61" s="169" t="s">
        <v>1132</v>
      </c>
      <c r="D61" s="169" t="s">
        <v>1133</v>
      </c>
      <c r="E61" s="169" t="s">
        <v>1811</v>
      </c>
    </row>
    <row r="62" spans="1:9" ht="16" customHeight="1" x14ac:dyDescent="0.2">
      <c r="A62" t="s">
        <v>1134</v>
      </c>
      <c r="B62" s="169" t="s">
        <v>1135</v>
      </c>
      <c r="C62" s="169" t="s">
        <v>1136</v>
      </c>
      <c r="D62" s="169" t="s">
        <v>262</v>
      </c>
      <c r="E62" s="169" t="s">
        <v>1812</v>
      </c>
      <c r="F62" s="129"/>
      <c r="G62" s="129"/>
      <c r="H62" s="129"/>
      <c r="I62" s="129"/>
    </row>
    <row r="63" spans="1:9" ht="16" customHeight="1" x14ac:dyDescent="0.2">
      <c r="A63" t="s">
        <v>262</v>
      </c>
      <c r="B63" s="169" t="s">
        <v>1137</v>
      </c>
      <c r="C63" s="169" t="s">
        <v>1138</v>
      </c>
      <c r="D63" s="169" t="s">
        <v>262</v>
      </c>
      <c r="E63" s="169" t="s">
        <v>1813</v>
      </c>
    </row>
    <row r="64" spans="1:9" ht="16" customHeight="1" x14ac:dyDescent="0.2">
      <c r="A64" t="s">
        <v>1139</v>
      </c>
      <c r="B64" s="169" t="s">
        <v>1140</v>
      </c>
      <c r="C64" s="169" t="s">
        <v>1141</v>
      </c>
      <c r="D64" s="169" t="s">
        <v>262</v>
      </c>
      <c r="E64" s="169" t="s">
        <v>1814</v>
      </c>
      <c r="F64" s="129"/>
      <c r="G64" s="129"/>
      <c r="H64" s="129"/>
      <c r="I64" s="129"/>
    </row>
    <row r="65" spans="1:9" ht="16" customHeight="1" x14ac:dyDescent="0.2">
      <c r="A65" t="s">
        <v>262</v>
      </c>
      <c r="B65" s="169" t="s">
        <v>1142</v>
      </c>
      <c r="C65" s="169" t="s">
        <v>1143</v>
      </c>
      <c r="D65" s="169" t="s">
        <v>262</v>
      </c>
      <c r="E65" s="169" t="s">
        <v>1815</v>
      </c>
    </row>
    <row r="66" spans="1:9" ht="16" customHeight="1" x14ac:dyDescent="0.2">
      <c r="A66" t="s">
        <v>1144</v>
      </c>
      <c r="B66" s="169" t="s">
        <v>1145</v>
      </c>
      <c r="C66" s="169" t="s">
        <v>1146</v>
      </c>
      <c r="D66" s="169" t="s">
        <v>262</v>
      </c>
      <c r="E66" s="169" t="s">
        <v>1816</v>
      </c>
      <c r="F66" s="129"/>
      <c r="G66" s="129"/>
      <c r="H66" s="129"/>
      <c r="I66" s="129"/>
    </row>
    <row r="67" spans="1:9" ht="16" customHeight="1" x14ac:dyDescent="0.2">
      <c r="A67" t="s">
        <v>262</v>
      </c>
      <c r="B67" s="169" t="s">
        <v>1147</v>
      </c>
      <c r="C67" s="169" t="s">
        <v>1148</v>
      </c>
      <c r="D67" s="169" t="s">
        <v>262</v>
      </c>
      <c r="E67" s="169" t="s">
        <v>1112</v>
      </c>
    </row>
    <row r="68" spans="1:9" ht="16" customHeight="1" x14ac:dyDescent="0.2">
      <c r="A68" t="s">
        <v>1149</v>
      </c>
      <c r="B68" s="169" t="s">
        <v>1141</v>
      </c>
      <c r="C68" s="169" t="s">
        <v>1150</v>
      </c>
      <c r="D68" s="169" t="s">
        <v>262</v>
      </c>
      <c r="E68" s="169" t="s">
        <v>1817</v>
      </c>
      <c r="F68" s="129"/>
      <c r="G68" s="129"/>
      <c r="H68" s="129"/>
      <c r="I68" s="129"/>
    </row>
    <row r="69" spans="1:9" ht="16" customHeight="1" x14ac:dyDescent="0.2">
      <c r="A69" t="s">
        <v>262</v>
      </c>
      <c r="B69" s="169" t="s">
        <v>1151</v>
      </c>
      <c r="C69" s="169" t="s">
        <v>1152</v>
      </c>
      <c r="D69" s="169" t="s">
        <v>262</v>
      </c>
      <c r="E69" s="169" t="s">
        <v>1818</v>
      </c>
    </row>
    <row r="70" spans="1:9" ht="16" customHeight="1" x14ac:dyDescent="0.2">
      <c r="A70" t="s">
        <v>1153</v>
      </c>
      <c r="B70" s="169" t="s">
        <v>1154</v>
      </c>
      <c r="C70" s="169" t="s">
        <v>1155</v>
      </c>
      <c r="D70" s="169" t="s">
        <v>1156</v>
      </c>
      <c r="E70" s="169" t="s">
        <v>1819</v>
      </c>
      <c r="F70" s="129"/>
      <c r="G70" s="129"/>
      <c r="H70" s="129"/>
      <c r="I70" s="129"/>
    </row>
    <row r="71" spans="1:9" ht="16" customHeight="1" x14ac:dyDescent="0.2">
      <c r="A71" t="s">
        <v>262</v>
      </c>
      <c r="B71" s="169" t="s">
        <v>1157</v>
      </c>
      <c r="C71" s="169" t="s">
        <v>1158</v>
      </c>
      <c r="D71" s="169" t="s">
        <v>1159</v>
      </c>
      <c r="E71" s="169" t="s">
        <v>1175</v>
      </c>
    </row>
    <row r="72" spans="1:9" ht="16" customHeight="1" x14ac:dyDescent="0.2">
      <c r="A72" t="s">
        <v>1160</v>
      </c>
      <c r="B72" s="169" t="s">
        <v>1161</v>
      </c>
      <c r="C72" s="169" t="s">
        <v>1162</v>
      </c>
      <c r="D72" s="169" t="s">
        <v>262</v>
      </c>
      <c r="E72" s="169" t="s">
        <v>1820</v>
      </c>
      <c r="F72" s="129"/>
      <c r="G72" s="129"/>
      <c r="H72" s="129"/>
      <c r="I72" s="129"/>
    </row>
    <row r="73" spans="1:9" ht="16" customHeight="1" x14ac:dyDescent="0.2">
      <c r="A73" t="s">
        <v>262</v>
      </c>
      <c r="B73" s="169" t="s">
        <v>1163</v>
      </c>
      <c r="C73" s="169" t="s">
        <v>1164</v>
      </c>
      <c r="D73" s="169" t="s">
        <v>262</v>
      </c>
      <c r="E73" s="169" t="s">
        <v>1175</v>
      </c>
    </row>
    <row r="74" spans="1:9" ht="16" customHeight="1" x14ac:dyDescent="0.2">
      <c r="A74" t="s">
        <v>1165</v>
      </c>
      <c r="B74" s="169" t="s">
        <v>1166</v>
      </c>
      <c r="C74" s="169" t="s">
        <v>1167</v>
      </c>
      <c r="D74" s="169" t="s">
        <v>262</v>
      </c>
      <c r="E74" s="169" t="s">
        <v>1821</v>
      </c>
      <c r="F74" s="129"/>
      <c r="G74" s="129"/>
      <c r="H74" s="129"/>
      <c r="I74" s="129"/>
    </row>
    <row r="75" spans="1:9" s="1904" customFormat="1" ht="16" customHeight="1" x14ac:dyDescent="0.2">
      <c r="A75" t="s">
        <v>262</v>
      </c>
      <c r="B75" s="169" t="s">
        <v>1168</v>
      </c>
      <c r="C75" s="169" t="s">
        <v>1169</v>
      </c>
      <c r="D75" s="169" t="s">
        <v>262</v>
      </c>
      <c r="E75" s="169" t="s">
        <v>1822</v>
      </c>
      <c r="F75" s="128"/>
      <c r="G75" s="128"/>
      <c r="H75" s="128"/>
      <c r="I75" s="128"/>
    </row>
    <row r="76" spans="1:9" ht="16" customHeight="1" x14ac:dyDescent="0.2">
      <c r="A76" t="s">
        <v>1170</v>
      </c>
      <c r="B76" s="169" t="s">
        <v>1171</v>
      </c>
      <c r="C76" s="169" t="s">
        <v>1172</v>
      </c>
      <c r="D76" s="169" t="s">
        <v>262</v>
      </c>
      <c r="E76" s="169" t="s">
        <v>1823</v>
      </c>
      <c r="F76" s="129"/>
      <c r="G76" s="129"/>
      <c r="H76" s="129"/>
      <c r="I76" s="129"/>
    </row>
    <row r="77" spans="1:9" ht="16" customHeight="1" x14ac:dyDescent="0.2">
      <c r="A77" t="s">
        <v>262</v>
      </c>
      <c r="B77" s="169" t="s">
        <v>1173</v>
      </c>
      <c r="C77" s="169" t="s">
        <v>1174</v>
      </c>
      <c r="D77" s="169" t="s">
        <v>262</v>
      </c>
      <c r="E77" s="169" t="s">
        <v>1175</v>
      </c>
    </row>
    <row r="78" spans="1:9" ht="16" customHeight="1" x14ac:dyDescent="0.2">
      <c r="A78" t="s">
        <v>1176</v>
      </c>
      <c r="B78" s="169" t="s">
        <v>1177</v>
      </c>
      <c r="C78" s="169" t="s">
        <v>1178</v>
      </c>
      <c r="D78" s="169" t="s">
        <v>262</v>
      </c>
      <c r="E78" s="169" t="s">
        <v>1824</v>
      </c>
      <c r="F78" s="129"/>
      <c r="G78" s="129"/>
      <c r="H78" s="129"/>
      <c r="I78" s="129"/>
    </row>
    <row r="79" spans="1:9" ht="16" customHeight="1" x14ac:dyDescent="0.2">
      <c r="A79" t="s">
        <v>262</v>
      </c>
      <c r="B79" s="169" t="s">
        <v>1179</v>
      </c>
      <c r="C79" s="169" t="s">
        <v>1180</v>
      </c>
      <c r="D79" s="169" t="s">
        <v>262</v>
      </c>
      <c r="E79" s="169" t="s">
        <v>1175</v>
      </c>
    </row>
    <row r="80" spans="1:9" ht="16" hidden="1" customHeight="1" x14ac:dyDescent="0.2">
      <c r="A80" t="s">
        <v>1181</v>
      </c>
      <c r="B80" s="169" t="s">
        <v>1182</v>
      </c>
      <c r="C80" s="169" t="s">
        <v>262</v>
      </c>
      <c r="D80" s="169" t="s">
        <v>262</v>
      </c>
      <c r="E80" s="169" t="s">
        <v>262</v>
      </c>
      <c r="F80" s="129"/>
      <c r="G80" s="129"/>
      <c r="H80" s="129"/>
      <c r="I80" s="129"/>
    </row>
    <row r="81" spans="1:9" ht="16" hidden="1" customHeight="1" x14ac:dyDescent="0.2">
      <c r="A81" t="s">
        <v>262</v>
      </c>
      <c r="B81" s="169" t="s">
        <v>1183</v>
      </c>
      <c r="C81" s="169" t="s">
        <v>262</v>
      </c>
      <c r="D81" s="169" t="s">
        <v>262</v>
      </c>
      <c r="E81" s="169" t="s">
        <v>262</v>
      </c>
    </row>
    <row r="82" spans="1:9" ht="16" hidden="1" customHeight="1" x14ac:dyDescent="0.2">
      <c r="A82" t="s">
        <v>1184</v>
      </c>
      <c r="B82" s="169" t="s">
        <v>1185</v>
      </c>
      <c r="C82" s="169" t="s">
        <v>262</v>
      </c>
      <c r="D82" s="169" t="s">
        <v>262</v>
      </c>
      <c r="E82" s="169" t="s">
        <v>262</v>
      </c>
      <c r="F82" s="129"/>
      <c r="G82" s="129"/>
      <c r="H82" s="129"/>
      <c r="I82" s="129"/>
    </row>
    <row r="83" spans="1:9" ht="16" hidden="1" customHeight="1" x14ac:dyDescent="0.2">
      <c r="A83" t="s">
        <v>262</v>
      </c>
      <c r="B83" s="169" t="s">
        <v>1186</v>
      </c>
      <c r="C83" s="169" t="s">
        <v>262</v>
      </c>
      <c r="D83" s="169" t="s">
        <v>262</v>
      </c>
      <c r="E83" s="169" t="s">
        <v>262</v>
      </c>
    </row>
    <row r="84" spans="1:9" ht="16" hidden="1" customHeight="1" x14ac:dyDescent="0.2">
      <c r="A84" t="s">
        <v>1187</v>
      </c>
      <c r="B84" s="169" t="s">
        <v>1188</v>
      </c>
      <c r="C84" s="169" t="s">
        <v>262</v>
      </c>
      <c r="D84" s="169" t="s">
        <v>262</v>
      </c>
      <c r="E84" s="169" t="s">
        <v>262</v>
      </c>
      <c r="F84" s="129"/>
      <c r="G84" s="129"/>
      <c r="H84" s="129"/>
      <c r="I84" s="129"/>
    </row>
    <row r="85" spans="1:9" ht="16" hidden="1" customHeight="1" x14ac:dyDescent="0.2">
      <c r="A85" t="s">
        <v>262</v>
      </c>
      <c r="B85" s="169" t="s">
        <v>1189</v>
      </c>
      <c r="C85" s="169" t="s">
        <v>262</v>
      </c>
      <c r="D85" s="169" t="s">
        <v>262</v>
      </c>
      <c r="E85" s="169" t="s">
        <v>262</v>
      </c>
    </row>
    <row r="86" spans="1:9" ht="16" hidden="1" customHeight="1" x14ac:dyDescent="0.2">
      <c r="A86" t="s">
        <v>1190</v>
      </c>
      <c r="B86" s="169" t="s">
        <v>1191</v>
      </c>
      <c r="C86" s="169" t="s">
        <v>262</v>
      </c>
      <c r="D86" s="169" t="s">
        <v>262</v>
      </c>
      <c r="E86" s="169" t="s">
        <v>262</v>
      </c>
      <c r="F86" s="129"/>
      <c r="G86" s="129"/>
      <c r="H86" s="129"/>
      <c r="I86" s="129"/>
    </row>
    <row r="87" spans="1:9" ht="16" hidden="1" customHeight="1" x14ac:dyDescent="0.2">
      <c r="A87" t="s">
        <v>262</v>
      </c>
      <c r="B87" s="169" t="s">
        <v>1192</v>
      </c>
      <c r="C87" s="169" t="s">
        <v>262</v>
      </c>
      <c r="D87" s="169" t="s">
        <v>262</v>
      </c>
      <c r="E87" s="169" t="s">
        <v>262</v>
      </c>
    </row>
    <row r="88" spans="1:9" ht="16" hidden="1" customHeight="1" x14ac:dyDescent="0.2">
      <c r="A88" t="s">
        <v>1193</v>
      </c>
      <c r="B88" s="169" t="s">
        <v>1194</v>
      </c>
      <c r="C88" s="169" t="s">
        <v>262</v>
      </c>
      <c r="D88" s="169" t="s">
        <v>262</v>
      </c>
      <c r="E88" s="169" t="s">
        <v>262</v>
      </c>
      <c r="F88" s="129"/>
      <c r="G88" s="129"/>
      <c r="H88" s="129"/>
      <c r="I88" s="129"/>
    </row>
    <row r="89" spans="1:9" ht="16" hidden="1" customHeight="1" x14ac:dyDescent="0.2">
      <c r="A89" t="s">
        <v>262</v>
      </c>
      <c r="B89" s="169" t="s">
        <v>1195</v>
      </c>
      <c r="C89" s="169" t="s">
        <v>262</v>
      </c>
      <c r="D89" s="169" t="s">
        <v>262</v>
      </c>
      <c r="E89" s="169" t="s">
        <v>262</v>
      </c>
    </row>
    <row r="90" spans="1:9" s="129" customFormat="1" ht="16" hidden="1" customHeight="1" x14ac:dyDescent="0.2">
      <c r="A90" t="s">
        <v>1196</v>
      </c>
      <c r="B90" s="169" t="s">
        <v>1197</v>
      </c>
      <c r="C90" s="169" t="s">
        <v>262</v>
      </c>
      <c r="D90" s="169" t="s">
        <v>262</v>
      </c>
      <c r="E90" s="169" t="s">
        <v>262</v>
      </c>
    </row>
    <row r="91" spans="1:9" s="129" customFormat="1" ht="16" hidden="1" customHeight="1" x14ac:dyDescent="0.2">
      <c r="A91" t="s">
        <v>262</v>
      </c>
      <c r="B91" s="169" t="s">
        <v>1198</v>
      </c>
      <c r="C91" s="169" t="s">
        <v>262</v>
      </c>
      <c r="D91" s="169" t="s">
        <v>262</v>
      </c>
      <c r="E91" s="169" t="s">
        <v>262</v>
      </c>
    </row>
    <row r="92" spans="1:9" s="129" customFormat="1" ht="16" hidden="1" customHeight="1" x14ac:dyDescent="0.2">
      <c r="A92" t="s">
        <v>1199</v>
      </c>
      <c r="B92" s="169" t="s">
        <v>1200</v>
      </c>
      <c r="C92" s="169" t="s">
        <v>262</v>
      </c>
      <c r="D92" s="169" t="s">
        <v>262</v>
      </c>
      <c r="E92" s="169" t="s">
        <v>262</v>
      </c>
    </row>
    <row r="93" spans="1:9" s="129" customFormat="1" ht="16" hidden="1" customHeight="1" x14ac:dyDescent="0.2">
      <c r="A93" t="s">
        <v>262</v>
      </c>
      <c r="B93" s="169" t="s">
        <v>1201</v>
      </c>
      <c r="C93" s="169" t="s">
        <v>262</v>
      </c>
      <c r="D93" s="169" t="s">
        <v>262</v>
      </c>
      <c r="E93" s="169" t="s">
        <v>262</v>
      </c>
    </row>
    <row r="94" spans="1:9" s="129" customFormat="1" ht="16" hidden="1" customHeight="1" x14ac:dyDescent="0.2">
      <c r="A94" t="s">
        <v>1202</v>
      </c>
      <c r="B94" s="169" t="s">
        <v>1203</v>
      </c>
      <c r="C94" s="169" t="s">
        <v>262</v>
      </c>
      <c r="D94" s="169" t="s">
        <v>262</v>
      </c>
      <c r="E94" s="169" t="s">
        <v>262</v>
      </c>
    </row>
    <row r="95" spans="1:9" s="129" customFormat="1" ht="16" hidden="1" customHeight="1" x14ac:dyDescent="0.2">
      <c r="A95" t="s">
        <v>262</v>
      </c>
      <c r="B95" s="169" t="s">
        <v>1204</v>
      </c>
      <c r="C95" s="169" t="s">
        <v>262</v>
      </c>
      <c r="D95" s="169" t="s">
        <v>262</v>
      </c>
      <c r="E95" s="169" t="s">
        <v>262</v>
      </c>
    </row>
    <row r="96" spans="1:9" ht="16" hidden="1" customHeight="1" x14ac:dyDescent="0.2">
      <c r="A96" t="s">
        <v>1205</v>
      </c>
      <c r="B96" s="169" t="s">
        <v>1206</v>
      </c>
      <c r="C96" s="169" t="s">
        <v>262</v>
      </c>
      <c r="D96" s="169" t="s">
        <v>262</v>
      </c>
      <c r="E96" s="169" t="s">
        <v>262</v>
      </c>
    </row>
    <row r="97" spans="1:5" s="129" customFormat="1" ht="16" hidden="1" customHeight="1" x14ac:dyDescent="0.2">
      <c r="A97" t="s">
        <v>262</v>
      </c>
      <c r="B97" s="169" t="s">
        <v>1207</v>
      </c>
      <c r="C97" s="169" t="s">
        <v>262</v>
      </c>
      <c r="D97" s="169" t="s">
        <v>262</v>
      </c>
      <c r="E97" s="169" t="s">
        <v>262</v>
      </c>
    </row>
    <row r="98" spans="1:5" ht="16" hidden="1" customHeight="1" x14ac:dyDescent="0.2">
      <c r="A98" t="s">
        <v>1208</v>
      </c>
      <c r="B98" s="169" t="s">
        <v>1209</v>
      </c>
      <c r="C98" s="169" t="s">
        <v>262</v>
      </c>
      <c r="D98" s="169" t="s">
        <v>262</v>
      </c>
      <c r="E98" s="169" t="s">
        <v>262</v>
      </c>
    </row>
    <row r="99" spans="1:5" ht="16" hidden="1" customHeight="1" x14ac:dyDescent="0.2">
      <c r="A99" t="s">
        <v>262</v>
      </c>
      <c r="B99" s="169" t="s">
        <v>1210</v>
      </c>
      <c r="C99" s="169" t="s">
        <v>262</v>
      </c>
      <c r="D99" s="169" t="s">
        <v>262</v>
      </c>
      <c r="E99" s="169" t="s">
        <v>262</v>
      </c>
    </row>
    <row r="100" spans="1:5" ht="16" hidden="1" customHeight="1" x14ac:dyDescent="0.2">
      <c r="A100" t="s">
        <v>1211</v>
      </c>
      <c r="B100" s="169" t="s">
        <v>1212</v>
      </c>
      <c r="C100" s="169" t="s">
        <v>262</v>
      </c>
      <c r="D100" s="169" t="s">
        <v>262</v>
      </c>
      <c r="E100" s="169" t="s">
        <v>262</v>
      </c>
    </row>
    <row r="101" spans="1:5" ht="16" hidden="1" customHeight="1" x14ac:dyDescent="0.2">
      <c r="A101" t="s">
        <v>262</v>
      </c>
      <c r="B101" s="169" t="s">
        <v>1213</v>
      </c>
      <c r="C101" s="169" t="s">
        <v>262</v>
      </c>
      <c r="D101" s="169" t="s">
        <v>262</v>
      </c>
      <c r="E101" s="169" t="s">
        <v>262</v>
      </c>
    </row>
    <row r="102" spans="1:5" ht="16" hidden="1" customHeight="1" x14ac:dyDescent="0.2">
      <c r="A102" t="s">
        <v>1214</v>
      </c>
      <c r="B102" s="169" t="s">
        <v>1215</v>
      </c>
      <c r="C102" s="169" t="s">
        <v>1216</v>
      </c>
      <c r="D102" s="169" t="s">
        <v>262</v>
      </c>
      <c r="E102" s="169" t="s">
        <v>1825</v>
      </c>
    </row>
    <row r="103" spans="1:5" ht="16" hidden="1" customHeight="1" x14ac:dyDescent="0.2">
      <c r="A103" t="s">
        <v>262</v>
      </c>
      <c r="B103" s="169" t="s">
        <v>1217</v>
      </c>
      <c r="C103" s="169" t="s">
        <v>1218</v>
      </c>
      <c r="D103" s="169" t="s">
        <v>262</v>
      </c>
      <c r="E103" s="169" t="s">
        <v>1826</v>
      </c>
    </row>
    <row r="104" spans="1:5" ht="16" hidden="1" customHeight="1" x14ac:dyDescent="0.2">
      <c r="A104" t="s">
        <v>1933</v>
      </c>
      <c r="B104" s="169" t="s">
        <v>1767</v>
      </c>
      <c r="C104" s="169" t="s">
        <v>1775</v>
      </c>
      <c r="D104" s="169" t="s">
        <v>262</v>
      </c>
      <c r="E104" s="169" t="s">
        <v>1827</v>
      </c>
    </row>
    <row r="105" spans="1:5" ht="16" hidden="1" customHeight="1" x14ac:dyDescent="0.2">
      <c r="A105" t="s">
        <v>262</v>
      </c>
      <c r="B105" s="169" t="s">
        <v>1768</v>
      </c>
      <c r="C105" s="169" t="s">
        <v>1776</v>
      </c>
      <c r="D105" s="169" t="s">
        <v>262</v>
      </c>
      <c r="E105" s="169" t="s">
        <v>1828</v>
      </c>
    </row>
    <row r="106" spans="1:5" ht="16" hidden="1" customHeight="1" x14ac:dyDescent="0.2">
      <c r="A106" t="s">
        <v>1219</v>
      </c>
      <c r="B106" s="169" t="s">
        <v>1220</v>
      </c>
      <c r="C106" s="169" t="s">
        <v>1221</v>
      </c>
      <c r="D106" s="169" t="s">
        <v>262</v>
      </c>
      <c r="E106" s="169" t="s">
        <v>1829</v>
      </c>
    </row>
    <row r="107" spans="1:5" ht="16" hidden="1" customHeight="1" x14ac:dyDescent="0.2">
      <c r="A107" t="s">
        <v>262</v>
      </c>
      <c r="B107" s="169" t="s">
        <v>1222</v>
      </c>
      <c r="C107" s="169" t="s">
        <v>1223</v>
      </c>
      <c r="D107" s="169" t="s">
        <v>262</v>
      </c>
      <c r="E107" s="169" t="s">
        <v>1830</v>
      </c>
    </row>
    <row r="108" spans="1:5" ht="16" hidden="1" customHeight="1" x14ac:dyDescent="0.2">
      <c r="A108" t="s">
        <v>1224</v>
      </c>
      <c r="B108" s="169" t="s">
        <v>1225</v>
      </c>
      <c r="C108" s="169" t="s">
        <v>1226</v>
      </c>
      <c r="D108" s="169" t="s">
        <v>262</v>
      </c>
      <c r="E108" s="169" t="s">
        <v>1831</v>
      </c>
    </row>
    <row r="109" spans="1:5" ht="16" hidden="1" customHeight="1" x14ac:dyDescent="0.2">
      <c r="A109" t="s">
        <v>262</v>
      </c>
      <c r="B109" s="169" t="s">
        <v>1227</v>
      </c>
      <c r="C109" s="169" t="s">
        <v>1228</v>
      </c>
      <c r="D109" s="169" t="s">
        <v>262</v>
      </c>
      <c r="E109" s="169" t="s">
        <v>1832</v>
      </c>
    </row>
    <row r="110" spans="1:5" ht="16" hidden="1" customHeight="1" x14ac:dyDescent="0.2">
      <c r="A110" t="s">
        <v>1229</v>
      </c>
      <c r="B110" s="169" t="s">
        <v>1230</v>
      </c>
      <c r="C110" s="169" t="s">
        <v>1231</v>
      </c>
      <c r="D110" s="169" t="s">
        <v>262</v>
      </c>
      <c r="E110" s="169" t="s">
        <v>1833</v>
      </c>
    </row>
    <row r="111" spans="1:5" ht="16" hidden="1" customHeight="1" x14ac:dyDescent="0.2">
      <c r="A111" t="s">
        <v>262</v>
      </c>
      <c r="B111" s="169" t="s">
        <v>1232</v>
      </c>
      <c r="C111" s="169" t="s">
        <v>1233</v>
      </c>
      <c r="D111" s="169" t="s">
        <v>262</v>
      </c>
      <c r="E111" s="169" t="s">
        <v>1834</v>
      </c>
    </row>
    <row r="112" spans="1:5" ht="16" hidden="1" customHeight="1" x14ac:dyDescent="0.2">
      <c r="A112" t="s">
        <v>1234</v>
      </c>
      <c r="B112" s="169" t="s">
        <v>1235</v>
      </c>
      <c r="C112" s="169" t="s">
        <v>1236</v>
      </c>
      <c r="D112" s="169" t="s">
        <v>1238</v>
      </c>
      <c r="E112" s="169" t="s">
        <v>1835</v>
      </c>
    </row>
    <row r="113" spans="1:5" ht="16" hidden="1" customHeight="1" x14ac:dyDescent="0.2">
      <c r="A113" t="s">
        <v>262</v>
      </c>
      <c r="B113" s="169" t="s">
        <v>1239</v>
      </c>
      <c r="C113" s="169" t="s">
        <v>1240</v>
      </c>
      <c r="D113" s="169" t="s">
        <v>1241</v>
      </c>
      <c r="E113" s="169" t="s">
        <v>1836</v>
      </c>
    </row>
    <row r="114" spans="1:5" ht="16" hidden="1" customHeight="1" x14ac:dyDescent="0.2">
      <c r="A114" t="s">
        <v>1242</v>
      </c>
      <c r="B114" s="169" t="s">
        <v>1243</v>
      </c>
      <c r="C114" s="169" t="s">
        <v>1244</v>
      </c>
      <c r="D114" s="169" t="s">
        <v>262</v>
      </c>
      <c r="E114" s="169" t="s">
        <v>1837</v>
      </c>
    </row>
    <row r="115" spans="1:5" ht="16" hidden="1" customHeight="1" x14ac:dyDescent="0.2">
      <c r="A115" t="s">
        <v>262</v>
      </c>
      <c r="B115" s="169" t="s">
        <v>1245</v>
      </c>
      <c r="C115" s="169" t="s">
        <v>1246</v>
      </c>
      <c r="D115" s="169" t="s">
        <v>262</v>
      </c>
      <c r="E115" s="169" t="s">
        <v>1838</v>
      </c>
    </row>
    <row r="116" spans="1:5" ht="16" hidden="1" customHeight="1" x14ac:dyDescent="0.2">
      <c r="A116" t="s">
        <v>1247</v>
      </c>
      <c r="B116" s="169" t="s">
        <v>1248</v>
      </c>
      <c r="C116" s="169" t="s">
        <v>1249</v>
      </c>
      <c r="D116" s="169" t="s">
        <v>262</v>
      </c>
      <c r="E116" s="169" t="s">
        <v>1839</v>
      </c>
    </row>
    <row r="117" spans="1:5" ht="16" hidden="1" customHeight="1" x14ac:dyDescent="0.2">
      <c r="A117" t="s">
        <v>262</v>
      </c>
      <c r="B117" s="169" t="s">
        <v>1250</v>
      </c>
      <c r="C117" s="169" t="s">
        <v>1251</v>
      </c>
      <c r="D117" s="169" t="s">
        <v>262</v>
      </c>
      <c r="E117" s="169" t="s">
        <v>1840</v>
      </c>
    </row>
    <row r="118" spans="1:5" ht="16" hidden="1" customHeight="1" x14ac:dyDescent="0.2">
      <c r="A118" t="s">
        <v>1253</v>
      </c>
      <c r="B118" s="169" t="s">
        <v>1254</v>
      </c>
      <c r="C118" s="169" t="s">
        <v>1255</v>
      </c>
      <c r="D118" s="169" t="s">
        <v>262</v>
      </c>
      <c r="E118" s="169" t="s">
        <v>1841</v>
      </c>
    </row>
    <row r="119" spans="1:5" ht="16" hidden="1" customHeight="1" x14ac:dyDescent="0.2">
      <c r="A119" t="s">
        <v>262</v>
      </c>
      <c r="B119" s="169" t="s">
        <v>1256</v>
      </c>
      <c r="C119" s="169" t="s">
        <v>1257</v>
      </c>
      <c r="D119" s="169" t="s">
        <v>262</v>
      </c>
      <c r="E119" s="169" t="s">
        <v>1779</v>
      </c>
    </row>
    <row r="120" spans="1:5" ht="16" hidden="1" customHeight="1" x14ac:dyDescent="0.2">
      <c r="A120" t="s">
        <v>1258</v>
      </c>
      <c r="B120" s="169" t="s">
        <v>1259</v>
      </c>
      <c r="C120" s="169" t="s">
        <v>1260</v>
      </c>
      <c r="D120" s="169" t="s">
        <v>262</v>
      </c>
      <c r="E120" s="169" t="s">
        <v>1842</v>
      </c>
    </row>
    <row r="121" spans="1:5" ht="16" hidden="1" customHeight="1" x14ac:dyDescent="0.2">
      <c r="A121" t="s">
        <v>262</v>
      </c>
      <c r="B121" s="169" t="s">
        <v>1261</v>
      </c>
      <c r="C121" s="169" t="s">
        <v>1262</v>
      </c>
      <c r="D121" s="169" t="s">
        <v>262</v>
      </c>
      <c r="E121" s="169" t="s">
        <v>1843</v>
      </c>
    </row>
    <row r="122" spans="1:5" ht="16" hidden="1" customHeight="1" x14ac:dyDescent="0.2">
      <c r="A122" t="s">
        <v>1263</v>
      </c>
      <c r="B122" s="169" t="s">
        <v>1264</v>
      </c>
      <c r="C122" s="169" t="s">
        <v>1265</v>
      </c>
      <c r="D122" s="169" t="s">
        <v>1266</v>
      </c>
      <c r="E122" s="169" t="s">
        <v>1237</v>
      </c>
    </row>
    <row r="123" spans="1:5" ht="16" hidden="1" customHeight="1" x14ac:dyDescent="0.2">
      <c r="A123" t="s">
        <v>262</v>
      </c>
      <c r="B123" s="169" t="s">
        <v>1267</v>
      </c>
      <c r="C123" s="169" t="s">
        <v>1268</v>
      </c>
      <c r="D123" s="169" t="s">
        <v>1269</v>
      </c>
      <c r="E123" s="169" t="s">
        <v>1844</v>
      </c>
    </row>
    <row r="124" spans="1:5" ht="16" hidden="1" customHeight="1" x14ac:dyDescent="0.2">
      <c r="A124" t="s">
        <v>1270</v>
      </c>
      <c r="B124" s="169" t="s">
        <v>1271</v>
      </c>
      <c r="C124" s="169" t="s">
        <v>1272</v>
      </c>
      <c r="D124" s="169" t="s">
        <v>262</v>
      </c>
      <c r="E124" s="169" t="s">
        <v>1845</v>
      </c>
    </row>
    <row r="125" spans="1:5" ht="16" hidden="1" customHeight="1" x14ac:dyDescent="0.2">
      <c r="A125" t="s">
        <v>262</v>
      </c>
      <c r="B125" s="169" t="s">
        <v>1273</v>
      </c>
      <c r="C125" s="169" t="s">
        <v>1274</v>
      </c>
      <c r="D125" s="169" t="s">
        <v>262</v>
      </c>
      <c r="E125" s="169" t="s">
        <v>1846</v>
      </c>
    </row>
    <row r="126" spans="1:5" ht="16" hidden="1" customHeight="1" x14ac:dyDescent="0.2">
      <c r="A126" t="s">
        <v>1275</v>
      </c>
      <c r="B126" s="169" t="s">
        <v>1276</v>
      </c>
      <c r="C126" s="169" t="s">
        <v>1277</v>
      </c>
      <c r="D126" s="169" t="s">
        <v>262</v>
      </c>
      <c r="E126" s="169" t="s">
        <v>1847</v>
      </c>
    </row>
    <row r="127" spans="1:5" ht="16" hidden="1" customHeight="1" x14ac:dyDescent="0.2">
      <c r="A127" t="s">
        <v>262</v>
      </c>
      <c r="B127" s="169" t="s">
        <v>1278</v>
      </c>
      <c r="C127" s="169" t="s">
        <v>1279</v>
      </c>
      <c r="D127" s="169" t="s">
        <v>262</v>
      </c>
      <c r="E127" s="169" t="s">
        <v>1848</v>
      </c>
    </row>
    <row r="128" spans="1:5" ht="16" hidden="1" customHeight="1" x14ac:dyDescent="0.2">
      <c r="A128" t="s">
        <v>1280</v>
      </c>
      <c r="B128" s="169" t="s">
        <v>1281</v>
      </c>
      <c r="C128" s="169" t="s">
        <v>1282</v>
      </c>
      <c r="D128" s="169" t="s">
        <v>262</v>
      </c>
      <c r="E128" s="169" t="s">
        <v>1849</v>
      </c>
    </row>
    <row r="129" spans="1:5" ht="16" hidden="1" customHeight="1" x14ac:dyDescent="0.2">
      <c r="A129" t="s">
        <v>262</v>
      </c>
      <c r="B129" s="169" t="s">
        <v>1283</v>
      </c>
      <c r="C129" s="169" t="s">
        <v>1284</v>
      </c>
      <c r="D129" s="169" t="s">
        <v>262</v>
      </c>
      <c r="E129" s="169" t="s">
        <v>1850</v>
      </c>
    </row>
    <row r="130" spans="1:5" ht="16" hidden="1" customHeight="1" x14ac:dyDescent="0.2">
      <c r="A130" t="s">
        <v>1285</v>
      </c>
      <c r="B130" s="169" t="s">
        <v>1286</v>
      </c>
      <c r="C130" s="169" t="s">
        <v>1287</v>
      </c>
      <c r="D130" s="169" t="s">
        <v>262</v>
      </c>
      <c r="E130" s="169" t="s">
        <v>1851</v>
      </c>
    </row>
    <row r="131" spans="1:5" ht="16" hidden="1" customHeight="1" x14ac:dyDescent="0.2">
      <c r="A131" t="s">
        <v>262</v>
      </c>
      <c r="B131" s="169" t="s">
        <v>1288</v>
      </c>
      <c r="C131" s="169" t="s">
        <v>1289</v>
      </c>
      <c r="D131" s="169" t="s">
        <v>262</v>
      </c>
      <c r="E131" s="169" t="s">
        <v>1852</v>
      </c>
    </row>
    <row r="132" spans="1:5" ht="16" hidden="1" customHeight="1" x14ac:dyDescent="0.2">
      <c r="A132" t="s">
        <v>1290</v>
      </c>
      <c r="B132" s="169" t="s">
        <v>1291</v>
      </c>
      <c r="C132" s="169" t="s">
        <v>1292</v>
      </c>
      <c r="D132" s="169" t="s">
        <v>1293</v>
      </c>
      <c r="E132" s="169" t="s">
        <v>1853</v>
      </c>
    </row>
    <row r="133" spans="1:5" ht="16" hidden="1" customHeight="1" x14ac:dyDescent="0.2">
      <c r="A133" t="s">
        <v>262</v>
      </c>
      <c r="B133" s="169" t="s">
        <v>1294</v>
      </c>
      <c r="C133" s="169" t="s">
        <v>1257</v>
      </c>
      <c r="D133" s="169" t="s">
        <v>1295</v>
      </c>
      <c r="E133" s="169" t="s">
        <v>1854</v>
      </c>
    </row>
    <row r="134" spans="1:5" ht="16" hidden="1" customHeight="1" x14ac:dyDescent="0.2">
      <c r="A134" t="s">
        <v>1296</v>
      </c>
      <c r="B134" s="169" t="s">
        <v>1297</v>
      </c>
      <c r="C134" s="169" t="s">
        <v>1298</v>
      </c>
      <c r="D134" s="169" t="s">
        <v>262</v>
      </c>
      <c r="E134" s="169" t="s">
        <v>1855</v>
      </c>
    </row>
    <row r="135" spans="1:5" ht="16" hidden="1" customHeight="1" x14ac:dyDescent="0.2">
      <c r="A135" t="s">
        <v>262</v>
      </c>
      <c r="B135" s="169" t="s">
        <v>1299</v>
      </c>
      <c r="C135" s="169" t="s">
        <v>1300</v>
      </c>
      <c r="D135" s="169" t="s">
        <v>262</v>
      </c>
      <c r="E135" s="169" t="s">
        <v>1856</v>
      </c>
    </row>
    <row r="136" spans="1:5" ht="16" hidden="1" customHeight="1" x14ac:dyDescent="0.2">
      <c r="A136" t="s">
        <v>1302</v>
      </c>
      <c r="B136" s="169" t="s">
        <v>1303</v>
      </c>
      <c r="C136" s="169" t="s">
        <v>1304</v>
      </c>
      <c r="D136" s="169" t="s">
        <v>262</v>
      </c>
      <c r="E136" s="169" t="s">
        <v>1857</v>
      </c>
    </row>
    <row r="137" spans="1:5" ht="16" hidden="1" customHeight="1" x14ac:dyDescent="0.2">
      <c r="A137" t="s">
        <v>262</v>
      </c>
      <c r="B137" s="169" t="s">
        <v>1305</v>
      </c>
      <c r="C137" s="169" t="s">
        <v>1306</v>
      </c>
      <c r="D137" s="169" t="s">
        <v>262</v>
      </c>
      <c r="E137" s="169" t="s">
        <v>1858</v>
      </c>
    </row>
    <row r="138" spans="1:5" ht="16" hidden="1" customHeight="1" x14ac:dyDescent="0.2">
      <c r="A138" t="s">
        <v>1307</v>
      </c>
      <c r="B138" s="169" t="s">
        <v>1308</v>
      </c>
      <c r="C138" s="169" t="s">
        <v>1309</v>
      </c>
      <c r="D138" s="169" t="s">
        <v>262</v>
      </c>
      <c r="E138" s="169" t="s">
        <v>1859</v>
      </c>
    </row>
    <row r="139" spans="1:5" ht="16" hidden="1" customHeight="1" x14ac:dyDescent="0.2">
      <c r="A139" t="s">
        <v>262</v>
      </c>
      <c r="B139" s="169" t="s">
        <v>1310</v>
      </c>
      <c r="C139" s="169" t="s">
        <v>1311</v>
      </c>
      <c r="D139" s="169" t="s">
        <v>262</v>
      </c>
      <c r="E139" s="169" t="s">
        <v>1860</v>
      </c>
    </row>
    <row r="140" spans="1:5" ht="16" hidden="1" customHeight="1" x14ac:dyDescent="0.2">
      <c r="A140" t="s">
        <v>1312</v>
      </c>
      <c r="B140" s="169" t="s">
        <v>1313</v>
      </c>
      <c r="C140" s="169" t="s">
        <v>1314</v>
      </c>
      <c r="D140" s="169" t="s">
        <v>262</v>
      </c>
      <c r="E140" s="169" t="s">
        <v>1861</v>
      </c>
    </row>
    <row r="141" spans="1:5" ht="16" hidden="1" customHeight="1" x14ac:dyDescent="0.2">
      <c r="A141" t="s">
        <v>262</v>
      </c>
      <c r="B141" s="169" t="s">
        <v>1315</v>
      </c>
      <c r="C141" s="169" t="s">
        <v>1316</v>
      </c>
      <c r="D141" s="169" t="s">
        <v>262</v>
      </c>
      <c r="E141" s="169" t="s">
        <v>1217</v>
      </c>
    </row>
    <row r="142" spans="1:5" ht="16" hidden="1" customHeight="1" x14ac:dyDescent="0.2">
      <c r="A142" t="s">
        <v>1317</v>
      </c>
      <c r="B142" s="169" t="s">
        <v>1318</v>
      </c>
      <c r="C142" s="169" t="s">
        <v>1319</v>
      </c>
      <c r="D142" s="169" t="s">
        <v>1320</v>
      </c>
      <c r="E142" s="169" t="s">
        <v>1862</v>
      </c>
    </row>
    <row r="143" spans="1:5" ht="16" hidden="1" customHeight="1" x14ac:dyDescent="0.2">
      <c r="A143" t="s">
        <v>262</v>
      </c>
      <c r="B143" s="169" t="s">
        <v>1306</v>
      </c>
      <c r="C143" s="169" t="s">
        <v>1311</v>
      </c>
      <c r="D143" s="169" t="s">
        <v>1210</v>
      </c>
      <c r="E143" s="169" t="s">
        <v>1863</v>
      </c>
    </row>
    <row r="144" spans="1:5" ht="16" hidden="1" customHeight="1" x14ac:dyDescent="0.2">
      <c r="A144" t="s">
        <v>1322</v>
      </c>
      <c r="B144" s="169" t="s">
        <v>1323</v>
      </c>
      <c r="C144" s="169" t="s">
        <v>1324</v>
      </c>
      <c r="D144" s="169" t="s">
        <v>262</v>
      </c>
      <c r="E144" s="169" t="s">
        <v>1864</v>
      </c>
    </row>
    <row r="145" spans="1:5" ht="16" hidden="1" customHeight="1" x14ac:dyDescent="0.2">
      <c r="A145" t="s">
        <v>262</v>
      </c>
      <c r="B145" s="169" t="s">
        <v>1325</v>
      </c>
      <c r="C145" s="169" t="s">
        <v>1326</v>
      </c>
      <c r="D145" s="169" t="s">
        <v>262</v>
      </c>
      <c r="E145" s="169" t="s">
        <v>1614</v>
      </c>
    </row>
    <row r="146" spans="1:5" ht="16" hidden="1" customHeight="1" x14ac:dyDescent="0.2">
      <c r="A146" t="s">
        <v>1327</v>
      </c>
      <c r="B146" s="169" t="s">
        <v>1328</v>
      </c>
      <c r="C146" s="169" t="s">
        <v>1329</v>
      </c>
      <c r="D146" s="169" t="s">
        <v>262</v>
      </c>
      <c r="E146" s="169" t="s">
        <v>1865</v>
      </c>
    </row>
    <row r="147" spans="1:5" ht="16" hidden="1" customHeight="1" x14ac:dyDescent="0.2">
      <c r="A147" t="s">
        <v>262</v>
      </c>
      <c r="B147" s="169" t="s">
        <v>1330</v>
      </c>
      <c r="C147" s="169" t="s">
        <v>1300</v>
      </c>
      <c r="D147" s="169" t="s">
        <v>262</v>
      </c>
      <c r="E147" s="169" t="s">
        <v>1866</v>
      </c>
    </row>
    <row r="148" spans="1:5" ht="16" hidden="1" customHeight="1" x14ac:dyDescent="0.2">
      <c r="A148" t="s">
        <v>1331</v>
      </c>
      <c r="B148" s="169" t="s">
        <v>1332</v>
      </c>
      <c r="C148" s="169" t="s">
        <v>1333</v>
      </c>
      <c r="D148" s="169" t="s">
        <v>262</v>
      </c>
      <c r="E148" s="169" t="s">
        <v>1867</v>
      </c>
    </row>
    <row r="149" spans="1:5" ht="16" hidden="1" customHeight="1" x14ac:dyDescent="0.2">
      <c r="A149" t="s">
        <v>262</v>
      </c>
      <c r="B149" s="169" t="s">
        <v>1334</v>
      </c>
      <c r="C149" s="169" t="s">
        <v>1335</v>
      </c>
      <c r="D149" s="169" t="s">
        <v>262</v>
      </c>
      <c r="E149" s="169" t="s">
        <v>1868</v>
      </c>
    </row>
    <row r="150" spans="1:5" ht="16" hidden="1" customHeight="1" x14ac:dyDescent="0.2">
      <c r="A150" t="s">
        <v>1336</v>
      </c>
      <c r="B150" s="169" t="s">
        <v>1337</v>
      </c>
      <c r="C150" s="169" t="s">
        <v>1338</v>
      </c>
      <c r="D150" s="169" t="s">
        <v>262</v>
      </c>
      <c r="E150" s="169" t="s">
        <v>1861</v>
      </c>
    </row>
    <row r="151" spans="1:5" ht="16" hidden="1" customHeight="1" x14ac:dyDescent="0.2">
      <c r="A151" t="s">
        <v>262</v>
      </c>
      <c r="B151" s="169" t="s">
        <v>1339</v>
      </c>
      <c r="C151" s="169" t="s">
        <v>1340</v>
      </c>
      <c r="D151" s="169" t="s">
        <v>262</v>
      </c>
      <c r="E151" s="169" t="s">
        <v>1869</v>
      </c>
    </row>
    <row r="152" spans="1:5" ht="16" hidden="1" customHeight="1" x14ac:dyDescent="0.2">
      <c r="A152" t="s">
        <v>1341</v>
      </c>
      <c r="B152" s="169" t="s">
        <v>1342</v>
      </c>
      <c r="C152" s="169" t="s">
        <v>262</v>
      </c>
      <c r="D152" s="169" t="s">
        <v>262</v>
      </c>
      <c r="E152" s="169" t="s">
        <v>262</v>
      </c>
    </row>
    <row r="153" spans="1:5" ht="16" hidden="1" customHeight="1" x14ac:dyDescent="0.2">
      <c r="A153" t="s">
        <v>262</v>
      </c>
      <c r="B153" s="169" t="s">
        <v>1343</v>
      </c>
      <c r="C153" s="169" t="s">
        <v>262</v>
      </c>
      <c r="D153" s="169" t="s">
        <v>262</v>
      </c>
      <c r="E153" s="169" t="s">
        <v>262</v>
      </c>
    </row>
    <row r="154" spans="1:5" ht="16" hidden="1" customHeight="1" x14ac:dyDescent="0.2">
      <c r="A154" t="s">
        <v>1344</v>
      </c>
      <c r="B154" s="169" t="s">
        <v>1345</v>
      </c>
      <c r="C154" s="169" t="s">
        <v>262</v>
      </c>
      <c r="D154" s="169" t="s">
        <v>262</v>
      </c>
      <c r="E154" s="169" t="s">
        <v>262</v>
      </c>
    </row>
    <row r="155" spans="1:5" ht="16" hidden="1" customHeight="1" x14ac:dyDescent="0.2">
      <c r="A155" t="s">
        <v>262</v>
      </c>
      <c r="B155" s="169" t="s">
        <v>1346</v>
      </c>
      <c r="C155" s="169" t="s">
        <v>262</v>
      </c>
      <c r="D155" s="169" t="s">
        <v>262</v>
      </c>
      <c r="E155" s="169" t="s">
        <v>262</v>
      </c>
    </row>
    <row r="156" spans="1:5" ht="16" hidden="1" customHeight="1" x14ac:dyDescent="0.2">
      <c r="A156" t="s">
        <v>1347</v>
      </c>
      <c r="B156" s="169" t="s">
        <v>1348</v>
      </c>
      <c r="C156" s="169" t="s">
        <v>262</v>
      </c>
      <c r="D156" s="169" t="s">
        <v>262</v>
      </c>
      <c r="E156" s="169" t="s">
        <v>262</v>
      </c>
    </row>
    <row r="157" spans="1:5" ht="16" hidden="1" customHeight="1" x14ac:dyDescent="0.2">
      <c r="A157" t="s">
        <v>262</v>
      </c>
      <c r="B157" s="169" t="s">
        <v>1349</v>
      </c>
      <c r="C157" s="169" t="s">
        <v>262</v>
      </c>
      <c r="D157" s="169" t="s">
        <v>262</v>
      </c>
      <c r="E157" s="169" t="s">
        <v>262</v>
      </c>
    </row>
    <row r="158" spans="1:5" ht="16" hidden="1" customHeight="1" x14ac:dyDescent="0.2">
      <c r="A158" t="s">
        <v>1350</v>
      </c>
      <c r="B158" s="169" t="s">
        <v>1351</v>
      </c>
      <c r="C158" s="169" t="s">
        <v>262</v>
      </c>
      <c r="D158" s="169" t="s">
        <v>262</v>
      </c>
      <c r="E158" s="169" t="s">
        <v>262</v>
      </c>
    </row>
    <row r="159" spans="1:5" ht="16" hidden="1" customHeight="1" x14ac:dyDescent="0.2">
      <c r="A159" t="s">
        <v>262</v>
      </c>
      <c r="B159" s="169" t="s">
        <v>1352</v>
      </c>
      <c r="C159" s="169" t="s">
        <v>262</v>
      </c>
      <c r="D159" s="169" t="s">
        <v>262</v>
      </c>
      <c r="E159" s="169" t="s">
        <v>262</v>
      </c>
    </row>
    <row r="160" spans="1:5" ht="16" hidden="1" customHeight="1" x14ac:dyDescent="0.2">
      <c r="A160" t="s">
        <v>1353</v>
      </c>
      <c r="B160" s="169" t="s">
        <v>1354</v>
      </c>
      <c r="C160" s="169" t="s">
        <v>262</v>
      </c>
      <c r="D160" s="169" t="s">
        <v>262</v>
      </c>
      <c r="E160" s="169" t="s">
        <v>262</v>
      </c>
    </row>
    <row r="161" spans="1:5" ht="16" hidden="1" customHeight="1" x14ac:dyDescent="0.2">
      <c r="A161" t="s">
        <v>262</v>
      </c>
      <c r="B161" s="169" t="s">
        <v>1355</v>
      </c>
      <c r="C161" s="169" t="s">
        <v>262</v>
      </c>
      <c r="D161" s="169" t="s">
        <v>262</v>
      </c>
      <c r="E161" s="169" t="s">
        <v>262</v>
      </c>
    </row>
    <row r="162" spans="1:5" ht="16" hidden="1" customHeight="1" x14ac:dyDescent="0.2">
      <c r="A162" t="s">
        <v>1356</v>
      </c>
      <c r="B162" s="169" t="s">
        <v>1357</v>
      </c>
      <c r="C162" s="169" t="s">
        <v>262</v>
      </c>
      <c r="D162" s="169" t="s">
        <v>262</v>
      </c>
      <c r="E162" s="169" t="s">
        <v>262</v>
      </c>
    </row>
    <row r="163" spans="1:5" ht="16" hidden="1" customHeight="1" x14ac:dyDescent="0.2">
      <c r="A163" t="s">
        <v>262</v>
      </c>
      <c r="B163" s="169" t="s">
        <v>1358</v>
      </c>
      <c r="C163" s="169" t="s">
        <v>262</v>
      </c>
      <c r="D163" s="169" t="s">
        <v>262</v>
      </c>
      <c r="E163" s="169" t="s">
        <v>262</v>
      </c>
    </row>
    <row r="164" spans="1:5" ht="16" hidden="1" customHeight="1" x14ac:dyDescent="0.2">
      <c r="A164" t="s">
        <v>1359</v>
      </c>
      <c r="B164" s="169" t="s">
        <v>1360</v>
      </c>
      <c r="C164" s="169" t="s">
        <v>262</v>
      </c>
      <c r="D164" s="169" t="s">
        <v>262</v>
      </c>
      <c r="E164" s="169" t="s">
        <v>262</v>
      </c>
    </row>
    <row r="165" spans="1:5" ht="16" hidden="1" customHeight="1" x14ac:dyDescent="0.2">
      <c r="A165" t="s">
        <v>262</v>
      </c>
      <c r="B165" s="169" t="s">
        <v>1361</v>
      </c>
      <c r="C165" s="169" t="s">
        <v>262</v>
      </c>
      <c r="D165" s="169" t="s">
        <v>262</v>
      </c>
      <c r="E165" s="169" t="s">
        <v>262</v>
      </c>
    </row>
    <row r="166" spans="1:5" ht="16" hidden="1" customHeight="1" x14ac:dyDescent="0.2">
      <c r="A166" t="s">
        <v>1362</v>
      </c>
      <c r="B166" s="169" t="s">
        <v>1363</v>
      </c>
      <c r="C166" s="169" t="s">
        <v>262</v>
      </c>
      <c r="D166" s="169" t="s">
        <v>262</v>
      </c>
      <c r="E166" s="169" t="s">
        <v>262</v>
      </c>
    </row>
    <row r="167" spans="1:5" ht="16" hidden="1" customHeight="1" x14ac:dyDescent="0.2">
      <c r="A167" t="s">
        <v>262</v>
      </c>
      <c r="B167" s="169" t="s">
        <v>1364</v>
      </c>
      <c r="C167" s="169" t="s">
        <v>262</v>
      </c>
      <c r="D167" s="169" t="s">
        <v>262</v>
      </c>
      <c r="E167" s="169" t="s">
        <v>262</v>
      </c>
    </row>
    <row r="168" spans="1:5" ht="16" hidden="1" customHeight="1" x14ac:dyDescent="0.2">
      <c r="A168" t="s">
        <v>1365</v>
      </c>
      <c r="B168" s="169" t="s">
        <v>1366</v>
      </c>
      <c r="C168" s="169" t="s">
        <v>262</v>
      </c>
      <c r="D168" s="169" t="s">
        <v>262</v>
      </c>
      <c r="E168" s="169" t="s">
        <v>262</v>
      </c>
    </row>
    <row r="169" spans="1:5" ht="16" hidden="1" customHeight="1" x14ac:dyDescent="0.2">
      <c r="A169" t="s">
        <v>262</v>
      </c>
      <c r="B169" s="169" t="s">
        <v>1367</v>
      </c>
      <c r="C169" s="169" t="s">
        <v>262</v>
      </c>
      <c r="D169" s="169" t="s">
        <v>262</v>
      </c>
      <c r="E169" s="169" t="s">
        <v>262</v>
      </c>
    </row>
    <row r="170" spans="1:5" ht="16" hidden="1" customHeight="1" x14ac:dyDescent="0.2">
      <c r="A170" t="s">
        <v>1368</v>
      </c>
      <c r="B170" s="169" t="s">
        <v>1369</v>
      </c>
      <c r="C170" s="169" t="s">
        <v>262</v>
      </c>
      <c r="D170" s="169" t="s">
        <v>262</v>
      </c>
      <c r="E170" s="169" t="s">
        <v>262</v>
      </c>
    </row>
    <row r="171" spans="1:5" ht="16" hidden="1" customHeight="1" x14ac:dyDescent="0.2">
      <c r="A171" t="s">
        <v>262</v>
      </c>
      <c r="B171" s="169" t="s">
        <v>1370</v>
      </c>
      <c r="C171" s="169" t="s">
        <v>262</v>
      </c>
      <c r="D171" s="169" t="s">
        <v>262</v>
      </c>
      <c r="E171" s="169" t="s">
        <v>262</v>
      </c>
    </row>
    <row r="172" spans="1:5" ht="16" hidden="1" customHeight="1" x14ac:dyDescent="0.2">
      <c r="A172" t="s">
        <v>1371</v>
      </c>
      <c r="B172" s="169" t="s">
        <v>1372</v>
      </c>
      <c r="C172" s="169" t="s">
        <v>262</v>
      </c>
      <c r="D172" s="169" t="s">
        <v>262</v>
      </c>
      <c r="E172" s="169" t="s">
        <v>262</v>
      </c>
    </row>
    <row r="173" spans="1:5" ht="16" hidden="1" customHeight="1" x14ac:dyDescent="0.2">
      <c r="A173" t="s">
        <v>262</v>
      </c>
      <c r="B173" s="169" t="s">
        <v>1373</v>
      </c>
      <c r="C173" s="169" t="s">
        <v>262</v>
      </c>
      <c r="D173" s="169" t="s">
        <v>262</v>
      </c>
      <c r="E173" s="169" t="s">
        <v>262</v>
      </c>
    </row>
    <row r="174" spans="1:5" ht="16" hidden="1" customHeight="1" x14ac:dyDescent="0.2">
      <c r="A174" t="s">
        <v>1374</v>
      </c>
      <c r="B174" s="169" t="s">
        <v>1375</v>
      </c>
      <c r="C174" s="169" t="s">
        <v>1376</v>
      </c>
      <c r="D174" s="169" t="s">
        <v>262</v>
      </c>
      <c r="E174" s="169" t="s">
        <v>1870</v>
      </c>
    </row>
    <row r="175" spans="1:5" ht="16" hidden="1" customHeight="1" x14ac:dyDescent="0.2">
      <c r="A175" t="s">
        <v>262</v>
      </c>
      <c r="B175" s="169" t="s">
        <v>1326</v>
      </c>
      <c r="C175" s="169" t="s">
        <v>1279</v>
      </c>
      <c r="D175" s="169" t="s">
        <v>262</v>
      </c>
      <c r="E175" s="169" t="s">
        <v>1871</v>
      </c>
    </row>
    <row r="176" spans="1:5" ht="16" hidden="1" customHeight="1" x14ac:dyDescent="0.2">
      <c r="A176" t="s">
        <v>1934</v>
      </c>
      <c r="B176" s="169" t="s">
        <v>1769</v>
      </c>
      <c r="C176" s="169" t="s">
        <v>1777</v>
      </c>
      <c r="D176" s="169" t="s">
        <v>262</v>
      </c>
      <c r="E176" s="169" t="s">
        <v>1872</v>
      </c>
    </row>
    <row r="177" spans="1:5" ht="16" hidden="1" customHeight="1" x14ac:dyDescent="0.2">
      <c r="A177" t="s">
        <v>262</v>
      </c>
      <c r="B177" s="169" t="s">
        <v>1770</v>
      </c>
      <c r="C177" s="169" t="s">
        <v>1520</v>
      </c>
      <c r="D177" s="169" t="s">
        <v>262</v>
      </c>
      <c r="E177" s="169" t="s">
        <v>1325</v>
      </c>
    </row>
    <row r="178" spans="1:5" ht="16" hidden="1" customHeight="1" x14ac:dyDescent="0.2">
      <c r="A178" t="s">
        <v>1377</v>
      </c>
      <c r="B178" s="169" t="s">
        <v>1378</v>
      </c>
      <c r="C178" s="169" t="s">
        <v>1379</v>
      </c>
      <c r="D178" s="169" t="s">
        <v>262</v>
      </c>
      <c r="E178" s="169" t="s">
        <v>1873</v>
      </c>
    </row>
    <row r="179" spans="1:5" ht="16" hidden="1" customHeight="1" x14ac:dyDescent="0.2">
      <c r="A179" t="s">
        <v>262</v>
      </c>
      <c r="B179" s="169" t="s">
        <v>1370</v>
      </c>
      <c r="C179" s="169" t="s">
        <v>1380</v>
      </c>
      <c r="D179" s="169" t="s">
        <v>262</v>
      </c>
      <c r="E179" s="169" t="s">
        <v>1267</v>
      </c>
    </row>
    <row r="180" spans="1:5" ht="16" hidden="1" customHeight="1" x14ac:dyDescent="0.2">
      <c r="A180" t="s">
        <v>1381</v>
      </c>
      <c r="B180" s="169" t="s">
        <v>1382</v>
      </c>
      <c r="C180" s="169" t="s">
        <v>1383</v>
      </c>
      <c r="D180" s="169" t="s">
        <v>262</v>
      </c>
      <c r="E180" s="169" t="s">
        <v>1874</v>
      </c>
    </row>
    <row r="181" spans="1:5" ht="16" hidden="1" customHeight="1" x14ac:dyDescent="0.2">
      <c r="A181" t="s">
        <v>262</v>
      </c>
      <c r="B181" s="169" t="s">
        <v>1384</v>
      </c>
      <c r="C181" s="169" t="s">
        <v>1385</v>
      </c>
      <c r="D181" s="169" t="s">
        <v>262</v>
      </c>
      <c r="E181" s="169" t="s">
        <v>1875</v>
      </c>
    </row>
    <row r="182" spans="1:5" ht="16" hidden="1" customHeight="1" x14ac:dyDescent="0.2">
      <c r="A182" t="s">
        <v>1386</v>
      </c>
      <c r="B182" s="169" t="s">
        <v>1387</v>
      </c>
      <c r="C182" s="169" t="s">
        <v>1388</v>
      </c>
      <c r="D182" s="169" t="s">
        <v>262</v>
      </c>
      <c r="E182" s="169" t="s">
        <v>1876</v>
      </c>
    </row>
    <row r="183" spans="1:5" ht="16" hidden="1" customHeight="1" x14ac:dyDescent="0.2">
      <c r="A183" t="s">
        <v>262</v>
      </c>
      <c r="B183" s="169" t="s">
        <v>1390</v>
      </c>
      <c r="C183" s="169" t="s">
        <v>1391</v>
      </c>
      <c r="D183" s="169" t="s">
        <v>262</v>
      </c>
      <c r="E183" s="169" t="s">
        <v>1267</v>
      </c>
    </row>
    <row r="184" spans="1:5" ht="16" hidden="1" customHeight="1" x14ac:dyDescent="0.2">
      <c r="A184" t="s">
        <v>1392</v>
      </c>
      <c r="B184" s="169" t="s">
        <v>1393</v>
      </c>
      <c r="C184" s="169" t="s">
        <v>1394</v>
      </c>
      <c r="D184" s="169" t="s">
        <v>262</v>
      </c>
      <c r="E184" s="169" t="s">
        <v>1877</v>
      </c>
    </row>
    <row r="185" spans="1:5" ht="16" hidden="1" customHeight="1" x14ac:dyDescent="0.2">
      <c r="A185" t="s">
        <v>262</v>
      </c>
      <c r="B185" s="169" t="s">
        <v>1395</v>
      </c>
      <c r="C185" s="169" t="s">
        <v>1396</v>
      </c>
      <c r="D185" s="169" t="s">
        <v>262</v>
      </c>
      <c r="E185" s="169" t="s">
        <v>1334</v>
      </c>
    </row>
    <row r="186" spans="1:5" ht="16" hidden="1" customHeight="1" x14ac:dyDescent="0.2">
      <c r="A186" t="s">
        <v>1397</v>
      </c>
      <c r="B186" s="169" t="s">
        <v>1398</v>
      </c>
      <c r="C186" s="169" t="s">
        <v>1399</v>
      </c>
      <c r="D186" s="169" t="s">
        <v>262</v>
      </c>
      <c r="E186" s="169" t="s">
        <v>1878</v>
      </c>
    </row>
    <row r="187" spans="1:5" ht="16" hidden="1" customHeight="1" x14ac:dyDescent="0.2">
      <c r="A187" t="s">
        <v>262</v>
      </c>
      <c r="B187" s="169" t="s">
        <v>1400</v>
      </c>
      <c r="C187" s="169" t="s">
        <v>1133</v>
      </c>
      <c r="D187" s="169" t="s">
        <v>262</v>
      </c>
      <c r="E187" s="169" t="s">
        <v>1879</v>
      </c>
    </row>
    <row r="188" spans="1:5" ht="16" hidden="1" customHeight="1" x14ac:dyDescent="0.2">
      <c r="A188" t="s">
        <v>1401</v>
      </c>
      <c r="B188" s="169" t="s">
        <v>1402</v>
      </c>
      <c r="C188" s="169" t="s">
        <v>1403</v>
      </c>
      <c r="D188" s="169" t="s">
        <v>262</v>
      </c>
      <c r="E188" s="169" t="s">
        <v>1880</v>
      </c>
    </row>
    <row r="189" spans="1:5" ht="16" hidden="1" customHeight="1" x14ac:dyDescent="0.2">
      <c r="A189" t="s">
        <v>262</v>
      </c>
      <c r="B189" s="169" t="s">
        <v>1404</v>
      </c>
      <c r="C189" s="169" t="s">
        <v>1405</v>
      </c>
      <c r="D189" s="169" t="s">
        <v>262</v>
      </c>
      <c r="E189" s="169" t="s">
        <v>1418</v>
      </c>
    </row>
    <row r="190" spans="1:5" ht="16" hidden="1" customHeight="1" x14ac:dyDescent="0.2">
      <c r="A190" t="s">
        <v>1406</v>
      </c>
      <c r="B190" s="169" t="s">
        <v>1407</v>
      </c>
      <c r="C190" s="169" t="s">
        <v>1408</v>
      </c>
      <c r="D190" s="169" t="s">
        <v>262</v>
      </c>
      <c r="E190" s="169" t="s">
        <v>1518</v>
      </c>
    </row>
    <row r="191" spans="1:5" ht="16" hidden="1" customHeight="1" x14ac:dyDescent="0.2">
      <c r="A191" t="s">
        <v>262</v>
      </c>
      <c r="B191" s="169" t="s">
        <v>1409</v>
      </c>
      <c r="C191" s="169" t="s">
        <v>1390</v>
      </c>
      <c r="D191" s="169" t="s">
        <v>262</v>
      </c>
      <c r="E191" s="169" t="s">
        <v>1405</v>
      </c>
    </row>
    <row r="192" spans="1:5" ht="16" hidden="1" customHeight="1" x14ac:dyDescent="0.2">
      <c r="A192" t="s">
        <v>1411</v>
      </c>
      <c r="B192" s="169" t="s">
        <v>1412</v>
      </c>
      <c r="C192" s="169" t="s">
        <v>1413</v>
      </c>
      <c r="D192" s="169" t="s">
        <v>262</v>
      </c>
      <c r="E192" s="169" t="s">
        <v>1881</v>
      </c>
    </row>
    <row r="193" spans="1:5" ht="16" hidden="1" customHeight="1" x14ac:dyDescent="0.2">
      <c r="A193" t="s">
        <v>262</v>
      </c>
      <c r="B193" s="169" t="s">
        <v>1414</v>
      </c>
      <c r="C193" s="169" t="s">
        <v>1133</v>
      </c>
      <c r="D193" s="169" t="s">
        <v>262</v>
      </c>
      <c r="E193" s="169" t="s">
        <v>1882</v>
      </c>
    </row>
    <row r="194" spans="1:5" ht="16" hidden="1" customHeight="1" x14ac:dyDescent="0.2">
      <c r="A194" t="s">
        <v>1415</v>
      </c>
      <c r="B194" s="169" t="s">
        <v>1416</v>
      </c>
      <c r="C194" s="169" t="s">
        <v>1372</v>
      </c>
      <c r="D194" s="169" t="s">
        <v>262</v>
      </c>
      <c r="E194" s="169" t="s">
        <v>1883</v>
      </c>
    </row>
    <row r="195" spans="1:5" ht="16" hidden="1" customHeight="1" x14ac:dyDescent="0.2">
      <c r="A195" t="s">
        <v>262</v>
      </c>
      <c r="B195" s="169" t="s">
        <v>1417</v>
      </c>
      <c r="C195" s="169" t="s">
        <v>1418</v>
      </c>
      <c r="D195" s="169" t="s">
        <v>262</v>
      </c>
      <c r="E195" s="169" t="s">
        <v>1410</v>
      </c>
    </row>
    <row r="196" spans="1:5" ht="16" hidden="1" customHeight="1" x14ac:dyDescent="0.2">
      <c r="A196" t="s">
        <v>1419</v>
      </c>
      <c r="B196" s="169" t="s">
        <v>1420</v>
      </c>
      <c r="C196" s="169" t="s">
        <v>1421</v>
      </c>
      <c r="D196" s="169" t="s">
        <v>262</v>
      </c>
      <c r="E196" s="169" t="s">
        <v>1884</v>
      </c>
    </row>
    <row r="197" spans="1:5" ht="16" hidden="1" customHeight="1" x14ac:dyDescent="0.2">
      <c r="A197" t="s">
        <v>262</v>
      </c>
      <c r="B197" s="169" t="s">
        <v>1422</v>
      </c>
      <c r="C197" s="169" t="s">
        <v>1273</v>
      </c>
      <c r="D197" s="169" t="s">
        <v>262</v>
      </c>
      <c r="E197" s="169" t="s">
        <v>1431</v>
      </c>
    </row>
    <row r="198" spans="1:5" ht="16" hidden="1" customHeight="1" x14ac:dyDescent="0.2">
      <c r="A198" t="s">
        <v>1423</v>
      </c>
      <c r="B198" s="169" t="s">
        <v>1424</v>
      </c>
      <c r="C198" s="169" t="s">
        <v>1425</v>
      </c>
      <c r="D198" s="169" t="s">
        <v>262</v>
      </c>
      <c r="E198" s="169" t="s">
        <v>1885</v>
      </c>
    </row>
    <row r="199" spans="1:5" ht="16" hidden="1" customHeight="1" x14ac:dyDescent="0.2">
      <c r="A199" t="s">
        <v>262</v>
      </c>
      <c r="B199" s="169" t="s">
        <v>1426</v>
      </c>
      <c r="C199" s="169" t="s">
        <v>1273</v>
      </c>
      <c r="D199" s="169" t="s">
        <v>262</v>
      </c>
      <c r="E199" s="169" t="s">
        <v>1886</v>
      </c>
    </row>
    <row r="200" spans="1:5" ht="16" hidden="1" customHeight="1" x14ac:dyDescent="0.2">
      <c r="A200" t="s">
        <v>1427</v>
      </c>
      <c r="B200" s="169" t="s">
        <v>1428</v>
      </c>
      <c r="C200" s="169" t="s">
        <v>1429</v>
      </c>
      <c r="D200" s="169" t="s">
        <v>262</v>
      </c>
      <c r="E200" s="169" t="s">
        <v>1887</v>
      </c>
    </row>
    <row r="201" spans="1:5" ht="16" hidden="1" customHeight="1" x14ac:dyDescent="0.2">
      <c r="A201" t="s">
        <v>262</v>
      </c>
      <c r="B201" s="169" t="s">
        <v>1430</v>
      </c>
      <c r="C201" s="169" t="s">
        <v>1316</v>
      </c>
      <c r="D201" s="169" t="s">
        <v>262</v>
      </c>
      <c r="E201" s="169" t="s">
        <v>1431</v>
      </c>
    </row>
    <row r="202" spans="1:5" ht="16" hidden="1" customHeight="1" x14ac:dyDescent="0.2">
      <c r="A202" t="s">
        <v>1432</v>
      </c>
      <c r="B202" s="169" t="s">
        <v>1433</v>
      </c>
      <c r="C202" s="169" t="s">
        <v>1434</v>
      </c>
      <c r="D202" s="169" t="s">
        <v>262</v>
      </c>
      <c r="E202" s="169" t="s">
        <v>1888</v>
      </c>
    </row>
    <row r="203" spans="1:5" ht="16" hidden="1" customHeight="1" x14ac:dyDescent="0.2">
      <c r="A203" t="s">
        <v>262</v>
      </c>
      <c r="B203" s="169" t="s">
        <v>1435</v>
      </c>
      <c r="C203" s="169" t="s">
        <v>1436</v>
      </c>
      <c r="D203" s="169" t="s">
        <v>262</v>
      </c>
      <c r="E203" s="169" t="s">
        <v>1334</v>
      </c>
    </row>
    <row r="204" spans="1:5" ht="16" hidden="1" customHeight="1" x14ac:dyDescent="0.2">
      <c r="A204" t="s">
        <v>1438</v>
      </c>
      <c r="B204" s="169" t="s">
        <v>1439</v>
      </c>
      <c r="C204" s="169" t="s">
        <v>1440</v>
      </c>
      <c r="D204" s="169" t="s">
        <v>262</v>
      </c>
      <c r="E204" s="169" t="s">
        <v>1889</v>
      </c>
    </row>
    <row r="205" spans="1:5" ht="16" hidden="1" customHeight="1" x14ac:dyDescent="0.2">
      <c r="A205" t="s">
        <v>262</v>
      </c>
      <c r="B205" s="169" t="s">
        <v>1441</v>
      </c>
      <c r="C205" s="169" t="s">
        <v>1437</v>
      </c>
      <c r="D205" s="169" t="s">
        <v>262</v>
      </c>
      <c r="E205" s="169" t="s">
        <v>1451</v>
      </c>
    </row>
    <row r="206" spans="1:5" ht="16" hidden="1" customHeight="1" x14ac:dyDescent="0.2">
      <c r="A206" t="s">
        <v>1442</v>
      </c>
      <c r="B206" s="169" t="s">
        <v>1443</v>
      </c>
      <c r="C206" s="169" t="s">
        <v>1444</v>
      </c>
      <c r="D206" s="169" t="s">
        <v>262</v>
      </c>
      <c r="E206" s="169" t="s">
        <v>1890</v>
      </c>
    </row>
    <row r="207" spans="1:5" ht="16" hidden="1" customHeight="1" x14ac:dyDescent="0.2">
      <c r="A207" t="s">
        <v>262</v>
      </c>
      <c r="B207" s="169" t="s">
        <v>1445</v>
      </c>
      <c r="C207" s="169" t="s">
        <v>1446</v>
      </c>
      <c r="D207" s="169" t="s">
        <v>262</v>
      </c>
      <c r="E207" s="169" t="s">
        <v>1431</v>
      </c>
    </row>
    <row r="208" spans="1:5" ht="16" hidden="1" customHeight="1" x14ac:dyDescent="0.2">
      <c r="A208" t="s">
        <v>1447</v>
      </c>
      <c r="B208" s="169" t="s">
        <v>1448</v>
      </c>
      <c r="C208" s="169" t="s">
        <v>1449</v>
      </c>
      <c r="D208" s="169" t="s">
        <v>262</v>
      </c>
      <c r="E208" s="169" t="s">
        <v>1891</v>
      </c>
    </row>
    <row r="209" spans="1:5" ht="16" hidden="1" customHeight="1" x14ac:dyDescent="0.2">
      <c r="A209" t="s">
        <v>262</v>
      </c>
      <c r="B209" s="169" t="s">
        <v>1450</v>
      </c>
      <c r="C209" s="169" t="s">
        <v>1051</v>
      </c>
      <c r="D209" s="169" t="s">
        <v>262</v>
      </c>
      <c r="E209" s="169" t="s">
        <v>1385</v>
      </c>
    </row>
    <row r="210" spans="1:5" ht="16" hidden="1" customHeight="1" x14ac:dyDescent="0.2">
      <c r="A210" t="s">
        <v>1452</v>
      </c>
      <c r="B210" s="169" t="s">
        <v>1453</v>
      </c>
      <c r="C210" s="169" t="s">
        <v>1454</v>
      </c>
      <c r="D210" s="169" t="s">
        <v>262</v>
      </c>
      <c r="E210" s="169" t="s">
        <v>1522</v>
      </c>
    </row>
    <row r="211" spans="1:5" ht="16" hidden="1" customHeight="1" x14ac:dyDescent="0.2">
      <c r="A211" t="s">
        <v>262</v>
      </c>
      <c r="B211" s="169" t="s">
        <v>1445</v>
      </c>
      <c r="C211" s="169" t="s">
        <v>1455</v>
      </c>
      <c r="D211" s="169" t="s">
        <v>262</v>
      </c>
      <c r="E211" s="169" t="s">
        <v>1159</v>
      </c>
    </row>
    <row r="212" spans="1:5" ht="16" hidden="1" customHeight="1" x14ac:dyDescent="0.2">
      <c r="A212" t="s">
        <v>1456</v>
      </c>
      <c r="B212" s="169" t="s">
        <v>1457</v>
      </c>
      <c r="C212" s="169" t="s">
        <v>1458</v>
      </c>
      <c r="D212" s="169" t="s">
        <v>262</v>
      </c>
      <c r="E212" s="169" t="s">
        <v>1615</v>
      </c>
    </row>
    <row r="213" spans="1:5" ht="16" hidden="1" customHeight="1" x14ac:dyDescent="0.2">
      <c r="A213" t="s">
        <v>262</v>
      </c>
      <c r="B213" s="169" t="s">
        <v>1441</v>
      </c>
      <c r="C213" s="169" t="s">
        <v>1459</v>
      </c>
      <c r="D213" s="169" t="s">
        <v>262</v>
      </c>
      <c r="E213" s="169" t="s">
        <v>1311</v>
      </c>
    </row>
    <row r="214" spans="1:5" ht="16" hidden="1" customHeight="1" x14ac:dyDescent="0.2">
      <c r="A214" t="s">
        <v>1460</v>
      </c>
      <c r="B214" s="169" t="s">
        <v>1461</v>
      </c>
      <c r="C214" s="169" t="s">
        <v>1462</v>
      </c>
      <c r="D214" s="169" t="s">
        <v>262</v>
      </c>
      <c r="E214" s="169" t="s">
        <v>1892</v>
      </c>
    </row>
    <row r="215" spans="1:5" ht="16" hidden="1" customHeight="1" x14ac:dyDescent="0.2">
      <c r="A215" t="s">
        <v>262</v>
      </c>
      <c r="B215" s="169" t="s">
        <v>1464</v>
      </c>
      <c r="C215" s="169" t="s">
        <v>1294</v>
      </c>
      <c r="D215" s="169" t="s">
        <v>262</v>
      </c>
      <c r="E215" s="169" t="s">
        <v>1385</v>
      </c>
    </row>
    <row r="216" spans="1:5" ht="16" hidden="1" customHeight="1" x14ac:dyDescent="0.2">
      <c r="A216" t="s">
        <v>1465</v>
      </c>
      <c r="B216" s="169" t="s">
        <v>1466</v>
      </c>
      <c r="C216" s="169" t="s">
        <v>1467</v>
      </c>
      <c r="D216" s="169" t="s">
        <v>262</v>
      </c>
      <c r="E216" s="169" t="s">
        <v>1893</v>
      </c>
    </row>
    <row r="217" spans="1:5" ht="16" hidden="1" customHeight="1" x14ac:dyDescent="0.2">
      <c r="A217" t="s">
        <v>262</v>
      </c>
      <c r="B217" s="169" t="s">
        <v>1459</v>
      </c>
      <c r="C217" s="169" t="s">
        <v>1358</v>
      </c>
      <c r="D217" s="169" t="s">
        <v>262</v>
      </c>
      <c r="E217" s="169" t="s">
        <v>1311</v>
      </c>
    </row>
    <row r="218" spans="1:5" ht="16" hidden="1" customHeight="1" x14ac:dyDescent="0.2">
      <c r="A218" t="s">
        <v>1469</v>
      </c>
      <c r="B218" s="169" t="s">
        <v>1470</v>
      </c>
      <c r="C218" s="169" t="s">
        <v>1471</v>
      </c>
      <c r="D218" s="169" t="s">
        <v>262</v>
      </c>
      <c r="E218" s="169" t="s">
        <v>1894</v>
      </c>
    </row>
    <row r="219" spans="1:5" ht="16" hidden="1" customHeight="1" x14ac:dyDescent="0.2">
      <c r="A219" t="s">
        <v>262</v>
      </c>
      <c r="B219" s="169" t="s">
        <v>1472</v>
      </c>
      <c r="C219" s="169" t="s">
        <v>1273</v>
      </c>
      <c r="D219" s="169" t="s">
        <v>262</v>
      </c>
      <c r="E219" s="169" t="s">
        <v>1882</v>
      </c>
    </row>
    <row r="220" spans="1:5" ht="16" hidden="1" customHeight="1" x14ac:dyDescent="0.2">
      <c r="A220" t="s">
        <v>1473</v>
      </c>
      <c r="B220" s="169" t="s">
        <v>1474</v>
      </c>
      <c r="C220" s="169" t="s">
        <v>1475</v>
      </c>
      <c r="D220" s="169" t="s">
        <v>262</v>
      </c>
      <c r="E220" s="169" t="s">
        <v>1895</v>
      </c>
    </row>
    <row r="221" spans="1:5" ht="16" hidden="1" customHeight="1" x14ac:dyDescent="0.2">
      <c r="A221" t="s">
        <v>262</v>
      </c>
      <c r="B221" s="169" t="s">
        <v>1476</v>
      </c>
      <c r="C221" s="169" t="s">
        <v>1477</v>
      </c>
      <c r="D221" s="169" t="s">
        <v>262</v>
      </c>
      <c r="E221" s="169" t="s">
        <v>1334</v>
      </c>
    </row>
    <row r="222" spans="1:5" ht="16" hidden="1" customHeight="1" x14ac:dyDescent="0.2">
      <c r="A222" t="s">
        <v>1478</v>
      </c>
      <c r="B222" s="169" t="s">
        <v>1479</v>
      </c>
      <c r="C222" s="169" t="s">
        <v>1480</v>
      </c>
      <c r="D222" s="169" t="s">
        <v>262</v>
      </c>
      <c r="E222" s="169" t="s">
        <v>1891</v>
      </c>
    </row>
    <row r="223" spans="1:5" ht="16" hidden="1" customHeight="1" x14ac:dyDescent="0.2">
      <c r="A223" t="s">
        <v>262</v>
      </c>
      <c r="B223" s="169" t="s">
        <v>1064</v>
      </c>
      <c r="C223" s="169" t="s">
        <v>1481</v>
      </c>
      <c r="D223" s="169" t="s">
        <v>262</v>
      </c>
      <c r="E223" s="169" t="s">
        <v>1311</v>
      </c>
    </row>
    <row r="224" spans="1:5" ht="16" hidden="1" customHeight="1" x14ac:dyDescent="0.2">
      <c r="A224" t="s">
        <v>1482</v>
      </c>
      <c r="B224" s="169" t="s">
        <v>1483</v>
      </c>
      <c r="C224" s="169" t="s">
        <v>262</v>
      </c>
      <c r="D224" s="169" t="s">
        <v>262</v>
      </c>
      <c r="E224" s="169" t="s">
        <v>262</v>
      </c>
    </row>
    <row r="225" spans="1:5" ht="16" hidden="1" customHeight="1" x14ac:dyDescent="0.2">
      <c r="A225" t="s">
        <v>262</v>
      </c>
      <c r="B225" s="169" t="s">
        <v>1484</v>
      </c>
      <c r="C225" s="169" t="s">
        <v>262</v>
      </c>
      <c r="D225" s="169" t="s">
        <v>262</v>
      </c>
      <c r="E225" s="169" t="s">
        <v>262</v>
      </c>
    </row>
    <row r="226" spans="1:5" ht="16" hidden="1" customHeight="1" x14ac:dyDescent="0.2">
      <c r="A226" t="s">
        <v>1485</v>
      </c>
      <c r="B226" s="169" t="s">
        <v>1486</v>
      </c>
      <c r="C226" s="169" t="s">
        <v>262</v>
      </c>
      <c r="D226" s="169" t="s">
        <v>262</v>
      </c>
      <c r="E226" s="169" t="s">
        <v>262</v>
      </c>
    </row>
    <row r="227" spans="1:5" ht="16" hidden="1" customHeight="1" x14ac:dyDescent="0.2">
      <c r="A227" t="s">
        <v>262</v>
      </c>
      <c r="B227" s="169" t="s">
        <v>1487</v>
      </c>
      <c r="C227" s="169" t="s">
        <v>262</v>
      </c>
      <c r="D227" s="169" t="s">
        <v>262</v>
      </c>
      <c r="E227" s="169" t="s">
        <v>262</v>
      </c>
    </row>
    <row r="228" spans="1:5" ht="16" hidden="1" customHeight="1" x14ac:dyDescent="0.2">
      <c r="A228" t="s">
        <v>1488</v>
      </c>
      <c r="B228" s="169" t="s">
        <v>1489</v>
      </c>
      <c r="C228" s="169" t="s">
        <v>262</v>
      </c>
      <c r="D228" s="169" t="s">
        <v>262</v>
      </c>
      <c r="E228" s="169" t="s">
        <v>262</v>
      </c>
    </row>
    <row r="229" spans="1:5" ht="16" hidden="1" customHeight="1" x14ac:dyDescent="0.2">
      <c r="A229" t="s">
        <v>262</v>
      </c>
      <c r="B229" s="169" t="s">
        <v>1490</v>
      </c>
      <c r="C229" s="169" t="s">
        <v>262</v>
      </c>
      <c r="D229" s="169" t="s">
        <v>262</v>
      </c>
      <c r="E229" s="169" t="s">
        <v>262</v>
      </c>
    </row>
    <row r="230" spans="1:5" ht="16" hidden="1" customHeight="1" x14ac:dyDescent="0.2">
      <c r="A230" t="s">
        <v>1491</v>
      </c>
      <c r="B230" s="169" t="s">
        <v>1492</v>
      </c>
      <c r="C230" s="169" t="s">
        <v>262</v>
      </c>
      <c r="D230" s="169" t="s">
        <v>262</v>
      </c>
      <c r="E230" s="169" t="s">
        <v>262</v>
      </c>
    </row>
    <row r="231" spans="1:5" ht="16" hidden="1" customHeight="1" x14ac:dyDescent="0.2">
      <c r="A231" t="s">
        <v>262</v>
      </c>
      <c r="B231" s="169" t="s">
        <v>1493</v>
      </c>
      <c r="C231" s="169" t="s">
        <v>262</v>
      </c>
      <c r="D231" s="169" t="s">
        <v>262</v>
      </c>
      <c r="E231" s="169" t="s">
        <v>262</v>
      </c>
    </row>
    <row r="232" spans="1:5" ht="16" hidden="1" customHeight="1" x14ac:dyDescent="0.2">
      <c r="A232" t="s">
        <v>1494</v>
      </c>
      <c r="B232" s="169" t="s">
        <v>1495</v>
      </c>
      <c r="C232" s="169" t="s">
        <v>262</v>
      </c>
      <c r="D232" s="169" t="s">
        <v>262</v>
      </c>
      <c r="E232" s="169" t="s">
        <v>262</v>
      </c>
    </row>
    <row r="233" spans="1:5" ht="16" hidden="1" customHeight="1" x14ac:dyDescent="0.2">
      <c r="A233" t="s">
        <v>262</v>
      </c>
      <c r="B233" s="169" t="s">
        <v>1257</v>
      </c>
      <c r="C233" s="169" t="s">
        <v>262</v>
      </c>
      <c r="D233" s="169" t="s">
        <v>262</v>
      </c>
      <c r="E233" s="169" t="s">
        <v>262</v>
      </c>
    </row>
    <row r="234" spans="1:5" ht="16" hidden="1" customHeight="1" x14ac:dyDescent="0.2">
      <c r="A234" t="s">
        <v>1496</v>
      </c>
      <c r="B234" s="169" t="s">
        <v>1497</v>
      </c>
      <c r="C234" s="169" t="s">
        <v>262</v>
      </c>
      <c r="D234" s="169" t="s">
        <v>262</v>
      </c>
      <c r="E234" s="169" t="s">
        <v>262</v>
      </c>
    </row>
    <row r="235" spans="1:5" ht="16" hidden="1" customHeight="1" x14ac:dyDescent="0.2">
      <c r="A235" t="s">
        <v>262</v>
      </c>
      <c r="B235" s="169" t="s">
        <v>1321</v>
      </c>
      <c r="C235" s="169" t="s">
        <v>262</v>
      </c>
      <c r="D235" s="169" t="s">
        <v>262</v>
      </c>
      <c r="E235" s="169" t="s">
        <v>262</v>
      </c>
    </row>
    <row r="236" spans="1:5" ht="16" hidden="1" customHeight="1" x14ac:dyDescent="0.2">
      <c r="A236" t="s">
        <v>1498</v>
      </c>
      <c r="B236" s="169" t="s">
        <v>1499</v>
      </c>
      <c r="C236" s="169" t="s">
        <v>262</v>
      </c>
      <c r="D236" s="169" t="s">
        <v>262</v>
      </c>
      <c r="E236" s="169" t="s">
        <v>262</v>
      </c>
    </row>
    <row r="237" spans="1:5" ht="16" hidden="1" customHeight="1" x14ac:dyDescent="0.2">
      <c r="A237" t="s">
        <v>262</v>
      </c>
      <c r="B237" s="169" t="s">
        <v>1262</v>
      </c>
      <c r="C237" s="169" t="s">
        <v>262</v>
      </c>
      <c r="D237" s="169" t="s">
        <v>262</v>
      </c>
      <c r="E237" s="169" t="s">
        <v>262</v>
      </c>
    </row>
    <row r="238" spans="1:5" ht="16" hidden="1" customHeight="1" x14ac:dyDescent="0.2">
      <c r="A238" t="s">
        <v>1500</v>
      </c>
      <c r="B238" s="169" t="s">
        <v>1501</v>
      </c>
      <c r="C238" s="169" t="s">
        <v>262</v>
      </c>
      <c r="D238" s="169" t="s">
        <v>262</v>
      </c>
      <c r="E238" s="169" t="s">
        <v>262</v>
      </c>
    </row>
    <row r="239" spans="1:5" ht="16" hidden="1" customHeight="1" x14ac:dyDescent="0.2">
      <c r="A239" t="s">
        <v>262</v>
      </c>
      <c r="B239" s="169" t="s">
        <v>1502</v>
      </c>
      <c r="C239" s="169" t="s">
        <v>262</v>
      </c>
      <c r="D239" s="169" t="s">
        <v>262</v>
      </c>
      <c r="E239" s="169" t="s">
        <v>262</v>
      </c>
    </row>
    <row r="240" spans="1:5" ht="16" hidden="1" customHeight="1" x14ac:dyDescent="0.2">
      <c r="A240" t="s">
        <v>1503</v>
      </c>
      <c r="B240" s="169" t="s">
        <v>1504</v>
      </c>
      <c r="C240" s="169" t="s">
        <v>262</v>
      </c>
      <c r="D240" s="169" t="s">
        <v>262</v>
      </c>
      <c r="E240" s="169" t="s">
        <v>262</v>
      </c>
    </row>
    <row r="241" spans="1:5" ht="16" hidden="1" customHeight="1" x14ac:dyDescent="0.2">
      <c r="A241" t="s">
        <v>262</v>
      </c>
      <c r="B241" s="169" t="s">
        <v>1252</v>
      </c>
      <c r="C241" s="169" t="s">
        <v>262</v>
      </c>
      <c r="D241" s="169" t="s">
        <v>262</v>
      </c>
      <c r="E241" s="169" t="s">
        <v>262</v>
      </c>
    </row>
    <row r="242" spans="1:5" ht="16" hidden="1" customHeight="1" x14ac:dyDescent="0.2">
      <c r="A242" t="s">
        <v>1505</v>
      </c>
      <c r="B242" s="169" t="s">
        <v>1506</v>
      </c>
      <c r="C242" s="169" t="s">
        <v>262</v>
      </c>
      <c r="D242" s="169" t="s">
        <v>262</v>
      </c>
      <c r="E242" s="169" t="s">
        <v>262</v>
      </c>
    </row>
    <row r="243" spans="1:5" ht="16" hidden="1" customHeight="1" x14ac:dyDescent="0.2">
      <c r="A243" t="s">
        <v>262</v>
      </c>
      <c r="B243" s="169" t="s">
        <v>1507</v>
      </c>
      <c r="C243" s="169" t="s">
        <v>262</v>
      </c>
      <c r="D243" s="169" t="s">
        <v>262</v>
      </c>
      <c r="E243" s="169" t="s">
        <v>262</v>
      </c>
    </row>
    <row r="244" spans="1:5" ht="16" hidden="1" customHeight="1" x14ac:dyDescent="0.2">
      <c r="A244" t="s">
        <v>1508</v>
      </c>
      <c r="B244" s="169" t="s">
        <v>1509</v>
      </c>
      <c r="C244" s="169" t="s">
        <v>262</v>
      </c>
      <c r="D244" s="169" t="s">
        <v>262</v>
      </c>
      <c r="E244" s="169" t="s">
        <v>262</v>
      </c>
    </row>
    <row r="245" spans="1:5" ht="16" hidden="1" customHeight="1" x14ac:dyDescent="0.2">
      <c r="A245" t="s">
        <v>262</v>
      </c>
      <c r="B245" s="169" t="s">
        <v>1510</v>
      </c>
      <c r="C245" s="169" t="s">
        <v>262</v>
      </c>
      <c r="D245" s="169" t="s">
        <v>262</v>
      </c>
      <c r="E245" s="169" t="s">
        <v>262</v>
      </c>
    </row>
    <row r="246" spans="1:5" ht="16" hidden="1" customHeight="1" x14ac:dyDescent="0.2">
      <c r="A246" t="s">
        <v>1511</v>
      </c>
      <c r="B246" s="169" t="s">
        <v>1512</v>
      </c>
      <c r="C246" s="169" t="s">
        <v>1513</v>
      </c>
      <c r="D246" s="169" t="s">
        <v>262</v>
      </c>
      <c r="E246" s="169" t="s">
        <v>1896</v>
      </c>
    </row>
    <row r="247" spans="1:5" ht="16" hidden="1" customHeight="1" x14ac:dyDescent="0.2">
      <c r="A247" t="s">
        <v>262</v>
      </c>
      <c r="B247" s="169" t="s">
        <v>1514</v>
      </c>
      <c r="C247" s="169" t="s">
        <v>1515</v>
      </c>
      <c r="D247" s="169" t="s">
        <v>262</v>
      </c>
      <c r="E247" s="169" t="s">
        <v>1897</v>
      </c>
    </row>
    <row r="248" spans="1:5" ht="16" hidden="1" customHeight="1" x14ac:dyDescent="0.2">
      <c r="A248" t="s">
        <v>1935</v>
      </c>
      <c r="B248" s="169" t="s">
        <v>1771</v>
      </c>
      <c r="C248" s="169" t="s">
        <v>1778</v>
      </c>
      <c r="D248" s="169" t="s">
        <v>262</v>
      </c>
      <c r="E248" s="169" t="s">
        <v>1898</v>
      </c>
    </row>
    <row r="249" spans="1:5" ht="16" hidden="1" customHeight="1" x14ac:dyDescent="0.2">
      <c r="A249" t="s">
        <v>262</v>
      </c>
      <c r="B249" s="169" t="s">
        <v>1256</v>
      </c>
      <c r="C249" s="169" t="s">
        <v>1779</v>
      </c>
      <c r="D249" s="169" t="s">
        <v>262</v>
      </c>
      <c r="E249" s="169" t="s">
        <v>1897</v>
      </c>
    </row>
    <row r="250" spans="1:5" ht="16" hidden="1" customHeight="1" x14ac:dyDescent="0.2">
      <c r="A250" t="s">
        <v>1516</v>
      </c>
      <c r="B250" s="169" t="s">
        <v>1517</v>
      </c>
      <c r="C250" s="169" t="s">
        <v>1518</v>
      </c>
      <c r="D250" s="169" t="s">
        <v>262</v>
      </c>
      <c r="E250" s="169" t="s">
        <v>1899</v>
      </c>
    </row>
    <row r="251" spans="1:5" ht="16" hidden="1" customHeight="1" x14ac:dyDescent="0.2">
      <c r="A251" t="s">
        <v>262</v>
      </c>
      <c r="B251" s="169" t="s">
        <v>1519</v>
      </c>
      <c r="C251" s="169" t="s">
        <v>1520</v>
      </c>
      <c r="D251" s="169" t="s">
        <v>262</v>
      </c>
      <c r="E251" s="169" t="s">
        <v>1900</v>
      </c>
    </row>
    <row r="252" spans="1:5" ht="16" hidden="1" customHeight="1" x14ac:dyDescent="0.2">
      <c r="A252" t="s">
        <v>1521</v>
      </c>
      <c r="B252" s="169" t="s">
        <v>1522</v>
      </c>
      <c r="C252" s="169" t="s">
        <v>1523</v>
      </c>
      <c r="D252" s="169" t="s">
        <v>262</v>
      </c>
      <c r="E252" s="169" t="s">
        <v>1901</v>
      </c>
    </row>
    <row r="253" spans="1:5" ht="16" hidden="1" customHeight="1" x14ac:dyDescent="0.2">
      <c r="A253" t="s">
        <v>262</v>
      </c>
      <c r="B253" s="169" t="s">
        <v>1335</v>
      </c>
      <c r="C253" s="169" t="s">
        <v>1524</v>
      </c>
      <c r="D253" s="169" t="s">
        <v>262</v>
      </c>
      <c r="E253" s="169" t="s">
        <v>1902</v>
      </c>
    </row>
    <row r="254" spans="1:5" ht="16" hidden="1" customHeight="1" x14ac:dyDescent="0.2">
      <c r="A254" t="s">
        <v>1525</v>
      </c>
      <c r="B254" s="169" t="s">
        <v>1526</v>
      </c>
      <c r="C254" s="169" t="s">
        <v>1527</v>
      </c>
      <c r="D254" s="169" t="s">
        <v>262</v>
      </c>
      <c r="E254" s="169" t="s">
        <v>1903</v>
      </c>
    </row>
    <row r="255" spans="1:5" ht="16" hidden="1" customHeight="1" x14ac:dyDescent="0.2">
      <c r="A255" t="s">
        <v>262</v>
      </c>
      <c r="B255" s="169" t="s">
        <v>1256</v>
      </c>
      <c r="C255" s="169" t="s">
        <v>1301</v>
      </c>
      <c r="D255" s="169" t="s">
        <v>262</v>
      </c>
      <c r="E255" s="169" t="s">
        <v>1897</v>
      </c>
    </row>
    <row r="256" spans="1:5" ht="16" hidden="1" customHeight="1" x14ac:dyDescent="0.2">
      <c r="A256" t="s">
        <v>1528</v>
      </c>
      <c r="B256" s="169" t="s">
        <v>1529</v>
      </c>
      <c r="C256" s="169" t="s">
        <v>1530</v>
      </c>
      <c r="D256" s="169" t="s">
        <v>262</v>
      </c>
      <c r="E256" s="169" t="s">
        <v>1904</v>
      </c>
    </row>
    <row r="257" spans="1:5" ht="16" hidden="1" customHeight="1" x14ac:dyDescent="0.2">
      <c r="A257" t="s">
        <v>262</v>
      </c>
      <c r="B257" s="169" t="s">
        <v>1531</v>
      </c>
      <c r="C257" s="169" t="s">
        <v>1532</v>
      </c>
      <c r="D257" s="169" t="s">
        <v>262</v>
      </c>
      <c r="E257" s="169" t="s">
        <v>1905</v>
      </c>
    </row>
    <row r="258" spans="1:5" ht="16" hidden="1" customHeight="1" x14ac:dyDescent="0.2">
      <c r="A258" t="s">
        <v>1533</v>
      </c>
      <c r="B258" s="169" t="s">
        <v>1534</v>
      </c>
      <c r="C258" s="169" t="s">
        <v>1535</v>
      </c>
      <c r="D258" s="169" t="s">
        <v>262</v>
      </c>
      <c r="E258" s="169" t="s">
        <v>1389</v>
      </c>
    </row>
    <row r="259" spans="1:5" ht="16" hidden="1" customHeight="1" x14ac:dyDescent="0.2">
      <c r="A259" t="s">
        <v>262</v>
      </c>
      <c r="B259" s="169" t="s">
        <v>1536</v>
      </c>
      <c r="C259" s="169" t="s">
        <v>1410</v>
      </c>
      <c r="D259" s="169" t="s">
        <v>262</v>
      </c>
      <c r="E259" s="169" t="s">
        <v>1349</v>
      </c>
    </row>
    <row r="260" spans="1:5" ht="16" hidden="1" customHeight="1" x14ac:dyDescent="0.2">
      <c r="A260" t="s">
        <v>1537</v>
      </c>
      <c r="B260" s="169" t="s">
        <v>1538</v>
      </c>
      <c r="C260" s="169" t="s">
        <v>1539</v>
      </c>
      <c r="D260" s="169" t="s">
        <v>262</v>
      </c>
      <c r="E260" s="169" t="s">
        <v>1906</v>
      </c>
    </row>
    <row r="261" spans="1:5" ht="16" hidden="1" customHeight="1" x14ac:dyDescent="0.2">
      <c r="A261" t="s">
        <v>262</v>
      </c>
      <c r="B261" s="169" t="s">
        <v>1340</v>
      </c>
      <c r="C261" s="169" t="s">
        <v>1468</v>
      </c>
      <c r="D261" s="169" t="s">
        <v>262</v>
      </c>
      <c r="E261" s="169" t="s">
        <v>1907</v>
      </c>
    </row>
    <row r="262" spans="1:5" ht="16" hidden="1" customHeight="1" x14ac:dyDescent="0.2">
      <c r="A262" t="s">
        <v>1540</v>
      </c>
      <c r="B262" s="169" t="s">
        <v>1541</v>
      </c>
      <c r="C262" s="169" t="s">
        <v>1542</v>
      </c>
      <c r="D262" s="169" t="s">
        <v>262</v>
      </c>
      <c r="E262" s="169" t="s">
        <v>1908</v>
      </c>
    </row>
    <row r="263" spans="1:5" ht="16" hidden="1" customHeight="1" x14ac:dyDescent="0.2">
      <c r="A263" t="s">
        <v>262</v>
      </c>
      <c r="B263" s="169" t="s">
        <v>1418</v>
      </c>
      <c r="C263" s="169" t="s">
        <v>1370</v>
      </c>
      <c r="D263" s="169" t="s">
        <v>262</v>
      </c>
      <c r="E263" s="169" t="s">
        <v>1909</v>
      </c>
    </row>
    <row r="264" spans="1:5" ht="16" hidden="1" customHeight="1" x14ac:dyDescent="0.2">
      <c r="A264" t="s">
        <v>1543</v>
      </c>
      <c r="B264" s="169" t="s">
        <v>1544</v>
      </c>
      <c r="C264" s="169" t="s">
        <v>1545</v>
      </c>
      <c r="D264" s="169" t="s">
        <v>262</v>
      </c>
      <c r="E264" s="169" t="s">
        <v>1549</v>
      </c>
    </row>
    <row r="265" spans="1:5" ht="16" hidden="1" customHeight="1" x14ac:dyDescent="0.2">
      <c r="A265" t="s">
        <v>262</v>
      </c>
      <c r="B265" s="169" t="s">
        <v>1339</v>
      </c>
      <c r="C265" s="169" t="s">
        <v>1490</v>
      </c>
      <c r="D265" s="169" t="s">
        <v>262</v>
      </c>
      <c r="E265" s="169" t="s">
        <v>1909</v>
      </c>
    </row>
    <row r="266" spans="1:5" ht="16" hidden="1" customHeight="1" x14ac:dyDescent="0.2">
      <c r="A266" t="s">
        <v>1546</v>
      </c>
      <c r="B266" s="169" t="s">
        <v>1547</v>
      </c>
      <c r="C266" s="169" t="s">
        <v>1548</v>
      </c>
      <c r="D266" s="169" t="s">
        <v>262</v>
      </c>
      <c r="E266" s="169" t="s">
        <v>1910</v>
      </c>
    </row>
    <row r="267" spans="1:5" ht="16" hidden="1" customHeight="1" x14ac:dyDescent="0.2">
      <c r="A267" t="s">
        <v>262</v>
      </c>
      <c r="B267" s="169" t="s">
        <v>1305</v>
      </c>
      <c r="C267" s="169" t="s">
        <v>1373</v>
      </c>
      <c r="D267" s="169" t="s">
        <v>262</v>
      </c>
      <c r="E267" s="169" t="s">
        <v>1911</v>
      </c>
    </row>
    <row r="268" spans="1:5" ht="16" hidden="1" customHeight="1" x14ac:dyDescent="0.2">
      <c r="A268" t="s">
        <v>1550</v>
      </c>
      <c r="B268" s="169" t="s">
        <v>1551</v>
      </c>
      <c r="C268" s="169" t="s">
        <v>1552</v>
      </c>
      <c r="D268" s="169" t="s">
        <v>262</v>
      </c>
      <c r="E268" s="169" t="s">
        <v>1912</v>
      </c>
    </row>
    <row r="269" spans="1:5" ht="16" hidden="1" customHeight="1" x14ac:dyDescent="0.2">
      <c r="A269" t="s">
        <v>262</v>
      </c>
      <c r="B269" s="169" t="s">
        <v>1553</v>
      </c>
      <c r="C269" s="169" t="s">
        <v>1373</v>
      </c>
      <c r="D269" s="169" t="s">
        <v>262</v>
      </c>
      <c r="E269" s="169" t="s">
        <v>1913</v>
      </c>
    </row>
    <row r="270" spans="1:5" ht="16" hidden="1" customHeight="1" x14ac:dyDescent="0.2">
      <c r="A270" t="s">
        <v>1554</v>
      </c>
      <c r="B270" s="169" t="s">
        <v>1555</v>
      </c>
      <c r="C270" s="169" t="s">
        <v>1556</v>
      </c>
      <c r="D270" s="169" t="s">
        <v>262</v>
      </c>
      <c r="E270" s="169" t="s">
        <v>1586</v>
      </c>
    </row>
    <row r="271" spans="1:5" ht="16" hidden="1" customHeight="1" x14ac:dyDescent="0.2">
      <c r="A271" t="s">
        <v>262</v>
      </c>
      <c r="B271" s="169" t="s">
        <v>1557</v>
      </c>
      <c r="C271" s="169" t="s">
        <v>1558</v>
      </c>
      <c r="D271" s="169" t="s">
        <v>262</v>
      </c>
      <c r="E271" s="169" t="s">
        <v>1805</v>
      </c>
    </row>
    <row r="272" spans="1:5" ht="16" hidden="1" customHeight="1" x14ac:dyDescent="0.2">
      <c r="A272" t="s">
        <v>1559</v>
      </c>
      <c r="B272" s="169" t="s">
        <v>1560</v>
      </c>
      <c r="C272" s="169" t="s">
        <v>1561</v>
      </c>
      <c r="D272" s="169" t="s">
        <v>262</v>
      </c>
      <c r="E272" s="169" t="s">
        <v>1895</v>
      </c>
    </row>
    <row r="273" spans="1:5" ht="16" hidden="1" customHeight="1" x14ac:dyDescent="0.2">
      <c r="A273" t="s">
        <v>262</v>
      </c>
      <c r="B273" s="169" t="s">
        <v>1562</v>
      </c>
      <c r="C273" s="169" t="s">
        <v>1563</v>
      </c>
      <c r="D273" s="169" t="s">
        <v>262</v>
      </c>
      <c r="E273" s="169" t="s">
        <v>1030</v>
      </c>
    </row>
    <row r="274" spans="1:5" ht="16" hidden="1" customHeight="1" x14ac:dyDescent="0.2">
      <c r="A274" t="s">
        <v>1564</v>
      </c>
      <c r="B274" s="169" t="s">
        <v>1565</v>
      </c>
      <c r="C274" s="169" t="s">
        <v>1566</v>
      </c>
      <c r="D274" s="169" t="s">
        <v>262</v>
      </c>
      <c r="E274" s="169" t="s">
        <v>1914</v>
      </c>
    </row>
    <row r="275" spans="1:5" ht="16" hidden="1" customHeight="1" x14ac:dyDescent="0.2">
      <c r="A275" t="s">
        <v>262</v>
      </c>
      <c r="B275" s="169" t="s">
        <v>1042</v>
      </c>
      <c r="C275" s="169" t="s">
        <v>1567</v>
      </c>
      <c r="D275" s="169" t="s">
        <v>262</v>
      </c>
      <c r="E275" s="169" t="s">
        <v>1915</v>
      </c>
    </row>
    <row r="276" spans="1:5" ht="16" hidden="1" customHeight="1" x14ac:dyDescent="0.2">
      <c r="A276" t="s">
        <v>1568</v>
      </c>
      <c r="B276" s="169" t="s">
        <v>1569</v>
      </c>
      <c r="C276" s="169" t="s">
        <v>1570</v>
      </c>
      <c r="D276" s="169" t="s">
        <v>262</v>
      </c>
      <c r="E276" s="169" t="s">
        <v>1463</v>
      </c>
    </row>
    <row r="277" spans="1:5" ht="16" hidden="1" customHeight="1" x14ac:dyDescent="0.2">
      <c r="A277" t="s">
        <v>262</v>
      </c>
      <c r="B277" s="169" t="s">
        <v>1059</v>
      </c>
      <c r="C277" s="169" t="s">
        <v>1339</v>
      </c>
      <c r="D277" s="169" t="s">
        <v>262</v>
      </c>
      <c r="E277" s="169" t="s">
        <v>1915</v>
      </c>
    </row>
    <row r="278" spans="1:5" ht="16" hidden="1" customHeight="1" x14ac:dyDescent="0.2">
      <c r="A278" t="s">
        <v>1571</v>
      </c>
      <c r="B278" s="169" t="s">
        <v>1572</v>
      </c>
      <c r="C278" s="169" t="s">
        <v>1573</v>
      </c>
      <c r="D278" s="169" t="s">
        <v>262</v>
      </c>
      <c r="E278" s="169" t="s">
        <v>1916</v>
      </c>
    </row>
    <row r="279" spans="1:5" ht="16" hidden="1" customHeight="1" x14ac:dyDescent="0.2">
      <c r="A279" t="s">
        <v>262</v>
      </c>
      <c r="B279" s="169" t="s">
        <v>1574</v>
      </c>
      <c r="C279" s="169" t="s">
        <v>1294</v>
      </c>
      <c r="D279" s="169" t="s">
        <v>262</v>
      </c>
      <c r="E279" s="169" t="s">
        <v>1917</v>
      </c>
    </row>
    <row r="280" spans="1:5" ht="16" hidden="1" customHeight="1" x14ac:dyDescent="0.2">
      <c r="A280" t="s">
        <v>1575</v>
      </c>
      <c r="B280" s="169" t="s">
        <v>1576</v>
      </c>
      <c r="C280" s="169" t="s">
        <v>1577</v>
      </c>
      <c r="D280" s="169" t="s">
        <v>262</v>
      </c>
      <c r="E280" s="169" t="s">
        <v>1918</v>
      </c>
    </row>
    <row r="281" spans="1:5" ht="16" hidden="1" customHeight="1" x14ac:dyDescent="0.2">
      <c r="A281" t="s">
        <v>262</v>
      </c>
      <c r="B281" s="169" t="s">
        <v>1578</v>
      </c>
      <c r="C281" s="169" t="s">
        <v>1039</v>
      </c>
      <c r="D281" s="169" t="s">
        <v>262</v>
      </c>
      <c r="E281" s="169" t="s">
        <v>1801</v>
      </c>
    </row>
    <row r="282" spans="1:5" ht="16" hidden="1" customHeight="1" x14ac:dyDescent="0.2">
      <c r="A282" t="s">
        <v>1579</v>
      </c>
      <c r="B282" s="169" t="s">
        <v>1580</v>
      </c>
      <c r="C282" s="169" t="s">
        <v>1581</v>
      </c>
      <c r="D282" s="169" t="s">
        <v>262</v>
      </c>
      <c r="E282" s="169" t="s">
        <v>1919</v>
      </c>
    </row>
    <row r="283" spans="1:5" ht="16" hidden="1" customHeight="1" x14ac:dyDescent="0.2">
      <c r="A283" t="s">
        <v>262</v>
      </c>
      <c r="B283" s="169" t="s">
        <v>1582</v>
      </c>
      <c r="C283" s="169" t="s">
        <v>1310</v>
      </c>
      <c r="D283" s="169" t="s">
        <v>262</v>
      </c>
      <c r="E283" s="169" t="s">
        <v>1920</v>
      </c>
    </row>
    <row r="284" spans="1:5" ht="16" hidden="1" customHeight="1" x14ac:dyDescent="0.2">
      <c r="A284" t="s">
        <v>1583</v>
      </c>
      <c r="B284" s="169" t="s">
        <v>1584</v>
      </c>
      <c r="C284" s="169" t="s">
        <v>1585</v>
      </c>
      <c r="D284" s="169" t="s">
        <v>262</v>
      </c>
      <c r="E284" s="169" t="s">
        <v>1541</v>
      </c>
    </row>
    <row r="285" spans="1:5" ht="16" hidden="1" customHeight="1" x14ac:dyDescent="0.2">
      <c r="A285" t="s">
        <v>262</v>
      </c>
      <c r="B285" s="169" t="s">
        <v>1587</v>
      </c>
      <c r="C285" s="169" t="s">
        <v>1367</v>
      </c>
      <c r="D285" s="169" t="s">
        <v>262</v>
      </c>
      <c r="E285" s="169" t="s">
        <v>1921</v>
      </c>
    </row>
    <row r="286" spans="1:5" ht="16" hidden="1" customHeight="1" x14ac:dyDescent="0.2">
      <c r="A286" t="s">
        <v>1588</v>
      </c>
      <c r="B286" s="169" t="s">
        <v>1589</v>
      </c>
      <c r="C286" s="169" t="s">
        <v>1590</v>
      </c>
      <c r="D286" s="169" t="s">
        <v>262</v>
      </c>
      <c r="E286" s="169" t="s">
        <v>1922</v>
      </c>
    </row>
    <row r="287" spans="1:5" ht="16" hidden="1" customHeight="1" x14ac:dyDescent="0.2">
      <c r="A287" t="s">
        <v>262</v>
      </c>
      <c r="B287" s="169" t="s">
        <v>1481</v>
      </c>
      <c r="C287" s="169" t="s">
        <v>1591</v>
      </c>
      <c r="D287" s="169" t="s">
        <v>262</v>
      </c>
      <c r="E287" s="169" t="s">
        <v>1923</v>
      </c>
    </row>
    <row r="288" spans="1:5" ht="16" hidden="1" customHeight="1" x14ac:dyDescent="0.2">
      <c r="A288" t="s">
        <v>1592</v>
      </c>
      <c r="B288" s="169" t="s">
        <v>1593</v>
      </c>
      <c r="C288" s="169" t="s">
        <v>1594</v>
      </c>
      <c r="D288" s="169" t="s">
        <v>262</v>
      </c>
      <c r="E288" s="169" t="s">
        <v>1924</v>
      </c>
    </row>
    <row r="289" spans="1:5" ht="16" hidden="1" customHeight="1" x14ac:dyDescent="0.2">
      <c r="A289" t="s">
        <v>262</v>
      </c>
      <c r="B289" s="169" t="s">
        <v>1595</v>
      </c>
      <c r="C289" s="169" t="s">
        <v>1596</v>
      </c>
      <c r="D289" s="169" t="s">
        <v>262</v>
      </c>
      <c r="E289" s="169" t="s">
        <v>1925</v>
      </c>
    </row>
    <row r="290" spans="1:5" ht="16" hidden="1" customHeight="1" x14ac:dyDescent="0.2">
      <c r="A290" t="s">
        <v>1597</v>
      </c>
      <c r="B290" s="169" t="s">
        <v>1598</v>
      </c>
      <c r="C290" s="169" t="s">
        <v>1599</v>
      </c>
      <c r="D290" s="169" t="s">
        <v>262</v>
      </c>
      <c r="E290" s="169" t="s">
        <v>1499</v>
      </c>
    </row>
    <row r="291" spans="1:5" ht="16" hidden="1" customHeight="1" x14ac:dyDescent="0.2">
      <c r="A291" t="s">
        <v>262</v>
      </c>
      <c r="B291" s="169" t="s">
        <v>1600</v>
      </c>
      <c r="C291" s="169" t="s">
        <v>1437</v>
      </c>
      <c r="D291" s="169" t="s">
        <v>262</v>
      </c>
      <c r="E291" s="169" t="s">
        <v>1926</v>
      </c>
    </row>
    <row r="292" spans="1:5" ht="16" hidden="1" customHeight="1" x14ac:dyDescent="0.2">
      <c r="A292" t="s">
        <v>1601</v>
      </c>
      <c r="B292" s="169" t="s">
        <v>1602</v>
      </c>
      <c r="C292" s="169" t="s">
        <v>1603</v>
      </c>
      <c r="D292" s="169" t="s">
        <v>262</v>
      </c>
      <c r="E292" s="169" t="s">
        <v>1927</v>
      </c>
    </row>
    <row r="293" spans="1:5" ht="16" hidden="1" customHeight="1" x14ac:dyDescent="0.2">
      <c r="A293" t="s">
        <v>262</v>
      </c>
      <c r="B293" s="169" t="s">
        <v>1604</v>
      </c>
      <c r="C293" s="169" t="s">
        <v>1536</v>
      </c>
      <c r="D293" s="169" t="s">
        <v>262</v>
      </c>
      <c r="E293" s="169" t="s">
        <v>1928</v>
      </c>
    </row>
    <row r="294" spans="1:5" ht="16" hidden="1" customHeight="1" x14ac:dyDescent="0.2">
      <c r="A294" t="s">
        <v>1605</v>
      </c>
      <c r="B294" s="169" t="s">
        <v>1606</v>
      </c>
      <c r="C294" s="169" t="s">
        <v>1607</v>
      </c>
      <c r="D294" s="169" t="s">
        <v>262</v>
      </c>
      <c r="E294" s="169" t="s">
        <v>1929</v>
      </c>
    </row>
    <row r="295" spans="1:5" ht="16" hidden="1" customHeight="1" x14ac:dyDescent="0.2">
      <c r="A295" t="s">
        <v>262</v>
      </c>
      <c r="B295" s="169" t="s">
        <v>1608</v>
      </c>
      <c r="C295" s="169" t="s">
        <v>1609</v>
      </c>
      <c r="D295" s="169" t="s">
        <v>262</v>
      </c>
      <c r="E295" s="169" t="s">
        <v>1930</v>
      </c>
    </row>
    <row r="296" spans="1:5" ht="16" hidden="1" customHeight="1" x14ac:dyDescent="0.2">
      <c r="A296" t="s">
        <v>1936</v>
      </c>
      <c r="B296" s="169" t="s">
        <v>262</v>
      </c>
      <c r="C296" s="169"/>
      <c r="D296" s="169" t="s">
        <v>262</v>
      </c>
      <c r="E296" s="169"/>
    </row>
    <row r="297" spans="1:5" ht="16" hidden="1" customHeight="1" x14ac:dyDescent="0.2">
      <c r="A297" t="s">
        <v>262</v>
      </c>
      <c r="B297" s="169" t="s">
        <v>262</v>
      </c>
      <c r="C297" s="169"/>
      <c r="D297" s="169" t="s">
        <v>262</v>
      </c>
      <c r="E297" s="169"/>
    </row>
    <row r="298" spans="1:5" ht="16" hidden="1" customHeight="1" x14ac:dyDescent="0.2">
      <c r="A298" t="s">
        <v>1937</v>
      </c>
      <c r="B298" s="169" t="s">
        <v>262</v>
      </c>
      <c r="C298" s="169"/>
      <c r="D298" s="169" t="s">
        <v>262</v>
      </c>
      <c r="E298" s="169"/>
    </row>
    <row r="299" spans="1:5" ht="16" hidden="1" customHeight="1" x14ac:dyDescent="0.2">
      <c r="A299" t="s">
        <v>262</v>
      </c>
      <c r="B299" s="169" t="s">
        <v>262</v>
      </c>
      <c r="C299" s="169"/>
      <c r="D299" s="169" t="s">
        <v>262</v>
      </c>
      <c r="E299" s="169"/>
    </row>
    <row r="300" spans="1:5" ht="16" hidden="1" customHeight="1" x14ac:dyDescent="0.2">
      <c r="A300" t="s">
        <v>1938</v>
      </c>
      <c r="B300" s="169" t="s">
        <v>262</v>
      </c>
      <c r="C300" s="169"/>
      <c r="D300" s="169" t="s">
        <v>262</v>
      </c>
      <c r="E300" s="169"/>
    </row>
    <row r="301" spans="1:5" ht="16" hidden="1" customHeight="1" x14ac:dyDescent="0.2">
      <c r="A301" t="s">
        <v>262</v>
      </c>
      <c r="B301" s="169" t="s">
        <v>262</v>
      </c>
      <c r="C301" s="169"/>
      <c r="D301" s="169" t="s">
        <v>262</v>
      </c>
      <c r="E301" s="169"/>
    </row>
    <row r="302" spans="1:5" ht="16" hidden="1" customHeight="1" x14ac:dyDescent="0.2">
      <c r="A302" t="s">
        <v>1939</v>
      </c>
      <c r="B302" s="169" t="s">
        <v>262</v>
      </c>
      <c r="C302" s="169"/>
      <c r="D302" s="169" t="s">
        <v>262</v>
      </c>
      <c r="E302" s="169"/>
    </row>
    <row r="303" spans="1:5" ht="16" hidden="1" customHeight="1" x14ac:dyDescent="0.2">
      <c r="A303" t="s">
        <v>262</v>
      </c>
      <c r="B303" s="169" t="s">
        <v>262</v>
      </c>
      <c r="C303" s="169"/>
      <c r="D303" s="169" t="s">
        <v>262</v>
      </c>
      <c r="E303" s="169"/>
    </row>
    <row r="304" spans="1:5" ht="16" hidden="1" customHeight="1" x14ac:dyDescent="0.2">
      <c r="A304" t="s">
        <v>1940</v>
      </c>
      <c r="B304" s="169" t="s">
        <v>262</v>
      </c>
      <c r="C304" s="169"/>
      <c r="D304" s="169" t="s">
        <v>262</v>
      </c>
      <c r="E304" s="169"/>
    </row>
    <row r="305" spans="1:5" ht="16" hidden="1" customHeight="1" x14ac:dyDescent="0.2">
      <c r="A305" t="s">
        <v>262</v>
      </c>
      <c r="B305" s="169" t="s">
        <v>262</v>
      </c>
      <c r="C305" s="169"/>
      <c r="D305" s="169" t="s">
        <v>262</v>
      </c>
      <c r="E305" s="169"/>
    </row>
    <row r="306" spans="1:5" ht="16" hidden="1" customHeight="1" x14ac:dyDescent="0.2">
      <c r="A306" t="s">
        <v>1941</v>
      </c>
      <c r="B306" s="169" t="s">
        <v>262</v>
      </c>
      <c r="C306" s="169"/>
      <c r="D306" s="169" t="s">
        <v>262</v>
      </c>
      <c r="E306" s="169"/>
    </row>
    <row r="307" spans="1:5" ht="16" hidden="1" customHeight="1" x14ac:dyDescent="0.2">
      <c r="A307" t="s">
        <v>262</v>
      </c>
      <c r="B307" s="169" t="s">
        <v>262</v>
      </c>
      <c r="C307" s="169"/>
      <c r="D307" s="169" t="s">
        <v>262</v>
      </c>
      <c r="E307" s="169"/>
    </row>
    <row r="308" spans="1:5" ht="16" hidden="1" customHeight="1" x14ac:dyDescent="0.2">
      <c r="A308" t="s">
        <v>1942</v>
      </c>
      <c r="B308" s="169" t="s">
        <v>262</v>
      </c>
      <c r="C308" s="169"/>
      <c r="D308" s="169" t="s">
        <v>262</v>
      </c>
      <c r="E308" s="169"/>
    </row>
    <row r="309" spans="1:5" ht="16" hidden="1" customHeight="1" x14ac:dyDescent="0.2">
      <c r="A309" t="s">
        <v>262</v>
      </c>
      <c r="B309" s="169" t="s">
        <v>262</v>
      </c>
      <c r="C309" s="169"/>
      <c r="D309" s="169" t="s">
        <v>262</v>
      </c>
      <c r="E309" s="169"/>
    </row>
    <row r="310" spans="1:5" ht="16" hidden="1" customHeight="1" x14ac:dyDescent="0.2">
      <c r="A310" t="s">
        <v>1943</v>
      </c>
      <c r="B310" s="169" t="s">
        <v>262</v>
      </c>
      <c r="C310" s="169"/>
      <c r="D310" s="169" t="s">
        <v>262</v>
      </c>
      <c r="E310" s="169"/>
    </row>
    <row r="311" spans="1:5" ht="16" hidden="1" customHeight="1" x14ac:dyDescent="0.2">
      <c r="A311" t="s">
        <v>262</v>
      </c>
      <c r="B311" s="169" t="s">
        <v>262</v>
      </c>
      <c r="C311" s="169"/>
      <c r="D311" s="169" t="s">
        <v>262</v>
      </c>
      <c r="E311" s="169"/>
    </row>
    <row r="312" spans="1:5" ht="16" hidden="1" customHeight="1" x14ac:dyDescent="0.2">
      <c r="A312" t="s">
        <v>1944</v>
      </c>
      <c r="B312" s="169" t="s">
        <v>262</v>
      </c>
      <c r="C312" s="169"/>
      <c r="D312" s="169" t="s">
        <v>262</v>
      </c>
      <c r="E312" s="169"/>
    </row>
    <row r="313" spans="1:5" ht="16" hidden="1" customHeight="1" x14ac:dyDescent="0.2">
      <c r="A313" t="s">
        <v>262</v>
      </c>
      <c r="B313" s="169" t="s">
        <v>262</v>
      </c>
      <c r="C313" s="169"/>
      <c r="D313" s="169" t="s">
        <v>262</v>
      </c>
      <c r="E313" s="169"/>
    </row>
    <row r="314" spans="1:5" ht="16" hidden="1" customHeight="1" x14ac:dyDescent="0.2">
      <c r="A314" t="s">
        <v>1945</v>
      </c>
      <c r="B314" s="169" t="s">
        <v>262</v>
      </c>
      <c r="C314" s="169"/>
      <c r="D314" s="169" t="s">
        <v>262</v>
      </c>
      <c r="E314" s="169"/>
    </row>
    <row r="315" spans="1:5" ht="16" hidden="1" customHeight="1" x14ac:dyDescent="0.2">
      <c r="A315" t="s">
        <v>262</v>
      </c>
      <c r="B315" s="169" t="s">
        <v>262</v>
      </c>
      <c r="C315" s="169"/>
      <c r="D315" s="169" t="s">
        <v>262</v>
      </c>
      <c r="E315" s="169"/>
    </row>
    <row r="316" spans="1:5" ht="16" hidden="1" customHeight="1" x14ac:dyDescent="0.2">
      <c r="A316" t="s">
        <v>1946</v>
      </c>
      <c r="B316" s="169" t="s">
        <v>262</v>
      </c>
      <c r="C316" s="169"/>
      <c r="D316" s="169" t="s">
        <v>262</v>
      </c>
      <c r="E316" s="169"/>
    </row>
    <row r="317" spans="1:5" ht="16" hidden="1" customHeight="1" x14ac:dyDescent="0.2">
      <c r="A317" t="s">
        <v>262</v>
      </c>
      <c r="B317" s="169" t="s">
        <v>262</v>
      </c>
      <c r="C317" s="169"/>
      <c r="D317" s="169" t="s">
        <v>262</v>
      </c>
      <c r="E317" s="169"/>
    </row>
    <row r="318" spans="1:5" ht="16" hidden="1" customHeight="1" x14ac:dyDescent="0.2">
      <c r="A318" t="s">
        <v>1947</v>
      </c>
      <c r="B318" s="169" t="s">
        <v>262</v>
      </c>
      <c r="C318" s="169"/>
      <c r="D318" s="169" t="s">
        <v>262</v>
      </c>
      <c r="E318" s="169"/>
    </row>
    <row r="319" spans="1:5" ht="16" hidden="1" customHeight="1" x14ac:dyDescent="0.2">
      <c r="A319" t="s">
        <v>262</v>
      </c>
      <c r="B319" s="169" t="s">
        <v>262</v>
      </c>
      <c r="C319" s="169"/>
      <c r="D319" s="169" t="s">
        <v>262</v>
      </c>
      <c r="E319" s="169"/>
    </row>
    <row r="320" spans="1:5" ht="16" hidden="1" customHeight="1" x14ac:dyDescent="0.2">
      <c r="A320" t="s">
        <v>1948</v>
      </c>
      <c r="B320" s="169" t="s">
        <v>262</v>
      </c>
      <c r="C320" s="169"/>
      <c r="D320" s="169" t="s">
        <v>262</v>
      </c>
      <c r="E320" s="169"/>
    </row>
    <row r="321" spans="1:5" hidden="1" x14ac:dyDescent="0.2">
      <c r="A321" t="s">
        <v>262</v>
      </c>
      <c r="B321" s="169" t="s">
        <v>262</v>
      </c>
      <c r="C321" s="169"/>
      <c r="D321" s="169" t="s">
        <v>262</v>
      </c>
      <c r="E321" s="169"/>
    </row>
    <row r="322" spans="1:5" hidden="1" x14ac:dyDescent="0.2">
      <c r="A322" t="s">
        <v>1949</v>
      </c>
      <c r="B322" s="169" t="s">
        <v>262</v>
      </c>
      <c r="C322" s="169"/>
      <c r="D322" s="169" t="s">
        <v>262</v>
      </c>
      <c r="E322" s="169"/>
    </row>
    <row r="323" spans="1:5" hidden="1" x14ac:dyDescent="0.2">
      <c r="A323" t="s">
        <v>262</v>
      </c>
      <c r="B323" s="169" t="s">
        <v>262</v>
      </c>
      <c r="C323" s="169"/>
      <c r="D323" s="169" t="s">
        <v>262</v>
      </c>
      <c r="E323" s="169"/>
    </row>
    <row r="324" spans="1:5" hidden="1" x14ac:dyDescent="0.2">
      <c r="A324" t="s">
        <v>1950</v>
      </c>
      <c r="B324" s="169" t="s">
        <v>262</v>
      </c>
      <c r="C324" s="169"/>
      <c r="D324" s="169" t="s">
        <v>262</v>
      </c>
      <c r="E324" s="169"/>
    </row>
    <row r="325" spans="1:5" hidden="1" x14ac:dyDescent="0.2">
      <c r="A325" t="s">
        <v>262</v>
      </c>
      <c r="B325" s="169" t="s">
        <v>262</v>
      </c>
      <c r="C325" s="169"/>
      <c r="D325" s="169" t="s">
        <v>262</v>
      </c>
      <c r="E325" s="169"/>
    </row>
    <row r="326" spans="1:5" hidden="1" x14ac:dyDescent="0.2">
      <c r="A326" t="s">
        <v>1951</v>
      </c>
      <c r="B326" s="169" t="s">
        <v>262</v>
      </c>
      <c r="C326" s="169"/>
      <c r="D326" s="169" t="s">
        <v>262</v>
      </c>
      <c r="E326" s="169"/>
    </row>
    <row r="327" spans="1:5" hidden="1" x14ac:dyDescent="0.2">
      <c r="A327" t="s">
        <v>262</v>
      </c>
      <c r="B327" s="169" t="s">
        <v>262</v>
      </c>
      <c r="C327" s="169"/>
      <c r="D327" s="169" t="s">
        <v>262</v>
      </c>
      <c r="E327" s="169"/>
    </row>
    <row r="328" spans="1:5" hidden="1" x14ac:dyDescent="0.2">
      <c r="A328" t="s">
        <v>1952</v>
      </c>
      <c r="B328" s="169" t="s">
        <v>262</v>
      </c>
      <c r="C328" s="169"/>
      <c r="D328" s="169" t="s">
        <v>262</v>
      </c>
      <c r="E328" s="169"/>
    </row>
    <row r="329" spans="1:5" hidden="1" x14ac:dyDescent="0.2">
      <c r="A329" t="s">
        <v>262</v>
      </c>
      <c r="B329" s="169" t="s">
        <v>262</v>
      </c>
      <c r="C329" s="169"/>
      <c r="D329" s="169" t="s">
        <v>262</v>
      </c>
      <c r="E329" s="169"/>
    </row>
    <row r="330" spans="1:5" hidden="1" x14ac:dyDescent="0.2">
      <c r="A330" t="s">
        <v>1953</v>
      </c>
      <c r="B330" s="169" t="s">
        <v>262</v>
      </c>
      <c r="C330" s="169"/>
      <c r="D330" s="169" t="s">
        <v>262</v>
      </c>
      <c r="E330" s="169"/>
    </row>
    <row r="331" spans="1:5" hidden="1" x14ac:dyDescent="0.2">
      <c r="A331" t="s">
        <v>262</v>
      </c>
      <c r="B331" s="169" t="s">
        <v>262</v>
      </c>
      <c r="C331" s="169"/>
      <c r="D331" s="169" t="s">
        <v>262</v>
      </c>
      <c r="E331" s="169"/>
    </row>
    <row r="332" spans="1:5" hidden="1" x14ac:dyDescent="0.2">
      <c r="A332" t="s">
        <v>1954</v>
      </c>
      <c r="B332" s="169" t="s">
        <v>262</v>
      </c>
      <c r="C332" s="169"/>
      <c r="D332" s="169" t="s">
        <v>262</v>
      </c>
      <c r="E332" s="169"/>
    </row>
    <row r="333" spans="1:5" hidden="1" x14ac:dyDescent="0.2">
      <c r="A333" t="s">
        <v>262</v>
      </c>
      <c r="B333" s="169" t="s">
        <v>262</v>
      </c>
      <c r="C333" s="169"/>
      <c r="D333" s="169" t="s">
        <v>262</v>
      </c>
      <c r="E333" s="169"/>
    </row>
    <row r="334" spans="1:5" hidden="1" x14ac:dyDescent="0.2">
      <c r="A334" t="s">
        <v>1955</v>
      </c>
      <c r="B334" s="169" t="s">
        <v>262</v>
      </c>
      <c r="C334" s="169"/>
      <c r="D334" s="169" t="s">
        <v>262</v>
      </c>
      <c r="E334" s="169"/>
    </row>
    <row r="335" spans="1:5" hidden="1" x14ac:dyDescent="0.2">
      <c r="A335" t="s">
        <v>262</v>
      </c>
      <c r="B335" s="169" t="s">
        <v>262</v>
      </c>
      <c r="C335" s="169"/>
      <c r="D335" s="169" t="s">
        <v>262</v>
      </c>
      <c r="E335" s="169"/>
    </row>
    <row r="336" spans="1:5" hidden="1" x14ac:dyDescent="0.2">
      <c r="A336" t="s">
        <v>1956</v>
      </c>
      <c r="B336" s="169" t="s">
        <v>262</v>
      </c>
      <c r="C336" s="169"/>
      <c r="D336" s="169" t="s">
        <v>262</v>
      </c>
      <c r="E336" s="169"/>
    </row>
    <row r="337" spans="1:5" hidden="1" x14ac:dyDescent="0.2">
      <c r="A337" t="s">
        <v>262</v>
      </c>
      <c r="B337" s="169" t="s">
        <v>262</v>
      </c>
      <c r="C337" s="169"/>
      <c r="D337" s="169" t="s">
        <v>262</v>
      </c>
      <c r="E337" s="169"/>
    </row>
    <row r="338" spans="1:5" hidden="1" x14ac:dyDescent="0.2">
      <c r="A338" t="s">
        <v>1957</v>
      </c>
      <c r="B338" s="169" t="s">
        <v>262</v>
      </c>
      <c r="C338" s="169"/>
      <c r="D338" s="169" t="s">
        <v>262</v>
      </c>
      <c r="E338" s="169"/>
    </row>
    <row r="339" spans="1:5" hidden="1" x14ac:dyDescent="0.2">
      <c r="A339" t="s">
        <v>262</v>
      </c>
      <c r="B339" s="169" t="s">
        <v>262</v>
      </c>
      <c r="C339" s="169"/>
      <c r="D339" s="169" t="s">
        <v>262</v>
      </c>
      <c r="E339" s="169"/>
    </row>
    <row r="340" spans="1:5" hidden="1" x14ac:dyDescent="0.2">
      <c r="A340" t="s">
        <v>1958</v>
      </c>
      <c r="B340" s="169" t="s">
        <v>262</v>
      </c>
      <c r="C340" s="169"/>
      <c r="D340" s="169" t="s">
        <v>262</v>
      </c>
      <c r="E340" s="169"/>
    </row>
    <row r="341" spans="1:5" hidden="1" x14ac:dyDescent="0.2">
      <c r="A341" t="s">
        <v>262</v>
      </c>
      <c r="B341" s="169" t="s">
        <v>262</v>
      </c>
      <c r="C341" s="169"/>
      <c r="D341" s="169" t="s">
        <v>262</v>
      </c>
      <c r="E341" s="169"/>
    </row>
    <row r="342" spans="1:5" hidden="1" x14ac:dyDescent="0.2">
      <c r="A342" t="s">
        <v>1959</v>
      </c>
      <c r="B342" s="169" t="s">
        <v>262</v>
      </c>
      <c r="C342" s="169"/>
      <c r="D342" s="169" t="s">
        <v>262</v>
      </c>
      <c r="E342" s="169"/>
    </row>
    <row r="343" spans="1:5" hidden="1" x14ac:dyDescent="0.2">
      <c r="A343" t="s">
        <v>262</v>
      </c>
      <c r="B343" s="169" t="s">
        <v>262</v>
      </c>
      <c r="C343" s="169"/>
      <c r="D343" s="169" t="s">
        <v>262</v>
      </c>
      <c r="E343" s="169"/>
    </row>
    <row r="344" spans="1:5" hidden="1" x14ac:dyDescent="0.2">
      <c r="A344" t="s">
        <v>1960</v>
      </c>
      <c r="B344" s="169" t="s">
        <v>262</v>
      </c>
      <c r="C344" s="169"/>
      <c r="D344" s="169" t="s">
        <v>262</v>
      </c>
      <c r="E344" s="169"/>
    </row>
    <row r="345" spans="1:5" hidden="1" x14ac:dyDescent="0.2">
      <c r="A345" t="s">
        <v>262</v>
      </c>
      <c r="B345" s="169" t="s">
        <v>262</v>
      </c>
      <c r="C345" s="169"/>
      <c r="D345" s="169" t="s">
        <v>262</v>
      </c>
      <c r="E345" s="169"/>
    </row>
    <row r="346" spans="1:5" hidden="1" x14ac:dyDescent="0.2">
      <c r="A346" t="s">
        <v>1961</v>
      </c>
      <c r="B346" s="169" t="s">
        <v>262</v>
      </c>
      <c r="C346" s="169"/>
      <c r="D346" s="169" t="s">
        <v>262</v>
      </c>
      <c r="E346" s="169"/>
    </row>
    <row r="347" spans="1:5" hidden="1" x14ac:dyDescent="0.2">
      <c r="A347" t="s">
        <v>262</v>
      </c>
      <c r="B347" s="169" t="s">
        <v>262</v>
      </c>
      <c r="C347" s="169"/>
      <c r="D347" s="169" t="s">
        <v>262</v>
      </c>
      <c r="E347" s="169"/>
    </row>
    <row r="348" spans="1:5" hidden="1" x14ac:dyDescent="0.2">
      <c r="A348" t="s">
        <v>1962</v>
      </c>
      <c r="B348" s="169" t="s">
        <v>262</v>
      </c>
      <c r="C348" s="169"/>
      <c r="D348" s="169" t="s">
        <v>262</v>
      </c>
      <c r="E348" s="169"/>
    </row>
    <row r="349" spans="1:5" hidden="1" x14ac:dyDescent="0.2">
      <c r="A349" t="s">
        <v>262</v>
      </c>
      <c r="B349" s="169" t="s">
        <v>262</v>
      </c>
      <c r="C349" s="169"/>
      <c r="D349" s="169" t="s">
        <v>262</v>
      </c>
      <c r="E349" s="169"/>
    </row>
    <row r="350" spans="1:5" hidden="1" x14ac:dyDescent="0.2">
      <c r="A350" t="s">
        <v>1963</v>
      </c>
      <c r="B350" s="169" t="s">
        <v>262</v>
      </c>
      <c r="C350" s="169"/>
      <c r="D350" s="169" t="s">
        <v>262</v>
      </c>
      <c r="E350" s="169"/>
    </row>
    <row r="351" spans="1:5" hidden="1" x14ac:dyDescent="0.2">
      <c r="A351" t="s">
        <v>262</v>
      </c>
      <c r="B351" s="169" t="s">
        <v>262</v>
      </c>
      <c r="C351" s="169"/>
      <c r="D351" s="169" t="s">
        <v>262</v>
      </c>
      <c r="E351" s="169"/>
    </row>
    <row r="352" spans="1:5" hidden="1" x14ac:dyDescent="0.2">
      <c r="A352" t="s">
        <v>1964</v>
      </c>
      <c r="B352" s="169" t="s">
        <v>262</v>
      </c>
      <c r="C352" s="169"/>
      <c r="D352" s="169" t="s">
        <v>262</v>
      </c>
      <c r="E352" s="169"/>
    </row>
    <row r="353" spans="1:5" hidden="1" x14ac:dyDescent="0.2">
      <c r="A353" t="s">
        <v>262</v>
      </c>
      <c r="B353" s="169" t="s">
        <v>262</v>
      </c>
      <c r="C353" s="169"/>
      <c r="D353" s="169" t="s">
        <v>262</v>
      </c>
      <c r="E353" s="169"/>
    </row>
    <row r="354" spans="1:5" hidden="1" x14ac:dyDescent="0.2">
      <c r="A354" t="s">
        <v>1965</v>
      </c>
      <c r="B354" s="169" t="s">
        <v>262</v>
      </c>
      <c r="C354" s="169"/>
      <c r="D354" s="169" t="s">
        <v>262</v>
      </c>
      <c r="E354" s="169"/>
    </row>
    <row r="355" spans="1:5" hidden="1" x14ac:dyDescent="0.2">
      <c r="A355" t="s">
        <v>262</v>
      </c>
      <c r="B355" s="169" t="s">
        <v>262</v>
      </c>
      <c r="C355" s="169"/>
      <c r="D355" s="169" t="s">
        <v>262</v>
      </c>
      <c r="E355" s="169"/>
    </row>
    <row r="356" spans="1:5" hidden="1" x14ac:dyDescent="0.2">
      <c r="A356" t="s">
        <v>1966</v>
      </c>
      <c r="B356" s="169" t="s">
        <v>262</v>
      </c>
      <c r="C356" s="169"/>
      <c r="D356" s="169" t="s">
        <v>262</v>
      </c>
      <c r="E356" s="169"/>
    </row>
    <row r="357" spans="1:5" hidden="1" x14ac:dyDescent="0.2">
      <c r="A357" t="s">
        <v>262</v>
      </c>
      <c r="B357" s="169" t="s">
        <v>262</v>
      </c>
      <c r="C357" s="169"/>
      <c r="D357" s="169" t="s">
        <v>262</v>
      </c>
      <c r="E357" s="169"/>
    </row>
    <row r="358" spans="1:5" hidden="1" x14ac:dyDescent="0.2">
      <c r="A358" t="s">
        <v>1967</v>
      </c>
      <c r="B358" s="169" t="s">
        <v>262</v>
      </c>
      <c r="C358" s="169"/>
      <c r="D358" s="169" t="s">
        <v>262</v>
      </c>
      <c r="E358" s="169"/>
    </row>
    <row r="359" spans="1:5" hidden="1" x14ac:dyDescent="0.2">
      <c r="A359" t="s">
        <v>262</v>
      </c>
      <c r="B359" s="169" t="s">
        <v>262</v>
      </c>
      <c r="C359" s="169"/>
      <c r="D359" s="169" t="s">
        <v>262</v>
      </c>
      <c r="E359" s="169"/>
    </row>
    <row r="360" spans="1:5" hidden="1" x14ac:dyDescent="0.2">
      <c r="A360" t="s">
        <v>1968</v>
      </c>
      <c r="B360" s="169" t="s">
        <v>262</v>
      </c>
      <c r="C360" s="169"/>
      <c r="D360" s="169" t="s">
        <v>262</v>
      </c>
      <c r="E360" s="169"/>
    </row>
    <row r="361" spans="1:5" hidden="1" x14ac:dyDescent="0.2">
      <c r="A361" t="s">
        <v>262</v>
      </c>
      <c r="B361" s="169" t="s">
        <v>262</v>
      </c>
      <c r="C361" s="169"/>
      <c r="D361" s="169" t="s">
        <v>262</v>
      </c>
      <c r="E361" s="169"/>
    </row>
    <row r="362" spans="1:5" hidden="1" x14ac:dyDescent="0.2">
      <c r="A362" t="s">
        <v>1969</v>
      </c>
      <c r="B362" s="169" t="s">
        <v>262</v>
      </c>
      <c r="C362" s="169"/>
      <c r="D362" s="169" t="s">
        <v>262</v>
      </c>
      <c r="E362" s="169"/>
    </row>
    <row r="363" spans="1:5" hidden="1" x14ac:dyDescent="0.2">
      <c r="A363" t="s">
        <v>262</v>
      </c>
      <c r="B363" s="169" t="s">
        <v>262</v>
      </c>
      <c r="C363" s="169"/>
      <c r="D363" s="169" t="s">
        <v>262</v>
      </c>
      <c r="E363" s="169"/>
    </row>
    <row r="364" spans="1:5" hidden="1" x14ac:dyDescent="0.2">
      <c r="A364" t="s">
        <v>1970</v>
      </c>
      <c r="B364" s="169" t="s">
        <v>262</v>
      </c>
      <c r="C364" s="169"/>
      <c r="D364" s="169" t="s">
        <v>262</v>
      </c>
      <c r="E364" s="169"/>
    </row>
    <row r="365" spans="1:5" hidden="1" x14ac:dyDescent="0.2">
      <c r="A365" t="s">
        <v>262</v>
      </c>
      <c r="B365" s="169" t="s">
        <v>262</v>
      </c>
      <c r="C365" s="169"/>
      <c r="D365" s="169" t="s">
        <v>262</v>
      </c>
      <c r="E365" s="169"/>
    </row>
    <row r="366" spans="1:5" hidden="1" x14ac:dyDescent="0.2">
      <c r="A366" t="s">
        <v>1971</v>
      </c>
      <c r="B366" s="169" t="s">
        <v>262</v>
      </c>
      <c r="C366" s="169"/>
      <c r="D366" s="169" t="s">
        <v>262</v>
      </c>
      <c r="E366" s="169"/>
    </row>
    <row r="367" spans="1:5" hidden="1" x14ac:dyDescent="0.2">
      <c r="A367" t="s">
        <v>262</v>
      </c>
      <c r="B367" s="169" t="s">
        <v>262</v>
      </c>
      <c r="C367" s="169"/>
      <c r="D367" s="169" t="s">
        <v>262</v>
      </c>
      <c r="E367" s="169"/>
    </row>
    <row r="368" spans="1:5" hidden="1" x14ac:dyDescent="0.2">
      <c r="A368" t="s">
        <v>1972</v>
      </c>
      <c r="B368" s="169" t="s">
        <v>262</v>
      </c>
      <c r="C368" s="169"/>
      <c r="D368" s="169" t="s">
        <v>262</v>
      </c>
      <c r="E368" s="169"/>
    </row>
    <row r="369" spans="1:5" hidden="1" x14ac:dyDescent="0.2">
      <c r="A369" t="s">
        <v>262</v>
      </c>
      <c r="B369" s="169" t="s">
        <v>262</v>
      </c>
      <c r="C369" s="169"/>
      <c r="D369" s="169" t="s">
        <v>262</v>
      </c>
      <c r="E369" s="169"/>
    </row>
    <row r="370" spans="1:5" hidden="1" x14ac:dyDescent="0.2">
      <c r="A370" t="s">
        <v>1973</v>
      </c>
      <c r="B370" s="169" t="s">
        <v>262</v>
      </c>
      <c r="C370" s="169"/>
      <c r="D370" s="169" t="s">
        <v>262</v>
      </c>
      <c r="E370" s="169"/>
    </row>
    <row r="371" spans="1:5" hidden="1" x14ac:dyDescent="0.2">
      <c r="A371" t="s">
        <v>262</v>
      </c>
      <c r="B371" s="169" t="s">
        <v>262</v>
      </c>
      <c r="C371" s="169"/>
      <c r="D371" s="169" t="s">
        <v>262</v>
      </c>
      <c r="E371" s="169"/>
    </row>
    <row r="372" spans="1:5" hidden="1" x14ac:dyDescent="0.2">
      <c r="A372" t="s">
        <v>1974</v>
      </c>
      <c r="B372" s="169" t="s">
        <v>262</v>
      </c>
      <c r="C372" s="169"/>
      <c r="D372" s="169" t="s">
        <v>262</v>
      </c>
      <c r="E372" s="169"/>
    </row>
    <row r="373" spans="1:5" hidden="1" x14ac:dyDescent="0.2">
      <c r="A373" t="s">
        <v>262</v>
      </c>
      <c r="B373" s="169" t="s">
        <v>262</v>
      </c>
      <c r="C373" s="169"/>
      <c r="D373" s="169" t="s">
        <v>262</v>
      </c>
      <c r="E373" s="169"/>
    </row>
    <row r="374" spans="1:5" hidden="1" x14ac:dyDescent="0.2">
      <c r="A374" t="s">
        <v>1975</v>
      </c>
      <c r="B374" s="169" t="s">
        <v>262</v>
      </c>
      <c r="C374" s="169"/>
      <c r="D374" s="169" t="s">
        <v>262</v>
      </c>
      <c r="E374" s="169"/>
    </row>
    <row r="375" spans="1:5" hidden="1" x14ac:dyDescent="0.2">
      <c r="A375" t="s">
        <v>262</v>
      </c>
      <c r="B375" s="169" t="s">
        <v>262</v>
      </c>
      <c r="C375" s="169"/>
      <c r="D375" s="169" t="s">
        <v>262</v>
      </c>
      <c r="E375" s="169"/>
    </row>
    <row r="376" spans="1:5" hidden="1" x14ac:dyDescent="0.2">
      <c r="A376" t="s">
        <v>1976</v>
      </c>
      <c r="B376" s="169" t="s">
        <v>262</v>
      </c>
      <c r="C376" s="169"/>
      <c r="D376" s="169" t="s">
        <v>262</v>
      </c>
      <c r="E376" s="169"/>
    </row>
    <row r="377" spans="1:5" hidden="1" x14ac:dyDescent="0.2">
      <c r="A377" t="s">
        <v>262</v>
      </c>
      <c r="B377" s="169" t="s">
        <v>262</v>
      </c>
      <c r="C377" s="169"/>
      <c r="D377" s="169" t="s">
        <v>262</v>
      </c>
      <c r="E377" s="169"/>
    </row>
    <row r="378" spans="1:5" hidden="1" x14ac:dyDescent="0.2">
      <c r="A378" t="s">
        <v>1977</v>
      </c>
      <c r="B378" s="169" t="s">
        <v>262</v>
      </c>
      <c r="C378" s="169"/>
      <c r="D378" s="169" t="s">
        <v>262</v>
      </c>
      <c r="E378" s="169"/>
    </row>
    <row r="379" spans="1:5" hidden="1" x14ac:dyDescent="0.2">
      <c r="A379" t="s">
        <v>262</v>
      </c>
      <c r="B379" s="169" t="s">
        <v>262</v>
      </c>
      <c r="C379" s="169"/>
      <c r="D379" s="169" t="s">
        <v>262</v>
      </c>
      <c r="E379" s="169"/>
    </row>
    <row r="380" spans="1:5" hidden="1" x14ac:dyDescent="0.2">
      <c r="A380" t="s">
        <v>1978</v>
      </c>
      <c r="B380" s="169" t="s">
        <v>262</v>
      </c>
      <c r="C380" s="169"/>
      <c r="D380" s="169" t="s">
        <v>262</v>
      </c>
      <c r="E380" s="169"/>
    </row>
    <row r="381" spans="1:5" hidden="1" x14ac:dyDescent="0.2">
      <c r="A381" t="s">
        <v>262</v>
      </c>
      <c r="B381" s="169" t="s">
        <v>262</v>
      </c>
      <c r="C381" s="169"/>
      <c r="D381" s="169" t="s">
        <v>262</v>
      </c>
      <c r="E381" s="169"/>
    </row>
    <row r="382" spans="1:5" hidden="1" x14ac:dyDescent="0.2">
      <c r="A382" t="s">
        <v>1979</v>
      </c>
      <c r="B382" s="169" t="s">
        <v>262</v>
      </c>
      <c r="C382" s="169"/>
      <c r="D382" s="169" t="s">
        <v>262</v>
      </c>
      <c r="E382" s="169"/>
    </row>
    <row r="383" spans="1:5" hidden="1" x14ac:dyDescent="0.2">
      <c r="A383" t="s">
        <v>262</v>
      </c>
      <c r="B383" s="169" t="s">
        <v>262</v>
      </c>
      <c r="C383" s="169"/>
      <c r="D383" s="169" t="s">
        <v>262</v>
      </c>
      <c r="E383" s="169"/>
    </row>
    <row r="384" spans="1:5" hidden="1" x14ac:dyDescent="0.2">
      <c r="A384" t="s">
        <v>1980</v>
      </c>
      <c r="B384" s="169" t="s">
        <v>262</v>
      </c>
      <c r="C384" s="169"/>
      <c r="D384" s="169" t="s">
        <v>262</v>
      </c>
      <c r="E384" s="169"/>
    </row>
    <row r="385" spans="1:5" hidden="1" x14ac:dyDescent="0.2">
      <c r="A385" t="s">
        <v>262</v>
      </c>
      <c r="B385" s="169" t="s">
        <v>262</v>
      </c>
      <c r="C385" s="169"/>
      <c r="D385" s="169" t="s">
        <v>262</v>
      </c>
      <c r="E385" s="169"/>
    </row>
    <row r="386" spans="1:5" hidden="1" x14ac:dyDescent="0.2">
      <c r="A386" t="s">
        <v>1610</v>
      </c>
      <c r="B386" s="169" t="s">
        <v>262</v>
      </c>
      <c r="C386" s="169" t="s">
        <v>262</v>
      </c>
      <c r="D386" s="169" t="s">
        <v>1611</v>
      </c>
      <c r="E386" s="169" t="s">
        <v>262</v>
      </c>
    </row>
    <row r="387" spans="1:5" hidden="1" x14ac:dyDescent="0.2">
      <c r="A387" t="s">
        <v>262</v>
      </c>
      <c r="B387" s="169" t="s">
        <v>262</v>
      </c>
      <c r="C387" s="169" t="s">
        <v>262</v>
      </c>
      <c r="D387" s="169" t="s">
        <v>1054</v>
      </c>
      <c r="E387" s="169" t="s">
        <v>262</v>
      </c>
    </row>
    <row r="388" spans="1:5" hidden="1" x14ac:dyDescent="0.2">
      <c r="A388" t="s">
        <v>1612</v>
      </c>
      <c r="B388" s="169" t="s">
        <v>262</v>
      </c>
      <c r="C388" s="169" t="s">
        <v>262</v>
      </c>
      <c r="D388" s="169" t="s">
        <v>1613</v>
      </c>
      <c r="E388" s="169" t="s">
        <v>262</v>
      </c>
    </row>
    <row r="389" spans="1:5" hidden="1" x14ac:dyDescent="0.2">
      <c r="A389" t="s">
        <v>262</v>
      </c>
      <c r="B389" s="169" t="s">
        <v>262</v>
      </c>
      <c r="C389" s="169" t="s">
        <v>262</v>
      </c>
      <c r="D389" s="169" t="s">
        <v>1262</v>
      </c>
      <c r="E389" s="169" t="s">
        <v>262</v>
      </c>
    </row>
    <row r="390" spans="1:5" hidden="1" x14ac:dyDescent="0.2">
      <c r="A390" t="s">
        <v>1616</v>
      </c>
      <c r="B390" s="169" t="s">
        <v>262</v>
      </c>
      <c r="C390" s="169" t="s">
        <v>262</v>
      </c>
      <c r="D390" s="169" t="s">
        <v>1617</v>
      </c>
      <c r="E390" s="169" t="s">
        <v>262</v>
      </c>
    </row>
    <row r="391" spans="1:5" hidden="1" x14ac:dyDescent="0.2">
      <c r="A391" t="s">
        <v>262</v>
      </c>
      <c r="B391" s="169" t="s">
        <v>262</v>
      </c>
      <c r="C391" s="169" t="s">
        <v>262</v>
      </c>
      <c r="D391" s="169" t="s">
        <v>1618</v>
      </c>
      <c r="E391" s="169" t="s">
        <v>262</v>
      </c>
    </row>
    <row r="392" spans="1:5" hidden="1" x14ac:dyDescent="0.2">
      <c r="A392" t="s">
        <v>1619</v>
      </c>
      <c r="B392" s="169" t="s">
        <v>262</v>
      </c>
      <c r="C392" s="169" t="s">
        <v>262</v>
      </c>
      <c r="D392" s="169" t="s">
        <v>1620</v>
      </c>
      <c r="E392" s="169" t="s">
        <v>262</v>
      </c>
    </row>
    <row r="393" spans="1:5" hidden="1" x14ac:dyDescent="0.2">
      <c r="A393" t="s">
        <v>262</v>
      </c>
      <c r="B393" s="169" t="s">
        <v>262</v>
      </c>
      <c r="C393" s="169" t="s">
        <v>262</v>
      </c>
      <c r="D393" s="169" t="s">
        <v>1621</v>
      </c>
      <c r="E393" s="169" t="s">
        <v>262</v>
      </c>
    </row>
    <row r="394" spans="1:5" hidden="1" x14ac:dyDescent="0.2">
      <c r="A394" t="s">
        <v>1622</v>
      </c>
      <c r="B394" s="169" t="s">
        <v>262</v>
      </c>
      <c r="C394" s="169" t="s">
        <v>262</v>
      </c>
      <c r="D394" s="169" t="s">
        <v>1623</v>
      </c>
      <c r="E394" s="169" t="s">
        <v>262</v>
      </c>
    </row>
    <row r="395" spans="1:5" hidden="1" x14ac:dyDescent="0.2">
      <c r="A395" t="s">
        <v>262</v>
      </c>
      <c r="B395" s="169" t="s">
        <v>262</v>
      </c>
      <c r="C395" s="169" t="s">
        <v>262</v>
      </c>
      <c r="D395" s="169" t="s">
        <v>1624</v>
      </c>
      <c r="E395" s="169" t="s">
        <v>262</v>
      </c>
    </row>
    <row r="396" spans="1:5" hidden="1" x14ac:dyDescent="0.2">
      <c r="A396" t="s">
        <v>1625</v>
      </c>
      <c r="B396" s="169" t="s">
        <v>262</v>
      </c>
      <c r="C396" s="169" t="s">
        <v>262</v>
      </c>
      <c r="D396" s="169" t="s">
        <v>1626</v>
      </c>
      <c r="E396" s="169" t="s">
        <v>262</v>
      </c>
    </row>
    <row r="397" spans="1:5" hidden="1" x14ac:dyDescent="0.2">
      <c r="A397" t="s">
        <v>262</v>
      </c>
      <c r="B397" s="169" t="s">
        <v>262</v>
      </c>
      <c r="C397" s="169" t="s">
        <v>262</v>
      </c>
      <c r="D397" s="169" t="s">
        <v>1627</v>
      </c>
      <c r="E397" s="169" t="s">
        <v>262</v>
      </c>
    </row>
    <row r="398" spans="1:5" hidden="1" x14ac:dyDescent="0.2">
      <c r="A398" t="s">
        <v>1628</v>
      </c>
      <c r="B398" s="169" t="s">
        <v>262</v>
      </c>
      <c r="C398" s="169" t="s">
        <v>262</v>
      </c>
      <c r="D398" s="169" t="s">
        <v>1629</v>
      </c>
      <c r="E398" s="169" t="s">
        <v>262</v>
      </c>
    </row>
    <row r="399" spans="1:5" hidden="1" x14ac:dyDescent="0.2">
      <c r="A399" t="s">
        <v>262</v>
      </c>
      <c r="B399" s="169" t="s">
        <v>262</v>
      </c>
      <c r="C399" s="169" t="s">
        <v>262</v>
      </c>
      <c r="D399" s="169" t="s">
        <v>1630</v>
      </c>
      <c r="E399" s="169" t="s">
        <v>262</v>
      </c>
    </row>
    <row r="400" spans="1:5" x14ac:dyDescent="0.2">
      <c r="A400" t="s">
        <v>1631</v>
      </c>
      <c r="B400" s="169" t="s">
        <v>1764</v>
      </c>
      <c r="C400" s="169" t="s">
        <v>1780</v>
      </c>
      <c r="D400" s="169" t="s">
        <v>1632</v>
      </c>
      <c r="E400" s="169" t="s">
        <v>262</v>
      </c>
    </row>
    <row r="401" spans="1:5" x14ac:dyDescent="0.2">
      <c r="A401" t="s">
        <v>262</v>
      </c>
      <c r="B401" s="169" t="s">
        <v>1765</v>
      </c>
      <c r="C401" s="169" t="s">
        <v>1781</v>
      </c>
      <c r="D401" s="169" t="s">
        <v>1273</v>
      </c>
      <c r="E401" s="169" t="s">
        <v>262</v>
      </c>
    </row>
    <row r="402" spans="1:5" x14ac:dyDescent="0.2">
      <c r="A402" t="s">
        <v>262</v>
      </c>
      <c r="B402" s="169" t="s">
        <v>262</v>
      </c>
      <c r="C402" s="169" t="s">
        <v>262</v>
      </c>
      <c r="D402" s="169" t="s">
        <v>262</v>
      </c>
      <c r="E402" s="169" t="s">
        <v>262</v>
      </c>
    </row>
    <row r="403" spans="1:5" x14ac:dyDescent="0.2">
      <c r="A403" t="s">
        <v>1633</v>
      </c>
      <c r="B403" s="169" t="s">
        <v>1772</v>
      </c>
      <c r="C403" s="169" t="s">
        <v>1782</v>
      </c>
      <c r="D403" s="169" t="s">
        <v>1634</v>
      </c>
      <c r="E403" s="169" t="s">
        <v>1782</v>
      </c>
    </row>
    <row r="404" spans="1:5" x14ac:dyDescent="0.2">
      <c r="A404" s="1908" t="s">
        <v>1635</v>
      </c>
      <c r="B404" s="1907" t="s">
        <v>1636</v>
      </c>
      <c r="C404" s="1907" t="s">
        <v>1637</v>
      </c>
      <c r="D404" s="1907" t="s">
        <v>1638</v>
      </c>
      <c r="E404" s="1907" t="s">
        <v>1931</v>
      </c>
    </row>
    <row r="405" spans="1:5" x14ac:dyDescent="0.2">
      <c r="A405" t="s">
        <v>1639</v>
      </c>
    </row>
    <row r="406" spans="1:5" x14ac:dyDescent="0.2">
      <c r="A406" t="s">
        <v>1640</v>
      </c>
    </row>
  </sheetData>
  <mergeCells count="2">
    <mergeCell ref="B5:E5"/>
    <mergeCell ref="A3:E3"/>
  </mergeCells>
  <pageMargins left="0.7" right="0.7" top="0.75" bottom="0.75" header="0.3" footer="0.3"/>
  <pageSetup scale="98" fitToHeight="2" orientation="portrait" horizontalDpi="4294967292" verticalDpi="429496729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2:J406"/>
  <sheetViews>
    <sheetView zoomScale="87" zoomScaleNormal="70" zoomScalePageLayoutView="85" workbookViewId="0">
      <pane xSplit="1" ySplit="7" topLeftCell="B8" activePane="bottomRight" state="frozen"/>
      <selection pane="topRight" activeCell="AR8" sqref="AR8"/>
      <selection pane="bottomLeft" activeCell="AR8" sqref="AR8"/>
      <selection pane="bottomRight" activeCell="E7" sqref="E7"/>
    </sheetView>
  </sheetViews>
  <sheetFormatPr baseColWidth="10" defaultColWidth="10.83203125" defaultRowHeight="16" x14ac:dyDescent="0.2"/>
  <cols>
    <col min="1" max="1" width="24.6640625" style="1899" customWidth="1"/>
    <col min="2" max="5" width="12.1640625" style="128" customWidth="1"/>
    <col min="6" max="16384" width="10.83203125" style="128"/>
  </cols>
  <sheetData>
    <row r="2" spans="1:5" ht="17" thickBot="1" x14ac:dyDescent="0.25"/>
    <row r="3" spans="1:5" ht="32.25" customHeight="1" x14ac:dyDescent="0.2">
      <c r="A3" s="2431" t="s">
        <v>1759</v>
      </c>
      <c r="B3" s="2431"/>
      <c r="C3" s="2431"/>
      <c r="D3" s="2431"/>
      <c r="E3" s="2431"/>
    </row>
    <row r="4" spans="1:5" ht="17" customHeight="1" x14ac:dyDescent="0.2">
      <c r="A4" s="1905"/>
      <c r="B4" s="1906"/>
      <c r="C4" s="1906"/>
      <c r="D4" s="1906"/>
      <c r="E4" s="1906"/>
    </row>
    <row r="5" spans="1:5" ht="20" customHeight="1" x14ac:dyDescent="0.2">
      <c r="A5" s="1900"/>
      <c r="B5" s="2432" t="s">
        <v>1758</v>
      </c>
      <c r="C5" s="2432"/>
      <c r="D5" s="2432"/>
      <c r="E5" s="2432"/>
    </row>
    <row r="6" spans="1:5" x14ac:dyDescent="0.2">
      <c r="A6" s="1901"/>
      <c r="B6" s="1902" t="s">
        <v>1</v>
      </c>
      <c r="C6" s="1902" t="s">
        <v>2</v>
      </c>
      <c r="D6" s="1902" t="s">
        <v>3</v>
      </c>
      <c r="E6" s="1902" t="s">
        <v>4</v>
      </c>
    </row>
    <row r="7" spans="1:5" ht="91" customHeight="1" x14ac:dyDescent="0.2">
      <c r="A7" s="1903" t="s">
        <v>1021</v>
      </c>
      <c r="B7" s="1064" t="s">
        <v>1760</v>
      </c>
      <c r="C7" s="1064" t="s">
        <v>1761</v>
      </c>
      <c r="D7" s="1064" t="s">
        <v>1783</v>
      </c>
      <c r="E7" s="1064" t="s">
        <v>1762</v>
      </c>
    </row>
    <row r="8" spans="1:5" ht="16" customHeight="1" x14ac:dyDescent="0.2">
      <c r="A8" t="s">
        <v>1022</v>
      </c>
      <c r="B8" s="169" t="s">
        <v>1023</v>
      </c>
      <c r="C8" s="169" t="s">
        <v>262</v>
      </c>
      <c r="D8" s="169" t="s">
        <v>262</v>
      </c>
      <c r="E8" s="169" t="s">
        <v>262</v>
      </c>
    </row>
    <row r="9" spans="1:5" ht="16" customHeight="1" x14ac:dyDescent="0.2">
      <c r="A9" t="s">
        <v>262</v>
      </c>
      <c r="B9" s="169" t="s">
        <v>1024</v>
      </c>
      <c r="C9" s="169" t="s">
        <v>262</v>
      </c>
      <c r="D9" s="169" t="s">
        <v>262</v>
      </c>
      <c r="E9" s="169" t="s">
        <v>262</v>
      </c>
    </row>
    <row r="10" spans="1:5" ht="16" customHeight="1" x14ac:dyDescent="0.2">
      <c r="A10" t="s">
        <v>1025</v>
      </c>
      <c r="B10" s="169" t="s">
        <v>1026</v>
      </c>
      <c r="C10" s="169" t="s">
        <v>262</v>
      </c>
      <c r="D10" s="169" t="s">
        <v>262</v>
      </c>
      <c r="E10" s="169" t="s">
        <v>262</v>
      </c>
    </row>
    <row r="11" spans="1:5" ht="16" customHeight="1" x14ac:dyDescent="0.2">
      <c r="A11" t="s">
        <v>262</v>
      </c>
      <c r="B11" s="169" t="s">
        <v>1027</v>
      </c>
      <c r="C11" s="169" t="s">
        <v>262</v>
      </c>
      <c r="D11" s="169" t="s">
        <v>262</v>
      </c>
      <c r="E11" s="169" t="s">
        <v>262</v>
      </c>
    </row>
    <row r="12" spans="1:5" ht="16" customHeight="1" x14ac:dyDescent="0.2">
      <c r="A12" t="s">
        <v>1028</v>
      </c>
      <c r="B12" s="169" t="s">
        <v>1029</v>
      </c>
      <c r="C12" s="169" t="s">
        <v>262</v>
      </c>
      <c r="D12" s="169" t="s">
        <v>262</v>
      </c>
      <c r="E12" s="169" t="s">
        <v>262</v>
      </c>
    </row>
    <row r="13" spans="1:5" ht="16" customHeight="1" x14ac:dyDescent="0.2">
      <c r="A13" t="s">
        <v>262</v>
      </c>
      <c r="B13" s="169" t="s">
        <v>1030</v>
      </c>
      <c r="C13" s="169" t="s">
        <v>262</v>
      </c>
      <c r="D13" s="169" t="s">
        <v>262</v>
      </c>
      <c r="E13" s="169" t="s">
        <v>262</v>
      </c>
    </row>
    <row r="14" spans="1:5" ht="16" customHeight="1" x14ac:dyDescent="0.2">
      <c r="A14" t="s">
        <v>1031</v>
      </c>
      <c r="B14" s="169" t="s">
        <v>1032</v>
      </c>
      <c r="C14" s="169" t="s">
        <v>262</v>
      </c>
      <c r="D14" s="169" t="s">
        <v>262</v>
      </c>
      <c r="E14" s="169" t="s">
        <v>262</v>
      </c>
    </row>
    <row r="15" spans="1:5" ht="16" customHeight="1" x14ac:dyDescent="0.2">
      <c r="A15" t="s">
        <v>262</v>
      </c>
      <c r="B15" s="169" t="s">
        <v>1033</v>
      </c>
      <c r="C15" s="169" t="s">
        <v>262</v>
      </c>
      <c r="D15" s="169" t="s">
        <v>262</v>
      </c>
      <c r="E15" s="169" t="s">
        <v>262</v>
      </c>
    </row>
    <row r="16" spans="1:5" ht="16" customHeight="1" x14ac:dyDescent="0.2">
      <c r="A16" t="s">
        <v>1034</v>
      </c>
      <c r="B16" s="169" t="s">
        <v>1035</v>
      </c>
      <c r="C16" s="169" t="s">
        <v>262</v>
      </c>
      <c r="D16" s="169" t="s">
        <v>262</v>
      </c>
      <c r="E16" s="169" t="s">
        <v>262</v>
      </c>
    </row>
    <row r="17" spans="1:5" ht="16" customHeight="1" x14ac:dyDescent="0.2">
      <c r="A17" t="s">
        <v>262</v>
      </c>
      <c r="B17" s="169" t="s">
        <v>1036</v>
      </c>
      <c r="C17" s="169" t="s">
        <v>262</v>
      </c>
      <c r="D17" s="169" t="s">
        <v>262</v>
      </c>
      <c r="E17" s="169" t="s">
        <v>262</v>
      </c>
    </row>
    <row r="18" spans="1:5" ht="16" customHeight="1" x14ac:dyDescent="0.2">
      <c r="A18" t="s">
        <v>1037</v>
      </c>
      <c r="B18" s="169" t="s">
        <v>1038</v>
      </c>
      <c r="C18" s="169" t="s">
        <v>262</v>
      </c>
      <c r="D18" s="169" t="s">
        <v>262</v>
      </c>
      <c r="E18" s="169" t="s">
        <v>262</v>
      </c>
    </row>
    <row r="19" spans="1:5" ht="16" customHeight="1" x14ac:dyDescent="0.2">
      <c r="A19" t="s">
        <v>262</v>
      </c>
      <c r="B19" s="169" t="s">
        <v>1039</v>
      </c>
      <c r="C19" s="169" t="s">
        <v>262</v>
      </c>
      <c r="D19" s="169" t="s">
        <v>262</v>
      </c>
      <c r="E19" s="169" t="s">
        <v>262</v>
      </c>
    </row>
    <row r="20" spans="1:5" ht="16" customHeight="1" x14ac:dyDescent="0.2">
      <c r="A20" t="s">
        <v>1040</v>
      </c>
      <c r="B20" s="169" t="s">
        <v>1041</v>
      </c>
      <c r="C20" s="169" t="s">
        <v>262</v>
      </c>
      <c r="D20" s="169" t="s">
        <v>262</v>
      </c>
      <c r="E20" s="169" t="s">
        <v>262</v>
      </c>
    </row>
    <row r="21" spans="1:5" ht="16" customHeight="1" x14ac:dyDescent="0.2">
      <c r="A21" t="s">
        <v>262</v>
      </c>
      <c r="B21" s="169" t="s">
        <v>1042</v>
      </c>
      <c r="C21" s="169" t="s">
        <v>262</v>
      </c>
      <c r="D21" s="169" t="s">
        <v>262</v>
      </c>
      <c r="E21" s="169" t="s">
        <v>262</v>
      </c>
    </row>
    <row r="22" spans="1:5" ht="16" customHeight="1" x14ac:dyDescent="0.2">
      <c r="A22" t="s">
        <v>1043</v>
      </c>
      <c r="B22" s="169" t="s">
        <v>1044</v>
      </c>
      <c r="C22" s="169" t="s">
        <v>262</v>
      </c>
      <c r="D22" s="169" t="s">
        <v>262</v>
      </c>
      <c r="E22" s="169" t="s">
        <v>262</v>
      </c>
    </row>
    <row r="23" spans="1:5" ht="16" customHeight="1" x14ac:dyDescent="0.2">
      <c r="A23" t="s">
        <v>262</v>
      </c>
      <c r="B23" s="169" t="s">
        <v>1045</v>
      </c>
      <c r="C23" s="169" t="s">
        <v>262</v>
      </c>
      <c r="D23" s="169" t="s">
        <v>262</v>
      </c>
      <c r="E23" s="169" t="s">
        <v>262</v>
      </c>
    </row>
    <row r="24" spans="1:5" ht="16" customHeight="1" x14ac:dyDescent="0.2">
      <c r="A24" t="s">
        <v>1046</v>
      </c>
      <c r="B24" s="169" t="s">
        <v>1047</v>
      </c>
      <c r="C24" s="169" t="s">
        <v>262</v>
      </c>
      <c r="D24" s="169" t="s">
        <v>262</v>
      </c>
      <c r="E24" s="169" t="s">
        <v>262</v>
      </c>
    </row>
    <row r="25" spans="1:5" ht="16" customHeight="1" x14ac:dyDescent="0.2">
      <c r="A25" t="s">
        <v>262</v>
      </c>
      <c r="B25" s="169" t="s">
        <v>1048</v>
      </c>
      <c r="C25" s="169" t="s">
        <v>262</v>
      </c>
      <c r="D25" s="169" t="s">
        <v>262</v>
      </c>
      <c r="E25" s="169" t="s">
        <v>262</v>
      </c>
    </row>
    <row r="26" spans="1:5" ht="16" customHeight="1" x14ac:dyDescent="0.2">
      <c r="A26" t="s">
        <v>1049</v>
      </c>
      <c r="B26" s="169" t="s">
        <v>1050</v>
      </c>
      <c r="C26" s="169" t="s">
        <v>262</v>
      </c>
      <c r="D26" s="169" t="s">
        <v>262</v>
      </c>
      <c r="E26" s="169" t="s">
        <v>262</v>
      </c>
    </row>
    <row r="27" spans="1:5" ht="16" customHeight="1" x14ac:dyDescent="0.2">
      <c r="A27" t="s">
        <v>262</v>
      </c>
      <c r="B27" s="169" t="s">
        <v>1051</v>
      </c>
      <c r="C27" s="169" t="s">
        <v>262</v>
      </c>
      <c r="D27" s="169" t="s">
        <v>262</v>
      </c>
      <c r="E27" s="169" t="s">
        <v>262</v>
      </c>
    </row>
    <row r="28" spans="1:5" ht="16" customHeight="1" x14ac:dyDescent="0.2">
      <c r="A28" t="s">
        <v>1052</v>
      </c>
      <c r="B28" s="169" t="s">
        <v>1053</v>
      </c>
      <c r="C28" s="169" t="s">
        <v>262</v>
      </c>
      <c r="D28" s="169" t="s">
        <v>262</v>
      </c>
      <c r="E28" s="169" t="s">
        <v>262</v>
      </c>
    </row>
    <row r="29" spans="1:5" ht="16" customHeight="1" x14ac:dyDescent="0.2">
      <c r="A29" t="s">
        <v>262</v>
      </c>
      <c r="B29" s="169" t="s">
        <v>1054</v>
      </c>
      <c r="C29" s="169" t="s">
        <v>262</v>
      </c>
      <c r="D29" s="169" t="s">
        <v>262</v>
      </c>
      <c r="E29" s="169" t="s">
        <v>262</v>
      </c>
    </row>
    <row r="30" spans="1:5" ht="16" customHeight="1" x14ac:dyDescent="0.2">
      <c r="A30" t="s">
        <v>1055</v>
      </c>
      <c r="B30" s="169" t="s">
        <v>1056</v>
      </c>
      <c r="C30" s="169" t="s">
        <v>1057</v>
      </c>
      <c r="D30" s="169" t="s">
        <v>262</v>
      </c>
      <c r="E30" s="169" t="s">
        <v>262</v>
      </c>
    </row>
    <row r="31" spans="1:5" ht="16" customHeight="1" x14ac:dyDescent="0.2">
      <c r="A31" t="s">
        <v>262</v>
      </c>
      <c r="B31" s="169" t="s">
        <v>1058</v>
      </c>
      <c r="C31" s="169" t="s">
        <v>1059</v>
      </c>
      <c r="D31" s="169" t="s">
        <v>262</v>
      </c>
      <c r="E31" s="169" t="s">
        <v>262</v>
      </c>
    </row>
    <row r="32" spans="1:5" ht="16" customHeight="1" x14ac:dyDescent="0.2">
      <c r="A32" t="s">
        <v>1932</v>
      </c>
      <c r="B32" s="169" t="s">
        <v>1766</v>
      </c>
      <c r="C32" s="169" t="s">
        <v>1773</v>
      </c>
      <c r="D32" s="169" t="s">
        <v>262</v>
      </c>
      <c r="E32" s="169" t="s">
        <v>1784</v>
      </c>
    </row>
    <row r="33" spans="1:5" ht="16" customHeight="1" x14ac:dyDescent="0.2">
      <c r="A33" t="s">
        <v>262</v>
      </c>
      <c r="B33" s="169" t="s">
        <v>1763</v>
      </c>
      <c r="C33" s="169" t="s">
        <v>1464</v>
      </c>
      <c r="D33" s="169" t="s">
        <v>262</v>
      </c>
      <c r="E33" s="169" t="s">
        <v>1346</v>
      </c>
    </row>
    <row r="34" spans="1:5" ht="16" customHeight="1" x14ac:dyDescent="0.2">
      <c r="A34" t="s">
        <v>1060</v>
      </c>
      <c r="B34" s="169" t="s">
        <v>1061</v>
      </c>
      <c r="C34" s="169" t="s">
        <v>1062</v>
      </c>
      <c r="D34" s="169" t="s">
        <v>262</v>
      </c>
      <c r="E34" s="169" t="s">
        <v>1785</v>
      </c>
    </row>
    <row r="35" spans="1:5" ht="16" customHeight="1" x14ac:dyDescent="0.2">
      <c r="A35" t="s">
        <v>262</v>
      </c>
      <c r="B35" s="169" t="s">
        <v>1063</v>
      </c>
      <c r="C35" s="169" t="s">
        <v>1064</v>
      </c>
      <c r="D35" s="169" t="s">
        <v>262</v>
      </c>
      <c r="E35" s="169" t="s">
        <v>1786</v>
      </c>
    </row>
    <row r="36" spans="1:5" ht="16" customHeight="1" x14ac:dyDescent="0.2">
      <c r="A36" t="s">
        <v>1065</v>
      </c>
      <c r="B36" s="169" t="s">
        <v>1066</v>
      </c>
      <c r="C36" s="169" t="s">
        <v>1067</v>
      </c>
      <c r="D36" s="169" t="s">
        <v>262</v>
      </c>
      <c r="E36" s="169" t="s">
        <v>1787</v>
      </c>
    </row>
    <row r="37" spans="1:5" ht="16" customHeight="1" x14ac:dyDescent="0.2">
      <c r="A37" t="s">
        <v>262</v>
      </c>
      <c r="B37" s="169" t="s">
        <v>1068</v>
      </c>
      <c r="C37" s="169" t="s">
        <v>1069</v>
      </c>
      <c r="D37" s="169" t="s">
        <v>262</v>
      </c>
      <c r="E37" s="169" t="s">
        <v>1788</v>
      </c>
    </row>
    <row r="38" spans="1:5" ht="16" customHeight="1" x14ac:dyDescent="0.2">
      <c r="A38" t="s">
        <v>1070</v>
      </c>
      <c r="B38" s="169" t="s">
        <v>1071</v>
      </c>
      <c r="C38" s="169" t="s">
        <v>1072</v>
      </c>
      <c r="D38" s="169" t="s">
        <v>262</v>
      </c>
      <c r="E38" s="169" t="s">
        <v>1789</v>
      </c>
    </row>
    <row r="39" spans="1:5" ht="16" customHeight="1" x14ac:dyDescent="0.2">
      <c r="A39" t="s">
        <v>262</v>
      </c>
      <c r="B39" s="169" t="s">
        <v>1073</v>
      </c>
      <c r="C39" s="169" t="s">
        <v>1074</v>
      </c>
      <c r="D39" s="169" t="s">
        <v>262</v>
      </c>
      <c r="E39" s="169" t="s">
        <v>1790</v>
      </c>
    </row>
    <row r="40" spans="1:5" ht="16" customHeight="1" x14ac:dyDescent="0.2">
      <c r="A40" t="s">
        <v>1075</v>
      </c>
      <c r="B40" s="169" t="s">
        <v>1076</v>
      </c>
      <c r="C40" s="169" t="s">
        <v>1077</v>
      </c>
      <c r="D40" s="169" t="s">
        <v>1078</v>
      </c>
      <c r="E40" s="169" t="s">
        <v>1791</v>
      </c>
    </row>
    <row r="41" spans="1:5" ht="16" customHeight="1" x14ac:dyDescent="0.2">
      <c r="A41" t="s">
        <v>262</v>
      </c>
      <c r="B41" s="169" t="s">
        <v>1079</v>
      </c>
      <c r="C41" s="169" t="s">
        <v>1080</v>
      </c>
      <c r="D41" s="169" t="s">
        <v>1051</v>
      </c>
      <c r="E41" s="169" t="s">
        <v>1792</v>
      </c>
    </row>
    <row r="42" spans="1:5" ht="16" customHeight="1" x14ac:dyDescent="0.2">
      <c r="A42" t="s">
        <v>1081</v>
      </c>
      <c r="B42" s="169" t="s">
        <v>1082</v>
      </c>
      <c r="C42" s="169" t="s">
        <v>1083</v>
      </c>
      <c r="D42" s="169" t="s">
        <v>262</v>
      </c>
      <c r="E42" s="169" t="s">
        <v>1793</v>
      </c>
    </row>
    <row r="43" spans="1:5" ht="16" customHeight="1" x14ac:dyDescent="0.2">
      <c r="A43" t="s">
        <v>262</v>
      </c>
      <c r="B43" s="169" t="s">
        <v>1084</v>
      </c>
      <c r="C43" s="169" t="s">
        <v>1774</v>
      </c>
      <c r="D43" s="169" t="s">
        <v>262</v>
      </c>
      <c r="E43" s="169" t="s">
        <v>1790</v>
      </c>
    </row>
    <row r="44" spans="1:5" ht="16" customHeight="1" x14ac:dyDescent="0.2">
      <c r="A44" t="s">
        <v>1085</v>
      </c>
      <c r="B44" s="169" t="s">
        <v>1086</v>
      </c>
      <c r="C44" s="169" t="s">
        <v>1087</v>
      </c>
      <c r="D44" s="169" t="s">
        <v>262</v>
      </c>
      <c r="E44" s="169" t="s">
        <v>1794</v>
      </c>
    </row>
    <row r="45" spans="1:5" ht="16" customHeight="1" x14ac:dyDescent="0.2">
      <c r="A45" t="s">
        <v>262</v>
      </c>
      <c r="B45" s="169" t="s">
        <v>1088</v>
      </c>
      <c r="C45" s="169" t="s">
        <v>1089</v>
      </c>
      <c r="D45" s="169" t="s">
        <v>262</v>
      </c>
      <c r="E45" s="169" t="s">
        <v>1795</v>
      </c>
    </row>
    <row r="46" spans="1:5" ht="16" customHeight="1" x14ac:dyDescent="0.2">
      <c r="A46" t="s">
        <v>1090</v>
      </c>
      <c r="B46" s="169" t="s">
        <v>1091</v>
      </c>
      <c r="C46" s="169" t="s">
        <v>1092</v>
      </c>
      <c r="D46" s="169" t="s">
        <v>262</v>
      </c>
      <c r="E46" s="169" t="s">
        <v>1796</v>
      </c>
    </row>
    <row r="47" spans="1:5" ht="16" customHeight="1" x14ac:dyDescent="0.2">
      <c r="A47" t="s">
        <v>262</v>
      </c>
      <c r="B47" s="169" t="s">
        <v>1093</v>
      </c>
      <c r="C47" s="169" t="s">
        <v>1094</v>
      </c>
      <c r="D47" s="169" t="s">
        <v>262</v>
      </c>
      <c r="E47" s="169" t="s">
        <v>1797</v>
      </c>
    </row>
    <row r="48" spans="1:5" ht="16" customHeight="1" x14ac:dyDescent="0.2">
      <c r="A48" t="s">
        <v>1095</v>
      </c>
      <c r="B48" s="169" t="s">
        <v>1096</v>
      </c>
      <c r="C48" s="169" t="s">
        <v>1097</v>
      </c>
      <c r="D48" s="169" t="s">
        <v>262</v>
      </c>
      <c r="E48" s="169" t="s">
        <v>1798</v>
      </c>
    </row>
    <row r="49" spans="1:10" ht="16" customHeight="1" x14ac:dyDescent="0.2">
      <c r="A49" t="s">
        <v>262</v>
      </c>
      <c r="B49" s="169" t="s">
        <v>1098</v>
      </c>
      <c r="C49" s="169" t="s">
        <v>1099</v>
      </c>
      <c r="D49" s="169" t="s">
        <v>262</v>
      </c>
      <c r="E49" s="169" t="s">
        <v>1799</v>
      </c>
    </row>
    <row r="50" spans="1:10" ht="16" customHeight="1" x14ac:dyDescent="0.2">
      <c r="A50" t="s">
        <v>1100</v>
      </c>
      <c r="B50" s="169" t="s">
        <v>1101</v>
      </c>
      <c r="C50" s="169" t="s">
        <v>1102</v>
      </c>
      <c r="D50" s="169" t="s">
        <v>1103</v>
      </c>
      <c r="E50" s="169" t="s">
        <v>1800</v>
      </c>
      <c r="G50" s="129"/>
      <c r="H50" s="129"/>
      <c r="I50" s="129"/>
      <c r="J50" s="129"/>
    </row>
    <row r="51" spans="1:10" ht="16" customHeight="1" x14ac:dyDescent="0.2">
      <c r="A51" t="s">
        <v>262</v>
      </c>
      <c r="B51" s="169" t="s">
        <v>1104</v>
      </c>
      <c r="C51" s="169" t="s">
        <v>1105</v>
      </c>
      <c r="D51" s="169" t="s">
        <v>1106</v>
      </c>
      <c r="E51" s="169" t="s">
        <v>1801</v>
      </c>
    </row>
    <row r="52" spans="1:10" ht="16" customHeight="1" x14ac:dyDescent="0.2">
      <c r="A52" t="s">
        <v>1107</v>
      </c>
      <c r="B52" s="169" t="s">
        <v>1108</v>
      </c>
      <c r="C52" s="169" t="s">
        <v>1109</v>
      </c>
      <c r="D52" s="169" t="s">
        <v>262</v>
      </c>
      <c r="E52" s="169" t="s">
        <v>1802</v>
      </c>
      <c r="G52" s="129"/>
      <c r="H52" s="129"/>
      <c r="I52" s="129"/>
      <c r="J52" s="129"/>
    </row>
    <row r="53" spans="1:10" ht="16" customHeight="1" x14ac:dyDescent="0.2">
      <c r="A53" t="s">
        <v>262</v>
      </c>
      <c r="B53" s="169" t="s">
        <v>1110</v>
      </c>
      <c r="C53" s="169" t="s">
        <v>1111</v>
      </c>
      <c r="D53" s="169" t="s">
        <v>262</v>
      </c>
      <c r="E53" s="169" t="s">
        <v>1803</v>
      </c>
    </row>
    <row r="54" spans="1:10" ht="16" customHeight="1" x14ac:dyDescent="0.2">
      <c r="A54" t="s">
        <v>1113</v>
      </c>
      <c r="B54" s="169" t="s">
        <v>1114</v>
      </c>
      <c r="C54" s="169" t="s">
        <v>1115</v>
      </c>
      <c r="D54" s="169" t="s">
        <v>262</v>
      </c>
      <c r="E54" s="169" t="s">
        <v>1804</v>
      </c>
      <c r="G54" s="129"/>
      <c r="H54" s="129"/>
      <c r="I54" s="129"/>
      <c r="J54" s="129"/>
    </row>
    <row r="55" spans="1:10" ht="16" customHeight="1" x14ac:dyDescent="0.2">
      <c r="A55" t="s">
        <v>262</v>
      </c>
      <c r="B55" s="169" t="s">
        <v>1116</v>
      </c>
      <c r="C55" s="169" t="s">
        <v>1105</v>
      </c>
      <c r="D55" s="169" t="s">
        <v>262</v>
      </c>
      <c r="E55" s="169" t="s">
        <v>1805</v>
      </c>
    </row>
    <row r="56" spans="1:10" ht="16" customHeight="1" x14ac:dyDescent="0.2">
      <c r="A56" t="s">
        <v>1117</v>
      </c>
      <c r="B56" s="169" t="s">
        <v>1118</v>
      </c>
      <c r="C56" s="169" t="s">
        <v>1119</v>
      </c>
      <c r="D56" s="169" t="s">
        <v>262</v>
      </c>
      <c r="E56" s="169" t="s">
        <v>1806</v>
      </c>
      <c r="G56" s="129"/>
      <c r="H56" s="129"/>
      <c r="I56" s="129"/>
      <c r="J56" s="129"/>
    </row>
    <row r="57" spans="1:10" ht="16" customHeight="1" x14ac:dyDescent="0.2">
      <c r="A57" t="s">
        <v>262</v>
      </c>
      <c r="B57" s="169" t="s">
        <v>1120</v>
      </c>
      <c r="C57" s="169" t="s">
        <v>1121</v>
      </c>
      <c r="D57" s="169" t="s">
        <v>262</v>
      </c>
      <c r="E57" s="169" t="s">
        <v>1807</v>
      </c>
    </row>
    <row r="58" spans="1:10" ht="16" customHeight="1" x14ac:dyDescent="0.2">
      <c r="A58" t="s">
        <v>1122</v>
      </c>
      <c r="B58" s="169" t="s">
        <v>1123</v>
      </c>
      <c r="C58" s="169" t="s">
        <v>1124</v>
      </c>
      <c r="D58" s="169" t="s">
        <v>262</v>
      </c>
      <c r="E58" s="169" t="s">
        <v>1808</v>
      </c>
      <c r="G58" s="129"/>
      <c r="H58" s="129"/>
      <c r="I58" s="129"/>
      <c r="J58" s="129"/>
    </row>
    <row r="59" spans="1:10" ht="16" customHeight="1" x14ac:dyDescent="0.2">
      <c r="A59" t="s">
        <v>262</v>
      </c>
      <c r="B59" s="169" t="s">
        <v>1125</v>
      </c>
      <c r="C59" s="169" t="s">
        <v>1126</v>
      </c>
      <c r="D59" s="169" t="s">
        <v>262</v>
      </c>
      <c r="E59" s="169" t="s">
        <v>1809</v>
      </c>
    </row>
    <row r="60" spans="1:10" ht="16" customHeight="1" x14ac:dyDescent="0.2">
      <c r="A60" t="s">
        <v>1127</v>
      </c>
      <c r="B60" s="169" t="s">
        <v>1128</v>
      </c>
      <c r="C60" s="169" t="s">
        <v>1129</v>
      </c>
      <c r="D60" s="169" t="s">
        <v>1130</v>
      </c>
      <c r="E60" s="169" t="s">
        <v>1810</v>
      </c>
      <c r="G60" s="129"/>
      <c r="H60" s="129"/>
      <c r="I60" s="129"/>
      <c r="J60" s="129"/>
    </row>
    <row r="61" spans="1:10" ht="16" customHeight="1" x14ac:dyDescent="0.2">
      <c r="A61" t="s">
        <v>262</v>
      </c>
      <c r="B61" s="169" t="s">
        <v>1131</v>
      </c>
      <c r="C61" s="169" t="s">
        <v>1132</v>
      </c>
      <c r="D61" s="169" t="s">
        <v>1133</v>
      </c>
      <c r="E61" s="169" t="s">
        <v>1811</v>
      </c>
    </row>
    <row r="62" spans="1:10" ht="16" customHeight="1" x14ac:dyDescent="0.2">
      <c r="A62" t="s">
        <v>1134</v>
      </c>
      <c r="B62" s="169" t="s">
        <v>1135</v>
      </c>
      <c r="C62" s="169" t="s">
        <v>1136</v>
      </c>
      <c r="D62" s="169" t="s">
        <v>262</v>
      </c>
      <c r="E62" s="169" t="s">
        <v>1812</v>
      </c>
      <c r="G62" s="129"/>
      <c r="H62" s="129"/>
      <c r="I62" s="129"/>
      <c r="J62" s="129"/>
    </row>
    <row r="63" spans="1:10" ht="16" customHeight="1" x14ac:dyDescent="0.2">
      <c r="A63" t="s">
        <v>262</v>
      </c>
      <c r="B63" s="169" t="s">
        <v>1137</v>
      </c>
      <c r="C63" s="169" t="s">
        <v>1138</v>
      </c>
      <c r="D63" s="169" t="s">
        <v>262</v>
      </c>
      <c r="E63" s="169" t="s">
        <v>1813</v>
      </c>
    </row>
    <row r="64" spans="1:10" ht="16" customHeight="1" x14ac:dyDescent="0.2">
      <c r="A64" t="s">
        <v>1139</v>
      </c>
      <c r="B64" s="169" t="s">
        <v>1140</v>
      </c>
      <c r="C64" s="169" t="s">
        <v>1141</v>
      </c>
      <c r="D64" s="169" t="s">
        <v>262</v>
      </c>
      <c r="E64" s="169" t="s">
        <v>1814</v>
      </c>
      <c r="G64" s="129"/>
      <c r="H64" s="129"/>
      <c r="I64" s="129"/>
      <c r="J64" s="129"/>
    </row>
    <row r="65" spans="1:10" ht="16" customHeight="1" x14ac:dyDescent="0.2">
      <c r="A65" t="s">
        <v>262</v>
      </c>
      <c r="B65" s="169" t="s">
        <v>1142</v>
      </c>
      <c r="C65" s="169" t="s">
        <v>1143</v>
      </c>
      <c r="D65" s="169" t="s">
        <v>262</v>
      </c>
      <c r="E65" s="169" t="s">
        <v>1815</v>
      </c>
    </row>
    <row r="66" spans="1:10" ht="16" customHeight="1" x14ac:dyDescent="0.2">
      <c r="A66" t="s">
        <v>1144</v>
      </c>
      <c r="B66" s="169" t="s">
        <v>1145</v>
      </c>
      <c r="C66" s="169" t="s">
        <v>1146</v>
      </c>
      <c r="D66" s="169" t="s">
        <v>262</v>
      </c>
      <c r="E66" s="169" t="s">
        <v>1816</v>
      </c>
      <c r="G66" s="129"/>
      <c r="H66" s="129"/>
      <c r="I66" s="129"/>
      <c r="J66" s="129"/>
    </row>
    <row r="67" spans="1:10" ht="16" customHeight="1" x14ac:dyDescent="0.2">
      <c r="A67" t="s">
        <v>262</v>
      </c>
      <c r="B67" s="169" t="s">
        <v>1147</v>
      </c>
      <c r="C67" s="169" t="s">
        <v>1148</v>
      </c>
      <c r="D67" s="169" t="s">
        <v>262</v>
      </c>
      <c r="E67" s="169" t="s">
        <v>1112</v>
      </c>
    </row>
    <row r="68" spans="1:10" ht="16" customHeight="1" x14ac:dyDescent="0.2">
      <c r="A68" t="s">
        <v>1149</v>
      </c>
      <c r="B68" s="169" t="s">
        <v>1141</v>
      </c>
      <c r="C68" s="169" t="s">
        <v>1150</v>
      </c>
      <c r="D68" s="169" t="s">
        <v>262</v>
      </c>
      <c r="E68" s="169" t="s">
        <v>1817</v>
      </c>
      <c r="G68" s="129"/>
      <c r="H68" s="129"/>
      <c r="I68" s="129"/>
      <c r="J68" s="129"/>
    </row>
    <row r="69" spans="1:10" ht="16" customHeight="1" x14ac:dyDescent="0.2">
      <c r="A69" t="s">
        <v>262</v>
      </c>
      <c r="B69" s="169" t="s">
        <v>1151</v>
      </c>
      <c r="C69" s="169" t="s">
        <v>1152</v>
      </c>
      <c r="D69" s="169" t="s">
        <v>262</v>
      </c>
      <c r="E69" s="169" t="s">
        <v>1818</v>
      </c>
    </row>
    <row r="70" spans="1:10" ht="16" customHeight="1" x14ac:dyDescent="0.2">
      <c r="A70" t="s">
        <v>1153</v>
      </c>
      <c r="B70" s="169" t="s">
        <v>1154</v>
      </c>
      <c r="C70" s="169" t="s">
        <v>1155</v>
      </c>
      <c r="D70" s="169" t="s">
        <v>1156</v>
      </c>
      <c r="E70" s="169" t="s">
        <v>1819</v>
      </c>
      <c r="G70" s="129"/>
      <c r="H70" s="129"/>
      <c r="I70" s="129"/>
      <c r="J70" s="129"/>
    </row>
    <row r="71" spans="1:10" ht="16" customHeight="1" x14ac:dyDescent="0.2">
      <c r="A71" t="s">
        <v>262</v>
      </c>
      <c r="B71" s="169" t="s">
        <v>1157</v>
      </c>
      <c r="C71" s="169" t="s">
        <v>1158</v>
      </c>
      <c r="D71" s="169" t="s">
        <v>1159</v>
      </c>
      <c r="E71" s="169" t="s">
        <v>1175</v>
      </c>
    </row>
    <row r="72" spans="1:10" ht="16" customHeight="1" x14ac:dyDescent="0.2">
      <c r="A72" t="s">
        <v>1160</v>
      </c>
      <c r="B72" s="169" t="s">
        <v>1161</v>
      </c>
      <c r="C72" s="169" t="s">
        <v>1162</v>
      </c>
      <c r="D72" s="169" t="s">
        <v>262</v>
      </c>
      <c r="E72" s="169" t="s">
        <v>1820</v>
      </c>
      <c r="G72" s="129"/>
      <c r="H72" s="129"/>
      <c r="I72" s="129"/>
      <c r="J72" s="129"/>
    </row>
    <row r="73" spans="1:10" ht="16" customHeight="1" x14ac:dyDescent="0.2">
      <c r="A73" t="s">
        <v>262</v>
      </c>
      <c r="B73" s="169" t="s">
        <v>1163</v>
      </c>
      <c r="C73" s="169" t="s">
        <v>1164</v>
      </c>
      <c r="D73" s="169" t="s">
        <v>262</v>
      </c>
      <c r="E73" s="169" t="s">
        <v>1175</v>
      </c>
    </row>
    <row r="74" spans="1:10" ht="16" customHeight="1" x14ac:dyDescent="0.2">
      <c r="A74" t="s">
        <v>1165</v>
      </c>
      <c r="B74" s="169" t="s">
        <v>1166</v>
      </c>
      <c r="C74" s="169" t="s">
        <v>1167</v>
      </c>
      <c r="D74" s="169" t="s">
        <v>262</v>
      </c>
      <c r="E74" s="169" t="s">
        <v>1821</v>
      </c>
      <c r="G74" s="129"/>
      <c r="H74" s="129"/>
      <c r="I74" s="129"/>
      <c r="J74" s="129"/>
    </row>
    <row r="75" spans="1:10" s="1904" customFormat="1" ht="16" customHeight="1" x14ac:dyDescent="0.2">
      <c r="A75" t="s">
        <v>262</v>
      </c>
      <c r="B75" s="169" t="s">
        <v>1168</v>
      </c>
      <c r="C75" s="169" t="s">
        <v>1169</v>
      </c>
      <c r="D75" s="169" t="s">
        <v>262</v>
      </c>
      <c r="E75" s="169" t="s">
        <v>1822</v>
      </c>
      <c r="G75" s="128"/>
      <c r="H75" s="128"/>
      <c r="I75" s="128"/>
      <c r="J75" s="128"/>
    </row>
    <row r="76" spans="1:10" ht="16" customHeight="1" x14ac:dyDescent="0.2">
      <c r="A76" t="s">
        <v>1170</v>
      </c>
      <c r="B76" s="169" t="s">
        <v>1171</v>
      </c>
      <c r="C76" s="169" t="s">
        <v>1172</v>
      </c>
      <c r="D76" s="169" t="s">
        <v>262</v>
      </c>
      <c r="E76" s="169" t="s">
        <v>1823</v>
      </c>
      <c r="G76" s="129"/>
      <c r="H76" s="129"/>
      <c r="I76" s="129"/>
      <c r="J76" s="129"/>
    </row>
    <row r="77" spans="1:10" ht="16" customHeight="1" x14ac:dyDescent="0.2">
      <c r="A77" t="s">
        <v>262</v>
      </c>
      <c r="B77" s="169" t="s">
        <v>1173</v>
      </c>
      <c r="C77" s="169" t="s">
        <v>1174</v>
      </c>
      <c r="D77" s="169" t="s">
        <v>262</v>
      </c>
      <c r="E77" s="169" t="s">
        <v>1175</v>
      </c>
    </row>
    <row r="78" spans="1:10" ht="16" customHeight="1" x14ac:dyDescent="0.2">
      <c r="A78" t="s">
        <v>1176</v>
      </c>
      <c r="B78" s="169" t="s">
        <v>1177</v>
      </c>
      <c r="C78" s="169" t="s">
        <v>1178</v>
      </c>
      <c r="D78" s="169" t="s">
        <v>262</v>
      </c>
      <c r="E78" s="169" t="s">
        <v>1824</v>
      </c>
      <c r="G78" s="129"/>
      <c r="H78" s="129"/>
      <c r="I78" s="129"/>
      <c r="J78" s="129"/>
    </row>
    <row r="79" spans="1:10" ht="16" customHeight="1" x14ac:dyDescent="0.2">
      <c r="A79" t="s">
        <v>262</v>
      </c>
      <c r="B79" s="169" t="s">
        <v>1179</v>
      </c>
      <c r="C79" s="169" t="s">
        <v>1180</v>
      </c>
      <c r="D79" s="169" t="s">
        <v>262</v>
      </c>
      <c r="E79" s="169" t="s">
        <v>1175</v>
      </c>
    </row>
    <row r="80" spans="1:10" ht="16" customHeight="1" x14ac:dyDescent="0.2">
      <c r="A80" t="s">
        <v>1181</v>
      </c>
      <c r="B80" s="169" t="s">
        <v>1182</v>
      </c>
      <c r="C80" s="169" t="s">
        <v>262</v>
      </c>
      <c r="D80" s="169" t="s">
        <v>262</v>
      </c>
      <c r="E80" s="169" t="s">
        <v>262</v>
      </c>
      <c r="G80" s="129"/>
      <c r="H80" s="129"/>
      <c r="I80" s="129"/>
      <c r="J80" s="129"/>
    </row>
    <row r="81" spans="1:10" ht="16" customHeight="1" x14ac:dyDescent="0.2">
      <c r="A81" t="s">
        <v>262</v>
      </c>
      <c r="B81" s="169" t="s">
        <v>1183</v>
      </c>
      <c r="C81" s="169" t="s">
        <v>262</v>
      </c>
      <c r="D81" s="169" t="s">
        <v>262</v>
      </c>
      <c r="E81" s="169" t="s">
        <v>262</v>
      </c>
    </row>
    <row r="82" spans="1:10" ht="16" customHeight="1" x14ac:dyDescent="0.2">
      <c r="A82" t="s">
        <v>1184</v>
      </c>
      <c r="B82" s="169" t="s">
        <v>1185</v>
      </c>
      <c r="C82" s="169" t="s">
        <v>262</v>
      </c>
      <c r="D82" s="169" t="s">
        <v>262</v>
      </c>
      <c r="E82" s="169" t="s">
        <v>262</v>
      </c>
      <c r="G82" s="129"/>
      <c r="H82" s="129"/>
      <c r="I82" s="129"/>
      <c r="J82" s="129"/>
    </row>
    <row r="83" spans="1:10" ht="16" customHeight="1" x14ac:dyDescent="0.2">
      <c r="A83" t="s">
        <v>262</v>
      </c>
      <c r="B83" s="169" t="s">
        <v>1186</v>
      </c>
      <c r="C83" s="169" t="s">
        <v>262</v>
      </c>
      <c r="D83" s="169" t="s">
        <v>262</v>
      </c>
      <c r="E83" s="169" t="s">
        <v>262</v>
      </c>
    </row>
    <row r="84" spans="1:10" ht="16" customHeight="1" x14ac:dyDescent="0.2">
      <c r="A84" t="s">
        <v>1187</v>
      </c>
      <c r="B84" s="169" t="s">
        <v>1188</v>
      </c>
      <c r="C84" s="169" t="s">
        <v>262</v>
      </c>
      <c r="D84" s="169" t="s">
        <v>262</v>
      </c>
      <c r="E84" s="169" t="s">
        <v>262</v>
      </c>
      <c r="G84" s="129"/>
      <c r="H84" s="129"/>
      <c r="I84" s="129"/>
      <c r="J84" s="129"/>
    </row>
    <row r="85" spans="1:10" ht="16" customHeight="1" x14ac:dyDescent="0.2">
      <c r="A85" t="s">
        <v>262</v>
      </c>
      <c r="B85" s="169" t="s">
        <v>1189</v>
      </c>
      <c r="C85" s="169" t="s">
        <v>262</v>
      </c>
      <c r="D85" s="169" t="s">
        <v>262</v>
      </c>
      <c r="E85" s="169" t="s">
        <v>262</v>
      </c>
    </row>
    <row r="86" spans="1:10" ht="16" customHeight="1" x14ac:dyDescent="0.2">
      <c r="A86" t="s">
        <v>1190</v>
      </c>
      <c r="B86" s="169" t="s">
        <v>1191</v>
      </c>
      <c r="C86" s="169" t="s">
        <v>262</v>
      </c>
      <c r="D86" s="169" t="s">
        <v>262</v>
      </c>
      <c r="E86" s="169" t="s">
        <v>262</v>
      </c>
      <c r="G86" s="129"/>
      <c r="H86" s="129"/>
      <c r="I86" s="129"/>
      <c r="J86" s="129"/>
    </row>
    <row r="87" spans="1:10" ht="16" customHeight="1" x14ac:dyDescent="0.2">
      <c r="A87" t="s">
        <v>262</v>
      </c>
      <c r="B87" s="169" t="s">
        <v>1192</v>
      </c>
      <c r="C87" s="169" t="s">
        <v>262</v>
      </c>
      <c r="D87" s="169" t="s">
        <v>262</v>
      </c>
      <c r="E87" s="169" t="s">
        <v>262</v>
      </c>
    </row>
    <row r="88" spans="1:10" ht="16" customHeight="1" x14ac:dyDescent="0.2">
      <c r="A88" t="s">
        <v>1193</v>
      </c>
      <c r="B88" s="169" t="s">
        <v>1194</v>
      </c>
      <c r="C88" s="169" t="s">
        <v>262</v>
      </c>
      <c r="D88" s="169" t="s">
        <v>262</v>
      </c>
      <c r="E88" s="169" t="s">
        <v>262</v>
      </c>
      <c r="G88" s="129"/>
      <c r="H88" s="129"/>
      <c r="I88" s="129"/>
      <c r="J88" s="129"/>
    </row>
    <row r="89" spans="1:10" ht="16" customHeight="1" x14ac:dyDescent="0.2">
      <c r="A89" t="s">
        <v>262</v>
      </c>
      <c r="B89" s="169" t="s">
        <v>1195</v>
      </c>
      <c r="C89" s="169" t="s">
        <v>262</v>
      </c>
      <c r="D89" s="169" t="s">
        <v>262</v>
      </c>
      <c r="E89" s="169" t="s">
        <v>262</v>
      </c>
    </row>
    <row r="90" spans="1:10" s="129" customFormat="1" ht="16" customHeight="1" x14ac:dyDescent="0.2">
      <c r="A90" t="s">
        <v>1196</v>
      </c>
      <c r="B90" s="169" t="s">
        <v>1197</v>
      </c>
      <c r="C90" s="169" t="s">
        <v>262</v>
      </c>
      <c r="D90" s="169" t="s">
        <v>262</v>
      </c>
      <c r="E90" s="169" t="s">
        <v>262</v>
      </c>
    </row>
    <row r="91" spans="1:10" s="129" customFormat="1" ht="16" customHeight="1" x14ac:dyDescent="0.2">
      <c r="A91" t="s">
        <v>262</v>
      </c>
      <c r="B91" s="169" t="s">
        <v>1198</v>
      </c>
      <c r="C91" s="169" t="s">
        <v>262</v>
      </c>
      <c r="D91" s="169" t="s">
        <v>262</v>
      </c>
      <c r="E91" s="169" t="s">
        <v>262</v>
      </c>
    </row>
    <row r="92" spans="1:10" s="129" customFormat="1" ht="16" customHeight="1" x14ac:dyDescent="0.2">
      <c r="A92" t="s">
        <v>1199</v>
      </c>
      <c r="B92" s="169" t="s">
        <v>1200</v>
      </c>
      <c r="C92" s="169" t="s">
        <v>262</v>
      </c>
      <c r="D92" s="169" t="s">
        <v>262</v>
      </c>
      <c r="E92" s="169" t="s">
        <v>262</v>
      </c>
    </row>
    <row r="93" spans="1:10" s="129" customFormat="1" ht="16" customHeight="1" x14ac:dyDescent="0.2">
      <c r="A93" t="s">
        <v>262</v>
      </c>
      <c r="B93" s="169" t="s">
        <v>1201</v>
      </c>
      <c r="C93" s="169" t="s">
        <v>262</v>
      </c>
      <c r="D93" s="169" t="s">
        <v>262</v>
      </c>
      <c r="E93" s="169" t="s">
        <v>262</v>
      </c>
    </row>
    <row r="94" spans="1:10" s="129" customFormat="1" ht="16" customHeight="1" x14ac:dyDescent="0.2">
      <c r="A94" t="s">
        <v>1202</v>
      </c>
      <c r="B94" s="169" t="s">
        <v>1203</v>
      </c>
      <c r="C94" s="169" t="s">
        <v>262</v>
      </c>
      <c r="D94" s="169" t="s">
        <v>262</v>
      </c>
      <c r="E94" s="169" t="s">
        <v>262</v>
      </c>
    </row>
    <row r="95" spans="1:10" s="129" customFormat="1" ht="16" customHeight="1" x14ac:dyDescent="0.2">
      <c r="A95" t="s">
        <v>262</v>
      </c>
      <c r="B95" s="169" t="s">
        <v>1204</v>
      </c>
      <c r="C95" s="169" t="s">
        <v>262</v>
      </c>
      <c r="D95" s="169" t="s">
        <v>262</v>
      </c>
      <c r="E95" s="169" t="s">
        <v>262</v>
      </c>
    </row>
    <row r="96" spans="1:10" ht="16" customHeight="1" x14ac:dyDescent="0.2">
      <c r="A96" t="s">
        <v>1205</v>
      </c>
      <c r="B96" s="169" t="s">
        <v>1206</v>
      </c>
      <c r="C96" s="169" t="s">
        <v>262</v>
      </c>
      <c r="D96" s="169" t="s">
        <v>262</v>
      </c>
      <c r="E96" s="169" t="s">
        <v>262</v>
      </c>
    </row>
    <row r="97" spans="1:5" s="129" customFormat="1" ht="16" customHeight="1" x14ac:dyDescent="0.2">
      <c r="A97" t="s">
        <v>262</v>
      </c>
      <c r="B97" s="169" t="s">
        <v>1207</v>
      </c>
      <c r="C97" s="169" t="s">
        <v>262</v>
      </c>
      <c r="D97" s="169" t="s">
        <v>262</v>
      </c>
      <c r="E97" s="169" t="s">
        <v>262</v>
      </c>
    </row>
    <row r="98" spans="1:5" ht="16" customHeight="1" x14ac:dyDescent="0.2">
      <c r="A98" t="s">
        <v>1208</v>
      </c>
      <c r="B98" s="169" t="s">
        <v>1209</v>
      </c>
      <c r="C98" s="169" t="s">
        <v>262</v>
      </c>
      <c r="D98" s="169" t="s">
        <v>262</v>
      </c>
      <c r="E98" s="169" t="s">
        <v>262</v>
      </c>
    </row>
    <row r="99" spans="1:5" ht="16" customHeight="1" x14ac:dyDescent="0.2">
      <c r="A99" t="s">
        <v>262</v>
      </c>
      <c r="B99" s="169" t="s">
        <v>1210</v>
      </c>
      <c r="C99" s="169" t="s">
        <v>262</v>
      </c>
      <c r="D99" s="169" t="s">
        <v>262</v>
      </c>
      <c r="E99" s="169" t="s">
        <v>262</v>
      </c>
    </row>
    <row r="100" spans="1:5" ht="16" customHeight="1" x14ac:dyDescent="0.2">
      <c r="A100" t="s">
        <v>1211</v>
      </c>
      <c r="B100" s="169" t="s">
        <v>1212</v>
      </c>
      <c r="C100" s="169" t="s">
        <v>262</v>
      </c>
      <c r="D100" s="169" t="s">
        <v>262</v>
      </c>
      <c r="E100" s="169" t="s">
        <v>262</v>
      </c>
    </row>
    <row r="101" spans="1:5" ht="16" customHeight="1" x14ac:dyDescent="0.2">
      <c r="A101" t="s">
        <v>262</v>
      </c>
      <c r="B101" s="169" t="s">
        <v>1213</v>
      </c>
      <c r="C101" s="169" t="s">
        <v>262</v>
      </c>
      <c r="D101" s="169" t="s">
        <v>262</v>
      </c>
      <c r="E101" s="169" t="s">
        <v>262</v>
      </c>
    </row>
    <row r="102" spans="1:5" ht="16" customHeight="1" x14ac:dyDescent="0.2">
      <c r="A102" t="s">
        <v>1214</v>
      </c>
      <c r="B102" s="169" t="s">
        <v>1215</v>
      </c>
      <c r="C102" s="169" t="s">
        <v>1216</v>
      </c>
      <c r="D102" s="169" t="s">
        <v>262</v>
      </c>
      <c r="E102" s="169" t="s">
        <v>1825</v>
      </c>
    </row>
    <row r="103" spans="1:5" ht="16" customHeight="1" x14ac:dyDescent="0.2">
      <c r="A103" t="s">
        <v>262</v>
      </c>
      <c r="B103" s="169" t="s">
        <v>1217</v>
      </c>
      <c r="C103" s="169" t="s">
        <v>1218</v>
      </c>
      <c r="D103" s="169" t="s">
        <v>262</v>
      </c>
      <c r="E103" s="169" t="s">
        <v>1826</v>
      </c>
    </row>
    <row r="104" spans="1:5" ht="16" customHeight="1" x14ac:dyDescent="0.2">
      <c r="A104" t="s">
        <v>1933</v>
      </c>
      <c r="B104" s="169" t="s">
        <v>1767</v>
      </c>
      <c r="C104" s="169" t="s">
        <v>1775</v>
      </c>
      <c r="D104" s="169" t="s">
        <v>262</v>
      </c>
      <c r="E104" s="169" t="s">
        <v>1827</v>
      </c>
    </row>
    <row r="105" spans="1:5" ht="16" customHeight="1" x14ac:dyDescent="0.2">
      <c r="A105" t="s">
        <v>262</v>
      </c>
      <c r="B105" s="169" t="s">
        <v>1768</v>
      </c>
      <c r="C105" s="169" t="s">
        <v>1776</v>
      </c>
      <c r="D105" s="169" t="s">
        <v>262</v>
      </c>
      <c r="E105" s="169" t="s">
        <v>1828</v>
      </c>
    </row>
    <row r="106" spans="1:5" ht="16" customHeight="1" x14ac:dyDescent="0.2">
      <c r="A106" t="s">
        <v>1219</v>
      </c>
      <c r="B106" s="169" t="s">
        <v>1220</v>
      </c>
      <c r="C106" s="169" t="s">
        <v>1221</v>
      </c>
      <c r="D106" s="169" t="s">
        <v>262</v>
      </c>
      <c r="E106" s="169" t="s">
        <v>1829</v>
      </c>
    </row>
    <row r="107" spans="1:5" ht="16" customHeight="1" x14ac:dyDescent="0.2">
      <c r="A107" t="s">
        <v>262</v>
      </c>
      <c r="B107" s="169" t="s">
        <v>1222</v>
      </c>
      <c r="C107" s="169" t="s">
        <v>1223</v>
      </c>
      <c r="D107" s="169" t="s">
        <v>262</v>
      </c>
      <c r="E107" s="169" t="s">
        <v>1830</v>
      </c>
    </row>
    <row r="108" spans="1:5" ht="16" customHeight="1" x14ac:dyDescent="0.2">
      <c r="A108" t="s">
        <v>1224</v>
      </c>
      <c r="B108" s="169" t="s">
        <v>1225</v>
      </c>
      <c r="C108" s="169" t="s">
        <v>1226</v>
      </c>
      <c r="D108" s="169" t="s">
        <v>262</v>
      </c>
      <c r="E108" s="169" t="s">
        <v>1831</v>
      </c>
    </row>
    <row r="109" spans="1:5" ht="16" customHeight="1" x14ac:dyDescent="0.2">
      <c r="A109" t="s">
        <v>262</v>
      </c>
      <c r="B109" s="169" t="s">
        <v>1227</v>
      </c>
      <c r="C109" s="169" t="s">
        <v>1228</v>
      </c>
      <c r="D109" s="169" t="s">
        <v>262</v>
      </c>
      <c r="E109" s="169" t="s">
        <v>1832</v>
      </c>
    </row>
    <row r="110" spans="1:5" ht="16" customHeight="1" x14ac:dyDescent="0.2">
      <c r="A110" t="s">
        <v>1229</v>
      </c>
      <c r="B110" s="169" t="s">
        <v>1230</v>
      </c>
      <c r="C110" s="169" t="s">
        <v>1231</v>
      </c>
      <c r="D110" s="169" t="s">
        <v>262</v>
      </c>
      <c r="E110" s="169" t="s">
        <v>1833</v>
      </c>
    </row>
    <row r="111" spans="1:5" ht="16" customHeight="1" x14ac:dyDescent="0.2">
      <c r="A111" t="s">
        <v>262</v>
      </c>
      <c r="B111" s="169" t="s">
        <v>1232</v>
      </c>
      <c r="C111" s="169" t="s">
        <v>1233</v>
      </c>
      <c r="D111" s="169" t="s">
        <v>262</v>
      </c>
      <c r="E111" s="169" t="s">
        <v>1834</v>
      </c>
    </row>
    <row r="112" spans="1:5" ht="16" customHeight="1" x14ac:dyDescent="0.2">
      <c r="A112" t="s">
        <v>1234</v>
      </c>
      <c r="B112" s="169" t="s">
        <v>1235</v>
      </c>
      <c r="C112" s="169" t="s">
        <v>1236</v>
      </c>
      <c r="D112" s="169" t="s">
        <v>1238</v>
      </c>
      <c r="E112" s="169" t="s">
        <v>1835</v>
      </c>
    </row>
    <row r="113" spans="1:5" ht="16" customHeight="1" x14ac:dyDescent="0.2">
      <c r="A113" t="s">
        <v>262</v>
      </c>
      <c r="B113" s="169" t="s">
        <v>1239</v>
      </c>
      <c r="C113" s="169" t="s">
        <v>1240</v>
      </c>
      <c r="D113" s="169" t="s">
        <v>1241</v>
      </c>
      <c r="E113" s="169" t="s">
        <v>1836</v>
      </c>
    </row>
    <row r="114" spans="1:5" ht="16" customHeight="1" x14ac:dyDescent="0.2">
      <c r="A114" t="s">
        <v>1242</v>
      </c>
      <c r="B114" s="169" t="s">
        <v>1243</v>
      </c>
      <c r="C114" s="169" t="s">
        <v>1244</v>
      </c>
      <c r="D114" s="169" t="s">
        <v>262</v>
      </c>
      <c r="E114" s="169" t="s">
        <v>1837</v>
      </c>
    </row>
    <row r="115" spans="1:5" ht="16" customHeight="1" x14ac:dyDescent="0.2">
      <c r="A115" t="s">
        <v>262</v>
      </c>
      <c r="B115" s="169" t="s">
        <v>1245</v>
      </c>
      <c r="C115" s="169" t="s">
        <v>1246</v>
      </c>
      <c r="D115" s="169" t="s">
        <v>262</v>
      </c>
      <c r="E115" s="169" t="s">
        <v>1838</v>
      </c>
    </row>
    <row r="116" spans="1:5" ht="16" customHeight="1" x14ac:dyDescent="0.2">
      <c r="A116" t="s">
        <v>1247</v>
      </c>
      <c r="B116" s="169" t="s">
        <v>1248</v>
      </c>
      <c r="C116" s="169" t="s">
        <v>1249</v>
      </c>
      <c r="D116" s="169" t="s">
        <v>262</v>
      </c>
      <c r="E116" s="169" t="s">
        <v>1839</v>
      </c>
    </row>
    <row r="117" spans="1:5" ht="16" customHeight="1" x14ac:dyDescent="0.2">
      <c r="A117" t="s">
        <v>262</v>
      </c>
      <c r="B117" s="169" t="s">
        <v>1250</v>
      </c>
      <c r="C117" s="169" t="s">
        <v>1251</v>
      </c>
      <c r="D117" s="169" t="s">
        <v>262</v>
      </c>
      <c r="E117" s="169" t="s">
        <v>1840</v>
      </c>
    </row>
    <row r="118" spans="1:5" ht="16" customHeight="1" x14ac:dyDescent="0.2">
      <c r="A118" t="s">
        <v>1253</v>
      </c>
      <c r="B118" s="169" t="s">
        <v>1254</v>
      </c>
      <c r="C118" s="169" t="s">
        <v>1255</v>
      </c>
      <c r="D118" s="169" t="s">
        <v>262</v>
      </c>
      <c r="E118" s="169" t="s">
        <v>1841</v>
      </c>
    </row>
    <row r="119" spans="1:5" ht="16" customHeight="1" x14ac:dyDescent="0.2">
      <c r="A119" t="s">
        <v>262</v>
      </c>
      <c r="B119" s="169" t="s">
        <v>1256</v>
      </c>
      <c r="C119" s="169" t="s">
        <v>1257</v>
      </c>
      <c r="D119" s="169" t="s">
        <v>262</v>
      </c>
      <c r="E119" s="169" t="s">
        <v>1779</v>
      </c>
    </row>
    <row r="120" spans="1:5" ht="16" customHeight="1" x14ac:dyDescent="0.2">
      <c r="A120" t="s">
        <v>1258</v>
      </c>
      <c r="B120" s="169" t="s">
        <v>1259</v>
      </c>
      <c r="C120" s="169" t="s">
        <v>1260</v>
      </c>
      <c r="D120" s="169" t="s">
        <v>262</v>
      </c>
      <c r="E120" s="169" t="s">
        <v>1842</v>
      </c>
    </row>
    <row r="121" spans="1:5" ht="16" customHeight="1" x14ac:dyDescent="0.2">
      <c r="A121" t="s">
        <v>262</v>
      </c>
      <c r="B121" s="169" t="s">
        <v>1261</v>
      </c>
      <c r="C121" s="169" t="s">
        <v>1262</v>
      </c>
      <c r="D121" s="169" t="s">
        <v>262</v>
      </c>
      <c r="E121" s="169" t="s">
        <v>1843</v>
      </c>
    </row>
    <row r="122" spans="1:5" ht="16" customHeight="1" x14ac:dyDescent="0.2">
      <c r="A122" t="s">
        <v>1263</v>
      </c>
      <c r="B122" s="169" t="s">
        <v>1264</v>
      </c>
      <c r="C122" s="169" t="s">
        <v>1265</v>
      </c>
      <c r="D122" s="169" t="s">
        <v>1266</v>
      </c>
      <c r="E122" s="169" t="s">
        <v>1237</v>
      </c>
    </row>
    <row r="123" spans="1:5" ht="16" customHeight="1" x14ac:dyDescent="0.2">
      <c r="A123" t="s">
        <v>262</v>
      </c>
      <c r="B123" s="169" t="s">
        <v>1267</v>
      </c>
      <c r="C123" s="169" t="s">
        <v>1268</v>
      </c>
      <c r="D123" s="169" t="s">
        <v>1269</v>
      </c>
      <c r="E123" s="169" t="s">
        <v>1844</v>
      </c>
    </row>
    <row r="124" spans="1:5" ht="16" customHeight="1" x14ac:dyDescent="0.2">
      <c r="A124" t="s">
        <v>1270</v>
      </c>
      <c r="B124" s="169" t="s">
        <v>1271</v>
      </c>
      <c r="C124" s="169" t="s">
        <v>1272</v>
      </c>
      <c r="D124" s="169" t="s">
        <v>262</v>
      </c>
      <c r="E124" s="169" t="s">
        <v>1845</v>
      </c>
    </row>
    <row r="125" spans="1:5" ht="16" customHeight="1" x14ac:dyDescent="0.2">
      <c r="A125" t="s">
        <v>262</v>
      </c>
      <c r="B125" s="169" t="s">
        <v>1273</v>
      </c>
      <c r="C125" s="169" t="s">
        <v>1274</v>
      </c>
      <c r="D125" s="169" t="s">
        <v>262</v>
      </c>
      <c r="E125" s="169" t="s">
        <v>1846</v>
      </c>
    </row>
    <row r="126" spans="1:5" ht="16" customHeight="1" x14ac:dyDescent="0.2">
      <c r="A126" t="s">
        <v>1275</v>
      </c>
      <c r="B126" s="169" t="s">
        <v>1276</v>
      </c>
      <c r="C126" s="169" t="s">
        <v>1277</v>
      </c>
      <c r="D126" s="169" t="s">
        <v>262</v>
      </c>
      <c r="E126" s="169" t="s">
        <v>1847</v>
      </c>
    </row>
    <row r="127" spans="1:5" ht="16" customHeight="1" x14ac:dyDescent="0.2">
      <c r="A127" t="s">
        <v>262</v>
      </c>
      <c r="B127" s="169" t="s">
        <v>1278</v>
      </c>
      <c r="C127" s="169" t="s">
        <v>1279</v>
      </c>
      <c r="D127" s="169" t="s">
        <v>262</v>
      </c>
      <c r="E127" s="169" t="s">
        <v>1848</v>
      </c>
    </row>
    <row r="128" spans="1:5" ht="16" customHeight="1" x14ac:dyDescent="0.2">
      <c r="A128" t="s">
        <v>1280</v>
      </c>
      <c r="B128" s="169" t="s">
        <v>1281</v>
      </c>
      <c r="C128" s="169" t="s">
        <v>1282</v>
      </c>
      <c r="D128" s="169" t="s">
        <v>262</v>
      </c>
      <c r="E128" s="169" t="s">
        <v>1849</v>
      </c>
    </row>
    <row r="129" spans="1:5" ht="16" customHeight="1" x14ac:dyDescent="0.2">
      <c r="A129" t="s">
        <v>262</v>
      </c>
      <c r="B129" s="169" t="s">
        <v>1283</v>
      </c>
      <c r="C129" s="169" t="s">
        <v>1284</v>
      </c>
      <c r="D129" s="169" t="s">
        <v>262</v>
      </c>
      <c r="E129" s="169" t="s">
        <v>1850</v>
      </c>
    </row>
    <row r="130" spans="1:5" ht="16" customHeight="1" x14ac:dyDescent="0.2">
      <c r="A130" t="s">
        <v>1285</v>
      </c>
      <c r="B130" s="169" t="s">
        <v>1286</v>
      </c>
      <c r="C130" s="169" t="s">
        <v>1287</v>
      </c>
      <c r="D130" s="169" t="s">
        <v>262</v>
      </c>
      <c r="E130" s="169" t="s">
        <v>1851</v>
      </c>
    </row>
    <row r="131" spans="1:5" ht="16" customHeight="1" x14ac:dyDescent="0.2">
      <c r="A131" t="s">
        <v>262</v>
      </c>
      <c r="B131" s="169" t="s">
        <v>1288</v>
      </c>
      <c r="C131" s="169" t="s">
        <v>1289</v>
      </c>
      <c r="D131" s="169" t="s">
        <v>262</v>
      </c>
      <c r="E131" s="169" t="s">
        <v>1852</v>
      </c>
    </row>
    <row r="132" spans="1:5" ht="16" customHeight="1" x14ac:dyDescent="0.2">
      <c r="A132" t="s">
        <v>1290</v>
      </c>
      <c r="B132" s="169" t="s">
        <v>1291</v>
      </c>
      <c r="C132" s="169" t="s">
        <v>1292</v>
      </c>
      <c r="D132" s="169" t="s">
        <v>1293</v>
      </c>
      <c r="E132" s="169" t="s">
        <v>1853</v>
      </c>
    </row>
    <row r="133" spans="1:5" ht="16" customHeight="1" x14ac:dyDescent="0.2">
      <c r="A133" t="s">
        <v>262</v>
      </c>
      <c r="B133" s="169" t="s">
        <v>1294</v>
      </c>
      <c r="C133" s="169" t="s">
        <v>1257</v>
      </c>
      <c r="D133" s="169" t="s">
        <v>1295</v>
      </c>
      <c r="E133" s="169" t="s">
        <v>1854</v>
      </c>
    </row>
    <row r="134" spans="1:5" ht="16" customHeight="1" x14ac:dyDescent="0.2">
      <c r="A134" t="s">
        <v>1296</v>
      </c>
      <c r="B134" s="169" t="s">
        <v>1297</v>
      </c>
      <c r="C134" s="169" t="s">
        <v>1298</v>
      </c>
      <c r="D134" s="169" t="s">
        <v>262</v>
      </c>
      <c r="E134" s="169" t="s">
        <v>1855</v>
      </c>
    </row>
    <row r="135" spans="1:5" ht="16" customHeight="1" x14ac:dyDescent="0.2">
      <c r="A135" t="s">
        <v>262</v>
      </c>
      <c r="B135" s="169" t="s">
        <v>1299</v>
      </c>
      <c r="C135" s="169" t="s">
        <v>1300</v>
      </c>
      <c r="D135" s="169" t="s">
        <v>262</v>
      </c>
      <c r="E135" s="169" t="s">
        <v>1856</v>
      </c>
    </row>
    <row r="136" spans="1:5" ht="16" customHeight="1" x14ac:dyDescent="0.2">
      <c r="A136" t="s">
        <v>1302</v>
      </c>
      <c r="B136" s="169" t="s">
        <v>1303</v>
      </c>
      <c r="C136" s="169" t="s">
        <v>1304</v>
      </c>
      <c r="D136" s="169" t="s">
        <v>262</v>
      </c>
      <c r="E136" s="169" t="s">
        <v>1857</v>
      </c>
    </row>
    <row r="137" spans="1:5" ht="16" customHeight="1" x14ac:dyDescent="0.2">
      <c r="A137" t="s">
        <v>262</v>
      </c>
      <c r="B137" s="169" t="s">
        <v>1305</v>
      </c>
      <c r="C137" s="169" t="s">
        <v>1306</v>
      </c>
      <c r="D137" s="169" t="s">
        <v>262</v>
      </c>
      <c r="E137" s="169" t="s">
        <v>1858</v>
      </c>
    </row>
    <row r="138" spans="1:5" ht="16" customHeight="1" x14ac:dyDescent="0.2">
      <c r="A138" t="s">
        <v>1307</v>
      </c>
      <c r="B138" s="169" t="s">
        <v>1308</v>
      </c>
      <c r="C138" s="169" t="s">
        <v>1309</v>
      </c>
      <c r="D138" s="169" t="s">
        <v>262</v>
      </c>
      <c r="E138" s="169" t="s">
        <v>1859</v>
      </c>
    </row>
    <row r="139" spans="1:5" ht="16" customHeight="1" x14ac:dyDescent="0.2">
      <c r="A139" t="s">
        <v>262</v>
      </c>
      <c r="B139" s="169" t="s">
        <v>1310</v>
      </c>
      <c r="C139" s="169" t="s">
        <v>1311</v>
      </c>
      <c r="D139" s="169" t="s">
        <v>262</v>
      </c>
      <c r="E139" s="169" t="s">
        <v>1860</v>
      </c>
    </row>
    <row r="140" spans="1:5" ht="16" customHeight="1" x14ac:dyDescent="0.2">
      <c r="A140" t="s">
        <v>1312</v>
      </c>
      <c r="B140" s="169" t="s">
        <v>1313</v>
      </c>
      <c r="C140" s="169" t="s">
        <v>1314</v>
      </c>
      <c r="D140" s="169" t="s">
        <v>262</v>
      </c>
      <c r="E140" s="169" t="s">
        <v>1861</v>
      </c>
    </row>
    <row r="141" spans="1:5" ht="16" customHeight="1" x14ac:dyDescent="0.2">
      <c r="A141" t="s">
        <v>262</v>
      </c>
      <c r="B141" s="169" t="s">
        <v>1315</v>
      </c>
      <c r="C141" s="169" t="s">
        <v>1316</v>
      </c>
      <c r="D141" s="169" t="s">
        <v>262</v>
      </c>
      <c r="E141" s="169" t="s">
        <v>1217</v>
      </c>
    </row>
    <row r="142" spans="1:5" ht="16" customHeight="1" x14ac:dyDescent="0.2">
      <c r="A142" t="s">
        <v>1317</v>
      </c>
      <c r="B142" s="169" t="s">
        <v>1318</v>
      </c>
      <c r="C142" s="169" t="s">
        <v>1319</v>
      </c>
      <c r="D142" s="169" t="s">
        <v>1320</v>
      </c>
      <c r="E142" s="169" t="s">
        <v>1862</v>
      </c>
    </row>
    <row r="143" spans="1:5" ht="16" customHeight="1" x14ac:dyDescent="0.2">
      <c r="A143" t="s">
        <v>262</v>
      </c>
      <c r="B143" s="169" t="s">
        <v>1306</v>
      </c>
      <c r="C143" s="169" t="s">
        <v>1311</v>
      </c>
      <c r="D143" s="169" t="s">
        <v>1210</v>
      </c>
      <c r="E143" s="169" t="s">
        <v>1863</v>
      </c>
    </row>
    <row r="144" spans="1:5" ht="16" customHeight="1" x14ac:dyDescent="0.2">
      <c r="A144" t="s">
        <v>1322</v>
      </c>
      <c r="B144" s="169" t="s">
        <v>1323</v>
      </c>
      <c r="C144" s="169" t="s">
        <v>1324</v>
      </c>
      <c r="D144" s="169" t="s">
        <v>262</v>
      </c>
      <c r="E144" s="169" t="s">
        <v>1864</v>
      </c>
    </row>
    <row r="145" spans="1:5" ht="16" customHeight="1" x14ac:dyDescent="0.2">
      <c r="A145" t="s">
        <v>262</v>
      </c>
      <c r="B145" s="169" t="s">
        <v>1325</v>
      </c>
      <c r="C145" s="169" t="s">
        <v>1326</v>
      </c>
      <c r="D145" s="169" t="s">
        <v>262</v>
      </c>
      <c r="E145" s="169" t="s">
        <v>1614</v>
      </c>
    </row>
    <row r="146" spans="1:5" ht="16" customHeight="1" x14ac:dyDescent="0.2">
      <c r="A146" t="s">
        <v>1327</v>
      </c>
      <c r="B146" s="169" t="s">
        <v>1328</v>
      </c>
      <c r="C146" s="169" t="s">
        <v>1329</v>
      </c>
      <c r="D146" s="169" t="s">
        <v>262</v>
      </c>
      <c r="E146" s="169" t="s">
        <v>1865</v>
      </c>
    </row>
    <row r="147" spans="1:5" ht="16" customHeight="1" x14ac:dyDescent="0.2">
      <c r="A147" t="s">
        <v>262</v>
      </c>
      <c r="B147" s="169" t="s">
        <v>1330</v>
      </c>
      <c r="C147" s="169" t="s">
        <v>1300</v>
      </c>
      <c r="D147" s="169" t="s">
        <v>262</v>
      </c>
      <c r="E147" s="169" t="s">
        <v>1866</v>
      </c>
    </row>
    <row r="148" spans="1:5" ht="16" customHeight="1" x14ac:dyDescent="0.2">
      <c r="A148" t="s">
        <v>1331</v>
      </c>
      <c r="B148" s="169" t="s">
        <v>1332</v>
      </c>
      <c r="C148" s="169" t="s">
        <v>1333</v>
      </c>
      <c r="D148" s="169" t="s">
        <v>262</v>
      </c>
      <c r="E148" s="169" t="s">
        <v>1867</v>
      </c>
    </row>
    <row r="149" spans="1:5" ht="16" customHeight="1" x14ac:dyDescent="0.2">
      <c r="A149" t="s">
        <v>262</v>
      </c>
      <c r="B149" s="169" t="s">
        <v>1334</v>
      </c>
      <c r="C149" s="169" t="s">
        <v>1335</v>
      </c>
      <c r="D149" s="169" t="s">
        <v>262</v>
      </c>
      <c r="E149" s="169" t="s">
        <v>1868</v>
      </c>
    </row>
    <row r="150" spans="1:5" ht="16" customHeight="1" x14ac:dyDescent="0.2">
      <c r="A150" t="s">
        <v>1336</v>
      </c>
      <c r="B150" s="169" t="s">
        <v>1337</v>
      </c>
      <c r="C150" s="169" t="s">
        <v>1338</v>
      </c>
      <c r="D150" s="169" t="s">
        <v>262</v>
      </c>
      <c r="E150" s="169" t="s">
        <v>1861</v>
      </c>
    </row>
    <row r="151" spans="1:5" ht="16" customHeight="1" x14ac:dyDescent="0.2">
      <c r="A151" t="s">
        <v>262</v>
      </c>
      <c r="B151" s="169" t="s">
        <v>1339</v>
      </c>
      <c r="C151" s="169" t="s">
        <v>1340</v>
      </c>
      <c r="D151" s="169" t="s">
        <v>262</v>
      </c>
      <c r="E151" s="169" t="s">
        <v>1869</v>
      </c>
    </row>
    <row r="152" spans="1:5" ht="16" customHeight="1" x14ac:dyDescent="0.2">
      <c r="A152" t="s">
        <v>1341</v>
      </c>
      <c r="B152" s="169" t="s">
        <v>1342</v>
      </c>
      <c r="C152" s="169" t="s">
        <v>262</v>
      </c>
      <c r="D152" s="169" t="s">
        <v>262</v>
      </c>
      <c r="E152" s="169" t="s">
        <v>262</v>
      </c>
    </row>
    <row r="153" spans="1:5" ht="16" customHeight="1" x14ac:dyDescent="0.2">
      <c r="A153" t="s">
        <v>262</v>
      </c>
      <c r="B153" s="169" t="s">
        <v>1343</v>
      </c>
      <c r="C153" s="169" t="s">
        <v>262</v>
      </c>
      <c r="D153" s="169" t="s">
        <v>262</v>
      </c>
      <c r="E153" s="169" t="s">
        <v>262</v>
      </c>
    </row>
    <row r="154" spans="1:5" ht="16" customHeight="1" x14ac:dyDescent="0.2">
      <c r="A154" t="s">
        <v>1344</v>
      </c>
      <c r="B154" s="169" t="s">
        <v>1345</v>
      </c>
      <c r="C154" s="169" t="s">
        <v>262</v>
      </c>
      <c r="D154" s="169" t="s">
        <v>262</v>
      </c>
      <c r="E154" s="169" t="s">
        <v>262</v>
      </c>
    </row>
    <row r="155" spans="1:5" ht="16" customHeight="1" x14ac:dyDescent="0.2">
      <c r="A155" t="s">
        <v>262</v>
      </c>
      <c r="B155" s="169" t="s">
        <v>1346</v>
      </c>
      <c r="C155" s="169" t="s">
        <v>262</v>
      </c>
      <c r="D155" s="169" t="s">
        <v>262</v>
      </c>
      <c r="E155" s="169" t="s">
        <v>262</v>
      </c>
    </row>
    <row r="156" spans="1:5" ht="16" customHeight="1" x14ac:dyDescent="0.2">
      <c r="A156" t="s">
        <v>1347</v>
      </c>
      <c r="B156" s="169" t="s">
        <v>1348</v>
      </c>
      <c r="C156" s="169" t="s">
        <v>262</v>
      </c>
      <c r="D156" s="169" t="s">
        <v>262</v>
      </c>
      <c r="E156" s="169" t="s">
        <v>262</v>
      </c>
    </row>
    <row r="157" spans="1:5" ht="16" customHeight="1" x14ac:dyDescent="0.2">
      <c r="A157" t="s">
        <v>262</v>
      </c>
      <c r="B157" s="169" t="s">
        <v>1349</v>
      </c>
      <c r="C157" s="169" t="s">
        <v>262</v>
      </c>
      <c r="D157" s="169" t="s">
        <v>262</v>
      </c>
      <c r="E157" s="169" t="s">
        <v>262</v>
      </c>
    </row>
    <row r="158" spans="1:5" ht="16" customHeight="1" x14ac:dyDescent="0.2">
      <c r="A158" t="s">
        <v>1350</v>
      </c>
      <c r="B158" s="169" t="s">
        <v>1351</v>
      </c>
      <c r="C158" s="169" t="s">
        <v>262</v>
      </c>
      <c r="D158" s="169" t="s">
        <v>262</v>
      </c>
      <c r="E158" s="169" t="s">
        <v>262</v>
      </c>
    </row>
    <row r="159" spans="1:5" ht="16" customHeight="1" x14ac:dyDescent="0.2">
      <c r="A159" t="s">
        <v>262</v>
      </c>
      <c r="B159" s="169" t="s">
        <v>1352</v>
      </c>
      <c r="C159" s="169" t="s">
        <v>262</v>
      </c>
      <c r="D159" s="169" t="s">
        <v>262</v>
      </c>
      <c r="E159" s="169" t="s">
        <v>262</v>
      </c>
    </row>
    <row r="160" spans="1:5" ht="16" customHeight="1" x14ac:dyDescent="0.2">
      <c r="A160" t="s">
        <v>1353</v>
      </c>
      <c r="B160" s="169" t="s">
        <v>1354</v>
      </c>
      <c r="C160" s="169" t="s">
        <v>262</v>
      </c>
      <c r="D160" s="169" t="s">
        <v>262</v>
      </c>
      <c r="E160" s="169" t="s">
        <v>262</v>
      </c>
    </row>
    <row r="161" spans="1:5" ht="16" customHeight="1" x14ac:dyDescent="0.2">
      <c r="A161" t="s">
        <v>262</v>
      </c>
      <c r="B161" s="169" t="s">
        <v>1355</v>
      </c>
      <c r="C161" s="169" t="s">
        <v>262</v>
      </c>
      <c r="D161" s="169" t="s">
        <v>262</v>
      </c>
      <c r="E161" s="169" t="s">
        <v>262</v>
      </c>
    </row>
    <row r="162" spans="1:5" ht="16" customHeight="1" x14ac:dyDescent="0.2">
      <c r="A162" t="s">
        <v>1356</v>
      </c>
      <c r="B162" s="169" t="s">
        <v>1357</v>
      </c>
      <c r="C162" s="169" t="s">
        <v>262</v>
      </c>
      <c r="D162" s="169" t="s">
        <v>262</v>
      </c>
      <c r="E162" s="169" t="s">
        <v>262</v>
      </c>
    </row>
    <row r="163" spans="1:5" ht="16" customHeight="1" x14ac:dyDescent="0.2">
      <c r="A163" t="s">
        <v>262</v>
      </c>
      <c r="B163" s="169" t="s">
        <v>1358</v>
      </c>
      <c r="C163" s="169" t="s">
        <v>262</v>
      </c>
      <c r="D163" s="169" t="s">
        <v>262</v>
      </c>
      <c r="E163" s="169" t="s">
        <v>262</v>
      </c>
    </row>
    <row r="164" spans="1:5" ht="16" customHeight="1" x14ac:dyDescent="0.2">
      <c r="A164" t="s">
        <v>1359</v>
      </c>
      <c r="B164" s="169" t="s">
        <v>1360</v>
      </c>
      <c r="C164" s="169" t="s">
        <v>262</v>
      </c>
      <c r="D164" s="169" t="s">
        <v>262</v>
      </c>
      <c r="E164" s="169" t="s">
        <v>262</v>
      </c>
    </row>
    <row r="165" spans="1:5" ht="16" customHeight="1" x14ac:dyDescent="0.2">
      <c r="A165" t="s">
        <v>262</v>
      </c>
      <c r="B165" s="169" t="s">
        <v>1361</v>
      </c>
      <c r="C165" s="169" t="s">
        <v>262</v>
      </c>
      <c r="D165" s="169" t="s">
        <v>262</v>
      </c>
      <c r="E165" s="169" t="s">
        <v>262</v>
      </c>
    </row>
    <row r="166" spans="1:5" ht="16" customHeight="1" x14ac:dyDescent="0.2">
      <c r="A166" t="s">
        <v>1362</v>
      </c>
      <c r="B166" s="169" t="s">
        <v>1363</v>
      </c>
      <c r="C166" s="169" t="s">
        <v>262</v>
      </c>
      <c r="D166" s="169" t="s">
        <v>262</v>
      </c>
      <c r="E166" s="169" t="s">
        <v>262</v>
      </c>
    </row>
    <row r="167" spans="1:5" ht="16" customHeight="1" x14ac:dyDescent="0.2">
      <c r="A167" t="s">
        <v>262</v>
      </c>
      <c r="B167" s="169" t="s">
        <v>1364</v>
      </c>
      <c r="C167" s="169" t="s">
        <v>262</v>
      </c>
      <c r="D167" s="169" t="s">
        <v>262</v>
      </c>
      <c r="E167" s="169" t="s">
        <v>262</v>
      </c>
    </row>
    <row r="168" spans="1:5" ht="16" customHeight="1" x14ac:dyDescent="0.2">
      <c r="A168" t="s">
        <v>1365</v>
      </c>
      <c r="B168" s="169" t="s">
        <v>1366</v>
      </c>
      <c r="C168" s="169" t="s">
        <v>262</v>
      </c>
      <c r="D168" s="169" t="s">
        <v>262</v>
      </c>
      <c r="E168" s="169" t="s">
        <v>262</v>
      </c>
    </row>
    <row r="169" spans="1:5" ht="16" customHeight="1" x14ac:dyDescent="0.2">
      <c r="A169" t="s">
        <v>262</v>
      </c>
      <c r="B169" s="169" t="s">
        <v>1367</v>
      </c>
      <c r="C169" s="169" t="s">
        <v>262</v>
      </c>
      <c r="D169" s="169" t="s">
        <v>262</v>
      </c>
      <c r="E169" s="169" t="s">
        <v>262</v>
      </c>
    </row>
    <row r="170" spans="1:5" ht="16" customHeight="1" x14ac:dyDescent="0.2">
      <c r="A170" t="s">
        <v>1368</v>
      </c>
      <c r="B170" s="169" t="s">
        <v>1369</v>
      </c>
      <c r="C170" s="169" t="s">
        <v>262</v>
      </c>
      <c r="D170" s="169" t="s">
        <v>262</v>
      </c>
      <c r="E170" s="169" t="s">
        <v>262</v>
      </c>
    </row>
    <row r="171" spans="1:5" ht="16" customHeight="1" x14ac:dyDescent="0.2">
      <c r="A171" t="s">
        <v>262</v>
      </c>
      <c r="B171" s="169" t="s">
        <v>1370</v>
      </c>
      <c r="C171" s="169" t="s">
        <v>262</v>
      </c>
      <c r="D171" s="169" t="s">
        <v>262</v>
      </c>
      <c r="E171" s="169" t="s">
        <v>262</v>
      </c>
    </row>
    <row r="172" spans="1:5" ht="16" customHeight="1" x14ac:dyDescent="0.2">
      <c r="A172" t="s">
        <v>1371</v>
      </c>
      <c r="B172" s="169" t="s">
        <v>1372</v>
      </c>
      <c r="C172" s="169" t="s">
        <v>262</v>
      </c>
      <c r="D172" s="169" t="s">
        <v>262</v>
      </c>
      <c r="E172" s="169" t="s">
        <v>262</v>
      </c>
    </row>
    <row r="173" spans="1:5" ht="16" customHeight="1" x14ac:dyDescent="0.2">
      <c r="A173" t="s">
        <v>262</v>
      </c>
      <c r="B173" s="169" t="s">
        <v>1373</v>
      </c>
      <c r="C173" s="169" t="s">
        <v>262</v>
      </c>
      <c r="D173" s="169" t="s">
        <v>262</v>
      </c>
      <c r="E173" s="169" t="s">
        <v>262</v>
      </c>
    </row>
    <row r="174" spans="1:5" ht="16" customHeight="1" x14ac:dyDescent="0.2">
      <c r="A174" t="s">
        <v>1374</v>
      </c>
      <c r="B174" s="169" t="s">
        <v>1375</v>
      </c>
      <c r="C174" s="169" t="s">
        <v>1376</v>
      </c>
      <c r="D174" s="169" t="s">
        <v>262</v>
      </c>
      <c r="E174" s="169" t="s">
        <v>1870</v>
      </c>
    </row>
    <row r="175" spans="1:5" ht="16" customHeight="1" x14ac:dyDescent="0.2">
      <c r="A175" t="s">
        <v>262</v>
      </c>
      <c r="B175" s="169" t="s">
        <v>1326</v>
      </c>
      <c r="C175" s="169" t="s">
        <v>1279</v>
      </c>
      <c r="D175" s="169" t="s">
        <v>262</v>
      </c>
      <c r="E175" s="169" t="s">
        <v>1871</v>
      </c>
    </row>
    <row r="176" spans="1:5" ht="16" customHeight="1" x14ac:dyDescent="0.2">
      <c r="A176" t="s">
        <v>1934</v>
      </c>
      <c r="B176" s="169" t="s">
        <v>1769</v>
      </c>
      <c r="C176" s="169" t="s">
        <v>1777</v>
      </c>
      <c r="D176" s="169" t="s">
        <v>262</v>
      </c>
      <c r="E176" s="169" t="s">
        <v>1872</v>
      </c>
    </row>
    <row r="177" spans="1:5" ht="16" customHeight="1" x14ac:dyDescent="0.2">
      <c r="A177" t="s">
        <v>262</v>
      </c>
      <c r="B177" s="169" t="s">
        <v>1770</v>
      </c>
      <c r="C177" s="169" t="s">
        <v>1520</v>
      </c>
      <c r="D177" s="169" t="s">
        <v>262</v>
      </c>
      <c r="E177" s="169" t="s">
        <v>1325</v>
      </c>
    </row>
    <row r="178" spans="1:5" ht="16" customHeight="1" x14ac:dyDescent="0.2">
      <c r="A178" t="s">
        <v>1377</v>
      </c>
      <c r="B178" s="169" t="s">
        <v>1378</v>
      </c>
      <c r="C178" s="169" t="s">
        <v>1379</v>
      </c>
      <c r="D178" s="169" t="s">
        <v>262</v>
      </c>
      <c r="E178" s="169" t="s">
        <v>1873</v>
      </c>
    </row>
    <row r="179" spans="1:5" ht="16" customHeight="1" x14ac:dyDescent="0.2">
      <c r="A179" t="s">
        <v>262</v>
      </c>
      <c r="B179" s="169" t="s">
        <v>1370</v>
      </c>
      <c r="C179" s="169" t="s">
        <v>1380</v>
      </c>
      <c r="D179" s="169" t="s">
        <v>262</v>
      </c>
      <c r="E179" s="169" t="s">
        <v>1267</v>
      </c>
    </row>
    <row r="180" spans="1:5" ht="16" customHeight="1" x14ac:dyDescent="0.2">
      <c r="A180" t="s">
        <v>1381</v>
      </c>
      <c r="B180" s="169" t="s">
        <v>1382</v>
      </c>
      <c r="C180" s="169" t="s">
        <v>1383</v>
      </c>
      <c r="D180" s="169" t="s">
        <v>262</v>
      </c>
      <c r="E180" s="169" t="s">
        <v>1874</v>
      </c>
    </row>
    <row r="181" spans="1:5" ht="16" customHeight="1" x14ac:dyDescent="0.2">
      <c r="A181" t="s">
        <v>262</v>
      </c>
      <c r="B181" s="169" t="s">
        <v>1384</v>
      </c>
      <c r="C181" s="169" t="s">
        <v>1385</v>
      </c>
      <c r="D181" s="169" t="s">
        <v>262</v>
      </c>
      <c r="E181" s="169" t="s">
        <v>1875</v>
      </c>
    </row>
    <row r="182" spans="1:5" ht="16" customHeight="1" x14ac:dyDescent="0.2">
      <c r="A182" t="s">
        <v>1386</v>
      </c>
      <c r="B182" s="169" t="s">
        <v>1387</v>
      </c>
      <c r="C182" s="169" t="s">
        <v>1388</v>
      </c>
      <c r="D182" s="169" t="s">
        <v>262</v>
      </c>
      <c r="E182" s="169" t="s">
        <v>1876</v>
      </c>
    </row>
    <row r="183" spans="1:5" ht="16" customHeight="1" x14ac:dyDescent="0.2">
      <c r="A183" t="s">
        <v>262</v>
      </c>
      <c r="B183" s="169" t="s">
        <v>1390</v>
      </c>
      <c r="C183" s="169" t="s">
        <v>1391</v>
      </c>
      <c r="D183" s="169" t="s">
        <v>262</v>
      </c>
      <c r="E183" s="169" t="s">
        <v>1267</v>
      </c>
    </row>
    <row r="184" spans="1:5" ht="16" customHeight="1" x14ac:dyDescent="0.2">
      <c r="A184" t="s">
        <v>1392</v>
      </c>
      <c r="B184" s="169" t="s">
        <v>1393</v>
      </c>
      <c r="C184" s="169" t="s">
        <v>1394</v>
      </c>
      <c r="D184" s="169" t="s">
        <v>262</v>
      </c>
      <c r="E184" s="169" t="s">
        <v>1877</v>
      </c>
    </row>
    <row r="185" spans="1:5" ht="16" customHeight="1" x14ac:dyDescent="0.2">
      <c r="A185" t="s">
        <v>262</v>
      </c>
      <c r="B185" s="169" t="s">
        <v>1395</v>
      </c>
      <c r="C185" s="169" t="s">
        <v>1396</v>
      </c>
      <c r="D185" s="169" t="s">
        <v>262</v>
      </c>
      <c r="E185" s="169" t="s">
        <v>1334</v>
      </c>
    </row>
    <row r="186" spans="1:5" ht="16" customHeight="1" x14ac:dyDescent="0.2">
      <c r="A186" t="s">
        <v>1397</v>
      </c>
      <c r="B186" s="169" t="s">
        <v>1398</v>
      </c>
      <c r="C186" s="169" t="s">
        <v>1399</v>
      </c>
      <c r="D186" s="169" t="s">
        <v>262</v>
      </c>
      <c r="E186" s="169" t="s">
        <v>1878</v>
      </c>
    </row>
    <row r="187" spans="1:5" ht="16" customHeight="1" x14ac:dyDescent="0.2">
      <c r="A187" t="s">
        <v>262</v>
      </c>
      <c r="B187" s="169" t="s">
        <v>1400</v>
      </c>
      <c r="C187" s="169" t="s">
        <v>1133</v>
      </c>
      <c r="D187" s="169" t="s">
        <v>262</v>
      </c>
      <c r="E187" s="169" t="s">
        <v>1879</v>
      </c>
    </row>
    <row r="188" spans="1:5" ht="16" customHeight="1" x14ac:dyDescent="0.2">
      <c r="A188" t="s">
        <v>1401</v>
      </c>
      <c r="B188" s="169" t="s">
        <v>1402</v>
      </c>
      <c r="C188" s="169" t="s">
        <v>1403</v>
      </c>
      <c r="D188" s="169" t="s">
        <v>262</v>
      </c>
      <c r="E188" s="169" t="s">
        <v>1880</v>
      </c>
    </row>
    <row r="189" spans="1:5" ht="16" customHeight="1" x14ac:dyDescent="0.2">
      <c r="A189" t="s">
        <v>262</v>
      </c>
      <c r="B189" s="169" t="s">
        <v>1404</v>
      </c>
      <c r="C189" s="169" t="s">
        <v>1405</v>
      </c>
      <c r="D189" s="169" t="s">
        <v>262</v>
      </c>
      <c r="E189" s="169" t="s">
        <v>1418</v>
      </c>
    </row>
    <row r="190" spans="1:5" ht="16" customHeight="1" x14ac:dyDescent="0.2">
      <c r="A190" t="s">
        <v>1406</v>
      </c>
      <c r="B190" s="169" t="s">
        <v>1407</v>
      </c>
      <c r="C190" s="169" t="s">
        <v>1408</v>
      </c>
      <c r="D190" s="169" t="s">
        <v>262</v>
      </c>
      <c r="E190" s="169" t="s">
        <v>1518</v>
      </c>
    </row>
    <row r="191" spans="1:5" ht="16" customHeight="1" x14ac:dyDescent="0.2">
      <c r="A191" t="s">
        <v>262</v>
      </c>
      <c r="B191" s="169" t="s">
        <v>1409</v>
      </c>
      <c r="C191" s="169" t="s">
        <v>1390</v>
      </c>
      <c r="D191" s="169" t="s">
        <v>262</v>
      </c>
      <c r="E191" s="169" t="s">
        <v>1405</v>
      </c>
    </row>
    <row r="192" spans="1:5" ht="16" customHeight="1" x14ac:dyDescent="0.2">
      <c r="A192" t="s">
        <v>1411</v>
      </c>
      <c r="B192" s="169" t="s">
        <v>1412</v>
      </c>
      <c r="C192" s="169" t="s">
        <v>1413</v>
      </c>
      <c r="D192" s="169" t="s">
        <v>262</v>
      </c>
      <c r="E192" s="169" t="s">
        <v>1881</v>
      </c>
    </row>
    <row r="193" spans="1:5" ht="16" customHeight="1" x14ac:dyDescent="0.2">
      <c r="A193" t="s">
        <v>262</v>
      </c>
      <c r="B193" s="169" t="s">
        <v>1414</v>
      </c>
      <c r="C193" s="169" t="s">
        <v>1133</v>
      </c>
      <c r="D193" s="169" t="s">
        <v>262</v>
      </c>
      <c r="E193" s="169" t="s">
        <v>1882</v>
      </c>
    </row>
    <row r="194" spans="1:5" ht="16" customHeight="1" x14ac:dyDescent="0.2">
      <c r="A194" t="s">
        <v>1415</v>
      </c>
      <c r="B194" s="169" t="s">
        <v>1416</v>
      </c>
      <c r="C194" s="169" t="s">
        <v>1372</v>
      </c>
      <c r="D194" s="169" t="s">
        <v>262</v>
      </c>
      <c r="E194" s="169" t="s">
        <v>1883</v>
      </c>
    </row>
    <row r="195" spans="1:5" ht="16" customHeight="1" x14ac:dyDescent="0.2">
      <c r="A195" t="s">
        <v>262</v>
      </c>
      <c r="B195" s="169" t="s">
        <v>1417</v>
      </c>
      <c r="C195" s="169" t="s">
        <v>1418</v>
      </c>
      <c r="D195" s="169" t="s">
        <v>262</v>
      </c>
      <c r="E195" s="169" t="s">
        <v>1410</v>
      </c>
    </row>
    <row r="196" spans="1:5" ht="16" customHeight="1" x14ac:dyDescent="0.2">
      <c r="A196" t="s">
        <v>1419</v>
      </c>
      <c r="B196" s="169" t="s">
        <v>1420</v>
      </c>
      <c r="C196" s="169" t="s">
        <v>1421</v>
      </c>
      <c r="D196" s="169" t="s">
        <v>262</v>
      </c>
      <c r="E196" s="169" t="s">
        <v>1884</v>
      </c>
    </row>
    <row r="197" spans="1:5" ht="16" customHeight="1" x14ac:dyDescent="0.2">
      <c r="A197" t="s">
        <v>262</v>
      </c>
      <c r="B197" s="169" t="s">
        <v>1422</v>
      </c>
      <c r="C197" s="169" t="s">
        <v>1273</v>
      </c>
      <c r="D197" s="169" t="s">
        <v>262</v>
      </c>
      <c r="E197" s="169" t="s">
        <v>1431</v>
      </c>
    </row>
    <row r="198" spans="1:5" ht="16" customHeight="1" x14ac:dyDescent="0.2">
      <c r="A198" t="s">
        <v>1423</v>
      </c>
      <c r="B198" s="169" t="s">
        <v>1424</v>
      </c>
      <c r="C198" s="169" t="s">
        <v>1425</v>
      </c>
      <c r="D198" s="169" t="s">
        <v>262</v>
      </c>
      <c r="E198" s="169" t="s">
        <v>1885</v>
      </c>
    </row>
    <row r="199" spans="1:5" ht="16" customHeight="1" x14ac:dyDescent="0.2">
      <c r="A199" t="s">
        <v>262</v>
      </c>
      <c r="B199" s="169" t="s">
        <v>1426</v>
      </c>
      <c r="C199" s="169" t="s">
        <v>1273</v>
      </c>
      <c r="D199" s="169" t="s">
        <v>262</v>
      </c>
      <c r="E199" s="169" t="s">
        <v>1886</v>
      </c>
    </row>
    <row r="200" spans="1:5" ht="16" customHeight="1" x14ac:dyDescent="0.2">
      <c r="A200" t="s">
        <v>1427</v>
      </c>
      <c r="B200" s="169" t="s">
        <v>1428</v>
      </c>
      <c r="C200" s="169" t="s">
        <v>1429</v>
      </c>
      <c r="D200" s="169" t="s">
        <v>262</v>
      </c>
      <c r="E200" s="169" t="s">
        <v>1887</v>
      </c>
    </row>
    <row r="201" spans="1:5" ht="16" customHeight="1" x14ac:dyDescent="0.2">
      <c r="A201" t="s">
        <v>262</v>
      </c>
      <c r="B201" s="169" t="s">
        <v>1430</v>
      </c>
      <c r="C201" s="169" t="s">
        <v>1316</v>
      </c>
      <c r="D201" s="169" t="s">
        <v>262</v>
      </c>
      <c r="E201" s="169" t="s">
        <v>1431</v>
      </c>
    </row>
    <row r="202" spans="1:5" ht="16" customHeight="1" x14ac:dyDescent="0.2">
      <c r="A202" t="s">
        <v>1432</v>
      </c>
      <c r="B202" s="169" t="s">
        <v>1433</v>
      </c>
      <c r="C202" s="169" t="s">
        <v>1434</v>
      </c>
      <c r="D202" s="169" t="s">
        <v>262</v>
      </c>
      <c r="E202" s="169" t="s">
        <v>1888</v>
      </c>
    </row>
    <row r="203" spans="1:5" ht="16" customHeight="1" x14ac:dyDescent="0.2">
      <c r="A203" t="s">
        <v>262</v>
      </c>
      <c r="B203" s="169" t="s">
        <v>1435</v>
      </c>
      <c r="C203" s="169" t="s">
        <v>1436</v>
      </c>
      <c r="D203" s="169" t="s">
        <v>262</v>
      </c>
      <c r="E203" s="169" t="s">
        <v>1334</v>
      </c>
    </row>
    <row r="204" spans="1:5" ht="16" customHeight="1" x14ac:dyDescent="0.2">
      <c r="A204" t="s">
        <v>1438</v>
      </c>
      <c r="B204" s="169" t="s">
        <v>1439</v>
      </c>
      <c r="C204" s="169" t="s">
        <v>1440</v>
      </c>
      <c r="D204" s="169" t="s">
        <v>262</v>
      </c>
      <c r="E204" s="169" t="s">
        <v>1889</v>
      </c>
    </row>
    <row r="205" spans="1:5" ht="16" customHeight="1" x14ac:dyDescent="0.2">
      <c r="A205" t="s">
        <v>262</v>
      </c>
      <c r="B205" s="169" t="s">
        <v>1441</v>
      </c>
      <c r="C205" s="169" t="s">
        <v>1437</v>
      </c>
      <c r="D205" s="169" t="s">
        <v>262</v>
      </c>
      <c r="E205" s="169" t="s">
        <v>1451</v>
      </c>
    </row>
    <row r="206" spans="1:5" ht="16" customHeight="1" x14ac:dyDescent="0.2">
      <c r="A206" t="s">
        <v>1442</v>
      </c>
      <c r="B206" s="169" t="s">
        <v>1443</v>
      </c>
      <c r="C206" s="169" t="s">
        <v>1444</v>
      </c>
      <c r="D206" s="169" t="s">
        <v>262</v>
      </c>
      <c r="E206" s="169" t="s">
        <v>1890</v>
      </c>
    </row>
    <row r="207" spans="1:5" ht="16" customHeight="1" x14ac:dyDescent="0.2">
      <c r="A207" t="s">
        <v>262</v>
      </c>
      <c r="B207" s="169" t="s">
        <v>1445</v>
      </c>
      <c r="C207" s="169" t="s">
        <v>1446</v>
      </c>
      <c r="D207" s="169" t="s">
        <v>262</v>
      </c>
      <c r="E207" s="169" t="s">
        <v>1431</v>
      </c>
    </row>
    <row r="208" spans="1:5" ht="16" customHeight="1" x14ac:dyDescent="0.2">
      <c r="A208" t="s">
        <v>1447</v>
      </c>
      <c r="B208" s="169" t="s">
        <v>1448</v>
      </c>
      <c r="C208" s="169" t="s">
        <v>1449</v>
      </c>
      <c r="D208" s="169" t="s">
        <v>262</v>
      </c>
      <c r="E208" s="169" t="s">
        <v>1891</v>
      </c>
    </row>
    <row r="209" spans="1:5" ht="16" customHeight="1" x14ac:dyDescent="0.2">
      <c r="A209" t="s">
        <v>262</v>
      </c>
      <c r="B209" s="169" t="s">
        <v>1450</v>
      </c>
      <c r="C209" s="169" t="s">
        <v>1051</v>
      </c>
      <c r="D209" s="169" t="s">
        <v>262</v>
      </c>
      <c r="E209" s="169" t="s">
        <v>1385</v>
      </c>
    </row>
    <row r="210" spans="1:5" ht="16" customHeight="1" x14ac:dyDescent="0.2">
      <c r="A210" t="s">
        <v>1452</v>
      </c>
      <c r="B210" s="169" t="s">
        <v>1453</v>
      </c>
      <c r="C210" s="169" t="s">
        <v>1454</v>
      </c>
      <c r="D210" s="169" t="s">
        <v>262</v>
      </c>
      <c r="E210" s="169" t="s">
        <v>1522</v>
      </c>
    </row>
    <row r="211" spans="1:5" ht="16" customHeight="1" x14ac:dyDescent="0.2">
      <c r="A211" t="s">
        <v>262</v>
      </c>
      <c r="B211" s="169" t="s">
        <v>1445</v>
      </c>
      <c r="C211" s="169" t="s">
        <v>1455</v>
      </c>
      <c r="D211" s="169" t="s">
        <v>262</v>
      </c>
      <c r="E211" s="169" t="s">
        <v>1159</v>
      </c>
    </row>
    <row r="212" spans="1:5" ht="16" customHeight="1" x14ac:dyDescent="0.2">
      <c r="A212" t="s">
        <v>1456</v>
      </c>
      <c r="B212" s="169" t="s">
        <v>1457</v>
      </c>
      <c r="C212" s="169" t="s">
        <v>1458</v>
      </c>
      <c r="D212" s="169" t="s">
        <v>262</v>
      </c>
      <c r="E212" s="169" t="s">
        <v>1615</v>
      </c>
    </row>
    <row r="213" spans="1:5" ht="16" customHeight="1" x14ac:dyDescent="0.2">
      <c r="A213" t="s">
        <v>262</v>
      </c>
      <c r="B213" s="169" t="s">
        <v>1441</v>
      </c>
      <c r="C213" s="169" t="s">
        <v>1459</v>
      </c>
      <c r="D213" s="169" t="s">
        <v>262</v>
      </c>
      <c r="E213" s="169" t="s">
        <v>1311</v>
      </c>
    </row>
    <row r="214" spans="1:5" ht="16" customHeight="1" x14ac:dyDescent="0.2">
      <c r="A214" t="s">
        <v>1460</v>
      </c>
      <c r="B214" s="169" t="s">
        <v>1461</v>
      </c>
      <c r="C214" s="169" t="s">
        <v>1462</v>
      </c>
      <c r="D214" s="169" t="s">
        <v>262</v>
      </c>
      <c r="E214" s="169" t="s">
        <v>1892</v>
      </c>
    </row>
    <row r="215" spans="1:5" ht="16" customHeight="1" x14ac:dyDescent="0.2">
      <c r="A215" t="s">
        <v>262</v>
      </c>
      <c r="B215" s="169" t="s">
        <v>1464</v>
      </c>
      <c r="C215" s="169" t="s">
        <v>1294</v>
      </c>
      <c r="D215" s="169" t="s">
        <v>262</v>
      </c>
      <c r="E215" s="169" t="s">
        <v>1385</v>
      </c>
    </row>
    <row r="216" spans="1:5" ht="16" customHeight="1" x14ac:dyDescent="0.2">
      <c r="A216" t="s">
        <v>1465</v>
      </c>
      <c r="B216" s="169" t="s">
        <v>1466</v>
      </c>
      <c r="C216" s="169" t="s">
        <v>1467</v>
      </c>
      <c r="D216" s="169" t="s">
        <v>262</v>
      </c>
      <c r="E216" s="169" t="s">
        <v>1893</v>
      </c>
    </row>
    <row r="217" spans="1:5" ht="16" customHeight="1" x14ac:dyDescent="0.2">
      <c r="A217" t="s">
        <v>262</v>
      </c>
      <c r="B217" s="169" t="s">
        <v>1459</v>
      </c>
      <c r="C217" s="169" t="s">
        <v>1358</v>
      </c>
      <c r="D217" s="169" t="s">
        <v>262</v>
      </c>
      <c r="E217" s="169" t="s">
        <v>1311</v>
      </c>
    </row>
    <row r="218" spans="1:5" ht="16" customHeight="1" x14ac:dyDescent="0.2">
      <c r="A218" t="s">
        <v>1469</v>
      </c>
      <c r="B218" s="169" t="s">
        <v>1470</v>
      </c>
      <c r="C218" s="169" t="s">
        <v>1471</v>
      </c>
      <c r="D218" s="169" t="s">
        <v>262</v>
      </c>
      <c r="E218" s="169" t="s">
        <v>1894</v>
      </c>
    </row>
    <row r="219" spans="1:5" ht="16" customHeight="1" x14ac:dyDescent="0.2">
      <c r="A219" t="s">
        <v>262</v>
      </c>
      <c r="B219" s="169" t="s">
        <v>1472</v>
      </c>
      <c r="C219" s="169" t="s">
        <v>1273</v>
      </c>
      <c r="D219" s="169" t="s">
        <v>262</v>
      </c>
      <c r="E219" s="169" t="s">
        <v>1882</v>
      </c>
    </row>
    <row r="220" spans="1:5" ht="16" customHeight="1" x14ac:dyDescent="0.2">
      <c r="A220" t="s">
        <v>1473</v>
      </c>
      <c r="B220" s="169" t="s">
        <v>1474</v>
      </c>
      <c r="C220" s="169" t="s">
        <v>1475</v>
      </c>
      <c r="D220" s="169" t="s">
        <v>262</v>
      </c>
      <c r="E220" s="169" t="s">
        <v>1895</v>
      </c>
    </row>
    <row r="221" spans="1:5" ht="16" customHeight="1" x14ac:dyDescent="0.2">
      <c r="A221" t="s">
        <v>262</v>
      </c>
      <c r="B221" s="169" t="s">
        <v>1476</v>
      </c>
      <c r="C221" s="169" t="s">
        <v>1477</v>
      </c>
      <c r="D221" s="169" t="s">
        <v>262</v>
      </c>
      <c r="E221" s="169" t="s">
        <v>1334</v>
      </c>
    </row>
    <row r="222" spans="1:5" ht="16" customHeight="1" x14ac:dyDescent="0.2">
      <c r="A222" t="s">
        <v>1478</v>
      </c>
      <c r="B222" s="169" t="s">
        <v>1479</v>
      </c>
      <c r="C222" s="169" t="s">
        <v>1480</v>
      </c>
      <c r="D222" s="169" t="s">
        <v>262</v>
      </c>
      <c r="E222" s="169" t="s">
        <v>1891</v>
      </c>
    </row>
    <row r="223" spans="1:5" ht="16" customHeight="1" x14ac:dyDescent="0.2">
      <c r="A223" t="s">
        <v>262</v>
      </c>
      <c r="B223" s="169" t="s">
        <v>1064</v>
      </c>
      <c r="C223" s="169" t="s">
        <v>1481</v>
      </c>
      <c r="D223" s="169" t="s">
        <v>262</v>
      </c>
      <c r="E223" s="169" t="s">
        <v>1311</v>
      </c>
    </row>
    <row r="224" spans="1:5" ht="16" customHeight="1" x14ac:dyDescent="0.2">
      <c r="A224" t="s">
        <v>1482</v>
      </c>
      <c r="B224" s="169" t="s">
        <v>1483</v>
      </c>
      <c r="C224" s="169" t="s">
        <v>262</v>
      </c>
      <c r="D224" s="169" t="s">
        <v>262</v>
      </c>
      <c r="E224" s="169" t="s">
        <v>262</v>
      </c>
    </row>
    <row r="225" spans="1:5" ht="16" customHeight="1" x14ac:dyDescent="0.2">
      <c r="A225" t="s">
        <v>262</v>
      </c>
      <c r="B225" s="169" t="s">
        <v>1484</v>
      </c>
      <c r="C225" s="169" t="s">
        <v>262</v>
      </c>
      <c r="D225" s="169" t="s">
        <v>262</v>
      </c>
      <c r="E225" s="169" t="s">
        <v>262</v>
      </c>
    </row>
    <row r="226" spans="1:5" ht="16" customHeight="1" x14ac:dyDescent="0.2">
      <c r="A226" t="s">
        <v>1485</v>
      </c>
      <c r="B226" s="169" t="s">
        <v>1486</v>
      </c>
      <c r="C226" s="169" t="s">
        <v>262</v>
      </c>
      <c r="D226" s="169" t="s">
        <v>262</v>
      </c>
      <c r="E226" s="169" t="s">
        <v>262</v>
      </c>
    </row>
    <row r="227" spans="1:5" ht="16" customHeight="1" x14ac:dyDescent="0.2">
      <c r="A227" t="s">
        <v>262</v>
      </c>
      <c r="B227" s="169" t="s">
        <v>1487</v>
      </c>
      <c r="C227" s="169" t="s">
        <v>262</v>
      </c>
      <c r="D227" s="169" t="s">
        <v>262</v>
      </c>
      <c r="E227" s="169" t="s">
        <v>262</v>
      </c>
    </row>
    <row r="228" spans="1:5" ht="16" customHeight="1" x14ac:dyDescent="0.2">
      <c r="A228" t="s">
        <v>1488</v>
      </c>
      <c r="B228" s="169" t="s">
        <v>1489</v>
      </c>
      <c r="C228" s="169" t="s">
        <v>262</v>
      </c>
      <c r="D228" s="169" t="s">
        <v>262</v>
      </c>
      <c r="E228" s="169" t="s">
        <v>262</v>
      </c>
    </row>
    <row r="229" spans="1:5" ht="16" customHeight="1" x14ac:dyDescent="0.2">
      <c r="A229" t="s">
        <v>262</v>
      </c>
      <c r="B229" s="169" t="s">
        <v>1490</v>
      </c>
      <c r="C229" s="169" t="s">
        <v>262</v>
      </c>
      <c r="D229" s="169" t="s">
        <v>262</v>
      </c>
      <c r="E229" s="169" t="s">
        <v>262</v>
      </c>
    </row>
    <row r="230" spans="1:5" ht="16" customHeight="1" x14ac:dyDescent="0.2">
      <c r="A230" t="s">
        <v>1491</v>
      </c>
      <c r="B230" s="169" t="s">
        <v>1492</v>
      </c>
      <c r="C230" s="169" t="s">
        <v>262</v>
      </c>
      <c r="D230" s="169" t="s">
        <v>262</v>
      </c>
      <c r="E230" s="169" t="s">
        <v>262</v>
      </c>
    </row>
    <row r="231" spans="1:5" ht="16" customHeight="1" x14ac:dyDescent="0.2">
      <c r="A231" t="s">
        <v>262</v>
      </c>
      <c r="B231" s="169" t="s">
        <v>1493</v>
      </c>
      <c r="C231" s="169" t="s">
        <v>262</v>
      </c>
      <c r="D231" s="169" t="s">
        <v>262</v>
      </c>
      <c r="E231" s="169" t="s">
        <v>262</v>
      </c>
    </row>
    <row r="232" spans="1:5" ht="16" customHeight="1" x14ac:dyDescent="0.2">
      <c r="A232" t="s">
        <v>1494</v>
      </c>
      <c r="B232" s="169" t="s">
        <v>1495</v>
      </c>
      <c r="C232" s="169" t="s">
        <v>262</v>
      </c>
      <c r="D232" s="169" t="s">
        <v>262</v>
      </c>
      <c r="E232" s="169" t="s">
        <v>262</v>
      </c>
    </row>
    <row r="233" spans="1:5" ht="16" customHeight="1" x14ac:dyDescent="0.2">
      <c r="A233" t="s">
        <v>262</v>
      </c>
      <c r="B233" s="169" t="s">
        <v>1257</v>
      </c>
      <c r="C233" s="169" t="s">
        <v>262</v>
      </c>
      <c r="D233" s="169" t="s">
        <v>262</v>
      </c>
      <c r="E233" s="169" t="s">
        <v>262</v>
      </c>
    </row>
    <row r="234" spans="1:5" ht="16" customHeight="1" x14ac:dyDescent="0.2">
      <c r="A234" t="s">
        <v>1496</v>
      </c>
      <c r="B234" s="169" t="s">
        <v>1497</v>
      </c>
      <c r="C234" s="169" t="s">
        <v>262</v>
      </c>
      <c r="D234" s="169" t="s">
        <v>262</v>
      </c>
      <c r="E234" s="169" t="s">
        <v>262</v>
      </c>
    </row>
    <row r="235" spans="1:5" ht="16" customHeight="1" x14ac:dyDescent="0.2">
      <c r="A235" t="s">
        <v>262</v>
      </c>
      <c r="B235" s="169" t="s">
        <v>1321</v>
      </c>
      <c r="C235" s="169" t="s">
        <v>262</v>
      </c>
      <c r="D235" s="169" t="s">
        <v>262</v>
      </c>
      <c r="E235" s="169" t="s">
        <v>262</v>
      </c>
    </row>
    <row r="236" spans="1:5" ht="16" customHeight="1" x14ac:dyDescent="0.2">
      <c r="A236" t="s">
        <v>1498</v>
      </c>
      <c r="B236" s="169" t="s">
        <v>1499</v>
      </c>
      <c r="C236" s="169" t="s">
        <v>262</v>
      </c>
      <c r="D236" s="169" t="s">
        <v>262</v>
      </c>
      <c r="E236" s="169" t="s">
        <v>262</v>
      </c>
    </row>
    <row r="237" spans="1:5" ht="16" customHeight="1" x14ac:dyDescent="0.2">
      <c r="A237" t="s">
        <v>262</v>
      </c>
      <c r="B237" s="169" t="s">
        <v>1262</v>
      </c>
      <c r="C237" s="169" t="s">
        <v>262</v>
      </c>
      <c r="D237" s="169" t="s">
        <v>262</v>
      </c>
      <c r="E237" s="169" t="s">
        <v>262</v>
      </c>
    </row>
    <row r="238" spans="1:5" ht="16" customHeight="1" x14ac:dyDescent="0.2">
      <c r="A238" t="s">
        <v>1500</v>
      </c>
      <c r="B238" s="169" t="s">
        <v>1501</v>
      </c>
      <c r="C238" s="169" t="s">
        <v>262</v>
      </c>
      <c r="D238" s="169" t="s">
        <v>262</v>
      </c>
      <c r="E238" s="169" t="s">
        <v>262</v>
      </c>
    </row>
    <row r="239" spans="1:5" ht="16" customHeight="1" x14ac:dyDescent="0.2">
      <c r="A239" t="s">
        <v>262</v>
      </c>
      <c r="B239" s="169" t="s">
        <v>1502</v>
      </c>
      <c r="C239" s="169" t="s">
        <v>262</v>
      </c>
      <c r="D239" s="169" t="s">
        <v>262</v>
      </c>
      <c r="E239" s="169" t="s">
        <v>262</v>
      </c>
    </row>
    <row r="240" spans="1:5" ht="16" customHeight="1" x14ac:dyDescent="0.2">
      <c r="A240" t="s">
        <v>1503</v>
      </c>
      <c r="B240" s="169" t="s">
        <v>1504</v>
      </c>
      <c r="C240" s="169" t="s">
        <v>262</v>
      </c>
      <c r="D240" s="169" t="s">
        <v>262</v>
      </c>
      <c r="E240" s="169" t="s">
        <v>262</v>
      </c>
    </row>
    <row r="241" spans="1:5" ht="16" customHeight="1" x14ac:dyDescent="0.2">
      <c r="A241" t="s">
        <v>262</v>
      </c>
      <c r="B241" s="169" t="s">
        <v>1252</v>
      </c>
      <c r="C241" s="169" t="s">
        <v>262</v>
      </c>
      <c r="D241" s="169" t="s">
        <v>262</v>
      </c>
      <c r="E241" s="169" t="s">
        <v>262</v>
      </c>
    </row>
    <row r="242" spans="1:5" ht="16" customHeight="1" x14ac:dyDescent="0.2">
      <c r="A242" t="s">
        <v>1505</v>
      </c>
      <c r="B242" s="169" t="s">
        <v>1506</v>
      </c>
      <c r="C242" s="169" t="s">
        <v>262</v>
      </c>
      <c r="D242" s="169" t="s">
        <v>262</v>
      </c>
      <c r="E242" s="169" t="s">
        <v>262</v>
      </c>
    </row>
    <row r="243" spans="1:5" ht="16" customHeight="1" x14ac:dyDescent="0.2">
      <c r="A243" t="s">
        <v>262</v>
      </c>
      <c r="B243" s="169" t="s">
        <v>1507</v>
      </c>
      <c r="C243" s="169" t="s">
        <v>262</v>
      </c>
      <c r="D243" s="169" t="s">
        <v>262</v>
      </c>
      <c r="E243" s="169" t="s">
        <v>262</v>
      </c>
    </row>
    <row r="244" spans="1:5" ht="16" customHeight="1" x14ac:dyDescent="0.2">
      <c r="A244" t="s">
        <v>1508</v>
      </c>
      <c r="B244" s="169" t="s">
        <v>1509</v>
      </c>
      <c r="C244" s="169" t="s">
        <v>262</v>
      </c>
      <c r="D244" s="169" t="s">
        <v>262</v>
      </c>
      <c r="E244" s="169" t="s">
        <v>262</v>
      </c>
    </row>
    <row r="245" spans="1:5" ht="16" customHeight="1" x14ac:dyDescent="0.2">
      <c r="A245" t="s">
        <v>262</v>
      </c>
      <c r="B245" s="169" t="s">
        <v>1510</v>
      </c>
      <c r="C245" s="169" t="s">
        <v>262</v>
      </c>
      <c r="D245" s="169" t="s">
        <v>262</v>
      </c>
      <c r="E245" s="169" t="s">
        <v>262</v>
      </c>
    </row>
    <row r="246" spans="1:5" ht="16" customHeight="1" x14ac:dyDescent="0.2">
      <c r="A246" t="s">
        <v>1511</v>
      </c>
      <c r="B246" s="169" t="s">
        <v>1512</v>
      </c>
      <c r="C246" s="169" t="s">
        <v>1513</v>
      </c>
      <c r="D246" s="169" t="s">
        <v>262</v>
      </c>
      <c r="E246" s="169" t="s">
        <v>1896</v>
      </c>
    </row>
    <row r="247" spans="1:5" ht="16" customHeight="1" x14ac:dyDescent="0.2">
      <c r="A247" t="s">
        <v>262</v>
      </c>
      <c r="B247" s="169" t="s">
        <v>1514</v>
      </c>
      <c r="C247" s="169" t="s">
        <v>1515</v>
      </c>
      <c r="D247" s="169" t="s">
        <v>262</v>
      </c>
      <c r="E247" s="169" t="s">
        <v>1897</v>
      </c>
    </row>
    <row r="248" spans="1:5" ht="16" customHeight="1" x14ac:dyDescent="0.2">
      <c r="A248" t="s">
        <v>1935</v>
      </c>
      <c r="B248" s="169" t="s">
        <v>1771</v>
      </c>
      <c r="C248" s="169" t="s">
        <v>1778</v>
      </c>
      <c r="D248" s="169" t="s">
        <v>262</v>
      </c>
      <c r="E248" s="169" t="s">
        <v>1898</v>
      </c>
    </row>
    <row r="249" spans="1:5" ht="16" customHeight="1" x14ac:dyDescent="0.2">
      <c r="A249" t="s">
        <v>262</v>
      </c>
      <c r="B249" s="169" t="s">
        <v>1256</v>
      </c>
      <c r="C249" s="169" t="s">
        <v>1779</v>
      </c>
      <c r="D249" s="169" t="s">
        <v>262</v>
      </c>
      <c r="E249" s="169" t="s">
        <v>1897</v>
      </c>
    </row>
    <row r="250" spans="1:5" ht="16" customHeight="1" x14ac:dyDescent="0.2">
      <c r="A250" t="s">
        <v>1516</v>
      </c>
      <c r="B250" s="169" t="s">
        <v>1517</v>
      </c>
      <c r="C250" s="169" t="s">
        <v>1518</v>
      </c>
      <c r="D250" s="169" t="s">
        <v>262</v>
      </c>
      <c r="E250" s="169" t="s">
        <v>1899</v>
      </c>
    </row>
    <row r="251" spans="1:5" ht="16" customHeight="1" x14ac:dyDescent="0.2">
      <c r="A251" t="s">
        <v>262</v>
      </c>
      <c r="B251" s="169" t="s">
        <v>1519</v>
      </c>
      <c r="C251" s="169" t="s">
        <v>1520</v>
      </c>
      <c r="D251" s="169" t="s">
        <v>262</v>
      </c>
      <c r="E251" s="169" t="s">
        <v>1900</v>
      </c>
    </row>
    <row r="252" spans="1:5" ht="16" customHeight="1" x14ac:dyDescent="0.2">
      <c r="A252" t="s">
        <v>1521</v>
      </c>
      <c r="B252" s="169" t="s">
        <v>1522</v>
      </c>
      <c r="C252" s="169" t="s">
        <v>1523</v>
      </c>
      <c r="D252" s="169" t="s">
        <v>262</v>
      </c>
      <c r="E252" s="169" t="s">
        <v>1901</v>
      </c>
    </row>
    <row r="253" spans="1:5" ht="16" customHeight="1" x14ac:dyDescent="0.2">
      <c r="A253" t="s">
        <v>262</v>
      </c>
      <c r="B253" s="169" t="s">
        <v>1335</v>
      </c>
      <c r="C253" s="169" t="s">
        <v>1524</v>
      </c>
      <c r="D253" s="169" t="s">
        <v>262</v>
      </c>
      <c r="E253" s="169" t="s">
        <v>1902</v>
      </c>
    </row>
    <row r="254" spans="1:5" ht="16" customHeight="1" x14ac:dyDescent="0.2">
      <c r="A254" t="s">
        <v>1525</v>
      </c>
      <c r="B254" s="169" t="s">
        <v>1526</v>
      </c>
      <c r="C254" s="169" t="s">
        <v>1527</v>
      </c>
      <c r="D254" s="169" t="s">
        <v>262</v>
      </c>
      <c r="E254" s="169" t="s">
        <v>1903</v>
      </c>
    </row>
    <row r="255" spans="1:5" ht="16" customHeight="1" x14ac:dyDescent="0.2">
      <c r="A255" t="s">
        <v>262</v>
      </c>
      <c r="B255" s="169" t="s">
        <v>1256</v>
      </c>
      <c r="C255" s="169" t="s">
        <v>1301</v>
      </c>
      <c r="D255" s="169" t="s">
        <v>262</v>
      </c>
      <c r="E255" s="169" t="s">
        <v>1897</v>
      </c>
    </row>
    <row r="256" spans="1:5" ht="16" customHeight="1" x14ac:dyDescent="0.2">
      <c r="A256" t="s">
        <v>1528</v>
      </c>
      <c r="B256" s="169" t="s">
        <v>1529</v>
      </c>
      <c r="C256" s="169" t="s">
        <v>1530</v>
      </c>
      <c r="D256" s="169" t="s">
        <v>262</v>
      </c>
      <c r="E256" s="169" t="s">
        <v>1904</v>
      </c>
    </row>
    <row r="257" spans="1:5" ht="16" customHeight="1" x14ac:dyDescent="0.2">
      <c r="A257" t="s">
        <v>262</v>
      </c>
      <c r="B257" s="169" t="s">
        <v>1531</v>
      </c>
      <c r="C257" s="169" t="s">
        <v>1532</v>
      </c>
      <c r="D257" s="169" t="s">
        <v>262</v>
      </c>
      <c r="E257" s="169" t="s">
        <v>1905</v>
      </c>
    </row>
    <row r="258" spans="1:5" ht="16" customHeight="1" x14ac:dyDescent="0.2">
      <c r="A258" t="s">
        <v>1533</v>
      </c>
      <c r="B258" s="169" t="s">
        <v>1534</v>
      </c>
      <c r="C258" s="169" t="s">
        <v>1535</v>
      </c>
      <c r="D258" s="169" t="s">
        <v>262</v>
      </c>
      <c r="E258" s="169" t="s">
        <v>1389</v>
      </c>
    </row>
    <row r="259" spans="1:5" ht="16" customHeight="1" x14ac:dyDescent="0.2">
      <c r="A259" t="s">
        <v>262</v>
      </c>
      <c r="B259" s="169" t="s">
        <v>1536</v>
      </c>
      <c r="C259" s="169" t="s">
        <v>1410</v>
      </c>
      <c r="D259" s="169" t="s">
        <v>262</v>
      </c>
      <c r="E259" s="169" t="s">
        <v>1349</v>
      </c>
    </row>
    <row r="260" spans="1:5" ht="16" customHeight="1" x14ac:dyDescent="0.2">
      <c r="A260" t="s">
        <v>1537</v>
      </c>
      <c r="B260" s="169" t="s">
        <v>1538</v>
      </c>
      <c r="C260" s="169" t="s">
        <v>1539</v>
      </c>
      <c r="D260" s="169" t="s">
        <v>262</v>
      </c>
      <c r="E260" s="169" t="s">
        <v>1906</v>
      </c>
    </row>
    <row r="261" spans="1:5" ht="16" customHeight="1" x14ac:dyDescent="0.2">
      <c r="A261" t="s">
        <v>262</v>
      </c>
      <c r="B261" s="169" t="s">
        <v>1340</v>
      </c>
      <c r="C261" s="169" t="s">
        <v>1468</v>
      </c>
      <c r="D261" s="169" t="s">
        <v>262</v>
      </c>
      <c r="E261" s="169" t="s">
        <v>1907</v>
      </c>
    </row>
    <row r="262" spans="1:5" ht="16" customHeight="1" x14ac:dyDescent="0.2">
      <c r="A262" t="s">
        <v>1540</v>
      </c>
      <c r="B262" s="169" t="s">
        <v>1541</v>
      </c>
      <c r="C262" s="169" t="s">
        <v>1542</v>
      </c>
      <c r="D262" s="169" t="s">
        <v>262</v>
      </c>
      <c r="E262" s="169" t="s">
        <v>1908</v>
      </c>
    </row>
    <row r="263" spans="1:5" ht="16" customHeight="1" x14ac:dyDescent="0.2">
      <c r="A263" t="s">
        <v>262</v>
      </c>
      <c r="B263" s="169" t="s">
        <v>1418</v>
      </c>
      <c r="C263" s="169" t="s">
        <v>1370</v>
      </c>
      <c r="D263" s="169" t="s">
        <v>262</v>
      </c>
      <c r="E263" s="169" t="s">
        <v>1909</v>
      </c>
    </row>
    <row r="264" spans="1:5" ht="16" customHeight="1" x14ac:dyDescent="0.2">
      <c r="A264" t="s">
        <v>1543</v>
      </c>
      <c r="B264" s="169" t="s">
        <v>1544</v>
      </c>
      <c r="C264" s="169" t="s">
        <v>1545</v>
      </c>
      <c r="D264" s="169" t="s">
        <v>262</v>
      </c>
      <c r="E264" s="169" t="s">
        <v>1549</v>
      </c>
    </row>
    <row r="265" spans="1:5" ht="16" customHeight="1" x14ac:dyDescent="0.2">
      <c r="A265" t="s">
        <v>262</v>
      </c>
      <c r="B265" s="169" t="s">
        <v>1339</v>
      </c>
      <c r="C265" s="169" t="s">
        <v>1490</v>
      </c>
      <c r="D265" s="169" t="s">
        <v>262</v>
      </c>
      <c r="E265" s="169" t="s">
        <v>1909</v>
      </c>
    </row>
    <row r="266" spans="1:5" ht="16" customHeight="1" x14ac:dyDescent="0.2">
      <c r="A266" t="s">
        <v>1546</v>
      </c>
      <c r="B266" s="169" t="s">
        <v>1547</v>
      </c>
      <c r="C266" s="169" t="s">
        <v>1548</v>
      </c>
      <c r="D266" s="169" t="s">
        <v>262</v>
      </c>
      <c r="E266" s="169" t="s">
        <v>1910</v>
      </c>
    </row>
    <row r="267" spans="1:5" ht="16" customHeight="1" x14ac:dyDescent="0.2">
      <c r="A267" t="s">
        <v>262</v>
      </c>
      <c r="B267" s="169" t="s">
        <v>1305</v>
      </c>
      <c r="C267" s="169" t="s">
        <v>1373</v>
      </c>
      <c r="D267" s="169" t="s">
        <v>262</v>
      </c>
      <c r="E267" s="169" t="s">
        <v>1911</v>
      </c>
    </row>
    <row r="268" spans="1:5" ht="16" customHeight="1" x14ac:dyDescent="0.2">
      <c r="A268" t="s">
        <v>1550</v>
      </c>
      <c r="B268" s="169" t="s">
        <v>1551</v>
      </c>
      <c r="C268" s="169" t="s">
        <v>1552</v>
      </c>
      <c r="D268" s="169" t="s">
        <v>262</v>
      </c>
      <c r="E268" s="169" t="s">
        <v>1912</v>
      </c>
    </row>
    <row r="269" spans="1:5" ht="16" customHeight="1" x14ac:dyDescent="0.2">
      <c r="A269" t="s">
        <v>262</v>
      </c>
      <c r="B269" s="169" t="s">
        <v>1553</v>
      </c>
      <c r="C269" s="169" t="s">
        <v>1373</v>
      </c>
      <c r="D269" s="169" t="s">
        <v>262</v>
      </c>
      <c r="E269" s="169" t="s">
        <v>1913</v>
      </c>
    </row>
    <row r="270" spans="1:5" ht="16" customHeight="1" x14ac:dyDescent="0.2">
      <c r="A270" t="s">
        <v>1554</v>
      </c>
      <c r="B270" s="169" t="s">
        <v>1555</v>
      </c>
      <c r="C270" s="169" t="s">
        <v>1556</v>
      </c>
      <c r="D270" s="169" t="s">
        <v>262</v>
      </c>
      <c r="E270" s="169" t="s">
        <v>1586</v>
      </c>
    </row>
    <row r="271" spans="1:5" ht="16" customHeight="1" x14ac:dyDescent="0.2">
      <c r="A271" t="s">
        <v>262</v>
      </c>
      <c r="B271" s="169" t="s">
        <v>1557</v>
      </c>
      <c r="C271" s="169" t="s">
        <v>1558</v>
      </c>
      <c r="D271" s="169" t="s">
        <v>262</v>
      </c>
      <c r="E271" s="169" t="s">
        <v>1805</v>
      </c>
    </row>
    <row r="272" spans="1:5" ht="16" customHeight="1" x14ac:dyDescent="0.2">
      <c r="A272" t="s">
        <v>1559</v>
      </c>
      <c r="B272" s="169" t="s">
        <v>1560</v>
      </c>
      <c r="C272" s="169" t="s">
        <v>1561</v>
      </c>
      <c r="D272" s="169" t="s">
        <v>262</v>
      </c>
      <c r="E272" s="169" t="s">
        <v>1895</v>
      </c>
    </row>
    <row r="273" spans="1:5" ht="16" customHeight="1" x14ac:dyDescent="0.2">
      <c r="A273" t="s">
        <v>262</v>
      </c>
      <c r="B273" s="169" t="s">
        <v>1562</v>
      </c>
      <c r="C273" s="169" t="s">
        <v>1563</v>
      </c>
      <c r="D273" s="169" t="s">
        <v>262</v>
      </c>
      <c r="E273" s="169" t="s">
        <v>1030</v>
      </c>
    </row>
    <row r="274" spans="1:5" ht="16" customHeight="1" x14ac:dyDescent="0.2">
      <c r="A274" t="s">
        <v>1564</v>
      </c>
      <c r="B274" s="169" t="s">
        <v>1565</v>
      </c>
      <c r="C274" s="169" t="s">
        <v>1566</v>
      </c>
      <c r="D274" s="169" t="s">
        <v>262</v>
      </c>
      <c r="E274" s="169" t="s">
        <v>1914</v>
      </c>
    </row>
    <row r="275" spans="1:5" ht="16" customHeight="1" x14ac:dyDescent="0.2">
      <c r="A275" t="s">
        <v>262</v>
      </c>
      <c r="B275" s="169" t="s">
        <v>1042</v>
      </c>
      <c r="C275" s="169" t="s">
        <v>1567</v>
      </c>
      <c r="D275" s="169" t="s">
        <v>262</v>
      </c>
      <c r="E275" s="169" t="s">
        <v>1915</v>
      </c>
    </row>
    <row r="276" spans="1:5" ht="16" customHeight="1" x14ac:dyDescent="0.2">
      <c r="A276" t="s">
        <v>1568</v>
      </c>
      <c r="B276" s="169" t="s">
        <v>1569</v>
      </c>
      <c r="C276" s="169" t="s">
        <v>1570</v>
      </c>
      <c r="D276" s="169" t="s">
        <v>262</v>
      </c>
      <c r="E276" s="169" t="s">
        <v>1463</v>
      </c>
    </row>
    <row r="277" spans="1:5" ht="16" customHeight="1" x14ac:dyDescent="0.2">
      <c r="A277" t="s">
        <v>262</v>
      </c>
      <c r="B277" s="169" t="s">
        <v>1059</v>
      </c>
      <c r="C277" s="169" t="s">
        <v>1339</v>
      </c>
      <c r="D277" s="169" t="s">
        <v>262</v>
      </c>
      <c r="E277" s="169" t="s">
        <v>1915</v>
      </c>
    </row>
    <row r="278" spans="1:5" ht="16" customHeight="1" x14ac:dyDescent="0.2">
      <c r="A278" t="s">
        <v>1571</v>
      </c>
      <c r="B278" s="169" t="s">
        <v>1572</v>
      </c>
      <c r="C278" s="169" t="s">
        <v>1573</v>
      </c>
      <c r="D278" s="169" t="s">
        <v>262</v>
      </c>
      <c r="E278" s="169" t="s">
        <v>1916</v>
      </c>
    </row>
    <row r="279" spans="1:5" ht="16" customHeight="1" x14ac:dyDescent="0.2">
      <c r="A279" t="s">
        <v>262</v>
      </c>
      <c r="B279" s="169" t="s">
        <v>1574</v>
      </c>
      <c r="C279" s="169" t="s">
        <v>1294</v>
      </c>
      <c r="D279" s="169" t="s">
        <v>262</v>
      </c>
      <c r="E279" s="169" t="s">
        <v>1917</v>
      </c>
    </row>
    <row r="280" spans="1:5" ht="16" customHeight="1" x14ac:dyDescent="0.2">
      <c r="A280" t="s">
        <v>1575</v>
      </c>
      <c r="B280" s="169" t="s">
        <v>1576</v>
      </c>
      <c r="C280" s="169" t="s">
        <v>1577</v>
      </c>
      <c r="D280" s="169" t="s">
        <v>262</v>
      </c>
      <c r="E280" s="169" t="s">
        <v>1918</v>
      </c>
    </row>
    <row r="281" spans="1:5" ht="16" customHeight="1" x14ac:dyDescent="0.2">
      <c r="A281" t="s">
        <v>262</v>
      </c>
      <c r="B281" s="169" t="s">
        <v>1578</v>
      </c>
      <c r="C281" s="169" t="s">
        <v>1039</v>
      </c>
      <c r="D281" s="169" t="s">
        <v>262</v>
      </c>
      <c r="E281" s="169" t="s">
        <v>1801</v>
      </c>
    </row>
    <row r="282" spans="1:5" ht="16" customHeight="1" x14ac:dyDescent="0.2">
      <c r="A282" t="s">
        <v>1579</v>
      </c>
      <c r="B282" s="169" t="s">
        <v>1580</v>
      </c>
      <c r="C282" s="169" t="s">
        <v>1581</v>
      </c>
      <c r="D282" s="169" t="s">
        <v>262</v>
      </c>
      <c r="E282" s="169" t="s">
        <v>1919</v>
      </c>
    </row>
    <row r="283" spans="1:5" ht="16" customHeight="1" x14ac:dyDescent="0.2">
      <c r="A283" t="s">
        <v>262</v>
      </c>
      <c r="B283" s="169" t="s">
        <v>1582</v>
      </c>
      <c r="C283" s="169" t="s">
        <v>1310</v>
      </c>
      <c r="D283" s="169" t="s">
        <v>262</v>
      </c>
      <c r="E283" s="169" t="s">
        <v>1920</v>
      </c>
    </row>
    <row r="284" spans="1:5" ht="16" customHeight="1" x14ac:dyDescent="0.2">
      <c r="A284" t="s">
        <v>1583</v>
      </c>
      <c r="B284" s="169" t="s">
        <v>1584</v>
      </c>
      <c r="C284" s="169" t="s">
        <v>1585</v>
      </c>
      <c r="D284" s="169" t="s">
        <v>262</v>
      </c>
      <c r="E284" s="169" t="s">
        <v>1541</v>
      </c>
    </row>
    <row r="285" spans="1:5" ht="16" customHeight="1" x14ac:dyDescent="0.2">
      <c r="A285" t="s">
        <v>262</v>
      </c>
      <c r="B285" s="169" t="s">
        <v>1587</v>
      </c>
      <c r="C285" s="169" t="s">
        <v>1367</v>
      </c>
      <c r="D285" s="169" t="s">
        <v>262</v>
      </c>
      <c r="E285" s="169" t="s">
        <v>1921</v>
      </c>
    </row>
    <row r="286" spans="1:5" ht="16" customHeight="1" x14ac:dyDescent="0.2">
      <c r="A286" t="s">
        <v>1588</v>
      </c>
      <c r="B286" s="169" t="s">
        <v>1589</v>
      </c>
      <c r="C286" s="169" t="s">
        <v>1590</v>
      </c>
      <c r="D286" s="169" t="s">
        <v>262</v>
      </c>
      <c r="E286" s="169" t="s">
        <v>1922</v>
      </c>
    </row>
    <row r="287" spans="1:5" ht="16" customHeight="1" x14ac:dyDescent="0.2">
      <c r="A287" t="s">
        <v>262</v>
      </c>
      <c r="B287" s="169" t="s">
        <v>1481</v>
      </c>
      <c r="C287" s="169" t="s">
        <v>1591</v>
      </c>
      <c r="D287" s="169" t="s">
        <v>262</v>
      </c>
      <c r="E287" s="169" t="s">
        <v>1923</v>
      </c>
    </row>
    <row r="288" spans="1:5" ht="16" customHeight="1" x14ac:dyDescent="0.2">
      <c r="A288" t="s">
        <v>1592</v>
      </c>
      <c r="B288" s="169" t="s">
        <v>1593</v>
      </c>
      <c r="C288" s="169" t="s">
        <v>1594</v>
      </c>
      <c r="D288" s="169" t="s">
        <v>262</v>
      </c>
      <c r="E288" s="169" t="s">
        <v>1924</v>
      </c>
    </row>
    <row r="289" spans="1:5" ht="16" customHeight="1" x14ac:dyDescent="0.2">
      <c r="A289" t="s">
        <v>262</v>
      </c>
      <c r="B289" s="169" t="s">
        <v>1595</v>
      </c>
      <c r="C289" s="169" t="s">
        <v>1596</v>
      </c>
      <c r="D289" s="169" t="s">
        <v>262</v>
      </c>
      <c r="E289" s="169" t="s">
        <v>1925</v>
      </c>
    </row>
    <row r="290" spans="1:5" ht="16" customHeight="1" x14ac:dyDescent="0.2">
      <c r="A290" t="s">
        <v>1597</v>
      </c>
      <c r="B290" s="169" t="s">
        <v>1598</v>
      </c>
      <c r="C290" s="169" t="s">
        <v>1599</v>
      </c>
      <c r="D290" s="169" t="s">
        <v>262</v>
      </c>
      <c r="E290" s="169" t="s">
        <v>1499</v>
      </c>
    </row>
    <row r="291" spans="1:5" ht="16" customHeight="1" x14ac:dyDescent="0.2">
      <c r="A291" t="s">
        <v>262</v>
      </c>
      <c r="B291" s="169" t="s">
        <v>1600</v>
      </c>
      <c r="C291" s="169" t="s">
        <v>1437</v>
      </c>
      <c r="D291" s="169" t="s">
        <v>262</v>
      </c>
      <c r="E291" s="169" t="s">
        <v>1926</v>
      </c>
    </row>
    <row r="292" spans="1:5" ht="16" customHeight="1" x14ac:dyDescent="0.2">
      <c r="A292" t="s">
        <v>1601</v>
      </c>
      <c r="B292" s="169" t="s">
        <v>1602</v>
      </c>
      <c r="C292" s="169" t="s">
        <v>1603</v>
      </c>
      <c r="D292" s="169" t="s">
        <v>262</v>
      </c>
      <c r="E292" s="169" t="s">
        <v>1927</v>
      </c>
    </row>
    <row r="293" spans="1:5" ht="16" customHeight="1" x14ac:dyDescent="0.2">
      <c r="A293" t="s">
        <v>262</v>
      </c>
      <c r="B293" s="169" t="s">
        <v>1604</v>
      </c>
      <c r="C293" s="169" t="s">
        <v>1536</v>
      </c>
      <c r="D293" s="169" t="s">
        <v>262</v>
      </c>
      <c r="E293" s="169" t="s">
        <v>1928</v>
      </c>
    </row>
    <row r="294" spans="1:5" ht="16" customHeight="1" x14ac:dyDescent="0.2">
      <c r="A294" t="s">
        <v>1605</v>
      </c>
      <c r="B294" s="169" t="s">
        <v>1606</v>
      </c>
      <c r="C294" s="169" t="s">
        <v>1607</v>
      </c>
      <c r="D294" s="169" t="s">
        <v>262</v>
      </c>
      <c r="E294" s="169" t="s">
        <v>1929</v>
      </c>
    </row>
    <row r="295" spans="1:5" ht="16" customHeight="1" x14ac:dyDescent="0.2">
      <c r="A295" t="s">
        <v>262</v>
      </c>
      <c r="B295" s="169" t="s">
        <v>1608</v>
      </c>
      <c r="C295" s="169" t="s">
        <v>1609</v>
      </c>
      <c r="D295" s="169" t="s">
        <v>262</v>
      </c>
      <c r="E295" s="169" t="s">
        <v>1930</v>
      </c>
    </row>
    <row r="296" spans="1:5" ht="16" customHeight="1" x14ac:dyDescent="0.2">
      <c r="A296" t="s">
        <v>1936</v>
      </c>
      <c r="B296" s="169" t="s">
        <v>262</v>
      </c>
      <c r="C296" s="169"/>
      <c r="D296" s="169" t="s">
        <v>262</v>
      </c>
      <c r="E296" s="169"/>
    </row>
    <row r="297" spans="1:5" ht="16" customHeight="1" x14ac:dyDescent="0.2">
      <c r="A297" t="s">
        <v>262</v>
      </c>
      <c r="B297" s="169" t="s">
        <v>262</v>
      </c>
      <c r="C297" s="169"/>
      <c r="D297" s="169" t="s">
        <v>262</v>
      </c>
      <c r="E297" s="169"/>
    </row>
    <row r="298" spans="1:5" ht="16" customHeight="1" x14ac:dyDescent="0.2">
      <c r="A298" t="s">
        <v>1937</v>
      </c>
      <c r="B298" s="169" t="s">
        <v>262</v>
      </c>
      <c r="C298" s="169"/>
      <c r="D298" s="169" t="s">
        <v>262</v>
      </c>
      <c r="E298" s="169"/>
    </row>
    <row r="299" spans="1:5" ht="16" customHeight="1" x14ac:dyDescent="0.2">
      <c r="A299" t="s">
        <v>262</v>
      </c>
      <c r="B299" s="169" t="s">
        <v>262</v>
      </c>
      <c r="C299" s="169"/>
      <c r="D299" s="169" t="s">
        <v>262</v>
      </c>
      <c r="E299" s="169"/>
    </row>
    <row r="300" spans="1:5" ht="16" customHeight="1" x14ac:dyDescent="0.2">
      <c r="A300" t="s">
        <v>1938</v>
      </c>
      <c r="B300" s="169" t="s">
        <v>262</v>
      </c>
      <c r="C300" s="169"/>
      <c r="D300" s="169" t="s">
        <v>262</v>
      </c>
      <c r="E300" s="169"/>
    </row>
    <row r="301" spans="1:5" ht="16" customHeight="1" x14ac:dyDescent="0.2">
      <c r="A301" t="s">
        <v>262</v>
      </c>
      <c r="B301" s="169" t="s">
        <v>262</v>
      </c>
      <c r="C301" s="169"/>
      <c r="D301" s="169" t="s">
        <v>262</v>
      </c>
      <c r="E301" s="169"/>
    </row>
    <row r="302" spans="1:5" ht="16" customHeight="1" x14ac:dyDescent="0.2">
      <c r="A302" t="s">
        <v>1939</v>
      </c>
      <c r="B302" s="169" t="s">
        <v>262</v>
      </c>
      <c r="C302" s="169"/>
      <c r="D302" s="169" t="s">
        <v>262</v>
      </c>
      <c r="E302" s="169"/>
    </row>
    <row r="303" spans="1:5" ht="16" customHeight="1" x14ac:dyDescent="0.2">
      <c r="A303" t="s">
        <v>262</v>
      </c>
      <c r="B303" s="169" t="s">
        <v>262</v>
      </c>
      <c r="C303" s="169"/>
      <c r="D303" s="169" t="s">
        <v>262</v>
      </c>
      <c r="E303" s="169"/>
    </row>
    <row r="304" spans="1:5" ht="16" customHeight="1" x14ac:dyDescent="0.2">
      <c r="A304" t="s">
        <v>1940</v>
      </c>
      <c r="B304" s="169" t="s">
        <v>262</v>
      </c>
      <c r="C304" s="169"/>
      <c r="D304" s="169" t="s">
        <v>262</v>
      </c>
      <c r="E304" s="169"/>
    </row>
    <row r="305" spans="1:5" ht="16" customHeight="1" x14ac:dyDescent="0.2">
      <c r="A305" t="s">
        <v>262</v>
      </c>
      <c r="B305" s="169" t="s">
        <v>262</v>
      </c>
      <c r="C305" s="169"/>
      <c r="D305" s="169" t="s">
        <v>262</v>
      </c>
      <c r="E305" s="169"/>
    </row>
    <row r="306" spans="1:5" ht="16" customHeight="1" x14ac:dyDescent="0.2">
      <c r="A306" t="s">
        <v>1941</v>
      </c>
      <c r="B306" s="169" t="s">
        <v>262</v>
      </c>
      <c r="C306" s="169"/>
      <c r="D306" s="169" t="s">
        <v>262</v>
      </c>
      <c r="E306" s="169"/>
    </row>
    <row r="307" spans="1:5" ht="16" customHeight="1" x14ac:dyDescent="0.2">
      <c r="A307" t="s">
        <v>262</v>
      </c>
      <c r="B307" s="169" t="s">
        <v>262</v>
      </c>
      <c r="C307" s="169"/>
      <c r="D307" s="169" t="s">
        <v>262</v>
      </c>
      <c r="E307" s="169"/>
    </row>
    <row r="308" spans="1:5" ht="16" customHeight="1" x14ac:dyDescent="0.2">
      <c r="A308" t="s">
        <v>1942</v>
      </c>
      <c r="B308" s="169" t="s">
        <v>262</v>
      </c>
      <c r="C308" s="169"/>
      <c r="D308" s="169" t="s">
        <v>262</v>
      </c>
      <c r="E308" s="169"/>
    </row>
    <row r="309" spans="1:5" ht="16" customHeight="1" x14ac:dyDescent="0.2">
      <c r="A309" t="s">
        <v>262</v>
      </c>
      <c r="B309" s="169" t="s">
        <v>262</v>
      </c>
      <c r="C309" s="169"/>
      <c r="D309" s="169" t="s">
        <v>262</v>
      </c>
      <c r="E309" s="169"/>
    </row>
    <row r="310" spans="1:5" ht="16" customHeight="1" x14ac:dyDescent="0.2">
      <c r="A310" t="s">
        <v>1943</v>
      </c>
      <c r="B310" s="169" t="s">
        <v>262</v>
      </c>
      <c r="C310" s="169"/>
      <c r="D310" s="169" t="s">
        <v>262</v>
      </c>
      <c r="E310" s="169"/>
    </row>
    <row r="311" spans="1:5" ht="16" customHeight="1" x14ac:dyDescent="0.2">
      <c r="A311" t="s">
        <v>262</v>
      </c>
      <c r="B311" s="169" t="s">
        <v>262</v>
      </c>
      <c r="C311" s="169"/>
      <c r="D311" s="169" t="s">
        <v>262</v>
      </c>
      <c r="E311" s="169"/>
    </row>
    <row r="312" spans="1:5" ht="16" customHeight="1" x14ac:dyDescent="0.2">
      <c r="A312" t="s">
        <v>1944</v>
      </c>
      <c r="B312" s="169" t="s">
        <v>262</v>
      </c>
      <c r="C312" s="169"/>
      <c r="D312" s="169" t="s">
        <v>262</v>
      </c>
      <c r="E312" s="169"/>
    </row>
    <row r="313" spans="1:5" ht="16" customHeight="1" x14ac:dyDescent="0.2">
      <c r="A313" t="s">
        <v>262</v>
      </c>
      <c r="B313" s="169" t="s">
        <v>262</v>
      </c>
      <c r="C313" s="169"/>
      <c r="D313" s="169" t="s">
        <v>262</v>
      </c>
      <c r="E313" s="169"/>
    </row>
    <row r="314" spans="1:5" ht="16" customHeight="1" x14ac:dyDescent="0.2">
      <c r="A314" t="s">
        <v>1945</v>
      </c>
      <c r="B314" s="169" t="s">
        <v>262</v>
      </c>
      <c r="C314" s="169"/>
      <c r="D314" s="169" t="s">
        <v>262</v>
      </c>
      <c r="E314" s="169"/>
    </row>
    <row r="315" spans="1:5" ht="16" customHeight="1" x14ac:dyDescent="0.2">
      <c r="A315" t="s">
        <v>262</v>
      </c>
      <c r="B315" s="169" t="s">
        <v>262</v>
      </c>
      <c r="C315" s="169"/>
      <c r="D315" s="169" t="s">
        <v>262</v>
      </c>
      <c r="E315" s="169"/>
    </row>
    <row r="316" spans="1:5" ht="16" customHeight="1" x14ac:dyDescent="0.2">
      <c r="A316" t="s">
        <v>1946</v>
      </c>
      <c r="B316" s="169" t="s">
        <v>262</v>
      </c>
      <c r="C316" s="169"/>
      <c r="D316" s="169" t="s">
        <v>262</v>
      </c>
      <c r="E316" s="169"/>
    </row>
    <row r="317" spans="1:5" ht="16" customHeight="1" x14ac:dyDescent="0.2">
      <c r="A317" t="s">
        <v>262</v>
      </c>
      <c r="B317" s="169" t="s">
        <v>262</v>
      </c>
      <c r="C317" s="169"/>
      <c r="D317" s="169" t="s">
        <v>262</v>
      </c>
      <c r="E317" s="169"/>
    </row>
    <row r="318" spans="1:5" ht="16" customHeight="1" x14ac:dyDescent="0.2">
      <c r="A318" t="s">
        <v>1947</v>
      </c>
      <c r="B318" s="169" t="s">
        <v>262</v>
      </c>
      <c r="C318" s="169"/>
      <c r="D318" s="169" t="s">
        <v>262</v>
      </c>
      <c r="E318" s="169"/>
    </row>
    <row r="319" spans="1:5" ht="16" customHeight="1" x14ac:dyDescent="0.2">
      <c r="A319" t="s">
        <v>262</v>
      </c>
      <c r="B319" s="169" t="s">
        <v>262</v>
      </c>
      <c r="C319" s="169"/>
      <c r="D319" s="169" t="s">
        <v>262</v>
      </c>
      <c r="E319" s="169"/>
    </row>
    <row r="320" spans="1:5" ht="16" customHeight="1" x14ac:dyDescent="0.2">
      <c r="A320" t="s">
        <v>1948</v>
      </c>
      <c r="B320" s="169" t="s">
        <v>262</v>
      </c>
      <c r="C320" s="169"/>
      <c r="D320" s="169" t="s">
        <v>262</v>
      </c>
      <c r="E320" s="169"/>
    </row>
    <row r="321" spans="1:5" x14ac:dyDescent="0.2">
      <c r="A321" t="s">
        <v>262</v>
      </c>
      <c r="B321" s="169" t="s">
        <v>262</v>
      </c>
      <c r="C321" s="169"/>
      <c r="D321" s="169" t="s">
        <v>262</v>
      </c>
      <c r="E321" s="169"/>
    </row>
    <row r="322" spans="1:5" x14ac:dyDescent="0.2">
      <c r="A322" t="s">
        <v>1949</v>
      </c>
      <c r="B322" s="169" t="s">
        <v>262</v>
      </c>
      <c r="C322" s="169"/>
      <c r="D322" s="169" t="s">
        <v>262</v>
      </c>
      <c r="E322" s="169"/>
    </row>
    <row r="323" spans="1:5" x14ac:dyDescent="0.2">
      <c r="A323" t="s">
        <v>262</v>
      </c>
      <c r="B323" s="169" t="s">
        <v>262</v>
      </c>
      <c r="C323" s="169"/>
      <c r="D323" s="169" t="s">
        <v>262</v>
      </c>
      <c r="E323" s="169"/>
    </row>
    <row r="324" spans="1:5" x14ac:dyDescent="0.2">
      <c r="A324" t="s">
        <v>1950</v>
      </c>
      <c r="B324" s="169" t="s">
        <v>262</v>
      </c>
      <c r="C324" s="169"/>
      <c r="D324" s="169" t="s">
        <v>262</v>
      </c>
      <c r="E324" s="169"/>
    </row>
    <row r="325" spans="1:5" x14ac:dyDescent="0.2">
      <c r="A325" t="s">
        <v>262</v>
      </c>
      <c r="B325" s="169" t="s">
        <v>262</v>
      </c>
      <c r="C325" s="169"/>
      <c r="D325" s="169" t="s">
        <v>262</v>
      </c>
      <c r="E325" s="169"/>
    </row>
    <row r="326" spans="1:5" x14ac:dyDescent="0.2">
      <c r="A326" t="s">
        <v>1951</v>
      </c>
      <c r="B326" s="169" t="s">
        <v>262</v>
      </c>
      <c r="C326" s="169"/>
      <c r="D326" s="169" t="s">
        <v>262</v>
      </c>
      <c r="E326" s="169"/>
    </row>
    <row r="327" spans="1:5" x14ac:dyDescent="0.2">
      <c r="A327" t="s">
        <v>262</v>
      </c>
      <c r="B327" s="169" t="s">
        <v>262</v>
      </c>
      <c r="C327" s="169"/>
      <c r="D327" s="169" t="s">
        <v>262</v>
      </c>
      <c r="E327" s="169"/>
    </row>
    <row r="328" spans="1:5" x14ac:dyDescent="0.2">
      <c r="A328" t="s">
        <v>1952</v>
      </c>
      <c r="B328" s="169" t="s">
        <v>262</v>
      </c>
      <c r="C328" s="169"/>
      <c r="D328" s="169" t="s">
        <v>262</v>
      </c>
      <c r="E328" s="169"/>
    </row>
    <row r="329" spans="1:5" x14ac:dyDescent="0.2">
      <c r="A329" t="s">
        <v>262</v>
      </c>
      <c r="B329" s="169" t="s">
        <v>262</v>
      </c>
      <c r="C329" s="169"/>
      <c r="D329" s="169" t="s">
        <v>262</v>
      </c>
      <c r="E329" s="169"/>
    </row>
    <row r="330" spans="1:5" x14ac:dyDescent="0.2">
      <c r="A330" t="s">
        <v>1953</v>
      </c>
      <c r="B330" s="169" t="s">
        <v>262</v>
      </c>
      <c r="C330" s="169"/>
      <c r="D330" s="169" t="s">
        <v>262</v>
      </c>
      <c r="E330" s="169"/>
    </row>
    <row r="331" spans="1:5" x14ac:dyDescent="0.2">
      <c r="A331" t="s">
        <v>262</v>
      </c>
      <c r="B331" s="169" t="s">
        <v>262</v>
      </c>
      <c r="C331" s="169"/>
      <c r="D331" s="169" t="s">
        <v>262</v>
      </c>
      <c r="E331" s="169"/>
    </row>
    <row r="332" spans="1:5" x14ac:dyDescent="0.2">
      <c r="A332" t="s">
        <v>1954</v>
      </c>
      <c r="B332" s="169" t="s">
        <v>262</v>
      </c>
      <c r="C332" s="169"/>
      <c r="D332" s="169" t="s">
        <v>262</v>
      </c>
      <c r="E332" s="169"/>
    </row>
    <row r="333" spans="1:5" x14ac:dyDescent="0.2">
      <c r="A333" t="s">
        <v>262</v>
      </c>
      <c r="B333" s="169" t="s">
        <v>262</v>
      </c>
      <c r="C333" s="169"/>
      <c r="D333" s="169" t="s">
        <v>262</v>
      </c>
      <c r="E333" s="169"/>
    </row>
    <row r="334" spans="1:5" x14ac:dyDescent="0.2">
      <c r="A334" t="s">
        <v>1955</v>
      </c>
      <c r="B334" s="169" t="s">
        <v>262</v>
      </c>
      <c r="C334" s="169"/>
      <c r="D334" s="169" t="s">
        <v>262</v>
      </c>
      <c r="E334" s="169"/>
    </row>
    <row r="335" spans="1:5" x14ac:dyDescent="0.2">
      <c r="A335" t="s">
        <v>262</v>
      </c>
      <c r="B335" s="169" t="s">
        <v>262</v>
      </c>
      <c r="C335" s="169"/>
      <c r="D335" s="169" t="s">
        <v>262</v>
      </c>
      <c r="E335" s="169"/>
    </row>
    <row r="336" spans="1:5" x14ac:dyDescent="0.2">
      <c r="A336" t="s">
        <v>1956</v>
      </c>
      <c r="B336" s="169" t="s">
        <v>262</v>
      </c>
      <c r="C336" s="169"/>
      <c r="D336" s="169" t="s">
        <v>262</v>
      </c>
      <c r="E336" s="169"/>
    </row>
    <row r="337" spans="1:5" x14ac:dyDescent="0.2">
      <c r="A337" t="s">
        <v>262</v>
      </c>
      <c r="B337" s="169" t="s">
        <v>262</v>
      </c>
      <c r="C337" s="169"/>
      <c r="D337" s="169" t="s">
        <v>262</v>
      </c>
      <c r="E337" s="169"/>
    </row>
    <row r="338" spans="1:5" x14ac:dyDescent="0.2">
      <c r="A338" t="s">
        <v>1957</v>
      </c>
      <c r="B338" s="169" t="s">
        <v>262</v>
      </c>
      <c r="C338" s="169"/>
      <c r="D338" s="169" t="s">
        <v>262</v>
      </c>
      <c r="E338" s="169"/>
    </row>
    <row r="339" spans="1:5" x14ac:dyDescent="0.2">
      <c r="A339" t="s">
        <v>262</v>
      </c>
      <c r="B339" s="169" t="s">
        <v>262</v>
      </c>
      <c r="C339" s="169"/>
      <c r="D339" s="169" t="s">
        <v>262</v>
      </c>
      <c r="E339" s="169"/>
    </row>
    <row r="340" spans="1:5" x14ac:dyDescent="0.2">
      <c r="A340" t="s">
        <v>1958</v>
      </c>
      <c r="B340" s="169" t="s">
        <v>262</v>
      </c>
      <c r="C340" s="169"/>
      <c r="D340" s="169" t="s">
        <v>262</v>
      </c>
      <c r="E340" s="169"/>
    </row>
    <row r="341" spans="1:5" x14ac:dyDescent="0.2">
      <c r="A341" t="s">
        <v>262</v>
      </c>
      <c r="B341" s="169" t="s">
        <v>262</v>
      </c>
      <c r="C341" s="169"/>
      <c r="D341" s="169" t="s">
        <v>262</v>
      </c>
      <c r="E341" s="169"/>
    </row>
    <row r="342" spans="1:5" x14ac:dyDescent="0.2">
      <c r="A342" t="s">
        <v>1959</v>
      </c>
      <c r="B342" s="169" t="s">
        <v>262</v>
      </c>
      <c r="C342" s="169"/>
      <c r="D342" s="169" t="s">
        <v>262</v>
      </c>
      <c r="E342" s="169"/>
    </row>
    <row r="343" spans="1:5" x14ac:dyDescent="0.2">
      <c r="A343" t="s">
        <v>262</v>
      </c>
      <c r="B343" s="169" t="s">
        <v>262</v>
      </c>
      <c r="C343" s="169"/>
      <c r="D343" s="169" t="s">
        <v>262</v>
      </c>
      <c r="E343" s="169"/>
    </row>
    <row r="344" spans="1:5" x14ac:dyDescent="0.2">
      <c r="A344" t="s">
        <v>1960</v>
      </c>
      <c r="B344" s="169" t="s">
        <v>262</v>
      </c>
      <c r="C344" s="169"/>
      <c r="D344" s="169" t="s">
        <v>262</v>
      </c>
      <c r="E344" s="169"/>
    </row>
    <row r="345" spans="1:5" x14ac:dyDescent="0.2">
      <c r="A345" t="s">
        <v>262</v>
      </c>
      <c r="B345" s="169" t="s">
        <v>262</v>
      </c>
      <c r="C345" s="169"/>
      <c r="D345" s="169" t="s">
        <v>262</v>
      </c>
      <c r="E345" s="169"/>
    </row>
    <row r="346" spans="1:5" x14ac:dyDescent="0.2">
      <c r="A346" t="s">
        <v>1961</v>
      </c>
      <c r="B346" s="169" t="s">
        <v>262</v>
      </c>
      <c r="C346" s="169"/>
      <c r="D346" s="169" t="s">
        <v>262</v>
      </c>
      <c r="E346" s="169"/>
    </row>
    <row r="347" spans="1:5" x14ac:dyDescent="0.2">
      <c r="A347" t="s">
        <v>262</v>
      </c>
      <c r="B347" s="169" t="s">
        <v>262</v>
      </c>
      <c r="C347" s="169"/>
      <c r="D347" s="169" t="s">
        <v>262</v>
      </c>
      <c r="E347" s="169"/>
    </row>
    <row r="348" spans="1:5" x14ac:dyDescent="0.2">
      <c r="A348" t="s">
        <v>1962</v>
      </c>
      <c r="B348" s="169" t="s">
        <v>262</v>
      </c>
      <c r="C348" s="169"/>
      <c r="D348" s="169" t="s">
        <v>262</v>
      </c>
      <c r="E348" s="169"/>
    </row>
    <row r="349" spans="1:5" x14ac:dyDescent="0.2">
      <c r="A349" t="s">
        <v>262</v>
      </c>
      <c r="B349" s="169" t="s">
        <v>262</v>
      </c>
      <c r="C349" s="169"/>
      <c r="D349" s="169" t="s">
        <v>262</v>
      </c>
      <c r="E349" s="169"/>
    </row>
    <row r="350" spans="1:5" x14ac:dyDescent="0.2">
      <c r="A350" t="s">
        <v>1963</v>
      </c>
      <c r="B350" s="169" t="s">
        <v>262</v>
      </c>
      <c r="C350" s="169"/>
      <c r="D350" s="169" t="s">
        <v>262</v>
      </c>
      <c r="E350" s="169"/>
    </row>
    <row r="351" spans="1:5" x14ac:dyDescent="0.2">
      <c r="A351" t="s">
        <v>262</v>
      </c>
      <c r="B351" s="169" t="s">
        <v>262</v>
      </c>
      <c r="C351" s="169"/>
      <c r="D351" s="169" t="s">
        <v>262</v>
      </c>
      <c r="E351" s="169"/>
    </row>
    <row r="352" spans="1:5" x14ac:dyDescent="0.2">
      <c r="A352" t="s">
        <v>1964</v>
      </c>
      <c r="B352" s="169" t="s">
        <v>262</v>
      </c>
      <c r="C352" s="169"/>
      <c r="D352" s="169" t="s">
        <v>262</v>
      </c>
      <c r="E352" s="169"/>
    </row>
    <row r="353" spans="1:5" x14ac:dyDescent="0.2">
      <c r="A353" t="s">
        <v>262</v>
      </c>
      <c r="B353" s="169" t="s">
        <v>262</v>
      </c>
      <c r="C353" s="169"/>
      <c r="D353" s="169" t="s">
        <v>262</v>
      </c>
      <c r="E353" s="169"/>
    </row>
    <row r="354" spans="1:5" x14ac:dyDescent="0.2">
      <c r="A354" t="s">
        <v>1965</v>
      </c>
      <c r="B354" s="169" t="s">
        <v>262</v>
      </c>
      <c r="C354" s="169"/>
      <c r="D354" s="169" t="s">
        <v>262</v>
      </c>
      <c r="E354" s="169"/>
    </row>
    <row r="355" spans="1:5" x14ac:dyDescent="0.2">
      <c r="A355" t="s">
        <v>262</v>
      </c>
      <c r="B355" s="169" t="s">
        <v>262</v>
      </c>
      <c r="C355" s="169"/>
      <c r="D355" s="169" t="s">
        <v>262</v>
      </c>
      <c r="E355" s="169"/>
    </row>
    <row r="356" spans="1:5" x14ac:dyDescent="0.2">
      <c r="A356" t="s">
        <v>1966</v>
      </c>
      <c r="B356" s="169" t="s">
        <v>262</v>
      </c>
      <c r="C356" s="169"/>
      <c r="D356" s="169" t="s">
        <v>262</v>
      </c>
      <c r="E356" s="169"/>
    </row>
    <row r="357" spans="1:5" x14ac:dyDescent="0.2">
      <c r="A357" t="s">
        <v>262</v>
      </c>
      <c r="B357" s="169" t="s">
        <v>262</v>
      </c>
      <c r="C357" s="169"/>
      <c r="D357" s="169" t="s">
        <v>262</v>
      </c>
      <c r="E357" s="169"/>
    </row>
    <row r="358" spans="1:5" x14ac:dyDescent="0.2">
      <c r="A358" t="s">
        <v>1967</v>
      </c>
      <c r="B358" s="169" t="s">
        <v>262</v>
      </c>
      <c r="C358" s="169"/>
      <c r="D358" s="169" t="s">
        <v>262</v>
      </c>
      <c r="E358" s="169"/>
    </row>
    <row r="359" spans="1:5" x14ac:dyDescent="0.2">
      <c r="A359" t="s">
        <v>262</v>
      </c>
      <c r="B359" s="169" t="s">
        <v>262</v>
      </c>
      <c r="C359" s="169"/>
      <c r="D359" s="169" t="s">
        <v>262</v>
      </c>
      <c r="E359" s="169"/>
    </row>
    <row r="360" spans="1:5" x14ac:dyDescent="0.2">
      <c r="A360" t="s">
        <v>1968</v>
      </c>
      <c r="B360" s="169" t="s">
        <v>262</v>
      </c>
      <c r="C360" s="169"/>
      <c r="D360" s="169" t="s">
        <v>262</v>
      </c>
      <c r="E360" s="169"/>
    </row>
    <row r="361" spans="1:5" x14ac:dyDescent="0.2">
      <c r="A361" t="s">
        <v>262</v>
      </c>
      <c r="B361" s="169" t="s">
        <v>262</v>
      </c>
      <c r="C361" s="169"/>
      <c r="D361" s="169" t="s">
        <v>262</v>
      </c>
      <c r="E361" s="169"/>
    </row>
    <row r="362" spans="1:5" x14ac:dyDescent="0.2">
      <c r="A362" t="s">
        <v>1969</v>
      </c>
      <c r="B362" s="169" t="s">
        <v>262</v>
      </c>
      <c r="C362" s="169"/>
      <c r="D362" s="169" t="s">
        <v>262</v>
      </c>
      <c r="E362" s="169"/>
    </row>
    <row r="363" spans="1:5" x14ac:dyDescent="0.2">
      <c r="A363" t="s">
        <v>262</v>
      </c>
      <c r="B363" s="169" t="s">
        <v>262</v>
      </c>
      <c r="C363" s="169"/>
      <c r="D363" s="169" t="s">
        <v>262</v>
      </c>
      <c r="E363" s="169"/>
    </row>
    <row r="364" spans="1:5" x14ac:dyDescent="0.2">
      <c r="A364" t="s">
        <v>1970</v>
      </c>
      <c r="B364" s="169" t="s">
        <v>262</v>
      </c>
      <c r="C364" s="169"/>
      <c r="D364" s="169" t="s">
        <v>262</v>
      </c>
      <c r="E364" s="169"/>
    </row>
    <row r="365" spans="1:5" x14ac:dyDescent="0.2">
      <c r="A365" t="s">
        <v>262</v>
      </c>
      <c r="B365" s="169" t="s">
        <v>262</v>
      </c>
      <c r="C365" s="169"/>
      <c r="D365" s="169" t="s">
        <v>262</v>
      </c>
      <c r="E365" s="169"/>
    </row>
    <row r="366" spans="1:5" x14ac:dyDescent="0.2">
      <c r="A366" t="s">
        <v>1971</v>
      </c>
      <c r="B366" s="169" t="s">
        <v>262</v>
      </c>
      <c r="C366" s="169"/>
      <c r="D366" s="169" t="s">
        <v>262</v>
      </c>
      <c r="E366" s="169"/>
    </row>
    <row r="367" spans="1:5" x14ac:dyDescent="0.2">
      <c r="A367" t="s">
        <v>262</v>
      </c>
      <c r="B367" s="169" t="s">
        <v>262</v>
      </c>
      <c r="C367" s="169"/>
      <c r="D367" s="169" t="s">
        <v>262</v>
      </c>
      <c r="E367" s="169"/>
    </row>
    <row r="368" spans="1:5" x14ac:dyDescent="0.2">
      <c r="A368" t="s">
        <v>1972</v>
      </c>
      <c r="B368" s="169" t="s">
        <v>262</v>
      </c>
      <c r="C368" s="169"/>
      <c r="D368" s="169" t="s">
        <v>262</v>
      </c>
      <c r="E368" s="169"/>
    </row>
    <row r="369" spans="1:5" x14ac:dyDescent="0.2">
      <c r="A369" t="s">
        <v>262</v>
      </c>
      <c r="B369" s="169" t="s">
        <v>262</v>
      </c>
      <c r="C369" s="169"/>
      <c r="D369" s="169" t="s">
        <v>262</v>
      </c>
      <c r="E369" s="169"/>
    </row>
    <row r="370" spans="1:5" x14ac:dyDescent="0.2">
      <c r="A370" t="s">
        <v>1973</v>
      </c>
      <c r="B370" s="169" t="s">
        <v>262</v>
      </c>
      <c r="C370" s="169"/>
      <c r="D370" s="169" t="s">
        <v>262</v>
      </c>
      <c r="E370" s="169"/>
    </row>
    <row r="371" spans="1:5" x14ac:dyDescent="0.2">
      <c r="A371" t="s">
        <v>262</v>
      </c>
      <c r="B371" s="169" t="s">
        <v>262</v>
      </c>
      <c r="C371" s="169"/>
      <c r="D371" s="169" t="s">
        <v>262</v>
      </c>
      <c r="E371" s="169"/>
    </row>
    <row r="372" spans="1:5" x14ac:dyDescent="0.2">
      <c r="A372" t="s">
        <v>1974</v>
      </c>
      <c r="B372" s="169" t="s">
        <v>262</v>
      </c>
      <c r="C372" s="169"/>
      <c r="D372" s="169" t="s">
        <v>262</v>
      </c>
      <c r="E372" s="169"/>
    </row>
    <row r="373" spans="1:5" x14ac:dyDescent="0.2">
      <c r="A373" t="s">
        <v>262</v>
      </c>
      <c r="B373" s="169" t="s">
        <v>262</v>
      </c>
      <c r="C373" s="169"/>
      <c r="D373" s="169" t="s">
        <v>262</v>
      </c>
      <c r="E373" s="169"/>
    </row>
    <row r="374" spans="1:5" x14ac:dyDescent="0.2">
      <c r="A374" t="s">
        <v>1975</v>
      </c>
      <c r="B374" s="169" t="s">
        <v>262</v>
      </c>
      <c r="C374" s="169"/>
      <c r="D374" s="169" t="s">
        <v>262</v>
      </c>
      <c r="E374" s="169"/>
    </row>
    <row r="375" spans="1:5" x14ac:dyDescent="0.2">
      <c r="A375" t="s">
        <v>262</v>
      </c>
      <c r="B375" s="169" t="s">
        <v>262</v>
      </c>
      <c r="C375" s="169"/>
      <c r="D375" s="169" t="s">
        <v>262</v>
      </c>
      <c r="E375" s="169"/>
    </row>
    <row r="376" spans="1:5" x14ac:dyDescent="0.2">
      <c r="A376" t="s">
        <v>1976</v>
      </c>
      <c r="B376" s="169" t="s">
        <v>262</v>
      </c>
      <c r="C376" s="169"/>
      <c r="D376" s="169" t="s">
        <v>262</v>
      </c>
      <c r="E376" s="169"/>
    </row>
    <row r="377" spans="1:5" x14ac:dyDescent="0.2">
      <c r="A377" t="s">
        <v>262</v>
      </c>
      <c r="B377" s="169" t="s">
        <v>262</v>
      </c>
      <c r="C377" s="169"/>
      <c r="D377" s="169" t="s">
        <v>262</v>
      </c>
      <c r="E377" s="169"/>
    </row>
    <row r="378" spans="1:5" x14ac:dyDescent="0.2">
      <c r="A378" t="s">
        <v>1977</v>
      </c>
      <c r="B378" s="169" t="s">
        <v>262</v>
      </c>
      <c r="C378" s="169"/>
      <c r="D378" s="169" t="s">
        <v>262</v>
      </c>
      <c r="E378" s="169"/>
    </row>
    <row r="379" spans="1:5" x14ac:dyDescent="0.2">
      <c r="A379" t="s">
        <v>262</v>
      </c>
      <c r="B379" s="169" t="s">
        <v>262</v>
      </c>
      <c r="C379" s="169"/>
      <c r="D379" s="169" t="s">
        <v>262</v>
      </c>
      <c r="E379" s="169"/>
    </row>
    <row r="380" spans="1:5" x14ac:dyDescent="0.2">
      <c r="A380" t="s">
        <v>1978</v>
      </c>
      <c r="B380" s="169" t="s">
        <v>262</v>
      </c>
      <c r="C380" s="169"/>
      <c r="D380" s="169" t="s">
        <v>262</v>
      </c>
      <c r="E380" s="169"/>
    </row>
    <row r="381" spans="1:5" x14ac:dyDescent="0.2">
      <c r="A381" t="s">
        <v>262</v>
      </c>
      <c r="B381" s="169" t="s">
        <v>262</v>
      </c>
      <c r="C381" s="169"/>
      <c r="D381" s="169" t="s">
        <v>262</v>
      </c>
      <c r="E381" s="169"/>
    </row>
    <row r="382" spans="1:5" x14ac:dyDescent="0.2">
      <c r="A382" t="s">
        <v>1979</v>
      </c>
      <c r="B382" s="169" t="s">
        <v>262</v>
      </c>
      <c r="C382" s="169"/>
      <c r="D382" s="169" t="s">
        <v>262</v>
      </c>
      <c r="E382" s="169"/>
    </row>
    <row r="383" spans="1:5" x14ac:dyDescent="0.2">
      <c r="A383" t="s">
        <v>262</v>
      </c>
      <c r="B383" s="169" t="s">
        <v>262</v>
      </c>
      <c r="C383" s="169"/>
      <c r="D383" s="169" t="s">
        <v>262</v>
      </c>
      <c r="E383" s="169"/>
    </row>
    <row r="384" spans="1:5" x14ac:dyDescent="0.2">
      <c r="A384" t="s">
        <v>1980</v>
      </c>
      <c r="B384" s="169" t="s">
        <v>262</v>
      </c>
      <c r="C384" s="169"/>
      <c r="D384" s="169" t="s">
        <v>262</v>
      </c>
      <c r="E384" s="169"/>
    </row>
    <row r="385" spans="1:5" x14ac:dyDescent="0.2">
      <c r="A385" t="s">
        <v>262</v>
      </c>
      <c r="B385" s="169" t="s">
        <v>262</v>
      </c>
      <c r="C385" s="169"/>
      <c r="D385" s="169" t="s">
        <v>262</v>
      </c>
      <c r="E385" s="169"/>
    </row>
    <row r="386" spans="1:5" x14ac:dyDescent="0.2">
      <c r="A386" t="s">
        <v>1610</v>
      </c>
      <c r="B386" s="169" t="s">
        <v>262</v>
      </c>
      <c r="C386" s="169" t="s">
        <v>262</v>
      </c>
      <c r="D386" s="169" t="s">
        <v>1611</v>
      </c>
      <c r="E386" s="169" t="s">
        <v>262</v>
      </c>
    </row>
    <row r="387" spans="1:5" x14ac:dyDescent="0.2">
      <c r="A387" t="s">
        <v>262</v>
      </c>
      <c r="B387" s="169" t="s">
        <v>262</v>
      </c>
      <c r="C387" s="169" t="s">
        <v>262</v>
      </c>
      <c r="D387" s="169" t="s">
        <v>1054</v>
      </c>
      <c r="E387" s="169" t="s">
        <v>262</v>
      </c>
    </row>
    <row r="388" spans="1:5" x14ac:dyDescent="0.2">
      <c r="A388" t="s">
        <v>1612</v>
      </c>
      <c r="B388" s="169" t="s">
        <v>262</v>
      </c>
      <c r="C388" s="169" t="s">
        <v>262</v>
      </c>
      <c r="D388" s="169" t="s">
        <v>1613</v>
      </c>
      <c r="E388" s="169" t="s">
        <v>262</v>
      </c>
    </row>
    <row r="389" spans="1:5" x14ac:dyDescent="0.2">
      <c r="A389" t="s">
        <v>262</v>
      </c>
      <c r="B389" s="169" t="s">
        <v>262</v>
      </c>
      <c r="C389" s="169" t="s">
        <v>262</v>
      </c>
      <c r="D389" s="169" t="s">
        <v>1262</v>
      </c>
      <c r="E389" s="169" t="s">
        <v>262</v>
      </c>
    </row>
    <row r="390" spans="1:5" x14ac:dyDescent="0.2">
      <c r="A390" t="s">
        <v>1616</v>
      </c>
      <c r="B390" s="169" t="s">
        <v>262</v>
      </c>
      <c r="C390" s="169" t="s">
        <v>262</v>
      </c>
      <c r="D390" s="169" t="s">
        <v>1617</v>
      </c>
      <c r="E390" s="169" t="s">
        <v>262</v>
      </c>
    </row>
    <row r="391" spans="1:5" x14ac:dyDescent="0.2">
      <c r="A391" t="s">
        <v>262</v>
      </c>
      <c r="B391" s="169" t="s">
        <v>262</v>
      </c>
      <c r="C391" s="169" t="s">
        <v>262</v>
      </c>
      <c r="D391" s="169" t="s">
        <v>1618</v>
      </c>
      <c r="E391" s="169" t="s">
        <v>262</v>
      </c>
    </row>
    <row r="392" spans="1:5" x14ac:dyDescent="0.2">
      <c r="A392" t="s">
        <v>1619</v>
      </c>
      <c r="B392" s="169" t="s">
        <v>262</v>
      </c>
      <c r="C392" s="169" t="s">
        <v>262</v>
      </c>
      <c r="D392" s="169" t="s">
        <v>1620</v>
      </c>
      <c r="E392" s="169" t="s">
        <v>262</v>
      </c>
    </row>
    <row r="393" spans="1:5" x14ac:dyDescent="0.2">
      <c r="A393" t="s">
        <v>262</v>
      </c>
      <c r="B393" s="169" t="s">
        <v>262</v>
      </c>
      <c r="C393" s="169" t="s">
        <v>262</v>
      </c>
      <c r="D393" s="169" t="s">
        <v>1621</v>
      </c>
      <c r="E393" s="169" t="s">
        <v>262</v>
      </c>
    </row>
    <row r="394" spans="1:5" x14ac:dyDescent="0.2">
      <c r="A394" t="s">
        <v>1622</v>
      </c>
      <c r="B394" s="169" t="s">
        <v>262</v>
      </c>
      <c r="C394" s="169" t="s">
        <v>262</v>
      </c>
      <c r="D394" s="169" t="s">
        <v>1623</v>
      </c>
      <c r="E394" s="169" t="s">
        <v>262</v>
      </c>
    </row>
    <row r="395" spans="1:5" x14ac:dyDescent="0.2">
      <c r="A395" t="s">
        <v>262</v>
      </c>
      <c r="B395" s="169" t="s">
        <v>262</v>
      </c>
      <c r="C395" s="169" t="s">
        <v>262</v>
      </c>
      <c r="D395" s="169" t="s">
        <v>1624</v>
      </c>
      <c r="E395" s="169" t="s">
        <v>262</v>
      </c>
    </row>
    <row r="396" spans="1:5" x14ac:dyDescent="0.2">
      <c r="A396" t="s">
        <v>1625</v>
      </c>
      <c r="B396" s="169" t="s">
        <v>262</v>
      </c>
      <c r="C396" s="169" t="s">
        <v>262</v>
      </c>
      <c r="D396" s="169" t="s">
        <v>1626</v>
      </c>
      <c r="E396" s="169" t="s">
        <v>262</v>
      </c>
    </row>
    <row r="397" spans="1:5" x14ac:dyDescent="0.2">
      <c r="A397" t="s">
        <v>262</v>
      </c>
      <c r="B397" s="169" t="s">
        <v>262</v>
      </c>
      <c r="C397" s="169" t="s">
        <v>262</v>
      </c>
      <c r="D397" s="169" t="s">
        <v>1627</v>
      </c>
      <c r="E397" s="169" t="s">
        <v>262</v>
      </c>
    </row>
    <row r="398" spans="1:5" x14ac:dyDescent="0.2">
      <c r="A398" t="s">
        <v>1628</v>
      </c>
      <c r="B398" s="169" t="s">
        <v>262</v>
      </c>
      <c r="C398" s="169" t="s">
        <v>262</v>
      </c>
      <c r="D398" s="169" t="s">
        <v>1629</v>
      </c>
      <c r="E398" s="169" t="s">
        <v>262</v>
      </c>
    </row>
    <row r="399" spans="1:5" x14ac:dyDescent="0.2">
      <c r="A399" t="s">
        <v>262</v>
      </c>
      <c r="B399" s="169" t="s">
        <v>262</v>
      </c>
      <c r="C399" s="169" t="s">
        <v>262</v>
      </c>
      <c r="D399" s="169" t="s">
        <v>1630</v>
      </c>
      <c r="E399" s="169" t="s">
        <v>262</v>
      </c>
    </row>
    <row r="400" spans="1:5" x14ac:dyDescent="0.2">
      <c r="A400" t="s">
        <v>1631</v>
      </c>
      <c r="B400" s="169" t="s">
        <v>1764</v>
      </c>
      <c r="C400" s="169" t="s">
        <v>1780</v>
      </c>
      <c r="D400" s="169" t="s">
        <v>1632</v>
      </c>
      <c r="E400" s="169" t="s">
        <v>262</v>
      </c>
    </row>
    <row r="401" spans="1:5" x14ac:dyDescent="0.2">
      <c r="A401" t="s">
        <v>262</v>
      </c>
      <c r="B401" s="169" t="s">
        <v>1765</v>
      </c>
      <c r="C401" s="169" t="s">
        <v>1781</v>
      </c>
      <c r="D401" s="169" t="s">
        <v>1273</v>
      </c>
      <c r="E401" s="169" t="s">
        <v>262</v>
      </c>
    </row>
    <row r="402" spans="1:5" x14ac:dyDescent="0.2">
      <c r="A402" t="s">
        <v>262</v>
      </c>
      <c r="B402" s="169" t="s">
        <v>262</v>
      </c>
      <c r="C402" s="169" t="s">
        <v>262</v>
      </c>
      <c r="D402" s="169" t="s">
        <v>262</v>
      </c>
      <c r="E402" s="169" t="s">
        <v>262</v>
      </c>
    </row>
    <row r="403" spans="1:5" x14ac:dyDescent="0.2">
      <c r="A403" t="s">
        <v>1633</v>
      </c>
      <c r="B403" s="169" t="s">
        <v>1772</v>
      </c>
      <c r="C403" s="169" t="s">
        <v>1782</v>
      </c>
      <c r="D403" s="169" t="s">
        <v>1634</v>
      </c>
      <c r="E403" s="169" t="s">
        <v>1782</v>
      </c>
    </row>
    <row r="404" spans="1:5" x14ac:dyDescent="0.2">
      <c r="A404" s="1908" t="s">
        <v>1635</v>
      </c>
      <c r="B404" s="1907" t="s">
        <v>1636</v>
      </c>
      <c r="C404" s="1907" t="s">
        <v>1637</v>
      </c>
      <c r="D404" s="1907" t="s">
        <v>1638</v>
      </c>
      <c r="E404" s="1907" t="s">
        <v>1931</v>
      </c>
    </row>
    <row r="405" spans="1:5" x14ac:dyDescent="0.2">
      <c r="A405" t="s">
        <v>1639</v>
      </c>
    </row>
    <row r="406" spans="1:5" x14ac:dyDescent="0.2">
      <c r="A406" t="s">
        <v>1640</v>
      </c>
    </row>
  </sheetData>
  <mergeCells count="2">
    <mergeCell ref="A3:E3"/>
    <mergeCell ref="B5:E5"/>
  </mergeCells>
  <pageMargins left="0.7" right="0.7" top="0.75" bottom="0.75" header="0.3" footer="0.3"/>
  <pageSetup scale="50" fitToHeight="0" orientation="landscape" horizontalDpi="4294967292" verticalDpi="429496729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843"/>
  <sheetViews>
    <sheetView workbookViewId="0">
      <selection activeCell="G396" sqref="G396"/>
    </sheetView>
  </sheetViews>
  <sheetFormatPr baseColWidth="10" defaultColWidth="8.83203125" defaultRowHeight="16" x14ac:dyDescent="0.2"/>
  <cols>
    <col min="2" max="2" width="16.6640625" bestFit="1" customWidth="1"/>
  </cols>
  <sheetData>
    <row r="1" spans="1:2" x14ac:dyDescent="0.2">
      <c r="A1" t="s">
        <v>1641</v>
      </c>
      <c r="B1" t="s">
        <v>1642</v>
      </c>
    </row>
    <row r="2" spans="1:2" x14ac:dyDescent="0.2">
      <c r="B2" t="s">
        <v>1643</v>
      </c>
    </row>
    <row r="3" spans="1:2" x14ac:dyDescent="0.2">
      <c r="A3" t="s">
        <v>853</v>
      </c>
      <c r="B3" s="1028">
        <v>176188000</v>
      </c>
    </row>
    <row r="4" spans="1:2" x14ac:dyDescent="0.2">
      <c r="A4" t="s">
        <v>1644</v>
      </c>
      <c r="B4" s="105">
        <v>-477367000</v>
      </c>
    </row>
    <row r="5" spans="1:2" x14ac:dyDescent="0.2">
      <c r="A5" t="s">
        <v>1645</v>
      </c>
      <c r="B5" s="1028">
        <v>2550835</v>
      </c>
    </row>
    <row r="6" spans="1:2" x14ac:dyDescent="0.2">
      <c r="A6" t="s">
        <v>1646</v>
      </c>
      <c r="B6" s="1028">
        <v>3300030000</v>
      </c>
    </row>
    <row r="7" spans="1:2" x14ac:dyDescent="0.2">
      <c r="A7" t="s">
        <v>1647</v>
      </c>
      <c r="B7" s="105">
        <v>2478640000</v>
      </c>
    </row>
    <row r="8" spans="1:2" x14ac:dyDescent="0.2">
      <c r="A8" t="s">
        <v>1648</v>
      </c>
      <c r="B8" s="105">
        <v>352205</v>
      </c>
    </row>
    <row r="9" spans="1:2" x14ac:dyDescent="0.2">
      <c r="A9" t="s">
        <v>809</v>
      </c>
      <c r="B9" s="105">
        <v>2494830000</v>
      </c>
    </row>
    <row r="10" spans="1:2" x14ac:dyDescent="0.2">
      <c r="A10" t="s">
        <v>810</v>
      </c>
      <c r="B10" s="1028">
        <v>685154000</v>
      </c>
    </row>
    <row r="11" spans="1:2" x14ac:dyDescent="0.2">
      <c r="A11" t="s">
        <v>1649</v>
      </c>
      <c r="B11" s="1028">
        <v>-123259000</v>
      </c>
    </row>
    <row r="12" spans="1:2" x14ac:dyDescent="0.2">
      <c r="A12" t="s">
        <v>811</v>
      </c>
      <c r="B12" s="105">
        <v>6445820000</v>
      </c>
    </row>
    <row r="13" spans="1:2" x14ac:dyDescent="0.2">
      <c r="A13" t="s">
        <v>1650</v>
      </c>
      <c r="B13" s="1028">
        <v>431317000</v>
      </c>
    </row>
    <row r="14" spans="1:2" x14ac:dyDescent="0.2">
      <c r="A14" t="s">
        <v>1651</v>
      </c>
      <c r="B14" s="105">
        <v>207567000</v>
      </c>
    </row>
    <row r="15" spans="1:2" x14ac:dyDescent="0.2">
      <c r="A15" t="s">
        <v>983</v>
      </c>
      <c r="B15" s="1028">
        <v>223158000</v>
      </c>
    </row>
    <row r="16" spans="1:2" x14ac:dyDescent="0.2">
      <c r="A16" t="s">
        <v>854</v>
      </c>
      <c r="B16" s="1028">
        <v>21809600000</v>
      </c>
    </row>
    <row r="17" spans="1:2" x14ac:dyDescent="0.2">
      <c r="A17" t="s">
        <v>1652</v>
      </c>
      <c r="B17" s="105">
        <v>12453334</v>
      </c>
    </row>
    <row r="18" spans="1:2" x14ac:dyDescent="0.2">
      <c r="A18" t="s">
        <v>1653</v>
      </c>
      <c r="B18" s="1028">
        <v>12202232</v>
      </c>
    </row>
    <row r="19" spans="1:2" x14ac:dyDescent="0.2">
      <c r="A19" t="s">
        <v>857</v>
      </c>
      <c r="B19" s="105">
        <v>24900500000</v>
      </c>
    </row>
    <row r="20" spans="1:2" x14ac:dyDescent="0.2">
      <c r="A20" t="s">
        <v>1654</v>
      </c>
      <c r="B20" s="1028">
        <v>17050125</v>
      </c>
    </row>
    <row r="21" spans="1:2" x14ac:dyDescent="0.2">
      <c r="A21" t="s">
        <v>843</v>
      </c>
      <c r="B21" s="1028">
        <v>367614000</v>
      </c>
    </row>
    <row r="22" spans="1:2" x14ac:dyDescent="0.2">
      <c r="A22" t="s">
        <v>855</v>
      </c>
      <c r="B22" s="1028">
        <v>1276910000</v>
      </c>
    </row>
    <row r="23" spans="1:2" x14ac:dyDescent="0.2">
      <c r="A23" t="s">
        <v>1655</v>
      </c>
      <c r="B23" s="1028">
        <v>-591701</v>
      </c>
    </row>
    <row r="24" spans="1:2" x14ac:dyDescent="0.2">
      <c r="A24" t="s">
        <v>1656</v>
      </c>
      <c r="B24" s="1028">
        <v>12152580</v>
      </c>
    </row>
    <row r="25" spans="1:2" x14ac:dyDescent="0.2">
      <c r="A25" t="s">
        <v>812</v>
      </c>
      <c r="B25" s="105">
        <v>17595000000</v>
      </c>
    </row>
    <row r="26" spans="1:2" x14ac:dyDescent="0.2">
      <c r="A26" t="s">
        <v>840</v>
      </c>
      <c r="B26" s="1028">
        <v>-6204430000</v>
      </c>
    </row>
    <row r="27" spans="1:2" x14ac:dyDescent="0.2">
      <c r="A27" t="s">
        <v>813</v>
      </c>
      <c r="B27" s="105">
        <v>4252560000</v>
      </c>
    </row>
    <row r="28" spans="1:2" x14ac:dyDescent="0.2">
      <c r="A28" t="s">
        <v>844</v>
      </c>
      <c r="B28" s="1028">
        <v>19083100000</v>
      </c>
    </row>
    <row r="29" spans="1:2" x14ac:dyDescent="0.2">
      <c r="A29" t="s">
        <v>1657</v>
      </c>
      <c r="B29" s="1028">
        <v>-51869500</v>
      </c>
    </row>
    <row r="30" spans="1:2" x14ac:dyDescent="0.2">
      <c r="A30" t="s">
        <v>1658</v>
      </c>
      <c r="B30" s="1028">
        <v>-34590600</v>
      </c>
    </row>
    <row r="31" spans="1:2" x14ac:dyDescent="0.2">
      <c r="A31" t="s">
        <v>1659</v>
      </c>
      <c r="B31" s="1028">
        <v>-429417000</v>
      </c>
    </row>
    <row r="32" spans="1:2" x14ac:dyDescent="0.2">
      <c r="A32" t="s">
        <v>845</v>
      </c>
      <c r="B32" s="105">
        <v>1055410000</v>
      </c>
    </row>
    <row r="33" spans="1:2" x14ac:dyDescent="0.2">
      <c r="A33" t="s">
        <v>846</v>
      </c>
      <c r="B33" s="105">
        <v>797307000</v>
      </c>
    </row>
    <row r="34" spans="1:2" x14ac:dyDescent="0.2">
      <c r="A34" t="s">
        <v>860</v>
      </c>
      <c r="B34" s="105">
        <v>178547000</v>
      </c>
    </row>
    <row r="35" spans="1:2" x14ac:dyDescent="0.2">
      <c r="A35" t="s">
        <v>859</v>
      </c>
      <c r="B35" s="1028">
        <v>23792300000</v>
      </c>
    </row>
    <row r="36" spans="1:2" x14ac:dyDescent="0.2">
      <c r="A36" t="s">
        <v>861</v>
      </c>
      <c r="B36" s="105">
        <v>1523090000</v>
      </c>
    </row>
    <row r="37" spans="1:2" x14ac:dyDescent="0.2">
      <c r="A37" t="s">
        <v>814</v>
      </c>
      <c r="B37" s="1028">
        <v>942547000</v>
      </c>
    </row>
    <row r="38" spans="1:2" x14ac:dyDescent="0.2">
      <c r="A38" t="s">
        <v>819</v>
      </c>
      <c r="B38" s="1028">
        <v>11109500000</v>
      </c>
    </row>
    <row r="39" spans="1:2" x14ac:dyDescent="0.2">
      <c r="A39" t="s">
        <v>815</v>
      </c>
      <c r="B39" s="1028">
        <v>980305000</v>
      </c>
    </row>
    <row r="40" spans="1:2" x14ac:dyDescent="0.2">
      <c r="A40" t="s">
        <v>1660</v>
      </c>
      <c r="B40" s="1028">
        <v>448577000</v>
      </c>
    </row>
    <row r="41" spans="1:2" x14ac:dyDescent="0.2">
      <c r="A41" t="s">
        <v>1661</v>
      </c>
      <c r="B41" s="1028">
        <v>1219730000</v>
      </c>
    </row>
    <row r="42" spans="1:2" x14ac:dyDescent="0.2">
      <c r="A42" t="s">
        <v>1662</v>
      </c>
      <c r="B42" s="105">
        <v>23713515</v>
      </c>
    </row>
    <row r="43" spans="1:2" x14ac:dyDescent="0.2">
      <c r="A43" t="s">
        <v>1663</v>
      </c>
      <c r="B43" s="1028">
        <v>430614000</v>
      </c>
    </row>
    <row r="44" spans="1:2" x14ac:dyDescent="0.2">
      <c r="A44" t="s">
        <v>838</v>
      </c>
      <c r="B44" s="1028">
        <v>912033000</v>
      </c>
    </row>
    <row r="45" spans="1:2" x14ac:dyDescent="0.2">
      <c r="A45" t="s">
        <v>816</v>
      </c>
      <c r="B45" s="1028">
        <v>52655331</v>
      </c>
    </row>
    <row r="46" spans="1:2" x14ac:dyDescent="0.2">
      <c r="A46" t="s">
        <v>817</v>
      </c>
      <c r="B46" s="1028">
        <v>851291000</v>
      </c>
    </row>
    <row r="47" spans="1:2" x14ac:dyDescent="0.2">
      <c r="A47" t="s">
        <v>1664</v>
      </c>
      <c r="B47" s="1028">
        <v>18984874</v>
      </c>
    </row>
    <row r="48" spans="1:2" x14ac:dyDescent="0.2">
      <c r="A48" t="s">
        <v>1665</v>
      </c>
      <c r="B48" s="1028">
        <v>552660000000</v>
      </c>
    </row>
    <row r="49" spans="1:2" x14ac:dyDescent="0.2">
      <c r="A49" t="s">
        <v>818</v>
      </c>
      <c r="B49" s="1028">
        <v>4795900000</v>
      </c>
    </row>
    <row r="50" spans="1:2" x14ac:dyDescent="0.2">
      <c r="A50" t="s">
        <v>1666</v>
      </c>
      <c r="B50" s="1028">
        <v>-127245000</v>
      </c>
    </row>
    <row r="51" spans="1:2" x14ac:dyDescent="0.2">
      <c r="A51" t="s">
        <v>842</v>
      </c>
      <c r="B51" s="1028">
        <v>28719500000</v>
      </c>
    </row>
    <row r="52" spans="1:2" x14ac:dyDescent="0.2">
      <c r="A52" t="s">
        <v>1667</v>
      </c>
      <c r="B52" s="1028">
        <v>31141377</v>
      </c>
    </row>
    <row r="53" spans="1:2" x14ac:dyDescent="0.2">
      <c r="A53" t="s">
        <v>864</v>
      </c>
      <c r="B53" s="1028">
        <v>236391000</v>
      </c>
    </row>
    <row r="54" spans="1:2" x14ac:dyDescent="0.2">
      <c r="A54" t="s">
        <v>1668</v>
      </c>
      <c r="B54" s="1028">
        <v>-5242612</v>
      </c>
    </row>
    <row r="55" spans="1:2" x14ac:dyDescent="0.2">
      <c r="A55" t="s">
        <v>1669</v>
      </c>
      <c r="B55" s="1028">
        <v>439638000</v>
      </c>
    </row>
    <row r="56" spans="1:2" x14ac:dyDescent="0.2">
      <c r="A56" t="s">
        <v>820</v>
      </c>
      <c r="B56" s="1028">
        <v>276190000</v>
      </c>
    </row>
    <row r="57" spans="1:2" x14ac:dyDescent="0.2">
      <c r="A57" t="s">
        <v>1670</v>
      </c>
      <c r="B57" s="1028">
        <v>29906307</v>
      </c>
    </row>
    <row r="58" spans="1:2" x14ac:dyDescent="0.2">
      <c r="A58" t="s">
        <v>1671</v>
      </c>
      <c r="B58" s="105">
        <v>74599310</v>
      </c>
    </row>
    <row r="59" spans="1:2" x14ac:dyDescent="0.2">
      <c r="A59" t="s">
        <v>866</v>
      </c>
      <c r="B59" s="1028">
        <v>9714420000</v>
      </c>
    </row>
    <row r="60" spans="1:2" x14ac:dyDescent="0.2">
      <c r="A60" t="s">
        <v>1672</v>
      </c>
      <c r="B60" s="1028">
        <v>143953000</v>
      </c>
    </row>
    <row r="61" spans="1:2" x14ac:dyDescent="0.2">
      <c r="A61" t="s">
        <v>1673</v>
      </c>
      <c r="B61" s="1028">
        <v>77213871</v>
      </c>
    </row>
    <row r="62" spans="1:2" x14ac:dyDescent="0.2">
      <c r="A62" t="s">
        <v>821</v>
      </c>
      <c r="B62" s="105">
        <v>6030490000</v>
      </c>
    </row>
    <row r="63" spans="1:2" x14ac:dyDescent="0.2">
      <c r="A63" t="s">
        <v>1674</v>
      </c>
      <c r="B63" s="1028">
        <v>3293650000</v>
      </c>
    </row>
    <row r="64" spans="1:2" x14ac:dyDescent="0.2">
      <c r="A64" t="s">
        <v>847</v>
      </c>
      <c r="B64" s="1028">
        <v>12030900000</v>
      </c>
    </row>
    <row r="65" spans="1:2" x14ac:dyDescent="0.2">
      <c r="A65" t="s">
        <v>823</v>
      </c>
      <c r="B65" s="105">
        <v>31390500000</v>
      </c>
    </row>
    <row r="66" spans="1:2" x14ac:dyDescent="0.2">
      <c r="A66" t="s">
        <v>1675</v>
      </c>
      <c r="B66" s="1028">
        <v>-154333000</v>
      </c>
    </row>
    <row r="67" spans="1:2" x14ac:dyDescent="0.2">
      <c r="A67" t="s">
        <v>822</v>
      </c>
      <c r="B67" s="1028">
        <v>-291958000</v>
      </c>
    </row>
    <row r="68" spans="1:2" x14ac:dyDescent="0.2">
      <c r="A68" t="s">
        <v>824</v>
      </c>
      <c r="B68" s="105">
        <v>2482010000</v>
      </c>
    </row>
    <row r="69" spans="1:2" x14ac:dyDescent="0.2">
      <c r="A69" t="s">
        <v>825</v>
      </c>
      <c r="B69" s="1028">
        <v>3399820000</v>
      </c>
    </row>
    <row r="70" spans="1:2" x14ac:dyDescent="0.2">
      <c r="A70" t="s">
        <v>1676</v>
      </c>
      <c r="B70" s="1028">
        <v>59665571</v>
      </c>
    </row>
    <row r="71" spans="1:2" x14ac:dyDescent="0.2">
      <c r="A71" t="s">
        <v>862</v>
      </c>
      <c r="B71" s="105">
        <v>89081267</v>
      </c>
    </row>
    <row r="72" spans="1:2" x14ac:dyDescent="0.2">
      <c r="A72" t="s">
        <v>1677</v>
      </c>
      <c r="B72" s="1028">
        <v>228208000</v>
      </c>
    </row>
    <row r="73" spans="1:2" x14ac:dyDescent="0.2">
      <c r="A73" t="s">
        <v>826</v>
      </c>
      <c r="B73" s="1028">
        <v>25952400000</v>
      </c>
    </row>
    <row r="74" spans="1:2" x14ac:dyDescent="0.2">
      <c r="A74" t="s">
        <v>1678</v>
      </c>
      <c r="B74" s="105">
        <v>513976000</v>
      </c>
    </row>
    <row r="75" spans="1:2" x14ac:dyDescent="0.2">
      <c r="A75" t="s">
        <v>1679</v>
      </c>
      <c r="B75" s="105">
        <v>19275331</v>
      </c>
    </row>
    <row r="76" spans="1:2" x14ac:dyDescent="0.2">
      <c r="A76" t="s">
        <v>1680</v>
      </c>
      <c r="B76" s="1028">
        <v>26541819</v>
      </c>
    </row>
    <row r="77" spans="1:2" x14ac:dyDescent="0.2">
      <c r="A77" t="s">
        <v>876</v>
      </c>
      <c r="B77" s="1028">
        <v>66165643</v>
      </c>
    </row>
    <row r="78" spans="1:2" x14ac:dyDescent="0.2">
      <c r="A78" t="s">
        <v>827</v>
      </c>
      <c r="B78" s="105">
        <v>4403770000</v>
      </c>
    </row>
    <row r="79" spans="1:2" x14ac:dyDescent="0.2">
      <c r="A79" t="s">
        <v>1681</v>
      </c>
      <c r="B79" s="1028">
        <v>179830000</v>
      </c>
    </row>
    <row r="80" spans="1:2" x14ac:dyDescent="0.2">
      <c r="A80" t="s">
        <v>868</v>
      </c>
      <c r="B80" s="1028">
        <v>62190391</v>
      </c>
    </row>
    <row r="81" spans="1:2" x14ac:dyDescent="0.2">
      <c r="A81" t="s">
        <v>1682</v>
      </c>
      <c r="B81" s="105">
        <v>-166555000</v>
      </c>
    </row>
    <row r="82" spans="1:2" x14ac:dyDescent="0.2">
      <c r="A82" t="s">
        <v>877</v>
      </c>
      <c r="B82" s="105">
        <v>55876008</v>
      </c>
    </row>
    <row r="83" spans="1:2" x14ac:dyDescent="0.2">
      <c r="A83" t="s">
        <v>1683</v>
      </c>
      <c r="B83" s="1028">
        <v>66051756</v>
      </c>
    </row>
    <row r="84" spans="1:2" x14ac:dyDescent="0.2">
      <c r="A84" t="s">
        <v>1684</v>
      </c>
      <c r="B84" s="1028">
        <v>121022000</v>
      </c>
    </row>
    <row r="85" spans="1:2" x14ac:dyDescent="0.2">
      <c r="A85" t="s">
        <v>829</v>
      </c>
      <c r="B85" s="1028">
        <v>-2139730000</v>
      </c>
    </row>
    <row r="86" spans="1:2" x14ac:dyDescent="0.2">
      <c r="A86" t="s">
        <v>828</v>
      </c>
      <c r="B86" s="105">
        <v>60399871</v>
      </c>
    </row>
    <row r="87" spans="1:2" x14ac:dyDescent="0.2">
      <c r="A87" t="s">
        <v>985</v>
      </c>
      <c r="B87" s="1028">
        <v>1528010000</v>
      </c>
    </row>
    <row r="88" spans="1:2" x14ac:dyDescent="0.2">
      <c r="A88" t="s">
        <v>1685</v>
      </c>
      <c r="B88" s="1028">
        <v>193907000</v>
      </c>
    </row>
    <row r="89" spans="1:2" x14ac:dyDescent="0.2">
      <c r="A89" t="s">
        <v>871</v>
      </c>
      <c r="B89" s="1028">
        <v>7473364</v>
      </c>
    </row>
    <row r="90" spans="1:2" x14ac:dyDescent="0.2">
      <c r="A90" t="s">
        <v>830</v>
      </c>
      <c r="B90" s="1028">
        <v>9844030000</v>
      </c>
    </row>
    <row r="91" spans="1:2" x14ac:dyDescent="0.2">
      <c r="A91" t="s">
        <v>1686</v>
      </c>
      <c r="B91" s="1028">
        <v>7282987</v>
      </c>
    </row>
    <row r="92" spans="1:2" x14ac:dyDescent="0.2">
      <c r="A92" t="s">
        <v>870</v>
      </c>
      <c r="B92" s="1028">
        <v>133898000</v>
      </c>
    </row>
    <row r="93" spans="1:2" x14ac:dyDescent="0.2">
      <c r="A93" t="s">
        <v>1687</v>
      </c>
      <c r="B93" s="1028">
        <v>25001023</v>
      </c>
    </row>
    <row r="94" spans="1:2" x14ac:dyDescent="0.2">
      <c r="A94" t="s">
        <v>1688</v>
      </c>
      <c r="B94" s="1028">
        <v>-113205000</v>
      </c>
    </row>
    <row r="95" spans="1:2" x14ac:dyDescent="0.2">
      <c r="A95" t="s">
        <v>873</v>
      </c>
      <c r="B95" s="1028">
        <v>2507670000</v>
      </c>
    </row>
    <row r="96" spans="1:2" x14ac:dyDescent="0.2">
      <c r="A96" t="s">
        <v>1689</v>
      </c>
      <c r="B96" s="1028">
        <v>3113580000</v>
      </c>
    </row>
    <row r="97" spans="1:2" x14ac:dyDescent="0.2">
      <c r="A97" t="s">
        <v>1690</v>
      </c>
      <c r="B97" s="105">
        <v>3681039</v>
      </c>
    </row>
    <row r="98" spans="1:2" x14ac:dyDescent="0.2">
      <c r="A98" t="s">
        <v>1691</v>
      </c>
      <c r="B98" s="1028">
        <v>836401000</v>
      </c>
    </row>
    <row r="99" spans="1:2" x14ac:dyDescent="0.2">
      <c r="A99" t="s">
        <v>1692</v>
      </c>
      <c r="B99" s="1028">
        <v>70998583</v>
      </c>
    </row>
    <row r="100" spans="1:2" x14ac:dyDescent="0.2">
      <c r="A100" t="s">
        <v>831</v>
      </c>
      <c r="B100" s="1028">
        <v>37642600000</v>
      </c>
    </row>
    <row r="101" spans="1:2" x14ac:dyDescent="0.2">
      <c r="A101" t="s">
        <v>833</v>
      </c>
      <c r="B101" s="1028">
        <v>1082380000</v>
      </c>
    </row>
    <row r="102" spans="1:2" x14ac:dyDescent="0.2">
      <c r="A102" t="s">
        <v>832</v>
      </c>
      <c r="B102" s="1028">
        <v>910874000</v>
      </c>
    </row>
    <row r="103" spans="1:2" x14ac:dyDescent="0.2">
      <c r="A103" t="s">
        <v>1693</v>
      </c>
      <c r="B103" s="105">
        <v>-122877000</v>
      </c>
    </row>
    <row r="104" spans="1:2" x14ac:dyDescent="0.2">
      <c r="A104" t="s">
        <v>1694</v>
      </c>
      <c r="B104" s="105">
        <v>-6209700</v>
      </c>
    </row>
    <row r="105" spans="1:2" x14ac:dyDescent="0.2">
      <c r="A105" t="s">
        <v>1695</v>
      </c>
      <c r="B105" s="105">
        <v>200093000</v>
      </c>
    </row>
    <row r="106" spans="1:2" x14ac:dyDescent="0.2">
      <c r="A106" t="s">
        <v>1696</v>
      </c>
      <c r="B106" s="1028">
        <v>-382714000</v>
      </c>
    </row>
    <row r="107" spans="1:2" x14ac:dyDescent="0.2">
      <c r="A107" t="s">
        <v>1697</v>
      </c>
      <c r="B107" s="105">
        <v>8063310000</v>
      </c>
    </row>
    <row r="108" spans="1:2" x14ac:dyDescent="0.2">
      <c r="A108" t="s">
        <v>1698</v>
      </c>
      <c r="B108" s="1028">
        <v>428443000</v>
      </c>
    </row>
    <row r="109" spans="1:2" x14ac:dyDescent="0.2">
      <c r="A109" t="s">
        <v>880</v>
      </c>
      <c r="B109" s="1028">
        <v>881129000</v>
      </c>
    </row>
    <row r="110" spans="1:2" x14ac:dyDescent="0.2">
      <c r="A110" t="s">
        <v>1699</v>
      </c>
      <c r="B110" s="1028">
        <v>481913000</v>
      </c>
    </row>
    <row r="111" spans="1:2" x14ac:dyDescent="0.2">
      <c r="A111" t="s">
        <v>1700</v>
      </c>
      <c r="B111" s="105">
        <v>1929070000</v>
      </c>
    </row>
    <row r="112" spans="1:2" x14ac:dyDescent="0.2">
      <c r="A112" t="s">
        <v>1701</v>
      </c>
      <c r="B112" s="1028">
        <v>158403000</v>
      </c>
    </row>
    <row r="113" spans="1:2" x14ac:dyDescent="0.2">
      <c r="A113" t="s">
        <v>834</v>
      </c>
      <c r="B113" s="105">
        <v>1974050000</v>
      </c>
    </row>
    <row r="114" spans="1:2" x14ac:dyDescent="0.2">
      <c r="A114" t="s">
        <v>881</v>
      </c>
      <c r="B114" s="1028">
        <v>38925900000</v>
      </c>
    </row>
    <row r="115" spans="1:2" x14ac:dyDescent="0.2">
      <c r="A115" t="s">
        <v>835</v>
      </c>
      <c r="B115" s="105">
        <v>281514000</v>
      </c>
    </row>
    <row r="116" spans="1:2" x14ac:dyDescent="0.2">
      <c r="A116" t="s">
        <v>1702</v>
      </c>
      <c r="B116" s="1028">
        <v>90949759</v>
      </c>
    </row>
    <row r="117" spans="1:2" x14ac:dyDescent="0.2">
      <c r="A117" t="s">
        <v>1703</v>
      </c>
      <c r="B117" s="1028">
        <v>1426130000</v>
      </c>
    </row>
    <row r="118" spans="1:2" x14ac:dyDescent="0.2">
      <c r="A118" t="s">
        <v>1704</v>
      </c>
      <c r="B118" s="105">
        <v>302336000</v>
      </c>
    </row>
    <row r="119" spans="1:2" x14ac:dyDescent="0.2">
      <c r="A119" t="s">
        <v>848</v>
      </c>
      <c r="B119" s="1028">
        <v>1967680000</v>
      </c>
    </row>
    <row r="120" spans="1:2" x14ac:dyDescent="0.2">
      <c r="A120" t="s">
        <v>1705</v>
      </c>
      <c r="B120" s="1028">
        <v>753475000</v>
      </c>
    </row>
    <row r="121" spans="1:2" x14ac:dyDescent="0.2">
      <c r="A121" t="s">
        <v>1706</v>
      </c>
      <c r="B121" s="1028">
        <v>67678367</v>
      </c>
    </row>
    <row r="122" spans="1:2" x14ac:dyDescent="0.2">
      <c r="A122" t="s">
        <v>875</v>
      </c>
      <c r="B122" s="105">
        <v>29040600000</v>
      </c>
    </row>
    <row r="123" spans="1:2" x14ac:dyDescent="0.2">
      <c r="A123" t="s">
        <v>1707</v>
      </c>
      <c r="B123" s="105">
        <v>336080000</v>
      </c>
    </row>
    <row r="124" spans="1:2" x14ac:dyDescent="0.2">
      <c r="A124" t="s">
        <v>1708</v>
      </c>
      <c r="B124" s="105">
        <v>2124611</v>
      </c>
    </row>
    <row r="125" spans="1:2" x14ac:dyDescent="0.2">
      <c r="A125" t="s">
        <v>1709</v>
      </c>
      <c r="B125" s="1028">
        <v>120847000000</v>
      </c>
    </row>
    <row r="126" spans="1:2" x14ac:dyDescent="0.2">
      <c r="A126" t="s">
        <v>836</v>
      </c>
      <c r="B126" s="105">
        <v>415244000</v>
      </c>
    </row>
    <row r="127" spans="1:2" x14ac:dyDescent="0.2">
      <c r="A127" t="s">
        <v>837</v>
      </c>
      <c r="B127" s="105">
        <v>47613129</v>
      </c>
    </row>
    <row r="128" spans="1:2" x14ac:dyDescent="0.2">
      <c r="A128" t="s">
        <v>839</v>
      </c>
      <c r="B128" s="105">
        <v>2191500000</v>
      </c>
    </row>
    <row r="129" spans="1:2" x14ac:dyDescent="0.2">
      <c r="A129" t="s">
        <v>1710</v>
      </c>
      <c r="B129" s="1028">
        <v>4676130000</v>
      </c>
    </row>
    <row r="130" spans="1:2" x14ac:dyDescent="0.2">
      <c r="A130" t="s">
        <v>1711</v>
      </c>
      <c r="B130" s="1028">
        <v>-349382000</v>
      </c>
    </row>
    <row r="131" spans="1:2" x14ac:dyDescent="0.2">
      <c r="A131" t="s">
        <v>1712</v>
      </c>
      <c r="B131" s="105">
        <v>25517038</v>
      </c>
    </row>
    <row r="132" spans="1:2" x14ac:dyDescent="0.2">
      <c r="A132" t="s">
        <v>841</v>
      </c>
      <c r="B132" s="1028">
        <v>554918000</v>
      </c>
    </row>
    <row r="133" spans="1:2" x14ac:dyDescent="0.2">
      <c r="A133" t="s">
        <v>1713</v>
      </c>
      <c r="B133" s="1028">
        <v>2818340000</v>
      </c>
    </row>
    <row r="134" spans="1:2" x14ac:dyDescent="0.2">
      <c r="A134" t="s">
        <v>1714</v>
      </c>
      <c r="B134" s="105">
        <v>-36826200</v>
      </c>
    </row>
    <row r="135" spans="1:2" x14ac:dyDescent="0.2">
      <c r="A135" t="s">
        <v>1715</v>
      </c>
      <c r="B135" s="1028">
        <v>3140810</v>
      </c>
    </row>
    <row r="136" spans="1:2" x14ac:dyDescent="0.2">
      <c r="A136" t="s">
        <v>1716</v>
      </c>
      <c r="B136" s="105">
        <v>176375000</v>
      </c>
    </row>
    <row r="137" spans="1:2" x14ac:dyDescent="0.2">
      <c r="A137" t="s">
        <v>1717</v>
      </c>
      <c r="B137" s="1028">
        <v>921603000</v>
      </c>
    </row>
    <row r="138" spans="1:2" x14ac:dyDescent="0.2">
      <c r="A138" t="s">
        <v>242</v>
      </c>
      <c r="B138" s="1028">
        <v>867852000000</v>
      </c>
    </row>
    <row r="139" spans="1:2" x14ac:dyDescent="0.2">
      <c r="A139" t="s">
        <v>1718</v>
      </c>
      <c r="B139" s="1028">
        <v>-3216950000</v>
      </c>
    </row>
    <row r="140" spans="1:2" x14ac:dyDescent="0.2">
      <c r="A140" t="s">
        <v>984</v>
      </c>
      <c r="B140" s="105">
        <v>2289780000</v>
      </c>
    </row>
    <row r="141" spans="1:2" x14ac:dyDescent="0.2">
      <c r="A141" t="s">
        <v>1719</v>
      </c>
      <c r="B141" s="1028">
        <v>18881793</v>
      </c>
    </row>
    <row r="142" spans="1:2" x14ac:dyDescent="0.2">
      <c r="A142" t="s">
        <v>1720</v>
      </c>
      <c r="B142" s="1028">
        <v>591520000</v>
      </c>
    </row>
    <row r="143" spans="1:2" x14ac:dyDescent="0.2">
      <c r="A143" t="s">
        <v>849</v>
      </c>
      <c r="B143" s="1028">
        <v>1112090000</v>
      </c>
    </row>
    <row r="144" spans="1:2" x14ac:dyDescent="0.2">
      <c r="A144" t="s">
        <v>1721</v>
      </c>
      <c r="B144" s="1028">
        <v>-50771200</v>
      </c>
    </row>
    <row r="145" spans="1:2" x14ac:dyDescent="0.2">
      <c r="A145" t="s">
        <v>1722</v>
      </c>
      <c r="B145" s="1028">
        <v>45277106</v>
      </c>
    </row>
    <row r="146" spans="1:2" x14ac:dyDescent="0.2">
      <c r="A146" t="s">
        <v>231</v>
      </c>
      <c r="B146" s="1028">
        <v>1973170000000</v>
      </c>
    </row>
    <row r="147" spans="1:2" x14ac:dyDescent="0.2">
      <c r="B147" s="1028"/>
    </row>
    <row r="148" spans="1:2" x14ac:dyDescent="0.2">
      <c r="A148" t="s">
        <v>1641</v>
      </c>
      <c r="B148" s="1028" t="s">
        <v>1642</v>
      </c>
    </row>
    <row r="149" spans="1:2" x14ac:dyDescent="0.2">
      <c r="B149" s="1028" t="s">
        <v>1723</v>
      </c>
    </row>
    <row r="150" spans="1:2" x14ac:dyDescent="0.2">
      <c r="A150" t="s">
        <v>853</v>
      </c>
      <c r="B150" s="1028">
        <v>125946000</v>
      </c>
    </row>
    <row r="151" spans="1:2" x14ac:dyDescent="0.2">
      <c r="A151" t="s">
        <v>1644</v>
      </c>
      <c r="B151" s="1028">
        <v>17038200000</v>
      </c>
    </row>
    <row r="152" spans="1:2" x14ac:dyDescent="0.2">
      <c r="A152" t="s">
        <v>1645</v>
      </c>
      <c r="B152" s="1028">
        <v>15881193</v>
      </c>
    </row>
    <row r="153" spans="1:2" x14ac:dyDescent="0.2">
      <c r="A153" t="s">
        <v>1646</v>
      </c>
      <c r="B153" s="1028">
        <v>11203600000</v>
      </c>
    </row>
    <row r="154" spans="1:2" x14ac:dyDescent="0.2">
      <c r="A154" t="s">
        <v>1647</v>
      </c>
      <c r="B154" s="1028">
        <v>10002800000</v>
      </c>
    </row>
    <row r="155" spans="1:2" x14ac:dyDescent="0.2">
      <c r="A155" t="s">
        <v>1648</v>
      </c>
      <c r="B155" s="1028">
        <v>4117372</v>
      </c>
    </row>
    <row r="156" spans="1:2" x14ac:dyDescent="0.2">
      <c r="A156" t="s">
        <v>809</v>
      </c>
      <c r="B156" s="1028">
        <v>106377000000</v>
      </c>
    </row>
    <row r="157" spans="1:2" x14ac:dyDescent="0.2">
      <c r="A157" t="s">
        <v>810</v>
      </c>
      <c r="B157" s="1028">
        <v>3612650000</v>
      </c>
    </row>
    <row r="158" spans="1:2" x14ac:dyDescent="0.2">
      <c r="A158" t="s">
        <v>1649</v>
      </c>
      <c r="B158" s="1028">
        <v>2672320000</v>
      </c>
    </row>
    <row r="159" spans="1:2" x14ac:dyDescent="0.2">
      <c r="A159" t="s">
        <v>811</v>
      </c>
      <c r="B159" s="105">
        <v>36494200000</v>
      </c>
    </row>
    <row r="160" spans="1:2" x14ac:dyDescent="0.2">
      <c r="A160" t="s">
        <v>1650</v>
      </c>
      <c r="B160" s="1028">
        <v>1645980000</v>
      </c>
    </row>
    <row r="161" spans="1:2" x14ac:dyDescent="0.2">
      <c r="A161" t="s">
        <v>1651</v>
      </c>
      <c r="B161" s="1028">
        <v>1499880000</v>
      </c>
    </row>
    <row r="162" spans="1:2" x14ac:dyDescent="0.2">
      <c r="A162" t="s">
        <v>983</v>
      </c>
      <c r="B162" s="105">
        <v>387146000</v>
      </c>
    </row>
    <row r="163" spans="1:2" x14ac:dyDescent="0.2">
      <c r="A163" t="s">
        <v>854</v>
      </c>
      <c r="B163" s="1028">
        <v>2470310000</v>
      </c>
    </row>
    <row r="164" spans="1:2" x14ac:dyDescent="0.2">
      <c r="A164" t="s">
        <v>1652</v>
      </c>
      <c r="B164" s="1028">
        <v>12356625</v>
      </c>
    </row>
    <row r="165" spans="1:2" x14ac:dyDescent="0.2">
      <c r="A165" t="s">
        <v>1653</v>
      </c>
      <c r="B165" s="1028">
        <v>41582755</v>
      </c>
    </row>
    <row r="166" spans="1:2" x14ac:dyDescent="0.2">
      <c r="A166" t="s">
        <v>857</v>
      </c>
      <c r="B166" s="1028">
        <v>11864000000</v>
      </c>
    </row>
    <row r="167" spans="1:2" x14ac:dyDescent="0.2">
      <c r="A167" t="s">
        <v>1654</v>
      </c>
      <c r="B167" s="1028">
        <v>300863000</v>
      </c>
    </row>
    <row r="168" spans="1:2" x14ac:dyDescent="0.2">
      <c r="A168" t="s">
        <v>843</v>
      </c>
      <c r="B168" s="1028">
        <v>57082500000</v>
      </c>
    </row>
    <row r="169" spans="1:2" x14ac:dyDescent="0.2">
      <c r="A169" t="s">
        <v>855</v>
      </c>
      <c r="B169" s="105">
        <v>5465860000</v>
      </c>
    </row>
    <row r="170" spans="1:2" x14ac:dyDescent="0.2">
      <c r="A170" t="s">
        <v>1655</v>
      </c>
      <c r="B170" s="1028">
        <v>152140000</v>
      </c>
    </row>
    <row r="171" spans="1:2" x14ac:dyDescent="0.2">
      <c r="A171" t="s">
        <v>1656</v>
      </c>
      <c r="B171" s="105">
        <v>42759061</v>
      </c>
    </row>
    <row r="172" spans="1:2" x14ac:dyDescent="0.2">
      <c r="A172" t="s">
        <v>812</v>
      </c>
      <c r="B172" s="1028">
        <v>172437000000</v>
      </c>
    </row>
    <row r="173" spans="1:2" x14ac:dyDescent="0.2">
      <c r="A173" t="s">
        <v>840</v>
      </c>
      <c r="B173" s="1028">
        <v>42853600000</v>
      </c>
    </row>
    <row r="174" spans="1:2" x14ac:dyDescent="0.2">
      <c r="A174" t="s">
        <v>813</v>
      </c>
      <c r="B174" s="1028">
        <v>17335300000</v>
      </c>
    </row>
    <row r="175" spans="1:2" x14ac:dyDescent="0.2">
      <c r="A175" t="s">
        <v>844</v>
      </c>
      <c r="B175" s="105">
        <v>68076400000</v>
      </c>
    </row>
    <row r="176" spans="1:2" x14ac:dyDescent="0.2">
      <c r="A176" t="s">
        <v>1657</v>
      </c>
      <c r="B176" s="1028">
        <v>199283000</v>
      </c>
    </row>
    <row r="177" spans="1:2" x14ac:dyDescent="0.2">
      <c r="A177" t="s">
        <v>1658</v>
      </c>
      <c r="B177" s="1028">
        <v>28962338</v>
      </c>
    </row>
    <row r="178" spans="1:2" x14ac:dyDescent="0.2">
      <c r="A178" t="s">
        <v>1659</v>
      </c>
      <c r="B178" s="1028">
        <v>3607470000</v>
      </c>
    </row>
    <row r="179" spans="1:2" x14ac:dyDescent="0.2">
      <c r="A179" t="s">
        <v>845</v>
      </c>
      <c r="B179" s="1028">
        <v>7330860000</v>
      </c>
    </row>
    <row r="180" spans="1:2" x14ac:dyDescent="0.2">
      <c r="A180" t="s">
        <v>846</v>
      </c>
      <c r="B180" s="105">
        <v>2790300000</v>
      </c>
    </row>
    <row r="181" spans="1:2" x14ac:dyDescent="0.2">
      <c r="A181" t="s">
        <v>860</v>
      </c>
      <c r="B181" s="105">
        <v>27997583</v>
      </c>
    </row>
    <row r="182" spans="1:2" x14ac:dyDescent="0.2">
      <c r="A182" t="s">
        <v>859</v>
      </c>
      <c r="B182" s="105">
        <v>7249280000</v>
      </c>
    </row>
    <row r="183" spans="1:2" x14ac:dyDescent="0.2">
      <c r="A183" t="s">
        <v>861</v>
      </c>
      <c r="B183" s="1028">
        <v>213194000</v>
      </c>
    </row>
    <row r="184" spans="1:2" x14ac:dyDescent="0.2">
      <c r="A184" t="s">
        <v>814</v>
      </c>
      <c r="B184" s="105">
        <v>3811100000</v>
      </c>
    </row>
    <row r="185" spans="1:2" x14ac:dyDescent="0.2">
      <c r="A185" t="s">
        <v>819</v>
      </c>
      <c r="B185" s="1028">
        <v>59742900000</v>
      </c>
    </row>
    <row r="186" spans="1:2" x14ac:dyDescent="0.2">
      <c r="A186" t="s">
        <v>815</v>
      </c>
      <c r="B186" s="105">
        <v>4820870000</v>
      </c>
    </row>
    <row r="187" spans="1:2" x14ac:dyDescent="0.2">
      <c r="A187" t="s">
        <v>1660</v>
      </c>
      <c r="B187" s="1028">
        <v>1310240000</v>
      </c>
    </row>
    <row r="188" spans="1:2" x14ac:dyDescent="0.2">
      <c r="A188" t="s">
        <v>1661</v>
      </c>
      <c r="B188" s="105">
        <v>1615040000</v>
      </c>
    </row>
    <row r="189" spans="1:2" x14ac:dyDescent="0.2">
      <c r="A189" t="s">
        <v>1662</v>
      </c>
      <c r="B189" s="105">
        <v>1306580000</v>
      </c>
    </row>
    <row r="190" spans="1:2" x14ac:dyDescent="0.2">
      <c r="A190" t="s">
        <v>1663</v>
      </c>
      <c r="B190" s="1028">
        <v>5294260000</v>
      </c>
    </row>
    <row r="191" spans="1:2" x14ac:dyDescent="0.2">
      <c r="A191" t="s">
        <v>838</v>
      </c>
      <c r="B191" s="1028">
        <v>17246000000</v>
      </c>
    </row>
    <row r="192" spans="1:2" x14ac:dyDescent="0.2">
      <c r="A192" t="s">
        <v>816</v>
      </c>
      <c r="B192" s="1028">
        <v>131653000</v>
      </c>
    </row>
    <row r="193" spans="1:2" x14ac:dyDescent="0.2">
      <c r="A193" t="s">
        <v>817</v>
      </c>
      <c r="B193" s="1028">
        <v>3884520000</v>
      </c>
    </row>
    <row r="194" spans="1:2" x14ac:dyDescent="0.2">
      <c r="A194" t="s">
        <v>1664</v>
      </c>
      <c r="B194" s="105">
        <v>316303000</v>
      </c>
    </row>
    <row r="195" spans="1:2" x14ac:dyDescent="0.2">
      <c r="A195" t="s">
        <v>1665</v>
      </c>
      <c r="B195" s="1028">
        <v>1992440000000</v>
      </c>
    </row>
    <row r="196" spans="1:2" x14ac:dyDescent="0.2">
      <c r="A196" t="s">
        <v>818</v>
      </c>
      <c r="B196" s="1028">
        <v>39017700000</v>
      </c>
    </row>
    <row r="197" spans="1:2" x14ac:dyDescent="0.2">
      <c r="A197" t="s">
        <v>1666</v>
      </c>
      <c r="B197" s="1028">
        <v>206860000</v>
      </c>
    </row>
    <row r="198" spans="1:2" x14ac:dyDescent="0.2">
      <c r="A198" t="s">
        <v>842</v>
      </c>
      <c r="B198" s="1028">
        <v>197548000000</v>
      </c>
    </row>
    <row r="199" spans="1:2" x14ac:dyDescent="0.2">
      <c r="A199" t="s">
        <v>1667</v>
      </c>
      <c r="B199" s="1028">
        <v>11393415</v>
      </c>
    </row>
    <row r="200" spans="1:2" x14ac:dyDescent="0.2">
      <c r="A200" t="s">
        <v>864</v>
      </c>
      <c r="B200" s="1028">
        <v>519271000</v>
      </c>
    </row>
    <row r="201" spans="1:2" x14ac:dyDescent="0.2">
      <c r="A201" t="s">
        <v>1668</v>
      </c>
      <c r="B201" s="1028">
        <v>3787470000</v>
      </c>
    </row>
    <row r="202" spans="1:2" x14ac:dyDescent="0.2">
      <c r="A202" t="s">
        <v>1669</v>
      </c>
      <c r="B202" s="105">
        <v>3405430000</v>
      </c>
    </row>
    <row r="203" spans="1:2" x14ac:dyDescent="0.2">
      <c r="A203" t="s">
        <v>820</v>
      </c>
      <c r="B203" s="1028">
        <v>689833000</v>
      </c>
    </row>
    <row r="204" spans="1:2" x14ac:dyDescent="0.2">
      <c r="A204" t="s">
        <v>1670</v>
      </c>
      <c r="B204" s="105">
        <v>1005300000</v>
      </c>
    </row>
    <row r="205" spans="1:2" x14ac:dyDescent="0.2">
      <c r="A205" t="s">
        <v>1671</v>
      </c>
      <c r="B205" s="105">
        <v>144706000</v>
      </c>
    </row>
    <row r="206" spans="1:2" x14ac:dyDescent="0.2">
      <c r="A206" t="s">
        <v>866</v>
      </c>
      <c r="B206" s="105">
        <v>10007300000</v>
      </c>
    </row>
    <row r="207" spans="1:2" x14ac:dyDescent="0.2">
      <c r="A207" t="s">
        <v>1672</v>
      </c>
      <c r="B207" s="1028">
        <v>836473000</v>
      </c>
    </row>
    <row r="208" spans="1:2" x14ac:dyDescent="0.2">
      <c r="A208" t="s">
        <v>1673</v>
      </c>
      <c r="B208" s="1028">
        <v>225501000</v>
      </c>
    </row>
    <row r="209" spans="1:2" x14ac:dyDescent="0.2">
      <c r="A209" t="s">
        <v>821</v>
      </c>
      <c r="B209" s="1028">
        <v>4139880000</v>
      </c>
    </row>
    <row r="210" spans="1:2" x14ac:dyDescent="0.2">
      <c r="A210" t="s">
        <v>1674</v>
      </c>
      <c r="B210" s="1028">
        <v>19616300000</v>
      </c>
    </row>
    <row r="211" spans="1:2" x14ac:dyDescent="0.2">
      <c r="A211" t="s">
        <v>847</v>
      </c>
      <c r="B211" s="1028">
        <v>22758200000</v>
      </c>
    </row>
    <row r="212" spans="1:2" x14ac:dyDescent="0.2">
      <c r="A212" t="s">
        <v>823</v>
      </c>
      <c r="B212" s="1028">
        <v>79843200000</v>
      </c>
    </row>
    <row r="213" spans="1:2" x14ac:dyDescent="0.2">
      <c r="A213" t="s">
        <v>1675</v>
      </c>
      <c r="B213" s="1028">
        <v>1883250000</v>
      </c>
    </row>
    <row r="214" spans="1:2" x14ac:dyDescent="0.2">
      <c r="A214" t="s">
        <v>822</v>
      </c>
      <c r="B214" s="1028">
        <v>3625230000</v>
      </c>
    </row>
    <row r="215" spans="1:2" x14ac:dyDescent="0.2">
      <c r="A215" t="s">
        <v>824</v>
      </c>
      <c r="B215" s="105">
        <v>7953170000</v>
      </c>
    </row>
    <row r="216" spans="1:2" x14ac:dyDescent="0.2">
      <c r="A216" t="s">
        <v>825</v>
      </c>
      <c r="B216" s="1028">
        <v>21227600000</v>
      </c>
    </row>
    <row r="217" spans="1:2" x14ac:dyDescent="0.2">
      <c r="A217" t="s">
        <v>1676</v>
      </c>
      <c r="B217" s="1028">
        <v>83664227</v>
      </c>
    </row>
    <row r="218" spans="1:2" x14ac:dyDescent="0.2">
      <c r="A218" t="s">
        <v>862</v>
      </c>
      <c r="B218" s="105">
        <v>2955330000</v>
      </c>
    </row>
    <row r="219" spans="1:2" x14ac:dyDescent="0.2">
      <c r="A219" t="s">
        <v>1677</v>
      </c>
      <c r="B219" s="1028">
        <v>870253000</v>
      </c>
    </row>
    <row r="220" spans="1:2" x14ac:dyDescent="0.2">
      <c r="A220" t="s">
        <v>826</v>
      </c>
      <c r="B220" s="1028">
        <v>34002200000</v>
      </c>
    </row>
    <row r="221" spans="1:2" x14ac:dyDescent="0.2">
      <c r="A221" t="s">
        <v>1678</v>
      </c>
      <c r="B221" s="1028">
        <v>12539600000</v>
      </c>
    </row>
    <row r="222" spans="1:2" x14ac:dyDescent="0.2">
      <c r="A222" t="s">
        <v>1679</v>
      </c>
      <c r="B222" s="1028">
        <v>280751000</v>
      </c>
    </row>
    <row r="223" spans="1:2" x14ac:dyDescent="0.2">
      <c r="A223" t="s">
        <v>1680</v>
      </c>
      <c r="B223" s="105">
        <v>273352000</v>
      </c>
    </row>
    <row r="224" spans="1:2" x14ac:dyDescent="0.2">
      <c r="A224" t="s">
        <v>876</v>
      </c>
      <c r="B224" s="1028">
        <v>274350000</v>
      </c>
    </row>
    <row r="225" spans="1:2" x14ac:dyDescent="0.2">
      <c r="A225" t="s">
        <v>827</v>
      </c>
      <c r="B225" s="105">
        <v>17022600000</v>
      </c>
    </row>
    <row r="226" spans="1:2" x14ac:dyDescent="0.2">
      <c r="A226" t="s">
        <v>1681</v>
      </c>
      <c r="B226" s="1028">
        <v>453202000</v>
      </c>
    </row>
    <row r="227" spans="1:2" x14ac:dyDescent="0.2">
      <c r="A227" t="s">
        <v>868</v>
      </c>
      <c r="B227" s="1028">
        <v>16665164</v>
      </c>
    </row>
    <row r="228" spans="1:2" x14ac:dyDescent="0.2">
      <c r="A228" t="s">
        <v>1682</v>
      </c>
      <c r="B228" s="1028">
        <v>1852370000</v>
      </c>
    </row>
    <row r="229" spans="1:2" x14ac:dyDescent="0.2">
      <c r="A229" t="s">
        <v>877</v>
      </c>
      <c r="B229" s="1028">
        <v>177639000</v>
      </c>
    </row>
    <row r="230" spans="1:2" x14ac:dyDescent="0.2">
      <c r="A230" t="s">
        <v>1683</v>
      </c>
      <c r="B230" s="105">
        <v>102560000</v>
      </c>
    </row>
    <row r="231" spans="1:2" x14ac:dyDescent="0.2">
      <c r="A231" t="s">
        <v>1684</v>
      </c>
      <c r="B231" s="1028">
        <v>157581000</v>
      </c>
    </row>
    <row r="232" spans="1:2" x14ac:dyDescent="0.2">
      <c r="A232" t="s">
        <v>829</v>
      </c>
      <c r="B232" s="1028">
        <v>36978200000</v>
      </c>
    </row>
    <row r="233" spans="1:2" x14ac:dyDescent="0.2">
      <c r="A233" t="s">
        <v>828</v>
      </c>
      <c r="B233" s="1028">
        <v>20203164</v>
      </c>
    </row>
    <row r="234" spans="1:2" x14ac:dyDescent="0.2">
      <c r="A234" t="s">
        <v>985</v>
      </c>
      <c r="B234" s="1028">
        <v>8835830000</v>
      </c>
    </row>
    <row r="235" spans="1:2" x14ac:dyDescent="0.2">
      <c r="A235" t="s">
        <v>1685</v>
      </c>
      <c r="B235" s="1028">
        <v>678186000</v>
      </c>
    </row>
    <row r="236" spans="1:2" x14ac:dyDescent="0.2">
      <c r="A236" t="s">
        <v>871</v>
      </c>
      <c r="B236" s="1028">
        <v>94159212</v>
      </c>
    </row>
    <row r="237" spans="1:2" x14ac:dyDescent="0.2">
      <c r="A237" t="s">
        <v>830</v>
      </c>
      <c r="B237" s="1028">
        <v>52921400000</v>
      </c>
    </row>
    <row r="238" spans="1:2" x14ac:dyDescent="0.2">
      <c r="A238" t="s">
        <v>1686</v>
      </c>
      <c r="B238" s="105">
        <v>97468808</v>
      </c>
    </row>
    <row r="239" spans="1:2" x14ac:dyDescent="0.2">
      <c r="A239" t="s">
        <v>870</v>
      </c>
      <c r="B239" s="1028">
        <v>26793593</v>
      </c>
    </row>
    <row r="240" spans="1:2" x14ac:dyDescent="0.2">
      <c r="A240" t="s">
        <v>1687</v>
      </c>
      <c r="B240" s="1028">
        <v>489434000</v>
      </c>
    </row>
    <row r="241" spans="1:2" x14ac:dyDescent="0.2">
      <c r="A241" t="s">
        <v>1688</v>
      </c>
      <c r="B241" s="1028">
        <v>291918000</v>
      </c>
    </row>
    <row r="242" spans="1:2" x14ac:dyDescent="0.2">
      <c r="A242" t="s">
        <v>873</v>
      </c>
      <c r="B242" s="1028">
        <v>47389028</v>
      </c>
    </row>
    <row r="243" spans="1:2" x14ac:dyDescent="0.2">
      <c r="A243" t="s">
        <v>1689</v>
      </c>
      <c r="B243" s="1028">
        <v>17430500000</v>
      </c>
    </row>
    <row r="244" spans="1:2" x14ac:dyDescent="0.2">
      <c r="A244" t="s">
        <v>1690</v>
      </c>
      <c r="B244" s="105">
        <v>15412139</v>
      </c>
    </row>
    <row r="245" spans="1:2" x14ac:dyDescent="0.2">
      <c r="A245" t="s">
        <v>1691</v>
      </c>
      <c r="B245" s="1028">
        <v>32013900000</v>
      </c>
    </row>
    <row r="246" spans="1:2" x14ac:dyDescent="0.2">
      <c r="A246" t="s">
        <v>1692</v>
      </c>
      <c r="B246" s="1028">
        <v>385902000</v>
      </c>
    </row>
    <row r="247" spans="1:2" x14ac:dyDescent="0.2">
      <c r="A247" t="s">
        <v>831</v>
      </c>
      <c r="B247" s="105">
        <v>61983900000</v>
      </c>
    </row>
    <row r="248" spans="1:2" x14ac:dyDescent="0.2">
      <c r="A248" t="s">
        <v>833</v>
      </c>
      <c r="B248" s="1028">
        <v>18578900000</v>
      </c>
    </row>
    <row r="249" spans="1:2" x14ac:dyDescent="0.2">
      <c r="A249" t="s">
        <v>832</v>
      </c>
      <c r="B249" s="1028">
        <v>2950380000</v>
      </c>
    </row>
    <row r="250" spans="1:2" x14ac:dyDescent="0.2">
      <c r="A250" t="s">
        <v>1693</v>
      </c>
      <c r="B250" s="1028">
        <v>4768500000</v>
      </c>
    </row>
    <row r="251" spans="1:2" x14ac:dyDescent="0.2">
      <c r="A251" t="s">
        <v>1694</v>
      </c>
      <c r="B251" s="1028">
        <v>1282230000</v>
      </c>
    </row>
    <row r="252" spans="1:2" x14ac:dyDescent="0.2">
      <c r="A252" t="s">
        <v>1695</v>
      </c>
      <c r="B252" s="1028">
        <v>636350000</v>
      </c>
    </row>
    <row r="253" spans="1:2" x14ac:dyDescent="0.2">
      <c r="A253" t="s">
        <v>1696</v>
      </c>
      <c r="B253" s="1028">
        <v>2345020000</v>
      </c>
    </row>
    <row r="254" spans="1:2" x14ac:dyDescent="0.2">
      <c r="A254" t="s">
        <v>1697</v>
      </c>
      <c r="B254" s="1028">
        <v>329075000</v>
      </c>
    </row>
    <row r="255" spans="1:2" x14ac:dyDescent="0.2">
      <c r="A255" t="s">
        <v>1698</v>
      </c>
      <c r="B255" s="1028">
        <v>718432000</v>
      </c>
    </row>
    <row r="256" spans="1:2" x14ac:dyDescent="0.2">
      <c r="A256" t="s">
        <v>880</v>
      </c>
      <c r="B256" s="1028">
        <v>2964720000</v>
      </c>
    </row>
    <row r="257" spans="1:2" x14ac:dyDescent="0.2">
      <c r="A257" t="s">
        <v>1699</v>
      </c>
      <c r="B257" s="1028">
        <v>13446000000</v>
      </c>
    </row>
    <row r="258" spans="1:2" x14ac:dyDescent="0.2">
      <c r="A258" t="s">
        <v>1700</v>
      </c>
      <c r="B258" s="105">
        <v>6525530000</v>
      </c>
    </row>
    <row r="259" spans="1:2" x14ac:dyDescent="0.2">
      <c r="A259" t="s">
        <v>1701</v>
      </c>
      <c r="B259" s="1028">
        <v>5855910000</v>
      </c>
    </row>
    <row r="260" spans="1:2" x14ac:dyDescent="0.2">
      <c r="A260" t="s">
        <v>834</v>
      </c>
      <c r="B260" s="1028">
        <v>11219900000</v>
      </c>
    </row>
    <row r="261" spans="1:2" x14ac:dyDescent="0.2">
      <c r="A261" t="s">
        <v>881</v>
      </c>
      <c r="B261" s="1028">
        <v>16379400000</v>
      </c>
    </row>
    <row r="262" spans="1:2" x14ac:dyDescent="0.2">
      <c r="A262" t="s">
        <v>835</v>
      </c>
      <c r="B262" s="1028">
        <v>1930090000</v>
      </c>
    </row>
    <row r="263" spans="1:2" x14ac:dyDescent="0.2">
      <c r="A263" t="s">
        <v>1702</v>
      </c>
      <c r="B263" s="1028">
        <v>709336000</v>
      </c>
    </row>
    <row r="264" spans="1:2" x14ac:dyDescent="0.2">
      <c r="A264" t="s">
        <v>1703</v>
      </c>
      <c r="B264" s="1028">
        <v>4404960000</v>
      </c>
    </row>
    <row r="265" spans="1:2" x14ac:dyDescent="0.2">
      <c r="A265" t="s">
        <v>1704</v>
      </c>
      <c r="B265" s="1028">
        <v>2857040000</v>
      </c>
    </row>
    <row r="266" spans="1:2" x14ac:dyDescent="0.2">
      <c r="A266" t="s">
        <v>848</v>
      </c>
      <c r="B266" s="1028">
        <v>14969900000</v>
      </c>
    </row>
    <row r="267" spans="1:2" x14ac:dyDescent="0.2">
      <c r="A267" t="s">
        <v>1705</v>
      </c>
      <c r="B267" s="1028">
        <v>5438220000</v>
      </c>
    </row>
    <row r="268" spans="1:2" x14ac:dyDescent="0.2">
      <c r="A268" t="s">
        <v>1706</v>
      </c>
      <c r="B268" s="1028">
        <v>26835616</v>
      </c>
    </row>
    <row r="269" spans="1:2" x14ac:dyDescent="0.2">
      <c r="A269" t="s">
        <v>875</v>
      </c>
      <c r="B269" s="1028">
        <v>41745900000</v>
      </c>
    </row>
    <row r="270" spans="1:2" x14ac:dyDescent="0.2">
      <c r="A270" t="s">
        <v>1707</v>
      </c>
      <c r="B270" s="1028">
        <v>1173550000</v>
      </c>
    </row>
    <row r="271" spans="1:2" x14ac:dyDescent="0.2">
      <c r="A271" t="s">
        <v>1708</v>
      </c>
      <c r="B271" s="1028">
        <v>315989000</v>
      </c>
    </row>
    <row r="272" spans="1:2" x14ac:dyDescent="0.2">
      <c r="A272" t="s">
        <v>1709</v>
      </c>
      <c r="B272" s="1028">
        <v>385981000000</v>
      </c>
    </row>
    <row r="273" spans="1:2" x14ac:dyDescent="0.2">
      <c r="A273" t="s">
        <v>836</v>
      </c>
      <c r="B273" s="1028">
        <v>2064630000</v>
      </c>
    </row>
    <row r="274" spans="1:2" x14ac:dyDescent="0.2">
      <c r="A274" t="s">
        <v>837</v>
      </c>
      <c r="B274" s="1028">
        <v>347928000</v>
      </c>
    </row>
    <row r="275" spans="1:2" x14ac:dyDescent="0.2">
      <c r="A275" t="s">
        <v>839</v>
      </c>
      <c r="B275" s="1028">
        <v>5049210000</v>
      </c>
    </row>
    <row r="276" spans="1:2" x14ac:dyDescent="0.2">
      <c r="A276" t="s">
        <v>1710</v>
      </c>
      <c r="B276" s="105">
        <v>17281100000</v>
      </c>
    </row>
    <row r="277" spans="1:2" x14ac:dyDescent="0.2">
      <c r="A277" t="s">
        <v>1711</v>
      </c>
      <c r="B277" s="1028">
        <v>1196710000</v>
      </c>
    </row>
    <row r="278" spans="1:2" x14ac:dyDescent="0.2">
      <c r="A278" t="s">
        <v>1712</v>
      </c>
      <c r="B278" s="1028">
        <v>78225104</v>
      </c>
    </row>
    <row r="279" spans="1:2" x14ac:dyDescent="0.2">
      <c r="A279" t="s">
        <v>841</v>
      </c>
      <c r="B279" s="105">
        <v>3424390000</v>
      </c>
    </row>
    <row r="280" spans="1:2" x14ac:dyDescent="0.2">
      <c r="A280" t="s">
        <v>1713</v>
      </c>
      <c r="B280" s="1028">
        <v>8625490000</v>
      </c>
    </row>
    <row r="281" spans="1:2" x14ac:dyDescent="0.2">
      <c r="A281" t="s">
        <v>1714</v>
      </c>
      <c r="B281" s="1028">
        <v>669172000</v>
      </c>
    </row>
    <row r="282" spans="1:2" x14ac:dyDescent="0.2">
      <c r="A282" t="s">
        <v>1715</v>
      </c>
      <c r="B282" s="1028">
        <v>133218000</v>
      </c>
    </row>
    <row r="283" spans="1:2" x14ac:dyDescent="0.2">
      <c r="A283" t="s">
        <v>1716</v>
      </c>
      <c r="B283" s="1028">
        <v>570007000</v>
      </c>
    </row>
    <row r="284" spans="1:2" x14ac:dyDescent="0.2">
      <c r="A284" t="s">
        <v>1717</v>
      </c>
      <c r="B284" s="1028">
        <v>699236000</v>
      </c>
    </row>
    <row r="285" spans="1:2" x14ac:dyDescent="0.2">
      <c r="A285" t="s">
        <v>242</v>
      </c>
      <c r="B285" s="105">
        <v>4223570000000</v>
      </c>
    </row>
    <row r="286" spans="1:2" x14ac:dyDescent="0.2">
      <c r="A286" t="s">
        <v>1718</v>
      </c>
      <c r="B286" s="105">
        <v>2420590000</v>
      </c>
    </row>
    <row r="287" spans="1:2" x14ac:dyDescent="0.2">
      <c r="A287" t="s">
        <v>984</v>
      </c>
      <c r="B287" s="1028">
        <v>831082000</v>
      </c>
    </row>
    <row r="288" spans="1:2" x14ac:dyDescent="0.2">
      <c r="A288" t="s">
        <v>1719</v>
      </c>
      <c r="B288" s="1028">
        <v>493611000</v>
      </c>
    </row>
    <row r="289" spans="1:2" x14ac:dyDescent="0.2">
      <c r="A289" t="s">
        <v>1720</v>
      </c>
      <c r="B289" s="105">
        <v>2178540000</v>
      </c>
    </row>
    <row r="290" spans="1:2" x14ac:dyDescent="0.2">
      <c r="A290" t="s">
        <v>849</v>
      </c>
      <c r="B290" s="1028">
        <v>6592850000</v>
      </c>
    </row>
    <row r="291" spans="1:2" x14ac:dyDescent="0.2">
      <c r="A291" t="s">
        <v>1721</v>
      </c>
      <c r="B291" s="1028">
        <v>108339000</v>
      </c>
    </row>
    <row r="292" spans="1:2" x14ac:dyDescent="0.2">
      <c r="A292" t="s">
        <v>1722</v>
      </c>
      <c r="B292" s="1028">
        <v>153758000</v>
      </c>
    </row>
    <row r="293" spans="1:2" x14ac:dyDescent="0.2">
      <c r="A293" t="s">
        <v>231</v>
      </c>
      <c r="B293" s="105">
        <v>8208450000000</v>
      </c>
    </row>
    <row r="294" spans="1:2" x14ac:dyDescent="0.2">
      <c r="B294" s="1028"/>
    </row>
    <row r="295" spans="1:2" x14ac:dyDescent="0.2">
      <c r="A295" t="s">
        <v>1641</v>
      </c>
      <c r="B295" s="1028" t="s">
        <v>1642</v>
      </c>
    </row>
    <row r="296" spans="1:2" x14ac:dyDescent="0.2">
      <c r="B296" s="1028" t="s">
        <v>1724</v>
      </c>
    </row>
    <row r="297" spans="1:2" x14ac:dyDescent="0.2">
      <c r="A297" t="s">
        <v>853</v>
      </c>
      <c r="B297" s="105">
        <v>13805015</v>
      </c>
    </row>
    <row r="298" spans="1:2" x14ac:dyDescent="0.2">
      <c r="A298" t="s">
        <v>1644</v>
      </c>
      <c r="B298" s="1028">
        <v>498517000</v>
      </c>
    </row>
    <row r="299" spans="1:2" x14ac:dyDescent="0.2">
      <c r="A299" t="s">
        <v>1645</v>
      </c>
      <c r="B299" s="1028">
        <v>878257</v>
      </c>
    </row>
    <row r="300" spans="1:2" x14ac:dyDescent="0.2">
      <c r="A300" t="s">
        <v>1646</v>
      </c>
      <c r="B300" s="1028">
        <v>1668960000</v>
      </c>
    </row>
    <row r="301" spans="1:2" x14ac:dyDescent="0.2">
      <c r="A301" t="s">
        <v>1647</v>
      </c>
      <c r="B301" s="1028">
        <v>1049280000</v>
      </c>
    </row>
    <row r="302" spans="1:2" x14ac:dyDescent="0.2">
      <c r="A302" t="s">
        <v>1648</v>
      </c>
      <c r="B302" s="1028">
        <v>310814</v>
      </c>
    </row>
    <row r="303" spans="1:2" x14ac:dyDescent="0.2">
      <c r="A303" t="s">
        <v>809</v>
      </c>
      <c r="B303" s="105">
        <v>2333160000</v>
      </c>
    </row>
    <row r="304" spans="1:2" x14ac:dyDescent="0.2">
      <c r="A304" t="s">
        <v>810</v>
      </c>
      <c r="B304" s="1028">
        <v>516762000</v>
      </c>
    </row>
    <row r="305" spans="1:2" x14ac:dyDescent="0.2">
      <c r="A305" t="s">
        <v>1649</v>
      </c>
      <c r="B305" s="1028">
        <v>88391374</v>
      </c>
    </row>
    <row r="306" spans="1:2" x14ac:dyDescent="0.2">
      <c r="A306" t="s">
        <v>811</v>
      </c>
      <c r="B306" s="1028">
        <v>1096580000</v>
      </c>
    </row>
    <row r="307" spans="1:2" x14ac:dyDescent="0.2">
      <c r="A307" t="s">
        <v>1650</v>
      </c>
      <c r="B307" s="1028">
        <v>163423000</v>
      </c>
    </row>
    <row r="308" spans="1:2" x14ac:dyDescent="0.2">
      <c r="A308" t="s">
        <v>1651</v>
      </c>
      <c r="B308" s="105">
        <v>15055955</v>
      </c>
    </row>
    <row r="309" spans="1:2" x14ac:dyDescent="0.2">
      <c r="A309" t="s">
        <v>983</v>
      </c>
      <c r="B309" s="1028">
        <v>6387676</v>
      </c>
    </row>
    <row r="310" spans="1:2" x14ac:dyDescent="0.2">
      <c r="A310" t="s">
        <v>854</v>
      </c>
      <c r="B310" s="1028">
        <v>35136614</v>
      </c>
    </row>
    <row r="311" spans="1:2" x14ac:dyDescent="0.2">
      <c r="A311" t="s">
        <v>1652</v>
      </c>
      <c r="B311" s="1028">
        <v>1663089</v>
      </c>
    </row>
    <row r="312" spans="1:2" x14ac:dyDescent="0.2">
      <c r="A312" t="s">
        <v>1653</v>
      </c>
      <c r="B312" s="1028">
        <v>2639512</v>
      </c>
    </row>
    <row r="313" spans="1:2" x14ac:dyDescent="0.2">
      <c r="A313" t="s">
        <v>857</v>
      </c>
      <c r="B313" s="1028">
        <v>500283000</v>
      </c>
    </row>
    <row r="314" spans="1:2" x14ac:dyDescent="0.2">
      <c r="A314" t="s">
        <v>1654</v>
      </c>
      <c r="B314" s="1028">
        <v>13953928</v>
      </c>
    </row>
    <row r="315" spans="1:2" x14ac:dyDescent="0.2">
      <c r="A315" t="s">
        <v>843</v>
      </c>
      <c r="B315" s="1028">
        <v>2332560000</v>
      </c>
    </row>
    <row r="316" spans="1:2" x14ac:dyDescent="0.2">
      <c r="A316" t="s">
        <v>855</v>
      </c>
      <c r="B316" s="1028">
        <v>8676103</v>
      </c>
    </row>
    <row r="317" spans="1:2" x14ac:dyDescent="0.2">
      <c r="A317" t="s">
        <v>1655</v>
      </c>
      <c r="B317" s="1028">
        <v>3786609</v>
      </c>
    </row>
    <row r="318" spans="1:2" x14ac:dyDescent="0.2">
      <c r="A318" t="s">
        <v>1656</v>
      </c>
      <c r="B318" s="1028">
        <v>3470990</v>
      </c>
    </row>
    <row r="319" spans="1:2" x14ac:dyDescent="0.2">
      <c r="A319" t="s">
        <v>812</v>
      </c>
      <c r="B319" s="1028">
        <v>4340520000</v>
      </c>
    </row>
    <row r="320" spans="1:2" x14ac:dyDescent="0.2">
      <c r="A320" t="s">
        <v>840</v>
      </c>
      <c r="B320" s="1028">
        <v>1734040000</v>
      </c>
    </row>
    <row r="321" spans="1:2" x14ac:dyDescent="0.2">
      <c r="A321" t="s">
        <v>813</v>
      </c>
      <c r="B321" s="1028">
        <v>540898000</v>
      </c>
    </row>
    <row r="322" spans="1:2" x14ac:dyDescent="0.2">
      <c r="A322" t="s">
        <v>844</v>
      </c>
      <c r="B322" s="1028">
        <v>4744240000</v>
      </c>
    </row>
    <row r="323" spans="1:2" x14ac:dyDescent="0.2">
      <c r="A323" t="s">
        <v>1657</v>
      </c>
      <c r="B323" s="1028">
        <v>13141456</v>
      </c>
    </row>
    <row r="324" spans="1:2" x14ac:dyDescent="0.2">
      <c r="A324" t="s">
        <v>1658</v>
      </c>
      <c r="B324" s="1028">
        <v>5750930</v>
      </c>
    </row>
    <row r="325" spans="1:2" x14ac:dyDescent="0.2">
      <c r="A325" t="s">
        <v>1659</v>
      </c>
      <c r="B325" s="1028">
        <v>38070890</v>
      </c>
    </row>
    <row r="326" spans="1:2" x14ac:dyDescent="0.2">
      <c r="A326" t="s">
        <v>845</v>
      </c>
      <c r="B326" s="1028">
        <v>591416000</v>
      </c>
    </row>
    <row r="327" spans="1:2" x14ac:dyDescent="0.2">
      <c r="A327" t="s">
        <v>846</v>
      </c>
      <c r="B327" s="1028">
        <v>128859000</v>
      </c>
    </row>
    <row r="328" spans="1:2" x14ac:dyDescent="0.2">
      <c r="A328" t="s">
        <v>860</v>
      </c>
      <c r="B328" s="1028">
        <v>8053635</v>
      </c>
    </row>
    <row r="329" spans="1:2" x14ac:dyDescent="0.2">
      <c r="A329" t="s">
        <v>859</v>
      </c>
      <c r="B329" s="1028">
        <v>98527590</v>
      </c>
    </row>
    <row r="330" spans="1:2" x14ac:dyDescent="0.2">
      <c r="A330" t="s">
        <v>861</v>
      </c>
      <c r="B330" s="1028">
        <v>7005999</v>
      </c>
    </row>
    <row r="331" spans="1:2" x14ac:dyDescent="0.2">
      <c r="A331" t="s">
        <v>814</v>
      </c>
      <c r="B331" s="1028">
        <v>154452000</v>
      </c>
    </row>
    <row r="332" spans="1:2" x14ac:dyDescent="0.2">
      <c r="A332" t="s">
        <v>819</v>
      </c>
      <c r="B332" s="1028">
        <v>3213270000</v>
      </c>
    </row>
    <row r="333" spans="1:2" x14ac:dyDescent="0.2">
      <c r="A333" t="s">
        <v>815</v>
      </c>
      <c r="B333" s="105">
        <v>424186000</v>
      </c>
    </row>
    <row r="334" spans="1:2" x14ac:dyDescent="0.2">
      <c r="A334" t="s">
        <v>1660</v>
      </c>
      <c r="B334" s="1028">
        <v>57907894</v>
      </c>
    </row>
    <row r="335" spans="1:2" x14ac:dyDescent="0.2">
      <c r="A335" t="s">
        <v>1661</v>
      </c>
      <c r="B335" s="1028">
        <v>649633000</v>
      </c>
    </row>
    <row r="336" spans="1:2" x14ac:dyDescent="0.2">
      <c r="A336" t="s">
        <v>1662</v>
      </c>
      <c r="B336" s="1028">
        <v>484175000</v>
      </c>
    </row>
    <row r="337" spans="1:2" x14ac:dyDescent="0.2">
      <c r="A337" t="s">
        <v>1663</v>
      </c>
      <c r="B337" s="1028">
        <v>475989000</v>
      </c>
    </row>
    <row r="338" spans="1:2" x14ac:dyDescent="0.2">
      <c r="A338" t="s">
        <v>838</v>
      </c>
      <c r="B338" s="1028">
        <v>1013470000</v>
      </c>
    </row>
    <row r="339" spans="1:2" x14ac:dyDescent="0.2">
      <c r="A339" t="s">
        <v>816</v>
      </c>
      <c r="B339" s="105">
        <v>9964955</v>
      </c>
    </row>
    <row r="340" spans="1:2" x14ac:dyDescent="0.2">
      <c r="A340" t="s">
        <v>817</v>
      </c>
      <c r="B340" s="1028">
        <v>110878000</v>
      </c>
    </row>
    <row r="341" spans="1:2" x14ac:dyDescent="0.2">
      <c r="A341" t="s">
        <v>1664</v>
      </c>
      <c r="B341" s="1028">
        <v>3420069</v>
      </c>
    </row>
    <row r="342" spans="1:2" x14ac:dyDescent="0.2">
      <c r="A342" t="s">
        <v>1665</v>
      </c>
      <c r="B342" s="1028">
        <v>77583700000</v>
      </c>
    </row>
    <row r="343" spans="1:2" x14ac:dyDescent="0.2">
      <c r="A343" t="s">
        <v>818</v>
      </c>
      <c r="B343" s="1028">
        <v>2181310000</v>
      </c>
    </row>
    <row r="344" spans="1:2" x14ac:dyDescent="0.2">
      <c r="A344" t="s">
        <v>1666</v>
      </c>
      <c r="B344" s="1028">
        <v>12269419</v>
      </c>
    </row>
    <row r="345" spans="1:2" x14ac:dyDescent="0.2">
      <c r="A345" t="s">
        <v>842</v>
      </c>
      <c r="B345" s="105">
        <v>6069500000</v>
      </c>
    </row>
    <row r="346" spans="1:2" x14ac:dyDescent="0.2">
      <c r="A346" t="s">
        <v>1667</v>
      </c>
      <c r="B346" s="1028">
        <v>294790</v>
      </c>
    </row>
    <row r="347" spans="1:2" x14ac:dyDescent="0.2">
      <c r="A347" t="s">
        <v>864</v>
      </c>
      <c r="B347" s="1028">
        <v>7874153</v>
      </c>
    </row>
    <row r="348" spans="1:2" x14ac:dyDescent="0.2">
      <c r="A348" t="s">
        <v>1668</v>
      </c>
      <c r="B348" s="1028">
        <v>28270182</v>
      </c>
    </row>
    <row r="349" spans="1:2" x14ac:dyDescent="0.2">
      <c r="A349" t="s">
        <v>1669</v>
      </c>
      <c r="B349" s="1028">
        <v>274883000</v>
      </c>
    </row>
    <row r="350" spans="1:2" x14ac:dyDescent="0.2">
      <c r="A350" t="s">
        <v>820</v>
      </c>
      <c r="B350" s="1028">
        <v>49989699</v>
      </c>
    </row>
    <row r="351" spans="1:2" x14ac:dyDescent="0.2">
      <c r="A351" t="s">
        <v>1670</v>
      </c>
      <c r="B351" s="1028">
        <v>69324681</v>
      </c>
    </row>
    <row r="352" spans="1:2" x14ac:dyDescent="0.2">
      <c r="A352" t="s">
        <v>1671</v>
      </c>
      <c r="B352" s="1028">
        <v>12374401</v>
      </c>
    </row>
    <row r="353" spans="1:2" x14ac:dyDescent="0.2">
      <c r="A353" t="s">
        <v>866</v>
      </c>
      <c r="B353" s="1028">
        <v>1341960000</v>
      </c>
    </row>
    <row r="354" spans="1:2" x14ac:dyDescent="0.2">
      <c r="A354" t="s">
        <v>1672</v>
      </c>
      <c r="B354" s="1028">
        <v>42232123</v>
      </c>
    </row>
    <row r="355" spans="1:2" x14ac:dyDescent="0.2">
      <c r="A355" t="s">
        <v>1673</v>
      </c>
      <c r="B355" s="1028">
        <v>17654779</v>
      </c>
    </row>
    <row r="356" spans="1:2" x14ac:dyDescent="0.2">
      <c r="A356" t="s">
        <v>821</v>
      </c>
      <c r="B356" s="1028">
        <v>228569000</v>
      </c>
    </row>
    <row r="357" spans="1:2" x14ac:dyDescent="0.2">
      <c r="A357" t="s">
        <v>1674</v>
      </c>
      <c r="B357" s="1028">
        <v>969880000</v>
      </c>
    </row>
    <row r="358" spans="1:2" x14ac:dyDescent="0.2">
      <c r="A358" t="s">
        <v>847</v>
      </c>
      <c r="B358" s="1028">
        <v>3184670000</v>
      </c>
    </row>
    <row r="359" spans="1:2" x14ac:dyDescent="0.2">
      <c r="A359" t="s">
        <v>823</v>
      </c>
      <c r="B359" s="1028">
        <v>4653550000</v>
      </c>
    </row>
    <row r="360" spans="1:2" x14ac:dyDescent="0.2">
      <c r="A360" t="s">
        <v>1675</v>
      </c>
      <c r="B360" s="1028">
        <v>26707284</v>
      </c>
    </row>
    <row r="361" spans="1:2" x14ac:dyDescent="0.2">
      <c r="A361" t="s">
        <v>822</v>
      </c>
      <c r="B361" s="1028">
        <v>8598296</v>
      </c>
    </row>
    <row r="362" spans="1:2" x14ac:dyDescent="0.2">
      <c r="A362" t="s">
        <v>824</v>
      </c>
      <c r="B362" s="1028">
        <v>475804000</v>
      </c>
    </row>
    <row r="363" spans="1:2" x14ac:dyDescent="0.2">
      <c r="A363" t="s">
        <v>825</v>
      </c>
      <c r="B363" s="1028">
        <v>1141740000</v>
      </c>
    </row>
    <row r="364" spans="1:2" x14ac:dyDescent="0.2">
      <c r="A364" t="s">
        <v>1676</v>
      </c>
      <c r="B364" s="1028">
        <v>11134562</v>
      </c>
    </row>
    <row r="365" spans="1:2" x14ac:dyDescent="0.2">
      <c r="A365" t="s">
        <v>862</v>
      </c>
      <c r="B365" s="1028">
        <v>11173641</v>
      </c>
    </row>
    <row r="366" spans="1:2" x14ac:dyDescent="0.2">
      <c r="A366" t="s">
        <v>1677</v>
      </c>
      <c r="B366" s="1028">
        <v>15020914</v>
      </c>
    </row>
    <row r="367" spans="1:2" x14ac:dyDescent="0.2">
      <c r="A367" t="s">
        <v>826</v>
      </c>
      <c r="B367" s="1028">
        <v>6048880000</v>
      </c>
    </row>
    <row r="368" spans="1:2" x14ac:dyDescent="0.2">
      <c r="A368" t="s">
        <v>1678</v>
      </c>
      <c r="B368" s="1028">
        <v>186647000</v>
      </c>
    </row>
    <row r="369" spans="1:2" x14ac:dyDescent="0.2">
      <c r="A369" t="s">
        <v>1679</v>
      </c>
      <c r="B369" s="1028">
        <v>35955687</v>
      </c>
    </row>
    <row r="370" spans="1:2" x14ac:dyDescent="0.2">
      <c r="A370" t="s">
        <v>1680</v>
      </c>
      <c r="B370" s="105">
        <v>8193926</v>
      </c>
    </row>
    <row r="371" spans="1:2" x14ac:dyDescent="0.2">
      <c r="A371" t="s">
        <v>876</v>
      </c>
      <c r="B371" s="1028">
        <v>4698914</v>
      </c>
    </row>
    <row r="372" spans="1:2" x14ac:dyDescent="0.2">
      <c r="A372" t="s">
        <v>827</v>
      </c>
      <c r="B372" s="1028">
        <v>916983000</v>
      </c>
    </row>
    <row r="373" spans="1:2" x14ac:dyDescent="0.2">
      <c r="A373" t="s">
        <v>1681</v>
      </c>
      <c r="B373" s="105">
        <v>21506636</v>
      </c>
    </row>
    <row r="374" spans="1:2" x14ac:dyDescent="0.2">
      <c r="A374" t="s">
        <v>868</v>
      </c>
      <c r="B374" s="1028">
        <v>10260887</v>
      </c>
    </row>
    <row r="375" spans="1:2" x14ac:dyDescent="0.2">
      <c r="A375" t="s">
        <v>1682</v>
      </c>
      <c r="B375" s="1028">
        <v>-44801200</v>
      </c>
    </row>
    <row r="376" spans="1:2" x14ac:dyDescent="0.2">
      <c r="A376" t="s">
        <v>877</v>
      </c>
      <c r="B376" s="1028">
        <v>1324657</v>
      </c>
    </row>
    <row r="377" spans="1:2" x14ac:dyDescent="0.2">
      <c r="A377" t="s">
        <v>1683</v>
      </c>
      <c r="B377" s="105">
        <v>19048885</v>
      </c>
    </row>
    <row r="378" spans="1:2" x14ac:dyDescent="0.2">
      <c r="A378" t="s">
        <v>1684</v>
      </c>
      <c r="B378" s="1028">
        <v>21637483</v>
      </c>
    </row>
    <row r="379" spans="1:2" x14ac:dyDescent="0.2">
      <c r="A379" t="s">
        <v>829</v>
      </c>
      <c r="B379" s="1028">
        <v>538429000</v>
      </c>
    </row>
    <row r="380" spans="1:2" x14ac:dyDescent="0.2">
      <c r="A380" t="s">
        <v>828</v>
      </c>
      <c r="B380" s="105">
        <v>2988888</v>
      </c>
    </row>
    <row r="381" spans="1:2" x14ac:dyDescent="0.2">
      <c r="A381" t="s">
        <v>985</v>
      </c>
      <c r="B381" s="1028">
        <v>7570485</v>
      </c>
    </row>
    <row r="382" spans="1:2" x14ac:dyDescent="0.2">
      <c r="A382" t="s">
        <v>1685</v>
      </c>
      <c r="B382" s="105">
        <v>38978272</v>
      </c>
    </row>
    <row r="383" spans="1:2" x14ac:dyDescent="0.2">
      <c r="A383" t="s">
        <v>871</v>
      </c>
      <c r="B383" s="1028">
        <v>3224933</v>
      </c>
    </row>
    <row r="384" spans="1:2" x14ac:dyDescent="0.2">
      <c r="A384" t="s">
        <v>830</v>
      </c>
      <c r="B384" s="1028">
        <v>3731120000</v>
      </c>
    </row>
    <row r="385" spans="1:2" x14ac:dyDescent="0.2">
      <c r="A385" t="s">
        <v>1686</v>
      </c>
      <c r="B385" s="1028">
        <v>899523</v>
      </c>
    </row>
    <row r="386" spans="1:2" x14ac:dyDescent="0.2">
      <c r="A386" t="s">
        <v>870</v>
      </c>
      <c r="B386" s="1028">
        <v>13607577</v>
      </c>
    </row>
    <row r="387" spans="1:2" x14ac:dyDescent="0.2">
      <c r="A387" t="s">
        <v>1687</v>
      </c>
      <c r="B387" s="1028">
        <v>6703894</v>
      </c>
    </row>
    <row r="388" spans="1:2" x14ac:dyDescent="0.2">
      <c r="A388" t="s">
        <v>1688</v>
      </c>
      <c r="B388" s="1028">
        <v>-956872</v>
      </c>
    </row>
    <row r="389" spans="1:2" x14ac:dyDescent="0.2">
      <c r="A389" t="s">
        <v>873</v>
      </c>
      <c r="B389" s="1028">
        <v>130051000</v>
      </c>
    </row>
    <row r="390" spans="1:2" x14ac:dyDescent="0.2">
      <c r="A390" t="s">
        <v>1689</v>
      </c>
      <c r="B390" s="1028">
        <v>497611000</v>
      </c>
    </row>
    <row r="391" spans="1:2" x14ac:dyDescent="0.2">
      <c r="A391" t="s">
        <v>1690</v>
      </c>
      <c r="B391" s="1028">
        <v>2397022</v>
      </c>
    </row>
    <row r="392" spans="1:2" x14ac:dyDescent="0.2">
      <c r="A392" t="s">
        <v>1691</v>
      </c>
      <c r="B392" s="1028">
        <v>1403830000</v>
      </c>
    </row>
    <row r="393" spans="1:2" x14ac:dyDescent="0.2">
      <c r="A393" t="s">
        <v>1692</v>
      </c>
      <c r="B393" s="105">
        <v>21202620</v>
      </c>
    </row>
    <row r="394" spans="1:2" x14ac:dyDescent="0.2">
      <c r="A394" t="s">
        <v>831</v>
      </c>
      <c r="B394" s="1028">
        <v>3255590000</v>
      </c>
    </row>
    <row r="395" spans="1:2" x14ac:dyDescent="0.2">
      <c r="A395" t="s">
        <v>833</v>
      </c>
      <c r="B395" s="105">
        <v>1066270000</v>
      </c>
    </row>
    <row r="396" spans="1:2" x14ac:dyDescent="0.2">
      <c r="A396" t="s">
        <v>832</v>
      </c>
      <c r="B396" s="1028">
        <v>241412000</v>
      </c>
    </row>
    <row r="397" spans="1:2" x14ac:dyDescent="0.2">
      <c r="A397" t="s">
        <v>1693</v>
      </c>
      <c r="B397" s="1028">
        <v>66097170</v>
      </c>
    </row>
    <row r="398" spans="1:2" x14ac:dyDescent="0.2">
      <c r="A398" t="s">
        <v>1694</v>
      </c>
      <c r="B398">
        <v>74999929</v>
      </c>
    </row>
    <row r="399" spans="1:2" x14ac:dyDescent="0.2">
      <c r="A399" t="s">
        <v>1695</v>
      </c>
      <c r="B399" s="105">
        <v>22072237</v>
      </c>
    </row>
    <row r="400" spans="1:2" x14ac:dyDescent="0.2">
      <c r="A400" t="s">
        <v>1696</v>
      </c>
      <c r="B400" s="105">
        <v>168287000</v>
      </c>
    </row>
    <row r="401" spans="1:2" x14ac:dyDescent="0.2">
      <c r="A401" t="s">
        <v>1697</v>
      </c>
      <c r="B401" s="1028">
        <v>11686990</v>
      </c>
    </row>
    <row r="402" spans="1:2" x14ac:dyDescent="0.2">
      <c r="A402" t="s">
        <v>1698</v>
      </c>
      <c r="B402" s="1028">
        <v>103296000</v>
      </c>
    </row>
    <row r="403" spans="1:2" x14ac:dyDescent="0.2">
      <c r="A403" t="s">
        <v>880</v>
      </c>
      <c r="B403" s="1028">
        <v>68517685</v>
      </c>
    </row>
    <row r="404" spans="1:2" x14ac:dyDescent="0.2">
      <c r="A404" t="s">
        <v>1699</v>
      </c>
      <c r="B404" s="1028">
        <v>539088000</v>
      </c>
    </row>
    <row r="405" spans="1:2" x14ac:dyDescent="0.2">
      <c r="A405" t="s">
        <v>1700</v>
      </c>
      <c r="B405" s="1028">
        <v>430522000</v>
      </c>
    </row>
    <row r="406" spans="1:2" x14ac:dyDescent="0.2">
      <c r="A406" t="s">
        <v>1701</v>
      </c>
      <c r="B406" s="1028">
        <v>15942236</v>
      </c>
    </row>
    <row r="407" spans="1:2" x14ac:dyDescent="0.2">
      <c r="A407" t="s">
        <v>834</v>
      </c>
      <c r="B407" s="1028">
        <v>311277000</v>
      </c>
    </row>
    <row r="408" spans="1:2" x14ac:dyDescent="0.2">
      <c r="A408" t="s">
        <v>881</v>
      </c>
      <c r="B408" s="1028">
        <v>419654000</v>
      </c>
    </row>
    <row r="409" spans="1:2" x14ac:dyDescent="0.2">
      <c r="A409" t="s">
        <v>835</v>
      </c>
      <c r="B409" s="1028">
        <v>93844220</v>
      </c>
    </row>
    <row r="410" spans="1:2" x14ac:dyDescent="0.2">
      <c r="A410" t="s">
        <v>1702</v>
      </c>
      <c r="B410" s="1028">
        <v>10186047</v>
      </c>
    </row>
    <row r="411" spans="1:2" x14ac:dyDescent="0.2">
      <c r="A411" t="s">
        <v>1703</v>
      </c>
      <c r="B411" s="1028">
        <v>434445000</v>
      </c>
    </row>
    <row r="412" spans="1:2" x14ac:dyDescent="0.2">
      <c r="A412" t="s">
        <v>1704</v>
      </c>
      <c r="B412" s="1028">
        <v>87773575</v>
      </c>
    </row>
    <row r="413" spans="1:2" x14ac:dyDescent="0.2">
      <c r="A413" t="s">
        <v>848</v>
      </c>
      <c r="B413" s="1028">
        <v>632601000</v>
      </c>
    </row>
    <row r="414" spans="1:2" x14ac:dyDescent="0.2">
      <c r="A414" t="s">
        <v>1705</v>
      </c>
      <c r="B414" s="1028">
        <v>263507000</v>
      </c>
    </row>
    <row r="415" spans="1:2" x14ac:dyDescent="0.2">
      <c r="A415" t="s">
        <v>1706</v>
      </c>
      <c r="B415" s="105">
        <v>2014471</v>
      </c>
    </row>
    <row r="416" spans="1:2" x14ac:dyDescent="0.2">
      <c r="A416" t="s">
        <v>875</v>
      </c>
      <c r="B416" s="105">
        <v>2002870000</v>
      </c>
    </row>
    <row r="417" spans="1:2" x14ac:dyDescent="0.2">
      <c r="A417" t="s">
        <v>1707</v>
      </c>
      <c r="B417" s="105">
        <v>65162408</v>
      </c>
    </row>
    <row r="418" spans="1:2" x14ac:dyDescent="0.2">
      <c r="A418" t="s">
        <v>1708</v>
      </c>
      <c r="B418" s="1028">
        <v>9493991</v>
      </c>
    </row>
    <row r="419" spans="1:2" x14ac:dyDescent="0.2">
      <c r="A419" t="s">
        <v>1709</v>
      </c>
      <c r="B419" s="1028">
        <v>824777000</v>
      </c>
    </row>
    <row r="420" spans="1:2" x14ac:dyDescent="0.2">
      <c r="A420" t="s">
        <v>836</v>
      </c>
      <c r="B420" s="1028">
        <v>92305505</v>
      </c>
    </row>
    <row r="421" spans="1:2" x14ac:dyDescent="0.2">
      <c r="A421" t="s">
        <v>837</v>
      </c>
      <c r="B421" s="1028">
        <v>9743302</v>
      </c>
    </row>
    <row r="422" spans="1:2" x14ac:dyDescent="0.2">
      <c r="A422" t="s">
        <v>839</v>
      </c>
      <c r="B422" s="1028">
        <v>387723000</v>
      </c>
    </row>
    <row r="423" spans="1:2" x14ac:dyDescent="0.2">
      <c r="A423" t="s">
        <v>1710</v>
      </c>
      <c r="B423" s="1028">
        <v>782048000</v>
      </c>
    </row>
    <row r="424" spans="1:2" x14ac:dyDescent="0.2">
      <c r="A424" t="s">
        <v>1711</v>
      </c>
      <c r="B424">
        <v>62162918</v>
      </c>
    </row>
    <row r="425" spans="1:2" x14ac:dyDescent="0.2">
      <c r="A425" t="s">
        <v>1712</v>
      </c>
      <c r="B425" s="105">
        <v>9753283</v>
      </c>
    </row>
    <row r="426" spans="1:2" x14ac:dyDescent="0.2">
      <c r="A426" t="s">
        <v>841</v>
      </c>
      <c r="B426" s="105">
        <v>255744000</v>
      </c>
    </row>
    <row r="427" spans="1:2" x14ac:dyDescent="0.2">
      <c r="A427" t="s">
        <v>1713</v>
      </c>
      <c r="B427" s="1028">
        <v>535051000</v>
      </c>
    </row>
    <row r="428" spans="1:2" x14ac:dyDescent="0.2">
      <c r="A428" t="s">
        <v>1714</v>
      </c>
      <c r="B428" s="1028">
        <v>5999112</v>
      </c>
    </row>
    <row r="429" spans="1:2" x14ac:dyDescent="0.2">
      <c r="A429" t="s">
        <v>1715</v>
      </c>
      <c r="B429" s="105">
        <v>4343081</v>
      </c>
    </row>
    <row r="430" spans="1:2" x14ac:dyDescent="0.2">
      <c r="A430" t="s">
        <v>1716</v>
      </c>
      <c r="B430" s="105">
        <v>50020535</v>
      </c>
    </row>
    <row r="431" spans="1:2" x14ac:dyDescent="0.2">
      <c r="A431" t="s">
        <v>1717</v>
      </c>
      <c r="B431">
        <v>33967610</v>
      </c>
    </row>
    <row r="432" spans="1:2" x14ac:dyDescent="0.2">
      <c r="A432" t="s">
        <v>242</v>
      </c>
      <c r="B432" s="1028">
        <v>185540000000</v>
      </c>
    </row>
    <row r="433" spans="1:2" x14ac:dyDescent="0.2">
      <c r="A433" t="s">
        <v>1718</v>
      </c>
      <c r="B433" s="1028">
        <v>30403789</v>
      </c>
    </row>
    <row r="434" spans="1:2" x14ac:dyDescent="0.2">
      <c r="A434" t="s">
        <v>984</v>
      </c>
      <c r="B434" s="105">
        <v>-4125779</v>
      </c>
    </row>
    <row r="435" spans="1:2" x14ac:dyDescent="0.2">
      <c r="A435" t="s">
        <v>1719</v>
      </c>
      <c r="B435" s="1028">
        <v>8457088</v>
      </c>
    </row>
    <row r="436" spans="1:2" x14ac:dyDescent="0.2">
      <c r="A436" t="s">
        <v>1720</v>
      </c>
      <c r="B436" s="105">
        <v>100016000</v>
      </c>
    </row>
    <row r="437" spans="1:2" x14ac:dyDescent="0.2">
      <c r="A437" t="s">
        <v>849</v>
      </c>
      <c r="B437" s="1028">
        <v>313324000</v>
      </c>
    </row>
    <row r="438" spans="1:2" x14ac:dyDescent="0.2">
      <c r="A438" t="s">
        <v>1721</v>
      </c>
      <c r="B438" s="1028">
        <v>14524143</v>
      </c>
    </row>
    <row r="439" spans="1:2" x14ac:dyDescent="0.2">
      <c r="A439" t="s">
        <v>1722</v>
      </c>
      <c r="B439" s="105">
        <v>6503421</v>
      </c>
    </row>
    <row r="440" spans="1:2" x14ac:dyDescent="0.2">
      <c r="A440" t="s">
        <v>231</v>
      </c>
      <c r="B440" s="1028">
        <v>340707000000</v>
      </c>
    </row>
    <row r="442" spans="1:2" x14ac:dyDescent="0.2">
      <c r="A442" t="s">
        <v>1641</v>
      </c>
      <c r="B442" s="105" t="s">
        <v>1642</v>
      </c>
    </row>
    <row r="443" spans="1:2" x14ac:dyDescent="0.2">
      <c r="B443" s="1028" t="s">
        <v>1725</v>
      </c>
    </row>
    <row r="444" spans="1:2" x14ac:dyDescent="0.2">
      <c r="A444" t="s">
        <v>853</v>
      </c>
      <c r="B444" s="105">
        <v>805</v>
      </c>
    </row>
    <row r="445" spans="1:2" x14ac:dyDescent="0.2">
      <c r="A445" t="s">
        <v>1644</v>
      </c>
      <c r="B445" s="105">
        <v>10297</v>
      </c>
    </row>
    <row r="446" spans="1:2" x14ac:dyDescent="0.2">
      <c r="A446" t="s">
        <v>1645</v>
      </c>
      <c r="B446" s="105">
        <v>347</v>
      </c>
    </row>
    <row r="447" spans="1:2" x14ac:dyDescent="0.2">
      <c r="A447" t="s">
        <v>1646</v>
      </c>
      <c r="B447" s="105">
        <v>38222</v>
      </c>
    </row>
    <row r="448" spans="1:2" x14ac:dyDescent="0.2">
      <c r="A448" t="s">
        <v>1647</v>
      </c>
      <c r="B448" s="105">
        <v>104461</v>
      </c>
    </row>
    <row r="449" spans="1:2" x14ac:dyDescent="0.2">
      <c r="A449" t="s">
        <v>1648</v>
      </c>
      <c r="B449">
        <v>425</v>
      </c>
    </row>
    <row r="450" spans="1:2" x14ac:dyDescent="0.2">
      <c r="A450" t="s">
        <v>809</v>
      </c>
      <c r="B450" s="1028">
        <v>243078</v>
      </c>
    </row>
    <row r="451" spans="1:2" x14ac:dyDescent="0.2">
      <c r="A451" t="s">
        <v>810</v>
      </c>
      <c r="B451" s="1028">
        <v>26312</v>
      </c>
    </row>
    <row r="452" spans="1:2" x14ac:dyDescent="0.2">
      <c r="A452" t="s">
        <v>1649</v>
      </c>
      <c r="B452" s="1028">
        <v>1707</v>
      </c>
    </row>
    <row r="453" spans="1:2" x14ac:dyDescent="0.2">
      <c r="A453" t="s">
        <v>811</v>
      </c>
      <c r="B453" s="105">
        <v>90847</v>
      </c>
    </row>
    <row r="454" spans="1:2" x14ac:dyDescent="0.2">
      <c r="A454" t="s">
        <v>1650</v>
      </c>
      <c r="B454" s="105">
        <v>3448</v>
      </c>
    </row>
    <row r="455" spans="1:2" x14ac:dyDescent="0.2">
      <c r="A455" t="s">
        <v>1651</v>
      </c>
      <c r="B455" s="105">
        <v>14648</v>
      </c>
    </row>
    <row r="456" spans="1:2" x14ac:dyDescent="0.2">
      <c r="A456" t="s">
        <v>983</v>
      </c>
      <c r="B456">
        <v>3630</v>
      </c>
    </row>
    <row r="457" spans="1:2" x14ac:dyDescent="0.2">
      <c r="A457" t="s">
        <v>854</v>
      </c>
      <c r="B457" s="105">
        <v>2839</v>
      </c>
    </row>
    <row r="458" spans="1:2" x14ac:dyDescent="0.2">
      <c r="A458" t="s">
        <v>1652</v>
      </c>
      <c r="B458" s="105">
        <v>465</v>
      </c>
    </row>
    <row r="459" spans="1:2" x14ac:dyDescent="0.2">
      <c r="A459" t="s">
        <v>1653</v>
      </c>
      <c r="B459" s="1028">
        <v>1056</v>
      </c>
    </row>
    <row r="460" spans="1:2" x14ac:dyDescent="0.2">
      <c r="A460" t="s">
        <v>857</v>
      </c>
      <c r="B460" s="1028">
        <v>551</v>
      </c>
    </row>
    <row r="461" spans="1:2" x14ac:dyDescent="0.2">
      <c r="A461" t="s">
        <v>1654</v>
      </c>
      <c r="B461" s="1028">
        <v>2925</v>
      </c>
    </row>
    <row r="462" spans="1:2" x14ac:dyDescent="0.2">
      <c r="A462" t="s">
        <v>843</v>
      </c>
      <c r="B462" s="1028">
        <v>532715</v>
      </c>
    </row>
    <row r="463" spans="1:2" x14ac:dyDescent="0.2">
      <c r="A463" t="s">
        <v>855</v>
      </c>
      <c r="B463" s="1028">
        <v>403</v>
      </c>
    </row>
    <row r="464" spans="1:2" x14ac:dyDescent="0.2">
      <c r="A464" t="s">
        <v>1655</v>
      </c>
      <c r="B464" s="105">
        <v>450</v>
      </c>
    </row>
    <row r="465" spans="1:2" x14ac:dyDescent="0.2">
      <c r="A465" t="s">
        <v>1656</v>
      </c>
      <c r="B465" s="105">
        <v>1310</v>
      </c>
    </row>
    <row r="466" spans="1:2" x14ac:dyDescent="0.2">
      <c r="A466" t="s">
        <v>812</v>
      </c>
      <c r="B466" s="1028">
        <v>761499</v>
      </c>
    </row>
    <row r="467" spans="1:2" x14ac:dyDescent="0.2">
      <c r="A467" t="s">
        <v>840</v>
      </c>
      <c r="B467" s="1028">
        <v>73146</v>
      </c>
    </row>
    <row r="468" spans="1:2" x14ac:dyDescent="0.2">
      <c r="A468" t="s">
        <v>813</v>
      </c>
      <c r="B468" s="1028">
        <v>112241</v>
      </c>
    </row>
    <row r="469" spans="1:2" x14ac:dyDescent="0.2">
      <c r="A469" t="s">
        <v>844</v>
      </c>
      <c r="B469" s="105">
        <v>1055018</v>
      </c>
    </row>
    <row r="470" spans="1:2" x14ac:dyDescent="0.2">
      <c r="A470" t="s">
        <v>1657</v>
      </c>
      <c r="B470" s="1028">
        <v>1068</v>
      </c>
    </row>
    <row r="471" spans="1:2" x14ac:dyDescent="0.2">
      <c r="A471" t="s">
        <v>1658</v>
      </c>
      <c r="B471" s="105">
        <v>575</v>
      </c>
    </row>
    <row r="472" spans="1:2" x14ac:dyDescent="0.2">
      <c r="A472" t="s">
        <v>1659</v>
      </c>
      <c r="B472" s="1028">
        <v>936</v>
      </c>
    </row>
    <row r="473" spans="1:2" x14ac:dyDescent="0.2">
      <c r="A473" t="s">
        <v>845</v>
      </c>
      <c r="B473" s="1028">
        <v>73043</v>
      </c>
    </row>
    <row r="474" spans="1:2" x14ac:dyDescent="0.2">
      <c r="A474" t="s">
        <v>846</v>
      </c>
      <c r="B474" s="1028">
        <v>69844</v>
      </c>
    </row>
    <row r="475" spans="1:2" x14ac:dyDescent="0.2">
      <c r="A475" t="s">
        <v>860</v>
      </c>
      <c r="B475" s="1028">
        <v>288</v>
      </c>
    </row>
    <row r="476" spans="1:2" x14ac:dyDescent="0.2">
      <c r="A476" t="s">
        <v>859</v>
      </c>
      <c r="B476" s="1028">
        <v>3139</v>
      </c>
    </row>
    <row r="477" spans="1:2" x14ac:dyDescent="0.2">
      <c r="A477" t="s">
        <v>861</v>
      </c>
      <c r="B477" s="1028">
        <v>1542</v>
      </c>
    </row>
    <row r="478" spans="1:2" x14ac:dyDescent="0.2">
      <c r="A478" t="s">
        <v>814</v>
      </c>
      <c r="B478" s="1028">
        <v>77576</v>
      </c>
    </row>
    <row r="479" spans="1:2" x14ac:dyDescent="0.2">
      <c r="A479" t="s">
        <v>819</v>
      </c>
      <c r="B479" s="1028">
        <v>500806</v>
      </c>
    </row>
    <row r="480" spans="1:2" x14ac:dyDescent="0.2">
      <c r="A480" t="s">
        <v>815</v>
      </c>
      <c r="B480" s="105">
        <v>29025</v>
      </c>
    </row>
    <row r="481" spans="1:2" x14ac:dyDescent="0.2">
      <c r="A481" t="s">
        <v>1660</v>
      </c>
      <c r="B481" s="105">
        <v>26262</v>
      </c>
    </row>
    <row r="482" spans="1:2" x14ac:dyDescent="0.2">
      <c r="A482" t="s">
        <v>1661</v>
      </c>
      <c r="B482" s="1028">
        <v>4133</v>
      </c>
    </row>
    <row r="483" spans="1:2" x14ac:dyDescent="0.2">
      <c r="A483" t="s">
        <v>1662</v>
      </c>
      <c r="B483" s="1028">
        <v>12904</v>
      </c>
    </row>
    <row r="484" spans="1:2" x14ac:dyDescent="0.2">
      <c r="A484" t="s">
        <v>1663</v>
      </c>
      <c r="B484" s="105">
        <v>34226</v>
      </c>
    </row>
    <row r="485" spans="1:2" x14ac:dyDescent="0.2">
      <c r="A485" t="s">
        <v>838</v>
      </c>
      <c r="B485" s="1028">
        <v>147905</v>
      </c>
    </row>
    <row r="486" spans="1:2" x14ac:dyDescent="0.2">
      <c r="A486" t="s">
        <v>816</v>
      </c>
      <c r="B486" s="1028">
        <v>3648</v>
      </c>
    </row>
    <row r="487" spans="1:2" x14ac:dyDescent="0.2">
      <c r="A487" t="s">
        <v>817</v>
      </c>
      <c r="B487" s="105">
        <v>18452</v>
      </c>
    </row>
    <row r="488" spans="1:2" x14ac:dyDescent="0.2">
      <c r="A488" t="s">
        <v>1664</v>
      </c>
      <c r="B488" s="1028">
        <v>2450</v>
      </c>
    </row>
    <row r="489" spans="1:2" x14ac:dyDescent="0.2">
      <c r="A489" t="s">
        <v>1665</v>
      </c>
      <c r="B489" s="1028">
        <v>11176463</v>
      </c>
    </row>
    <row r="490" spans="1:2" x14ac:dyDescent="0.2">
      <c r="A490" t="s">
        <v>818</v>
      </c>
      <c r="B490" s="105">
        <v>309741</v>
      </c>
    </row>
    <row r="491" spans="1:2" x14ac:dyDescent="0.2">
      <c r="A491" t="s">
        <v>1666</v>
      </c>
      <c r="B491" s="105">
        <v>658</v>
      </c>
    </row>
    <row r="492" spans="1:2" x14ac:dyDescent="0.2">
      <c r="A492" t="s">
        <v>842</v>
      </c>
      <c r="B492" s="105">
        <v>978253</v>
      </c>
    </row>
    <row r="493" spans="1:2" x14ac:dyDescent="0.2">
      <c r="A493" t="s">
        <v>1667</v>
      </c>
      <c r="B493" s="105">
        <v>487</v>
      </c>
    </row>
    <row r="494" spans="1:2" x14ac:dyDescent="0.2">
      <c r="A494" t="s">
        <v>864</v>
      </c>
      <c r="B494" s="105">
        <v>1529</v>
      </c>
    </row>
    <row r="495" spans="1:2" x14ac:dyDescent="0.2">
      <c r="A495" t="s">
        <v>1668</v>
      </c>
      <c r="B495">
        <v>5464</v>
      </c>
    </row>
    <row r="496" spans="1:2" x14ac:dyDescent="0.2">
      <c r="A496" t="s">
        <v>1669</v>
      </c>
      <c r="B496" s="105">
        <v>1728</v>
      </c>
    </row>
    <row r="497" spans="1:2" x14ac:dyDescent="0.2">
      <c r="A497" t="s">
        <v>820</v>
      </c>
      <c r="B497">
        <v>13130</v>
      </c>
    </row>
    <row r="498" spans="1:2" x14ac:dyDescent="0.2">
      <c r="A498" t="s">
        <v>1670</v>
      </c>
      <c r="B498" s="1028">
        <v>24583</v>
      </c>
    </row>
    <row r="499" spans="1:2" x14ac:dyDescent="0.2">
      <c r="A499" t="s">
        <v>1671</v>
      </c>
      <c r="B499" s="1028">
        <v>1160</v>
      </c>
    </row>
    <row r="500" spans="1:2" x14ac:dyDescent="0.2">
      <c r="A500" t="s">
        <v>866</v>
      </c>
      <c r="B500" s="105">
        <v>85285</v>
      </c>
    </row>
    <row r="501" spans="1:2" x14ac:dyDescent="0.2">
      <c r="A501" t="s">
        <v>1672</v>
      </c>
      <c r="B501" s="1028">
        <v>55385</v>
      </c>
    </row>
    <row r="502" spans="1:2" x14ac:dyDescent="0.2">
      <c r="A502" t="s">
        <v>1673</v>
      </c>
      <c r="B502" s="105">
        <v>3814</v>
      </c>
    </row>
    <row r="503" spans="1:2" x14ac:dyDescent="0.2">
      <c r="A503" t="s">
        <v>821</v>
      </c>
      <c r="B503" s="105">
        <v>70413</v>
      </c>
    </row>
    <row r="504" spans="1:2" x14ac:dyDescent="0.2">
      <c r="A504" t="s">
        <v>1674</v>
      </c>
      <c r="B504" s="105">
        <v>67669</v>
      </c>
    </row>
    <row r="505" spans="1:2" x14ac:dyDescent="0.2">
      <c r="A505" t="s">
        <v>847</v>
      </c>
      <c r="B505" s="1028">
        <v>1149992</v>
      </c>
    </row>
    <row r="506" spans="1:2" x14ac:dyDescent="0.2">
      <c r="A506" t="s">
        <v>823</v>
      </c>
      <c r="B506" s="105">
        <v>108127</v>
      </c>
    </row>
    <row r="507" spans="1:2" x14ac:dyDescent="0.2">
      <c r="A507" t="s">
        <v>1675</v>
      </c>
      <c r="B507" s="105">
        <v>3961</v>
      </c>
    </row>
    <row r="508" spans="1:2" x14ac:dyDescent="0.2">
      <c r="A508" t="s">
        <v>822</v>
      </c>
      <c r="B508" s="105">
        <v>1944</v>
      </c>
    </row>
    <row r="509" spans="1:2" x14ac:dyDescent="0.2">
      <c r="A509" t="s">
        <v>824</v>
      </c>
      <c r="B509" s="1028">
        <v>43835</v>
      </c>
    </row>
    <row r="510" spans="1:2" x14ac:dyDescent="0.2">
      <c r="A510" t="s">
        <v>825</v>
      </c>
      <c r="B510" s="1028">
        <v>157598</v>
      </c>
    </row>
    <row r="511" spans="1:2" x14ac:dyDescent="0.2">
      <c r="A511" t="s">
        <v>1676</v>
      </c>
      <c r="B511" s="105">
        <v>8675</v>
      </c>
    </row>
    <row r="512" spans="1:2" x14ac:dyDescent="0.2">
      <c r="A512" t="s">
        <v>862</v>
      </c>
      <c r="B512" s="1028">
        <v>459</v>
      </c>
    </row>
    <row r="513" spans="1:2" x14ac:dyDescent="0.2">
      <c r="A513" t="s">
        <v>1677</v>
      </c>
      <c r="B513" s="1028">
        <v>2042</v>
      </c>
    </row>
    <row r="514" spans="1:2" x14ac:dyDescent="0.2">
      <c r="A514" t="s">
        <v>826</v>
      </c>
      <c r="B514" s="105">
        <v>310802</v>
      </c>
    </row>
    <row r="515" spans="1:2" x14ac:dyDescent="0.2">
      <c r="A515" t="s">
        <v>1678</v>
      </c>
      <c r="B515" s="1028">
        <v>5062</v>
      </c>
    </row>
    <row r="516" spans="1:2" x14ac:dyDescent="0.2">
      <c r="A516" t="s">
        <v>1679</v>
      </c>
      <c r="B516" s="105">
        <v>3294</v>
      </c>
    </row>
    <row r="517" spans="1:2" x14ac:dyDescent="0.2">
      <c r="A517" t="s">
        <v>1680</v>
      </c>
      <c r="B517" s="1028">
        <v>2187</v>
      </c>
    </row>
    <row r="518" spans="1:2" x14ac:dyDescent="0.2">
      <c r="A518" t="s">
        <v>876</v>
      </c>
      <c r="B518" s="1028">
        <v>916</v>
      </c>
    </row>
    <row r="519" spans="1:2" x14ac:dyDescent="0.2">
      <c r="A519" t="s">
        <v>827</v>
      </c>
      <c r="B519" s="105">
        <v>111232</v>
      </c>
    </row>
    <row r="520" spans="1:2" x14ac:dyDescent="0.2">
      <c r="A520" t="s">
        <v>1681</v>
      </c>
      <c r="B520" s="105">
        <v>3078</v>
      </c>
    </row>
    <row r="521" spans="1:2" x14ac:dyDescent="0.2">
      <c r="A521" t="s">
        <v>868</v>
      </c>
      <c r="B521" s="105">
        <v>845</v>
      </c>
    </row>
    <row r="522" spans="1:2" x14ac:dyDescent="0.2">
      <c r="A522" t="s">
        <v>1682</v>
      </c>
      <c r="B522" s="1028">
        <v>126</v>
      </c>
    </row>
    <row r="523" spans="1:2" x14ac:dyDescent="0.2">
      <c r="A523" t="s">
        <v>877</v>
      </c>
      <c r="B523" s="1028">
        <v>292</v>
      </c>
    </row>
    <row r="524" spans="1:2" x14ac:dyDescent="0.2">
      <c r="A524" t="s">
        <v>1683</v>
      </c>
      <c r="B524" s="1028">
        <v>3515</v>
      </c>
    </row>
    <row r="525" spans="1:2" x14ac:dyDescent="0.2">
      <c r="A525" t="s">
        <v>1684</v>
      </c>
      <c r="B525" s="105">
        <v>7269</v>
      </c>
    </row>
    <row r="526" spans="1:2" x14ac:dyDescent="0.2">
      <c r="A526" t="s">
        <v>829</v>
      </c>
      <c r="B526" s="105">
        <v>11361</v>
      </c>
    </row>
    <row r="527" spans="1:2" x14ac:dyDescent="0.2">
      <c r="A527" t="s">
        <v>828</v>
      </c>
      <c r="B527" s="105">
        <v>1314</v>
      </c>
    </row>
    <row r="528" spans="1:2" x14ac:dyDescent="0.2">
      <c r="A528" t="s">
        <v>985</v>
      </c>
      <c r="B528" s="1028">
        <v>29073</v>
      </c>
    </row>
    <row r="529" spans="1:2" x14ac:dyDescent="0.2">
      <c r="A529" t="s">
        <v>1685</v>
      </c>
      <c r="B529" s="105">
        <v>27322</v>
      </c>
    </row>
    <row r="530" spans="1:2" x14ac:dyDescent="0.2">
      <c r="A530" t="s">
        <v>871</v>
      </c>
      <c r="B530" s="1028">
        <v>250</v>
      </c>
    </row>
    <row r="531" spans="1:2" x14ac:dyDescent="0.2">
      <c r="A531" t="s">
        <v>830</v>
      </c>
      <c r="B531" s="105">
        <v>975451</v>
      </c>
    </row>
    <row r="532" spans="1:2" x14ac:dyDescent="0.2">
      <c r="A532" t="s">
        <v>1686</v>
      </c>
      <c r="B532" s="105">
        <v>2983</v>
      </c>
    </row>
    <row r="533" spans="1:2" x14ac:dyDescent="0.2">
      <c r="A533" t="s">
        <v>870</v>
      </c>
      <c r="B533" s="105">
        <v>422</v>
      </c>
    </row>
    <row r="534" spans="1:2" x14ac:dyDescent="0.2">
      <c r="A534" t="s">
        <v>1687</v>
      </c>
      <c r="B534" s="1028">
        <v>1838</v>
      </c>
    </row>
    <row r="535" spans="1:2" x14ac:dyDescent="0.2">
      <c r="A535" t="s">
        <v>1688</v>
      </c>
      <c r="B535" s="105">
        <v>5450</v>
      </c>
    </row>
    <row r="536" spans="1:2" x14ac:dyDescent="0.2">
      <c r="A536" t="s">
        <v>873</v>
      </c>
      <c r="B536" s="105">
        <v>3321</v>
      </c>
    </row>
    <row r="537" spans="1:2" x14ac:dyDescent="0.2">
      <c r="A537" t="s">
        <v>1689</v>
      </c>
      <c r="B537" s="105">
        <v>147613</v>
      </c>
    </row>
    <row r="538" spans="1:2" x14ac:dyDescent="0.2">
      <c r="A538" t="s">
        <v>1690</v>
      </c>
      <c r="B538" s="105">
        <v>499</v>
      </c>
    </row>
    <row r="539" spans="1:2" x14ac:dyDescent="0.2">
      <c r="A539" t="s">
        <v>1691</v>
      </c>
      <c r="B539" s="1028">
        <v>10510</v>
      </c>
    </row>
    <row r="540" spans="1:2" x14ac:dyDescent="0.2">
      <c r="A540" t="s">
        <v>1692</v>
      </c>
      <c r="B540" s="105">
        <v>8535</v>
      </c>
    </row>
    <row r="541" spans="1:2" x14ac:dyDescent="0.2">
      <c r="A541" t="s">
        <v>831</v>
      </c>
      <c r="B541" s="1028">
        <v>135788</v>
      </c>
    </row>
    <row r="542" spans="1:2" x14ac:dyDescent="0.2">
      <c r="A542" t="s">
        <v>833</v>
      </c>
      <c r="B542" s="1028">
        <v>32668</v>
      </c>
    </row>
    <row r="543" spans="1:2" x14ac:dyDescent="0.2">
      <c r="A543" t="s">
        <v>832</v>
      </c>
      <c r="B543" s="105">
        <v>26473</v>
      </c>
    </row>
    <row r="544" spans="1:2" x14ac:dyDescent="0.2">
      <c r="A544" t="s">
        <v>1693</v>
      </c>
      <c r="B544" s="105">
        <v>12600</v>
      </c>
    </row>
    <row r="545" spans="1:2" x14ac:dyDescent="0.2">
      <c r="A545" t="s">
        <v>1694</v>
      </c>
      <c r="B545" s="105">
        <v>2062</v>
      </c>
    </row>
    <row r="546" spans="1:2" x14ac:dyDescent="0.2">
      <c r="A546" t="s">
        <v>1695</v>
      </c>
      <c r="B546" s="105">
        <v>7509</v>
      </c>
    </row>
    <row r="547" spans="1:2" x14ac:dyDescent="0.2">
      <c r="A547" t="s">
        <v>1696</v>
      </c>
      <c r="B547" s="1028">
        <v>5907</v>
      </c>
    </row>
    <row r="548" spans="1:2" x14ac:dyDescent="0.2">
      <c r="A548" t="s">
        <v>1697</v>
      </c>
      <c r="B548">
        <v>4673</v>
      </c>
    </row>
    <row r="549" spans="1:2" x14ac:dyDescent="0.2">
      <c r="A549" t="s">
        <v>1698</v>
      </c>
      <c r="B549" s="105">
        <v>9957</v>
      </c>
    </row>
    <row r="550" spans="1:2" x14ac:dyDescent="0.2">
      <c r="A550" t="s">
        <v>880</v>
      </c>
      <c r="B550" s="105">
        <v>9931</v>
      </c>
    </row>
    <row r="551" spans="1:2" x14ac:dyDescent="0.2">
      <c r="A551" t="s">
        <v>1699</v>
      </c>
      <c r="B551" s="105">
        <v>36643</v>
      </c>
    </row>
    <row r="552" spans="1:2" x14ac:dyDescent="0.2">
      <c r="A552" t="s">
        <v>1700</v>
      </c>
      <c r="B552" s="105">
        <v>235692</v>
      </c>
    </row>
    <row r="553" spans="1:2" x14ac:dyDescent="0.2">
      <c r="A553" t="s">
        <v>1701</v>
      </c>
      <c r="B553" s="105">
        <v>960</v>
      </c>
    </row>
    <row r="554" spans="1:2" x14ac:dyDescent="0.2">
      <c r="A554" t="s">
        <v>834</v>
      </c>
      <c r="B554" s="105">
        <v>187607</v>
      </c>
    </row>
    <row r="555" spans="1:2" x14ac:dyDescent="0.2">
      <c r="A555" t="s">
        <v>881</v>
      </c>
      <c r="B555" s="105">
        <v>66326</v>
      </c>
    </row>
    <row r="556" spans="1:2" x14ac:dyDescent="0.2">
      <c r="A556" t="s">
        <v>835</v>
      </c>
      <c r="B556" s="105">
        <v>35089</v>
      </c>
    </row>
    <row r="557" spans="1:2" x14ac:dyDescent="0.2">
      <c r="A557" t="s">
        <v>1702</v>
      </c>
      <c r="B557" s="1028">
        <v>2059</v>
      </c>
    </row>
    <row r="558" spans="1:2" x14ac:dyDescent="0.2">
      <c r="A558" t="s">
        <v>1703</v>
      </c>
      <c r="B558" s="105">
        <v>4506</v>
      </c>
    </row>
    <row r="559" spans="1:2" x14ac:dyDescent="0.2">
      <c r="A559" t="s">
        <v>1704</v>
      </c>
      <c r="B559" s="1028">
        <v>57723</v>
      </c>
    </row>
    <row r="560" spans="1:2" x14ac:dyDescent="0.2">
      <c r="A560" t="s">
        <v>848</v>
      </c>
      <c r="B560" s="105">
        <v>171424</v>
      </c>
    </row>
    <row r="561" spans="1:2" x14ac:dyDescent="0.2">
      <c r="A561" t="s">
        <v>1705</v>
      </c>
      <c r="B561" s="105">
        <v>31851</v>
      </c>
    </row>
    <row r="562" spans="1:2" x14ac:dyDescent="0.2">
      <c r="A562" t="s">
        <v>1706</v>
      </c>
      <c r="B562" s="105">
        <v>419</v>
      </c>
    </row>
    <row r="563" spans="1:2" x14ac:dyDescent="0.2">
      <c r="A563" t="s">
        <v>875</v>
      </c>
      <c r="B563" s="1028">
        <v>126190</v>
      </c>
    </row>
    <row r="564" spans="1:2" x14ac:dyDescent="0.2">
      <c r="A564" t="s">
        <v>1707</v>
      </c>
      <c r="B564" s="105">
        <v>35486</v>
      </c>
    </row>
    <row r="565" spans="1:2" x14ac:dyDescent="0.2">
      <c r="A565" t="s">
        <v>1708</v>
      </c>
      <c r="B565" s="1028">
        <v>9516</v>
      </c>
    </row>
    <row r="566" spans="1:2" x14ac:dyDescent="0.2">
      <c r="A566" t="s">
        <v>1709</v>
      </c>
      <c r="B566" s="1028">
        <v>482627</v>
      </c>
    </row>
    <row r="567" spans="1:2" x14ac:dyDescent="0.2">
      <c r="A567" t="s">
        <v>836</v>
      </c>
      <c r="B567" s="105">
        <v>41391</v>
      </c>
    </row>
    <row r="568" spans="1:2" x14ac:dyDescent="0.2">
      <c r="A568" t="s">
        <v>837</v>
      </c>
      <c r="B568" s="1028">
        <v>3849</v>
      </c>
    </row>
    <row r="569" spans="1:2" x14ac:dyDescent="0.2">
      <c r="A569" t="s">
        <v>839</v>
      </c>
      <c r="B569" s="1028">
        <v>45381</v>
      </c>
    </row>
    <row r="570" spans="1:2" x14ac:dyDescent="0.2">
      <c r="A570" t="s">
        <v>1710</v>
      </c>
      <c r="B570" s="1028">
        <v>136602</v>
      </c>
    </row>
    <row r="571" spans="1:2" x14ac:dyDescent="0.2">
      <c r="A571" t="s">
        <v>1711</v>
      </c>
      <c r="B571" s="1028">
        <v>4133</v>
      </c>
    </row>
    <row r="572" spans="1:2" x14ac:dyDescent="0.2">
      <c r="A572" t="s">
        <v>1712</v>
      </c>
      <c r="B572" s="1028">
        <v>6849</v>
      </c>
    </row>
    <row r="573" spans="1:2" x14ac:dyDescent="0.2">
      <c r="A573" t="s">
        <v>841</v>
      </c>
      <c r="B573" s="1028">
        <v>48017</v>
      </c>
    </row>
    <row r="574" spans="1:2" x14ac:dyDescent="0.2">
      <c r="A574" t="s">
        <v>1713</v>
      </c>
      <c r="B574" s="1028">
        <v>82295</v>
      </c>
    </row>
    <row r="575" spans="1:2" x14ac:dyDescent="0.2">
      <c r="A575" t="s">
        <v>1714</v>
      </c>
      <c r="B575" s="1028">
        <v>2823</v>
      </c>
    </row>
    <row r="576" spans="1:2" x14ac:dyDescent="0.2">
      <c r="A576" t="s">
        <v>1715</v>
      </c>
      <c r="B576" s="1028">
        <v>499</v>
      </c>
    </row>
    <row r="577" spans="1:2" x14ac:dyDescent="0.2">
      <c r="A577" t="s">
        <v>1716</v>
      </c>
      <c r="B577" s="1028">
        <v>23858</v>
      </c>
    </row>
    <row r="578" spans="1:2" x14ac:dyDescent="0.2">
      <c r="A578" t="s">
        <v>1717</v>
      </c>
      <c r="B578" s="105">
        <v>6116</v>
      </c>
    </row>
    <row r="579" spans="1:2" x14ac:dyDescent="0.2">
      <c r="A579" t="s">
        <v>242</v>
      </c>
      <c r="B579" s="1028">
        <v>16377437</v>
      </c>
    </row>
    <row r="580" spans="1:2" x14ac:dyDescent="0.2">
      <c r="A580" t="s">
        <v>1718</v>
      </c>
      <c r="B580" s="1028">
        <v>22807</v>
      </c>
    </row>
    <row r="581" spans="1:2" x14ac:dyDescent="0.2">
      <c r="A581" t="s">
        <v>984</v>
      </c>
      <c r="B581">
        <v>456</v>
      </c>
    </row>
    <row r="582" spans="1:2" x14ac:dyDescent="0.2">
      <c r="A582" t="s">
        <v>1719</v>
      </c>
      <c r="B582" s="1028">
        <v>1538</v>
      </c>
    </row>
    <row r="583" spans="1:2" x14ac:dyDescent="0.2">
      <c r="A583" t="s">
        <v>1720</v>
      </c>
      <c r="B583" s="105">
        <v>49428</v>
      </c>
    </row>
    <row r="584" spans="1:2" x14ac:dyDescent="0.2">
      <c r="A584" t="s">
        <v>849</v>
      </c>
      <c r="B584" s="105">
        <v>102349</v>
      </c>
    </row>
    <row r="585" spans="1:2" x14ac:dyDescent="0.2">
      <c r="A585" t="s">
        <v>1721</v>
      </c>
      <c r="B585" s="105">
        <v>2514</v>
      </c>
    </row>
    <row r="586" spans="1:2" x14ac:dyDescent="0.2">
      <c r="A586" t="s">
        <v>1722</v>
      </c>
      <c r="B586" s="1028">
        <v>2714</v>
      </c>
    </row>
    <row r="587" spans="1:2" x14ac:dyDescent="0.2">
      <c r="A587" t="s">
        <v>231</v>
      </c>
      <c r="B587" s="1028">
        <v>38730364</v>
      </c>
    </row>
    <row r="588" spans="1:2" x14ac:dyDescent="0.2">
      <c r="B588" s="105"/>
    </row>
    <row r="589" spans="1:2" x14ac:dyDescent="0.2">
      <c r="B589" s="1028"/>
    </row>
    <row r="590" spans="1:2" x14ac:dyDescent="0.2">
      <c r="B590" s="105"/>
    </row>
    <row r="591" spans="1:2" x14ac:dyDescent="0.2">
      <c r="B591" s="105"/>
    </row>
    <row r="592" spans="1:2" x14ac:dyDescent="0.2">
      <c r="B592" s="1028"/>
    </row>
    <row r="593" spans="2:2" x14ac:dyDescent="0.2">
      <c r="B593" s="105"/>
    </row>
    <row r="594" spans="2:2" x14ac:dyDescent="0.2">
      <c r="B594" s="105"/>
    </row>
    <row r="595" spans="2:2" x14ac:dyDescent="0.2">
      <c r="B595" s="105"/>
    </row>
    <row r="596" spans="2:2" x14ac:dyDescent="0.2">
      <c r="B596" s="105"/>
    </row>
    <row r="597" spans="2:2" x14ac:dyDescent="0.2">
      <c r="B597" s="105"/>
    </row>
    <row r="598" spans="2:2" x14ac:dyDescent="0.2">
      <c r="B598" s="1028"/>
    </row>
    <row r="599" spans="2:2" x14ac:dyDescent="0.2">
      <c r="B599" s="1028"/>
    </row>
    <row r="600" spans="2:2" x14ac:dyDescent="0.2">
      <c r="B600" s="105"/>
    </row>
    <row r="601" spans="2:2" x14ac:dyDescent="0.2">
      <c r="B601" s="1028"/>
    </row>
    <row r="602" spans="2:2" x14ac:dyDescent="0.2">
      <c r="B602" s="105"/>
    </row>
    <row r="603" spans="2:2" x14ac:dyDescent="0.2">
      <c r="B603" s="105"/>
    </row>
    <row r="604" spans="2:2" x14ac:dyDescent="0.2">
      <c r="B604" s="105"/>
    </row>
    <row r="605" spans="2:2" x14ac:dyDescent="0.2">
      <c r="B605" s="105"/>
    </row>
    <row r="606" spans="2:2" x14ac:dyDescent="0.2">
      <c r="B606" s="105"/>
    </row>
    <row r="607" spans="2:2" x14ac:dyDescent="0.2">
      <c r="B607" s="1028"/>
    </row>
    <row r="608" spans="2:2" x14ac:dyDescent="0.2">
      <c r="B608" s="105"/>
    </row>
    <row r="610" spans="2:2" x14ac:dyDescent="0.2">
      <c r="B610" s="105"/>
    </row>
    <row r="611" spans="2:2" x14ac:dyDescent="0.2">
      <c r="B611" s="105"/>
    </row>
    <row r="612" spans="2:2" x14ac:dyDescent="0.2">
      <c r="B612" s="105"/>
    </row>
    <row r="613" spans="2:2" x14ac:dyDescent="0.2">
      <c r="B613" s="1028"/>
    </row>
    <row r="614" spans="2:2" x14ac:dyDescent="0.2">
      <c r="B614" s="1028"/>
    </row>
    <row r="615" spans="2:2" x14ac:dyDescent="0.2">
      <c r="B615" s="1028"/>
    </row>
    <row r="616" spans="2:2" x14ac:dyDescent="0.2">
      <c r="B616" s="105"/>
    </row>
    <row r="617" spans="2:2" x14ac:dyDescent="0.2">
      <c r="B617" s="105"/>
    </row>
    <row r="618" spans="2:2" x14ac:dyDescent="0.2">
      <c r="B618" s="1028"/>
    </row>
    <row r="619" spans="2:2" x14ac:dyDescent="0.2">
      <c r="B619" s="105"/>
    </row>
    <row r="620" spans="2:2" x14ac:dyDescent="0.2">
      <c r="B620" s="1028"/>
    </row>
    <row r="621" spans="2:2" x14ac:dyDescent="0.2">
      <c r="B621" s="105"/>
    </row>
    <row r="622" spans="2:2" x14ac:dyDescent="0.2">
      <c r="B622" s="1028"/>
    </row>
    <row r="623" spans="2:2" x14ac:dyDescent="0.2">
      <c r="B623" s="105"/>
    </row>
    <row r="624" spans="2:2" x14ac:dyDescent="0.2">
      <c r="B624" s="105"/>
    </row>
    <row r="625" spans="2:2" x14ac:dyDescent="0.2">
      <c r="B625" s="1028"/>
    </row>
    <row r="627" spans="2:2" x14ac:dyDescent="0.2">
      <c r="B627" s="105"/>
    </row>
    <row r="628" spans="2:2" x14ac:dyDescent="0.2">
      <c r="B628" s="105"/>
    </row>
    <row r="629" spans="2:2" x14ac:dyDescent="0.2">
      <c r="B629" s="1028"/>
    </row>
    <row r="630" spans="2:2" x14ac:dyDescent="0.2">
      <c r="B630" s="105"/>
    </row>
    <row r="631" spans="2:2" x14ac:dyDescent="0.2">
      <c r="B631" s="105"/>
    </row>
    <row r="632" spans="2:2" x14ac:dyDescent="0.2">
      <c r="B632" s="1028"/>
    </row>
    <row r="636" spans="2:2" x14ac:dyDescent="0.2">
      <c r="B636" s="105"/>
    </row>
    <row r="637" spans="2:2" x14ac:dyDescent="0.2">
      <c r="B637" s="105"/>
    </row>
    <row r="638" spans="2:2" x14ac:dyDescent="0.2">
      <c r="B638" s="105"/>
    </row>
    <row r="639" spans="2:2" x14ac:dyDescent="0.2">
      <c r="B639" s="105"/>
    </row>
    <row r="640" spans="2:2" x14ac:dyDescent="0.2">
      <c r="B640" s="105"/>
    </row>
    <row r="641" spans="2:2" x14ac:dyDescent="0.2">
      <c r="B641" s="105"/>
    </row>
    <row r="643" spans="2:2" x14ac:dyDescent="0.2">
      <c r="B643" s="105"/>
    </row>
    <row r="644" spans="2:2" x14ac:dyDescent="0.2">
      <c r="B644" s="105"/>
    </row>
    <row r="645" spans="2:2" x14ac:dyDescent="0.2">
      <c r="B645" s="105"/>
    </row>
    <row r="646" spans="2:2" x14ac:dyDescent="0.2">
      <c r="B646" s="105"/>
    </row>
    <row r="647" spans="2:2" x14ac:dyDescent="0.2">
      <c r="B647" s="105"/>
    </row>
    <row r="648" spans="2:2" x14ac:dyDescent="0.2">
      <c r="B648" s="105"/>
    </row>
    <row r="649" spans="2:2" x14ac:dyDescent="0.2">
      <c r="B649" s="105"/>
    </row>
    <row r="650" spans="2:2" x14ac:dyDescent="0.2">
      <c r="B650" s="105"/>
    </row>
    <row r="651" spans="2:2" x14ac:dyDescent="0.2">
      <c r="B651" s="105"/>
    </row>
    <row r="652" spans="2:2" x14ac:dyDescent="0.2">
      <c r="B652" s="105"/>
    </row>
    <row r="653" spans="2:2" x14ac:dyDescent="0.2">
      <c r="B653" s="105"/>
    </row>
    <row r="654" spans="2:2" x14ac:dyDescent="0.2">
      <c r="B654" s="105"/>
    </row>
    <row r="655" spans="2:2" x14ac:dyDescent="0.2">
      <c r="B655" s="105"/>
    </row>
    <row r="656" spans="2:2" x14ac:dyDescent="0.2">
      <c r="B656" s="105"/>
    </row>
    <row r="657" spans="2:2" x14ac:dyDescent="0.2">
      <c r="B657" s="105"/>
    </row>
    <row r="658" spans="2:2" x14ac:dyDescent="0.2">
      <c r="B658" s="105"/>
    </row>
    <row r="659" spans="2:2" x14ac:dyDescent="0.2">
      <c r="B659" s="105"/>
    </row>
    <row r="661" spans="2:2" x14ac:dyDescent="0.2">
      <c r="B661" s="105"/>
    </row>
    <row r="662" spans="2:2" x14ac:dyDescent="0.2">
      <c r="B662" s="105"/>
    </row>
    <row r="663" spans="2:2" x14ac:dyDescent="0.2">
      <c r="B663" s="105"/>
    </row>
    <row r="664" spans="2:2" x14ac:dyDescent="0.2">
      <c r="B664" s="105"/>
    </row>
    <row r="665" spans="2:2" x14ac:dyDescent="0.2">
      <c r="B665" s="105"/>
    </row>
    <row r="666" spans="2:2" x14ac:dyDescent="0.2">
      <c r="B666" s="105"/>
    </row>
    <row r="667" spans="2:2" x14ac:dyDescent="0.2">
      <c r="B667" s="105"/>
    </row>
    <row r="668" spans="2:2" x14ac:dyDescent="0.2">
      <c r="B668" s="105"/>
    </row>
    <row r="669" spans="2:2" x14ac:dyDescent="0.2">
      <c r="B669" s="105"/>
    </row>
    <row r="670" spans="2:2" x14ac:dyDescent="0.2">
      <c r="B670" s="105"/>
    </row>
    <row r="671" spans="2:2" x14ac:dyDescent="0.2">
      <c r="B671" s="105"/>
    </row>
    <row r="672" spans="2:2" x14ac:dyDescent="0.2">
      <c r="B672" s="105"/>
    </row>
    <row r="673" spans="2:2" x14ac:dyDescent="0.2">
      <c r="B673" s="105"/>
    </row>
    <row r="674" spans="2:2" x14ac:dyDescent="0.2">
      <c r="B674" s="105"/>
    </row>
    <row r="675" spans="2:2" x14ac:dyDescent="0.2">
      <c r="B675" s="105"/>
    </row>
    <row r="676" spans="2:2" x14ac:dyDescent="0.2">
      <c r="B676" s="105"/>
    </row>
    <row r="677" spans="2:2" x14ac:dyDescent="0.2">
      <c r="B677" s="105"/>
    </row>
    <row r="678" spans="2:2" x14ac:dyDescent="0.2">
      <c r="B678" s="105"/>
    </row>
    <row r="679" spans="2:2" x14ac:dyDescent="0.2">
      <c r="B679" s="105"/>
    </row>
    <row r="680" spans="2:2" x14ac:dyDescent="0.2">
      <c r="B680" s="105"/>
    </row>
    <row r="681" spans="2:2" x14ac:dyDescent="0.2">
      <c r="B681" s="105"/>
    </row>
    <row r="682" spans="2:2" x14ac:dyDescent="0.2">
      <c r="B682" s="105"/>
    </row>
    <row r="683" spans="2:2" x14ac:dyDescent="0.2">
      <c r="B683" s="105"/>
    </row>
    <row r="684" spans="2:2" x14ac:dyDescent="0.2">
      <c r="B684" s="105"/>
    </row>
    <row r="685" spans="2:2" x14ac:dyDescent="0.2">
      <c r="B685" s="105"/>
    </row>
    <row r="686" spans="2:2" x14ac:dyDescent="0.2">
      <c r="B686" s="105"/>
    </row>
    <row r="687" spans="2:2" x14ac:dyDescent="0.2">
      <c r="B687" s="105"/>
    </row>
    <row r="688" spans="2:2" x14ac:dyDescent="0.2">
      <c r="B688" s="105"/>
    </row>
    <row r="689" spans="2:2" x14ac:dyDescent="0.2">
      <c r="B689" s="105"/>
    </row>
    <row r="690" spans="2:2" x14ac:dyDescent="0.2">
      <c r="B690" s="105"/>
    </row>
    <row r="691" spans="2:2" x14ac:dyDescent="0.2">
      <c r="B691" s="105"/>
    </row>
    <row r="692" spans="2:2" x14ac:dyDescent="0.2">
      <c r="B692" s="105"/>
    </row>
    <row r="693" spans="2:2" x14ac:dyDescent="0.2">
      <c r="B693" s="105"/>
    </row>
    <row r="694" spans="2:2" x14ac:dyDescent="0.2">
      <c r="B694" s="105"/>
    </row>
    <row r="695" spans="2:2" x14ac:dyDescent="0.2">
      <c r="B695" s="105"/>
    </row>
    <row r="696" spans="2:2" x14ac:dyDescent="0.2">
      <c r="B696" s="105"/>
    </row>
    <row r="697" spans="2:2" x14ac:dyDescent="0.2">
      <c r="B697" s="105"/>
    </row>
    <row r="698" spans="2:2" x14ac:dyDescent="0.2">
      <c r="B698" s="105"/>
    </row>
    <row r="699" spans="2:2" x14ac:dyDescent="0.2">
      <c r="B699" s="105"/>
    </row>
    <row r="700" spans="2:2" x14ac:dyDescent="0.2">
      <c r="B700" s="105"/>
    </row>
    <row r="701" spans="2:2" x14ac:dyDescent="0.2">
      <c r="B701" s="105"/>
    </row>
    <row r="702" spans="2:2" x14ac:dyDescent="0.2">
      <c r="B702" s="105"/>
    </row>
    <row r="703" spans="2:2" x14ac:dyDescent="0.2">
      <c r="B703" s="105"/>
    </row>
    <row r="704" spans="2:2" x14ac:dyDescent="0.2">
      <c r="B704" s="105"/>
    </row>
    <row r="705" spans="2:2" x14ac:dyDescent="0.2">
      <c r="B705" s="105"/>
    </row>
    <row r="707" spans="2:2" x14ac:dyDescent="0.2">
      <c r="B707" s="105"/>
    </row>
    <row r="708" spans="2:2" x14ac:dyDescent="0.2">
      <c r="B708" s="105"/>
    </row>
    <row r="709" spans="2:2" x14ac:dyDescent="0.2">
      <c r="B709" s="105"/>
    </row>
    <row r="710" spans="2:2" x14ac:dyDescent="0.2">
      <c r="B710" s="105"/>
    </row>
    <row r="711" spans="2:2" x14ac:dyDescent="0.2">
      <c r="B711" s="105"/>
    </row>
    <row r="712" spans="2:2" x14ac:dyDescent="0.2">
      <c r="B712" s="105"/>
    </row>
    <row r="713" spans="2:2" x14ac:dyDescent="0.2">
      <c r="B713" s="105"/>
    </row>
    <row r="714" spans="2:2" x14ac:dyDescent="0.2">
      <c r="B714" s="105"/>
    </row>
    <row r="715" spans="2:2" x14ac:dyDescent="0.2">
      <c r="B715" s="105"/>
    </row>
    <row r="716" spans="2:2" x14ac:dyDescent="0.2">
      <c r="B716" s="105"/>
    </row>
    <row r="717" spans="2:2" x14ac:dyDescent="0.2">
      <c r="B717" s="105"/>
    </row>
    <row r="718" spans="2:2" x14ac:dyDescent="0.2">
      <c r="B718" s="105"/>
    </row>
    <row r="719" spans="2:2" x14ac:dyDescent="0.2">
      <c r="B719" s="105"/>
    </row>
    <row r="720" spans="2:2" x14ac:dyDescent="0.2">
      <c r="B720" s="105"/>
    </row>
    <row r="721" spans="2:2" x14ac:dyDescent="0.2">
      <c r="B721" s="105"/>
    </row>
    <row r="722" spans="2:2" x14ac:dyDescent="0.2">
      <c r="B722" s="105"/>
    </row>
    <row r="723" spans="2:2" x14ac:dyDescent="0.2">
      <c r="B723" s="105"/>
    </row>
    <row r="724" spans="2:2" x14ac:dyDescent="0.2">
      <c r="B724" s="105"/>
    </row>
    <row r="725" spans="2:2" x14ac:dyDescent="0.2">
      <c r="B725" s="105"/>
    </row>
    <row r="726" spans="2:2" x14ac:dyDescent="0.2">
      <c r="B726" s="105"/>
    </row>
    <row r="727" spans="2:2" x14ac:dyDescent="0.2">
      <c r="B727" s="105"/>
    </row>
    <row r="728" spans="2:2" x14ac:dyDescent="0.2">
      <c r="B728" s="105"/>
    </row>
    <row r="729" spans="2:2" x14ac:dyDescent="0.2">
      <c r="B729" s="105"/>
    </row>
    <row r="730" spans="2:2" x14ac:dyDescent="0.2">
      <c r="B730" s="105"/>
    </row>
    <row r="731" spans="2:2" x14ac:dyDescent="0.2">
      <c r="B731" s="105"/>
    </row>
    <row r="732" spans="2:2" x14ac:dyDescent="0.2">
      <c r="B732" s="105"/>
    </row>
    <row r="733" spans="2:2" x14ac:dyDescent="0.2">
      <c r="B733" s="105"/>
    </row>
    <row r="734" spans="2:2" x14ac:dyDescent="0.2">
      <c r="B734" s="105"/>
    </row>
    <row r="735" spans="2:2" x14ac:dyDescent="0.2">
      <c r="B735" s="105"/>
    </row>
    <row r="736" spans="2:2" x14ac:dyDescent="0.2">
      <c r="B736" s="105"/>
    </row>
    <row r="737" spans="2:2" x14ac:dyDescent="0.2">
      <c r="B737" s="105"/>
    </row>
    <row r="738" spans="2:2" x14ac:dyDescent="0.2">
      <c r="B738" s="105"/>
    </row>
    <row r="739" spans="2:2" x14ac:dyDescent="0.2">
      <c r="B739" s="105"/>
    </row>
    <row r="740" spans="2:2" x14ac:dyDescent="0.2">
      <c r="B740" s="105"/>
    </row>
    <row r="741" spans="2:2" x14ac:dyDescent="0.2">
      <c r="B741" s="105"/>
    </row>
    <row r="742" spans="2:2" x14ac:dyDescent="0.2">
      <c r="B742" s="105"/>
    </row>
    <row r="743" spans="2:2" x14ac:dyDescent="0.2">
      <c r="B743" s="105"/>
    </row>
    <row r="744" spans="2:2" x14ac:dyDescent="0.2">
      <c r="B744" s="105"/>
    </row>
    <row r="745" spans="2:2" x14ac:dyDescent="0.2">
      <c r="B745" s="105"/>
    </row>
    <row r="746" spans="2:2" x14ac:dyDescent="0.2">
      <c r="B746" s="105"/>
    </row>
    <row r="747" spans="2:2" x14ac:dyDescent="0.2">
      <c r="B747" s="105"/>
    </row>
    <row r="748" spans="2:2" x14ac:dyDescent="0.2">
      <c r="B748" s="105"/>
    </row>
    <row r="749" spans="2:2" x14ac:dyDescent="0.2">
      <c r="B749" s="105"/>
    </row>
    <row r="750" spans="2:2" x14ac:dyDescent="0.2">
      <c r="B750" s="105"/>
    </row>
    <row r="751" spans="2:2" x14ac:dyDescent="0.2">
      <c r="B751" s="105"/>
    </row>
    <row r="752" spans="2:2" x14ac:dyDescent="0.2">
      <c r="B752" s="105"/>
    </row>
    <row r="753" spans="2:2" x14ac:dyDescent="0.2">
      <c r="B753" s="105"/>
    </row>
    <row r="754" spans="2:2" x14ac:dyDescent="0.2">
      <c r="B754" s="105"/>
    </row>
    <row r="755" spans="2:2" x14ac:dyDescent="0.2">
      <c r="B755" s="105"/>
    </row>
    <row r="756" spans="2:2" x14ac:dyDescent="0.2">
      <c r="B756" s="105"/>
    </row>
    <row r="757" spans="2:2" x14ac:dyDescent="0.2">
      <c r="B757" s="105"/>
    </row>
    <row r="758" spans="2:2" x14ac:dyDescent="0.2">
      <c r="B758" s="105"/>
    </row>
    <row r="759" spans="2:2" x14ac:dyDescent="0.2">
      <c r="B759" s="105"/>
    </row>
    <row r="760" spans="2:2" x14ac:dyDescent="0.2">
      <c r="B760" s="105"/>
    </row>
    <row r="761" spans="2:2" x14ac:dyDescent="0.2">
      <c r="B761" s="105"/>
    </row>
    <row r="762" spans="2:2" x14ac:dyDescent="0.2">
      <c r="B762" s="105"/>
    </row>
    <row r="763" spans="2:2" x14ac:dyDescent="0.2">
      <c r="B763" s="105"/>
    </row>
    <row r="764" spans="2:2" x14ac:dyDescent="0.2">
      <c r="B764" s="105"/>
    </row>
    <row r="765" spans="2:2" x14ac:dyDescent="0.2">
      <c r="B765" s="105"/>
    </row>
    <row r="766" spans="2:2" x14ac:dyDescent="0.2">
      <c r="B766" s="105"/>
    </row>
    <row r="767" spans="2:2" x14ac:dyDescent="0.2">
      <c r="B767" s="105"/>
    </row>
    <row r="768" spans="2:2" x14ac:dyDescent="0.2">
      <c r="B768" s="105"/>
    </row>
    <row r="769" spans="2:2" x14ac:dyDescent="0.2">
      <c r="B769" s="105"/>
    </row>
    <row r="770" spans="2:2" x14ac:dyDescent="0.2">
      <c r="B770" s="105"/>
    </row>
    <row r="771" spans="2:2" x14ac:dyDescent="0.2">
      <c r="B771" s="105"/>
    </row>
    <row r="772" spans="2:2" x14ac:dyDescent="0.2">
      <c r="B772" s="105"/>
    </row>
    <row r="773" spans="2:2" x14ac:dyDescent="0.2">
      <c r="B773" s="105"/>
    </row>
    <row r="774" spans="2:2" x14ac:dyDescent="0.2">
      <c r="B774" s="105"/>
    </row>
    <row r="775" spans="2:2" x14ac:dyDescent="0.2">
      <c r="B775" s="105"/>
    </row>
    <row r="776" spans="2:2" x14ac:dyDescent="0.2">
      <c r="B776" s="105"/>
    </row>
    <row r="777" spans="2:2" x14ac:dyDescent="0.2">
      <c r="B777" s="105"/>
    </row>
    <row r="778" spans="2:2" x14ac:dyDescent="0.2">
      <c r="B778" s="105"/>
    </row>
    <row r="779" spans="2:2" x14ac:dyDescent="0.2">
      <c r="B779" s="105"/>
    </row>
    <row r="780" spans="2:2" x14ac:dyDescent="0.2">
      <c r="B780" s="105"/>
    </row>
    <row r="781" spans="2:2" x14ac:dyDescent="0.2">
      <c r="B781" s="105"/>
    </row>
    <row r="782" spans="2:2" x14ac:dyDescent="0.2">
      <c r="B782" s="105"/>
    </row>
    <row r="783" spans="2:2" x14ac:dyDescent="0.2">
      <c r="B783" s="105"/>
    </row>
    <row r="784" spans="2:2" x14ac:dyDescent="0.2">
      <c r="B784" s="105"/>
    </row>
    <row r="785" spans="2:2" x14ac:dyDescent="0.2">
      <c r="B785" s="105"/>
    </row>
    <row r="786" spans="2:2" x14ac:dyDescent="0.2">
      <c r="B786" s="105"/>
    </row>
    <row r="787" spans="2:2" x14ac:dyDescent="0.2">
      <c r="B787" s="105"/>
    </row>
    <row r="788" spans="2:2" x14ac:dyDescent="0.2">
      <c r="B788" s="105"/>
    </row>
    <row r="789" spans="2:2" x14ac:dyDescent="0.2">
      <c r="B789" s="105"/>
    </row>
    <row r="790" spans="2:2" x14ac:dyDescent="0.2">
      <c r="B790" s="105"/>
    </row>
    <row r="791" spans="2:2" x14ac:dyDescent="0.2">
      <c r="B791" s="105"/>
    </row>
    <row r="792" spans="2:2" x14ac:dyDescent="0.2">
      <c r="B792" s="105"/>
    </row>
    <row r="793" spans="2:2" x14ac:dyDescent="0.2">
      <c r="B793" s="105"/>
    </row>
    <row r="794" spans="2:2" x14ac:dyDescent="0.2">
      <c r="B794" s="105"/>
    </row>
    <row r="795" spans="2:2" x14ac:dyDescent="0.2">
      <c r="B795" s="105"/>
    </row>
    <row r="796" spans="2:2" x14ac:dyDescent="0.2">
      <c r="B796" s="105"/>
    </row>
    <row r="797" spans="2:2" x14ac:dyDescent="0.2">
      <c r="B797" s="105"/>
    </row>
    <row r="798" spans="2:2" x14ac:dyDescent="0.2">
      <c r="B798" s="105"/>
    </row>
    <row r="799" spans="2:2" x14ac:dyDescent="0.2">
      <c r="B799" s="105"/>
    </row>
    <row r="800" spans="2:2" x14ac:dyDescent="0.2">
      <c r="B800" s="105"/>
    </row>
    <row r="801" spans="2:2" x14ac:dyDescent="0.2">
      <c r="B801" s="105"/>
    </row>
    <row r="802" spans="2:2" x14ac:dyDescent="0.2">
      <c r="B802" s="105"/>
    </row>
    <row r="803" spans="2:2" x14ac:dyDescent="0.2">
      <c r="B803" s="105"/>
    </row>
    <row r="804" spans="2:2" x14ac:dyDescent="0.2">
      <c r="B804" s="105"/>
    </row>
    <row r="805" spans="2:2" x14ac:dyDescent="0.2">
      <c r="B805" s="105"/>
    </row>
    <row r="806" spans="2:2" x14ac:dyDescent="0.2">
      <c r="B806" s="105"/>
    </row>
    <row r="807" spans="2:2" x14ac:dyDescent="0.2">
      <c r="B807" s="105"/>
    </row>
    <row r="808" spans="2:2" x14ac:dyDescent="0.2">
      <c r="B808" s="105"/>
    </row>
    <row r="809" spans="2:2" x14ac:dyDescent="0.2">
      <c r="B809" s="105"/>
    </row>
    <row r="810" spans="2:2" x14ac:dyDescent="0.2">
      <c r="B810" s="105"/>
    </row>
    <row r="811" spans="2:2" x14ac:dyDescent="0.2">
      <c r="B811" s="105"/>
    </row>
    <row r="812" spans="2:2" x14ac:dyDescent="0.2">
      <c r="B812" s="105"/>
    </row>
    <row r="813" spans="2:2" x14ac:dyDescent="0.2">
      <c r="B813" s="105"/>
    </row>
    <row r="814" spans="2:2" x14ac:dyDescent="0.2">
      <c r="B814" s="105"/>
    </row>
    <row r="815" spans="2:2" x14ac:dyDescent="0.2">
      <c r="B815" s="105"/>
    </row>
    <row r="816" spans="2:2" x14ac:dyDescent="0.2">
      <c r="B816" s="105"/>
    </row>
    <row r="817" spans="2:2" x14ac:dyDescent="0.2">
      <c r="B817" s="105"/>
    </row>
    <row r="818" spans="2:2" x14ac:dyDescent="0.2">
      <c r="B818" s="105"/>
    </row>
    <row r="819" spans="2:2" x14ac:dyDescent="0.2">
      <c r="B819" s="105"/>
    </row>
    <row r="821" spans="2:2" x14ac:dyDescent="0.2">
      <c r="B821" s="105"/>
    </row>
    <row r="822" spans="2:2" x14ac:dyDescent="0.2">
      <c r="B822" s="105"/>
    </row>
    <row r="823" spans="2:2" x14ac:dyDescent="0.2">
      <c r="B823" s="105"/>
    </row>
    <row r="824" spans="2:2" x14ac:dyDescent="0.2">
      <c r="B824" s="105"/>
    </row>
    <row r="825" spans="2:2" x14ac:dyDescent="0.2">
      <c r="B825" s="105"/>
    </row>
    <row r="826" spans="2:2" x14ac:dyDescent="0.2">
      <c r="B826" s="105"/>
    </row>
    <row r="827" spans="2:2" x14ac:dyDescent="0.2">
      <c r="B827" s="105"/>
    </row>
    <row r="828" spans="2:2" x14ac:dyDescent="0.2">
      <c r="B828" s="105"/>
    </row>
    <row r="829" spans="2:2" x14ac:dyDescent="0.2">
      <c r="B829" s="105"/>
    </row>
    <row r="830" spans="2:2" x14ac:dyDescent="0.2">
      <c r="B830" s="105"/>
    </row>
    <row r="831" spans="2:2" x14ac:dyDescent="0.2">
      <c r="B831" s="105"/>
    </row>
    <row r="832" spans="2:2" x14ac:dyDescent="0.2">
      <c r="B832" s="105"/>
    </row>
    <row r="833" spans="2:2" x14ac:dyDescent="0.2">
      <c r="B833" s="105"/>
    </row>
    <row r="834" spans="2:2" x14ac:dyDescent="0.2">
      <c r="B834" s="105"/>
    </row>
    <row r="835" spans="2:2" x14ac:dyDescent="0.2">
      <c r="B835" s="105"/>
    </row>
    <row r="836" spans="2:2" x14ac:dyDescent="0.2">
      <c r="B836" s="105"/>
    </row>
    <row r="837" spans="2:2" x14ac:dyDescent="0.2">
      <c r="B837" s="105"/>
    </row>
    <row r="838" spans="2:2" x14ac:dyDescent="0.2">
      <c r="B838" s="105"/>
    </row>
    <row r="839" spans="2:2" x14ac:dyDescent="0.2">
      <c r="B839" s="105"/>
    </row>
    <row r="840" spans="2:2" x14ac:dyDescent="0.2">
      <c r="B840" s="105"/>
    </row>
    <row r="841" spans="2:2" x14ac:dyDescent="0.2">
      <c r="B841" s="105"/>
    </row>
    <row r="842" spans="2:2" x14ac:dyDescent="0.2">
      <c r="B842" s="105"/>
    </row>
    <row r="843" spans="2:2" x14ac:dyDescent="0.2">
      <c r="B843" s="105"/>
    </row>
  </sheetData>
  <pageMargins left="0.7" right="0.7" top="0.75" bottom="0.75" header="0.3" footer="0.3"/>
  <pageSetup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U189"/>
  <sheetViews>
    <sheetView zoomScale="70" zoomScaleNormal="70" zoomScalePageLayoutView="70" workbookViewId="0">
      <pane xSplit="2" ySplit="5" topLeftCell="K6" activePane="bottomRight" state="frozen"/>
      <selection pane="topRight" activeCell="D8" sqref="D8"/>
      <selection pane="bottomLeft" activeCell="D8" sqref="D8"/>
      <selection pane="bottomRight" activeCell="B2" sqref="B2:AE104"/>
    </sheetView>
  </sheetViews>
  <sheetFormatPr baseColWidth="10" defaultColWidth="10.6640625" defaultRowHeight="14" x14ac:dyDescent="0.15"/>
  <cols>
    <col min="1" max="1" width="10.6640625" style="572"/>
    <col min="2" max="2" width="28.6640625" style="572" customWidth="1"/>
    <col min="3" max="31" width="13.6640625" style="572" customWidth="1"/>
    <col min="32" max="42" width="10.6640625" style="572"/>
    <col min="43" max="43" width="26.6640625" style="572" bestFit="1" customWidth="1"/>
    <col min="44" max="16384" width="10.6640625" style="572"/>
  </cols>
  <sheetData>
    <row r="1" spans="1:35" ht="15" thickBot="1" x14ac:dyDescent="0.2"/>
    <row r="2" spans="1:35" ht="20" x14ac:dyDescent="0.2">
      <c r="B2" s="2433" t="s">
        <v>1726</v>
      </c>
      <c r="C2" s="2434"/>
      <c r="D2" s="2434"/>
      <c r="E2" s="2434"/>
      <c r="F2" s="2434"/>
      <c r="G2" s="2434"/>
      <c r="H2" s="2434"/>
      <c r="I2" s="2434"/>
      <c r="J2" s="2434"/>
      <c r="K2" s="2434"/>
      <c r="L2" s="2434"/>
      <c r="M2" s="2434"/>
      <c r="N2" s="2434"/>
      <c r="O2" s="2434"/>
      <c r="P2" s="2434"/>
      <c r="Q2" s="2434"/>
      <c r="R2" s="2434"/>
      <c r="S2" s="2434"/>
      <c r="T2" s="2434"/>
      <c r="U2" s="2434"/>
      <c r="V2" s="2434"/>
      <c r="W2" s="2434"/>
      <c r="X2" s="2434"/>
      <c r="Y2" s="2434"/>
      <c r="Z2" s="2434"/>
      <c r="AA2" s="2434"/>
      <c r="AB2" s="2434"/>
      <c r="AC2" s="2434"/>
      <c r="AD2" s="2434"/>
      <c r="AE2" s="2435"/>
    </row>
    <row r="3" spans="1:35" ht="21" thickBot="1" x14ac:dyDescent="0.25">
      <c r="B3" s="585"/>
      <c r="C3" s="160" t="s">
        <v>1</v>
      </c>
      <c r="D3" s="160" t="s">
        <v>2</v>
      </c>
      <c r="E3" s="160" t="s">
        <v>3</v>
      </c>
      <c r="F3" s="160" t="s">
        <v>4</v>
      </c>
      <c r="G3" s="160" t="s">
        <v>5</v>
      </c>
      <c r="H3" s="160" t="s">
        <v>6</v>
      </c>
      <c r="I3" s="160" t="s">
        <v>7</v>
      </c>
      <c r="J3" s="160" t="s">
        <v>8</v>
      </c>
      <c r="K3" s="160" t="s">
        <v>9</v>
      </c>
      <c r="L3" s="160" t="s">
        <v>10</v>
      </c>
      <c r="M3" s="160" t="s">
        <v>11</v>
      </c>
      <c r="N3" s="160" t="s">
        <v>12</v>
      </c>
      <c r="O3" s="160" t="s">
        <v>13</v>
      </c>
      <c r="P3" s="160" t="s">
        <v>177</v>
      </c>
      <c r="Q3" s="160" t="s">
        <v>178</v>
      </c>
      <c r="R3" s="160" t="s">
        <v>179</v>
      </c>
      <c r="S3" s="160" t="s">
        <v>619</v>
      </c>
      <c r="T3" s="160" t="s">
        <v>620</v>
      </c>
      <c r="U3" s="160" t="s">
        <v>621</v>
      </c>
      <c r="V3" s="160" t="s">
        <v>622</v>
      </c>
      <c r="W3" s="160" t="s">
        <v>623</v>
      </c>
      <c r="X3" s="160" t="s">
        <v>624</v>
      </c>
      <c r="Y3" s="160" t="s">
        <v>919</v>
      </c>
      <c r="Z3" s="160" t="s">
        <v>920</v>
      </c>
      <c r="AA3" s="160" t="s">
        <v>921</v>
      </c>
      <c r="AB3" s="160" t="s">
        <v>922</v>
      </c>
      <c r="AC3" s="160" t="s">
        <v>923</v>
      </c>
      <c r="AD3" s="160" t="s">
        <v>924</v>
      </c>
      <c r="AE3" s="548" t="s">
        <v>925</v>
      </c>
      <c r="AF3" s="160"/>
      <c r="AG3" s="160"/>
      <c r="AH3" s="160"/>
      <c r="AI3" s="160"/>
    </row>
    <row r="4" spans="1:35" ht="16" x14ac:dyDescent="0.15">
      <c r="B4" s="586"/>
      <c r="C4" s="2436" t="s">
        <v>1727</v>
      </c>
      <c r="D4" s="2437"/>
      <c r="E4" s="2437"/>
      <c r="F4" s="2437"/>
      <c r="G4" s="2437"/>
      <c r="H4" s="2437"/>
      <c r="I4" s="2437"/>
      <c r="J4" s="2437"/>
      <c r="K4" s="2437"/>
      <c r="L4" s="2437"/>
      <c r="M4" s="2437"/>
      <c r="N4" s="2437"/>
      <c r="O4" s="2437"/>
      <c r="P4" s="2437"/>
      <c r="Q4" s="2437"/>
      <c r="R4" s="2437"/>
      <c r="S4" s="2437"/>
      <c r="T4" s="2437"/>
      <c r="U4" s="2437"/>
      <c r="V4" s="2437"/>
      <c r="W4" s="2437"/>
      <c r="X4" s="2437"/>
      <c r="Y4" s="2437"/>
      <c r="Z4" s="2437"/>
      <c r="AA4" s="2437"/>
      <c r="AB4" s="2437"/>
      <c r="AC4" s="2437"/>
      <c r="AD4" s="2437"/>
      <c r="AE4" s="2438"/>
    </row>
    <row r="5" spans="1:35" ht="39.75" customHeight="1" x14ac:dyDescent="0.15">
      <c r="B5" s="1739" t="s">
        <v>684</v>
      </c>
      <c r="C5" s="1739" t="s">
        <v>30</v>
      </c>
      <c r="D5" s="1740" t="s">
        <v>31</v>
      </c>
      <c r="E5" s="1740" t="s">
        <v>451</v>
      </c>
      <c r="F5" s="1740" t="s">
        <v>472</v>
      </c>
      <c r="G5" s="1740" t="s">
        <v>86</v>
      </c>
      <c r="H5" s="1740" t="s">
        <v>34</v>
      </c>
      <c r="I5" s="1740" t="s">
        <v>35</v>
      </c>
      <c r="J5" s="1740" t="s">
        <v>36</v>
      </c>
      <c r="K5" s="1740" t="s">
        <v>37</v>
      </c>
      <c r="L5" s="1740" t="s">
        <v>38</v>
      </c>
      <c r="M5" s="1740" t="s">
        <v>39</v>
      </c>
      <c r="N5" s="1740" t="s">
        <v>40</v>
      </c>
      <c r="O5" s="1740" t="s">
        <v>41</v>
      </c>
      <c r="P5" s="1740" t="s">
        <v>43</v>
      </c>
      <c r="Q5" s="1740" t="s">
        <v>45</v>
      </c>
      <c r="R5" s="1740" t="s">
        <v>48</v>
      </c>
      <c r="S5" s="1740" t="s">
        <v>514</v>
      </c>
      <c r="T5" s="1740" t="s">
        <v>49</v>
      </c>
      <c r="U5" s="1740" t="s">
        <v>96</v>
      </c>
      <c r="V5" s="1740" t="s">
        <v>51</v>
      </c>
      <c r="W5" s="1740" t="s">
        <v>54</v>
      </c>
      <c r="X5" s="1740" t="s">
        <v>55</v>
      </c>
      <c r="Y5" s="1740" t="s">
        <v>543</v>
      </c>
      <c r="Z5" s="1740" t="s">
        <v>56</v>
      </c>
      <c r="AA5" s="1740" t="s">
        <v>57</v>
      </c>
      <c r="AB5" s="1740" t="s">
        <v>58</v>
      </c>
      <c r="AC5" s="1740" t="s">
        <v>59</v>
      </c>
      <c r="AD5" s="1740" t="s">
        <v>62</v>
      </c>
      <c r="AE5" s="1741" t="s">
        <v>1728</v>
      </c>
    </row>
    <row r="6" spans="1:35" ht="45" x14ac:dyDescent="0.15">
      <c r="B6" s="590" t="s">
        <v>1729</v>
      </c>
      <c r="C6" s="588"/>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9"/>
    </row>
    <row r="7" spans="1:35" x14ac:dyDescent="0.15">
      <c r="A7" s="573"/>
      <c r="B7" s="582" t="s">
        <v>30</v>
      </c>
      <c r="C7" s="597">
        <v>0</v>
      </c>
      <c r="D7" s="593">
        <v>-80</v>
      </c>
      <c r="E7" s="593">
        <v>295.10000000000002</v>
      </c>
      <c r="F7" s="593">
        <v>-10.7</v>
      </c>
      <c r="G7" s="593">
        <v>149</v>
      </c>
      <c r="H7" s="593">
        <v>490.1</v>
      </c>
      <c r="I7" s="593">
        <v>-14.8</v>
      </c>
      <c r="J7" s="593">
        <v>34.700000000000003</v>
      </c>
      <c r="K7" s="593">
        <v>-3.4</v>
      </c>
      <c r="L7" s="593">
        <v>153</v>
      </c>
      <c r="M7" s="593">
        <v>5202</v>
      </c>
      <c r="N7" s="593">
        <v>29.5</v>
      </c>
      <c r="O7" s="593">
        <v>-377.6</v>
      </c>
      <c r="P7" s="593">
        <v>-168</v>
      </c>
      <c r="Q7" s="593">
        <v>6.3</v>
      </c>
      <c r="R7" s="593">
        <v>17</v>
      </c>
      <c r="S7" s="593">
        <v>54.5</v>
      </c>
      <c r="T7" s="593">
        <v>-276</v>
      </c>
      <c r="U7" s="593">
        <v>10</v>
      </c>
      <c r="V7" s="593">
        <v>415.1</v>
      </c>
      <c r="W7" s="593">
        <v>280</v>
      </c>
      <c r="X7" s="593">
        <v>-62</v>
      </c>
      <c r="Y7" s="593">
        <v>116.7</v>
      </c>
      <c r="Z7" s="593">
        <v>808.5</v>
      </c>
      <c r="AA7" s="593">
        <v>-138.4</v>
      </c>
      <c r="AB7" s="593">
        <v>51.1</v>
      </c>
      <c r="AC7" s="593">
        <v>-179.2</v>
      </c>
      <c r="AD7" s="593">
        <v>423</v>
      </c>
      <c r="AE7" s="598">
        <v>7273.5</v>
      </c>
      <c r="AG7" s="573"/>
      <c r="AH7" s="573"/>
    </row>
    <row r="8" spans="1:35" x14ac:dyDescent="0.15">
      <c r="A8" s="575"/>
      <c r="B8" s="582" t="s">
        <v>31</v>
      </c>
      <c r="C8" s="597">
        <v>149</v>
      </c>
      <c r="D8" s="593">
        <v>0</v>
      </c>
      <c r="E8" s="593">
        <v>122.9</v>
      </c>
      <c r="F8" s="593">
        <v>-106.9</v>
      </c>
      <c r="G8" s="593">
        <v>279</v>
      </c>
      <c r="H8" s="593">
        <v>14.1</v>
      </c>
      <c r="I8" s="593">
        <v>-270.10000000000002</v>
      </c>
      <c r="J8" s="593">
        <v>7.8</v>
      </c>
      <c r="K8" s="593">
        <v>82.2</v>
      </c>
      <c r="L8" s="593">
        <v>1869</v>
      </c>
      <c r="M8" s="593">
        <v>2939</v>
      </c>
      <c r="N8" s="593">
        <v>-72.8</v>
      </c>
      <c r="O8" s="593">
        <v>15.7</v>
      </c>
      <c r="P8" s="593">
        <v>330</v>
      </c>
      <c r="Q8" s="593">
        <v>702.5</v>
      </c>
      <c r="R8" s="593">
        <v>5</v>
      </c>
      <c r="S8" s="593">
        <v>21</v>
      </c>
      <c r="T8" s="593">
        <v>199</v>
      </c>
      <c r="U8" s="593">
        <v>56</v>
      </c>
      <c r="V8" s="593">
        <v>7663.4</v>
      </c>
      <c r="W8" s="593">
        <v>177.9</v>
      </c>
      <c r="X8" s="593">
        <v>119</v>
      </c>
      <c r="Y8" s="593">
        <v>-125.2</v>
      </c>
      <c r="Z8" s="593">
        <v>281.7</v>
      </c>
      <c r="AA8" s="593">
        <v>-85.8</v>
      </c>
      <c r="AB8" s="593">
        <v>-69</v>
      </c>
      <c r="AC8" s="593">
        <v>205</v>
      </c>
      <c r="AD8" s="593">
        <v>4076.4</v>
      </c>
      <c r="AE8" s="598">
        <v>18801.900000000001</v>
      </c>
      <c r="AG8" s="573"/>
      <c r="AH8" s="573"/>
    </row>
    <row r="9" spans="1:35" x14ac:dyDescent="0.15">
      <c r="A9" s="573"/>
      <c r="B9" s="582" t="s">
        <v>451</v>
      </c>
      <c r="C9" s="597">
        <v>10.5</v>
      </c>
      <c r="D9" s="593">
        <v>-47.7</v>
      </c>
      <c r="E9" s="593">
        <v>0</v>
      </c>
      <c r="F9" s="593">
        <v>-9.9</v>
      </c>
      <c r="G9" s="593">
        <v>56.2</v>
      </c>
      <c r="H9" s="593">
        <v>1.5</v>
      </c>
      <c r="I9" s="593">
        <v>-40.6</v>
      </c>
      <c r="J9" s="593">
        <v>-9.5</v>
      </c>
      <c r="K9" s="593">
        <v>0</v>
      </c>
      <c r="L9" s="593">
        <v>-101.7</v>
      </c>
      <c r="M9" s="593">
        <v>-208.9</v>
      </c>
      <c r="N9" s="593">
        <v>-160.1</v>
      </c>
      <c r="O9" s="593">
        <v>-74.7</v>
      </c>
      <c r="P9" s="593">
        <v>14.6</v>
      </c>
      <c r="Q9" s="593">
        <v>-30.3</v>
      </c>
      <c r="R9" s="593">
        <v>0.3</v>
      </c>
      <c r="S9" s="593">
        <v>0.9</v>
      </c>
      <c r="T9" s="593">
        <v>-47.5</v>
      </c>
      <c r="U9" s="593">
        <v>63.1</v>
      </c>
      <c r="V9" s="593">
        <v>-18.399999999999999</v>
      </c>
      <c r="W9" s="593">
        <v>-35.6</v>
      </c>
      <c r="X9" s="593">
        <v>3.6</v>
      </c>
      <c r="Y9" s="593">
        <v>-141</v>
      </c>
      <c r="Z9" s="593">
        <v>14.5</v>
      </c>
      <c r="AA9" s="593">
        <v>-4</v>
      </c>
      <c r="AB9" s="593">
        <v>0</v>
      </c>
      <c r="AC9" s="593">
        <v>-25.9</v>
      </c>
      <c r="AD9" s="593">
        <v>-304</v>
      </c>
      <c r="AE9" s="598">
        <v>-1447.8</v>
      </c>
      <c r="AG9" s="573"/>
      <c r="AH9" s="583"/>
    </row>
    <row r="10" spans="1:35" x14ac:dyDescent="0.15">
      <c r="A10" s="573"/>
      <c r="B10" s="582" t="s">
        <v>472</v>
      </c>
      <c r="C10" s="597">
        <v>-154.19999999999999</v>
      </c>
      <c r="D10" s="593">
        <v>-15.9</v>
      </c>
      <c r="E10" s="593">
        <v>-2.2000000000000002</v>
      </c>
      <c r="F10" s="593">
        <v>0</v>
      </c>
      <c r="G10" s="593">
        <v>8.3000000000000007</v>
      </c>
      <c r="H10" s="593">
        <v>-35.9</v>
      </c>
      <c r="I10" s="593">
        <v>-40.200000000000003</v>
      </c>
      <c r="J10" s="593">
        <v>-3.7</v>
      </c>
      <c r="K10" s="593">
        <v>0</v>
      </c>
      <c r="L10" s="593">
        <v>-77.8</v>
      </c>
      <c r="M10" s="593">
        <v>-3.7</v>
      </c>
      <c r="N10" s="593">
        <v>-23.4</v>
      </c>
      <c r="O10" s="593">
        <v>-58</v>
      </c>
      <c r="P10" s="593">
        <v>7.3</v>
      </c>
      <c r="Q10" s="593">
        <v>-208.9</v>
      </c>
      <c r="R10" s="593">
        <v>-0.3</v>
      </c>
      <c r="S10" s="593">
        <v>-0.6</v>
      </c>
      <c r="T10" s="593">
        <v>-43.1</v>
      </c>
      <c r="U10" s="593">
        <v>18.3</v>
      </c>
      <c r="V10" s="593">
        <v>3.7</v>
      </c>
      <c r="W10" s="593">
        <v>-37.700000000000003</v>
      </c>
      <c r="X10" s="593">
        <v>-0.8</v>
      </c>
      <c r="Y10" s="593">
        <v>-10.5</v>
      </c>
      <c r="Z10" s="593">
        <v>-1</v>
      </c>
      <c r="AA10" s="593">
        <v>-300.7</v>
      </c>
      <c r="AB10" s="593">
        <v>0</v>
      </c>
      <c r="AC10" s="593">
        <v>6.6</v>
      </c>
      <c r="AD10" s="593">
        <v>-88.3</v>
      </c>
      <c r="AE10" s="598">
        <v>-1137.5</v>
      </c>
      <c r="AG10" s="573"/>
      <c r="AH10" s="573"/>
    </row>
    <row r="11" spans="1:35" x14ac:dyDescent="0.15">
      <c r="A11" s="573"/>
      <c r="B11" s="582" t="s">
        <v>86</v>
      </c>
      <c r="C11" s="597">
        <v>-93</v>
      </c>
      <c r="D11" s="593">
        <v>-305</v>
      </c>
      <c r="E11" s="593">
        <v>-52.9</v>
      </c>
      <c r="F11" s="593">
        <v>-6.2</v>
      </c>
      <c r="G11" s="593">
        <v>0</v>
      </c>
      <c r="H11" s="593">
        <v>-105.8</v>
      </c>
      <c r="I11" s="593">
        <v>-32.5</v>
      </c>
      <c r="J11" s="593">
        <v>-42</v>
      </c>
      <c r="K11" s="593">
        <v>-32.200000000000003</v>
      </c>
      <c r="L11" s="593">
        <v>26</v>
      </c>
      <c r="M11" s="593">
        <v>-141</v>
      </c>
      <c r="N11" s="593">
        <v>79.400000000000006</v>
      </c>
      <c r="O11" s="593">
        <v>-26.8</v>
      </c>
      <c r="P11" s="593">
        <v>0</v>
      </c>
      <c r="Q11" s="593">
        <v>97.7</v>
      </c>
      <c r="R11" s="593">
        <v>-107</v>
      </c>
      <c r="S11" s="593">
        <v>-25</v>
      </c>
      <c r="T11" s="593">
        <v>-152</v>
      </c>
      <c r="U11" s="593">
        <v>-24</v>
      </c>
      <c r="V11" s="593">
        <v>-273.89999999999998</v>
      </c>
      <c r="W11" s="593">
        <v>-61.8</v>
      </c>
      <c r="X11" s="593">
        <v>-31</v>
      </c>
      <c r="Y11" s="593">
        <v>-72.2</v>
      </c>
      <c r="Z11" s="593">
        <v>-84.6</v>
      </c>
      <c r="AA11" s="593">
        <v>-28.9</v>
      </c>
      <c r="AB11" s="593">
        <v>0</v>
      </c>
      <c r="AC11" s="593">
        <v>-123.1</v>
      </c>
      <c r="AD11" s="593">
        <v>29.7</v>
      </c>
      <c r="AE11" s="598">
        <v>-1151.3</v>
      </c>
      <c r="AG11" s="573"/>
      <c r="AH11" s="573"/>
    </row>
    <row r="12" spans="1:35" x14ac:dyDescent="0.15">
      <c r="A12" s="573"/>
      <c r="B12" s="582" t="s">
        <v>34</v>
      </c>
      <c r="C12" s="597">
        <v>-220.1</v>
      </c>
      <c r="D12" s="593">
        <v>-301.60000000000002</v>
      </c>
      <c r="E12" s="593">
        <v>222.5</v>
      </c>
      <c r="F12" s="593">
        <v>51.1</v>
      </c>
      <c r="G12" s="593">
        <v>27.8</v>
      </c>
      <c r="H12" s="593">
        <v>0</v>
      </c>
      <c r="I12" s="593">
        <v>-54.9</v>
      </c>
      <c r="J12" s="593">
        <v>-9.4</v>
      </c>
      <c r="K12" s="593">
        <v>0</v>
      </c>
      <c r="L12" s="593">
        <v>-99.7</v>
      </c>
      <c r="M12" s="593">
        <v>602.6</v>
      </c>
      <c r="N12" s="593">
        <v>-62.9</v>
      </c>
      <c r="O12" s="593">
        <v>-317.60000000000002</v>
      </c>
      <c r="P12" s="593">
        <v>62.9</v>
      </c>
      <c r="Q12" s="593">
        <v>-268.7</v>
      </c>
      <c r="R12" s="593">
        <v>4.2</v>
      </c>
      <c r="S12" s="593">
        <v>-8.3000000000000007</v>
      </c>
      <c r="T12" s="593">
        <v>-237.7</v>
      </c>
      <c r="U12" s="593">
        <v>-15</v>
      </c>
      <c r="V12" s="593">
        <v>-301.7</v>
      </c>
      <c r="W12" s="593">
        <v>-584.5</v>
      </c>
      <c r="X12" s="593">
        <v>-6.9</v>
      </c>
      <c r="Y12" s="593">
        <v>-32.4</v>
      </c>
      <c r="Z12" s="593">
        <v>46.3</v>
      </c>
      <c r="AA12" s="593">
        <v>-27.3</v>
      </c>
      <c r="AB12" s="593">
        <v>0</v>
      </c>
      <c r="AC12" s="593">
        <v>-2.2999999999999998</v>
      </c>
      <c r="AD12" s="593">
        <v>-348.7</v>
      </c>
      <c r="AE12" s="598">
        <v>-2141.6999999999998</v>
      </c>
      <c r="AG12" s="573"/>
      <c r="AH12" s="573"/>
    </row>
    <row r="13" spans="1:35" x14ac:dyDescent="0.15">
      <c r="B13" s="582" t="s">
        <v>35</v>
      </c>
      <c r="C13" s="597">
        <v>7.3</v>
      </c>
      <c r="D13" s="593">
        <v>-219</v>
      </c>
      <c r="E13" s="593">
        <v>67.2</v>
      </c>
      <c r="F13" s="593">
        <v>3.4</v>
      </c>
      <c r="G13" s="593">
        <v>-470.1</v>
      </c>
      <c r="H13" s="593">
        <v>18.399999999999999</v>
      </c>
      <c r="I13" s="593">
        <v>0</v>
      </c>
      <c r="J13" s="593">
        <v>5.7</v>
      </c>
      <c r="K13" s="593">
        <v>49.3</v>
      </c>
      <c r="L13" s="593">
        <v>-464.5</v>
      </c>
      <c r="M13" s="593">
        <v>1493.9</v>
      </c>
      <c r="N13" s="593">
        <v>275.10000000000002</v>
      </c>
      <c r="O13" s="593">
        <v>-121.3</v>
      </c>
      <c r="P13" s="593">
        <v>-140.69999999999999</v>
      </c>
      <c r="Q13" s="593">
        <v>383</v>
      </c>
      <c r="R13" s="593">
        <v>141.69999999999999</v>
      </c>
      <c r="S13" s="593">
        <v>-7.2</v>
      </c>
      <c r="T13" s="593">
        <v>-26</v>
      </c>
      <c r="U13" s="593">
        <v>29.4</v>
      </c>
      <c r="V13" s="593">
        <v>91.7</v>
      </c>
      <c r="W13" s="593">
        <v>-228.9</v>
      </c>
      <c r="X13" s="593">
        <v>-9.5</v>
      </c>
      <c r="Y13" s="593">
        <v>-40.299999999999997</v>
      </c>
      <c r="Z13" s="593">
        <v>47</v>
      </c>
      <c r="AA13" s="593">
        <v>-11.4</v>
      </c>
      <c r="AB13" s="593">
        <v>240.1</v>
      </c>
      <c r="AC13" s="593">
        <v>98</v>
      </c>
      <c r="AD13" s="593">
        <v>837.2</v>
      </c>
      <c r="AE13" s="598">
        <v>2078.5</v>
      </c>
      <c r="AG13" s="573"/>
      <c r="AH13" s="573"/>
    </row>
    <row r="14" spans="1:35" x14ac:dyDescent="0.15">
      <c r="B14" s="582" t="s">
        <v>36</v>
      </c>
      <c r="C14" s="597">
        <v>-0.7</v>
      </c>
      <c r="D14" s="593">
        <v>-8.1999999999999993</v>
      </c>
      <c r="E14" s="593">
        <v>14</v>
      </c>
      <c r="F14" s="593">
        <v>2.2999999999999998</v>
      </c>
      <c r="G14" s="593">
        <v>119.4</v>
      </c>
      <c r="H14" s="593">
        <v>8.4</v>
      </c>
      <c r="I14" s="593">
        <v>-45.7</v>
      </c>
      <c r="J14" s="593">
        <v>0</v>
      </c>
      <c r="K14" s="593">
        <v>58.7</v>
      </c>
      <c r="L14" s="593">
        <v>24.4</v>
      </c>
      <c r="M14" s="593">
        <v>0</v>
      </c>
      <c r="N14" s="593">
        <v>-20.8</v>
      </c>
      <c r="O14" s="593">
        <v>19.2</v>
      </c>
      <c r="P14" s="593">
        <v>19</v>
      </c>
      <c r="Q14" s="593">
        <v>9.4</v>
      </c>
      <c r="R14" s="593">
        <v>57.6</v>
      </c>
      <c r="S14" s="593">
        <v>-1.1000000000000001</v>
      </c>
      <c r="T14" s="593">
        <v>-77.8</v>
      </c>
      <c r="U14" s="593">
        <v>1.3</v>
      </c>
      <c r="V14" s="593">
        <v>78</v>
      </c>
      <c r="W14" s="593">
        <v>40.4</v>
      </c>
      <c r="X14" s="593">
        <v>2.2000000000000002</v>
      </c>
      <c r="Y14" s="593">
        <v>3.4</v>
      </c>
      <c r="Z14" s="593">
        <v>4.8</v>
      </c>
      <c r="AA14" s="593">
        <v>-0.6</v>
      </c>
      <c r="AB14" s="593">
        <v>0</v>
      </c>
      <c r="AC14" s="593">
        <v>17.3</v>
      </c>
      <c r="AD14" s="593">
        <v>97.1</v>
      </c>
      <c r="AE14" s="598">
        <v>539.6</v>
      </c>
      <c r="AG14" s="573"/>
      <c r="AH14" s="573"/>
    </row>
    <row r="15" spans="1:35" x14ac:dyDescent="0.15">
      <c r="B15" s="582" t="s">
        <v>37</v>
      </c>
      <c r="C15" s="597">
        <v>-74.2</v>
      </c>
      <c r="D15" s="593">
        <v>-58.5</v>
      </c>
      <c r="E15" s="613">
        <v>0</v>
      </c>
      <c r="F15" s="593">
        <v>0</v>
      </c>
      <c r="G15" s="593">
        <v>68.7</v>
      </c>
      <c r="H15" s="593">
        <v>0</v>
      </c>
      <c r="I15" s="593">
        <v>74</v>
      </c>
      <c r="J15" s="593">
        <v>-468.8</v>
      </c>
      <c r="K15" s="593">
        <v>0</v>
      </c>
      <c r="L15" s="593">
        <v>142.69999999999999</v>
      </c>
      <c r="M15" s="593">
        <v>0</v>
      </c>
      <c r="N15" s="593">
        <v>134.30000000000001</v>
      </c>
      <c r="O15" s="593">
        <v>0</v>
      </c>
      <c r="P15" s="593">
        <v>-339.5</v>
      </c>
      <c r="Q15" s="593">
        <v>170.9</v>
      </c>
      <c r="R15" s="593">
        <v>-1.7</v>
      </c>
      <c r="S15" s="593">
        <v>-29.9</v>
      </c>
      <c r="T15" s="593">
        <v>0</v>
      </c>
      <c r="U15" s="593">
        <v>0</v>
      </c>
      <c r="V15" s="593">
        <v>-109.3</v>
      </c>
      <c r="W15" s="593">
        <v>-108.8</v>
      </c>
      <c r="X15" s="593">
        <v>-56.1</v>
      </c>
      <c r="Y15" s="593">
        <v>0</v>
      </c>
      <c r="Z15" s="593">
        <v>15</v>
      </c>
      <c r="AA15" s="593">
        <v>0</v>
      </c>
      <c r="AB15" s="593">
        <v>0</v>
      </c>
      <c r="AC15" s="593">
        <v>-1049.0999999999999</v>
      </c>
      <c r="AD15" s="593">
        <v>-252.4</v>
      </c>
      <c r="AE15" s="598">
        <v>-898.3</v>
      </c>
    </row>
    <row r="16" spans="1:35" x14ac:dyDescent="0.15">
      <c r="B16" s="582" t="s">
        <v>38</v>
      </c>
      <c r="C16" s="597">
        <v>360</v>
      </c>
      <c r="D16" s="593">
        <v>-1312</v>
      </c>
      <c r="E16" s="593">
        <v>355.8</v>
      </c>
      <c r="F16" s="593">
        <v>62.2</v>
      </c>
      <c r="G16" s="593">
        <v>100</v>
      </c>
      <c r="H16" s="593">
        <v>343.3</v>
      </c>
      <c r="I16" s="593">
        <v>417.5</v>
      </c>
      <c r="J16" s="593">
        <v>47.4</v>
      </c>
      <c r="K16" s="593">
        <v>62</v>
      </c>
      <c r="L16" s="593">
        <v>0</v>
      </c>
      <c r="M16" s="593">
        <v>14082</v>
      </c>
      <c r="N16" s="593">
        <v>-46.6</v>
      </c>
      <c r="O16" s="593">
        <v>162.69999999999999</v>
      </c>
      <c r="P16" s="593">
        <v>1096</v>
      </c>
      <c r="Q16" s="593">
        <v>3683</v>
      </c>
      <c r="R16" s="593">
        <v>-6</v>
      </c>
      <c r="S16" s="593">
        <v>-18.399999999999999</v>
      </c>
      <c r="T16" s="593">
        <v>-2986</v>
      </c>
      <c r="U16" s="593">
        <v>101</v>
      </c>
      <c r="V16" s="593">
        <v>3621.5</v>
      </c>
      <c r="W16" s="593">
        <v>1290.3</v>
      </c>
      <c r="X16" s="593">
        <v>-1043</v>
      </c>
      <c r="Y16" s="593">
        <v>207.4</v>
      </c>
      <c r="Z16" s="593">
        <v>90.2</v>
      </c>
      <c r="AA16" s="593">
        <v>-50.1</v>
      </c>
      <c r="AB16" s="593">
        <v>1226</v>
      </c>
      <c r="AC16" s="593">
        <v>-595.9</v>
      </c>
      <c r="AD16" s="593">
        <v>3657.2</v>
      </c>
      <c r="AE16" s="598">
        <v>24857.599999999999</v>
      </c>
    </row>
    <row r="17" spans="2:47" x14ac:dyDescent="0.15">
      <c r="B17" s="582" t="s">
        <v>39</v>
      </c>
      <c r="C17" s="597">
        <v>-5088</v>
      </c>
      <c r="D17" s="593">
        <v>-4340</v>
      </c>
      <c r="E17" s="593">
        <v>-75</v>
      </c>
      <c r="F17" s="593">
        <v>-591.5</v>
      </c>
      <c r="G17" s="593">
        <v>0</v>
      </c>
      <c r="H17" s="593">
        <v>190.1</v>
      </c>
      <c r="I17" s="593">
        <v>-2841.8</v>
      </c>
      <c r="J17" s="593">
        <v>0</v>
      </c>
      <c r="K17" s="593">
        <v>0</v>
      </c>
      <c r="L17" s="593">
        <v>-6638</v>
      </c>
      <c r="M17" s="593">
        <v>0</v>
      </c>
      <c r="N17" s="593">
        <v>-1056.8</v>
      </c>
      <c r="O17" s="593">
        <v>-1195.5</v>
      </c>
      <c r="P17" s="593">
        <v>0</v>
      </c>
      <c r="Q17" s="593">
        <v>1039.7</v>
      </c>
      <c r="R17" s="593">
        <v>0</v>
      </c>
      <c r="S17" s="593">
        <v>0</v>
      </c>
      <c r="T17" s="593">
        <v>-7675</v>
      </c>
      <c r="U17" s="593">
        <v>0</v>
      </c>
      <c r="V17" s="593">
        <v>-2087.3000000000002</v>
      </c>
      <c r="W17" s="593">
        <v>-2388.8000000000002</v>
      </c>
      <c r="X17" s="593">
        <v>-627</v>
      </c>
      <c r="Y17" s="593">
        <v>0</v>
      </c>
      <c r="Z17" s="593">
        <v>0</v>
      </c>
      <c r="AA17" s="593">
        <v>0</v>
      </c>
      <c r="AB17" s="593">
        <v>119</v>
      </c>
      <c r="AC17" s="593">
        <v>0</v>
      </c>
      <c r="AD17" s="593">
        <v>3100.1</v>
      </c>
      <c r="AE17" s="598">
        <v>-33784.400000000001</v>
      </c>
    </row>
    <row r="18" spans="2:47" x14ac:dyDescent="0.15">
      <c r="B18" s="582" t="s">
        <v>40</v>
      </c>
      <c r="C18" s="597">
        <v>70.8</v>
      </c>
      <c r="D18" s="593">
        <v>-126.6</v>
      </c>
      <c r="E18" s="593">
        <v>-29.7</v>
      </c>
      <c r="F18" s="593">
        <v>20.3</v>
      </c>
      <c r="G18" s="593">
        <v>108.9</v>
      </c>
      <c r="H18" s="593">
        <v>-18.2</v>
      </c>
      <c r="I18" s="593">
        <v>-94</v>
      </c>
      <c r="J18" s="593">
        <v>-1.5</v>
      </c>
      <c r="K18" s="593">
        <v>-36.299999999999997</v>
      </c>
      <c r="L18" s="593">
        <v>-68.099999999999994</v>
      </c>
      <c r="M18" s="593">
        <v>254.2</v>
      </c>
      <c r="N18" s="593">
        <v>0</v>
      </c>
      <c r="O18" s="593">
        <v>0.5</v>
      </c>
      <c r="P18" s="593">
        <v>-266.5</v>
      </c>
      <c r="Q18" s="593">
        <v>50.4</v>
      </c>
      <c r="R18" s="593">
        <v>6.6</v>
      </c>
      <c r="S18" s="593">
        <v>-1.1000000000000001</v>
      </c>
      <c r="T18" s="593">
        <v>-92</v>
      </c>
      <c r="U18" s="593">
        <v>-3.8</v>
      </c>
      <c r="V18" s="593">
        <v>-105.4</v>
      </c>
      <c r="W18" s="593">
        <v>8.6</v>
      </c>
      <c r="X18" s="593">
        <v>-24.1</v>
      </c>
      <c r="Y18" s="593">
        <v>-0.5</v>
      </c>
      <c r="Z18" s="593">
        <v>0.5</v>
      </c>
      <c r="AA18" s="593">
        <v>6</v>
      </c>
      <c r="AB18" s="593">
        <v>-239.3</v>
      </c>
      <c r="AC18" s="593">
        <v>-22.1</v>
      </c>
      <c r="AD18" s="593">
        <v>206.4</v>
      </c>
      <c r="AE18" s="598">
        <v>-269</v>
      </c>
    </row>
    <row r="19" spans="2:47" x14ac:dyDescent="0.15">
      <c r="B19" s="582" t="s">
        <v>41</v>
      </c>
      <c r="C19" s="597">
        <v>-206.3</v>
      </c>
      <c r="D19" s="593">
        <v>-2.4</v>
      </c>
      <c r="E19" s="593">
        <v>1.4</v>
      </c>
      <c r="F19" s="593">
        <v>2.9</v>
      </c>
      <c r="G19" s="593">
        <v>112.4</v>
      </c>
      <c r="H19" s="593">
        <v>85.8</v>
      </c>
      <c r="I19" s="593">
        <v>-63.1</v>
      </c>
      <c r="J19" s="593">
        <v>-3.5</v>
      </c>
      <c r="K19" s="593">
        <v>0</v>
      </c>
      <c r="L19" s="593">
        <v>204.4</v>
      </c>
      <c r="M19" s="593">
        <v>1015.2</v>
      </c>
      <c r="N19" s="593">
        <v>-2.6</v>
      </c>
      <c r="O19" s="593">
        <v>0</v>
      </c>
      <c r="P19" s="593">
        <v>0</v>
      </c>
      <c r="Q19" s="593">
        <v>-62.9</v>
      </c>
      <c r="R19" s="593">
        <v>5.2</v>
      </c>
      <c r="S19" s="593">
        <v>5.9</v>
      </c>
      <c r="T19" s="593">
        <v>-138.1</v>
      </c>
      <c r="U19" s="593">
        <v>10.4</v>
      </c>
      <c r="V19" s="593">
        <v>117.8</v>
      </c>
      <c r="W19" s="593">
        <v>-88.4</v>
      </c>
      <c r="X19" s="593">
        <v>11.7</v>
      </c>
      <c r="Y19" s="593">
        <v>-104</v>
      </c>
      <c r="Z19" s="593">
        <v>146.69999999999999</v>
      </c>
      <c r="AA19" s="593">
        <v>-101.2</v>
      </c>
      <c r="AB19" s="593">
        <v>0</v>
      </c>
      <c r="AC19" s="593">
        <v>26.2</v>
      </c>
      <c r="AD19" s="593">
        <v>746.9</v>
      </c>
      <c r="AE19" s="598">
        <v>457.1</v>
      </c>
    </row>
    <row r="20" spans="2:47" x14ac:dyDescent="0.15">
      <c r="B20" s="582" t="s">
        <v>43</v>
      </c>
      <c r="C20" s="597">
        <v>-120</v>
      </c>
      <c r="D20" s="593">
        <v>-608</v>
      </c>
      <c r="E20" s="593">
        <v>-57.5</v>
      </c>
      <c r="F20" s="593">
        <v>-19.2</v>
      </c>
      <c r="G20" s="593">
        <v>22</v>
      </c>
      <c r="H20" s="593">
        <v>-391.7</v>
      </c>
      <c r="I20" s="593">
        <v>-101.3</v>
      </c>
      <c r="J20" s="593">
        <v>-17.7</v>
      </c>
      <c r="K20" s="593">
        <v>6.9</v>
      </c>
      <c r="L20" s="593">
        <v>-1465</v>
      </c>
      <c r="M20" s="593">
        <v>-1217</v>
      </c>
      <c r="N20" s="593">
        <v>-24.4</v>
      </c>
      <c r="O20" s="593">
        <v>-266.7</v>
      </c>
      <c r="P20" s="593">
        <v>0</v>
      </c>
      <c r="Q20" s="593">
        <v>892.9</v>
      </c>
      <c r="R20" s="593">
        <v>-35</v>
      </c>
      <c r="S20" s="593">
        <v>-12.6</v>
      </c>
      <c r="T20" s="593">
        <v>5308</v>
      </c>
      <c r="U20" s="593">
        <v>269</v>
      </c>
      <c r="V20" s="593">
        <v>1405.9</v>
      </c>
      <c r="W20" s="593">
        <v>-497.4</v>
      </c>
      <c r="X20" s="593">
        <v>-180</v>
      </c>
      <c r="Y20" s="593">
        <v>-118</v>
      </c>
      <c r="Z20" s="593">
        <v>-80</v>
      </c>
      <c r="AA20" s="593">
        <v>-29.4</v>
      </c>
      <c r="AB20" s="593">
        <v>-573.9</v>
      </c>
      <c r="AC20" s="593">
        <v>-1203.4000000000001</v>
      </c>
      <c r="AD20" s="593">
        <v>-787.7</v>
      </c>
      <c r="AE20" s="598">
        <v>98.8</v>
      </c>
    </row>
    <row r="21" spans="2:47" x14ac:dyDescent="0.15">
      <c r="B21" s="582" t="s">
        <v>45</v>
      </c>
      <c r="C21" s="597">
        <v>-168.5</v>
      </c>
      <c r="D21" s="593">
        <v>-796.4</v>
      </c>
      <c r="E21" s="593">
        <v>79.7</v>
      </c>
      <c r="F21" s="593">
        <v>-615</v>
      </c>
      <c r="G21" s="593">
        <v>104.1</v>
      </c>
      <c r="H21" s="593">
        <v>94.8</v>
      </c>
      <c r="I21" s="593">
        <v>-392.4</v>
      </c>
      <c r="J21" s="593">
        <v>2.9</v>
      </c>
      <c r="K21" s="593">
        <v>13.4</v>
      </c>
      <c r="L21" s="593">
        <v>-1884.9</v>
      </c>
      <c r="M21" s="593">
        <v>2482.3000000000002</v>
      </c>
      <c r="N21" s="593">
        <v>631.20000000000005</v>
      </c>
      <c r="O21" s="593">
        <v>139</v>
      </c>
      <c r="P21" s="593">
        <v>-941.1</v>
      </c>
      <c r="Q21" s="593">
        <v>0</v>
      </c>
      <c r="R21" s="593">
        <v>41</v>
      </c>
      <c r="S21" s="593">
        <v>132.1</v>
      </c>
      <c r="T21" s="593">
        <v>-2116.4</v>
      </c>
      <c r="U21" s="593">
        <v>-151.30000000000001</v>
      </c>
      <c r="V21" s="593">
        <v>325.89999999999998</v>
      </c>
      <c r="W21" s="593">
        <v>338.6</v>
      </c>
      <c r="X21" s="593">
        <v>-85</v>
      </c>
      <c r="Y21" s="593">
        <v>-663</v>
      </c>
      <c r="Z21" s="593">
        <v>196.8</v>
      </c>
      <c r="AA21" s="593">
        <v>-13.9</v>
      </c>
      <c r="AB21" s="593">
        <v>-576.9</v>
      </c>
      <c r="AC21" s="593">
        <v>37.299999999999997</v>
      </c>
      <c r="AD21" s="593">
        <v>-3774.8</v>
      </c>
      <c r="AE21" s="598">
        <v>-7592.2</v>
      </c>
    </row>
    <row r="22" spans="2:47" x14ac:dyDescent="0.15">
      <c r="B22" s="582" t="s">
        <v>48</v>
      </c>
      <c r="C22" s="597">
        <v>-11</v>
      </c>
      <c r="D22" s="593">
        <v>-15</v>
      </c>
      <c r="E22" s="593">
        <v>-2.2000000000000002</v>
      </c>
      <c r="F22" s="593">
        <v>-3.6</v>
      </c>
      <c r="G22" s="593">
        <v>25</v>
      </c>
      <c r="H22" s="593">
        <v>1.1000000000000001</v>
      </c>
      <c r="I22" s="593">
        <v>-247.8</v>
      </c>
      <c r="J22" s="593">
        <v>-113.3</v>
      </c>
      <c r="K22" s="593">
        <v>-48.3</v>
      </c>
      <c r="L22" s="593">
        <v>-15</v>
      </c>
      <c r="M22" s="593">
        <v>0</v>
      </c>
      <c r="N22" s="593">
        <v>-65.599999999999994</v>
      </c>
      <c r="O22" s="593">
        <v>-2.1</v>
      </c>
      <c r="P22" s="593">
        <v>45</v>
      </c>
      <c r="Q22" s="593">
        <v>-30.9</v>
      </c>
      <c r="R22" s="593">
        <v>0</v>
      </c>
      <c r="S22" s="593">
        <v>-78.8</v>
      </c>
      <c r="T22" s="593">
        <v>-59</v>
      </c>
      <c r="U22" s="593">
        <v>3</v>
      </c>
      <c r="V22" s="593">
        <v>-7.2</v>
      </c>
      <c r="W22" s="593">
        <v>-90.4</v>
      </c>
      <c r="X22" s="593">
        <v>-9</v>
      </c>
      <c r="Y22" s="593">
        <v>0.9</v>
      </c>
      <c r="Z22" s="593">
        <v>3</v>
      </c>
      <c r="AA22" s="593">
        <v>-3.8</v>
      </c>
      <c r="AB22" s="593">
        <v>0</v>
      </c>
      <c r="AC22" s="593">
        <v>-86.3</v>
      </c>
      <c r="AD22" s="593">
        <v>76.8</v>
      </c>
      <c r="AE22" s="598">
        <v>-824.4</v>
      </c>
    </row>
    <row r="23" spans="2:47" x14ac:dyDescent="0.15">
      <c r="B23" s="582" t="s">
        <v>514</v>
      </c>
      <c r="C23" s="597">
        <v>-10.199999999999999</v>
      </c>
      <c r="D23" s="593">
        <v>-12.1</v>
      </c>
      <c r="E23" s="593">
        <v>22.5</v>
      </c>
      <c r="F23" s="593">
        <v>13</v>
      </c>
      <c r="G23" s="593">
        <v>50.2</v>
      </c>
      <c r="H23" s="593">
        <v>-14.4</v>
      </c>
      <c r="I23" s="593">
        <v>-44.6</v>
      </c>
      <c r="J23" s="593">
        <v>-25.6</v>
      </c>
      <c r="K23" s="593">
        <v>-6.1</v>
      </c>
      <c r="L23" s="593">
        <v>4.7</v>
      </c>
      <c r="M23" s="593">
        <v>0</v>
      </c>
      <c r="N23" s="593">
        <v>56.2</v>
      </c>
      <c r="O23" s="593">
        <v>-11.8</v>
      </c>
      <c r="P23" s="593">
        <v>66.8</v>
      </c>
      <c r="Q23" s="593">
        <v>-67.400000000000006</v>
      </c>
      <c r="R23" s="593">
        <v>21.2</v>
      </c>
      <c r="S23" s="593">
        <v>0</v>
      </c>
      <c r="T23" s="593">
        <v>-24.2</v>
      </c>
      <c r="U23" s="593">
        <v>51.4</v>
      </c>
      <c r="V23" s="593">
        <v>-0.5</v>
      </c>
      <c r="W23" s="593">
        <v>-122.1</v>
      </c>
      <c r="X23" s="593">
        <v>-5.5</v>
      </c>
      <c r="Y23" s="593">
        <v>-0.2</v>
      </c>
      <c r="Z23" s="593">
        <v>-4.2</v>
      </c>
      <c r="AA23" s="593">
        <v>-1.5</v>
      </c>
      <c r="AB23" s="593">
        <v>0</v>
      </c>
      <c r="AC23" s="593">
        <v>-20.3</v>
      </c>
      <c r="AD23" s="593">
        <v>-89.5</v>
      </c>
      <c r="AE23" s="598">
        <v>-133.5</v>
      </c>
    </row>
    <row r="24" spans="2:47" x14ac:dyDescent="0.15">
      <c r="B24" s="582" t="s">
        <v>49</v>
      </c>
      <c r="C24" s="597">
        <v>83</v>
      </c>
      <c r="D24" s="593">
        <v>-2053</v>
      </c>
      <c r="E24" s="593">
        <v>-4.4000000000000004</v>
      </c>
      <c r="F24" s="593">
        <v>-6.4</v>
      </c>
      <c r="G24" s="593">
        <v>-12</v>
      </c>
      <c r="H24" s="593">
        <v>-15.4</v>
      </c>
      <c r="I24" s="593">
        <v>320.39999999999998</v>
      </c>
      <c r="J24" s="593">
        <v>10.6</v>
      </c>
      <c r="K24" s="593">
        <v>0</v>
      </c>
      <c r="L24" s="593">
        <v>-1906</v>
      </c>
      <c r="M24" s="593">
        <v>958</v>
      </c>
      <c r="N24" s="593">
        <v>-70.599999999999994</v>
      </c>
      <c r="O24" s="593">
        <v>73.8</v>
      </c>
      <c r="P24" s="593">
        <v>1794</v>
      </c>
      <c r="Q24" s="593">
        <v>772.5</v>
      </c>
      <c r="R24" s="593">
        <v>0</v>
      </c>
      <c r="S24" s="593">
        <v>-7.1</v>
      </c>
      <c r="T24" s="593">
        <v>0</v>
      </c>
      <c r="U24" s="593">
        <v>30</v>
      </c>
      <c r="V24" s="593">
        <v>781.5</v>
      </c>
      <c r="W24" s="593">
        <v>-459.4</v>
      </c>
      <c r="X24" s="593">
        <v>-18</v>
      </c>
      <c r="Y24" s="593">
        <v>-30.9</v>
      </c>
      <c r="Z24" s="593">
        <v>24.1</v>
      </c>
      <c r="AA24" s="593">
        <v>-78.3</v>
      </c>
      <c r="AB24" s="593">
        <v>0</v>
      </c>
      <c r="AC24" s="593">
        <v>355.1</v>
      </c>
      <c r="AD24" s="593">
        <v>8721.2999999999993</v>
      </c>
      <c r="AE24" s="598">
        <v>8109.3</v>
      </c>
      <c r="AU24" s="580"/>
    </row>
    <row r="25" spans="2:47" x14ac:dyDescent="0.15">
      <c r="B25" s="582" t="s">
        <v>96</v>
      </c>
      <c r="C25" s="597">
        <v>-66</v>
      </c>
      <c r="D25" s="593">
        <v>-89</v>
      </c>
      <c r="E25" s="593">
        <v>-2.5</v>
      </c>
      <c r="F25" s="593">
        <v>1.4</v>
      </c>
      <c r="G25" s="593">
        <v>272</v>
      </c>
      <c r="H25" s="593">
        <v>-7.2</v>
      </c>
      <c r="I25" s="593">
        <v>-68.7</v>
      </c>
      <c r="J25" s="593">
        <v>-22.4</v>
      </c>
      <c r="K25" s="593">
        <v>0</v>
      </c>
      <c r="L25" s="593">
        <v>-313</v>
      </c>
      <c r="M25" s="593">
        <v>-116</v>
      </c>
      <c r="N25" s="593">
        <v>-120.6</v>
      </c>
      <c r="O25" s="593">
        <v>-39</v>
      </c>
      <c r="P25" s="593">
        <v>-89</v>
      </c>
      <c r="Q25" s="593">
        <v>109.7</v>
      </c>
      <c r="R25" s="593">
        <v>-32</v>
      </c>
      <c r="S25" s="593">
        <v>-1.1000000000000001</v>
      </c>
      <c r="T25" s="593">
        <v>-167</v>
      </c>
      <c r="U25" s="593">
        <v>0</v>
      </c>
      <c r="V25" s="593">
        <v>-19</v>
      </c>
      <c r="W25" s="593">
        <v>-71.400000000000006</v>
      </c>
      <c r="X25" s="593">
        <v>-22</v>
      </c>
      <c r="Y25" s="593">
        <v>-21.6</v>
      </c>
      <c r="Z25" s="593">
        <v>-9.6999999999999993</v>
      </c>
      <c r="AA25" s="593">
        <v>-3.2</v>
      </c>
      <c r="AB25" s="593">
        <v>0</v>
      </c>
      <c r="AC25" s="593">
        <v>-190</v>
      </c>
      <c r="AD25" s="593">
        <v>-299.2</v>
      </c>
      <c r="AE25" s="598">
        <v>-1363.5</v>
      </c>
      <c r="AU25" s="580"/>
    </row>
    <row r="26" spans="2:47" x14ac:dyDescent="0.15">
      <c r="B26" s="582" t="s">
        <v>51</v>
      </c>
      <c r="C26" s="597">
        <v>-1000.6</v>
      </c>
      <c r="D26" s="593">
        <v>-8480.7999999999993</v>
      </c>
      <c r="E26" s="593">
        <v>-9.4</v>
      </c>
      <c r="F26" s="593">
        <v>-192.2</v>
      </c>
      <c r="G26" s="593">
        <v>-50.6</v>
      </c>
      <c r="H26" s="593">
        <v>-275</v>
      </c>
      <c r="I26" s="593">
        <v>-749.7</v>
      </c>
      <c r="J26" s="593">
        <v>-91.8</v>
      </c>
      <c r="K26" s="593">
        <v>367.4</v>
      </c>
      <c r="L26" s="593">
        <v>-6616.6</v>
      </c>
      <c r="M26" s="593">
        <v>-656</v>
      </c>
      <c r="N26" s="593">
        <v>-335.8</v>
      </c>
      <c r="O26" s="593">
        <v>-354.3</v>
      </c>
      <c r="P26" s="593">
        <v>2046.7</v>
      </c>
      <c r="Q26" s="593">
        <v>-248</v>
      </c>
      <c r="R26" s="593">
        <v>-58.2</v>
      </c>
      <c r="S26" s="593">
        <v>-122.9</v>
      </c>
      <c r="T26" s="593">
        <v>-1269.4000000000001</v>
      </c>
      <c r="U26" s="593">
        <v>-0.3</v>
      </c>
      <c r="V26" s="593">
        <v>0</v>
      </c>
      <c r="W26" s="593">
        <v>-1123.5</v>
      </c>
      <c r="X26" s="593">
        <v>-574.5</v>
      </c>
      <c r="Y26" s="593">
        <v>-538.5</v>
      </c>
      <c r="Z26" s="593">
        <v>-114.9</v>
      </c>
      <c r="AA26" s="593">
        <v>-65.599999999999994</v>
      </c>
      <c r="AB26" s="593">
        <v>-2036.4</v>
      </c>
      <c r="AC26" s="593">
        <v>-999.9</v>
      </c>
      <c r="AD26" s="593">
        <v>-880.2</v>
      </c>
      <c r="AE26" s="598">
        <v>-24472.1</v>
      </c>
      <c r="AU26" s="580"/>
    </row>
    <row r="27" spans="2:47" x14ac:dyDescent="0.15">
      <c r="B27" s="582" t="s">
        <v>54</v>
      </c>
      <c r="C27" s="597">
        <v>33.4</v>
      </c>
      <c r="D27" s="593">
        <v>-145.30000000000001</v>
      </c>
      <c r="E27" s="593">
        <v>5.7</v>
      </c>
      <c r="F27" s="593">
        <v>104.5</v>
      </c>
      <c r="G27" s="593">
        <v>301.10000000000002</v>
      </c>
      <c r="H27" s="593">
        <v>816</v>
      </c>
      <c r="I27" s="593">
        <v>-103.9</v>
      </c>
      <c r="J27" s="593">
        <v>-34.200000000000003</v>
      </c>
      <c r="K27" s="593">
        <v>-30.5</v>
      </c>
      <c r="L27" s="593">
        <v>290</v>
      </c>
      <c r="M27" s="593">
        <v>1516.8</v>
      </c>
      <c r="N27" s="593">
        <v>-112</v>
      </c>
      <c r="O27" s="593">
        <v>-213.8</v>
      </c>
      <c r="P27" s="593">
        <v>-15.5</v>
      </c>
      <c r="Q27" s="593">
        <v>-232.4</v>
      </c>
      <c r="R27" s="593">
        <v>32.700000000000003</v>
      </c>
      <c r="S27" s="593">
        <v>17.899999999999999</v>
      </c>
      <c r="T27" s="593">
        <v>-51.9</v>
      </c>
      <c r="U27" s="593">
        <v>-60.6</v>
      </c>
      <c r="V27" s="593">
        <v>-28.5</v>
      </c>
      <c r="W27" s="593">
        <v>0</v>
      </c>
      <c r="X27" s="593">
        <v>-12.8</v>
      </c>
      <c r="Y27" s="593">
        <v>-28.7</v>
      </c>
      <c r="Z27" s="593">
        <v>66.400000000000006</v>
      </c>
      <c r="AA27" s="593">
        <v>-20.2</v>
      </c>
      <c r="AB27" s="593">
        <v>-441.2</v>
      </c>
      <c r="AC27" s="593">
        <v>69.2</v>
      </c>
      <c r="AD27" s="593">
        <v>-124.1</v>
      </c>
      <c r="AE27" s="598">
        <v>1734.3</v>
      </c>
      <c r="AU27" s="580"/>
    </row>
    <row r="28" spans="2:47" x14ac:dyDescent="0.15">
      <c r="B28" s="582" t="s">
        <v>55</v>
      </c>
      <c r="C28" s="597">
        <v>-32</v>
      </c>
      <c r="D28" s="593">
        <v>-264</v>
      </c>
      <c r="E28" s="593">
        <v>-10.6</v>
      </c>
      <c r="F28" s="593">
        <v>-11.9</v>
      </c>
      <c r="G28" s="593">
        <v>14</v>
      </c>
      <c r="H28" s="593">
        <v>-28.5</v>
      </c>
      <c r="I28" s="593">
        <v>-131.30000000000001</v>
      </c>
      <c r="J28" s="593">
        <v>-8.1999999999999993</v>
      </c>
      <c r="K28" s="593">
        <v>-3.3</v>
      </c>
      <c r="L28" s="593">
        <v>-696</v>
      </c>
      <c r="M28" s="593">
        <v>-67</v>
      </c>
      <c r="N28" s="593">
        <v>-37.4</v>
      </c>
      <c r="O28" s="593">
        <v>36.9</v>
      </c>
      <c r="P28" s="593">
        <v>-460</v>
      </c>
      <c r="Q28" s="593">
        <v>-128.5</v>
      </c>
      <c r="R28" s="593">
        <v>-1</v>
      </c>
      <c r="S28" s="593">
        <v>-10.7</v>
      </c>
      <c r="T28" s="593">
        <v>-345</v>
      </c>
      <c r="U28" s="593">
        <v>30</v>
      </c>
      <c r="V28" s="593">
        <v>102.2</v>
      </c>
      <c r="W28" s="593">
        <v>-44.3</v>
      </c>
      <c r="X28" s="593">
        <v>0</v>
      </c>
      <c r="Y28" s="593">
        <v>-13</v>
      </c>
      <c r="Z28" s="593">
        <v>-0.9</v>
      </c>
      <c r="AA28" s="593">
        <v>-1.9</v>
      </c>
      <c r="AB28" s="593">
        <v>-734</v>
      </c>
      <c r="AC28" s="593">
        <v>-66.400000000000006</v>
      </c>
      <c r="AD28" s="593">
        <v>-135.1</v>
      </c>
      <c r="AE28" s="598">
        <v>12808.1</v>
      </c>
    </row>
    <row r="29" spans="2:47" x14ac:dyDescent="0.15">
      <c r="B29" s="582" t="s">
        <v>543</v>
      </c>
      <c r="C29" s="597">
        <v>-118.9</v>
      </c>
      <c r="D29" s="593">
        <v>-151.5</v>
      </c>
      <c r="E29" s="593">
        <v>-58.7</v>
      </c>
      <c r="F29" s="593">
        <v>6.9</v>
      </c>
      <c r="G29" s="593">
        <v>85.9</v>
      </c>
      <c r="H29" s="593">
        <v>-56.8</v>
      </c>
      <c r="I29" s="593">
        <v>-76.3</v>
      </c>
      <c r="J29" s="593">
        <v>-5</v>
      </c>
      <c r="K29" s="593">
        <v>0</v>
      </c>
      <c r="L29" s="593">
        <v>42.2</v>
      </c>
      <c r="M29" s="593">
        <v>0</v>
      </c>
      <c r="N29" s="593">
        <v>-52.1</v>
      </c>
      <c r="O29" s="593">
        <v>-581.4</v>
      </c>
      <c r="P29" s="593">
        <v>116.5</v>
      </c>
      <c r="Q29" s="593">
        <v>-74.599999999999994</v>
      </c>
      <c r="R29" s="593">
        <v>-0.1</v>
      </c>
      <c r="S29" s="593">
        <v>7.8</v>
      </c>
      <c r="T29" s="593">
        <v>-98.9</v>
      </c>
      <c r="U29" s="593">
        <v>84.1</v>
      </c>
      <c r="V29" s="593">
        <v>-5</v>
      </c>
      <c r="W29" s="593">
        <v>-33.1</v>
      </c>
      <c r="X29" s="593">
        <v>-3.6</v>
      </c>
      <c r="Y29" s="593">
        <v>0</v>
      </c>
      <c r="Z29" s="593">
        <v>70.8</v>
      </c>
      <c r="AA29" s="593">
        <v>-21.1</v>
      </c>
      <c r="AB29" s="593">
        <v>0</v>
      </c>
      <c r="AC29" s="593">
        <v>-2.4</v>
      </c>
      <c r="AD29" s="593">
        <v>59.2</v>
      </c>
      <c r="AE29" s="598">
        <v>-521.5</v>
      </c>
    </row>
    <row r="30" spans="2:47" x14ac:dyDescent="0.15">
      <c r="B30" s="582" t="s">
        <v>56</v>
      </c>
      <c r="C30" s="597">
        <v>-228.5</v>
      </c>
      <c r="D30" s="593">
        <v>-126.4</v>
      </c>
      <c r="E30" s="593">
        <v>17.100000000000001</v>
      </c>
      <c r="F30" s="593">
        <v>-27.9</v>
      </c>
      <c r="G30" s="593">
        <v>58.5</v>
      </c>
      <c r="H30" s="593">
        <v>-125.8</v>
      </c>
      <c r="I30" s="593">
        <v>-91.5</v>
      </c>
      <c r="J30" s="593">
        <v>-4.3</v>
      </c>
      <c r="K30" s="593">
        <v>-2.2000000000000002</v>
      </c>
      <c r="L30" s="593">
        <v>-142.4</v>
      </c>
      <c r="M30" s="593">
        <v>192.9</v>
      </c>
      <c r="N30" s="593">
        <v>-8.1999999999999993</v>
      </c>
      <c r="O30" s="593">
        <v>-367.7</v>
      </c>
      <c r="P30" s="593">
        <v>-41.1</v>
      </c>
      <c r="Q30" s="593">
        <v>21.9</v>
      </c>
      <c r="R30" s="593">
        <v>0.4</v>
      </c>
      <c r="S30" s="593">
        <v>-7.3</v>
      </c>
      <c r="T30" s="593">
        <v>-101.1</v>
      </c>
      <c r="U30" s="593">
        <v>6.4</v>
      </c>
      <c r="V30" s="593">
        <v>-32.9</v>
      </c>
      <c r="W30" s="593">
        <v>-139.5</v>
      </c>
      <c r="X30" s="593">
        <v>5.0999999999999996</v>
      </c>
      <c r="Y30" s="593">
        <v>-25.3</v>
      </c>
      <c r="Z30" s="593">
        <v>0</v>
      </c>
      <c r="AA30" s="593">
        <v>-41</v>
      </c>
      <c r="AB30" s="593">
        <v>-55.9</v>
      </c>
      <c r="AC30" s="593">
        <v>-10.8</v>
      </c>
      <c r="AD30" s="593">
        <v>-379.6</v>
      </c>
      <c r="AE30" s="598">
        <v>-1624.2</v>
      </c>
    </row>
    <row r="31" spans="2:47" x14ac:dyDescent="0.15">
      <c r="B31" s="582" t="s">
        <v>57</v>
      </c>
      <c r="C31" s="597">
        <v>-22.6</v>
      </c>
      <c r="D31" s="593">
        <v>3.1</v>
      </c>
      <c r="E31" s="593">
        <v>2.8</v>
      </c>
      <c r="F31" s="593">
        <v>-223.7</v>
      </c>
      <c r="G31" s="593">
        <v>9.6999999999999993</v>
      </c>
      <c r="H31" s="593">
        <v>-37</v>
      </c>
      <c r="I31" s="593">
        <v>-10.3</v>
      </c>
      <c r="J31" s="593">
        <v>-5.8</v>
      </c>
      <c r="K31" s="593">
        <v>0</v>
      </c>
      <c r="L31" s="593">
        <v>27.4</v>
      </c>
      <c r="M31" s="593">
        <v>0</v>
      </c>
      <c r="N31" s="593">
        <v>-9.9</v>
      </c>
      <c r="O31" s="593">
        <v>7.2</v>
      </c>
      <c r="P31" s="593">
        <v>3.8</v>
      </c>
      <c r="Q31" s="593">
        <v>-165.4</v>
      </c>
      <c r="R31" s="593">
        <v>3.7</v>
      </c>
      <c r="S31" s="593">
        <v>7</v>
      </c>
      <c r="T31" s="593">
        <v>57.3</v>
      </c>
      <c r="U31" s="593">
        <v>0.8</v>
      </c>
      <c r="V31" s="593">
        <v>3.2</v>
      </c>
      <c r="W31" s="593">
        <v>-8.6</v>
      </c>
      <c r="X31" s="593">
        <v>-3.2</v>
      </c>
      <c r="Y31" s="593">
        <v>12.6</v>
      </c>
      <c r="Z31" s="593">
        <v>31.6</v>
      </c>
      <c r="AA31" s="593">
        <v>0</v>
      </c>
      <c r="AB31" s="593">
        <v>0</v>
      </c>
      <c r="AC31" s="593">
        <v>-11.5</v>
      </c>
      <c r="AD31" s="593">
        <v>31.1</v>
      </c>
      <c r="AE31" s="598">
        <v>-216.4</v>
      </c>
      <c r="AQ31" s="573"/>
      <c r="AR31" s="573"/>
    </row>
    <row r="32" spans="2:47" x14ac:dyDescent="0.15">
      <c r="B32" s="582" t="s">
        <v>58</v>
      </c>
      <c r="C32" s="597">
        <v>46.2</v>
      </c>
      <c r="D32" s="593">
        <v>183</v>
      </c>
      <c r="E32" s="593">
        <v>0</v>
      </c>
      <c r="F32" s="593">
        <v>0</v>
      </c>
      <c r="G32" s="593">
        <v>0</v>
      </c>
      <c r="H32" s="593">
        <v>0</v>
      </c>
      <c r="I32" s="593">
        <v>-396</v>
      </c>
      <c r="J32" s="593">
        <v>0</v>
      </c>
      <c r="K32" s="593">
        <v>0</v>
      </c>
      <c r="L32" s="593">
        <v>-1077</v>
      </c>
      <c r="M32" s="593">
        <v>1277</v>
      </c>
      <c r="N32" s="593">
        <v>111.1</v>
      </c>
      <c r="O32" s="593">
        <v>0</v>
      </c>
      <c r="P32" s="593">
        <v>0</v>
      </c>
      <c r="Q32" s="593">
        <v>56.2</v>
      </c>
      <c r="R32" s="593">
        <v>0</v>
      </c>
      <c r="S32" s="593">
        <v>0</v>
      </c>
      <c r="T32" s="593">
        <v>0</v>
      </c>
      <c r="U32" s="593">
        <v>0</v>
      </c>
      <c r="V32" s="593">
        <v>-127.6</v>
      </c>
      <c r="W32" s="593">
        <v>223.3</v>
      </c>
      <c r="X32" s="593">
        <v>-1373</v>
      </c>
      <c r="Y32" s="593">
        <v>0</v>
      </c>
      <c r="Z32" s="593">
        <v>0</v>
      </c>
      <c r="AA32" s="593">
        <v>0</v>
      </c>
      <c r="AB32" s="593">
        <v>0</v>
      </c>
      <c r="AC32" s="593">
        <v>0</v>
      </c>
      <c r="AD32" s="593">
        <v>1157.9000000000001</v>
      </c>
      <c r="AE32" s="598">
        <v>-4027.1</v>
      </c>
      <c r="AQ32" s="573"/>
      <c r="AR32" s="573"/>
    </row>
    <row r="33" spans="2:44" x14ac:dyDescent="0.15">
      <c r="B33" s="582" t="s">
        <v>59</v>
      </c>
      <c r="C33" s="597">
        <v>-232.8</v>
      </c>
      <c r="D33" s="593">
        <v>-591.20000000000005</v>
      </c>
      <c r="E33" s="593">
        <v>30.9</v>
      </c>
      <c r="F33" s="593">
        <v>-97.5</v>
      </c>
      <c r="G33" s="593">
        <v>85.9</v>
      </c>
      <c r="H33" s="593">
        <v>-12.6</v>
      </c>
      <c r="I33" s="593">
        <v>-1157.5</v>
      </c>
      <c r="J33" s="593">
        <v>-65.099999999999994</v>
      </c>
      <c r="K33" s="593">
        <v>-91</v>
      </c>
      <c r="L33" s="593">
        <v>-386.4</v>
      </c>
      <c r="M33" s="593">
        <v>0</v>
      </c>
      <c r="N33" s="593">
        <v>-16.8</v>
      </c>
      <c r="O33" s="593">
        <v>-26.5</v>
      </c>
      <c r="P33" s="593">
        <v>-153.69999999999999</v>
      </c>
      <c r="Q33" s="593">
        <v>-40.9</v>
      </c>
      <c r="R33" s="593">
        <v>-18.899999999999999</v>
      </c>
      <c r="S33" s="593">
        <v>135.1</v>
      </c>
      <c r="T33" s="593">
        <v>-977.4</v>
      </c>
      <c r="U33" s="593">
        <v>-202</v>
      </c>
      <c r="V33" s="593">
        <v>50.3</v>
      </c>
      <c r="W33" s="593">
        <v>78.900000000000006</v>
      </c>
      <c r="X33" s="593">
        <v>-81.599999999999994</v>
      </c>
      <c r="Y33" s="593">
        <v>9.1999999999999993</v>
      </c>
      <c r="Z33" s="593">
        <v>46</v>
      </c>
      <c r="AA33" s="593">
        <v>-23.6</v>
      </c>
      <c r="AB33" s="593">
        <v>0</v>
      </c>
      <c r="AC33" s="593">
        <v>0</v>
      </c>
      <c r="AD33" s="593">
        <v>770.2</v>
      </c>
      <c r="AE33" s="598">
        <v>-976.6</v>
      </c>
      <c r="AQ33" s="573"/>
      <c r="AR33" s="573"/>
    </row>
    <row r="34" spans="2:44" x14ac:dyDescent="0.15">
      <c r="B34" s="582" t="s">
        <v>62</v>
      </c>
      <c r="C34" s="597">
        <v>-782.8</v>
      </c>
      <c r="D34" s="593">
        <v>-5755.2</v>
      </c>
      <c r="E34" s="593">
        <v>-195.5</v>
      </c>
      <c r="F34" s="593">
        <v>51.5</v>
      </c>
      <c r="G34" s="593">
        <v>-499.3</v>
      </c>
      <c r="H34" s="593">
        <v>-433.7</v>
      </c>
      <c r="I34" s="593">
        <v>-2931</v>
      </c>
      <c r="J34" s="593">
        <v>-208.7</v>
      </c>
      <c r="K34" s="593">
        <v>-700.8</v>
      </c>
      <c r="L34" s="593">
        <v>-8264.6</v>
      </c>
      <c r="M34" s="593">
        <v>-12516.6</v>
      </c>
      <c r="N34" s="593">
        <v>-1334.8</v>
      </c>
      <c r="O34" s="593">
        <v>-790.7</v>
      </c>
      <c r="P34" s="593">
        <v>-16836.599999999999</v>
      </c>
      <c r="Q34" s="593">
        <v>-974.1</v>
      </c>
      <c r="R34" s="593">
        <v>-258.89999999999998</v>
      </c>
      <c r="S34" s="593">
        <v>29.9</v>
      </c>
      <c r="T34" s="593">
        <v>-10995.4</v>
      </c>
      <c r="U34" s="593">
        <v>-674.4</v>
      </c>
      <c r="V34" s="593">
        <v>-9237.7999999999993</v>
      </c>
      <c r="W34" s="593">
        <v>-381.1</v>
      </c>
      <c r="X34" s="593">
        <v>-233.4</v>
      </c>
      <c r="Y34" s="593">
        <v>-433.2</v>
      </c>
      <c r="Z34" s="593">
        <v>90.9</v>
      </c>
      <c r="AA34" s="593">
        <v>-62.9</v>
      </c>
      <c r="AB34" s="593">
        <v>-1257.5999999999999</v>
      </c>
      <c r="AC34" s="593">
        <v>-1797.6</v>
      </c>
      <c r="AD34" s="593">
        <v>0</v>
      </c>
      <c r="AE34" s="598">
        <v>-77564.399999999994</v>
      </c>
      <c r="AQ34" s="573"/>
      <c r="AR34" s="573"/>
    </row>
    <row r="35" spans="2:44" x14ac:dyDescent="0.15">
      <c r="B35" s="587" t="s">
        <v>1728</v>
      </c>
      <c r="C35" s="608">
        <v>-8051.2</v>
      </c>
      <c r="D35" s="609">
        <v>-26020.6</v>
      </c>
      <c r="E35" s="609">
        <v>705</v>
      </c>
      <c r="F35" s="609">
        <v>-1611.3</v>
      </c>
      <c r="G35" s="609">
        <v>582.9</v>
      </c>
      <c r="H35" s="609">
        <v>512</v>
      </c>
      <c r="I35" s="609">
        <v>-9313.9</v>
      </c>
      <c r="J35" s="609">
        <v>-827.8</v>
      </c>
      <c r="K35" s="609">
        <v>-1754</v>
      </c>
      <c r="L35" s="609">
        <v>-26458.9</v>
      </c>
      <c r="M35" s="609">
        <v>19793.400000000001</v>
      </c>
      <c r="N35" s="609">
        <v>-2318.9</v>
      </c>
      <c r="O35" s="609">
        <v>-4358.2</v>
      </c>
      <c r="P35" s="609">
        <v>-15876.2</v>
      </c>
      <c r="Q35" s="609">
        <v>5972.9</v>
      </c>
      <c r="R35" s="609">
        <v>-211.5</v>
      </c>
      <c r="S35" s="609">
        <v>-135.4</v>
      </c>
      <c r="T35" s="609">
        <v>-23849.200000000001</v>
      </c>
      <c r="U35" s="609">
        <v>184.3</v>
      </c>
      <c r="V35" s="609">
        <v>2784.7</v>
      </c>
      <c r="W35" s="609">
        <v>-4082</v>
      </c>
      <c r="X35" s="609">
        <v>-5283.6</v>
      </c>
      <c r="Y35" s="609">
        <v>-3984.2</v>
      </c>
      <c r="Z35" s="609">
        <v>1850.5</v>
      </c>
      <c r="AA35" s="609">
        <v>-1387.1</v>
      </c>
      <c r="AB35" s="609">
        <v>-4833</v>
      </c>
      <c r="AC35" s="609">
        <v>-7526.4</v>
      </c>
      <c r="AD35" s="609">
        <v>18437.400000000001</v>
      </c>
      <c r="AE35" s="605">
        <v>-93628.6</v>
      </c>
      <c r="AG35" s="611"/>
    </row>
    <row r="36" spans="2:44" x14ac:dyDescent="0.15">
      <c r="B36" s="591" t="s">
        <v>1730</v>
      </c>
      <c r="C36" s="608">
        <f t="shared" ref="C36:AE36" si="0">+C35-C26-C25-C24-C20-C11-C8</f>
        <v>-7003.5999999999995</v>
      </c>
      <c r="D36" s="609">
        <f t="shared" si="0"/>
        <v>-14484.8</v>
      </c>
      <c r="E36" s="609">
        <f t="shared" si="0"/>
        <v>708.8</v>
      </c>
      <c r="F36" s="609">
        <f t="shared" si="0"/>
        <v>-1281.7999999999997</v>
      </c>
      <c r="G36" s="609">
        <f t="shared" si="0"/>
        <v>72.5</v>
      </c>
      <c r="H36" s="609">
        <f t="shared" si="0"/>
        <v>1293</v>
      </c>
      <c r="I36" s="609">
        <f t="shared" si="0"/>
        <v>-8411.9999999999982</v>
      </c>
      <c r="J36" s="609">
        <f t="shared" si="0"/>
        <v>-672.3</v>
      </c>
      <c r="K36" s="609">
        <f t="shared" si="0"/>
        <v>-2178.3000000000002</v>
      </c>
      <c r="L36" s="609">
        <f t="shared" si="0"/>
        <v>-18053.300000000003</v>
      </c>
      <c r="M36" s="609">
        <f t="shared" si="0"/>
        <v>18026.400000000001</v>
      </c>
      <c r="N36" s="609">
        <f t="shared" si="0"/>
        <v>-1774.1000000000004</v>
      </c>
      <c r="O36" s="609">
        <f t="shared" si="0"/>
        <v>-3760.8999999999996</v>
      </c>
      <c r="P36" s="609">
        <f t="shared" si="0"/>
        <v>-19957.900000000001</v>
      </c>
      <c r="Q36" s="609">
        <f t="shared" si="0"/>
        <v>3645.6000000000004</v>
      </c>
      <c r="R36" s="609">
        <f t="shared" si="0"/>
        <v>15.699999999999989</v>
      </c>
      <c r="S36" s="609">
        <f t="shared" si="0"/>
        <v>12.299999999999997</v>
      </c>
      <c r="T36" s="609">
        <f t="shared" si="0"/>
        <v>-27767.8</v>
      </c>
      <c r="U36" s="609">
        <f t="shared" si="0"/>
        <v>-146.39999999999998</v>
      </c>
      <c r="V36" s="609">
        <f t="shared" si="0"/>
        <v>-6773.2</v>
      </c>
      <c r="W36" s="609">
        <f t="shared" si="0"/>
        <v>-2046.3999999999999</v>
      </c>
      <c r="X36" s="609">
        <f t="shared" si="0"/>
        <v>-4577.1000000000004</v>
      </c>
      <c r="Y36" s="609">
        <f t="shared" si="0"/>
        <v>-3077.8</v>
      </c>
      <c r="Z36" s="609">
        <f t="shared" si="0"/>
        <v>1833.9000000000003</v>
      </c>
      <c r="AA36" s="609">
        <f t="shared" si="0"/>
        <v>-1095.8999999999999</v>
      </c>
      <c r="AB36" s="609">
        <f t="shared" si="0"/>
        <v>-2153.6999999999998</v>
      </c>
      <c r="AC36" s="609">
        <f t="shared" si="0"/>
        <v>-5570.1</v>
      </c>
      <c r="AD36" s="609">
        <f t="shared" si="0"/>
        <v>7577.100000000004</v>
      </c>
      <c r="AE36" s="605">
        <f t="shared" si="0"/>
        <v>-93651.700000000012</v>
      </c>
      <c r="AH36" s="612"/>
    </row>
    <row r="37" spans="2:44" x14ac:dyDescent="0.15">
      <c r="B37" s="591" t="s">
        <v>1731</v>
      </c>
      <c r="C37" s="608">
        <f t="shared" ref="C37:AE37" si="1">+C35-C36</f>
        <v>-1047.6000000000004</v>
      </c>
      <c r="D37" s="609">
        <f t="shared" si="1"/>
        <v>-11535.8</v>
      </c>
      <c r="E37" s="609">
        <f t="shared" si="1"/>
        <v>-3.7999999999999545</v>
      </c>
      <c r="F37" s="609">
        <f t="shared" si="1"/>
        <v>-329.50000000000023</v>
      </c>
      <c r="G37" s="609">
        <f t="shared" si="1"/>
        <v>510.4</v>
      </c>
      <c r="H37" s="609">
        <f t="shared" si="1"/>
        <v>-781</v>
      </c>
      <c r="I37" s="609">
        <f t="shared" si="1"/>
        <v>-901.90000000000146</v>
      </c>
      <c r="J37" s="609">
        <f t="shared" si="1"/>
        <v>-155.5</v>
      </c>
      <c r="K37" s="609">
        <f t="shared" si="1"/>
        <v>424.30000000000018</v>
      </c>
      <c r="L37" s="609">
        <f t="shared" si="1"/>
        <v>-8405.5999999999985</v>
      </c>
      <c r="M37" s="609">
        <f t="shared" si="1"/>
        <v>1767</v>
      </c>
      <c r="N37" s="609">
        <f t="shared" si="1"/>
        <v>-544.79999999999973</v>
      </c>
      <c r="O37" s="609">
        <f t="shared" si="1"/>
        <v>-597.30000000000018</v>
      </c>
      <c r="P37" s="609">
        <f t="shared" si="1"/>
        <v>4081.7000000000007</v>
      </c>
      <c r="Q37" s="609">
        <f t="shared" si="1"/>
        <v>2327.2999999999993</v>
      </c>
      <c r="R37" s="609">
        <f t="shared" si="1"/>
        <v>-227.2</v>
      </c>
      <c r="S37" s="609">
        <f t="shared" si="1"/>
        <v>-147.69999999999999</v>
      </c>
      <c r="T37" s="609">
        <f t="shared" si="1"/>
        <v>3918.5999999999985</v>
      </c>
      <c r="U37" s="609">
        <f t="shared" si="1"/>
        <v>330.7</v>
      </c>
      <c r="V37" s="609">
        <f t="shared" si="1"/>
        <v>9557.9</v>
      </c>
      <c r="W37" s="609">
        <f t="shared" si="1"/>
        <v>-2035.6000000000001</v>
      </c>
      <c r="X37" s="609">
        <f t="shared" si="1"/>
        <v>-706.5</v>
      </c>
      <c r="Y37" s="609">
        <f t="shared" si="1"/>
        <v>-906.39999999999964</v>
      </c>
      <c r="Z37" s="609">
        <f t="shared" si="1"/>
        <v>16.599999999999682</v>
      </c>
      <c r="AA37" s="609">
        <f t="shared" si="1"/>
        <v>-291.20000000000005</v>
      </c>
      <c r="AB37" s="609">
        <f t="shared" si="1"/>
        <v>-2679.3</v>
      </c>
      <c r="AC37" s="609">
        <f t="shared" si="1"/>
        <v>-1956.2999999999993</v>
      </c>
      <c r="AD37" s="609">
        <f t="shared" si="1"/>
        <v>10860.299999999997</v>
      </c>
      <c r="AE37" s="605">
        <f t="shared" si="1"/>
        <v>23.100000000005821</v>
      </c>
    </row>
    <row r="38" spans="2:44" ht="50.25" customHeight="1" x14ac:dyDescent="0.15">
      <c r="B38" s="590" t="s">
        <v>1732</v>
      </c>
      <c r="C38" s="597"/>
      <c r="D38" s="593"/>
      <c r="E38" s="593"/>
      <c r="F38" s="593"/>
      <c r="G38" s="593"/>
      <c r="H38" s="593"/>
      <c r="I38" s="593"/>
      <c r="J38" s="593"/>
      <c r="K38" s="593"/>
      <c r="L38" s="593"/>
      <c r="M38" s="593"/>
      <c r="N38" s="593"/>
      <c r="O38" s="593"/>
      <c r="P38" s="593"/>
      <c r="Q38" s="593"/>
      <c r="R38" s="593"/>
      <c r="S38" s="593"/>
      <c r="T38" s="593"/>
      <c r="U38" s="593"/>
      <c r="V38" s="593"/>
      <c r="W38" s="593"/>
      <c r="X38" s="593"/>
      <c r="Y38" s="593"/>
      <c r="Z38" s="593"/>
      <c r="AA38" s="593"/>
      <c r="AB38" s="593"/>
      <c r="AC38" s="593"/>
      <c r="AD38" s="593"/>
      <c r="AE38" s="598"/>
    </row>
    <row r="39" spans="2:44" x14ac:dyDescent="0.15">
      <c r="B39" s="582" t="s">
        <v>30</v>
      </c>
      <c r="C39" s="597">
        <v>0</v>
      </c>
      <c r="D39" s="593">
        <v>760</v>
      </c>
      <c r="E39" s="593">
        <v>468</v>
      </c>
      <c r="F39" s="593">
        <v>1034</v>
      </c>
      <c r="G39" s="593">
        <v>187</v>
      </c>
      <c r="H39" s="593">
        <v>1145</v>
      </c>
      <c r="I39" s="593">
        <v>158</v>
      </c>
      <c r="J39" s="593">
        <v>78</v>
      </c>
      <c r="K39" s="593">
        <v>438</v>
      </c>
      <c r="L39" s="593">
        <v>1043</v>
      </c>
      <c r="M39" s="593">
        <v>13311</v>
      </c>
      <c r="N39" s="593">
        <v>427</v>
      </c>
      <c r="O39" s="593">
        <v>1325</v>
      </c>
      <c r="P39" s="593">
        <v>598</v>
      </c>
      <c r="Q39" s="593">
        <v>2385</v>
      </c>
      <c r="R39" s="593">
        <v>63</v>
      </c>
      <c r="S39" s="593">
        <v>216</v>
      </c>
      <c r="T39" s="593">
        <v>386</v>
      </c>
      <c r="U39" s="593">
        <v>101</v>
      </c>
      <c r="V39" s="593">
        <v>1225</v>
      </c>
      <c r="W39" s="593">
        <v>1143</v>
      </c>
      <c r="X39" s="593">
        <v>185</v>
      </c>
      <c r="Y39" s="593">
        <v>1066</v>
      </c>
      <c r="Z39" s="593">
        <v>1300</v>
      </c>
      <c r="AA39" s="593">
        <v>779</v>
      </c>
      <c r="AB39" s="593">
        <v>792</v>
      </c>
      <c r="AC39" s="593">
        <v>838</v>
      </c>
      <c r="AD39" s="593">
        <v>1882</v>
      </c>
      <c r="AE39" s="598">
        <f>SUM(C39:AD39)</f>
        <v>33333</v>
      </c>
    </row>
    <row r="40" spans="2:44" x14ac:dyDescent="0.15">
      <c r="B40" s="582" t="s">
        <v>31</v>
      </c>
      <c r="C40" s="597">
        <v>988</v>
      </c>
      <c r="D40" s="593">
        <v>0</v>
      </c>
      <c r="E40" s="593">
        <v>326</v>
      </c>
      <c r="F40" s="593">
        <v>129</v>
      </c>
      <c r="G40" s="593">
        <v>318</v>
      </c>
      <c r="H40" s="593">
        <v>844</v>
      </c>
      <c r="I40" s="593">
        <v>694</v>
      </c>
      <c r="J40" s="593">
        <v>50</v>
      </c>
      <c r="K40" s="593">
        <v>320</v>
      </c>
      <c r="L40" s="593">
        <v>14921</v>
      </c>
      <c r="M40" s="593">
        <v>9096</v>
      </c>
      <c r="N40" s="593">
        <v>592</v>
      </c>
      <c r="O40" s="593">
        <v>391</v>
      </c>
      <c r="P40" s="593">
        <v>2693</v>
      </c>
      <c r="Q40" s="593">
        <v>3746</v>
      </c>
      <c r="R40" s="593">
        <v>62</v>
      </c>
      <c r="S40" s="593">
        <v>151</v>
      </c>
      <c r="T40" s="593">
        <v>5576</v>
      </c>
      <c r="U40" s="593">
        <v>92</v>
      </c>
      <c r="V40" s="593">
        <v>13291</v>
      </c>
      <c r="W40" s="593">
        <v>1225</v>
      </c>
      <c r="X40" s="593">
        <v>934</v>
      </c>
      <c r="Y40" s="593">
        <v>614</v>
      </c>
      <c r="Z40" s="593">
        <v>430</v>
      </c>
      <c r="AA40" s="593">
        <v>109</v>
      </c>
      <c r="AB40" s="593">
        <v>2929</v>
      </c>
      <c r="AC40" s="593">
        <v>945</v>
      </c>
      <c r="AD40" s="593">
        <v>9021</v>
      </c>
      <c r="AE40" s="598">
        <f t="shared" ref="AE40:AE66" si="2">SUM(C40:AD40)</f>
        <v>70487</v>
      </c>
    </row>
    <row r="41" spans="2:44" x14ac:dyDescent="0.15">
      <c r="B41" s="582" t="s">
        <v>451</v>
      </c>
      <c r="C41" s="597">
        <v>255.5</v>
      </c>
      <c r="D41" s="593">
        <v>93.3</v>
      </c>
      <c r="E41" s="593">
        <v>0</v>
      </c>
      <c r="F41" s="593">
        <v>15.3</v>
      </c>
      <c r="G41" s="593">
        <v>74.2</v>
      </c>
      <c r="H41" s="593">
        <v>93.1</v>
      </c>
      <c r="I41" s="593">
        <v>26.2</v>
      </c>
      <c r="J41" s="593">
        <v>2.6</v>
      </c>
      <c r="K41" s="593">
        <v>11.5</v>
      </c>
      <c r="L41" s="593">
        <v>143.30000000000001</v>
      </c>
      <c r="M41" s="593">
        <v>376.1</v>
      </c>
      <c r="N41" s="593">
        <v>167.5</v>
      </c>
      <c r="O41" s="593">
        <v>76.8</v>
      </c>
      <c r="P41" s="593">
        <v>104.6</v>
      </c>
      <c r="Q41" s="593">
        <v>223.7</v>
      </c>
      <c r="R41" s="593">
        <v>8.3000000000000007</v>
      </c>
      <c r="S41" s="593">
        <v>9.1999999999999993</v>
      </c>
      <c r="T41" s="593">
        <v>15.5</v>
      </c>
      <c r="U41" s="593">
        <v>69.099999999999994</v>
      </c>
      <c r="V41" s="593">
        <v>123.1</v>
      </c>
      <c r="W41" s="593">
        <v>87.7</v>
      </c>
      <c r="X41" s="593">
        <v>13.6</v>
      </c>
      <c r="Y41" s="593">
        <v>122.4</v>
      </c>
      <c r="Z41" s="593">
        <v>37.6</v>
      </c>
      <c r="AA41" s="593">
        <v>26.7</v>
      </c>
      <c r="AB41" s="593">
        <v>95.8</v>
      </c>
      <c r="AC41" s="593">
        <v>27.8</v>
      </c>
      <c r="AD41" s="593">
        <v>324.2</v>
      </c>
      <c r="AE41" s="598">
        <f t="shared" si="2"/>
        <v>2624.6999999999994</v>
      </c>
    </row>
    <row r="42" spans="2:44" x14ac:dyDescent="0.15">
      <c r="B42" s="582" t="s">
        <v>472</v>
      </c>
      <c r="C42" s="597">
        <v>223.8</v>
      </c>
      <c r="D42" s="593">
        <v>43.1</v>
      </c>
      <c r="E42" s="593">
        <v>16.399999999999999</v>
      </c>
      <c r="F42" s="593">
        <v>0</v>
      </c>
      <c r="G42" s="593">
        <v>8.3000000000000007</v>
      </c>
      <c r="H42" s="593">
        <v>17.7</v>
      </c>
      <c r="I42" s="593">
        <v>27.6</v>
      </c>
      <c r="J42" s="593">
        <v>0.5</v>
      </c>
      <c r="K42" s="593">
        <v>10.4</v>
      </c>
      <c r="L42" s="593">
        <v>76.2</v>
      </c>
      <c r="M42" s="593">
        <v>312.3</v>
      </c>
      <c r="N42" s="593">
        <v>3.5</v>
      </c>
      <c r="O42" s="593">
        <v>40.799999999999997</v>
      </c>
      <c r="P42" s="593">
        <v>88.3</v>
      </c>
      <c r="Q42" s="593">
        <v>68.400000000000006</v>
      </c>
      <c r="R42" s="593">
        <v>0.7</v>
      </c>
      <c r="S42" s="593">
        <v>1.2</v>
      </c>
      <c r="T42" s="593">
        <v>13.9</v>
      </c>
      <c r="U42" s="593">
        <v>21.3</v>
      </c>
      <c r="V42" s="593">
        <v>109.3</v>
      </c>
      <c r="W42" s="593">
        <v>19.7</v>
      </c>
      <c r="X42" s="593">
        <v>7.2</v>
      </c>
      <c r="Y42" s="593">
        <v>17.600000000000001</v>
      </c>
      <c r="Z42" s="593">
        <v>25.5</v>
      </c>
      <c r="AA42" s="593">
        <v>155</v>
      </c>
      <c r="AB42" s="593">
        <v>31.4</v>
      </c>
      <c r="AC42" s="593">
        <v>52.5</v>
      </c>
      <c r="AD42" s="593">
        <v>163.80000000000001</v>
      </c>
      <c r="AE42" s="598">
        <f t="shared" si="2"/>
        <v>1556.3999999999999</v>
      </c>
    </row>
    <row r="43" spans="2:44" x14ac:dyDescent="0.15">
      <c r="B43" s="582" t="s">
        <v>86</v>
      </c>
      <c r="C43" s="597">
        <v>48</v>
      </c>
      <c r="D43" s="593">
        <v>59</v>
      </c>
      <c r="E43" s="593">
        <v>22</v>
      </c>
      <c r="F43" s="593">
        <v>1</v>
      </c>
      <c r="G43" s="593">
        <v>0</v>
      </c>
      <c r="H43" s="593">
        <v>14</v>
      </c>
      <c r="I43" s="593">
        <v>10</v>
      </c>
      <c r="J43" s="593">
        <v>2</v>
      </c>
      <c r="K43" s="593">
        <v>4</v>
      </c>
      <c r="L43" s="593">
        <v>117</v>
      </c>
      <c r="M43" s="593">
        <v>372</v>
      </c>
      <c r="N43" s="593">
        <v>707</v>
      </c>
      <c r="O43" s="593">
        <v>15</v>
      </c>
      <c r="P43" s="593">
        <v>44</v>
      </c>
      <c r="Q43" s="593">
        <v>188</v>
      </c>
      <c r="R43" s="593">
        <v>8</v>
      </c>
      <c r="S43" s="593">
        <v>5</v>
      </c>
      <c r="T43" s="593">
        <v>24</v>
      </c>
      <c r="U43" s="593">
        <v>12</v>
      </c>
      <c r="V43" s="593">
        <v>54</v>
      </c>
      <c r="W43" s="593">
        <v>100</v>
      </c>
      <c r="X43" s="593">
        <v>4</v>
      </c>
      <c r="Y43" s="593">
        <v>29</v>
      </c>
      <c r="Z43" s="593">
        <v>3</v>
      </c>
      <c r="AA43" s="593">
        <v>1</v>
      </c>
      <c r="AB43" s="593">
        <v>37</v>
      </c>
      <c r="AC43" s="593">
        <v>10</v>
      </c>
      <c r="AD43" s="593">
        <v>764</v>
      </c>
      <c r="AE43" s="598">
        <f t="shared" si="2"/>
        <v>2654</v>
      </c>
    </row>
    <row r="44" spans="2:44" x14ac:dyDescent="0.15">
      <c r="B44" s="582" t="s">
        <v>34</v>
      </c>
      <c r="C44" s="597">
        <v>1044.9000000000001</v>
      </c>
      <c r="D44" s="593">
        <v>243.4</v>
      </c>
      <c r="E44" s="593">
        <v>365</v>
      </c>
      <c r="F44" s="593">
        <v>218.7</v>
      </c>
      <c r="G44" s="593">
        <v>58.8</v>
      </c>
      <c r="H44" s="593">
        <v>0</v>
      </c>
      <c r="I44" s="593">
        <v>96.7</v>
      </c>
      <c r="J44" s="593">
        <v>6.5</v>
      </c>
      <c r="K44" s="593">
        <v>65.5</v>
      </c>
      <c r="L44" s="593">
        <v>674.3</v>
      </c>
      <c r="M44" s="593">
        <v>3956.6</v>
      </c>
      <c r="N44" s="593">
        <v>170.9</v>
      </c>
      <c r="O44" s="593">
        <v>175.2</v>
      </c>
      <c r="P44" s="593">
        <v>371.9</v>
      </c>
      <c r="Q44" s="593">
        <v>488.8</v>
      </c>
      <c r="R44" s="593">
        <v>24.2</v>
      </c>
      <c r="S44" s="593">
        <v>18.100000000000001</v>
      </c>
      <c r="T44" s="593">
        <v>89.3</v>
      </c>
      <c r="U44" s="593">
        <v>9</v>
      </c>
      <c r="V44" s="593">
        <v>586.79999999999995</v>
      </c>
      <c r="W44" s="593">
        <v>786.9</v>
      </c>
      <c r="X44" s="593">
        <v>34.1</v>
      </c>
      <c r="Y44" s="593">
        <v>77.2</v>
      </c>
      <c r="Z44" s="593">
        <v>1289.5999999999999</v>
      </c>
      <c r="AA44" s="593">
        <v>72.099999999999994</v>
      </c>
      <c r="AB44" s="593">
        <v>319.8</v>
      </c>
      <c r="AC44" s="593">
        <v>149.5</v>
      </c>
      <c r="AD44" s="593">
        <v>874.7</v>
      </c>
      <c r="AE44" s="598">
        <f t="shared" si="2"/>
        <v>12268.5</v>
      </c>
    </row>
    <row r="45" spans="2:44" x14ac:dyDescent="0.15">
      <c r="B45" s="582" t="s">
        <v>35</v>
      </c>
      <c r="C45" s="597">
        <v>324.3</v>
      </c>
      <c r="D45" s="593">
        <v>710</v>
      </c>
      <c r="E45" s="593">
        <v>132.19999999999999</v>
      </c>
      <c r="F45" s="593">
        <v>119.6</v>
      </c>
      <c r="G45" s="593">
        <v>95.9</v>
      </c>
      <c r="H45" s="593">
        <v>232.3</v>
      </c>
      <c r="I45" s="593">
        <v>0</v>
      </c>
      <c r="J45" s="593">
        <v>90</v>
      </c>
      <c r="K45" s="593">
        <v>491.5</v>
      </c>
      <c r="L45" s="593">
        <v>1514.5</v>
      </c>
      <c r="M45" s="593">
        <v>5544.9</v>
      </c>
      <c r="N45" s="593">
        <v>490.3</v>
      </c>
      <c r="O45" s="593">
        <v>233.4</v>
      </c>
      <c r="P45" s="593">
        <v>1007.3</v>
      </c>
      <c r="Q45" s="593">
        <v>1051.4000000000001</v>
      </c>
      <c r="R45" s="593">
        <v>239.7</v>
      </c>
      <c r="S45" s="593">
        <v>312.5</v>
      </c>
      <c r="T45" s="593">
        <v>445</v>
      </c>
      <c r="U45" s="593">
        <v>100.4</v>
      </c>
      <c r="V45" s="593">
        <v>1924.2</v>
      </c>
      <c r="W45" s="593">
        <v>762.5</v>
      </c>
      <c r="X45" s="593">
        <v>191.5</v>
      </c>
      <c r="Y45" s="593">
        <v>137.19999999999999</v>
      </c>
      <c r="Z45" s="593">
        <v>98.5</v>
      </c>
      <c r="AA45" s="593">
        <v>47.5</v>
      </c>
      <c r="AB45" s="593">
        <v>1595.2</v>
      </c>
      <c r="AC45" s="593">
        <v>4288.8</v>
      </c>
      <c r="AD45" s="593">
        <v>5159.1000000000004</v>
      </c>
      <c r="AE45" s="598">
        <f t="shared" si="2"/>
        <v>27339.699999999997</v>
      </c>
    </row>
    <row r="46" spans="2:44" x14ac:dyDescent="0.15">
      <c r="B46" s="582" t="s">
        <v>36</v>
      </c>
      <c r="C46" s="597">
        <v>31.3</v>
      </c>
      <c r="D46" s="593">
        <v>47.8</v>
      </c>
      <c r="E46" s="593">
        <v>18.3</v>
      </c>
      <c r="F46" s="593">
        <v>6.9</v>
      </c>
      <c r="G46" s="593">
        <v>123.4</v>
      </c>
      <c r="H46" s="593">
        <v>34.5</v>
      </c>
      <c r="I46" s="593">
        <v>68.900000000000006</v>
      </c>
      <c r="J46" s="593">
        <v>0</v>
      </c>
      <c r="K46" s="593">
        <v>502.4</v>
      </c>
      <c r="L46" s="593">
        <v>57.4</v>
      </c>
      <c r="M46" s="593">
        <v>244.9</v>
      </c>
      <c r="N46" s="593">
        <v>17.8</v>
      </c>
      <c r="O46" s="593">
        <v>21.2</v>
      </c>
      <c r="P46" s="593">
        <v>34</v>
      </c>
      <c r="Q46" s="593">
        <v>70.2</v>
      </c>
      <c r="R46" s="593">
        <v>281.60000000000002</v>
      </c>
      <c r="S46" s="593">
        <v>181.4</v>
      </c>
      <c r="T46" s="593">
        <v>19.2</v>
      </c>
      <c r="U46" s="593">
        <v>9.3000000000000007</v>
      </c>
      <c r="V46" s="593">
        <v>122.5</v>
      </c>
      <c r="W46" s="593">
        <v>131.9</v>
      </c>
      <c r="X46" s="593">
        <v>13.2</v>
      </c>
      <c r="Y46" s="593">
        <v>11.3</v>
      </c>
      <c r="Z46" s="593">
        <v>9.1</v>
      </c>
      <c r="AA46" s="593">
        <v>8.6</v>
      </c>
      <c r="AB46" s="593">
        <v>75.900000000000006</v>
      </c>
      <c r="AC46" s="593">
        <v>324.8</v>
      </c>
      <c r="AD46" s="593">
        <v>230.7</v>
      </c>
      <c r="AE46" s="598">
        <f t="shared" si="2"/>
        <v>2698.5</v>
      </c>
    </row>
    <row r="47" spans="2:44" x14ac:dyDescent="0.15">
      <c r="B47" s="582" t="s">
        <v>37</v>
      </c>
      <c r="C47" s="597">
        <v>248.8</v>
      </c>
      <c r="D47" s="593">
        <v>363.5</v>
      </c>
      <c r="E47" s="593">
        <v>0</v>
      </c>
      <c r="F47" s="593">
        <v>0</v>
      </c>
      <c r="G47" s="593">
        <v>82.7</v>
      </c>
      <c r="H47" s="593">
        <v>0</v>
      </c>
      <c r="I47" s="593">
        <v>1052.7</v>
      </c>
      <c r="J47" s="593">
        <v>967.7</v>
      </c>
      <c r="K47" s="593">
        <v>0</v>
      </c>
      <c r="L47" s="593">
        <v>623.70000000000005</v>
      </c>
      <c r="M47" s="593">
        <v>2469.5</v>
      </c>
      <c r="N47" s="593">
        <v>283.60000000000002</v>
      </c>
      <c r="O47" s="593">
        <v>0</v>
      </c>
      <c r="P47" s="593">
        <v>546.5</v>
      </c>
      <c r="Q47" s="593">
        <v>523</v>
      </c>
      <c r="R47" s="593">
        <v>90.3</v>
      </c>
      <c r="S47" s="593">
        <v>94.7</v>
      </c>
      <c r="T47" s="593">
        <v>0</v>
      </c>
      <c r="U47" s="593">
        <v>0</v>
      </c>
      <c r="V47" s="593">
        <v>1017.5</v>
      </c>
      <c r="W47" s="593">
        <v>497.3</v>
      </c>
      <c r="X47" s="593">
        <v>121.9</v>
      </c>
      <c r="Y47" s="593">
        <v>0</v>
      </c>
      <c r="Z47" s="593">
        <v>40.799999999999997</v>
      </c>
      <c r="AA47" s="593">
        <v>0</v>
      </c>
      <c r="AB47" s="593">
        <v>694.4</v>
      </c>
      <c r="AC47" s="593">
        <v>3460.3</v>
      </c>
      <c r="AD47" s="593">
        <v>1615.8</v>
      </c>
      <c r="AE47" s="598">
        <f t="shared" si="2"/>
        <v>14794.699999999997</v>
      </c>
    </row>
    <row r="48" spans="2:44" x14ac:dyDescent="0.15">
      <c r="B48" s="582" t="s">
        <v>38</v>
      </c>
      <c r="C48" s="597">
        <v>1545</v>
      </c>
      <c r="D48" s="593">
        <v>13143</v>
      </c>
      <c r="E48" s="593">
        <v>652</v>
      </c>
      <c r="F48" s="593">
        <v>332</v>
      </c>
      <c r="G48" s="593">
        <v>160</v>
      </c>
      <c r="H48" s="593">
        <v>1103</v>
      </c>
      <c r="I48" s="593">
        <v>1541</v>
      </c>
      <c r="J48" s="593">
        <v>110</v>
      </c>
      <c r="K48" s="593">
        <v>523</v>
      </c>
      <c r="L48" s="593">
        <v>0</v>
      </c>
      <c r="M48" s="593">
        <v>27726</v>
      </c>
      <c r="N48" s="593">
        <v>1650</v>
      </c>
      <c r="O48" s="593">
        <v>737</v>
      </c>
      <c r="P48" s="593">
        <v>7029</v>
      </c>
      <c r="Q48" s="593">
        <v>11207</v>
      </c>
      <c r="R48" s="593">
        <v>91</v>
      </c>
      <c r="S48" s="593">
        <v>268</v>
      </c>
      <c r="T48" s="593">
        <v>5527</v>
      </c>
      <c r="U48" s="593">
        <v>416</v>
      </c>
      <c r="V48" s="593">
        <v>10115</v>
      </c>
      <c r="W48" s="593">
        <v>3046</v>
      </c>
      <c r="X48" s="593">
        <v>2473</v>
      </c>
      <c r="Y48" s="593">
        <v>1668</v>
      </c>
      <c r="Z48" s="593">
        <v>323</v>
      </c>
      <c r="AA48" s="593">
        <v>139</v>
      </c>
      <c r="AB48" s="593">
        <v>13142</v>
      </c>
      <c r="AC48" s="593">
        <v>2428</v>
      </c>
      <c r="AD48" s="593">
        <v>23156</v>
      </c>
      <c r="AE48" s="598">
        <f t="shared" si="2"/>
        <v>130250</v>
      </c>
    </row>
    <row r="49" spans="2:31" x14ac:dyDescent="0.15">
      <c r="B49" s="582" t="s">
        <v>39</v>
      </c>
      <c r="C49" s="597">
        <v>16180</v>
      </c>
      <c r="D49" s="593">
        <v>4738</v>
      </c>
      <c r="E49" s="593">
        <v>892</v>
      </c>
      <c r="F49" s="593">
        <v>1800</v>
      </c>
      <c r="G49" s="593">
        <v>0</v>
      </c>
      <c r="H49" s="593">
        <v>4667</v>
      </c>
      <c r="I49" s="593">
        <v>3627</v>
      </c>
      <c r="J49" s="593">
        <v>0</v>
      </c>
      <c r="K49" s="593">
        <v>0</v>
      </c>
      <c r="L49" s="593">
        <v>17971</v>
      </c>
      <c r="M49" s="593">
        <v>0</v>
      </c>
      <c r="N49" s="593">
        <v>3469</v>
      </c>
      <c r="O49" s="593">
        <v>2438</v>
      </c>
      <c r="P49" s="593">
        <v>0</v>
      </c>
      <c r="Q49" s="593">
        <v>11239</v>
      </c>
      <c r="R49" s="593">
        <v>0</v>
      </c>
      <c r="S49" s="593">
        <v>0</v>
      </c>
      <c r="T49" s="593">
        <v>6247</v>
      </c>
      <c r="U49" s="593">
        <v>0</v>
      </c>
      <c r="V49" s="593">
        <v>15553</v>
      </c>
      <c r="W49" s="593">
        <v>7175</v>
      </c>
      <c r="X49" s="593">
        <v>1703</v>
      </c>
      <c r="Y49" s="593">
        <v>0</v>
      </c>
      <c r="Z49" s="593">
        <v>0</v>
      </c>
      <c r="AA49" s="593">
        <v>0</v>
      </c>
      <c r="AB49" s="593">
        <v>11596</v>
      </c>
      <c r="AC49" s="593">
        <v>0</v>
      </c>
      <c r="AD49" s="593">
        <v>22767</v>
      </c>
      <c r="AE49" s="598">
        <f t="shared" si="2"/>
        <v>132062</v>
      </c>
    </row>
    <row r="50" spans="2:31" x14ac:dyDescent="0.15">
      <c r="B50" s="582" t="s">
        <v>40</v>
      </c>
      <c r="C50" s="597">
        <v>214.8</v>
      </c>
      <c r="D50" s="593">
        <v>218.4</v>
      </c>
      <c r="E50" s="593">
        <v>338.1</v>
      </c>
      <c r="F50" s="593">
        <v>32.1</v>
      </c>
      <c r="G50" s="593">
        <v>302.89999999999998</v>
      </c>
      <c r="H50" s="593">
        <v>61.8</v>
      </c>
      <c r="I50" s="593">
        <v>104.3</v>
      </c>
      <c r="J50" s="593">
        <v>10.1</v>
      </c>
      <c r="K50" s="593">
        <v>25.3</v>
      </c>
      <c r="L50" s="593">
        <v>395.9</v>
      </c>
      <c r="M50" s="593">
        <v>1259.2</v>
      </c>
      <c r="N50" s="593">
        <v>0</v>
      </c>
      <c r="O50" s="593">
        <v>59.4</v>
      </c>
      <c r="P50" s="593">
        <v>51.5</v>
      </c>
      <c r="Q50" s="593">
        <v>609.20000000000005</v>
      </c>
      <c r="R50" s="593">
        <v>14.6</v>
      </c>
      <c r="S50" s="593">
        <v>6.8</v>
      </c>
      <c r="T50" s="593">
        <v>96</v>
      </c>
      <c r="U50" s="593">
        <v>30.2</v>
      </c>
      <c r="V50" s="593">
        <v>391.3</v>
      </c>
      <c r="W50" s="593">
        <v>69.099999999999994</v>
      </c>
      <c r="X50" s="593">
        <v>23.9</v>
      </c>
      <c r="Y50" s="593">
        <v>119.6</v>
      </c>
      <c r="Z50" s="593">
        <v>23.2</v>
      </c>
      <c r="AA50" s="593">
        <v>21.4</v>
      </c>
      <c r="AB50" s="593">
        <v>210.5</v>
      </c>
      <c r="AC50" s="593">
        <v>71.900000000000006</v>
      </c>
      <c r="AD50" s="593">
        <v>1902.4</v>
      </c>
      <c r="AE50" s="598">
        <f t="shared" si="2"/>
        <v>6663.9</v>
      </c>
    </row>
    <row r="51" spans="2:31" x14ac:dyDescent="0.15">
      <c r="B51" s="582" t="s">
        <v>41</v>
      </c>
      <c r="C51" s="597">
        <v>1095.7</v>
      </c>
      <c r="D51" s="593">
        <v>320.60000000000002</v>
      </c>
      <c r="E51" s="593">
        <v>124.7</v>
      </c>
      <c r="F51" s="593">
        <v>185.7</v>
      </c>
      <c r="G51" s="593">
        <v>126.4</v>
      </c>
      <c r="H51" s="593">
        <v>427.3</v>
      </c>
      <c r="I51" s="593">
        <v>128.80000000000001</v>
      </c>
      <c r="J51" s="593">
        <v>5.2</v>
      </c>
      <c r="K51" s="593">
        <v>29.2</v>
      </c>
      <c r="L51" s="593">
        <v>557.4</v>
      </c>
      <c r="M51" s="593">
        <v>3087.2</v>
      </c>
      <c r="N51" s="593">
        <v>69.7</v>
      </c>
      <c r="O51" s="593">
        <v>0</v>
      </c>
      <c r="P51" s="593">
        <v>306.89999999999998</v>
      </c>
      <c r="Q51" s="593">
        <v>414.1</v>
      </c>
      <c r="R51" s="593">
        <v>10.199999999999999</v>
      </c>
      <c r="S51" s="593">
        <v>24.4</v>
      </c>
      <c r="T51" s="593">
        <v>143.9</v>
      </c>
      <c r="U51" s="593">
        <v>25.4</v>
      </c>
      <c r="V51" s="593">
        <v>578.5</v>
      </c>
      <c r="W51" s="593">
        <v>315.7</v>
      </c>
      <c r="X51" s="593">
        <v>46.7</v>
      </c>
      <c r="Y51" s="593">
        <v>454.1</v>
      </c>
      <c r="Z51" s="593">
        <v>505.4</v>
      </c>
      <c r="AA51" s="593">
        <v>100.5</v>
      </c>
      <c r="AB51" s="593">
        <v>198.9</v>
      </c>
      <c r="AC51" s="593">
        <v>164.2</v>
      </c>
      <c r="AD51" s="593">
        <v>1413.7</v>
      </c>
      <c r="AE51" s="598">
        <f t="shared" si="2"/>
        <v>10860.5</v>
      </c>
    </row>
    <row r="52" spans="2:31" x14ac:dyDescent="0.15">
      <c r="B52" s="582" t="s">
        <v>43</v>
      </c>
      <c r="C52" s="597">
        <v>227</v>
      </c>
      <c r="D52" s="593">
        <v>1829</v>
      </c>
      <c r="E52" s="593">
        <v>27</v>
      </c>
      <c r="F52" s="593">
        <v>57</v>
      </c>
      <c r="G52" s="593">
        <v>31</v>
      </c>
      <c r="H52" s="593">
        <v>193</v>
      </c>
      <c r="I52" s="593">
        <v>477</v>
      </c>
      <c r="J52" s="593">
        <v>10</v>
      </c>
      <c r="K52" s="593">
        <v>386</v>
      </c>
      <c r="L52" s="593">
        <v>2648</v>
      </c>
      <c r="M52" s="593">
        <v>3055</v>
      </c>
      <c r="N52" s="593">
        <v>162</v>
      </c>
      <c r="O52" s="593">
        <v>72</v>
      </c>
      <c r="P52" s="593">
        <v>0</v>
      </c>
      <c r="Q52" s="593">
        <v>3182</v>
      </c>
      <c r="R52" s="593">
        <v>10</v>
      </c>
      <c r="S52" s="593">
        <v>18</v>
      </c>
      <c r="T52" s="593">
        <v>6310</v>
      </c>
      <c r="U52" s="593">
        <v>299</v>
      </c>
      <c r="V52" s="593">
        <v>19393</v>
      </c>
      <c r="W52" s="593">
        <v>483</v>
      </c>
      <c r="X52" s="593">
        <v>395</v>
      </c>
      <c r="Y52" s="593">
        <v>66</v>
      </c>
      <c r="Z52" s="593">
        <v>26</v>
      </c>
      <c r="AA52" s="593">
        <v>23</v>
      </c>
      <c r="AB52" s="593">
        <v>1823</v>
      </c>
      <c r="AC52" s="593">
        <v>399</v>
      </c>
      <c r="AD52" s="593">
        <v>12054</v>
      </c>
      <c r="AE52" s="598">
        <f t="shared" si="2"/>
        <v>53655</v>
      </c>
    </row>
    <row r="53" spans="2:31" x14ac:dyDescent="0.15">
      <c r="B53" s="582" t="s">
        <v>45</v>
      </c>
      <c r="C53" s="597">
        <v>2369.5</v>
      </c>
      <c r="D53" s="593">
        <v>1943.6</v>
      </c>
      <c r="E53" s="593">
        <v>377.2</v>
      </c>
      <c r="F53" s="593">
        <v>414.1</v>
      </c>
      <c r="G53" s="593">
        <v>132.1</v>
      </c>
      <c r="H53" s="593">
        <v>618.6</v>
      </c>
      <c r="I53" s="593">
        <v>471.4</v>
      </c>
      <c r="J53" s="593">
        <v>41.9</v>
      </c>
      <c r="K53" s="593">
        <v>358.9</v>
      </c>
      <c r="L53" s="593">
        <v>8354.1</v>
      </c>
      <c r="M53" s="593">
        <v>8339.2999999999993</v>
      </c>
      <c r="N53" s="593">
        <v>1771.9</v>
      </c>
      <c r="O53" s="593">
        <v>759.7</v>
      </c>
      <c r="P53" s="593">
        <v>5300.9</v>
      </c>
      <c r="Q53" s="593">
        <v>0</v>
      </c>
      <c r="R53" s="593">
        <v>85</v>
      </c>
      <c r="S53" s="593">
        <v>256.10000000000002</v>
      </c>
      <c r="T53" s="593">
        <v>4357.6000000000004</v>
      </c>
      <c r="U53" s="593">
        <v>234.7</v>
      </c>
      <c r="V53" s="593">
        <v>3689.9</v>
      </c>
      <c r="W53" s="593">
        <v>1163.5999999999999</v>
      </c>
      <c r="X53" s="593">
        <v>561</v>
      </c>
      <c r="Y53" s="593">
        <v>1322.2</v>
      </c>
      <c r="Z53" s="593">
        <v>443.3</v>
      </c>
      <c r="AA53" s="593">
        <v>911.4</v>
      </c>
      <c r="AB53" s="593">
        <v>3773.1</v>
      </c>
      <c r="AC53" s="593">
        <v>934</v>
      </c>
      <c r="AD53" s="593">
        <v>7570.7</v>
      </c>
      <c r="AE53" s="598">
        <f t="shared" si="2"/>
        <v>56555.799999999996</v>
      </c>
    </row>
    <row r="54" spans="2:31" x14ac:dyDescent="0.15">
      <c r="B54" s="582" t="s">
        <v>48</v>
      </c>
      <c r="C54" s="597">
        <v>34</v>
      </c>
      <c r="D54" s="593">
        <v>38</v>
      </c>
      <c r="E54" s="593">
        <v>5</v>
      </c>
      <c r="F54" s="593">
        <v>3</v>
      </c>
      <c r="G54" s="593">
        <v>32</v>
      </c>
      <c r="H54" s="593">
        <v>25</v>
      </c>
      <c r="I54" s="593">
        <v>36</v>
      </c>
      <c r="J54" s="593">
        <v>169</v>
      </c>
      <c r="K54" s="593">
        <v>82</v>
      </c>
      <c r="L54" s="593">
        <v>42</v>
      </c>
      <c r="M54" s="593">
        <v>158</v>
      </c>
      <c r="N54" s="593">
        <v>12</v>
      </c>
      <c r="O54" s="593">
        <v>25</v>
      </c>
      <c r="P54" s="593">
        <v>98</v>
      </c>
      <c r="Q54" s="593">
        <v>38</v>
      </c>
      <c r="R54" s="593">
        <v>0</v>
      </c>
      <c r="S54" s="593">
        <v>281</v>
      </c>
      <c r="T54" s="593">
        <v>3</v>
      </c>
      <c r="U54" s="593">
        <v>9</v>
      </c>
      <c r="V54" s="593">
        <v>55</v>
      </c>
      <c r="W54" s="593">
        <v>75</v>
      </c>
      <c r="X54" s="593">
        <v>6</v>
      </c>
      <c r="Y54" s="593">
        <v>4</v>
      </c>
      <c r="Z54" s="593">
        <v>10</v>
      </c>
      <c r="AA54" s="593">
        <v>2</v>
      </c>
      <c r="AB54" s="593">
        <v>28</v>
      </c>
      <c r="AC54" s="593">
        <v>76</v>
      </c>
      <c r="AD54" s="593">
        <v>165</v>
      </c>
      <c r="AE54" s="598">
        <f t="shared" si="2"/>
        <v>1511</v>
      </c>
    </row>
    <row r="55" spans="2:31" x14ac:dyDescent="0.15">
      <c r="B55" s="582" t="s">
        <v>514</v>
      </c>
      <c r="C55" s="597">
        <v>30.8</v>
      </c>
      <c r="D55" s="593">
        <v>49.9</v>
      </c>
      <c r="E55" s="593">
        <v>30.7</v>
      </c>
      <c r="F55" s="593">
        <v>17.7</v>
      </c>
      <c r="G55" s="593">
        <v>62.2</v>
      </c>
      <c r="H55" s="593">
        <v>29.4</v>
      </c>
      <c r="I55" s="593">
        <v>158.4</v>
      </c>
      <c r="J55" s="593">
        <v>139.1</v>
      </c>
      <c r="K55" s="593">
        <v>59.4</v>
      </c>
      <c r="L55" s="593">
        <v>80.7</v>
      </c>
      <c r="M55" s="593">
        <v>290.5</v>
      </c>
      <c r="N55" s="593">
        <v>93.5</v>
      </c>
      <c r="O55" s="593">
        <v>34</v>
      </c>
      <c r="P55" s="593">
        <v>135.80000000000001</v>
      </c>
      <c r="Q55" s="593">
        <v>49.9</v>
      </c>
      <c r="R55" s="593">
        <v>312.2</v>
      </c>
      <c r="S55" s="593">
        <v>0</v>
      </c>
      <c r="T55" s="593">
        <v>10.8</v>
      </c>
      <c r="U55" s="593">
        <v>59.4</v>
      </c>
      <c r="V55" s="593">
        <v>84.3</v>
      </c>
      <c r="W55" s="593">
        <v>313.39999999999998</v>
      </c>
      <c r="X55" s="593">
        <v>5.5</v>
      </c>
      <c r="Y55" s="593">
        <v>33.5</v>
      </c>
      <c r="Z55" s="593">
        <v>8.9</v>
      </c>
      <c r="AA55" s="593">
        <v>7.6</v>
      </c>
      <c r="AB55" s="593">
        <v>39.6</v>
      </c>
      <c r="AC55" s="593">
        <v>160.80000000000001</v>
      </c>
      <c r="AD55" s="593">
        <v>263.2</v>
      </c>
      <c r="AE55" s="598">
        <f t="shared" si="2"/>
        <v>2561.2000000000003</v>
      </c>
    </row>
    <row r="56" spans="2:31" x14ac:dyDescent="0.15">
      <c r="B56" s="582" t="s">
        <v>49</v>
      </c>
      <c r="C56" s="597">
        <v>470</v>
      </c>
      <c r="D56" s="593">
        <v>2493</v>
      </c>
      <c r="E56" s="593">
        <v>25</v>
      </c>
      <c r="F56" s="593">
        <v>13</v>
      </c>
      <c r="G56" s="593">
        <v>42</v>
      </c>
      <c r="H56" s="593">
        <v>172</v>
      </c>
      <c r="I56" s="593">
        <v>461</v>
      </c>
      <c r="J56" s="593">
        <v>30</v>
      </c>
      <c r="K56" s="593">
        <v>171</v>
      </c>
      <c r="L56" s="593">
        <v>4962</v>
      </c>
      <c r="M56" s="593">
        <v>8882</v>
      </c>
      <c r="N56" s="593">
        <v>152</v>
      </c>
      <c r="O56" s="593">
        <v>244</v>
      </c>
      <c r="P56" s="593">
        <v>3271</v>
      </c>
      <c r="Q56" s="593">
        <v>2573</v>
      </c>
      <c r="R56" s="593">
        <v>19</v>
      </c>
      <c r="S56" s="593">
        <v>31</v>
      </c>
      <c r="T56" s="593">
        <v>0</v>
      </c>
      <c r="U56" s="593">
        <v>64</v>
      </c>
      <c r="V56" s="593">
        <v>2254</v>
      </c>
      <c r="W56" s="593">
        <v>239</v>
      </c>
      <c r="X56" s="593">
        <v>356</v>
      </c>
      <c r="Y56" s="593">
        <v>127</v>
      </c>
      <c r="Z56" s="593">
        <v>82</v>
      </c>
      <c r="AA56" s="593">
        <v>19</v>
      </c>
      <c r="AB56" s="593">
        <v>1237</v>
      </c>
      <c r="AC56" s="593">
        <v>1242</v>
      </c>
      <c r="AD56" s="593">
        <v>11766</v>
      </c>
      <c r="AE56" s="598">
        <f t="shared" si="2"/>
        <v>41397</v>
      </c>
    </row>
    <row r="57" spans="2:31" x14ac:dyDescent="0.15">
      <c r="B57" s="582" t="s">
        <v>96</v>
      </c>
      <c r="C57" s="597">
        <v>59</v>
      </c>
      <c r="D57" s="593">
        <v>16</v>
      </c>
      <c r="E57" s="593">
        <v>7</v>
      </c>
      <c r="F57" s="593">
        <v>9</v>
      </c>
      <c r="G57" s="593">
        <v>278</v>
      </c>
      <c r="H57" s="593">
        <v>5</v>
      </c>
      <c r="I57" s="593">
        <v>17</v>
      </c>
      <c r="J57" s="593">
        <v>1</v>
      </c>
      <c r="K57" s="593">
        <v>7</v>
      </c>
      <c r="L57" s="593">
        <v>75</v>
      </c>
      <c r="M57" s="593">
        <v>186</v>
      </c>
      <c r="N57" s="593">
        <v>14</v>
      </c>
      <c r="O57" s="593">
        <v>8</v>
      </c>
      <c r="P57" s="593">
        <v>18</v>
      </c>
      <c r="Q57" s="593">
        <v>237</v>
      </c>
      <c r="R57" s="593">
        <v>1</v>
      </c>
      <c r="S57" s="593">
        <v>1</v>
      </c>
      <c r="T57" s="593">
        <v>14</v>
      </c>
      <c r="U57" s="593">
        <v>0</v>
      </c>
      <c r="V57" s="593">
        <v>31</v>
      </c>
      <c r="W57" s="593">
        <v>7</v>
      </c>
      <c r="X57" s="593">
        <v>5</v>
      </c>
      <c r="Y57" s="593">
        <v>4</v>
      </c>
      <c r="Z57" s="593">
        <v>0</v>
      </c>
      <c r="AA57" s="593">
        <v>2</v>
      </c>
      <c r="AB57" s="593">
        <v>33</v>
      </c>
      <c r="AC57" s="593">
        <v>92</v>
      </c>
      <c r="AD57" s="593">
        <v>650</v>
      </c>
      <c r="AE57" s="598">
        <f t="shared" si="2"/>
        <v>1777</v>
      </c>
    </row>
    <row r="58" spans="2:31" x14ac:dyDescent="0.15">
      <c r="B58" s="582" t="s">
        <v>51</v>
      </c>
      <c r="C58" s="597">
        <v>1202.4000000000001</v>
      </c>
      <c r="D58" s="593">
        <v>6163.2</v>
      </c>
      <c r="E58" s="593">
        <v>191.9</v>
      </c>
      <c r="F58" s="593">
        <v>193.3</v>
      </c>
      <c r="G58" s="593">
        <v>124.4</v>
      </c>
      <c r="H58" s="593">
        <v>411.4</v>
      </c>
      <c r="I58" s="593">
        <v>1037.7</v>
      </c>
      <c r="J58" s="593">
        <v>28.3</v>
      </c>
      <c r="K58" s="593">
        <v>961.8</v>
      </c>
      <c r="L58" s="593">
        <v>5447.4</v>
      </c>
      <c r="M58" s="593">
        <v>13299</v>
      </c>
      <c r="N58" s="593">
        <v>567.79999999999995</v>
      </c>
      <c r="O58" s="593">
        <v>361.8</v>
      </c>
      <c r="P58" s="593">
        <v>6055.7</v>
      </c>
      <c r="Q58" s="593">
        <v>2406.9</v>
      </c>
      <c r="R58" s="593">
        <v>62.8</v>
      </c>
      <c r="S58" s="593">
        <v>114</v>
      </c>
      <c r="T58" s="593">
        <v>1296.5999999999999</v>
      </c>
      <c r="U58" s="593">
        <v>83.7</v>
      </c>
      <c r="V58" s="593">
        <v>0</v>
      </c>
      <c r="W58" s="593">
        <v>1207.2</v>
      </c>
      <c r="X58" s="593">
        <v>459.5</v>
      </c>
      <c r="Y58" s="593">
        <v>395.7</v>
      </c>
      <c r="Z58" s="593">
        <v>233.3</v>
      </c>
      <c r="AA58" s="593">
        <v>80.7</v>
      </c>
      <c r="AB58" s="593">
        <v>2890.6</v>
      </c>
      <c r="AC58" s="593">
        <v>1099.5</v>
      </c>
      <c r="AD58" s="593">
        <v>16283.4</v>
      </c>
      <c r="AE58" s="598">
        <f t="shared" si="2"/>
        <v>62659.999999999993</v>
      </c>
    </row>
    <row r="59" spans="2:31" x14ac:dyDescent="0.15">
      <c r="B59" s="582" t="s">
        <v>54</v>
      </c>
      <c r="C59" s="597">
        <v>850.4</v>
      </c>
      <c r="D59" s="593">
        <v>700.7</v>
      </c>
      <c r="E59" s="593">
        <v>162.5</v>
      </c>
      <c r="F59" s="593">
        <v>320.7</v>
      </c>
      <c r="G59" s="593">
        <v>356.1</v>
      </c>
      <c r="H59" s="593">
        <v>1569.5</v>
      </c>
      <c r="I59" s="593">
        <v>687.8</v>
      </c>
      <c r="J59" s="593">
        <v>72.400000000000006</v>
      </c>
      <c r="K59" s="593">
        <v>243.5</v>
      </c>
      <c r="L59" s="593">
        <v>1743</v>
      </c>
      <c r="M59" s="593">
        <v>6407.8</v>
      </c>
      <c r="N59" s="593">
        <v>319.5</v>
      </c>
      <c r="O59" s="593">
        <v>287</v>
      </c>
      <c r="P59" s="593">
        <v>864.5</v>
      </c>
      <c r="Q59" s="593">
        <v>1328.6</v>
      </c>
      <c r="R59" s="593">
        <v>82.7</v>
      </c>
      <c r="S59" s="593">
        <v>293.5</v>
      </c>
      <c r="T59" s="593">
        <v>366.1</v>
      </c>
      <c r="U59" s="593">
        <v>78.400000000000006</v>
      </c>
      <c r="V59" s="593">
        <v>1519.6</v>
      </c>
      <c r="W59" s="593">
        <v>0</v>
      </c>
      <c r="X59" s="593">
        <v>126.2</v>
      </c>
      <c r="Y59" s="593">
        <v>158.19999999999999</v>
      </c>
      <c r="Z59" s="593">
        <v>713.2</v>
      </c>
      <c r="AA59" s="593">
        <v>50.2</v>
      </c>
      <c r="AB59" s="593">
        <v>642.9</v>
      </c>
      <c r="AC59" s="593">
        <v>705.1</v>
      </c>
      <c r="AD59" s="593">
        <v>2599.6</v>
      </c>
      <c r="AE59" s="598">
        <f t="shared" si="2"/>
        <v>23249.7</v>
      </c>
    </row>
    <row r="60" spans="2:31" x14ac:dyDescent="0.15">
      <c r="B60" s="582" t="s">
        <v>55</v>
      </c>
      <c r="C60" s="597">
        <v>55</v>
      </c>
      <c r="D60" s="593">
        <v>396</v>
      </c>
      <c r="E60" s="593">
        <v>4</v>
      </c>
      <c r="F60" s="593">
        <v>10</v>
      </c>
      <c r="G60" s="593">
        <v>23</v>
      </c>
      <c r="H60" s="593">
        <v>19</v>
      </c>
      <c r="I60" s="593">
        <v>49</v>
      </c>
      <c r="J60" s="593">
        <v>2</v>
      </c>
      <c r="K60" s="593">
        <v>27</v>
      </c>
      <c r="L60" s="593">
        <v>1177</v>
      </c>
      <c r="M60" s="593">
        <v>940</v>
      </c>
      <c r="N60" s="593">
        <v>28</v>
      </c>
      <c r="O60" s="593">
        <v>123</v>
      </c>
      <c r="P60" s="593">
        <v>329</v>
      </c>
      <c r="Q60" s="593">
        <v>271</v>
      </c>
      <c r="R60" s="593">
        <v>3</v>
      </c>
      <c r="S60" s="593">
        <v>4</v>
      </c>
      <c r="T60" s="593">
        <v>294</v>
      </c>
      <c r="U60" s="593">
        <v>40</v>
      </c>
      <c r="V60" s="593">
        <v>558</v>
      </c>
      <c r="W60" s="593">
        <v>46</v>
      </c>
      <c r="X60" s="593">
        <v>0</v>
      </c>
      <c r="Y60" s="593">
        <v>18</v>
      </c>
      <c r="Z60" s="593">
        <v>6</v>
      </c>
      <c r="AA60" s="593">
        <v>6</v>
      </c>
      <c r="AB60" s="593">
        <v>2381</v>
      </c>
      <c r="AC60" s="593">
        <v>126</v>
      </c>
      <c r="AD60" s="593">
        <v>1514</v>
      </c>
      <c r="AE60" s="598">
        <f t="shared" si="2"/>
        <v>8449</v>
      </c>
    </row>
    <row r="61" spans="2:31" x14ac:dyDescent="0.15">
      <c r="B61" s="582" t="s">
        <v>543</v>
      </c>
      <c r="C61" s="597">
        <v>641.1</v>
      </c>
      <c r="D61" s="593">
        <v>276.5</v>
      </c>
      <c r="E61" s="593">
        <v>201.1</v>
      </c>
      <c r="F61" s="593">
        <v>34.9</v>
      </c>
      <c r="G61" s="593">
        <v>130.9</v>
      </c>
      <c r="H61" s="593">
        <v>117.9</v>
      </c>
      <c r="I61" s="593">
        <v>58.7</v>
      </c>
      <c r="J61" s="593">
        <v>3.4</v>
      </c>
      <c r="K61" s="593">
        <v>13</v>
      </c>
      <c r="L61" s="593">
        <v>622.20000000000005</v>
      </c>
      <c r="M61" s="593">
        <v>1487.4</v>
      </c>
      <c r="N61" s="593">
        <v>189.9</v>
      </c>
      <c r="O61" s="593">
        <v>313.39999999999998</v>
      </c>
      <c r="P61" s="593">
        <v>253.5</v>
      </c>
      <c r="Q61" s="593">
        <v>752.7</v>
      </c>
      <c r="R61" s="593">
        <v>2.9</v>
      </c>
      <c r="S61" s="593">
        <v>13.5</v>
      </c>
      <c r="T61" s="593">
        <v>136.1</v>
      </c>
      <c r="U61" s="593">
        <v>96.1</v>
      </c>
      <c r="V61" s="593">
        <v>516.5</v>
      </c>
      <c r="W61" s="593">
        <v>170.5</v>
      </c>
      <c r="X61" s="593">
        <v>39.4</v>
      </c>
      <c r="Y61" s="593">
        <v>0</v>
      </c>
      <c r="Z61" s="593">
        <v>147.1</v>
      </c>
      <c r="AA61" s="593">
        <v>28.3</v>
      </c>
      <c r="AB61" s="593">
        <v>290</v>
      </c>
      <c r="AC61" s="593">
        <v>92.9</v>
      </c>
      <c r="AD61" s="593">
        <v>1041.5</v>
      </c>
      <c r="AE61" s="598">
        <f t="shared" si="2"/>
        <v>7671.4000000000015</v>
      </c>
    </row>
    <row r="62" spans="2:31" x14ac:dyDescent="0.15">
      <c r="B62" s="582" t="s">
        <v>56</v>
      </c>
      <c r="C62" s="597">
        <v>653.5</v>
      </c>
      <c r="D62" s="593">
        <v>123.6</v>
      </c>
      <c r="E62" s="593">
        <v>72.8</v>
      </c>
      <c r="F62" s="593">
        <v>197.7</v>
      </c>
      <c r="G62" s="593">
        <v>64.5</v>
      </c>
      <c r="H62" s="593">
        <v>1429.4</v>
      </c>
      <c r="I62" s="593">
        <v>40</v>
      </c>
      <c r="J62" s="593">
        <v>3</v>
      </c>
      <c r="K62" s="593">
        <v>14.2</v>
      </c>
      <c r="L62" s="593">
        <v>196.6</v>
      </c>
      <c r="M62" s="593">
        <v>1014.9</v>
      </c>
      <c r="N62" s="593">
        <v>45.3</v>
      </c>
      <c r="O62" s="593">
        <v>299.2</v>
      </c>
      <c r="P62" s="593">
        <v>56.9</v>
      </c>
      <c r="Q62" s="593">
        <v>453.1</v>
      </c>
      <c r="R62" s="593">
        <v>5.4</v>
      </c>
      <c r="S62" s="593">
        <v>9.3000000000000007</v>
      </c>
      <c r="T62" s="593">
        <v>52.9</v>
      </c>
      <c r="U62" s="593">
        <v>11.4</v>
      </c>
      <c r="V62" s="593">
        <v>155.30000000000001</v>
      </c>
      <c r="W62" s="593">
        <v>586.6</v>
      </c>
      <c r="X62" s="593">
        <v>59.1</v>
      </c>
      <c r="Y62" s="593">
        <v>73.7</v>
      </c>
      <c r="Z62" s="593">
        <v>0</v>
      </c>
      <c r="AA62" s="593">
        <v>37.4</v>
      </c>
      <c r="AB62" s="593">
        <v>73</v>
      </c>
      <c r="AC62" s="593">
        <v>75.400000000000006</v>
      </c>
      <c r="AD62" s="593">
        <v>203.2</v>
      </c>
      <c r="AE62" s="598">
        <f t="shared" si="2"/>
        <v>6007.3999999999987</v>
      </c>
    </row>
    <row r="63" spans="2:31" x14ac:dyDescent="0.15">
      <c r="B63" s="582" t="s">
        <v>57</v>
      </c>
      <c r="C63" s="597">
        <v>522.4</v>
      </c>
      <c r="D63" s="593">
        <v>82.1</v>
      </c>
      <c r="E63" s="593">
        <v>53.7</v>
      </c>
      <c r="F63" s="593">
        <v>547.5</v>
      </c>
      <c r="G63" s="593">
        <v>10.7</v>
      </c>
      <c r="H63" s="593">
        <v>65.2</v>
      </c>
      <c r="I63" s="593">
        <v>50.2</v>
      </c>
      <c r="J63" s="593">
        <v>3</v>
      </c>
      <c r="K63" s="593">
        <v>14.4</v>
      </c>
      <c r="L63" s="593">
        <v>144.4</v>
      </c>
      <c r="M63" s="593">
        <v>511.9</v>
      </c>
      <c r="N63" s="593">
        <v>19.600000000000001</v>
      </c>
      <c r="O63" s="593">
        <v>88.6</v>
      </c>
      <c r="P63" s="593">
        <v>58.8</v>
      </c>
      <c r="Q63" s="593">
        <v>273.39999999999998</v>
      </c>
      <c r="R63" s="593">
        <v>10.7</v>
      </c>
      <c r="S63" s="593">
        <v>20.6</v>
      </c>
      <c r="T63" s="593">
        <v>86.3</v>
      </c>
      <c r="U63" s="593">
        <v>3.8</v>
      </c>
      <c r="V63" s="593">
        <v>60.5</v>
      </c>
      <c r="W63" s="593">
        <v>59.3</v>
      </c>
      <c r="X63" s="593">
        <v>5.8</v>
      </c>
      <c r="Y63" s="593">
        <v>51.1</v>
      </c>
      <c r="Z63" s="593">
        <v>63.3</v>
      </c>
      <c r="AA63" s="593">
        <v>0</v>
      </c>
      <c r="AB63" s="593">
        <v>44.1</v>
      </c>
      <c r="AC63" s="593">
        <v>23.4</v>
      </c>
      <c r="AD63" s="593">
        <v>162</v>
      </c>
      <c r="AE63" s="598">
        <f t="shared" si="2"/>
        <v>3036.8000000000011</v>
      </c>
    </row>
    <row r="64" spans="2:31" x14ac:dyDescent="0.15">
      <c r="B64" s="582" t="s">
        <v>58</v>
      </c>
      <c r="C64" s="597">
        <v>481.2</v>
      </c>
      <c r="D64" s="593">
        <v>1850</v>
      </c>
      <c r="E64" s="593">
        <v>0</v>
      </c>
      <c r="F64" s="593">
        <v>0</v>
      </c>
      <c r="G64" s="593">
        <v>0</v>
      </c>
      <c r="H64" s="593">
        <v>0</v>
      </c>
      <c r="I64" s="593">
        <v>568.9</v>
      </c>
      <c r="J64" s="593">
        <v>0</v>
      </c>
      <c r="K64" s="593">
        <v>0</v>
      </c>
      <c r="L64" s="593">
        <v>8106</v>
      </c>
      <c r="M64" s="593">
        <v>6628</v>
      </c>
      <c r="N64" s="593">
        <v>322.8</v>
      </c>
      <c r="O64" s="593">
        <v>0</v>
      </c>
      <c r="P64" s="593">
        <v>0</v>
      </c>
      <c r="Q64" s="593">
        <v>2836</v>
      </c>
      <c r="R64" s="593">
        <v>0</v>
      </c>
      <c r="S64" s="593">
        <v>0</v>
      </c>
      <c r="T64" s="593">
        <v>0</v>
      </c>
      <c r="U64" s="593">
        <v>0</v>
      </c>
      <c r="V64" s="593">
        <v>2465</v>
      </c>
      <c r="W64" s="593">
        <v>712.8</v>
      </c>
      <c r="X64" s="593">
        <v>1725</v>
      </c>
      <c r="Y64" s="593">
        <v>0</v>
      </c>
      <c r="Z64" s="593">
        <v>0</v>
      </c>
      <c r="AA64" s="593">
        <v>0</v>
      </c>
      <c r="AB64" s="593">
        <v>0</v>
      </c>
      <c r="AC64" s="593">
        <v>0</v>
      </c>
      <c r="AD64" s="593">
        <v>9026</v>
      </c>
      <c r="AE64" s="598">
        <f t="shared" si="2"/>
        <v>34721.699999999997</v>
      </c>
    </row>
    <row r="65" spans="2:34" x14ac:dyDescent="0.15">
      <c r="B65" s="582" t="s">
        <v>59</v>
      </c>
      <c r="C65" s="597">
        <v>533.20000000000005</v>
      </c>
      <c r="D65" s="593">
        <v>1073.8</v>
      </c>
      <c r="E65" s="593">
        <v>97.7</v>
      </c>
      <c r="F65" s="593">
        <v>171.2</v>
      </c>
      <c r="G65" s="593">
        <v>167.9</v>
      </c>
      <c r="H65" s="593">
        <v>266.39999999999998</v>
      </c>
      <c r="I65" s="593">
        <v>4386.8</v>
      </c>
      <c r="J65" s="593">
        <v>355.1</v>
      </c>
      <c r="K65" s="593">
        <v>3045.7</v>
      </c>
      <c r="L65" s="593">
        <v>2169.6</v>
      </c>
      <c r="M65" s="593">
        <v>5155.3999999999996</v>
      </c>
      <c r="N65" s="593">
        <v>307.60000000000002</v>
      </c>
      <c r="O65" s="593">
        <v>323.5</v>
      </c>
      <c r="P65" s="593">
        <v>2145.3000000000002</v>
      </c>
      <c r="Q65" s="593">
        <v>1144.7</v>
      </c>
      <c r="R65" s="593">
        <v>213.1</v>
      </c>
      <c r="S65" s="593">
        <v>340.5</v>
      </c>
      <c r="T65" s="593">
        <v>954.6</v>
      </c>
      <c r="U65" s="593">
        <v>60</v>
      </c>
      <c r="V65" s="593">
        <v>1903.7</v>
      </c>
      <c r="W65" s="593">
        <v>1312.6</v>
      </c>
      <c r="X65" s="593">
        <v>147.4</v>
      </c>
      <c r="Y65" s="593">
        <v>190.7</v>
      </c>
      <c r="Z65" s="593">
        <v>108.5</v>
      </c>
      <c r="AA65" s="593">
        <v>36.1</v>
      </c>
      <c r="AB65" s="593">
        <v>1558.3</v>
      </c>
      <c r="AC65" s="593">
        <v>0</v>
      </c>
      <c r="AD65" s="593">
        <v>6421.6</v>
      </c>
      <c r="AE65" s="598">
        <f t="shared" si="2"/>
        <v>34590.999999999993</v>
      </c>
    </row>
    <row r="66" spans="2:34" x14ac:dyDescent="0.15">
      <c r="B66" s="582" t="s">
        <v>62</v>
      </c>
      <c r="C66" s="597">
        <v>1299.2</v>
      </c>
      <c r="D66" s="593">
        <v>3190.8</v>
      </c>
      <c r="E66" s="593">
        <v>453.3</v>
      </c>
      <c r="F66" s="593">
        <v>556.6</v>
      </c>
      <c r="G66" s="593">
        <v>1315.7</v>
      </c>
      <c r="H66" s="593">
        <v>768.8</v>
      </c>
      <c r="I66" s="593">
        <v>1534.8</v>
      </c>
      <c r="J66" s="593">
        <v>42.7</v>
      </c>
      <c r="K66" s="593">
        <v>739.8</v>
      </c>
      <c r="L66" s="593">
        <v>17779.400000000001</v>
      </c>
      <c r="M66" s="593">
        <v>11644.4</v>
      </c>
      <c r="N66" s="593">
        <v>3245.9</v>
      </c>
      <c r="O66" s="593">
        <v>781.2</v>
      </c>
      <c r="P66" s="593">
        <v>6698.4</v>
      </c>
      <c r="Q66" s="593">
        <v>6416</v>
      </c>
      <c r="R66" s="593">
        <v>168.1</v>
      </c>
      <c r="S66" s="593">
        <v>286.60000000000002</v>
      </c>
      <c r="T66" s="593">
        <v>2759.6</v>
      </c>
      <c r="U66" s="593">
        <v>534.6</v>
      </c>
      <c r="V66" s="593">
        <v>7220.6</v>
      </c>
      <c r="W66" s="593">
        <v>2459.1999999999998</v>
      </c>
      <c r="X66" s="593">
        <v>3485.6</v>
      </c>
      <c r="Y66" s="593">
        <v>646.1</v>
      </c>
      <c r="Z66" s="593">
        <v>300.3</v>
      </c>
      <c r="AA66" s="593">
        <v>103.3</v>
      </c>
      <c r="AB66" s="593">
        <v>14664.4</v>
      </c>
      <c r="AC66" s="593">
        <v>4546.5</v>
      </c>
      <c r="AD66" s="593">
        <v>0</v>
      </c>
      <c r="AE66" s="598">
        <f t="shared" si="2"/>
        <v>93641.900000000009</v>
      </c>
    </row>
    <row r="67" spans="2:34" x14ac:dyDescent="0.15">
      <c r="B67" s="587" t="s">
        <v>1728</v>
      </c>
      <c r="C67" s="608">
        <v>31628.799999999999</v>
      </c>
      <c r="D67" s="609">
        <v>43595.4</v>
      </c>
      <c r="E67" s="609">
        <v>5175.8</v>
      </c>
      <c r="F67" s="609">
        <v>6517.7</v>
      </c>
      <c r="G67" s="609">
        <v>5099.8999999999996</v>
      </c>
      <c r="H67" s="609">
        <v>14870</v>
      </c>
      <c r="I67" s="609">
        <v>17569.900000000001</v>
      </c>
      <c r="J67" s="609">
        <v>2715.5</v>
      </c>
      <c r="K67" s="609">
        <v>10027.5</v>
      </c>
      <c r="L67" s="609">
        <v>93338.1</v>
      </c>
      <c r="M67" s="609">
        <v>137888.4</v>
      </c>
      <c r="N67" s="609">
        <v>15300.1</v>
      </c>
      <c r="O67" s="609">
        <v>9837.5</v>
      </c>
      <c r="P67" s="609">
        <v>49764.800000000003</v>
      </c>
      <c r="Q67" s="609">
        <v>55243.199999999997</v>
      </c>
      <c r="R67" s="609">
        <v>2101.5</v>
      </c>
      <c r="S67" s="609">
        <v>3597.2</v>
      </c>
      <c r="T67" s="609">
        <v>37171.800000000003</v>
      </c>
      <c r="U67" s="609">
        <v>3681.3</v>
      </c>
      <c r="V67" s="609">
        <v>86276.4</v>
      </c>
      <c r="W67" s="609">
        <v>24195</v>
      </c>
      <c r="X67" s="609">
        <v>13822.5</v>
      </c>
      <c r="Y67" s="609">
        <v>9259.7999999999993</v>
      </c>
      <c r="Z67" s="609">
        <v>7628.7</v>
      </c>
      <c r="AA67" s="609">
        <v>3387.5</v>
      </c>
      <c r="AB67" s="609">
        <v>62446</v>
      </c>
      <c r="AC67" s="609">
        <v>26631.4</v>
      </c>
      <c r="AD67" s="609">
        <v>140928.6</v>
      </c>
      <c r="AE67" s="605">
        <v>923132</v>
      </c>
      <c r="AH67" s="574"/>
    </row>
    <row r="68" spans="2:34" x14ac:dyDescent="0.15">
      <c r="B68" s="591" t="s">
        <v>1730</v>
      </c>
      <c r="C68" s="608">
        <f t="shared" ref="C68:AE68" si="3">+C67-C58-C57-C56-C52-C43-C40</f>
        <v>28634.399999999998</v>
      </c>
      <c r="D68" s="609">
        <f t="shared" si="3"/>
        <v>33035.200000000004</v>
      </c>
      <c r="E68" s="609">
        <f t="shared" si="3"/>
        <v>4576.9000000000005</v>
      </c>
      <c r="F68" s="609">
        <f t="shared" si="3"/>
        <v>6115.4</v>
      </c>
      <c r="G68" s="609">
        <f t="shared" si="3"/>
        <v>4306.5</v>
      </c>
      <c r="H68" s="609">
        <f t="shared" si="3"/>
        <v>13230.6</v>
      </c>
      <c r="I68" s="609">
        <f t="shared" si="3"/>
        <v>14873.2</v>
      </c>
      <c r="J68" s="609">
        <f t="shared" si="3"/>
        <v>2594.1999999999998</v>
      </c>
      <c r="K68" s="609">
        <f t="shared" si="3"/>
        <v>8177.7000000000007</v>
      </c>
      <c r="L68" s="609">
        <f t="shared" si="3"/>
        <v>65167.700000000012</v>
      </c>
      <c r="M68" s="609">
        <f t="shared" si="3"/>
        <v>102998.39999999999</v>
      </c>
      <c r="N68" s="609">
        <f t="shared" si="3"/>
        <v>13105.300000000001</v>
      </c>
      <c r="O68" s="609">
        <f t="shared" si="3"/>
        <v>8745.7000000000007</v>
      </c>
      <c r="P68" s="609">
        <f t="shared" si="3"/>
        <v>37683.100000000006</v>
      </c>
      <c r="Q68" s="609">
        <f t="shared" si="3"/>
        <v>42910.299999999996</v>
      </c>
      <c r="R68" s="609">
        <f t="shared" si="3"/>
        <v>1938.7</v>
      </c>
      <c r="S68" s="609">
        <f t="shared" si="3"/>
        <v>3277.2</v>
      </c>
      <c r="T68" s="609">
        <f t="shared" si="3"/>
        <v>23951.200000000004</v>
      </c>
      <c r="U68" s="609">
        <f t="shared" si="3"/>
        <v>3130.6000000000004</v>
      </c>
      <c r="V68" s="609">
        <f t="shared" si="3"/>
        <v>51253.399999999994</v>
      </c>
      <c r="W68" s="609">
        <f t="shared" si="3"/>
        <v>20933.8</v>
      </c>
      <c r="X68" s="609">
        <f t="shared" si="3"/>
        <v>11669</v>
      </c>
      <c r="Y68" s="609">
        <f t="shared" si="3"/>
        <v>8024.0999999999985</v>
      </c>
      <c r="Z68" s="609">
        <f t="shared" si="3"/>
        <v>6854.4</v>
      </c>
      <c r="AA68" s="609">
        <f t="shared" si="3"/>
        <v>3152.8</v>
      </c>
      <c r="AB68" s="609">
        <f t="shared" si="3"/>
        <v>53496.4</v>
      </c>
      <c r="AC68" s="609">
        <f t="shared" si="3"/>
        <v>22843.9</v>
      </c>
      <c r="AD68" s="609">
        <f t="shared" si="3"/>
        <v>90390.200000000012</v>
      </c>
      <c r="AE68" s="605">
        <f t="shared" si="3"/>
        <v>690502</v>
      </c>
      <c r="AH68" s="578"/>
    </row>
    <row r="69" spans="2:34" x14ac:dyDescent="0.15">
      <c r="B69" s="591" t="s">
        <v>1731</v>
      </c>
      <c r="C69" s="608">
        <f t="shared" ref="C69:AE69" si="4">+C67-C68</f>
        <v>2994.4000000000015</v>
      </c>
      <c r="D69" s="609">
        <f t="shared" si="4"/>
        <v>10560.199999999997</v>
      </c>
      <c r="E69" s="609">
        <f t="shared" si="4"/>
        <v>598.89999999999964</v>
      </c>
      <c r="F69" s="609">
        <f t="shared" si="4"/>
        <v>402.30000000000018</v>
      </c>
      <c r="G69" s="609">
        <f t="shared" si="4"/>
        <v>793.39999999999964</v>
      </c>
      <c r="H69" s="609">
        <f t="shared" si="4"/>
        <v>1639.3999999999996</v>
      </c>
      <c r="I69" s="609">
        <f t="shared" si="4"/>
        <v>2696.7000000000007</v>
      </c>
      <c r="J69" s="609">
        <f t="shared" si="4"/>
        <v>121.30000000000018</v>
      </c>
      <c r="K69" s="609">
        <f t="shared" si="4"/>
        <v>1849.7999999999993</v>
      </c>
      <c r="L69" s="609">
        <f t="shared" si="4"/>
        <v>28170.399999999994</v>
      </c>
      <c r="M69" s="609">
        <f t="shared" si="4"/>
        <v>34890</v>
      </c>
      <c r="N69" s="609">
        <f t="shared" si="4"/>
        <v>2194.7999999999993</v>
      </c>
      <c r="O69" s="609">
        <f t="shared" si="4"/>
        <v>1091.7999999999993</v>
      </c>
      <c r="P69" s="609">
        <f t="shared" si="4"/>
        <v>12081.699999999997</v>
      </c>
      <c r="Q69" s="609">
        <f t="shared" si="4"/>
        <v>12332.900000000001</v>
      </c>
      <c r="R69" s="609">
        <f t="shared" si="4"/>
        <v>162.79999999999995</v>
      </c>
      <c r="S69" s="609">
        <f t="shared" si="4"/>
        <v>320</v>
      </c>
      <c r="T69" s="609">
        <f t="shared" si="4"/>
        <v>13220.599999999999</v>
      </c>
      <c r="U69" s="609">
        <f t="shared" si="4"/>
        <v>550.69999999999982</v>
      </c>
      <c r="V69" s="609">
        <f t="shared" si="4"/>
        <v>35023</v>
      </c>
      <c r="W69" s="609">
        <f t="shared" si="4"/>
        <v>3261.2000000000007</v>
      </c>
      <c r="X69" s="609">
        <f t="shared" si="4"/>
        <v>2153.5</v>
      </c>
      <c r="Y69" s="609">
        <f t="shared" si="4"/>
        <v>1235.7000000000007</v>
      </c>
      <c r="Z69" s="609">
        <f t="shared" si="4"/>
        <v>774.30000000000018</v>
      </c>
      <c r="AA69" s="609">
        <f t="shared" si="4"/>
        <v>234.69999999999982</v>
      </c>
      <c r="AB69" s="609">
        <f t="shared" si="4"/>
        <v>8949.5999999999985</v>
      </c>
      <c r="AC69" s="609">
        <f t="shared" si="4"/>
        <v>3787.5</v>
      </c>
      <c r="AD69" s="609">
        <f t="shared" si="4"/>
        <v>50538.399999999994</v>
      </c>
      <c r="AE69" s="605">
        <f t="shared" si="4"/>
        <v>232630</v>
      </c>
      <c r="AH69" s="576"/>
    </row>
    <row r="70" spans="2:34" ht="51" customHeight="1" x14ac:dyDescent="0.15">
      <c r="B70" s="590" t="s">
        <v>1733</v>
      </c>
      <c r="C70" s="597"/>
      <c r="D70" s="593"/>
      <c r="E70" s="593"/>
      <c r="F70" s="593"/>
      <c r="G70" s="593"/>
      <c r="H70" s="593"/>
      <c r="I70" s="593"/>
      <c r="J70" s="593"/>
      <c r="K70" s="593"/>
      <c r="L70" s="593"/>
      <c r="M70" s="593"/>
      <c r="N70" s="593"/>
      <c r="O70" s="593"/>
      <c r="P70" s="593"/>
      <c r="Q70" s="593"/>
      <c r="R70" s="593"/>
      <c r="S70" s="593"/>
      <c r="T70" s="593"/>
      <c r="U70" s="593"/>
      <c r="V70" s="593"/>
      <c r="W70" s="593"/>
      <c r="X70" s="593"/>
      <c r="Y70" s="593"/>
      <c r="Z70" s="593"/>
      <c r="AA70" s="593"/>
      <c r="AB70" s="593"/>
      <c r="AC70" s="593"/>
      <c r="AD70" s="593"/>
      <c r="AE70" s="598"/>
    </row>
    <row r="71" spans="2:34" x14ac:dyDescent="0.15">
      <c r="B71" s="582" t="s">
        <v>30</v>
      </c>
      <c r="C71" s="597">
        <v>0</v>
      </c>
      <c r="D71" s="593">
        <v>840</v>
      </c>
      <c r="E71" s="593">
        <v>172.9</v>
      </c>
      <c r="F71" s="593">
        <v>1044.7</v>
      </c>
      <c r="G71" s="593">
        <v>38</v>
      </c>
      <c r="H71" s="593">
        <v>654.9</v>
      </c>
      <c r="I71" s="593">
        <v>172.8</v>
      </c>
      <c r="J71" s="593">
        <v>43.3</v>
      </c>
      <c r="K71" s="593">
        <v>441.4</v>
      </c>
      <c r="L71" s="593">
        <v>890</v>
      </c>
      <c r="M71" s="593">
        <v>8109</v>
      </c>
      <c r="N71" s="593">
        <v>397.5</v>
      </c>
      <c r="O71" s="593">
        <v>1702.6</v>
      </c>
      <c r="P71" s="593">
        <v>766</v>
      </c>
      <c r="Q71" s="593">
        <v>2378.6999999999998</v>
      </c>
      <c r="R71" s="593">
        <v>46</v>
      </c>
      <c r="S71" s="593">
        <v>161.5</v>
      </c>
      <c r="T71" s="593">
        <v>662</v>
      </c>
      <c r="U71" s="593">
        <v>91</v>
      </c>
      <c r="V71" s="593">
        <v>809.9</v>
      </c>
      <c r="W71" s="593">
        <v>863</v>
      </c>
      <c r="X71" s="593">
        <v>247</v>
      </c>
      <c r="Y71" s="593">
        <v>949.3</v>
      </c>
      <c r="Z71" s="593">
        <v>491.5</v>
      </c>
      <c r="AA71" s="593">
        <v>917.4</v>
      </c>
      <c r="AB71" s="593">
        <v>740.9</v>
      </c>
      <c r="AC71" s="593">
        <v>1017.2</v>
      </c>
      <c r="AD71" s="593">
        <v>1459</v>
      </c>
      <c r="AE71" s="598">
        <f>+SUM(C71:AD71)</f>
        <v>26107.500000000004</v>
      </c>
    </row>
    <row r="72" spans="2:34" x14ac:dyDescent="0.15">
      <c r="B72" s="582" t="s">
        <v>31</v>
      </c>
      <c r="C72" s="597">
        <v>839</v>
      </c>
      <c r="D72" s="593">
        <v>0</v>
      </c>
      <c r="E72" s="593">
        <v>203.1</v>
      </c>
      <c r="F72" s="593">
        <v>235.9</v>
      </c>
      <c r="G72" s="593">
        <v>39</v>
      </c>
      <c r="H72" s="593">
        <v>829.9</v>
      </c>
      <c r="I72" s="593">
        <v>964.1</v>
      </c>
      <c r="J72" s="593">
        <v>42.2</v>
      </c>
      <c r="K72" s="593">
        <v>237.8</v>
      </c>
      <c r="L72" s="593">
        <v>13052</v>
      </c>
      <c r="M72" s="593">
        <v>6157</v>
      </c>
      <c r="N72" s="593">
        <v>664.8</v>
      </c>
      <c r="O72" s="593">
        <v>375.3</v>
      </c>
      <c r="P72" s="593">
        <v>2363</v>
      </c>
      <c r="Q72" s="593">
        <v>3043.5</v>
      </c>
      <c r="R72" s="593">
        <v>57</v>
      </c>
      <c r="S72" s="593">
        <v>130</v>
      </c>
      <c r="T72" s="593">
        <v>5377</v>
      </c>
      <c r="U72" s="593">
        <v>36</v>
      </c>
      <c r="V72" s="593">
        <v>5627.6</v>
      </c>
      <c r="W72" s="593">
        <v>1047.0999999999999</v>
      </c>
      <c r="X72" s="593">
        <v>815</v>
      </c>
      <c r="Y72" s="593">
        <v>739.2</v>
      </c>
      <c r="Z72" s="593">
        <v>148.30000000000001</v>
      </c>
      <c r="AA72" s="593">
        <v>194.8</v>
      </c>
      <c r="AB72" s="593">
        <v>2998</v>
      </c>
      <c r="AC72" s="593">
        <v>740</v>
      </c>
      <c r="AD72" s="593">
        <v>4944.6000000000004</v>
      </c>
      <c r="AE72" s="598">
        <f>+SUM(C72:AD72)</f>
        <v>51901.2</v>
      </c>
    </row>
    <row r="73" spans="2:34" x14ac:dyDescent="0.15">
      <c r="B73" s="582" t="s">
        <v>451</v>
      </c>
      <c r="C73" s="597">
        <v>245</v>
      </c>
      <c r="D73" s="593">
        <v>141</v>
      </c>
      <c r="E73" s="593">
        <v>0</v>
      </c>
      <c r="F73" s="593">
        <v>25.2</v>
      </c>
      <c r="G73" s="593">
        <v>18</v>
      </c>
      <c r="H73" s="593">
        <v>91.6</v>
      </c>
      <c r="I73" s="593">
        <v>66.8</v>
      </c>
      <c r="J73" s="593">
        <v>12.1</v>
      </c>
      <c r="K73" s="593">
        <v>0</v>
      </c>
      <c r="L73" s="593">
        <v>245</v>
      </c>
      <c r="M73" s="593">
        <v>585</v>
      </c>
      <c r="N73" s="593">
        <v>327.60000000000002</v>
      </c>
      <c r="O73" s="593">
        <v>151.5</v>
      </c>
      <c r="P73" s="593">
        <v>90</v>
      </c>
      <c r="Q73" s="593">
        <v>254</v>
      </c>
      <c r="R73" s="593">
        <v>8</v>
      </c>
      <c r="S73" s="593">
        <v>8.3000000000000007</v>
      </c>
      <c r="T73" s="593">
        <v>63</v>
      </c>
      <c r="U73" s="593">
        <v>6</v>
      </c>
      <c r="V73" s="593">
        <v>141.5</v>
      </c>
      <c r="W73" s="593">
        <v>123.3</v>
      </c>
      <c r="X73" s="593">
        <v>10</v>
      </c>
      <c r="Y73" s="593">
        <v>263.39999999999998</v>
      </c>
      <c r="Z73" s="593">
        <v>23.1</v>
      </c>
      <c r="AA73" s="593">
        <v>30.7</v>
      </c>
      <c r="AB73" s="593">
        <v>0</v>
      </c>
      <c r="AC73" s="593">
        <v>53.7</v>
      </c>
      <c r="AD73" s="593">
        <v>628.20000000000005</v>
      </c>
      <c r="AE73" s="598">
        <f t="shared" ref="AE73:AE98" si="5">+SUM(C73:AD73)</f>
        <v>3612</v>
      </c>
    </row>
    <row r="74" spans="2:34" x14ac:dyDescent="0.15">
      <c r="B74" s="582" t="s">
        <v>472</v>
      </c>
      <c r="C74" s="597">
        <v>378</v>
      </c>
      <c r="D74" s="593">
        <v>59</v>
      </c>
      <c r="E74" s="593">
        <v>18.600000000000001</v>
      </c>
      <c r="F74" s="593">
        <v>0</v>
      </c>
      <c r="G74" s="593">
        <v>0</v>
      </c>
      <c r="H74" s="593">
        <v>53.6</v>
      </c>
      <c r="I74" s="593">
        <v>67.8</v>
      </c>
      <c r="J74" s="593">
        <v>4.2</v>
      </c>
      <c r="K74" s="593">
        <v>0</v>
      </c>
      <c r="L74" s="593">
        <v>154</v>
      </c>
      <c r="M74" s="593">
        <v>316</v>
      </c>
      <c r="N74" s="593">
        <v>26.9</v>
      </c>
      <c r="O74" s="593">
        <v>98.8</v>
      </c>
      <c r="P74" s="593">
        <v>81</v>
      </c>
      <c r="Q74" s="593">
        <v>277.3</v>
      </c>
      <c r="R74" s="593">
        <v>1</v>
      </c>
      <c r="S74" s="593">
        <v>1.8</v>
      </c>
      <c r="T74" s="593">
        <v>57</v>
      </c>
      <c r="U74" s="593">
        <v>3</v>
      </c>
      <c r="V74" s="593">
        <v>105.6</v>
      </c>
      <c r="W74" s="593">
        <v>57.4</v>
      </c>
      <c r="X74" s="593">
        <v>8</v>
      </c>
      <c r="Y74" s="593">
        <v>28.1</v>
      </c>
      <c r="Z74" s="593">
        <v>26.5</v>
      </c>
      <c r="AA74" s="593">
        <v>455.7</v>
      </c>
      <c r="AB74" s="593">
        <v>0</v>
      </c>
      <c r="AC74" s="593">
        <v>45.9</v>
      </c>
      <c r="AD74" s="593">
        <v>252.1</v>
      </c>
      <c r="AE74" s="598">
        <f t="shared" si="5"/>
        <v>2577.2999999999997</v>
      </c>
    </row>
    <row r="75" spans="2:34" x14ac:dyDescent="0.15">
      <c r="B75" s="582" t="s">
        <v>86</v>
      </c>
      <c r="C75" s="597">
        <v>141</v>
      </c>
      <c r="D75" s="593">
        <v>364</v>
      </c>
      <c r="E75" s="593">
        <v>74.900000000000006</v>
      </c>
      <c r="F75" s="593">
        <v>7.2</v>
      </c>
      <c r="G75" s="593">
        <v>0</v>
      </c>
      <c r="H75" s="593">
        <v>119.8</v>
      </c>
      <c r="I75" s="593">
        <v>42.5</v>
      </c>
      <c r="J75" s="593">
        <v>44</v>
      </c>
      <c r="K75" s="593">
        <v>36.200000000000003</v>
      </c>
      <c r="L75" s="593">
        <v>91</v>
      </c>
      <c r="M75" s="593">
        <v>513</v>
      </c>
      <c r="N75" s="593">
        <v>627.6</v>
      </c>
      <c r="O75" s="593">
        <v>41.8</v>
      </c>
      <c r="P75" s="593">
        <v>0</v>
      </c>
      <c r="Q75" s="593">
        <v>90.3</v>
      </c>
      <c r="R75" s="593">
        <v>115</v>
      </c>
      <c r="S75" s="593">
        <v>30</v>
      </c>
      <c r="T75" s="593">
        <v>176</v>
      </c>
      <c r="U75" s="593">
        <v>36</v>
      </c>
      <c r="V75" s="593">
        <v>327.9</v>
      </c>
      <c r="W75" s="593">
        <v>161.80000000000001</v>
      </c>
      <c r="X75" s="593">
        <v>35</v>
      </c>
      <c r="Y75" s="593">
        <v>101.2</v>
      </c>
      <c r="Z75" s="593">
        <v>87.6</v>
      </c>
      <c r="AA75" s="593">
        <v>29.9</v>
      </c>
      <c r="AB75" s="593">
        <v>0</v>
      </c>
      <c r="AC75" s="593">
        <v>133.1</v>
      </c>
      <c r="AD75" s="593">
        <v>734.3</v>
      </c>
      <c r="AE75" s="598">
        <f t="shared" si="5"/>
        <v>4161.1000000000004</v>
      </c>
    </row>
    <row r="76" spans="2:34" x14ac:dyDescent="0.15">
      <c r="B76" s="582" t="s">
        <v>34</v>
      </c>
      <c r="C76" s="597">
        <v>1265</v>
      </c>
      <c r="D76" s="593">
        <v>545</v>
      </c>
      <c r="E76" s="593">
        <v>142.5</v>
      </c>
      <c r="F76" s="593">
        <v>167.6</v>
      </c>
      <c r="G76" s="593">
        <v>31</v>
      </c>
      <c r="H76" s="593">
        <v>0</v>
      </c>
      <c r="I76" s="593">
        <v>151.6</v>
      </c>
      <c r="J76" s="593">
        <v>15.9</v>
      </c>
      <c r="K76" s="593">
        <v>0</v>
      </c>
      <c r="L76" s="593">
        <v>774</v>
      </c>
      <c r="M76" s="593">
        <v>3354</v>
      </c>
      <c r="N76" s="593">
        <v>233.8</v>
      </c>
      <c r="O76" s="593">
        <v>492.8</v>
      </c>
      <c r="P76" s="593">
        <v>309</v>
      </c>
      <c r="Q76" s="593">
        <v>757.5</v>
      </c>
      <c r="R76" s="593">
        <v>20</v>
      </c>
      <c r="S76" s="593">
        <v>26.4</v>
      </c>
      <c r="T76" s="593">
        <v>327</v>
      </c>
      <c r="U76" s="593">
        <v>24</v>
      </c>
      <c r="V76" s="593">
        <v>888.5</v>
      </c>
      <c r="W76" s="593">
        <v>1371.4</v>
      </c>
      <c r="X76" s="593">
        <v>41</v>
      </c>
      <c r="Y76" s="593">
        <v>109.6</v>
      </c>
      <c r="Z76" s="593">
        <v>1243.3</v>
      </c>
      <c r="AA76" s="593">
        <v>99.4</v>
      </c>
      <c r="AB76" s="593">
        <v>0</v>
      </c>
      <c r="AC76" s="593">
        <v>151.80000000000001</v>
      </c>
      <c r="AD76" s="593">
        <v>1223.4000000000001</v>
      </c>
      <c r="AE76" s="598">
        <f t="shared" si="5"/>
        <v>13765.499999999998</v>
      </c>
    </row>
    <row r="77" spans="2:34" x14ac:dyDescent="0.15">
      <c r="B77" s="582" t="s">
        <v>35</v>
      </c>
      <c r="C77" s="597">
        <v>317</v>
      </c>
      <c r="D77" s="593">
        <v>929</v>
      </c>
      <c r="E77" s="593">
        <v>65</v>
      </c>
      <c r="F77" s="593">
        <v>116.2</v>
      </c>
      <c r="G77" s="593">
        <v>566</v>
      </c>
      <c r="H77" s="593">
        <v>213.9</v>
      </c>
      <c r="I77" s="593">
        <v>0</v>
      </c>
      <c r="J77" s="593">
        <v>84.3</v>
      </c>
      <c r="K77" s="593">
        <v>442.2</v>
      </c>
      <c r="L77" s="593">
        <v>1979</v>
      </c>
      <c r="M77" s="593">
        <v>4051</v>
      </c>
      <c r="N77" s="593">
        <v>215.2</v>
      </c>
      <c r="O77" s="593">
        <v>354.7</v>
      </c>
      <c r="P77" s="593">
        <v>1148</v>
      </c>
      <c r="Q77" s="593">
        <v>668.4</v>
      </c>
      <c r="R77" s="593">
        <v>98</v>
      </c>
      <c r="S77" s="593">
        <v>319.7</v>
      </c>
      <c r="T77" s="593">
        <v>471</v>
      </c>
      <c r="U77" s="593">
        <v>71</v>
      </c>
      <c r="V77" s="593">
        <v>1832.5</v>
      </c>
      <c r="W77" s="593">
        <v>991.4</v>
      </c>
      <c r="X77" s="593">
        <v>201</v>
      </c>
      <c r="Y77" s="593">
        <v>177.5</v>
      </c>
      <c r="Z77" s="593">
        <v>51.5</v>
      </c>
      <c r="AA77" s="593">
        <v>58.9</v>
      </c>
      <c r="AB77" s="593">
        <v>1355.1</v>
      </c>
      <c r="AC77" s="593">
        <v>4190.8</v>
      </c>
      <c r="AD77" s="593">
        <v>4321.8999999999996</v>
      </c>
      <c r="AE77" s="598">
        <f t="shared" si="5"/>
        <v>25290.199999999997</v>
      </c>
    </row>
    <row r="78" spans="2:34" x14ac:dyDescent="0.15">
      <c r="B78" s="582" t="s">
        <v>36</v>
      </c>
      <c r="C78" s="597">
        <v>32</v>
      </c>
      <c r="D78" s="593">
        <v>56</v>
      </c>
      <c r="E78" s="593">
        <v>4.3</v>
      </c>
      <c r="F78" s="593">
        <v>4.5999999999999996</v>
      </c>
      <c r="G78" s="593">
        <v>4</v>
      </c>
      <c r="H78" s="593">
        <v>26.1</v>
      </c>
      <c r="I78" s="593">
        <v>114.6</v>
      </c>
      <c r="J78" s="593">
        <v>0</v>
      </c>
      <c r="K78" s="593">
        <v>443.7</v>
      </c>
      <c r="L78" s="593">
        <v>33</v>
      </c>
      <c r="M78" s="593">
        <v>0</v>
      </c>
      <c r="N78" s="593">
        <v>38.6</v>
      </c>
      <c r="O78" s="593">
        <v>2</v>
      </c>
      <c r="P78" s="593">
        <v>15</v>
      </c>
      <c r="Q78" s="593">
        <v>60.8</v>
      </c>
      <c r="R78" s="593">
        <v>224</v>
      </c>
      <c r="S78" s="593">
        <v>182.5</v>
      </c>
      <c r="T78" s="593">
        <v>97</v>
      </c>
      <c r="U78" s="593">
        <v>8</v>
      </c>
      <c r="V78" s="593">
        <v>44.5</v>
      </c>
      <c r="W78" s="593">
        <v>91.5</v>
      </c>
      <c r="X78" s="593">
        <v>11</v>
      </c>
      <c r="Y78" s="593">
        <v>7.9</v>
      </c>
      <c r="Z78" s="593">
        <v>4.3</v>
      </c>
      <c r="AA78" s="593">
        <v>9.1999999999999993</v>
      </c>
      <c r="AB78" s="593">
        <v>0</v>
      </c>
      <c r="AC78" s="593">
        <v>307.5</v>
      </c>
      <c r="AD78" s="593">
        <v>133.6</v>
      </c>
      <c r="AE78" s="598">
        <f t="shared" si="5"/>
        <v>1955.6999999999998</v>
      </c>
    </row>
    <row r="79" spans="2:34" x14ac:dyDescent="0.15">
      <c r="B79" s="582" t="s">
        <v>37</v>
      </c>
      <c r="C79" s="597">
        <v>323</v>
      </c>
      <c r="D79" s="593">
        <v>422</v>
      </c>
      <c r="E79" s="593">
        <v>34.799999999999997</v>
      </c>
      <c r="F79" s="593">
        <v>32.299999999999997</v>
      </c>
      <c r="G79" s="593">
        <v>14</v>
      </c>
      <c r="H79" s="593">
        <v>169.6</v>
      </c>
      <c r="I79" s="593">
        <v>978.7</v>
      </c>
      <c r="J79" s="593">
        <v>1436.5</v>
      </c>
      <c r="K79" s="593">
        <v>0</v>
      </c>
      <c r="L79" s="593">
        <v>481</v>
      </c>
      <c r="M79" s="593">
        <v>0</v>
      </c>
      <c r="N79" s="593">
        <v>149.30000000000001</v>
      </c>
      <c r="O79" s="593">
        <v>190.1</v>
      </c>
      <c r="P79" s="593">
        <v>886</v>
      </c>
      <c r="Q79" s="593">
        <v>352.1</v>
      </c>
      <c r="R79" s="593">
        <v>92</v>
      </c>
      <c r="S79" s="593">
        <v>124.6</v>
      </c>
      <c r="T79" s="593">
        <v>524</v>
      </c>
      <c r="U79" s="593">
        <v>31</v>
      </c>
      <c r="V79" s="593">
        <v>1126.8</v>
      </c>
      <c r="W79" s="593">
        <v>606.1</v>
      </c>
      <c r="X79" s="593">
        <v>178</v>
      </c>
      <c r="Y79" s="593">
        <v>33.5</v>
      </c>
      <c r="Z79" s="593">
        <v>25.8</v>
      </c>
      <c r="AA79" s="593">
        <v>15.5</v>
      </c>
      <c r="AB79" s="593">
        <v>0</v>
      </c>
      <c r="AC79" s="593">
        <v>4509.3999999999996</v>
      </c>
      <c r="AD79" s="593">
        <v>1868.2</v>
      </c>
      <c r="AE79" s="598">
        <f t="shared" si="5"/>
        <v>14604.300000000001</v>
      </c>
    </row>
    <row r="80" spans="2:34" x14ac:dyDescent="0.15">
      <c r="B80" s="582" t="s">
        <v>38</v>
      </c>
      <c r="C80" s="597">
        <v>1185</v>
      </c>
      <c r="D80" s="593">
        <v>14455</v>
      </c>
      <c r="E80" s="593">
        <v>296.2</v>
      </c>
      <c r="F80" s="593">
        <v>269.8</v>
      </c>
      <c r="G80" s="593">
        <v>60</v>
      </c>
      <c r="H80" s="593">
        <v>759.7</v>
      </c>
      <c r="I80" s="593">
        <v>1123.5</v>
      </c>
      <c r="J80" s="593">
        <v>62.6</v>
      </c>
      <c r="K80" s="593">
        <v>461</v>
      </c>
      <c r="L80" s="593">
        <v>0</v>
      </c>
      <c r="M80" s="593">
        <v>13644</v>
      </c>
      <c r="N80" s="593">
        <v>1696.6</v>
      </c>
      <c r="O80" s="593">
        <v>574.29999999999995</v>
      </c>
      <c r="P80" s="593">
        <v>5933</v>
      </c>
      <c r="Q80" s="593">
        <v>7524</v>
      </c>
      <c r="R80" s="593">
        <v>97</v>
      </c>
      <c r="S80" s="593">
        <v>286.39999999999998</v>
      </c>
      <c r="T80" s="593">
        <v>8513</v>
      </c>
      <c r="U80" s="593">
        <v>315</v>
      </c>
      <c r="V80" s="593">
        <v>6493.5</v>
      </c>
      <c r="W80" s="593">
        <v>1755.7</v>
      </c>
      <c r="X80" s="593">
        <v>3516</v>
      </c>
      <c r="Y80" s="593">
        <v>1460.6</v>
      </c>
      <c r="Z80" s="593">
        <v>232.8</v>
      </c>
      <c r="AA80" s="593">
        <v>189.1</v>
      </c>
      <c r="AB80" s="593">
        <v>11916</v>
      </c>
      <c r="AC80" s="593">
        <v>3023.9</v>
      </c>
      <c r="AD80" s="593">
        <v>19498.8</v>
      </c>
      <c r="AE80" s="598">
        <f t="shared" si="5"/>
        <v>105342.50000000001</v>
      </c>
    </row>
    <row r="81" spans="2:31" x14ac:dyDescent="0.15">
      <c r="B81" s="582" t="s">
        <v>39</v>
      </c>
      <c r="C81" s="597">
        <v>21268</v>
      </c>
      <c r="D81" s="593">
        <v>9078</v>
      </c>
      <c r="E81" s="593">
        <v>967</v>
      </c>
      <c r="F81" s="593">
        <v>2391.5</v>
      </c>
      <c r="G81" s="593">
        <v>661</v>
      </c>
      <c r="H81" s="593">
        <v>4476.8999999999996</v>
      </c>
      <c r="I81" s="593">
        <v>6468.8</v>
      </c>
      <c r="J81" s="593">
        <v>246.3</v>
      </c>
      <c r="K81" s="593">
        <v>1377.3</v>
      </c>
      <c r="L81" s="593">
        <v>24609</v>
      </c>
      <c r="M81" s="593">
        <v>0</v>
      </c>
      <c r="N81" s="593">
        <v>4525.8</v>
      </c>
      <c r="O81" s="593">
        <v>3633.5</v>
      </c>
      <c r="P81" s="593">
        <v>9569</v>
      </c>
      <c r="Q81" s="593">
        <v>10199.299999999999</v>
      </c>
      <c r="R81" s="593">
        <v>229</v>
      </c>
      <c r="S81" s="593">
        <v>647.70000000000005</v>
      </c>
      <c r="T81" s="593">
        <v>13922</v>
      </c>
      <c r="U81" s="593">
        <v>563</v>
      </c>
      <c r="V81" s="593">
        <v>17640.3</v>
      </c>
      <c r="W81" s="593">
        <v>9563.7999999999993</v>
      </c>
      <c r="X81" s="593">
        <v>2330</v>
      </c>
      <c r="Y81" s="593">
        <v>2997</v>
      </c>
      <c r="Z81" s="593">
        <v>1190.3</v>
      </c>
      <c r="AA81" s="593">
        <v>848.8</v>
      </c>
      <c r="AB81" s="593">
        <v>11477</v>
      </c>
      <c r="AC81" s="593">
        <v>4912.1000000000004</v>
      </c>
      <c r="AD81" s="593">
        <v>19666.900000000001</v>
      </c>
      <c r="AE81" s="598">
        <f t="shared" si="5"/>
        <v>185459.3</v>
      </c>
    </row>
    <row r="82" spans="2:31" x14ac:dyDescent="0.15">
      <c r="B82" s="582" t="s">
        <v>40</v>
      </c>
      <c r="C82" s="597">
        <v>144</v>
      </c>
      <c r="D82" s="593">
        <v>345</v>
      </c>
      <c r="E82" s="593">
        <v>367.8</v>
      </c>
      <c r="F82" s="593">
        <v>11.8</v>
      </c>
      <c r="G82" s="593">
        <v>194</v>
      </c>
      <c r="H82" s="593">
        <v>80</v>
      </c>
      <c r="I82" s="593">
        <v>198.3</v>
      </c>
      <c r="J82" s="593">
        <v>11.6</v>
      </c>
      <c r="K82" s="593">
        <v>61.6</v>
      </c>
      <c r="L82" s="593">
        <v>464</v>
      </c>
      <c r="M82" s="593">
        <v>1005</v>
      </c>
      <c r="N82" s="593">
        <v>0</v>
      </c>
      <c r="O82" s="593">
        <v>58.9</v>
      </c>
      <c r="P82" s="593">
        <v>318</v>
      </c>
      <c r="Q82" s="593">
        <v>558.79999999999995</v>
      </c>
      <c r="R82" s="593">
        <v>8</v>
      </c>
      <c r="S82" s="593">
        <v>7.9</v>
      </c>
      <c r="T82" s="593">
        <v>188</v>
      </c>
      <c r="U82" s="593">
        <v>34</v>
      </c>
      <c r="V82" s="593">
        <v>496.7</v>
      </c>
      <c r="W82" s="593">
        <v>60.5</v>
      </c>
      <c r="X82" s="593">
        <v>48</v>
      </c>
      <c r="Y82" s="593">
        <v>120.1</v>
      </c>
      <c r="Z82" s="593">
        <v>22.7</v>
      </c>
      <c r="AA82" s="593">
        <v>15.4</v>
      </c>
      <c r="AB82" s="593">
        <v>449.8</v>
      </c>
      <c r="AC82" s="593">
        <v>94</v>
      </c>
      <c r="AD82" s="593">
        <v>1696</v>
      </c>
      <c r="AE82" s="598">
        <f t="shared" si="5"/>
        <v>7059.9</v>
      </c>
    </row>
    <row r="83" spans="2:31" x14ac:dyDescent="0.15">
      <c r="B83" s="582" t="s">
        <v>41</v>
      </c>
      <c r="C83" s="597">
        <v>1302</v>
      </c>
      <c r="D83" s="593">
        <v>323</v>
      </c>
      <c r="E83" s="593">
        <v>123.3</v>
      </c>
      <c r="F83" s="593">
        <v>182.8</v>
      </c>
      <c r="G83" s="593">
        <v>14</v>
      </c>
      <c r="H83" s="593">
        <v>341.5</v>
      </c>
      <c r="I83" s="593">
        <v>191.9</v>
      </c>
      <c r="J83" s="593">
        <v>8.6999999999999993</v>
      </c>
      <c r="K83" s="593">
        <v>0</v>
      </c>
      <c r="L83" s="593">
        <v>353</v>
      </c>
      <c r="M83" s="593">
        <v>2072</v>
      </c>
      <c r="N83" s="593">
        <v>72.3</v>
      </c>
      <c r="O83" s="593">
        <v>0</v>
      </c>
      <c r="P83" s="593">
        <v>0</v>
      </c>
      <c r="Q83" s="593">
        <v>477</v>
      </c>
      <c r="R83" s="593">
        <v>5</v>
      </c>
      <c r="S83" s="593">
        <v>18.5</v>
      </c>
      <c r="T83" s="593">
        <v>282</v>
      </c>
      <c r="U83" s="593">
        <v>15</v>
      </c>
      <c r="V83" s="593">
        <v>460.7</v>
      </c>
      <c r="W83" s="593">
        <v>404.1</v>
      </c>
      <c r="X83" s="593">
        <v>35</v>
      </c>
      <c r="Y83" s="593">
        <v>558.1</v>
      </c>
      <c r="Z83" s="593">
        <v>358.7</v>
      </c>
      <c r="AA83" s="593">
        <v>201.7</v>
      </c>
      <c r="AB83" s="593">
        <v>0</v>
      </c>
      <c r="AC83" s="593">
        <v>138</v>
      </c>
      <c r="AD83" s="593">
        <v>666.8</v>
      </c>
      <c r="AE83" s="598">
        <f t="shared" si="5"/>
        <v>8605.1</v>
      </c>
    </row>
    <row r="84" spans="2:31" x14ac:dyDescent="0.15">
      <c r="B84" s="582" t="s">
        <v>43</v>
      </c>
      <c r="C84" s="597">
        <v>347</v>
      </c>
      <c r="D84" s="593">
        <v>2437</v>
      </c>
      <c r="E84" s="593">
        <v>84.5</v>
      </c>
      <c r="F84" s="593">
        <v>76.2</v>
      </c>
      <c r="G84" s="593">
        <v>9</v>
      </c>
      <c r="H84" s="593">
        <v>584.70000000000005</v>
      </c>
      <c r="I84" s="593">
        <v>578.29999999999995</v>
      </c>
      <c r="J84" s="593">
        <v>27.7</v>
      </c>
      <c r="K84" s="593">
        <v>379.1</v>
      </c>
      <c r="L84" s="593">
        <v>4113</v>
      </c>
      <c r="M84" s="593">
        <v>4272</v>
      </c>
      <c r="N84" s="593">
        <v>186.4</v>
      </c>
      <c r="O84" s="593">
        <v>338.7</v>
      </c>
      <c r="P84" s="593">
        <v>0</v>
      </c>
      <c r="Q84" s="593">
        <v>2289.1</v>
      </c>
      <c r="R84" s="593">
        <v>45</v>
      </c>
      <c r="S84" s="593">
        <v>30.6</v>
      </c>
      <c r="T84" s="593">
        <v>1002</v>
      </c>
      <c r="U84" s="593">
        <v>30</v>
      </c>
      <c r="V84" s="593">
        <v>17987.099999999999</v>
      </c>
      <c r="W84" s="593">
        <v>980.4</v>
      </c>
      <c r="X84" s="593">
        <v>575</v>
      </c>
      <c r="Y84" s="593">
        <v>184</v>
      </c>
      <c r="Z84" s="593">
        <v>106</v>
      </c>
      <c r="AA84" s="593">
        <v>52.4</v>
      </c>
      <c r="AB84" s="593">
        <v>2396.9</v>
      </c>
      <c r="AC84" s="593">
        <v>1602.4</v>
      </c>
      <c r="AD84" s="593">
        <v>12841.7</v>
      </c>
      <c r="AE84" s="598">
        <f t="shared" si="5"/>
        <v>53556.200000000012</v>
      </c>
    </row>
    <row r="85" spans="2:31" x14ac:dyDescent="0.15">
      <c r="B85" s="582" t="s">
        <v>45</v>
      </c>
      <c r="C85" s="597">
        <v>2538</v>
      </c>
      <c r="D85" s="593">
        <v>2740</v>
      </c>
      <c r="E85" s="593">
        <v>297.5</v>
      </c>
      <c r="F85" s="593">
        <v>1029.0999999999999</v>
      </c>
      <c r="G85" s="593">
        <v>28</v>
      </c>
      <c r="H85" s="593">
        <v>523.79999999999995</v>
      </c>
      <c r="I85" s="593">
        <v>863.8</v>
      </c>
      <c r="J85" s="593">
        <v>39</v>
      </c>
      <c r="K85" s="593">
        <v>345.5</v>
      </c>
      <c r="L85" s="593">
        <v>10239</v>
      </c>
      <c r="M85" s="593">
        <v>5857</v>
      </c>
      <c r="N85" s="593">
        <v>1140.7</v>
      </c>
      <c r="O85" s="593">
        <v>620.70000000000005</v>
      </c>
      <c r="P85" s="593">
        <v>6242</v>
      </c>
      <c r="Q85" s="593">
        <v>0</v>
      </c>
      <c r="R85" s="593">
        <v>44</v>
      </c>
      <c r="S85" s="593">
        <v>124</v>
      </c>
      <c r="T85" s="593">
        <v>6474</v>
      </c>
      <c r="U85" s="593">
        <v>386</v>
      </c>
      <c r="V85" s="593">
        <v>3364</v>
      </c>
      <c r="W85" s="593">
        <v>825</v>
      </c>
      <c r="X85" s="593">
        <v>646</v>
      </c>
      <c r="Y85" s="593">
        <v>1985.2</v>
      </c>
      <c r="Z85" s="593">
        <v>246.5</v>
      </c>
      <c r="AA85" s="593">
        <v>925.3</v>
      </c>
      <c r="AB85" s="593">
        <v>4350</v>
      </c>
      <c r="AC85" s="593">
        <v>896.7</v>
      </c>
      <c r="AD85" s="593">
        <v>11345.5</v>
      </c>
      <c r="AE85" s="598">
        <f t="shared" si="5"/>
        <v>64116.3</v>
      </c>
    </row>
    <row r="86" spans="2:31" x14ac:dyDescent="0.15">
      <c r="B86" s="582" t="s">
        <v>48</v>
      </c>
      <c r="C86" s="597">
        <v>45</v>
      </c>
      <c r="D86" s="593">
        <v>53</v>
      </c>
      <c r="E86" s="593">
        <v>7.2</v>
      </c>
      <c r="F86" s="593">
        <v>6.6</v>
      </c>
      <c r="G86" s="593">
        <v>7</v>
      </c>
      <c r="H86" s="593">
        <v>23.9</v>
      </c>
      <c r="I86" s="593">
        <v>283.8</v>
      </c>
      <c r="J86" s="593">
        <v>282.3</v>
      </c>
      <c r="K86" s="593">
        <v>130.30000000000001</v>
      </c>
      <c r="L86" s="593">
        <v>57</v>
      </c>
      <c r="M86" s="593">
        <v>0</v>
      </c>
      <c r="N86" s="593">
        <v>77.599999999999994</v>
      </c>
      <c r="O86" s="593">
        <v>27.1</v>
      </c>
      <c r="P86" s="593">
        <v>53</v>
      </c>
      <c r="Q86" s="593">
        <v>68.900000000000006</v>
      </c>
      <c r="R86" s="593">
        <v>0</v>
      </c>
      <c r="S86" s="593">
        <v>359.8</v>
      </c>
      <c r="T86" s="593">
        <v>62</v>
      </c>
      <c r="U86" s="593">
        <v>6</v>
      </c>
      <c r="V86" s="593">
        <v>62.2</v>
      </c>
      <c r="W86" s="593">
        <v>165.4</v>
      </c>
      <c r="X86" s="593">
        <v>15</v>
      </c>
      <c r="Y86" s="593">
        <v>3.1</v>
      </c>
      <c r="Z86" s="593">
        <v>7</v>
      </c>
      <c r="AA86" s="593">
        <v>5.8</v>
      </c>
      <c r="AB86" s="593">
        <v>0</v>
      </c>
      <c r="AC86" s="593">
        <v>162.30000000000001</v>
      </c>
      <c r="AD86" s="593">
        <v>88.2</v>
      </c>
      <c r="AE86" s="598">
        <f t="shared" si="5"/>
        <v>2059.5</v>
      </c>
    </row>
    <row r="87" spans="2:31" x14ac:dyDescent="0.15">
      <c r="B87" s="582" t="s">
        <v>514</v>
      </c>
      <c r="C87" s="597">
        <v>41</v>
      </c>
      <c r="D87" s="593">
        <v>62</v>
      </c>
      <c r="E87" s="593">
        <v>8.1999999999999993</v>
      </c>
      <c r="F87" s="593">
        <v>4.7</v>
      </c>
      <c r="G87" s="593">
        <v>12</v>
      </c>
      <c r="H87" s="593">
        <v>43.8</v>
      </c>
      <c r="I87" s="593">
        <v>203</v>
      </c>
      <c r="J87" s="593">
        <v>164.7</v>
      </c>
      <c r="K87" s="593">
        <v>65.5</v>
      </c>
      <c r="L87" s="593">
        <v>76</v>
      </c>
      <c r="M87" s="593">
        <v>0</v>
      </c>
      <c r="N87" s="593">
        <v>37.299999999999997</v>
      </c>
      <c r="O87" s="593">
        <v>45.8</v>
      </c>
      <c r="P87" s="593">
        <v>69</v>
      </c>
      <c r="Q87" s="593">
        <v>117.3</v>
      </c>
      <c r="R87" s="593">
        <v>291</v>
      </c>
      <c r="S87" s="593">
        <v>0</v>
      </c>
      <c r="T87" s="593">
        <v>35</v>
      </c>
      <c r="U87" s="593">
        <v>8</v>
      </c>
      <c r="V87" s="593">
        <v>84.8</v>
      </c>
      <c r="W87" s="593">
        <v>435.5</v>
      </c>
      <c r="X87" s="593">
        <v>11</v>
      </c>
      <c r="Y87" s="593">
        <v>33.700000000000003</v>
      </c>
      <c r="Z87" s="593">
        <v>13.1</v>
      </c>
      <c r="AA87" s="593">
        <v>9.1</v>
      </c>
      <c r="AB87" s="593">
        <v>0</v>
      </c>
      <c r="AC87" s="593">
        <v>181.1</v>
      </c>
      <c r="AD87" s="593">
        <v>352.7</v>
      </c>
      <c r="AE87" s="598">
        <f t="shared" si="5"/>
        <v>2405.2999999999993</v>
      </c>
    </row>
    <row r="88" spans="2:31" x14ac:dyDescent="0.15">
      <c r="B88" s="582" t="s">
        <v>49</v>
      </c>
      <c r="C88" s="597">
        <v>387</v>
      </c>
      <c r="D88" s="593">
        <v>4546</v>
      </c>
      <c r="E88" s="593">
        <v>29.4</v>
      </c>
      <c r="F88" s="593">
        <v>19.399999999999999</v>
      </c>
      <c r="G88" s="593">
        <v>54</v>
      </c>
      <c r="H88" s="593">
        <v>187.4</v>
      </c>
      <c r="I88" s="593">
        <v>140.6</v>
      </c>
      <c r="J88" s="593">
        <v>19.399999999999999</v>
      </c>
      <c r="K88" s="593">
        <v>0</v>
      </c>
      <c r="L88" s="593">
        <v>6868</v>
      </c>
      <c r="M88" s="593">
        <v>7924</v>
      </c>
      <c r="N88" s="593">
        <v>222.6</v>
      </c>
      <c r="O88" s="593">
        <v>170.2</v>
      </c>
      <c r="P88" s="593">
        <v>1477</v>
      </c>
      <c r="Q88" s="593">
        <v>1800.5</v>
      </c>
      <c r="R88" s="593">
        <v>19</v>
      </c>
      <c r="S88" s="593">
        <v>38.1</v>
      </c>
      <c r="T88" s="593">
        <v>0</v>
      </c>
      <c r="U88" s="593">
        <v>34</v>
      </c>
      <c r="V88" s="593">
        <v>1472.5</v>
      </c>
      <c r="W88" s="593">
        <v>698.4</v>
      </c>
      <c r="X88" s="593">
        <v>374</v>
      </c>
      <c r="Y88" s="593">
        <v>157.9</v>
      </c>
      <c r="Z88" s="593">
        <v>57.9</v>
      </c>
      <c r="AA88" s="593">
        <v>97.3</v>
      </c>
      <c r="AB88" s="593">
        <v>0</v>
      </c>
      <c r="AC88" s="593">
        <v>886.9</v>
      </c>
      <c r="AD88" s="593">
        <v>3044.7</v>
      </c>
      <c r="AE88" s="598">
        <f t="shared" si="5"/>
        <v>30726.2</v>
      </c>
    </row>
    <row r="89" spans="2:31" x14ac:dyDescent="0.15">
      <c r="B89" s="582" t="s">
        <v>96</v>
      </c>
      <c r="C89" s="597">
        <v>125</v>
      </c>
      <c r="D89" s="593">
        <v>105</v>
      </c>
      <c r="E89" s="593">
        <v>9.5</v>
      </c>
      <c r="F89" s="593">
        <v>7.6</v>
      </c>
      <c r="G89" s="593">
        <v>6</v>
      </c>
      <c r="H89" s="593">
        <v>12.2</v>
      </c>
      <c r="I89" s="593">
        <v>85.7</v>
      </c>
      <c r="J89" s="593">
        <v>23.4</v>
      </c>
      <c r="K89" s="593">
        <v>0</v>
      </c>
      <c r="L89" s="593">
        <v>388</v>
      </c>
      <c r="M89" s="593">
        <v>302</v>
      </c>
      <c r="N89" s="593">
        <v>134.6</v>
      </c>
      <c r="O89" s="593">
        <v>47</v>
      </c>
      <c r="P89" s="593">
        <v>107</v>
      </c>
      <c r="Q89" s="593">
        <v>127.3</v>
      </c>
      <c r="R89" s="593">
        <v>33</v>
      </c>
      <c r="S89" s="593">
        <v>2.1</v>
      </c>
      <c r="T89" s="593">
        <v>181</v>
      </c>
      <c r="U89" s="593">
        <v>0</v>
      </c>
      <c r="V89" s="593">
        <v>50</v>
      </c>
      <c r="W89" s="593">
        <v>78.400000000000006</v>
      </c>
      <c r="X89" s="593">
        <v>27</v>
      </c>
      <c r="Y89" s="593">
        <v>25.6</v>
      </c>
      <c r="Z89" s="593">
        <v>9.6999999999999993</v>
      </c>
      <c r="AA89" s="593">
        <v>5.2</v>
      </c>
      <c r="AB89" s="593">
        <v>0</v>
      </c>
      <c r="AC89" s="593">
        <v>282</v>
      </c>
      <c r="AD89" s="593">
        <v>949.2</v>
      </c>
      <c r="AE89" s="598">
        <f t="shared" si="5"/>
        <v>3123.5</v>
      </c>
    </row>
    <row r="90" spans="2:31" x14ac:dyDescent="0.15">
      <c r="B90" s="582" t="s">
        <v>51</v>
      </c>
      <c r="C90" s="597">
        <v>2203</v>
      </c>
      <c r="D90" s="593">
        <v>14644</v>
      </c>
      <c r="E90" s="593">
        <v>201.3</v>
      </c>
      <c r="F90" s="593">
        <v>385.5</v>
      </c>
      <c r="G90" s="593">
        <v>175</v>
      </c>
      <c r="H90" s="593">
        <v>686.4</v>
      </c>
      <c r="I90" s="593">
        <v>1787.4</v>
      </c>
      <c r="J90" s="593">
        <v>120.1</v>
      </c>
      <c r="K90" s="593">
        <v>594.4</v>
      </c>
      <c r="L90" s="593">
        <v>12064</v>
      </c>
      <c r="M90" s="593">
        <v>13955</v>
      </c>
      <c r="N90" s="593">
        <v>903.6</v>
      </c>
      <c r="O90" s="593">
        <v>716.1</v>
      </c>
      <c r="P90" s="593">
        <v>4009</v>
      </c>
      <c r="Q90" s="593">
        <v>2654.9</v>
      </c>
      <c r="R90" s="593">
        <v>121</v>
      </c>
      <c r="S90" s="593">
        <v>236.9</v>
      </c>
      <c r="T90" s="593">
        <v>2566</v>
      </c>
      <c r="U90" s="593">
        <v>84</v>
      </c>
      <c r="V90" s="593">
        <v>0</v>
      </c>
      <c r="W90" s="593">
        <v>2330.6999999999998</v>
      </c>
      <c r="X90" s="593">
        <v>1034</v>
      </c>
      <c r="Y90" s="593">
        <v>934.2</v>
      </c>
      <c r="Z90" s="593">
        <v>348.2</v>
      </c>
      <c r="AA90" s="593">
        <v>146.30000000000001</v>
      </c>
      <c r="AB90" s="593">
        <v>4927</v>
      </c>
      <c r="AC90" s="593">
        <v>2099.4</v>
      </c>
      <c r="AD90" s="593">
        <v>17163.599999999999</v>
      </c>
      <c r="AE90" s="598">
        <f t="shared" si="5"/>
        <v>87091</v>
      </c>
    </row>
    <row r="91" spans="2:31" x14ac:dyDescent="0.15">
      <c r="B91" s="582" t="s">
        <v>54</v>
      </c>
      <c r="C91" s="597">
        <v>817</v>
      </c>
      <c r="D91" s="593">
        <v>846</v>
      </c>
      <c r="E91" s="593">
        <v>156.80000000000001</v>
      </c>
      <c r="F91" s="593">
        <v>216.2</v>
      </c>
      <c r="G91" s="593">
        <v>55</v>
      </c>
      <c r="H91" s="593">
        <v>753.5</v>
      </c>
      <c r="I91" s="593">
        <v>791.7</v>
      </c>
      <c r="J91" s="593">
        <v>106.6</v>
      </c>
      <c r="K91" s="593">
        <v>274</v>
      </c>
      <c r="L91" s="593">
        <v>1453</v>
      </c>
      <c r="M91" s="593">
        <v>4891</v>
      </c>
      <c r="N91" s="593">
        <v>431.5</v>
      </c>
      <c r="O91" s="593">
        <v>500.8</v>
      </c>
      <c r="P91" s="593">
        <v>880</v>
      </c>
      <c r="Q91" s="593">
        <v>1561</v>
      </c>
      <c r="R91" s="593">
        <v>50</v>
      </c>
      <c r="S91" s="593">
        <v>275.60000000000002</v>
      </c>
      <c r="T91" s="593">
        <v>418</v>
      </c>
      <c r="U91" s="593">
        <v>139</v>
      </c>
      <c r="V91" s="593">
        <v>1548.1</v>
      </c>
      <c r="W91" s="593">
        <v>0</v>
      </c>
      <c r="X91" s="593">
        <v>139</v>
      </c>
      <c r="Y91" s="593">
        <v>186.9</v>
      </c>
      <c r="Z91" s="593">
        <v>646.79999999999995</v>
      </c>
      <c r="AA91" s="593">
        <v>70.400000000000006</v>
      </c>
      <c r="AB91" s="593">
        <v>1084.0999999999999</v>
      </c>
      <c r="AC91" s="593">
        <v>635.9</v>
      </c>
      <c r="AD91" s="593">
        <v>2723.7</v>
      </c>
      <c r="AE91" s="598">
        <f t="shared" si="5"/>
        <v>21651.600000000002</v>
      </c>
    </row>
    <row r="92" spans="2:31" x14ac:dyDescent="0.15">
      <c r="B92" s="582" t="s">
        <v>55</v>
      </c>
      <c r="C92" s="597">
        <v>87</v>
      </c>
      <c r="D92" s="593">
        <v>660</v>
      </c>
      <c r="E92" s="593">
        <v>14.6</v>
      </c>
      <c r="F92" s="593">
        <v>21.9</v>
      </c>
      <c r="G92" s="593">
        <v>9</v>
      </c>
      <c r="H92" s="593">
        <v>47.5</v>
      </c>
      <c r="I92" s="593">
        <v>180.3</v>
      </c>
      <c r="J92" s="593">
        <v>10.199999999999999</v>
      </c>
      <c r="K92" s="593">
        <v>30.3</v>
      </c>
      <c r="L92" s="593">
        <v>1873</v>
      </c>
      <c r="M92" s="593">
        <v>1007</v>
      </c>
      <c r="N92" s="593">
        <v>65.400000000000006</v>
      </c>
      <c r="O92" s="593">
        <v>86.1</v>
      </c>
      <c r="P92" s="593">
        <v>789</v>
      </c>
      <c r="Q92" s="593">
        <v>399.5</v>
      </c>
      <c r="R92" s="593">
        <v>4</v>
      </c>
      <c r="S92" s="593">
        <v>14.7</v>
      </c>
      <c r="T92" s="593">
        <v>639</v>
      </c>
      <c r="U92" s="593">
        <v>10</v>
      </c>
      <c r="V92" s="593">
        <v>455.8</v>
      </c>
      <c r="W92" s="593">
        <v>90.3</v>
      </c>
      <c r="X92" s="593">
        <v>0</v>
      </c>
      <c r="Y92" s="593">
        <v>31</v>
      </c>
      <c r="Z92" s="593">
        <v>6.9</v>
      </c>
      <c r="AA92" s="593">
        <v>7.9</v>
      </c>
      <c r="AB92" s="593">
        <v>3115</v>
      </c>
      <c r="AC92" s="593">
        <v>192.4</v>
      </c>
      <c r="AD92" s="593">
        <v>1649.1</v>
      </c>
      <c r="AE92" s="598">
        <f t="shared" si="5"/>
        <v>11496.9</v>
      </c>
    </row>
    <row r="93" spans="2:31" x14ac:dyDescent="0.15">
      <c r="B93" s="582" t="s">
        <v>543</v>
      </c>
      <c r="C93" s="597">
        <v>760</v>
      </c>
      <c r="D93" s="593">
        <v>428</v>
      </c>
      <c r="E93" s="593">
        <v>259.8</v>
      </c>
      <c r="F93" s="593">
        <v>28</v>
      </c>
      <c r="G93" s="593">
        <v>45</v>
      </c>
      <c r="H93" s="593">
        <v>174.7</v>
      </c>
      <c r="I93" s="593">
        <v>135</v>
      </c>
      <c r="J93" s="593">
        <v>8.4</v>
      </c>
      <c r="K93" s="593">
        <v>0</v>
      </c>
      <c r="L93" s="593">
        <v>580</v>
      </c>
      <c r="M93" s="593">
        <v>0</v>
      </c>
      <c r="N93" s="593">
        <v>242</v>
      </c>
      <c r="O93" s="593">
        <v>894.8</v>
      </c>
      <c r="P93" s="593">
        <v>137</v>
      </c>
      <c r="Q93" s="593">
        <v>827.3</v>
      </c>
      <c r="R93" s="593">
        <v>3</v>
      </c>
      <c r="S93" s="593">
        <v>5.7</v>
      </c>
      <c r="T93" s="593">
        <v>235</v>
      </c>
      <c r="U93" s="593">
        <v>12</v>
      </c>
      <c r="V93" s="593">
        <v>521.5</v>
      </c>
      <c r="W93" s="593">
        <v>203.6</v>
      </c>
      <c r="X93" s="593">
        <v>43</v>
      </c>
      <c r="Y93" s="593">
        <v>0</v>
      </c>
      <c r="Z93" s="593">
        <v>76.3</v>
      </c>
      <c r="AA93" s="593">
        <v>49.4</v>
      </c>
      <c r="AB93" s="593">
        <v>0</v>
      </c>
      <c r="AC93" s="593">
        <v>95.3</v>
      </c>
      <c r="AD93" s="593">
        <v>982.3</v>
      </c>
      <c r="AE93" s="598">
        <f t="shared" si="5"/>
        <v>6747.1</v>
      </c>
    </row>
    <row r="94" spans="2:31" x14ac:dyDescent="0.15">
      <c r="B94" s="582" t="s">
        <v>56</v>
      </c>
      <c r="C94" s="597">
        <v>882</v>
      </c>
      <c r="D94" s="593">
        <v>250</v>
      </c>
      <c r="E94" s="593">
        <v>55.7</v>
      </c>
      <c r="F94" s="593">
        <v>225.6</v>
      </c>
      <c r="G94" s="593">
        <v>6</v>
      </c>
      <c r="H94" s="593">
        <v>1555.2</v>
      </c>
      <c r="I94" s="593">
        <v>131.5</v>
      </c>
      <c r="J94" s="593">
        <v>7.3</v>
      </c>
      <c r="K94" s="593">
        <v>16.399999999999999</v>
      </c>
      <c r="L94" s="593">
        <v>339</v>
      </c>
      <c r="M94" s="593">
        <v>822</v>
      </c>
      <c r="N94" s="593">
        <v>53.5</v>
      </c>
      <c r="O94" s="593">
        <v>666.9</v>
      </c>
      <c r="P94" s="593">
        <v>98</v>
      </c>
      <c r="Q94" s="593">
        <v>431.2</v>
      </c>
      <c r="R94" s="593">
        <v>5</v>
      </c>
      <c r="S94" s="593">
        <v>16.600000000000001</v>
      </c>
      <c r="T94" s="593">
        <v>154</v>
      </c>
      <c r="U94" s="593">
        <v>5</v>
      </c>
      <c r="V94" s="593">
        <v>188.2</v>
      </c>
      <c r="W94" s="593">
        <v>726.1</v>
      </c>
      <c r="X94" s="593">
        <v>54</v>
      </c>
      <c r="Y94" s="593">
        <v>99</v>
      </c>
      <c r="Z94" s="593">
        <v>0</v>
      </c>
      <c r="AA94" s="593">
        <v>78.400000000000006</v>
      </c>
      <c r="AB94" s="593">
        <v>128.9</v>
      </c>
      <c r="AC94" s="593">
        <v>86.2</v>
      </c>
      <c r="AD94" s="593">
        <v>582.79999999999995</v>
      </c>
      <c r="AE94" s="598">
        <f t="shared" si="5"/>
        <v>7664.5</v>
      </c>
    </row>
    <row r="95" spans="2:31" x14ac:dyDescent="0.15">
      <c r="B95" s="582" t="s">
        <v>57</v>
      </c>
      <c r="C95" s="597">
        <v>545</v>
      </c>
      <c r="D95" s="593">
        <v>79</v>
      </c>
      <c r="E95" s="593">
        <v>50.9</v>
      </c>
      <c r="F95" s="593">
        <v>771.2</v>
      </c>
      <c r="G95" s="593">
        <v>1</v>
      </c>
      <c r="H95" s="593">
        <v>102.2</v>
      </c>
      <c r="I95" s="593">
        <v>60.5</v>
      </c>
      <c r="J95" s="593">
        <v>8.8000000000000007</v>
      </c>
      <c r="K95" s="593">
        <v>0</v>
      </c>
      <c r="L95" s="593">
        <v>117</v>
      </c>
      <c r="M95" s="593">
        <v>0</v>
      </c>
      <c r="N95" s="593">
        <v>29.5</v>
      </c>
      <c r="O95" s="593">
        <v>81.400000000000006</v>
      </c>
      <c r="P95" s="593">
        <v>55</v>
      </c>
      <c r="Q95" s="593">
        <v>438.8</v>
      </c>
      <c r="R95" s="593">
        <v>7</v>
      </c>
      <c r="S95" s="593">
        <v>13.6</v>
      </c>
      <c r="T95" s="593">
        <v>29</v>
      </c>
      <c r="U95" s="593">
        <v>3</v>
      </c>
      <c r="V95" s="593">
        <v>57.3</v>
      </c>
      <c r="W95" s="593">
        <v>67.900000000000006</v>
      </c>
      <c r="X95" s="593">
        <v>9</v>
      </c>
      <c r="Y95" s="593">
        <v>38.5</v>
      </c>
      <c r="Z95" s="593">
        <v>31.7</v>
      </c>
      <c r="AA95" s="593">
        <v>0</v>
      </c>
      <c r="AB95" s="593">
        <v>0</v>
      </c>
      <c r="AC95" s="593">
        <v>34.9</v>
      </c>
      <c r="AD95" s="593">
        <v>130.9</v>
      </c>
      <c r="AE95" s="598">
        <f t="shared" si="5"/>
        <v>2763.1000000000004</v>
      </c>
    </row>
    <row r="96" spans="2:31" x14ac:dyDescent="0.15">
      <c r="B96" s="582" t="s">
        <v>58</v>
      </c>
      <c r="C96" s="597">
        <v>435</v>
      </c>
      <c r="D96" s="593">
        <v>1667</v>
      </c>
      <c r="E96" s="593">
        <v>97.9</v>
      </c>
      <c r="F96" s="593">
        <v>73.7</v>
      </c>
      <c r="G96" s="593">
        <v>25</v>
      </c>
      <c r="H96" s="593">
        <v>360.6</v>
      </c>
      <c r="I96" s="593">
        <v>964.9</v>
      </c>
      <c r="J96" s="593">
        <v>33.200000000000003</v>
      </c>
      <c r="K96" s="593">
        <v>304.89999999999998</v>
      </c>
      <c r="L96" s="593">
        <v>9183</v>
      </c>
      <c r="M96" s="593">
        <v>5351</v>
      </c>
      <c r="N96" s="593">
        <v>211.7</v>
      </c>
      <c r="O96" s="593">
        <v>355.5</v>
      </c>
      <c r="P96" s="593">
        <v>3081</v>
      </c>
      <c r="Q96" s="593">
        <v>2779.8</v>
      </c>
      <c r="R96" s="593">
        <v>21</v>
      </c>
      <c r="S96" s="593">
        <v>112.9</v>
      </c>
      <c r="T96" s="593">
        <v>2200</v>
      </c>
      <c r="U96" s="593">
        <v>50</v>
      </c>
      <c r="V96" s="593">
        <v>2592.6</v>
      </c>
      <c r="W96" s="593">
        <v>489.5</v>
      </c>
      <c r="X96" s="593">
        <v>3098</v>
      </c>
      <c r="Y96" s="593">
        <v>757.6</v>
      </c>
      <c r="Z96" s="593">
        <v>49.7</v>
      </c>
      <c r="AA96" s="593">
        <v>34.6</v>
      </c>
      <c r="AB96" s="593">
        <v>0</v>
      </c>
      <c r="AC96" s="593">
        <v>777.8</v>
      </c>
      <c r="AD96" s="593">
        <v>7868.1</v>
      </c>
      <c r="AE96" s="598">
        <f t="shared" si="5"/>
        <v>42975.999999999993</v>
      </c>
    </row>
    <row r="97" spans="1:34" x14ac:dyDescent="0.15">
      <c r="B97" s="582" t="s">
        <v>59</v>
      </c>
      <c r="C97" s="597">
        <v>766</v>
      </c>
      <c r="D97" s="593">
        <v>1665</v>
      </c>
      <c r="E97" s="593">
        <v>66.8</v>
      </c>
      <c r="F97" s="593">
        <v>268.7</v>
      </c>
      <c r="G97" s="593">
        <v>82</v>
      </c>
      <c r="H97" s="593">
        <v>279</v>
      </c>
      <c r="I97" s="593">
        <v>5544.3</v>
      </c>
      <c r="J97" s="593">
        <v>420.2</v>
      </c>
      <c r="K97" s="593">
        <v>3136.7</v>
      </c>
      <c r="L97" s="593">
        <v>2556</v>
      </c>
      <c r="M97" s="593">
        <v>0</v>
      </c>
      <c r="N97" s="593">
        <v>324.39999999999998</v>
      </c>
      <c r="O97" s="593">
        <v>350</v>
      </c>
      <c r="P97" s="593">
        <v>2299</v>
      </c>
      <c r="Q97" s="593">
        <v>1185.5999999999999</v>
      </c>
      <c r="R97" s="593">
        <v>232</v>
      </c>
      <c r="S97" s="593">
        <v>205.4</v>
      </c>
      <c r="T97" s="593">
        <v>1932</v>
      </c>
      <c r="U97" s="593">
        <v>262</v>
      </c>
      <c r="V97" s="593">
        <v>1853.4</v>
      </c>
      <c r="W97" s="593">
        <v>1233.7</v>
      </c>
      <c r="X97" s="593">
        <v>229</v>
      </c>
      <c r="Y97" s="593">
        <v>181.5</v>
      </c>
      <c r="Z97" s="593">
        <v>62.5</v>
      </c>
      <c r="AA97" s="593">
        <v>59.7</v>
      </c>
      <c r="AB97" s="593">
        <v>0</v>
      </c>
      <c r="AC97" s="593">
        <v>0</v>
      </c>
      <c r="AD97" s="593">
        <v>5651.4</v>
      </c>
      <c r="AE97" s="598">
        <f t="shared" si="5"/>
        <v>30846.300000000003</v>
      </c>
    </row>
    <row r="98" spans="1:34" x14ac:dyDescent="0.15">
      <c r="B98" s="582" t="s">
        <v>62</v>
      </c>
      <c r="C98" s="597">
        <v>2082</v>
      </c>
      <c r="D98" s="593">
        <v>8946</v>
      </c>
      <c r="E98" s="593">
        <v>648.79999999999995</v>
      </c>
      <c r="F98" s="593">
        <v>505.1</v>
      </c>
      <c r="G98" s="593">
        <v>1815</v>
      </c>
      <c r="H98" s="593">
        <v>1202.5</v>
      </c>
      <c r="I98" s="593">
        <v>4465.8</v>
      </c>
      <c r="J98" s="593">
        <v>251.4</v>
      </c>
      <c r="K98" s="593">
        <v>1440.6</v>
      </c>
      <c r="L98" s="593">
        <v>26044</v>
      </c>
      <c r="M98" s="593">
        <v>24161</v>
      </c>
      <c r="N98" s="593">
        <v>4580.7</v>
      </c>
      <c r="O98" s="593">
        <v>1571.9</v>
      </c>
      <c r="P98" s="593">
        <v>23535</v>
      </c>
      <c r="Q98" s="593">
        <v>7390.1</v>
      </c>
      <c r="R98" s="593">
        <v>427</v>
      </c>
      <c r="S98" s="593">
        <v>256.7</v>
      </c>
      <c r="T98" s="593">
        <v>13755</v>
      </c>
      <c r="U98" s="593">
        <v>1209</v>
      </c>
      <c r="V98" s="593">
        <v>16458.400000000001</v>
      </c>
      <c r="W98" s="593">
        <v>2840.3</v>
      </c>
      <c r="X98" s="593">
        <v>3719</v>
      </c>
      <c r="Y98" s="593">
        <v>1079.3</v>
      </c>
      <c r="Z98" s="593">
        <v>209.4</v>
      </c>
      <c r="AA98" s="593">
        <v>166.2</v>
      </c>
      <c r="AB98" s="593">
        <v>15922</v>
      </c>
      <c r="AC98" s="593">
        <v>6344.1</v>
      </c>
      <c r="AD98" s="593">
        <v>0</v>
      </c>
      <c r="AE98" s="598">
        <f t="shared" si="5"/>
        <v>171026.3</v>
      </c>
    </row>
    <row r="99" spans="1:34" x14ac:dyDescent="0.15">
      <c r="A99" s="573"/>
      <c r="B99" s="587" t="s">
        <v>1728</v>
      </c>
      <c r="C99" s="610">
        <v>39680</v>
      </c>
      <c r="D99" s="607">
        <v>69616</v>
      </c>
      <c r="E99" s="607">
        <v>4470.8</v>
      </c>
      <c r="F99" s="607">
        <v>8129</v>
      </c>
      <c r="G99" s="607">
        <v>4517</v>
      </c>
      <c r="H99" s="607">
        <v>14358</v>
      </c>
      <c r="I99" s="607">
        <v>26883.8</v>
      </c>
      <c r="J99" s="607">
        <v>3543.3</v>
      </c>
      <c r="K99" s="607">
        <v>11781.5</v>
      </c>
      <c r="L99" s="607">
        <v>119797</v>
      </c>
      <c r="M99" s="607">
        <v>118095</v>
      </c>
      <c r="N99" s="607">
        <v>17619</v>
      </c>
      <c r="O99" s="607">
        <v>14195.7</v>
      </c>
      <c r="P99" s="607">
        <v>65641</v>
      </c>
      <c r="Q99" s="607">
        <v>49270.3</v>
      </c>
      <c r="R99" s="607">
        <v>2313</v>
      </c>
      <c r="S99" s="607">
        <v>3732.6</v>
      </c>
      <c r="T99" s="607">
        <v>61021</v>
      </c>
      <c r="U99" s="607">
        <v>3497</v>
      </c>
      <c r="V99" s="607">
        <v>83491.7</v>
      </c>
      <c r="W99" s="607">
        <v>28277</v>
      </c>
      <c r="X99" s="607">
        <v>19106.099999999999</v>
      </c>
      <c r="Y99" s="607">
        <v>13244</v>
      </c>
      <c r="Z99" s="607">
        <v>5778.2</v>
      </c>
      <c r="AA99" s="607">
        <v>4774.6000000000004</v>
      </c>
      <c r="AB99" s="607">
        <v>67279</v>
      </c>
      <c r="AC99" s="607">
        <v>34157.800000000003</v>
      </c>
      <c r="AD99" s="607">
        <v>122491.2</v>
      </c>
      <c r="AE99" s="606">
        <v>1016760.6</v>
      </c>
      <c r="AH99" s="574"/>
    </row>
    <row r="100" spans="1:34" x14ac:dyDescent="0.15">
      <c r="A100" s="573"/>
      <c r="B100" s="591" t="s">
        <v>1730</v>
      </c>
      <c r="C100" s="610">
        <f t="shared" ref="C100:AE100" si="6">+C99-C90-C89-C88-C84-C75-C72</f>
        <v>35638</v>
      </c>
      <c r="D100" s="607">
        <f t="shared" si="6"/>
        <v>47520</v>
      </c>
      <c r="E100" s="607">
        <f t="shared" si="6"/>
        <v>3868.1000000000004</v>
      </c>
      <c r="F100" s="607">
        <f t="shared" si="6"/>
        <v>7397.2000000000007</v>
      </c>
      <c r="G100" s="607">
        <f t="shared" si="6"/>
        <v>4234</v>
      </c>
      <c r="H100" s="607">
        <f t="shared" si="6"/>
        <v>11937.6</v>
      </c>
      <c r="I100" s="607">
        <f t="shared" si="6"/>
        <v>23285.200000000001</v>
      </c>
      <c r="J100" s="607">
        <f t="shared" si="6"/>
        <v>3266.5000000000005</v>
      </c>
      <c r="K100" s="607">
        <f t="shared" si="6"/>
        <v>10534</v>
      </c>
      <c r="L100" s="607">
        <f t="shared" si="6"/>
        <v>83221</v>
      </c>
      <c r="M100" s="607">
        <f t="shared" si="6"/>
        <v>84972</v>
      </c>
      <c r="N100" s="607">
        <f t="shared" si="6"/>
        <v>14879.400000000003</v>
      </c>
      <c r="O100" s="607">
        <f t="shared" si="6"/>
        <v>12506.6</v>
      </c>
      <c r="P100" s="607">
        <f t="shared" si="6"/>
        <v>57685</v>
      </c>
      <c r="Q100" s="607">
        <f t="shared" si="6"/>
        <v>39264.699999999997</v>
      </c>
      <c r="R100" s="607">
        <f t="shared" si="6"/>
        <v>1923</v>
      </c>
      <c r="S100" s="607">
        <f t="shared" si="6"/>
        <v>3264.9</v>
      </c>
      <c r="T100" s="607">
        <f t="shared" si="6"/>
        <v>51719</v>
      </c>
      <c r="U100" s="607">
        <f t="shared" si="6"/>
        <v>3277</v>
      </c>
      <c r="V100" s="607">
        <f t="shared" si="6"/>
        <v>58026.6</v>
      </c>
      <c r="W100" s="607">
        <f t="shared" si="6"/>
        <v>22980.199999999997</v>
      </c>
      <c r="X100" s="607">
        <f t="shared" si="6"/>
        <v>16246.099999999999</v>
      </c>
      <c r="Y100" s="607">
        <f t="shared" si="6"/>
        <v>11101.899999999998</v>
      </c>
      <c r="Z100" s="607">
        <f t="shared" si="6"/>
        <v>5020.5</v>
      </c>
      <c r="AA100" s="607">
        <f t="shared" si="6"/>
        <v>4248.7000000000007</v>
      </c>
      <c r="AB100" s="607">
        <f t="shared" si="6"/>
        <v>56957.1</v>
      </c>
      <c r="AC100" s="607">
        <f t="shared" si="6"/>
        <v>28414</v>
      </c>
      <c r="AD100" s="607">
        <f t="shared" si="6"/>
        <v>82813.100000000006</v>
      </c>
      <c r="AE100" s="606">
        <f t="shared" si="6"/>
        <v>786201.4</v>
      </c>
    </row>
    <row r="101" spans="1:34" ht="15" thickBot="1" x14ac:dyDescent="0.2">
      <c r="A101" s="573"/>
      <c r="B101" s="592" t="s">
        <v>1731</v>
      </c>
      <c r="C101" s="614">
        <f t="shared" ref="C101:AE101" si="7">+C99-C100</f>
        <v>4042</v>
      </c>
      <c r="D101" s="615">
        <f t="shared" si="7"/>
        <v>22096</v>
      </c>
      <c r="E101" s="615">
        <f t="shared" si="7"/>
        <v>602.69999999999982</v>
      </c>
      <c r="F101" s="615">
        <f t="shared" si="7"/>
        <v>731.79999999999927</v>
      </c>
      <c r="G101" s="615">
        <f t="shared" si="7"/>
        <v>283</v>
      </c>
      <c r="H101" s="615">
        <f t="shared" si="7"/>
        <v>2420.3999999999996</v>
      </c>
      <c r="I101" s="615">
        <f t="shared" si="7"/>
        <v>3598.5999999999985</v>
      </c>
      <c r="J101" s="615">
        <f t="shared" si="7"/>
        <v>276.79999999999973</v>
      </c>
      <c r="K101" s="615">
        <f t="shared" si="7"/>
        <v>1247.5</v>
      </c>
      <c r="L101" s="615">
        <f t="shared" si="7"/>
        <v>36576</v>
      </c>
      <c r="M101" s="615">
        <f t="shared" si="7"/>
        <v>33123</v>
      </c>
      <c r="N101" s="615">
        <f t="shared" si="7"/>
        <v>2739.5999999999967</v>
      </c>
      <c r="O101" s="615">
        <f t="shared" si="7"/>
        <v>1689.1000000000004</v>
      </c>
      <c r="P101" s="615">
        <f t="shared" si="7"/>
        <v>7956</v>
      </c>
      <c r="Q101" s="615">
        <f t="shared" si="7"/>
        <v>10005.600000000006</v>
      </c>
      <c r="R101" s="615">
        <f t="shared" si="7"/>
        <v>390</v>
      </c>
      <c r="S101" s="615">
        <f t="shared" si="7"/>
        <v>467.69999999999982</v>
      </c>
      <c r="T101" s="615">
        <f t="shared" si="7"/>
        <v>9302</v>
      </c>
      <c r="U101" s="615">
        <f t="shared" si="7"/>
        <v>220</v>
      </c>
      <c r="V101" s="615">
        <f t="shared" si="7"/>
        <v>25465.1</v>
      </c>
      <c r="W101" s="615">
        <f t="shared" si="7"/>
        <v>5296.8000000000029</v>
      </c>
      <c r="X101" s="615">
        <f t="shared" si="7"/>
        <v>2860</v>
      </c>
      <c r="Y101" s="615">
        <f t="shared" si="7"/>
        <v>2142.1000000000022</v>
      </c>
      <c r="Z101" s="615">
        <f t="shared" si="7"/>
        <v>757.69999999999982</v>
      </c>
      <c r="AA101" s="615">
        <f t="shared" si="7"/>
        <v>525.89999999999964</v>
      </c>
      <c r="AB101" s="615">
        <f t="shared" si="7"/>
        <v>10321.900000000001</v>
      </c>
      <c r="AC101" s="615">
        <f t="shared" si="7"/>
        <v>5743.8000000000029</v>
      </c>
      <c r="AD101" s="615">
        <f t="shared" si="7"/>
        <v>39678.099999999991</v>
      </c>
      <c r="AE101" s="616">
        <f t="shared" si="7"/>
        <v>230559.19999999995</v>
      </c>
    </row>
    <row r="102" spans="1:34" ht="15" thickBot="1" x14ac:dyDescent="0.2">
      <c r="A102" s="573"/>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3"/>
    </row>
    <row r="103" spans="1:34" x14ac:dyDescent="0.15">
      <c r="A103" s="573"/>
      <c r="B103" s="2439" t="s">
        <v>1734</v>
      </c>
      <c r="C103" s="2440"/>
      <c r="D103" s="2440"/>
      <c r="E103" s="2440"/>
      <c r="F103" s="2440"/>
      <c r="G103" s="2440"/>
      <c r="H103" s="2440"/>
      <c r="I103" s="2440"/>
      <c r="J103" s="2440"/>
      <c r="K103" s="2440"/>
      <c r="L103" s="2440"/>
      <c r="M103" s="2440"/>
      <c r="N103" s="2440"/>
      <c r="O103" s="2440"/>
      <c r="P103" s="2440"/>
      <c r="Q103" s="2440"/>
      <c r="R103" s="2440"/>
      <c r="S103" s="2440"/>
      <c r="T103" s="2440"/>
      <c r="U103" s="2440"/>
      <c r="V103" s="2440"/>
      <c r="W103" s="2440"/>
      <c r="X103" s="2440"/>
      <c r="Y103" s="2440"/>
      <c r="Z103" s="2440"/>
      <c r="AA103" s="2440"/>
      <c r="AB103" s="2440"/>
      <c r="AC103" s="2440"/>
      <c r="AD103" s="2440"/>
      <c r="AE103" s="2441"/>
    </row>
    <row r="104" spans="1:34" ht="15" thickBot="1" x14ac:dyDescent="0.2">
      <c r="A104" s="573"/>
      <c r="B104" s="2442"/>
      <c r="C104" s="2443"/>
      <c r="D104" s="2443"/>
      <c r="E104" s="2443"/>
      <c r="F104" s="2443"/>
      <c r="G104" s="2443"/>
      <c r="H104" s="2443"/>
      <c r="I104" s="2443"/>
      <c r="J104" s="2443"/>
      <c r="K104" s="2443"/>
      <c r="L104" s="2443"/>
      <c r="M104" s="2443"/>
      <c r="N104" s="2443"/>
      <c r="O104" s="2443"/>
      <c r="P104" s="2443"/>
      <c r="Q104" s="2443"/>
      <c r="R104" s="2443"/>
      <c r="S104" s="2443"/>
      <c r="T104" s="2443"/>
      <c r="U104" s="2443"/>
      <c r="V104" s="2443"/>
      <c r="W104" s="2443"/>
      <c r="X104" s="2443"/>
      <c r="Y104" s="2443"/>
      <c r="Z104" s="2443"/>
      <c r="AA104" s="2443"/>
      <c r="AB104" s="2443"/>
      <c r="AC104" s="2443"/>
      <c r="AD104" s="2443"/>
      <c r="AE104" s="2444"/>
    </row>
    <row r="105" spans="1:34" x14ac:dyDescent="0.15">
      <c r="A105" s="573"/>
      <c r="B105" s="573"/>
      <c r="C105" s="573"/>
      <c r="D105" s="573"/>
      <c r="E105" s="583"/>
      <c r="F105" s="573"/>
      <c r="G105" s="573"/>
      <c r="H105" s="573"/>
      <c r="I105" s="573"/>
      <c r="J105" s="573"/>
      <c r="K105" s="573"/>
      <c r="L105" s="573"/>
      <c r="M105" s="573"/>
      <c r="N105" s="573"/>
      <c r="O105" s="573"/>
      <c r="P105" s="573"/>
      <c r="Q105" s="573"/>
      <c r="R105" s="573"/>
      <c r="S105" s="573"/>
      <c r="T105" s="573"/>
      <c r="U105" s="573"/>
      <c r="V105" s="573"/>
      <c r="W105" s="573"/>
      <c r="X105" s="573"/>
      <c r="Y105" s="573"/>
      <c r="Z105" s="573"/>
      <c r="AA105" s="573"/>
      <c r="AB105" s="573"/>
      <c r="AC105" s="573"/>
      <c r="AD105" s="573"/>
      <c r="AE105" s="573"/>
    </row>
    <row r="106" spans="1:34" x14ac:dyDescent="0.15">
      <c r="A106" s="573"/>
      <c r="B106" s="573"/>
      <c r="C106" s="573"/>
      <c r="D106" s="573"/>
      <c r="E106" s="58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573"/>
    </row>
    <row r="107" spans="1:34" x14ac:dyDescent="0.15">
      <c r="A107" s="573"/>
      <c r="B107" s="573"/>
      <c r="C107" s="573"/>
      <c r="D107" s="573"/>
      <c r="E107" s="58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3"/>
    </row>
    <row r="112" spans="1:34" x14ac:dyDescent="0.15">
      <c r="M112" s="574"/>
      <c r="AE112" s="574"/>
    </row>
    <row r="113" spans="4:31" x14ac:dyDescent="0.15">
      <c r="L113" s="574"/>
      <c r="M113" s="574"/>
      <c r="V113" s="574"/>
      <c r="AE113" s="574"/>
    </row>
    <row r="117" spans="4:31" x14ac:dyDescent="0.15">
      <c r="AE117" s="574"/>
    </row>
    <row r="118" spans="4:31" x14ac:dyDescent="0.15">
      <c r="AE118" s="574"/>
    </row>
    <row r="121" spans="4:31" x14ac:dyDescent="0.15">
      <c r="M121" s="574"/>
      <c r="Q121" s="574"/>
      <c r="T121" s="574"/>
      <c r="V121" s="574"/>
      <c r="AE121" s="574"/>
    </row>
    <row r="122" spans="4:31" x14ac:dyDescent="0.15">
      <c r="D122" s="574"/>
      <c r="L122" s="574"/>
      <c r="P122" s="574"/>
      <c r="T122" s="574"/>
      <c r="AE122" s="574"/>
    </row>
    <row r="125" spans="4:31" x14ac:dyDescent="0.15">
      <c r="L125" s="574"/>
      <c r="Q125" s="574"/>
      <c r="V125" s="574"/>
      <c r="AE125" s="574"/>
    </row>
    <row r="126" spans="4:31" x14ac:dyDescent="0.15">
      <c r="D126" s="576">
        <f>'Disc. 1'!D36+'Disc. 1'!G36+'Disc. 1'!P36+'Disc. 1'!T36+'Disc. 1'!V36</f>
        <v>-68911.199999999997</v>
      </c>
      <c r="P126" s="574"/>
      <c r="T126" s="574"/>
      <c r="AE126" s="574"/>
    </row>
    <row r="129" spans="2:31" x14ac:dyDescent="0.15">
      <c r="AE129" s="574"/>
    </row>
    <row r="131" spans="2:31" x14ac:dyDescent="0.15">
      <c r="D131" s="574"/>
      <c r="L131" s="574"/>
      <c r="M131" s="574"/>
      <c r="P131" s="574"/>
      <c r="T131" s="574"/>
      <c r="AE131" s="574"/>
    </row>
    <row r="132" spans="2:31" x14ac:dyDescent="0.15">
      <c r="AE132" s="574"/>
    </row>
    <row r="137" spans="2:31" x14ac:dyDescent="0.15">
      <c r="AE137" s="574"/>
    </row>
    <row r="138" spans="2:31" x14ac:dyDescent="0.15">
      <c r="T138" s="574"/>
      <c r="AE138" s="574"/>
    </row>
    <row r="140" spans="2:31" x14ac:dyDescent="0.15">
      <c r="C140" s="574"/>
      <c r="D140" s="574"/>
      <c r="L140" s="574"/>
      <c r="M140" s="574"/>
      <c r="P140" s="574"/>
      <c r="Q140" s="574"/>
      <c r="T140" s="574"/>
      <c r="V140" s="574"/>
      <c r="W140" s="574"/>
      <c r="Y140" s="574"/>
      <c r="AB140" s="574"/>
      <c r="AC140" s="574"/>
      <c r="AE140" s="574"/>
    </row>
    <row r="141" spans="2:31" x14ac:dyDescent="0.15">
      <c r="B141" s="579"/>
      <c r="C141" s="579"/>
      <c r="D141" s="579"/>
      <c r="E141" s="579"/>
      <c r="F141" s="579"/>
      <c r="G141" s="579"/>
      <c r="H141" s="579"/>
      <c r="I141" s="579"/>
      <c r="J141" s="579"/>
      <c r="K141" s="579"/>
      <c r="L141" s="579"/>
      <c r="M141" s="579"/>
      <c r="N141" s="579"/>
      <c r="O141" s="579"/>
      <c r="P141" s="579"/>
      <c r="Q141" s="579"/>
      <c r="R141" s="579"/>
      <c r="S141" s="579"/>
      <c r="T141" s="579"/>
      <c r="U141" s="579"/>
      <c r="V141" s="579"/>
      <c r="W141" s="579"/>
      <c r="X141" s="579"/>
      <c r="Y141" s="579"/>
      <c r="Z141" s="579"/>
      <c r="AA141" s="579"/>
      <c r="AB141" s="579"/>
      <c r="AC141" s="579"/>
      <c r="AD141" s="579"/>
      <c r="AE141" s="579"/>
    </row>
    <row r="142" spans="2:31" x14ac:dyDescent="0.15">
      <c r="B142" s="579"/>
      <c r="C142" s="579"/>
      <c r="D142" s="579"/>
      <c r="E142" s="579"/>
      <c r="F142" s="579"/>
      <c r="G142" s="579"/>
      <c r="H142" s="579"/>
      <c r="I142" s="579"/>
      <c r="J142" s="579"/>
      <c r="K142" s="579"/>
      <c r="L142" s="579"/>
      <c r="M142" s="579"/>
      <c r="N142" s="579"/>
      <c r="O142" s="579"/>
      <c r="P142" s="579"/>
      <c r="Q142" s="579"/>
      <c r="R142" s="579"/>
      <c r="S142" s="579"/>
      <c r="T142" s="579"/>
      <c r="U142" s="579"/>
      <c r="V142" s="579"/>
      <c r="W142" s="579"/>
      <c r="X142" s="579"/>
      <c r="Y142" s="579"/>
      <c r="Z142" s="579"/>
      <c r="AA142" s="579"/>
      <c r="AB142" s="579"/>
      <c r="AC142" s="579"/>
      <c r="AD142" s="579"/>
      <c r="AE142" s="579"/>
    </row>
    <row r="145" spans="4:31" x14ac:dyDescent="0.15">
      <c r="D145" s="580"/>
      <c r="E145" s="577"/>
    </row>
    <row r="146" spans="4:31" x14ac:dyDescent="0.15">
      <c r="D146" s="580"/>
      <c r="E146" s="577"/>
    </row>
    <row r="147" spans="4:31" x14ac:dyDescent="0.15">
      <c r="D147" s="580"/>
      <c r="E147" s="577"/>
    </row>
    <row r="148" spans="4:31" x14ac:dyDescent="0.15">
      <c r="D148" s="580"/>
      <c r="E148" s="577"/>
    </row>
    <row r="153" spans="4:31" x14ac:dyDescent="0.15">
      <c r="M153" s="574"/>
      <c r="AD153" s="574"/>
      <c r="AE153" s="574"/>
    </row>
    <row r="154" spans="4:31" x14ac:dyDescent="0.15">
      <c r="L154" s="574"/>
      <c r="M154" s="574"/>
      <c r="P154" s="574"/>
      <c r="Q154" s="574"/>
      <c r="T154" s="574"/>
      <c r="V154" s="574"/>
      <c r="AD154" s="574"/>
      <c r="AE154" s="574"/>
    </row>
    <row r="155" spans="4:31" x14ac:dyDescent="0.15">
      <c r="AE155" s="574"/>
    </row>
    <row r="156" spans="4:31" x14ac:dyDescent="0.15">
      <c r="AE156" s="574"/>
    </row>
    <row r="157" spans="4:31" x14ac:dyDescent="0.15">
      <c r="AE157" s="574"/>
    </row>
    <row r="158" spans="4:31" x14ac:dyDescent="0.15">
      <c r="M158" s="574"/>
      <c r="AE158" s="574"/>
    </row>
    <row r="159" spans="4:31" x14ac:dyDescent="0.15">
      <c r="M159" s="574"/>
      <c r="AC159" s="574"/>
      <c r="AD159" s="574"/>
      <c r="AE159" s="574"/>
    </row>
    <row r="162" spans="3:31" x14ac:dyDescent="0.15">
      <c r="D162" s="574"/>
      <c r="M162" s="574"/>
      <c r="P162" s="574"/>
      <c r="Q162" s="574"/>
      <c r="T162" s="574"/>
      <c r="V162" s="574"/>
      <c r="AB162" s="574"/>
      <c r="AC162" s="574"/>
      <c r="AD162" s="574"/>
      <c r="AE162" s="574"/>
    </row>
    <row r="163" spans="3:31" x14ac:dyDescent="0.15">
      <c r="C163" s="574"/>
      <c r="D163" s="574"/>
      <c r="H163" s="574"/>
      <c r="I163" s="574"/>
      <c r="L163" s="574"/>
      <c r="P163" s="574"/>
      <c r="Q163" s="574"/>
      <c r="T163" s="574"/>
      <c r="V163" s="574"/>
      <c r="W163" s="574"/>
      <c r="AB163" s="574"/>
      <c r="AC163" s="574"/>
      <c r="AD163" s="574"/>
      <c r="AE163" s="574"/>
    </row>
    <row r="164" spans="3:31" x14ac:dyDescent="0.15">
      <c r="AE164" s="574"/>
    </row>
    <row r="165" spans="3:31" x14ac:dyDescent="0.15">
      <c r="M165" s="574"/>
      <c r="AE165" s="574"/>
    </row>
    <row r="166" spans="3:31" x14ac:dyDescent="0.15">
      <c r="D166" s="574"/>
      <c r="L166" s="574"/>
      <c r="M166" s="574"/>
      <c r="Q166" s="574"/>
      <c r="V166" s="574"/>
      <c r="AD166" s="574"/>
      <c r="AE166" s="574"/>
    </row>
    <row r="167" spans="3:31" x14ac:dyDescent="0.15">
      <c r="D167" s="574"/>
      <c r="L167" s="574"/>
      <c r="M167" s="574"/>
      <c r="P167" s="574"/>
      <c r="T167" s="574"/>
      <c r="V167" s="574"/>
      <c r="AB167" s="574"/>
      <c r="AD167" s="574"/>
      <c r="AE167" s="574"/>
    </row>
    <row r="170" spans="3:31" x14ac:dyDescent="0.15">
      <c r="D170" s="574"/>
      <c r="L170" s="574"/>
      <c r="M170" s="574"/>
      <c r="P170" s="574"/>
      <c r="Q170" s="574"/>
      <c r="V170" s="574"/>
      <c r="AC170" s="574"/>
      <c r="AD170" s="574"/>
      <c r="AE170" s="574"/>
    </row>
    <row r="171" spans="3:31" x14ac:dyDescent="0.15">
      <c r="AE171" s="574"/>
    </row>
    <row r="172" spans="3:31" x14ac:dyDescent="0.15">
      <c r="D172" s="574"/>
      <c r="L172" s="574"/>
      <c r="M172" s="574"/>
      <c r="P172" s="574"/>
      <c r="Q172" s="574"/>
      <c r="AD172" s="574"/>
      <c r="AE172" s="574"/>
    </row>
    <row r="173" spans="3:31" x14ac:dyDescent="0.15">
      <c r="L173" s="574"/>
      <c r="M173" s="574"/>
      <c r="AD173" s="574"/>
      <c r="AE173" s="574"/>
    </row>
    <row r="175" spans="3:31" x14ac:dyDescent="0.15">
      <c r="AE175" s="574"/>
    </row>
    <row r="176" spans="3:31" x14ac:dyDescent="0.15">
      <c r="AE176" s="574"/>
    </row>
    <row r="177" spans="2:31" x14ac:dyDescent="0.15">
      <c r="AE177" s="574"/>
    </row>
    <row r="178" spans="2:31" x14ac:dyDescent="0.15">
      <c r="AE178" s="574"/>
    </row>
    <row r="179" spans="2:31" x14ac:dyDescent="0.15">
      <c r="I179" s="574"/>
      <c r="K179" s="574"/>
      <c r="L179" s="574"/>
      <c r="M179" s="574"/>
      <c r="P179" s="574"/>
      <c r="AD179" s="574"/>
      <c r="AE179" s="574"/>
    </row>
    <row r="181" spans="2:31" x14ac:dyDescent="0.15">
      <c r="C181" s="574"/>
      <c r="D181" s="574"/>
      <c r="E181" s="574"/>
      <c r="G181" s="574"/>
      <c r="H181" s="574"/>
      <c r="I181" s="574"/>
      <c r="K181" s="574"/>
      <c r="L181" s="574"/>
      <c r="M181" s="574"/>
      <c r="N181" s="574"/>
      <c r="O181" s="574"/>
      <c r="P181" s="574"/>
      <c r="Q181" s="574"/>
      <c r="T181" s="574"/>
      <c r="U181" s="574"/>
      <c r="V181" s="574"/>
      <c r="W181" s="574"/>
      <c r="X181" s="574"/>
      <c r="Y181" s="574"/>
      <c r="Z181" s="574"/>
      <c r="AB181" s="574"/>
      <c r="AC181" s="574"/>
      <c r="AD181" s="574"/>
      <c r="AE181" s="574"/>
    </row>
    <row r="182" spans="2:31" x14ac:dyDescent="0.15">
      <c r="B182" s="579"/>
      <c r="C182" s="579"/>
      <c r="D182" s="579"/>
      <c r="E182" s="579"/>
      <c r="F182" s="579"/>
      <c r="G182" s="579"/>
      <c r="H182" s="579"/>
      <c r="I182" s="579"/>
      <c r="J182" s="579"/>
      <c r="K182" s="579"/>
      <c r="L182" s="579"/>
      <c r="M182" s="579"/>
      <c r="N182" s="579"/>
      <c r="O182" s="579"/>
      <c r="P182" s="579"/>
      <c r="Q182" s="579"/>
      <c r="R182" s="579"/>
      <c r="S182" s="579"/>
      <c r="T182" s="579"/>
      <c r="U182" s="579"/>
      <c r="V182" s="579"/>
      <c r="W182" s="579"/>
      <c r="X182" s="579"/>
      <c r="Y182" s="579"/>
      <c r="Z182" s="579"/>
      <c r="AA182" s="579"/>
      <c r="AB182" s="579"/>
      <c r="AC182" s="579"/>
      <c r="AD182" s="579"/>
      <c r="AE182" s="579"/>
    </row>
    <row r="183" spans="2:31" x14ac:dyDescent="0.15">
      <c r="B183" s="579"/>
      <c r="C183" s="579"/>
      <c r="D183" s="579"/>
      <c r="E183" s="579"/>
      <c r="F183" s="579"/>
      <c r="G183" s="579"/>
      <c r="H183" s="579"/>
      <c r="I183" s="579"/>
      <c r="J183" s="579"/>
      <c r="K183" s="579"/>
      <c r="L183" s="579"/>
      <c r="M183" s="579"/>
      <c r="N183" s="579"/>
      <c r="O183" s="579"/>
      <c r="P183" s="579"/>
      <c r="Q183" s="579"/>
      <c r="R183" s="579"/>
      <c r="S183" s="579"/>
      <c r="T183" s="579"/>
      <c r="U183" s="579"/>
      <c r="V183" s="579"/>
      <c r="W183" s="579"/>
      <c r="X183" s="579"/>
      <c r="Y183" s="579"/>
      <c r="Z183" s="579"/>
      <c r="AA183" s="579"/>
      <c r="AB183" s="579"/>
      <c r="AC183" s="579"/>
      <c r="AD183" s="579"/>
      <c r="AE183" s="579"/>
    </row>
    <row r="186" spans="2:31" x14ac:dyDescent="0.15">
      <c r="D186" s="580"/>
      <c r="E186" s="577"/>
    </row>
    <row r="187" spans="2:31" x14ac:dyDescent="0.15">
      <c r="D187" s="580"/>
      <c r="E187" s="577"/>
    </row>
    <row r="188" spans="2:31" x14ac:dyDescent="0.15">
      <c r="D188" s="580"/>
      <c r="E188" s="577"/>
    </row>
    <row r="189" spans="2:31" x14ac:dyDescent="0.15">
      <c r="D189" s="580"/>
      <c r="E189" s="577"/>
    </row>
  </sheetData>
  <mergeCells count="3">
    <mergeCell ref="B2:AE2"/>
    <mergeCell ref="C4:AE4"/>
    <mergeCell ref="B103:AE104"/>
  </mergeCells>
  <pageMargins left="0.7" right="0.7" top="0.75" bottom="0.75" header="0.3" footer="0.3"/>
  <pageSetup paperSize="9" scale="28" orientation="landscape"/>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35"/>
  <sheetViews>
    <sheetView workbookViewId="0">
      <selection activeCell="H10" sqref="H10"/>
    </sheetView>
  </sheetViews>
  <sheetFormatPr baseColWidth="10" defaultColWidth="8.83203125" defaultRowHeight="16" x14ac:dyDescent="0.2"/>
  <cols>
    <col min="1" max="1" width="26.6640625" style="143" bestFit="1" customWidth="1"/>
    <col min="2" max="2" width="21.1640625" style="143" bestFit="1" customWidth="1"/>
    <col min="3" max="3" width="21" style="143" bestFit="1" customWidth="1"/>
    <col min="4" max="4" width="11.1640625" style="143" bestFit="1" customWidth="1"/>
    <col min="5" max="6" width="8.83203125" style="143"/>
    <col min="7" max="7" width="26.5" style="143" bestFit="1" customWidth="1"/>
    <col min="8" max="11" width="17.33203125" style="143" customWidth="1"/>
    <col min="12" max="15" width="8.83203125" style="143"/>
    <col min="16" max="16" width="26.6640625" style="143" bestFit="1" customWidth="1"/>
    <col min="17" max="16384" width="8.83203125" style="143"/>
  </cols>
  <sheetData>
    <row r="1" spans="1:13" x14ac:dyDescent="0.2">
      <c r="A1" s="958"/>
      <c r="B1" s="958"/>
      <c r="C1" s="958"/>
      <c r="D1" s="958"/>
      <c r="E1" s="958"/>
      <c r="F1" s="958"/>
      <c r="G1" s="1031"/>
      <c r="H1" s="573"/>
      <c r="I1" s="573"/>
      <c r="J1" s="573"/>
      <c r="K1" s="573"/>
      <c r="L1" s="1031"/>
      <c r="M1" s="1031"/>
    </row>
    <row r="2" spans="1:13" ht="17" thickBot="1" x14ac:dyDescent="0.25">
      <c r="A2" s="958"/>
      <c r="B2" s="958"/>
      <c r="C2" s="958"/>
      <c r="D2" s="958"/>
      <c r="E2" s="958"/>
      <c r="F2" s="958"/>
      <c r="G2" s="160"/>
      <c r="H2" s="160"/>
      <c r="I2" s="160"/>
      <c r="J2" s="160"/>
      <c r="K2" s="573"/>
      <c r="L2" s="1031"/>
      <c r="M2" s="958"/>
    </row>
    <row r="3" spans="1:13" x14ac:dyDescent="0.2">
      <c r="A3" s="2445" t="s">
        <v>1735</v>
      </c>
      <c r="B3" s="2446"/>
      <c r="C3" s="2446"/>
      <c r="D3" s="2447"/>
      <c r="E3" s="596"/>
      <c r="F3" s="958"/>
      <c r="G3" s="958"/>
      <c r="H3" s="958"/>
      <c r="I3" s="958"/>
      <c r="J3" s="958"/>
      <c r="K3" s="958"/>
      <c r="L3" s="1031"/>
      <c r="M3" s="958"/>
    </row>
    <row r="4" spans="1:13" x14ac:dyDescent="0.2">
      <c r="A4" s="582"/>
      <c r="B4" s="1031"/>
      <c r="C4" s="1031"/>
      <c r="D4" s="957"/>
      <c r="E4" s="958"/>
      <c r="F4" s="958"/>
      <c r="G4" s="958"/>
      <c r="H4" s="958"/>
      <c r="I4" s="958"/>
      <c r="J4" s="958"/>
      <c r="K4" s="958"/>
      <c r="L4" s="1031"/>
      <c r="M4" s="958"/>
    </row>
    <row r="5" spans="1:13" ht="17" thickBot="1" x14ac:dyDescent="0.25">
      <c r="A5" s="959"/>
      <c r="B5" s="160" t="s">
        <v>1</v>
      </c>
      <c r="C5" s="160" t="s">
        <v>2</v>
      </c>
      <c r="D5" s="548" t="s">
        <v>3</v>
      </c>
      <c r="E5" s="958"/>
      <c r="F5" s="958"/>
      <c r="G5" s="958"/>
      <c r="H5" s="958"/>
      <c r="I5" s="958"/>
      <c r="J5" s="958"/>
      <c r="K5" s="958"/>
      <c r="L5" s="1031"/>
      <c r="M5" s="958"/>
    </row>
    <row r="6" spans="1:13" x14ac:dyDescent="0.2">
      <c r="A6" s="959"/>
      <c r="B6" s="2448" t="s">
        <v>1736</v>
      </c>
      <c r="C6" s="2449"/>
      <c r="D6" s="2450"/>
      <c r="E6" s="958"/>
      <c r="F6" s="958"/>
      <c r="G6" s="958"/>
      <c r="H6" s="958"/>
      <c r="I6" s="958"/>
      <c r="J6" s="958"/>
      <c r="K6" s="958"/>
      <c r="L6" s="1031"/>
      <c r="M6" s="958"/>
    </row>
    <row r="7" spans="1:13" ht="31" x14ac:dyDescent="0.2">
      <c r="A7" s="1742" t="s">
        <v>1737</v>
      </c>
      <c r="B7" s="1743" t="s">
        <v>1738</v>
      </c>
      <c r="C7" s="1744" t="s">
        <v>1739</v>
      </c>
      <c r="D7" s="1745" t="s">
        <v>1740</v>
      </c>
      <c r="E7" s="958"/>
      <c r="F7" s="958"/>
      <c r="G7" s="958"/>
      <c r="H7" s="958"/>
      <c r="I7" s="958"/>
      <c r="J7" s="958"/>
      <c r="K7" s="958"/>
      <c r="L7" s="1031"/>
      <c r="M7" s="958"/>
    </row>
    <row r="8" spans="1:13" x14ac:dyDescent="0.2">
      <c r="A8" s="582" t="s">
        <v>1741</v>
      </c>
      <c r="B8" s="597">
        <f>+'Disc. 1'!D68+'Disc. 1'!G68+'Disc. 1'!P68+'Disc. 1'!T68+'Disc. 1'!V68</f>
        <v>150229.40000000002</v>
      </c>
      <c r="C8" s="593">
        <f>+'Disc. 1'!D100+'Disc. 1'!G100+'Disc. 1'!P100+'Disc. 1'!T100+'Disc. 1'!V100</f>
        <v>219184.6</v>
      </c>
      <c r="D8" s="598">
        <f>+'Disc. 1'!D36+'Disc. 1'!G36+'Disc. 1'!P36+'Disc. 1'!T36+'Disc. 1'!V36+'Disc. 1'!U36</f>
        <v>-69057.599999999991</v>
      </c>
      <c r="E8" s="958"/>
      <c r="F8" s="958"/>
      <c r="G8" s="958"/>
      <c r="H8" s="958"/>
      <c r="I8" s="958"/>
      <c r="J8" s="958"/>
      <c r="K8" s="958"/>
      <c r="L8" s="1031"/>
      <c r="M8" s="958"/>
    </row>
    <row r="9" spans="1:13" x14ac:dyDescent="0.2">
      <c r="A9" s="582" t="s">
        <v>1742</v>
      </c>
      <c r="B9" s="597">
        <f>+'Disc. 1'!D69+'Disc. 1'!G69+'Disc. 1'!P69+'Disc. 1'!T69+'Disc. 1'!V69</f>
        <v>71678.899999999994</v>
      </c>
      <c r="C9" s="593">
        <f>+'Disc. 1'!D101+'Disc. 1'!G101+'Disc. 1'!P101+'Disc. 1'!T101+'Disc. 1'!V101</f>
        <v>65102.1</v>
      </c>
      <c r="D9" s="598">
        <f>+'Disc. 1'!D37+'Disc. 1'!G37+'Disc. 1'!P37+'Disc. 1'!T37+'Disc. 1'!V37+'Disc. 1'!U37</f>
        <v>6863.4999999999991</v>
      </c>
      <c r="E9" s="958"/>
      <c r="F9" s="958"/>
      <c r="G9" s="958"/>
      <c r="H9" s="958"/>
      <c r="I9" s="958"/>
      <c r="J9" s="958"/>
      <c r="K9" s="958"/>
      <c r="L9" s="1031"/>
      <c r="M9" s="958"/>
    </row>
    <row r="10" spans="1:13" x14ac:dyDescent="0.2">
      <c r="A10" s="582" t="s">
        <v>1743</v>
      </c>
      <c r="B10" s="597">
        <f>'Disc. 1'!AE68-B8</f>
        <v>540272.6</v>
      </c>
      <c r="C10" s="593">
        <f>'Disc. 1'!AE100-C8</f>
        <v>567016.80000000005</v>
      </c>
      <c r="D10" s="598">
        <f>'Disc. 1'!AE36-D8</f>
        <v>-24594.10000000002</v>
      </c>
      <c r="E10" s="958"/>
      <c r="F10" s="958"/>
      <c r="G10" s="958"/>
      <c r="H10" s="958"/>
      <c r="I10" s="958"/>
      <c r="J10" s="958"/>
      <c r="K10" s="958"/>
      <c r="L10" s="1031"/>
      <c r="M10" s="958"/>
    </row>
    <row r="11" spans="1:13" ht="17" thickBot="1" x14ac:dyDescent="0.25">
      <c r="A11" s="584" t="s">
        <v>1744</v>
      </c>
      <c r="B11" s="599">
        <f>'Disc. 1'!AE69-B9</f>
        <v>160951.1</v>
      </c>
      <c r="C11" s="594">
        <f>'Disc. 1'!AE101-C9</f>
        <v>165457.09999999995</v>
      </c>
      <c r="D11" s="600">
        <f>'Disc. 1'!AE37-D9</f>
        <v>-6840.3999999999933</v>
      </c>
      <c r="E11" s="958"/>
      <c r="F11" s="958"/>
      <c r="G11" s="958"/>
      <c r="H11" s="958"/>
      <c r="I11" s="958"/>
      <c r="J11" s="958"/>
      <c r="K11" s="958"/>
      <c r="L11" s="1031"/>
      <c r="M11" s="958"/>
    </row>
    <row r="12" spans="1:13" ht="17" thickBot="1" x14ac:dyDescent="0.25">
      <c r="A12" s="958"/>
      <c r="B12" s="958"/>
      <c r="C12" s="958"/>
      <c r="D12" s="958"/>
      <c r="E12" s="958"/>
      <c r="F12" s="958"/>
      <c r="G12" s="958"/>
      <c r="H12" s="958"/>
      <c r="I12" s="958"/>
      <c r="J12" s="958"/>
      <c r="K12" s="958"/>
      <c r="L12" s="1031"/>
      <c r="M12" s="958"/>
    </row>
    <row r="13" spans="1:13" x14ac:dyDescent="0.2">
      <c r="A13" s="814" t="s">
        <v>1745</v>
      </c>
      <c r="B13" s="1722"/>
      <c r="C13" s="1722"/>
      <c r="D13" s="1746"/>
      <c r="E13" s="958"/>
      <c r="F13" s="958"/>
      <c r="G13" s="958"/>
      <c r="H13" s="958"/>
      <c r="I13" s="958"/>
      <c r="J13" s="958"/>
      <c r="K13" s="958"/>
      <c r="L13" s="1031"/>
      <c r="M13" s="958"/>
    </row>
    <row r="14" spans="1:13" ht="17" thickBot="1" x14ac:dyDescent="0.25">
      <c r="A14" s="584" t="s">
        <v>1746</v>
      </c>
      <c r="B14" s="1747"/>
      <c r="C14" s="1747"/>
      <c r="D14" s="1748"/>
      <c r="E14" s="958"/>
      <c r="F14" s="958"/>
      <c r="G14" s="958"/>
      <c r="H14" s="958"/>
      <c r="I14" s="958"/>
      <c r="J14" s="958"/>
      <c r="K14" s="958"/>
      <c r="L14" s="1031"/>
      <c r="M14" s="958"/>
    </row>
    <row r="15" spans="1:13" x14ac:dyDescent="0.2">
      <c r="A15" s="958"/>
      <c r="B15" s="958"/>
      <c r="C15" s="958"/>
      <c r="D15" s="958"/>
      <c r="E15" s="958"/>
      <c r="F15" s="958"/>
      <c r="G15" s="958"/>
      <c r="H15" s="958"/>
      <c r="I15" s="958"/>
      <c r="J15" s="958"/>
      <c r="K15" s="958"/>
      <c r="L15" s="1031"/>
      <c r="M15" s="958"/>
    </row>
    <row r="16" spans="1:13" x14ac:dyDescent="0.2">
      <c r="A16" s="958"/>
      <c r="B16" s="958"/>
      <c r="C16" s="958"/>
      <c r="D16" s="958"/>
      <c r="E16" s="958"/>
      <c r="F16" s="958"/>
      <c r="G16" s="573"/>
      <c r="H16" s="573"/>
      <c r="I16" s="573"/>
      <c r="J16" s="573"/>
      <c r="K16" s="573"/>
      <c r="L16" s="1031"/>
      <c r="M16" s="958"/>
    </row>
    <row r="17" spans="7:12" x14ac:dyDescent="0.2">
      <c r="G17" s="573"/>
      <c r="H17" s="573"/>
      <c r="I17" s="573"/>
      <c r="J17" s="573"/>
      <c r="K17" s="573"/>
      <c r="L17" s="1031"/>
    </row>
    <row r="18" spans="7:12" x14ac:dyDescent="0.2">
      <c r="G18" s="958"/>
      <c r="H18" s="958"/>
      <c r="I18" s="958"/>
      <c r="J18" s="958"/>
      <c r="K18" s="573"/>
      <c r="L18" s="1031"/>
    </row>
    <row r="19" spans="7:12" x14ac:dyDescent="0.2">
      <c r="G19" s="958"/>
      <c r="H19" s="958"/>
      <c r="I19" s="958"/>
      <c r="J19" s="958"/>
      <c r="K19" s="573"/>
      <c r="L19" s="1031"/>
    </row>
    <row r="20" spans="7:12" x14ac:dyDescent="0.2">
      <c r="G20" s="958"/>
      <c r="H20" s="958"/>
      <c r="I20" s="958"/>
      <c r="J20" s="958"/>
      <c r="K20" s="573"/>
      <c r="L20" s="1031"/>
    </row>
    <row r="35" spans="7:7" x14ac:dyDescent="0.2">
      <c r="G35" s="572"/>
    </row>
  </sheetData>
  <mergeCells count="2">
    <mergeCell ref="A3:D3"/>
    <mergeCell ref="B6:D6"/>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00"/>
  <sheetViews>
    <sheetView workbookViewId="0">
      <pane xSplit="1" ySplit="8" topLeftCell="B77" activePane="bottomRight" state="frozen"/>
      <selection pane="topRight" activeCell="AR8" sqref="AR8"/>
      <selection pane="bottomLeft" activeCell="AR8" sqref="AR8"/>
      <selection pane="bottomRight" activeCell="A3" sqref="A3:Q96"/>
    </sheetView>
  </sheetViews>
  <sheetFormatPr baseColWidth="10" defaultColWidth="10.83203125" defaultRowHeight="16" x14ac:dyDescent="0.2"/>
  <cols>
    <col min="1" max="1" width="19" style="1" customWidth="1"/>
    <col min="2" max="11" width="11.33203125" style="1" customWidth="1"/>
    <col min="12" max="13" width="10.83203125" style="1"/>
    <col min="14" max="14" width="11.1640625" style="1" customWidth="1"/>
    <col min="15" max="17" width="11.33203125" style="1" customWidth="1"/>
    <col min="18" max="16384" width="10.83203125" style="1"/>
  </cols>
  <sheetData>
    <row r="1" spans="1:22" x14ac:dyDescent="0.2">
      <c r="A1" s="958"/>
      <c r="B1" s="958"/>
      <c r="C1" s="958"/>
      <c r="D1" s="958"/>
      <c r="E1" s="958"/>
      <c r="F1" s="958"/>
      <c r="G1" s="958"/>
      <c r="H1" s="1115"/>
      <c r="I1" s="958"/>
      <c r="J1" s="958"/>
      <c r="K1" s="958"/>
      <c r="L1" s="958"/>
      <c r="M1" s="958"/>
      <c r="N1" s="958"/>
      <c r="O1" s="958"/>
      <c r="P1" s="958"/>
      <c r="Q1" s="958"/>
      <c r="R1" s="958"/>
      <c r="S1" s="958"/>
      <c r="T1" s="958"/>
      <c r="U1" s="958"/>
      <c r="V1" s="958"/>
    </row>
    <row r="2" spans="1:22" ht="17" thickBot="1" x14ac:dyDescent="0.25">
      <c r="A2" s="958"/>
      <c r="B2" s="958"/>
      <c r="C2" s="958"/>
      <c r="D2" s="958"/>
      <c r="E2" s="958"/>
      <c r="F2" s="958"/>
      <c r="G2" s="958"/>
      <c r="H2" s="958"/>
      <c r="I2" s="958"/>
      <c r="J2" s="958"/>
      <c r="K2" s="958"/>
      <c r="L2" s="958"/>
      <c r="M2" s="958"/>
      <c r="N2" s="958"/>
      <c r="O2" s="958"/>
      <c r="P2" s="958"/>
      <c r="Q2" s="958"/>
      <c r="R2" s="958"/>
      <c r="S2" s="958"/>
      <c r="T2" s="958"/>
      <c r="U2" s="958"/>
      <c r="V2" s="958"/>
    </row>
    <row r="3" spans="1:22" ht="32.25" customHeight="1" thickTop="1" x14ac:dyDescent="0.2">
      <c r="A3" s="1934" t="s">
        <v>176</v>
      </c>
      <c r="B3" s="1935"/>
      <c r="C3" s="1935"/>
      <c r="D3" s="1935"/>
      <c r="E3" s="1935"/>
      <c r="F3" s="1935"/>
      <c r="G3" s="1935"/>
      <c r="H3" s="1935"/>
      <c r="I3" s="1935"/>
      <c r="J3" s="1935"/>
      <c r="K3" s="1935"/>
      <c r="L3" s="1935"/>
      <c r="M3" s="1935"/>
      <c r="N3" s="1935"/>
      <c r="O3" s="1935"/>
      <c r="P3" s="1935"/>
      <c r="Q3" s="1936"/>
      <c r="R3" s="958"/>
      <c r="S3" s="958"/>
      <c r="T3" s="958"/>
      <c r="U3" s="958"/>
      <c r="V3" s="958"/>
    </row>
    <row r="4" spans="1:22" ht="12" customHeight="1" x14ac:dyDescent="0.2">
      <c r="A4" s="4"/>
      <c r="B4" s="620"/>
      <c r="C4" s="620"/>
      <c r="D4" s="620"/>
      <c r="E4" s="620"/>
      <c r="F4" s="620"/>
      <c r="G4" s="620"/>
      <c r="H4" s="620"/>
      <c r="I4" s="620"/>
      <c r="J4" s="620"/>
      <c r="K4" s="620"/>
      <c r="L4" s="1031"/>
      <c r="M4" s="1031"/>
      <c r="N4" s="1031"/>
      <c r="O4" s="620"/>
      <c r="P4" s="620"/>
      <c r="Q4" s="5"/>
      <c r="R4" s="958"/>
      <c r="S4" s="958"/>
      <c r="T4" s="958"/>
      <c r="U4" s="958"/>
      <c r="V4" s="958"/>
    </row>
    <row r="5" spans="1:22" x14ac:dyDescent="0.2">
      <c r="A5" s="1154"/>
      <c r="B5" s="3" t="s">
        <v>1</v>
      </c>
      <c r="C5" s="3" t="s">
        <v>2</v>
      </c>
      <c r="D5" s="3" t="s">
        <v>3</v>
      </c>
      <c r="E5" s="3" t="s">
        <v>4</v>
      </c>
      <c r="F5" s="3" t="s">
        <v>5</v>
      </c>
      <c r="G5" s="3" t="s">
        <v>6</v>
      </c>
      <c r="H5" s="3" t="s">
        <v>7</v>
      </c>
      <c r="I5" s="3" t="s">
        <v>8</v>
      </c>
      <c r="J5" s="3" t="s">
        <v>9</v>
      </c>
      <c r="K5" s="3" t="s">
        <v>10</v>
      </c>
      <c r="L5" s="3" t="s">
        <v>11</v>
      </c>
      <c r="M5" s="3" t="s">
        <v>12</v>
      </c>
      <c r="N5" s="3" t="s">
        <v>13</v>
      </c>
      <c r="O5" s="3" t="s">
        <v>177</v>
      </c>
      <c r="P5" s="3" t="s">
        <v>178</v>
      </c>
      <c r="Q5" s="6" t="s">
        <v>179</v>
      </c>
      <c r="R5" s="958"/>
      <c r="S5" s="958"/>
      <c r="T5" s="958"/>
      <c r="U5" s="958"/>
      <c r="V5" s="958"/>
    </row>
    <row r="6" spans="1:22" ht="21" customHeight="1" x14ac:dyDescent="0.2">
      <c r="A6" s="1154"/>
      <c r="B6" s="2016" t="s">
        <v>14</v>
      </c>
      <c r="C6" s="2017"/>
      <c r="D6" s="2017"/>
      <c r="E6" s="2017"/>
      <c r="F6" s="2017"/>
      <c r="G6" s="2017"/>
      <c r="H6" s="2017"/>
      <c r="I6" s="2017"/>
      <c r="J6" s="2017"/>
      <c r="K6" s="2018"/>
      <c r="L6" s="2031" t="s">
        <v>180</v>
      </c>
      <c r="M6" s="2032"/>
      <c r="N6" s="2032"/>
      <c r="O6" s="2031" t="s">
        <v>143</v>
      </c>
      <c r="P6" s="2032"/>
      <c r="Q6" s="2035"/>
      <c r="R6" s="958"/>
      <c r="S6" s="958"/>
      <c r="T6" s="958"/>
      <c r="U6" s="958"/>
      <c r="V6" s="958"/>
    </row>
    <row r="7" spans="1:22" ht="85" customHeight="1" x14ac:dyDescent="0.2">
      <c r="A7" s="1154"/>
      <c r="B7" s="2019" t="s">
        <v>161</v>
      </c>
      <c r="C7" s="2021" t="s">
        <v>181</v>
      </c>
      <c r="D7" s="1826" t="s">
        <v>182</v>
      </c>
      <c r="E7" s="1826" t="s">
        <v>183</v>
      </c>
      <c r="F7" s="2023" t="s">
        <v>145</v>
      </c>
      <c r="G7" s="1826" t="s">
        <v>146</v>
      </c>
      <c r="H7" s="1826" t="s">
        <v>147</v>
      </c>
      <c r="I7" s="2025" t="s">
        <v>148</v>
      </c>
      <c r="J7" s="2027" t="s">
        <v>149</v>
      </c>
      <c r="K7" s="2029" t="s">
        <v>134</v>
      </c>
      <c r="L7" s="2033" t="s">
        <v>184</v>
      </c>
      <c r="M7" s="2034" t="s">
        <v>185</v>
      </c>
      <c r="N7" s="2034" t="s">
        <v>186</v>
      </c>
      <c r="O7" s="2033" t="s">
        <v>184</v>
      </c>
      <c r="P7" s="2034" t="s">
        <v>185</v>
      </c>
      <c r="Q7" s="2036" t="s">
        <v>186</v>
      </c>
      <c r="R7" s="958"/>
      <c r="S7" s="958"/>
      <c r="T7" s="173" t="s">
        <v>166</v>
      </c>
      <c r="U7" s="173"/>
      <c r="V7" s="173"/>
    </row>
    <row r="8" spans="1:22" ht="33" customHeight="1" x14ac:dyDescent="0.2">
      <c r="A8" s="1154"/>
      <c r="B8" s="2020"/>
      <c r="C8" s="2022"/>
      <c r="D8" s="1826"/>
      <c r="E8" s="1826"/>
      <c r="F8" s="2024"/>
      <c r="G8" s="1826"/>
      <c r="H8" s="1826"/>
      <c r="I8" s="2026"/>
      <c r="J8" s="2028"/>
      <c r="K8" s="2030"/>
      <c r="L8" s="2033"/>
      <c r="M8" s="2034"/>
      <c r="N8" s="2034"/>
      <c r="O8" s="2033"/>
      <c r="P8" s="2034"/>
      <c r="Q8" s="2037"/>
      <c r="R8" s="958"/>
      <c r="S8" s="958"/>
      <c r="T8" s="274">
        <f>B9-TableA4!E9</f>
        <v>0</v>
      </c>
      <c r="U8" s="173"/>
      <c r="V8" s="173"/>
    </row>
    <row r="9" spans="1:22" ht="40" customHeight="1" x14ac:dyDescent="0.2">
      <c r="A9" s="8" t="s">
        <v>28</v>
      </c>
      <c r="B9" s="264">
        <f>SUM(B10:B44)</f>
        <v>1679.5501447062243</v>
      </c>
      <c r="C9" s="258">
        <f t="shared" ref="C9:K9" si="0">SUM(C10:C44)</f>
        <v>48.015250291333032</v>
      </c>
      <c r="D9" s="258"/>
      <c r="E9" s="258"/>
      <c r="F9" s="264">
        <f t="shared" si="0"/>
        <v>379.60356846747055</v>
      </c>
      <c r="G9" s="258"/>
      <c r="H9" s="258"/>
      <c r="I9" s="256">
        <f t="shared" si="0"/>
        <v>274.13126541645181</v>
      </c>
      <c r="J9" s="258">
        <f t="shared" si="0"/>
        <v>177.34893927090505</v>
      </c>
      <c r="K9" s="258">
        <f t="shared" si="0"/>
        <v>800.45112126006347</v>
      </c>
      <c r="L9" s="285">
        <f>K9/B9</f>
        <v>0.47658661682892062</v>
      </c>
      <c r="M9" s="286">
        <f>TableA2!G9/(TableA2!G9+TableA2!D9)</f>
        <v>0.42418128336172195</v>
      </c>
      <c r="N9" s="286">
        <f>SUMPRODUCT(N10:N43,B10:B43)/SUM(B10:B43)</f>
        <v>0.31379048469641779</v>
      </c>
      <c r="O9" s="21">
        <f>P9</f>
        <v>0.18850111911926007</v>
      </c>
      <c r="P9" s="260">
        <f>TableA3!H9/TableA3!B9</f>
        <v>0.18850111911926007</v>
      </c>
      <c r="Q9" s="287"/>
      <c r="R9" s="958"/>
      <c r="S9" s="958"/>
      <c r="T9" s="173"/>
      <c r="U9" s="273">
        <f>B9-C9-F9-I9-J9-K9</f>
        <v>0</v>
      </c>
      <c r="V9" s="173"/>
    </row>
    <row r="10" spans="1:22" ht="14.25" customHeight="1" x14ac:dyDescent="0.2">
      <c r="A10" s="1155" t="s">
        <v>29</v>
      </c>
      <c r="B10" s="1180">
        <f>C10+F10+I10+J10+K10</f>
        <v>93.950935524124446</v>
      </c>
      <c r="C10" s="1039">
        <f>TableB2!E10-TableB5!D10</f>
        <v>4.0739349312495001</v>
      </c>
      <c r="D10" s="1037">
        <f>TableB4!I10+TableB4!L10-TableB5!D10</f>
        <v>4.0756630851303477</v>
      </c>
      <c r="E10" s="1037">
        <f>D10-C10</f>
        <v>1.7281538808475716E-3</v>
      </c>
      <c r="F10" s="1181">
        <f>TableB2!D10-TableB5!C10</f>
        <v>8.7955518821850003</v>
      </c>
      <c r="G10" s="1037">
        <f>TableB4!D10+TableB4!G10-TableB5!C10</f>
        <v>8.7910436546697994</v>
      </c>
      <c r="H10" s="1037">
        <f>G10-F10</f>
        <v>-4.5082275152008577E-3</v>
      </c>
      <c r="I10" s="1182">
        <f>+TableB2!F10-TableB5!E10</f>
        <v>11.103764369975</v>
      </c>
      <c r="J10" s="1037">
        <f>O10/(1-O10)*(F10+I10)</f>
        <v>8.3997938172648166</v>
      </c>
      <c r="K10" s="1037">
        <f>N10/(1-N10)*(I10+F10+C10+J10)</f>
        <v>61.577890523450137</v>
      </c>
      <c r="L10" s="1183">
        <f t="shared" ref="L10:L43" si="1">K10/B10</f>
        <v>0.65542604956433181</v>
      </c>
      <c r="M10" s="1184">
        <f>TableA2!G10/(TableA2!G10+TableA2!D10)</f>
        <v>0.41166183129524692</v>
      </c>
      <c r="N10" s="1184">
        <f>VLOOKUP(A10,TableA10!$A$8:$G$95,7,)/(VLOOKUP(A10,TableA10!$A$8:$G$95,7,)+VLOOKUP(A10,TableA10!$A$8:$G$95,4,)+VLOOKUP(A10,TableA10!$A$8:$G$95,5,))</f>
        <v>0.65542604956433181</v>
      </c>
      <c r="O10" s="1185">
        <f>P10</f>
        <v>0.29682183632835152</v>
      </c>
      <c r="P10" s="1161">
        <f>TableA3!H10/TableA3!B10</f>
        <v>0.29682183632835152</v>
      </c>
      <c r="Q10" s="1162"/>
      <c r="R10" s="1031"/>
      <c r="S10" s="958"/>
      <c r="T10" s="270">
        <f>C10-(D10-E10)</f>
        <v>0</v>
      </c>
      <c r="U10" s="273">
        <f t="shared" ref="U10:U73" si="2">B10-C10-F10-I10-J10-K10</f>
        <v>0</v>
      </c>
      <c r="V10" s="173"/>
    </row>
    <row r="11" spans="1:22" ht="14.25" customHeight="1" x14ac:dyDescent="0.2">
      <c r="A11" s="1155" t="s">
        <v>30</v>
      </c>
      <c r="B11" s="1180">
        <f>+TableA4!E11</f>
        <v>24.048721217894112</v>
      </c>
      <c r="C11" s="1039">
        <f>TableB2!E11-TableB5!D11</f>
        <v>0.49029395452023894</v>
      </c>
      <c r="D11" s="1037">
        <f>TableB4!I11+TableB4!L11-TableB5!D11</f>
        <v>1.1625069328896289</v>
      </c>
      <c r="E11" s="1037">
        <f t="shared" ref="E11:E40" si="3">D11-C11</f>
        <v>0.67221297836938998</v>
      </c>
      <c r="F11" s="1181">
        <f>TableB2!D11-TableB5!C11</f>
        <v>8.7221297836938039</v>
      </c>
      <c r="G11" s="1037">
        <f>TableB4!D11+TableB4!G11-TableB5!C11</f>
        <v>8.7221297836938039</v>
      </c>
      <c r="H11" s="1037">
        <f t="shared" ref="H11:H44" si="4">G11-F11</f>
        <v>0</v>
      </c>
      <c r="I11" s="1182">
        <f>+TableB2!F11-TableB5!E11</f>
        <v>0.63227953410980042</v>
      </c>
      <c r="J11" s="1037">
        <f t="shared" ref="J11:J43" si="5">O11/(1-O11)*(F11+I11)</f>
        <v>2.013623739659256</v>
      </c>
      <c r="K11" s="1037">
        <f t="shared" ref="K11:K43" si="6">B11-C11-F11-I11-J11</f>
        <v>12.190394205911012</v>
      </c>
      <c r="L11" s="1183">
        <f t="shared" si="1"/>
        <v>0.50690405096635305</v>
      </c>
      <c r="M11" s="1184">
        <f>TableA2!G11/(TableA2!G11+TableA2!D11)</f>
        <v>0.48523713614348057</v>
      </c>
      <c r="N11" s="1184">
        <f>VLOOKUP(A11,TableA10!$A$8:$G$95,7,)/(VLOOKUP(A11,TableA10!$A$8:$G$95,7,)+VLOOKUP(A11,TableA10!$A$8:$G$95,4,)+VLOOKUP(A11,TableA10!$A$8:$G$95,5,))</f>
        <v>1.0253164556962024</v>
      </c>
      <c r="O11" s="1185">
        <f t="shared" ref="O11:O44" si="7">IF(Q11="",P11,Q11)</f>
        <v>0.1771303557511523</v>
      </c>
      <c r="P11" s="1161">
        <f>TableA3!H11/TableA3!B11</f>
        <v>0.1771303557511523</v>
      </c>
      <c r="Q11" s="1837"/>
      <c r="R11" s="1031"/>
      <c r="S11" s="958"/>
      <c r="T11" s="270">
        <f t="shared" ref="T11:T29" si="8">C11-(D11-E11)</f>
        <v>0</v>
      </c>
      <c r="U11" s="273">
        <f t="shared" si="2"/>
        <v>0</v>
      </c>
      <c r="V11" s="173"/>
    </row>
    <row r="12" spans="1:22" ht="14.25" customHeight="1" x14ac:dyDescent="0.2">
      <c r="A12" s="1155" t="s">
        <v>31</v>
      </c>
      <c r="B12" s="1180">
        <f>+TableA4!E12</f>
        <v>29.705177795569394</v>
      </c>
      <c r="C12" s="1039">
        <f>TableB2!E12-TableB5!D12</f>
        <v>0.22331555995923003</v>
      </c>
      <c r="D12" s="1037">
        <f>TableB4!I12+TableB4!L12-TableB5!D12</f>
        <v>8.3397881057163303</v>
      </c>
      <c r="E12" s="1037">
        <f t="shared" si="3"/>
        <v>8.1164725457570999</v>
      </c>
      <c r="F12" s="1181">
        <f>TableB2!D12-TableB5!C12</f>
        <v>21.689437719470767</v>
      </c>
      <c r="G12" s="1037">
        <f>TableB4!D12+TableB4!G12-TableB5!C12</f>
        <v>21.702748867557165</v>
      </c>
      <c r="H12" s="1037">
        <f t="shared" si="4"/>
        <v>1.3311148086398106E-2</v>
      </c>
      <c r="I12" s="1182">
        <f>+TableB2!F12-TableB5!E12</f>
        <v>-2.3656157498780246</v>
      </c>
      <c r="J12" s="1037">
        <f t="shared" si="5"/>
        <v>4.7151652784843856</v>
      </c>
      <c r="K12" s="1037">
        <f t="shared" si="6"/>
        <v>5.4428749875330373</v>
      </c>
      <c r="L12" s="1109">
        <f t="shared" si="1"/>
        <v>0.18322984043357102</v>
      </c>
      <c r="M12" s="1184">
        <f>TableA2!G12/(TableA2!G12+TableA2!D12)</f>
        <v>0.48988902460667944</v>
      </c>
      <c r="N12" s="1184">
        <f>VLOOKUP(A12,TableA10!$A$8:$G$95,7,)/(VLOOKUP(A12,TableA10!$A$8:$G$95,7,)+VLOOKUP(A12,TableA10!$A$8:$G$95,4,)+VLOOKUP(A12,TableA10!$A$8:$G$95,5,))</f>
        <v>0.25222589671839224</v>
      </c>
      <c r="O12" s="1185">
        <f t="shared" si="7"/>
        <v>0.19614658595326434</v>
      </c>
      <c r="P12" s="1161">
        <f>TableA3!H12/TableA3!B12</f>
        <v>0.19614658595326434</v>
      </c>
      <c r="Q12" s="1837"/>
      <c r="R12" s="1031"/>
      <c r="S12" s="958"/>
      <c r="T12" s="270">
        <f t="shared" si="8"/>
        <v>-4.4408920985006262E-16</v>
      </c>
      <c r="U12" s="273">
        <f t="shared" si="2"/>
        <v>0</v>
      </c>
      <c r="V12" s="173"/>
    </row>
    <row r="13" spans="1:22" ht="14.25" customHeight="1" x14ac:dyDescent="0.2">
      <c r="A13" s="1155" t="s">
        <v>32</v>
      </c>
      <c r="B13" s="1180">
        <f>C13+F13+I13+J13+K13</f>
        <v>68.494440298303317</v>
      </c>
      <c r="C13" s="1039">
        <f>TableB2!E13-TableB5!D13</f>
        <v>3.7753266056481003</v>
      </c>
      <c r="D13" s="1037"/>
      <c r="E13" s="1037"/>
      <c r="F13" s="1181">
        <f>TableB2!D13-TableB5!C13</f>
        <v>17.312837362122</v>
      </c>
      <c r="G13" s="1037"/>
      <c r="H13" s="1037"/>
      <c r="I13" s="1182">
        <f>+TableB2!F13-TableB5!E13</f>
        <v>13.377923805054001</v>
      </c>
      <c r="J13" s="1037">
        <f>O13/(1-O13)*(F13+I13)</f>
        <v>16.245181224831274</v>
      </c>
      <c r="K13" s="1037">
        <f>N13/(1-N13)*(I13+F13+C13+J13)</f>
        <v>17.78317130064794</v>
      </c>
      <c r="L13" s="1183">
        <f>K13/B13</f>
        <v>0.25962941259465183</v>
      </c>
      <c r="M13" s="1184">
        <f>TableA2!G13/(TableA2!G13+TableA2!D13)</f>
        <v>0.48244983755221532</v>
      </c>
      <c r="N13" s="1184">
        <f>AVERAGE(VLOOKUP(A13,TableA10!$A$8:$G$95,7,)/(VLOOKUP(A13,TableA10!$A$8:$G$95,7,)+VLOOKUP(A13,TableA10!$A$8:$G$95,4,)+VLOOKUP(A13,TableA10!$A$8:$G$95,5,)),VLOOKUP(A13,TableA10b!$A$8:$G$95,7,)/(VLOOKUP(A13,TableA10b!$A$8:$G$95,7,)+VLOOKUP(A13,TableA10b!$A$8:$G$95,4,)+VLOOKUP(A13,TableA10b!$A$8:$G$95,5,)))</f>
        <v>0.25962941259465189</v>
      </c>
      <c r="O13" s="1185">
        <f>P13</f>
        <v>0.34611388196176218</v>
      </c>
      <c r="P13" s="1161">
        <f>TableA3!H13/TableA3!B13</f>
        <v>0.34611388196176218</v>
      </c>
      <c r="Q13" s="1837"/>
      <c r="R13" s="1031"/>
      <c r="S13" s="958"/>
      <c r="T13" s="270"/>
      <c r="U13" s="273">
        <f t="shared" si="2"/>
        <v>0</v>
      </c>
      <c r="V13" s="173"/>
    </row>
    <row r="14" spans="1:22" ht="14.25" customHeight="1" x14ac:dyDescent="0.2">
      <c r="A14" s="1155" t="s">
        <v>33</v>
      </c>
      <c r="B14" s="1180">
        <f>C14+F14+I14+J14+K14</f>
        <v>17.317692278473682</v>
      </c>
      <c r="C14" s="1039">
        <f>TableB2!E14-TableB5!D14</f>
        <v>1.9709003885879</v>
      </c>
      <c r="D14" s="1037">
        <f>TableB4!I14+TableB4!L14-TableB5!D14</f>
        <v>2.0279178106692726</v>
      </c>
      <c r="E14" s="1037">
        <f>D14-C14</f>
        <v>5.7017422081372615E-2</v>
      </c>
      <c r="F14" s="1181">
        <f>TableB2!D14-TableB5!C14</f>
        <v>4.5824140671539997</v>
      </c>
      <c r="G14" s="1037">
        <f>TableB4!D14+TableB4!G14-TableB5!C14</f>
        <v>4.5837248192016</v>
      </c>
      <c r="H14" s="1037">
        <f>G14-F14</f>
        <v>1.3107520476003387E-3</v>
      </c>
      <c r="I14" s="1182">
        <f>+TableB2!F14-TableB5!E14</f>
        <v>3.7810573591850001</v>
      </c>
      <c r="J14" s="1037">
        <f>O14/(1-O14)*(F14+I14)</f>
        <v>1.5317561622283966</v>
      </c>
      <c r="K14" s="1037">
        <f>N14/(1-N14)*(I14+F14+C14+J14)</f>
        <v>5.4515643013183839</v>
      </c>
      <c r="L14" s="1183">
        <f>K14/B14</f>
        <v>0.31479738833879223</v>
      </c>
      <c r="M14" s="1184">
        <f>TableA2!G14/(TableA2!G14+TableA2!D14)</f>
        <v>0.24030649738182491</v>
      </c>
      <c r="N14" s="1184">
        <f>AVERAGE(VLOOKUP(A14,TableA10!$A$8:$G$95,7,)/(VLOOKUP(A14,TableA10!$A$8:$G$95,7,)+VLOOKUP(A14,TableA10!$A$8:$G$95,4,)+VLOOKUP(A14,TableA10!$A$8:$G$95,5,)),VLOOKUP(A14,TableA10b!$A$8:$G$95,7,)/(VLOOKUP(A14,TableA10b!$A$8:$G$95,7,)+VLOOKUP(A14,TableA10b!$A$8:$G$95,4,)+VLOOKUP(A14,TableA10b!$A$8:$G$95,5,)))</f>
        <v>0.31479738833879228</v>
      </c>
      <c r="O14" s="1185">
        <f>P14</f>
        <v>0.15479746660886656</v>
      </c>
      <c r="P14" s="1161">
        <f>TableA3!H14/TableA3!B14</f>
        <v>0.15479746660886656</v>
      </c>
      <c r="Q14" s="1837"/>
      <c r="R14" s="1031"/>
      <c r="S14" s="958"/>
      <c r="T14" s="270">
        <f t="shared" si="8"/>
        <v>0</v>
      </c>
      <c r="U14" s="273">
        <f t="shared" si="2"/>
        <v>0</v>
      </c>
      <c r="V14" s="173"/>
    </row>
    <row r="15" spans="1:22" ht="14.25" customHeight="1" x14ac:dyDescent="0.2">
      <c r="A15" s="1155" t="s">
        <v>34</v>
      </c>
      <c r="B15" s="1180">
        <f>+TableA4!E15</f>
        <v>23.976281108578732</v>
      </c>
      <c r="C15" s="1039">
        <f>TableB2!E15-TableB5!D15</f>
        <v>0.47867279307119998</v>
      </c>
      <c r="D15" s="1037">
        <f>TableB4!I15+TableB4!L15-TableB5!D15</f>
        <v>0.58927337047127004</v>
      </c>
      <c r="E15" s="1037">
        <f t="shared" si="3"/>
        <v>0.11060057740007007</v>
      </c>
      <c r="F15" s="1181">
        <f>TableB2!D15-TableB5!C15</f>
        <v>10.907534664335</v>
      </c>
      <c r="G15" s="1037">
        <f>TableB4!D15+TableB4!G15-TableB5!C15</f>
        <v>10.907534664335</v>
      </c>
      <c r="H15" s="1037">
        <f t="shared" si="4"/>
        <v>0</v>
      </c>
      <c r="I15" s="1182">
        <f>+TableB2!F15-TableB5!E15</f>
        <v>3.0872606026104998</v>
      </c>
      <c r="J15" s="1037">
        <f t="shared" si="5"/>
        <v>3.4959831511583643</v>
      </c>
      <c r="K15" s="1037">
        <f t="shared" si="6"/>
        <v>6.0068298974036676</v>
      </c>
      <c r="L15" s="1183">
        <f t="shared" si="1"/>
        <v>0.25053217678760109</v>
      </c>
      <c r="M15" s="1184">
        <f>TableA2!G15/(TableA2!G15+TableA2!D15)</f>
        <v>0.43865410497981161</v>
      </c>
      <c r="N15" s="1184">
        <f>VLOOKUP(A15,TableA10!$A$8:$G$95,7,)/(VLOOKUP(A15,TableA10!$A$8:$G$95,7,)+VLOOKUP(A15,TableA10!$A$8:$G$95,4,)+VLOOKUP(A15,TableA10!$A$8:$G$95,5,))</f>
        <v>0.3233654333502281</v>
      </c>
      <c r="O15" s="1185">
        <f t="shared" si="7"/>
        <v>0.19987578983562221</v>
      </c>
      <c r="P15" s="1161">
        <f>TableA3!H15/TableA3!B15</f>
        <v>0.19987578983562221</v>
      </c>
      <c r="Q15" s="1837"/>
      <c r="R15" s="1031"/>
      <c r="S15" s="958"/>
      <c r="T15" s="270">
        <f t="shared" si="8"/>
        <v>0</v>
      </c>
      <c r="U15" s="273">
        <f t="shared" si="2"/>
        <v>0</v>
      </c>
      <c r="V15" s="173"/>
    </row>
    <row r="16" spans="1:22" ht="14.25" customHeight="1" x14ac:dyDescent="0.2">
      <c r="A16" s="1155" t="s">
        <v>35</v>
      </c>
      <c r="B16" s="1180">
        <f>+TableA4!E16</f>
        <v>13.839340879938103</v>
      </c>
      <c r="C16" s="1039">
        <f>TableB2!E16-TableB5!D16</f>
        <v>0.26808814345614751</v>
      </c>
      <c r="D16" s="1037">
        <f>TableB4!I16+TableB4!L16-TableB5!D16</f>
        <v>0.34183840366372148</v>
      </c>
      <c r="E16" s="1037">
        <f t="shared" si="3"/>
        <v>7.375026020757397E-2</v>
      </c>
      <c r="F16" s="1181">
        <f>TableB2!D16-TableB5!C16</f>
        <v>4.7846968210069205</v>
      </c>
      <c r="G16" s="1037">
        <f>TableB4!D16+TableB4!G16-TableB5!C16</f>
        <v>4.7846968210069205</v>
      </c>
      <c r="H16" s="1037">
        <f t="shared" si="4"/>
        <v>0</v>
      </c>
      <c r="I16" s="1182">
        <f>+TableB2!F16-TableB5!E16</f>
        <v>-0.48606774318256002</v>
      </c>
      <c r="J16" s="1037">
        <f t="shared" si="5"/>
        <v>0.75565065007342747</v>
      </c>
      <c r="K16" s="1037">
        <f t="shared" si="6"/>
        <v>8.5169730085841664</v>
      </c>
      <c r="L16" s="1183">
        <f t="shared" si="1"/>
        <v>0.61541753198164295</v>
      </c>
      <c r="M16" s="1184">
        <f>TableA2!G16/(TableA2!G16+TableA2!D16)</f>
        <v>0.43278622865596977</v>
      </c>
      <c r="N16" s="1184">
        <f>VLOOKUP(A16,TableA10!$A$8:$G$95,7,)/(VLOOKUP(A16,TableA10!$A$8:$G$95,7,)+VLOOKUP(A16,TableA10!$A$8:$G$95,4,)+VLOOKUP(A16,TableA10!$A$8:$G$95,5,))</f>
        <v>0.41478555304740405</v>
      </c>
      <c r="O16" s="1185">
        <f t="shared" si="7"/>
        <v>0.14950708919067349</v>
      </c>
      <c r="P16" s="1161">
        <f>TableA3!H16/TableA3!B16</f>
        <v>0.14950708919067349</v>
      </c>
      <c r="Q16" s="1837"/>
      <c r="R16" s="1031"/>
      <c r="S16" s="958"/>
      <c r="T16" s="270">
        <f t="shared" si="8"/>
        <v>0</v>
      </c>
      <c r="U16" s="273">
        <f t="shared" si="2"/>
        <v>0</v>
      </c>
      <c r="V16" s="173"/>
    </row>
    <row r="17" spans="1:22" ht="14.25" customHeight="1" x14ac:dyDescent="0.2">
      <c r="A17" s="1094" t="s">
        <v>36</v>
      </c>
      <c r="B17" s="1186">
        <f>+TableA4!E17</f>
        <v>2.6525615484904161</v>
      </c>
      <c r="C17" s="1039">
        <f>TableB2!E17-TableB5!D17</f>
        <v>1.4843039378812999E-2</v>
      </c>
      <c r="D17" s="1037">
        <f>TableB4!I17+TableB4!L17-TableB5!D17</f>
        <v>4.5082640044370695E-2</v>
      </c>
      <c r="E17" s="1037">
        <f t="shared" si="3"/>
        <v>3.0239600665557698E-2</v>
      </c>
      <c r="F17" s="1181">
        <f>TableB2!D17-TableB5!C17</f>
        <v>0.72318469217970005</v>
      </c>
      <c r="G17" s="1037">
        <f>TableB4!D17+TableB4!G17-TableB5!C17</f>
        <v>0.72318469217970005</v>
      </c>
      <c r="H17" s="1037">
        <f t="shared" si="4"/>
        <v>0</v>
      </c>
      <c r="I17" s="1182">
        <f>+TableB2!F17-TableB5!E17</f>
        <v>0.56524126455906698</v>
      </c>
      <c r="J17" s="1038">
        <f>O17/(1-O17)*(F17+I17)</f>
        <v>0.1679873914666514</v>
      </c>
      <c r="K17" s="1037">
        <f>B17-C17-F17-I17-J17</f>
        <v>1.1813051609061846</v>
      </c>
      <c r="L17" s="1109">
        <f t="shared" si="1"/>
        <v>0.445345052060515</v>
      </c>
      <c r="M17" s="1111">
        <f>TableA2!G17/(TableA2!G17+TableA2!D17)</f>
        <v>0.36389549524342479</v>
      </c>
      <c r="N17" s="1184"/>
      <c r="O17" s="1185">
        <f t="shared" si="7"/>
        <v>0.11534321054777766</v>
      </c>
      <c r="P17" s="1161">
        <f>TableA3!H17/TableA3!B17</f>
        <v>0.11534321054777766</v>
      </c>
      <c r="Q17" s="1187"/>
      <c r="R17" s="1188"/>
      <c r="S17" s="958"/>
      <c r="T17" s="270">
        <f t="shared" si="8"/>
        <v>0</v>
      </c>
      <c r="U17" s="273">
        <f t="shared" si="2"/>
        <v>0</v>
      </c>
      <c r="V17" s="173"/>
    </row>
    <row r="18" spans="1:22" ht="14.25" customHeight="1" x14ac:dyDescent="0.2">
      <c r="A18" s="1155" t="s">
        <v>37</v>
      </c>
      <c r="B18" s="1180">
        <f>+TableA4!E18</f>
        <v>11.789190114958569</v>
      </c>
      <c r="C18" s="1039">
        <f>TableB2!E18-TableB5!D18</f>
        <v>0.69661674986134003</v>
      </c>
      <c r="D18" s="1037"/>
      <c r="E18" s="1037"/>
      <c r="F18" s="1181">
        <f>TableB2!D18-TableB5!C18</f>
        <v>5.4220743205768001</v>
      </c>
      <c r="G18" s="1037">
        <f>TableB4!D18+TableB4!G18-TableB5!C18</f>
        <v>5.4220743205768001</v>
      </c>
      <c r="H18" s="1037">
        <f t="shared" si="4"/>
        <v>0</v>
      </c>
      <c r="I18" s="1182">
        <f>+TableB2!F18-TableB5!E18</f>
        <v>-2.0288408208541</v>
      </c>
      <c r="J18" s="1037">
        <f t="shared" si="5"/>
        <v>0.85337570371897753</v>
      </c>
      <c r="K18" s="1037">
        <f t="shared" si="6"/>
        <v>6.8459641616555515</v>
      </c>
      <c r="L18" s="1183">
        <f t="shared" si="1"/>
        <v>0.58069842753397749</v>
      </c>
      <c r="M18" s="1184">
        <f>TableA2!G18/(TableA2!G18+TableA2!D18)</f>
        <v>0.49260248420874131</v>
      </c>
      <c r="N18" s="1184">
        <f>VLOOKUP(A18,TableA10!$A$8:$G$95,7,)/(VLOOKUP(A18,TableA10!$A$8:$G$95,7,)+VLOOKUP(A18,TableA10!$A$8:$G$95,4,)+VLOOKUP(A18,TableA10!$A$8:$G$95,5,))</f>
        <v>-0.18588873812754408</v>
      </c>
      <c r="O18" s="1185">
        <f t="shared" si="7"/>
        <v>0.20095461174702786</v>
      </c>
      <c r="P18" s="1161">
        <f>TableA3!H18/TableA3!B18</f>
        <v>0.20095461174702786</v>
      </c>
      <c r="Q18" s="1837"/>
      <c r="R18" s="1031"/>
      <c r="S18" s="958"/>
      <c r="T18" s="270"/>
      <c r="U18" s="273">
        <f t="shared" si="2"/>
        <v>0</v>
      </c>
      <c r="V18" s="173"/>
    </row>
    <row r="19" spans="1:22" ht="14.25" customHeight="1" x14ac:dyDescent="0.2">
      <c r="A19" s="1094" t="s">
        <v>38</v>
      </c>
      <c r="B19" s="1186">
        <f>+TableA4!E19</f>
        <v>57.999541913648059</v>
      </c>
      <c r="C19" s="1039">
        <f>TableB2!E19-TableB5!D19</f>
        <v>2.8098090929952</v>
      </c>
      <c r="D19" s="1037">
        <f>TableB4!I19+TableB4!L19-TableB5!D19</f>
        <v>4.1614240421225999</v>
      </c>
      <c r="E19" s="1037">
        <f t="shared" si="3"/>
        <v>1.3516149491273999</v>
      </c>
      <c r="F19" s="1181">
        <f>TableB2!D19-TableB5!C19</f>
        <v>15.593480865224999</v>
      </c>
      <c r="G19" s="1037">
        <f>TableB4!D19+TableB4!G19-TableB5!C19</f>
        <v>15.593480865224999</v>
      </c>
      <c r="H19" s="1037">
        <f t="shared" si="4"/>
        <v>0</v>
      </c>
      <c r="I19" s="1182">
        <f>+TableB2!F19-TableB5!E19</f>
        <v>7.5611680532446002</v>
      </c>
      <c r="J19" s="1038">
        <f t="shared" si="5"/>
        <v>8.624166082052362</v>
      </c>
      <c r="K19" s="1037">
        <f t="shared" si="6"/>
        <v>23.410917820130898</v>
      </c>
      <c r="L19" s="1109">
        <f t="shared" si="1"/>
        <v>0.40363970210292299</v>
      </c>
      <c r="M19" s="1111">
        <f>TableA2!G19/(TableA2!G19+TableA2!D19)</f>
        <v>0.60035726791541277</v>
      </c>
      <c r="N19" s="1184">
        <f>VLOOKUP(A19,TableA10!$A$8:$G$95,7,)/(VLOOKUP(A19,TableA10!$A$8:$G$95,7,)+VLOOKUP(A19,TableA10!$A$8:$G$95,4,)+VLOOKUP(A19,TableA10!$A$8:$G$95,5,))</f>
        <v>0.39348118279569894</v>
      </c>
      <c r="O19" s="1185">
        <f t="shared" si="7"/>
        <v>0.27138098390108983</v>
      </c>
      <c r="P19" s="1161">
        <f>TableA3!H19/TableA3!B19</f>
        <v>0.27138098390108983</v>
      </c>
      <c r="Q19" s="1189"/>
      <c r="R19" s="1188"/>
      <c r="S19" s="958"/>
      <c r="T19" s="270">
        <f t="shared" si="8"/>
        <v>0</v>
      </c>
      <c r="U19" s="273">
        <f t="shared" si="2"/>
        <v>0</v>
      </c>
      <c r="V19" s="173"/>
    </row>
    <row r="20" spans="1:22" ht="14.25" customHeight="1" x14ac:dyDescent="0.2">
      <c r="A20" s="1155" t="s">
        <v>39</v>
      </c>
      <c r="B20" s="1180">
        <f>+TableA4!E20</f>
        <v>184.32822136729789</v>
      </c>
      <c r="C20" s="1039">
        <f>TableB2!E20-TableB5!D20</f>
        <v>6.8208541320021991</v>
      </c>
      <c r="D20" s="1037">
        <f>TableB4!I20+TableB4!L20-TableB5!D20</f>
        <v>8.0354963948974003</v>
      </c>
      <c r="E20" s="1037">
        <f t="shared" si="3"/>
        <v>1.2146422628952012</v>
      </c>
      <c r="F20" s="1181">
        <f>TableB2!D20-TableB5!C20</f>
        <v>21.960066555739999</v>
      </c>
      <c r="G20" s="1037">
        <f>TableB4!D20+TableB4!G20-TableB5!C20</f>
        <v>21.960066555739999</v>
      </c>
      <c r="H20" s="1037">
        <f t="shared" si="4"/>
        <v>0</v>
      </c>
      <c r="I20" s="1182">
        <f>+TableB2!F20-TableB5!E20</f>
        <v>4.8530227398779999</v>
      </c>
      <c r="J20" s="1037">
        <f t="shared" si="5"/>
        <v>16.022776454540054</v>
      </c>
      <c r="K20" s="1037">
        <f t="shared" si="6"/>
        <v>134.67150148513764</v>
      </c>
      <c r="L20" s="1109">
        <f t="shared" si="1"/>
        <v>0.73060706866360525</v>
      </c>
      <c r="M20" s="1184">
        <f>TableA2!G20/(TableA2!G20+TableA2!D20)</f>
        <v>0.40333385526762178</v>
      </c>
      <c r="N20" s="1184">
        <f>VLOOKUP(A20,TableA10!$A$8:$G$95,7,)/(VLOOKUP(A20,TableA10!$A$8:$G$95,7,)+VLOOKUP(A20,TableA10!$A$8:$G$95,4,)+VLOOKUP(A20,TableA10!$A$8:$G$95,5,))</f>
        <v>0.34050092224055917</v>
      </c>
      <c r="O20" s="1185">
        <f t="shared" si="7"/>
        <v>0.37405048722473722</v>
      </c>
      <c r="P20" s="1161">
        <f>TableA3!H20/TableA3!B20</f>
        <v>0.10568882329112707</v>
      </c>
      <c r="Q20" s="1162">
        <f>VLOOKUP(A20,TableA11!$A$9:$L$96,12,)</f>
        <v>0.37405048722473722</v>
      </c>
      <c r="R20" s="1031"/>
      <c r="S20" s="958"/>
      <c r="T20" s="270">
        <f t="shared" si="8"/>
        <v>0</v>
      </c>
      <c r="U20" s="273">
        <f t="shared" si="2"/>
        <v>0</v>
      </c>
      <c r="V20" s="173"/>
    </row>
    <row r="21" spans="1:22" ht="14.25" customHeight="1" x14ac:dyDescent="0.2">
      <c r="A21" s="1155" t="s">
        <v>40</v>
      </c>
      <c r="B21" s="1180">
        <f>+TableA4!E21</f>
        <v>4.4628405784515266</v>
      </c>
      <c r="C21" s="1039">
        <f>TableB2!E21-TableB5!D21</f>
        <v>6.4186108707708994E-2</v>
      </c>
      <c r="D21" s="1037">
        <f>TableB4!I21+TableB4!L21-TableB5!D21</f>
        <v>6.4186108707708994E-2</v>
      </c>
      <c r="E21" s="1037">
        <f t="shared" si="3"/>
        <v>0</v>
      </c>
      <c r="F21" s="1181">
        <f>TableB2!D21-TableB5!C21</f>
        <v>0.62594856905157992</v>
      </c>
      <c r="G21" s="1037">
        <f>TableB4!D21+TableB4!G21-TableB5!C21</f>
        <v>0.62594856905157992</v>
      </c>
      <c r="H21" s="1037">
        <f t="shared" si="4"/>
        <v>0</v>
      </c>
      <c r="I21" s="1182">
        <f>+TableB2!F21-TableB5!E21</f>
        <v>0.46668885191347997</v>
      </c>
      <c r="J21" s="1037">
        <f t="shared" si="5"/>
        <v>0.25035540386519833</v>
      </c>
      <c r="K21" s="1037">
        <f t="shared" si="6"/>
        <v>3.0556616449135592</v>
      </c>
      <c r="L21" s="1183">
        <f t="shared" si="1"/>
        <v>0.68468984970415037</v>
      </c>
      <c r="M21" s="1184">
        <f>TableA2!G21/(TableA2!G21+TableA2!D21)</f>
        <v>0.4735022867183965</v>
      </c>
      <c r="N21" s="1184">
        <f>VLOOKUP(A21,TableA10!$A$8:$G$95,7,)/(VLOOKUP(A21,TableA10!$A$8:$G$95,7,)+VLOOKUP(A21,TableA10!$A$8:$G$95,4,)+VLOOKUP(A21,TableA10!$A$8:$G$95,5,))</f>
        <v>0.12211080571847459</v>
      </c>
      <c r="O21" s="1185">
        <f t="shared" si="7"/>
        <v>0.18641603978549989</v>
      </c>
      <c r="P21" s="1161">
        <f>TableA3!H21/TableA3!B21</f>
        <v>0.18641603978549989</v>
      </c>
      <c r="Q21" s="1837"/>
      <c r="R21" s="1031"/>
      <c r="S21" s="958"/>
      <c r="T21" s="270">
        <f t="shared" si="8"/>
        <v>0</v>
      </c>
      <c r="U21" s="273">
        <f t="shared" si="2"/>
        <v>0</v>
      </c>
      <c r="V21" s="173"/>
    </row>
    <row r="22" spans="1:22" ht="14.25" customHeight="1" x14ac:dyDescent="0.2">
      <c r="A22" s="1155" t="s">
        <v>41</v>
      </c>
      <c r="B22" s="1180">
        <f>+TableA4!E22</f>
        <v>18.945890950666893</v>
      </c>
      <c r="C22" s="1039">
        <f>TableB2!E22-TableB5!D22</f>
        <v>0.56776232297255991</v>
      </c>
      <c r="D22" s="1037">
        <f>TableB4!I22+TableB4!L22-TableB5!D22</f>
        <v>1.8162109823277</v>
      </c>
      <c r="E22" s="1037">
        <f t="shared" si="3"/>
        <v>1.24844865935514</v>
      </c>
      <c r="F22" s="1181">
        <f>TableB2!D22-TableB5!C22</f>
        <v>3.7422123935328995</v>
      </c>
      <c r="G22" s="1037">
        <f>TableB4!D22+TableB4!G22-TableB5!C22</f>
        <v>3.7422123935328648</v>
      </c>
      <c r="H22" s="1037">
        <f t="shared" si="4"/>
        <v>-3.4638958368304884E-14</v>
      </c>
      <c r="I22" s="1182">
        <f>+TableB2!F22-TableB5!E22</f>
        <v>4.442505748690901</v>
      </c>
      <c r="J22" s="1037">
        <f t="shared" si="5"/>
        <v>0.97319696973962588</v>
      </c>
      <c r="K22" s="1037">
        <f t="shared" si="6"/>
        <v>9.220213515730908</v>
      </c>
      <c r="L22" s="1183">
        <f t="shared" si="1"/>
        <v>0.48666032860314534</v>
      </c>
      <c r="M22" s="1184">
        <f>TableA2!G22/(TableA2!G22+TableA2!D22)</f>
        <v>0.39670811481294177</v>
      </c>
      <c r="N22" s="1184">
        <f>VLOOKUP(A22,TableA10!$A$8:$G$95,7,)/(VLOOKUP(A22,TableA10!$A$8:$G$95,7,)+VLOOKUP(A22,TableA10!$A$8:$G$95,4,)+VLOOKUP(A22,TableA10!$A$8:$G$95,5,))</f>
        <v>4.327076041998091E-2</v>
      </c>
      <c r="O22" s="1185">
        <f t="shared" si="7"/>
        <v>0.10626839819341541</v>
      </c>
      <c r="P22" s="1161">
        <f>TableA3!H22/TableA3!B22</f>
        <v>0.10626839819341541</v>
      </c>
      <c r="Q22" s="1837"/>
      <c r="R22" s="1031"/>
      <c r="S22" s="958"/>
      <c r="T22" s="270">
        <f t="shared" si="8"/>
        <v>0</v>
      </c>
      <c r="U22" s="273">
        <f t="shared" si="2"/>
        <v>0</v>
      </c>
      <c r="V22" s="173"/>
    </row>
    <row r="23" spans="1:22" ht="14.25" customHeight="1" x14ac:dyDescent="0.2">
      <c r="A23" s="1155" t="s">
        <v>42</v>
      </c>
      <c r="B23" s="1180">
        <f>C23+F23+I23+J23+K23</f>
        <v>2.1367231487797442E-2</v>
      </c>
      <c r="C23" s="1039">
        <f>TableB2!E23-TableB5!D23</f>
        <v>0.1130207792345674</v>
      </c>
      <c r="D23" s="1037">
        <f>TableB4!I23+TableB4!L23-TableB5!D23</f>
        <v>0.30075187969924438</v>
      </c>
      <c r="E23" s="1037">
        <f>D23-C23</f>
        <v>0.187731100464677</v>
      </c>
      <c r="F23" s="1181">
        <f>TableB2!D23-TableB5!C23</f>
        <v>1.0265656073226997E-2</v>
      </c>
      <c r="G23" s="1037">
        <f>TableB4!D23+TableB4!G23-TableB5!C23</f>
        <v>1.0265656073226997E-2</v>
      </c>
      <c r="H23" s="1037">
        <f>G23-F23</f>
        <v>0</v>
      </c>
      <c r="I23" s="1182">
        <f>+TableB2!F23-TableB5!E23</f>
        <v>-9.2133125998418053E-2</v>
      </c>
      <c r="J23" s="1037">
        <f>O23/(1-O23)*(F23+I23)</f>
        <v>-1.8625788557370529E-2</v>
      </c>
      <c r="K23" s="1037">
        <f>M23/(1-M23)*(I23+F23+C23+J23)</f>
        <v>8.8397107357916366E-3</v>
      </c>
      <c r="L23" s="1183">
        <f t="shared" si="1"/>
        <v>0.41370407489804584</v>
      </c>
      <c r="M23" s="1184">
        <f>TableA2!G23/(TableA2!G23+TableA2!D23)</f>
        <v>0.41370407489804589</v>
      </c>
      <c r="N23" s="1184"/>
      <c r="O23" s="1185">
        <f>P23</f>
        <v>0.18534366223782692</v>
      </c>
      <c r="P23" s="1161">
        <f>TableA3!H23/TableA3!B23</f>
        <v>0.18534366223782692</v>
      </c>
      <c r="Q23" s="1837"/>
      <c r="R23" s="1031"/>
      <c r="S23" s="958"/>
      <c r="T23" s="270">
        <f t="shared" si="8"/>
        <v>0</v>
      </c>
      <c r="U23" s="273">
        <f t="shared" si="2"/>
        <v>0</v>
      </c>
      <c r="V23" s="173"/>
    </row>
    <row r="24" spans="1:22" ht="14.25" customHeight="1" x14ac:dyDescent="0.2">
      <c r="A24" s="1155" t="s">
        <v>43</v>
      </c>
      <c r="B24" s="1180">
        <f>+TableA4!E24</f>
        <v>114.90450564431634</v>
      </c>
      <c r="C24" s="1039">
        <f>TableB2!E24-TableB5!D24</f>
        <v>0.92734331669439996</v>
      </c>
      <c r="D24" s="1037">
        <f>TableB4!I24+TableB4!L24-TableB5!D24</f>
        <v>5.2499223516361999</v>
      </c>
      <c r="E24" s="1037">
        <f t="shared" si="3"/>
        <v>4.3225790349417998</v>
      </c>
      <c r="F24" s="1181">
        <f>TableB2!D24-TableB5!C24</f>
        <v>17.189129229062999</v>
      </c>
      <c r="G24" s="1037">
        <f>TableB4!D24+TableB4!G24-TableB5!C24</f>
        <v>17.183582917359999</v>
      </c>
      <c r="H24" s="1037">
        <f t="shared" si="4"/>
        <v>-5.5463117030001285E-3</v>
      </c>
      <c r="I24" s="1182">
        <f>+TableB2!F24-TableB5!E24</f>
        <v>46.587909040488</v>
      </c>
      <c r="J24" s="1037">
        <f t="shared" si="5"/>
        <v>3.7256292575956804</v>
      </c>
      <c r="K24" s="1037">
        <f t="shared" si="6"/>
        <v>46.474494800475263</v>
      </c>
      <c r="L24" s="1183">
        <f t="shared" si="1"/>
        <v>0.40446190112279629</v>
      </c>
      <c r="M24" s="1184">
        <f>TableA2!G24/(TableA2!G24+TableA2!D24)</f>
        <v>0.34923976068215834</v>
      </c>
      <c r="N24" s="1184">
        <f>VLOOKUP(A24,TableA10!$A$8:$G$95,7,)/(VLOOKUP(A24,TableA10!$A$8:$G$95,7,)+VLOOKUP(A24,TableA10!$A$8:$G$95,4,)+VLOOKUP(A24,TableA10!$A$8:$G$95,5,))</f>
        <v>7.7716949996070928E-2</v>
      </c>
      <c r="O24" s="1185">
        <f t="shared" si="7"/>
        <v>5.5192326378767059E-2</v>
      </c>
      <c r="P24" s="1161">
        <f>TableA3!H24/TableA3!B24</f>
        <v>6.0720568130957837E-2</v>
      </c>
      <c r="Q24" s="1162">
        <f>VLOOKUP(A24,TableA11!$A$9:$L$96,12,)</f>
        <v>5.5192326378767059E-2</v>
      </c>
      <c r="R24" s="1031"/>
      <c r="S24" s="958"/>
      <c r="T24" s="270">
        <f t="shared" si="8"/>
        <v>0</v>
      </c>
      <c r="U24" s="273">
        <f t="shared" si="2"/>
        <v>0</v>
      </c>
      <c r="V24" s="173"/>
    </row>
    <row r="25" spans="1:22" ht="14.25" customHeight="1" x14ac:dyDescent="0.2">
      <c r="A25" s="1155" t="s">
        <v>44</v>
      </c>
      <c r="B25" s="1180">
        <f>C25+F25+I25+J25+K25</f>
        <v>8.5187715952316321</v>
      </c>
      <c r="C25" s="1039">
        <f>TableB2!E25-TableB5!D25</f>
        <v>0.15850000000000009</v>
      </c>
      <c r="D25" s="1037"/>
      <c r="E25" s="1037"/>
      <c r="F25" s="1181">
        <f>TableB2!D25-TableB5!C25</f>
        <v>1.1495</v>
      </c>
      <c r="G25" s="1037"/>
      <c r="H25" s="1037"/>
      <c r="I25" s="1182">
        <f>+TableB2!F25-TableB5!E25</f>
        <v>3.7119999999999997</v>
      </c>
      <c r="J25" s="1037">
        <f>O25/(1-O25)*(F25+I25)</f>
        <v>0.96596267482376685</v>
      </c>
      <c r="K25" s="1037">
        <f>M25/(1-M25)*(I25+F25+C25+J25)</f>
        <v>2.5328089204078661</v>
      </c>
      <c r="L25" s="1183">
        <f>K25/B25</f>
        <v>0.29732090972196057</v>
      </c>
      <c r="M25" s="1184">
        <f>TableA2!G25/(TableA2!G25+TableA2!D25)</f>
        <v>0.29732090972196057</v>
      </c>
      <c r="N25" s="1184">
        <f>VLOOKUP(A25,TableA10!$A$8:$G$95,7,)/(VLOOKUP(A25,TableA10!$A$8:$G$95,7,)+VLOOKUP(A25,TableA10!$A$8:$G$95,4,)+VLOOKUP(A25,TableA10!$A$8:$G$95,5,))</f>
        <v>0.23702224757558471</v>
      </c>
      <c r="O25" s="1185">
        <f>P25</f>
        <v>0.16576042245572675</v>
      </c>
      <c r="P25" s="1161">
        <f>TableA3!H25/TableA3!B25</f>
        <v>0.16576042245572675</v>
      </c>
      <c r="Q25" s="1837"/>
      <c r="R25" s="1031"/>
      <c r="S25" s="958"/>
      <c r="T25" s="270"/>
      <c r="U25" s="273">
        <f t="shared" si="2"/>
        <v>0</v>
      </c>
      <c r="V25" s="173"/>
    </row>
    <row r="26" spans="1:22" ht="14.25" customHeight="1" x14ac:dyDescent="0.2">
      <c r="A26" s="1155" t="s">
        <v>45</v>
      </c>
      <c r="B26" s="1180">
        <f>+TableA4!E26</f>
        <v>51.879393080286654</v>
      </c>
      <c r="C26" s="1039">
        <f>TableB2!E26-TableB5!D26</f>
        <v>0.80985579589572998</v>
      </c>
      <c r="D26" s="1037">
        <f>TableB4!I26+TableB4!L26-TableB5!D26</f>
        <v>2.1051092623405303</v>
      </c>
      <c r="E26" s="1037">
        <f t="shared" si="3"/>
        <v>1.2952534664448003</v>
      </c>
      <c r="F26" s="1181">
        <f>TableB2!D26-TableB5!C26</f>
        <v>3.4079789240155001</v>
      </c>
      <c r="G26" s="1037">
        <f>TableB4!D26+TableB4!G26-TableB5!C26</f>
        <v>3.4079789240155001</v>
      </c>
      <c r="H26" s="1037">
        <f t="shared" si="4"/>
        <v>0</v>
      </c>
      <c r="I26" s="1182">
        <f>+TableB2!F26-TableB5!E26</f>
        <v>7.4674919578479999</v>
      </c>
      <c r="J26" s="1037">
        <f t="shared" si="5"/>
        <v>2.3224178068507029</v>
      </c>
      <c r="K26" s="1037">
        <f t="shared" si="6"/>
        <v>37.871648595676724</v>
      </c>
      <c r="L26" s="1183">
        <f t="shared" si="1"/>
        <v>0.72999405635042691</v>
      </c>
      <c r="M26" s="1184">
        <f>TableA2!G26/(TableA2!G26+TableA2!D26)</f>
        <v>0.48989497691378109</v>
      </c>
      <c r="N26" s="1184">
        <f>VLOOKUP(A26,TableA10!$A$8:$G$95,7,)/(VLOOKUP(A26,TableA10!$A$8:$G$95,7,)+VLOOKUP(A26,TableA10!$A$8:$G$95,4,)+VLOOKUP(A26,TableA10!$A$8:$G$95,5,))</f>
        <v>0.35769784172661873</v>
      </c>
      <c r="O26" s="1185">
        <f t="shared" si="7"/>
        <v>0.17596888878420774</v>
      </c>
      <c r="P26" s="1161">
        <f>TableA3!H26/TableA3!B26</f>
        <v>0.17596888878420774</v>
      </c>
      <c r="Q26" s="1837"/>
      <c r="R26" s="1031"/>
      <c r="S26" s="958"/>
      <c r="T26" s="270">
        <f t="shared" si="8"/>
        <v>0</v>
      </c>
      <c r="U26" s="273">
        <f t="shared" si="2"/>
        <v>0</v>
      </c>
      <c r="V26" s="173"/>
    </row>
    <row r="27" spans="1:22" ht="14.25" customHeight="1" x14ac:dyDescent="0.2">
      <c r="A27" s="1155" t="s">
        <v>46</v>
      </c>
      <c r="B27" s="1180">
        <f>C27+F27+I27+J27+K27</f>
        <v>71.034766915452195</v>
      </c>
      <c r="C27" s="1039">
        <f>TableB2!E27-TableB5!D27</f>
        <v>0.50577551005228993</v>
      </c>
      <c r="D27" s="1037">
        <f>TableB4!I27+TableB4!L27-TableB5!D27</f>
        <v>0.50577551005228993</v>
      </c>
      <c r="E27" s="1037">
        <f>D27-C27</f>
        <v>0</v>
      </c>
      <c r="F27" s="1181">
        <f>TableB2!D27-TableB5!C27</f>
        <v>12.265056118767999</v>
      </c>
      <c r="G27" s="1037">
        <f>TableB4!D27+TableB4!G27-TableB5!C27</f>
        <v>12.265056118767999</v>
      </c>
      <c r="H27" s="1037">
        <f>G27-F27</f>
        <v>0</v>
      </c>
      <c r="I27" s="1182">
        <f>+TableB2!F27-TableB5!E27</f>
        <v>11.420444074204001</v>
      </c>
      <c r="J27" s="1037">
        <f>O27/(1-O27)*(F27+I27)</f>
        <v>8.4061652134379425</v>
      </c>
      <c r="K27" s="1037">
        <f>M27/(1-M27)*(I27+F27+C27+J27)</f>
        <v>38.437325998989955</v>
      </c>
      <c r="L27" s="1183">
        <f t="shared" si="1"/>
        <v>0.54110582279715602</v>
      </c>
      <c r="M27" s="1184">
        <f>TableA2!G27/(TableA2!G27+TableA2!D27)</f>
        <v>0.54110582279715602</v>
      </c>
      <c r="N27" s="1184">
        <f>AVERAGE(VLOOKUP(A27,TableA10!$A$8:$G$95,7,)/(VLOOKUP(A27,TableA10!$A$8:$G$95,7,)+VLOOKUP(A27,TableA10!$A$8:$G$95,4,)+VLOOKUP(A27,TableA10!$A$8:$G$95,5,)),VLOOKUP(A27,TableA10b!$A$8:$G$95,7,)/(VLOOKUP(A27,TableA10b!$A$8:$G$95,7,)+VLOOKUP(A27,TableA10b!$A$8:$G$95,4,)+VLOOKUP(A27,TableA10b!$A$8:$G$95,5,)))</f>
        <v>0.17859505957305163</v>
      </c>
      <c r="O27" s="1185">
        <f>P27</f>
        <v>0.26194231763861364</v>
      </c>
      <c r="P27" s="1161">
        <f>TableA3!H27/TableA3!B27</f>
        <v>0.26194231763861364</v>
      </c>
      <c r="Q27" s="1837"/>
      <c r="R27" s="1031"/>
      <c r="S27" s="958"/>
      <c r="T27" s="270">
        <f t="shared" si="8"/>
        <v>0</v>
      </c>
      <c r="U27" s="273">
        <f t="shared" si="2"/>
        <v>0</v>
      </c>
      <c r="V27" s="173"/>
    </row>
    <row r="28" spans="1:22" ht="14.25" customHeight="1" x14ac:dyDescent="0.2">
      <c r="A28" s="1155" t="s">
        <v>47</v>
      </c>
      <c r="B28" s="1180">
        <f>C28+F28+I28+J28+K28</f>
        <v>4.7045157965371542</v>
      </c>
      <c r="C28" s="1039">
        <f>TableB2!E28-TableB5!D28</f>
        <v>0.1707720848056547</v>
      </c>
      <c r="D28" s="1037"/>
      <c r="E28" s="1037"/>
      <c r="F28" s="1181">
        <f>TableB2!D28-TableB5!C28</f>
        <v>0.68805830388692679</v>
      </c>
      <c r="G28" s="1037">
        <f>TableB4!D28+TableB4!G28-TableB5!C28</f>
        <v>8.3500667844522951</v>
      </c>
      <c r="H28" s="1037">
        <f t="shared" si="4"/>
        <v>7.6620084805653681</v>
      </c>
      <c r="I28" s="1182">
        <f>+TableB2!F28-TableB5!E28</f>
        <v>1.366923519876345</v>
      </c>
      <c r="J28" s="1037">
        <f t="shared" si="5"/>
        <v>0.46215700438711022</v>
      </c>
      <c r="K28" s="1037">
        <f>M28/(1-M28)*(I28+F28+C28+J28)</f>
        <v>2.0166048835811177</v>
      </c>
      <c r="L28" s="1183">
        <f t="shared" si="1"/>
        <v>0.42865301569727471</v>
      </c>
      <c r="M28" s="1184">
        <f>TableA2!G28/(TableA2!G28+TableA2!D28)</f>
        <v>0.42865301569727471</v>
      </c>
      <c r="N28" s="1184">
        <f>VLOOKUP(A28,TableA10!$A$8:$G$95,7,)/(VLOOKUP(A28,TableA10!$A$8:$G$95,7,)+VLOOKUP(A28,TableA10!$A$8:$G$95,4,)+VLOOKUP(A28,TableA10!$A$8:$G$95,5,))</f>
        <v>0.26543535620052772</v>
      </c>
      <c r="O28" s="1185">
        <f t="shared" si="7"/>
        <v>0.18360409812068557</v>
      </c>
      <c r="P28" s="1161">
        <f>TableA3!H28/TableA3!B28</f>
        <v>0.18360409812068557</v>
      </c>
      <c r="Q28" s="1837"/>
      <c r="R28" s="1031"/>
      <c r="S28" s="958"/>
      <c r="T28" s="173"/>
      <c r="U28" s="273">
        <f t="shared" si="2"/>
        <v>0</v>
      </c>
      <c r="V28" s="173"/>
    </row>
    <row r="29" spans="1:22" ht="14.25" customHeight="1" x14ac:dyDescent="0.2">
      <c r="A29" s="1154" t="s">
        <v>48</v>
      </c>
      <c r="B29" s="1180">
        <f>+TableA4!E29</f>
        <v>2.7206095419459095</v>
      </c>
      <c r="C29" s="1039">
        <f>TableB2!E29-TableB5!D29</f>
        <v>5.3244592346090004E-2</v>
      </c>
      <c r="D29" s="1037">
        <f>TableB4!I29+TableB4!L29-TableB5!D29</f>
        <v>6.7665002773155999E-2</v>
      </c>
      <c r="E29" s="1037">
        <f t="shared" si="3"/>
        <v>1.4420410427065995E-2</v>
      </c>
      <c r="F29" s="1181">
        <f>TableB2!D29-TableB5!C29</f>
        <v>0.62229617304493001</v>
      </c>
      <c r="G29" s="1037">
        <f>TableB4!D29+TableB4!G29-TableB5!C29</f>
        <v>0.62229617304493001</v>
      </c>
      <c r="H29" s="1037">
        <f t="shared" si="4"/>
        <v>0</v>
      </c>
      <c r="I29" s="1182">
        <f>+TableB2!F29-TableB5!E29</f>
        <v>0.47587354409318</v>
      </c>
      <c r="J29" s="1037">
        <f t="shared" si="5"/>
        <v>0.12605495370513631</v>
      </c>
      <c r="K29" s="1037">
        <f t="shared" si="6"/>
        <v>1.4431402787565735</v>
      </c>
      <c r="L29" s="1183">
        <f t="shared" si="1"/>
        <v>0.53044740765129084</v>
      </c>
      <c r="M29" s="1184">
        <f>TableA2!G29/(TableA2!G29+TableA2!D29)</f>
        <v>0.47147890575093504</v>
      </c>
      <c r="N29" s="1184"/>
      <c r="O29" s="1185">
        <f t="shared" si="7"/>
        <v>0.10296717318914152</v>
      </c>
      <c r="P29" s="1161">
        <f>TableA3!H29/TableA3!B29</f>
        <v>0.10296717318914152</v>
      </c>
      <c r="Q29" s="1837"/>
      <c r="R29" s="1031"/>
      <c r="S29" s="958"/>
      <c r="T29" s="270">
        <f t="shared" si="8"/>
        <v>0</v>
      </c>
      <c r="U29" s="273">
        <f t="shared" si="2"/>
        <v>0</v>
      </c>
      <c r="V29" s="173"/>
    </row>
    <row r="30" spans="1:22" ht="14.25" customHeight="1" x14ac:dyDescent="0.2">
      <c r="A30" s="1154" t="s">
        <v>49</v>
      </c>
      <c r="B30" s="1180">
        <f>+TableA4!E30</f>
        <v>14.295093821500146</v>
      </c>
      <c r="C30" s="1190">
        <f>B30-F30-I30-J30-K30</f>
        <v>-7.9148775720845004</v>
      </c>
      <c r="D30" s="1037"/>
      <c r="E30" s="1037"/>
      <c r="F30" s="1181">
        <f>TableB2!D30-TableB5!C30</f>
        <v>9.1858014420409972</v>
      </c>
      <c r="G30" s="1037">
        <f>TableB4!D30+TableB4!G30-TableB5!C30</f>
        <v>13.636161952301997</v>
      </c>
      <c r="H30" s="1037">
        <f t="shared" si="4"/>
        <v>4.4503605102609995</v>
      </c>
      <c r="I30" s="1182">
        <f>+TableB2!F30-TableB5!E30</f>
        <v>8.930671103716012</v>
      </c>
      <c r="J30" s="1037">
        <f>0.05*B30</f>
        <v>0.71475469107500733</v>
      </c>
      <c r="K30" s="1037">
        <f>TableA2!G30/(TableA2!G30+TableA2!D30)*B30</f>
        <v>3.3787441567526297</v>
      </c>
      <c r="L30" s="1109">
        <f t="shared" si="1"/>
        <v>0.23635690670815479</v>
      </c>
      <c r="M30" s="1184">
        <f>TableA2!G30/(TableA2!G30+TableA2!D30)</f>
        <v>0.23635690670815479</v>
      </c>
      <c r="N30" s="1184">
        <f>VLOOKUP(A30,TableA10!$A$8:$G$95,7,)/(VLOOKUP(A30,TableA10!$A$8:$G$95,7,)+VLOOKUP(A30,TableA10!$A$8:$G$95,4,)+VLOOKUP(A30,TableA10!$A$8:$G$95,5,))</f>
        <v>0.2268370607028754</v>
      </c>
      <c r="O30" s="1185">
        <f t="shared" si="7"/>
        <v>8.8413018127849047E-2</v>
      </c>
      <c r="P30" s="1161">
        <f>TableA3!H30/TableA3!B30</f>
        <v>4.2940762652087926E-2</v>
      </c>
      <c r="Q30" s="1162">
        <f>VLOOKUP(A30,TableA11!$A$9:$L$96,12,)</f>
        <v>8.8413018127849047E-2</v>
      </c>
      <c r="R30" s="1031"/>
      <c r="S30" s="958"/>
      <c r="T30" s="173"/>
      <c r="U30" s="273">
        <f t="shared" si="2"/>
        <v>0</v>
      </c>
      <c r="V30" s="173"/>
    </row>
    <row r="31" spans="1:22" ht="14.25" customHeight="1" x14ac:dyDescent="0.2">
      <c r="A31" s="1154" t="s">
        <v>50</v>
      </c>
      <c r="B31" s="1180">
        <f>C31+F31+I31+J31+K31</f>
        <v>32.651902412359277</v>
      </c>
      <c r="C31" s="1039">
        <f>TableB2!E31-TableB5!D31</f>
        <v>0.151843042200003</v>
      </c>
      <c r="D31" s="1037"/>
      <c r="E31" s="1037"/>
      <c r="F31" s="1181">
        <f>TableB2!D31-TableB5!C31</f>
        <v>5.4101154658999997</v>
      </c>
      <c r="G31" s="1037"/>
      <c r="H31" s="1037"/>
      <c r="I31" s="1182">
        <f>+TableB2!F31-TableB5!E31</f>
        <v>10.738041491899999</v>
      </c>
      <c r="J31" s="1037">
        <f>O31/(1-O31)*(F31+I31)</f>
        <v>7.3123167631465442</v>
      </c>
      <c r="K31" s="1037">
        <f>N31/(1-N31)*(I31+F31+C31+J31)</f>
        <v>9.0395856492127358</v>
      </c>
      <c r="L31" s="1183">
        <f>K31/B31</f>
        <v>0.2768471354303419</v>
      </c>
      <c r="M31" s="1184">
        <f>TableA2!G31/(TableA2!G31+TableA2!D31)</f>
        <v>0.2324763591051392</v>
      </c>
      <c r="N31" s="1184">
        <f>VLOOKUP(A31,TableA10!$A$8:$G$95,7,)/(VLOOKUP(A31,TableA10!$A$8:$G$95,7,)+VLOOKUP(A31,TableA10!$A$8:$G$95,4,)+VLOOKUP(A31,TableA10!$A$8:$G$95,5,))</f>
        <v>0.27684713543034184</v>
      </c>
      <c r="O31" s="1185">
        <f>IF(Q31="",P31,Q31)</f>
        <v>0.31168666285786834</v>
      </c>
      <c r="P31" s="1161">
        <f>TableA3!H31/TableA3!B31</f>
        <v>0.11500632352983997</v>
      </c>
      <c r="Q31" s="1162">
        <f>VLOOKUP(A31,TableA11!$A$9:$L$96,12,)</f>
        <v>0.31168666285786834</v>
      </c>
      <c r="R31" s="1031"/>
      <c r="S31" s="958"/>
      <c r="T31" s="173"/>
      <c r="U31" s="273">
        <f t="shared" si="2"/>
        <v>0</v>
      </c>
      <c r="V31" s="173"/>
    </row>
    <row r="32" spans="1:22" ht="14.25" customHeight="1" x14ac:dyDescent="0.2">
      <c r="A32" s="1154" t="s">
        <v>51</v>
      </c>
      <c r="B32" s="1180">
        <f>+TableA4!E32</f>
        <v>62.954502489377148</v>
      </c>
      <c r="C32" s="1039">
        <f>TableB2!E32-TableB5!D32</f>
        <v>-10.86291038528082</v>
      </c>
      <c r="D32" s="1037"/>
      <c r="E32" s="1037"/>
      <c r="F32" s="1181">
        <f>TableB2!D32-TableB5!C32</f>
        <v>41.808479050428616</v>
      </c>
      <c r="G32" s="1037">
        <f>TableB4!D32+TableB4!G32-TableB5!C32</f>
        <v>41.867380880708609</v>
      </c>
      <c r="H32" s="1037">
        <f t="shared" si="4"/>
        <v>5.8901830279992851E-2</v>
      </c>
      <c r="I32" s="1182">
        <f>+TableB2!F32-TableB5!E32</f>
        <v>9.3816637253162014</v>
      </c>
      <c r="J32" s="1038">
        <f t="shared" si="5"/>
        <v>6.6924673222321109</v>
      </c>
      <c r="K32" s="1037">
        <f t="shared" si="6"/>
        <v>15.934802776681046</v>
      </c>
      <c r="L32" s="1109">
        <f t="shared" si="1"/>
        <v>0.25311617353135085</v>
      </c>
      <c r="M32" s="1184">
        <f>TableA2!G32/(TableA2!G32+TableA2!D32)</f>
        <v>0.32766903058925961</v>
      </c>
      <c r="N32" s="1184">
        <f>VLOOKUP(A32,TableA10!$A$8:$G$95,7,)/(VLOOKUP(A32,TableA10!$A$8:$G$95,7,)+VLOOKUP(A32,TableA10!$A$8:$G$95,4,)+VLOOKUP(A32,TableA10!$A$8:$G$95,5,))</f>
        <v>0.14944719786504004</v>
      </c>
      <c r="O32" s="1185">
        <f t="shared" si="7"/>
        <v>0.11562138111781557</v>
      </c>
      <c r="P32" s="1161">
        <f>TableA3!H32/TableA3!B32</f>
        <v>0.12804954248184505</v>
      </c>
      <c r="Q32" s="1162">
        <f>VLOOKUP(A32,TableA11!$A$9:$L$96,12,)</f>
        <v>0.11562138111781557</v>
      </c>
      <c r="R32" s="1031"/>
      <c r="S32" s="958"/>
      <c r="T32" s="173"/>
      <c r="U32" s="273">
        <f t="shared" si="2"/>
        <v>0</v>
      </c>
      <c r="V32" s="173"/>
    </row>
    <row r="33" spans="1:22" ht="14.25" customHeight="1" x14ac:dyDescent="0.2">
      <c r="A33" s="1154" t="s">
        <v>52</v>
      </c>
      <c r="B33" s="1180">
        <f>C33+F33+I33+J33+K33</f>
        <v>9.5201808699017167</v>
      </c>
      <c r="C33" s="1039">
        <f>TableB2!E33-TableB5!D33</f>
        <v>0.64286710361176991</v>
      </c>
      <c r="D33" s="1037"/>
      <c r="E33" s="1037"/>
      <c r="F33" s="1181">
        <f>TableB2!D33-TableB5!C33</f>
        <v>4.2455724445684</v>
      </c>
      <c r="G33" s="1037">
        <f>TableB4!D33+TableB4!G33-TableB5!C33</f>
        <v>4.2455724445684</v>
      </c>
      <c r="H33" s="1037">
        <f>G33-F33</f>
        <v>0</v>
      </c>
      <c r="I33" s="1182">
        <f>+TableB2!F33-TableB5!E33</f>
        <v>0.99846604378747994</v>
      </c>
      <c r="J33" s="1037">
        <f>O33/(1-O33)*(F33+I33)</f>
        <v>0.99211538968895019</v>
      </c>
      <c r="K33" s="1037">
        <f>N33/(1-N33)*(I33+F33+C33+J33)</f>
        <v>2.641159888245117</v>
      </c>
      <c r="L33" s="1183">
        <f>K33/B33</f>
        <v>0.27742749054224464</v>
      </c>
      <c r="M33" s="1184">
        <f>TableA2!G33/(TableA2!G33+TableA2!D33)</f>
        <v>0.27942490264636138</v>
      </c>
      <c r="N33" s="1184">
        <f>VLOOKUP(A33,TableA10!$A$8:$G$95,7,)/(VLOOKUP(A33,TableA10!$A$8:$G$95,7,)+VLOOKUP(A33,TableA10!$A$8:$G$95,4,)+VLOOKUP(A33,TableA10!$A$8:$G$95,5,))</f>
        <v>0.27742749054224464</v>
      </c>
      <c r="O33" s="1185">
        <f>IF(Q33="",P33,Q33)</f>
        <v>0.15909090909090909</v>
      </c>
      <c r="P33" s="1161">
        <f>TableA3!H33/TableA3!B33</f>
        <v>0.18235080869942946</v>
      </c>
      <c r="Q33" s="1162">
        <f>VLOOKUP(A33,TableA11!$A$9:$L$96,12,)</f>
        <v>0.15909090909090909</v>
      </c>
      <c r="R33" s="1031"/>
      <c r="S33" s="958"/>
      <c r="T33" s="173"/>
      <c r="U33" s="273">
        <f t="shared" si="2"/>
        <v>0</v>
      </c>
      <c r="V33" s="173"/>
    </row>
    <row r="34" spans="1:22" ht="14.25" customHeight="1" x14ac:dyDescent="0.2">
      <c r="A34" s="1154" t="s">
        <v>53</v>
      </c>
      <c r="B34" s="1180">
        <f>+TableA4!E34</f>
        <v>27.78673936823926</v>
      </c>
      <c r="C34" s="1039">
        <f>TableB2!E34-TableB5!D34</f>
        <v>2.1879146361122421</v>
      </c>
      <c r="D34" s="1037">
        <f>TableB4!I34+TableB4!L34-TableB5!D34</f>
        <v>3.6362734521285418</v>
      </c>
      <c r="E34" s="1037">
        <f t="shared" si="3"/>
        <v>1.4483588160162997</v>
      </c>
      <c r="F34" s="1181">
        <f>TableB2!D34-TableB5!C34</f>
        <v>5.170070557891</v>
      </c>
      <c r="G34" s="1037">
        <f>TableB4!D34+TableB4!G34-TableB5!C34</f>
        <v>4.8090968837965002</v>
      </c>
      <c r="H34" s="1037">
        <f t="shared" si="4"/>
        <v>-0.36097367409449976</v>
      </c>
      <c r="I34" s="1182">
        <f>+TableB2!F34-TableB5!E34</f>
        <v>-1.15087484344585</v>
      </c>
      <c r="J34" s="1037">
        <f t="shared" si="5"/>
        <v>3.0760040994166489</v>
      </c>
      <c r="K34" s="1037">
        <f t="shared" si="6"/>
        <v>18.503624918265217</v>
      </c>
      <c r="L34" s="1109">
        <f t="shared" si="1"/>
        <v>0.66591566117380407</v>
      </c>
      <c r="M34" s="1184">
        <f>TableA2!G34/(TableA2!G34+TableA2!D34)</f>
        <v>0.35339807773341092</v>
      </c>
      <c r="N34" s="1184">
        <f>VLOOKUP(A34,TableA10!$A$8:$G$95,7,)/(VLOOKUP(A34,TableA10!$A$8:$G$95,7,)+VLOOKUP(A34,TableA10!$A$8:$G$95,4,)+VLOOKUP(A34,TableA10!$A$8:$G$95,5,))</f>
        <v>0.32750582750582752</v>
      </c>
      <c r="O34" s="1185">
        <f t="shared" si="7"/>
        <v>0.43353311818042106</v>
      </c>
      <c r="P34" s="1161">
        <f>TableA3!H34/TableA3!B34</f>
        <v>0.22304226581791881</v>
      </c>
      <c r="Q34" s="1162">
        <f>VLOOKUP(A34,TableA11!$A$9:$L$96,12,)</f>
        <v>0.43353311818042106</v>
      </c>
      <c r="R34" s="1031"/>
      <c r="S34" s="958"/>
      <c r="T34" s="270">
        <f t="shared" ref="T34:T44" si="9">C34-(D34-E34)</f>
        <v>0</v>
      </c>
      <c r="U34" s="273">
        <f t="shared" si="2"/>
        <v>0</v>
      </c>
      <c r="V34" s="173"/>
    </row>
    <row r="35" spans="1:22" ht="14.25" customHeight="1" x14ac:dyDescent="0.2">
      <c r="A35" s="1154" t="s">
        <v>54</v>
      </c>
      <c r="B35" s="1180">
        <f>+TableA4!E35</f>
        <v>44.144559375690896</v>
      </c>
      <c r="C35" s="1039">
        <f>TableB2!E35-TableB5!D35</f>
        <v>2.1004721234948001</v>
      </c>
      <c r="D35" s="1037">
        <f>TableB4!I35+TableB4!L35-TableB5!D35</f>
        <v>2.393878308843</v>
      </c>
      <c r="E35" s="1037">
        <f t="shared" si="3"/>
        <v>0.29340618534819995</v>
      </c>
      <c r="F35" s="1181">
        <f>TableB2!D35-TableB5!C35</f>
        <v>7.9486043509484769</v>
      </c>
      <c r="G35" s="1037">
        <f>TableB4!D35+TableB4!G35-TableB5!C35</f>
        <v>8.0063731695788025</v>
      </c>
      <c r="H35" s="1037">
        <f t="shared" si="4"/>
        <v>5.7768818630325569E-2</v>
      </c>
      <c r="I35" s="1182">
        <f>+TableB2!F35-TableB5!E35</f>
        <v>8.0731216591474855</v>
      </c>
      <c r="J35" s="1037">
        <f t="shared" si="5"/>
        <v>3.3605942327678067</v>
      </c>
      <c r="K35" s="1037">
        <f t="shared" si="6"/>
        <v>22.661767009332323</v>
      </c>
      <c r="L35" s="1183">
        <f t="shared" si="1"/>
        <v>0.51335356677750621</v>
      </c>
      <c r="M35" s="1184">
        <f>TableA2!G35/(TableA2!G35+TableA2!D35)</f>
        <v>0.29287328696090992</v>
      </c>
      <c r="N35" s="1184">
        <f>VLOOKUP(A35,TableA10!$A$8:$G$95,7,)/(VLOOKUP(A35,TableA10!$A$8:$G$95,7,)+VLOOKUP(A35,TableA10!$A$8:$G$95,4,)+VLOOKUP(A35,TableA10!$A$8:$G$95,5,))</f>
        <v>0.66448903406439574</v>
      </c>
      <c r="O35" s="1185">
        <f t="shared" si="7"/>
        <v>0.17338451695457455</v>
      </c>
      <c r="P35" s="1161">
        <f>TableA3!H35/TableA3!B35</f>
        <v>0.10004109953339942</v>
      </c>
      <c r="Q35" s="1162">
        <f>VLOOKUP(A35,TableA11!$A$9:$L$96,12,)</f>
        <v>0.17338451695457455</v>
      </c>
      <c r="R35" s="1031"/>
      <c r="S35" s="958"/>
      <c r="T35" s="270">
        <f t="shared" si="9"/>
        <v>0</v>
      </c>
      <c r="U35" s="273">
        <f t="shared" si="2"/>
        <v>0</v>
      </c>
      <c r="V35" s="173"/>
    </row>
    <row r="36" spans="1:22" ht="14.25" customHeight="1" x14ac:dyDescent="0.2">
      <c r="A36" s="1154" t="s">
        <v>55</v>
      </c>
      <c r="B36" s="1180">
        <f>+TableA4!E36</f>
        <v>11.337455548958513</v>
      </c>
      <c r="C36" s="1039">
        <f>TableB2!E36-TableB5!D36</f>
        <v>0.80080258729554354</v>
      </c>
      <c r="D36" s="1037">
        <f>TableB4!I36+TableB4!L36-TableB5!D36</f>
        <v>0.9061825096471785</v>
      </c>
      <c r="E36" s="1037">
        <f t="shared" si="3"/>
        <v>0.10537992235163496</v>
      </c>
      <c r="F36" s="1181">
        <f>TableB2!D36-TableB5!C36</f>
        <v>2.677852516870836</v>
      </c>
      <c r="G36" s="1037">
        <f>TableB4!D36+TableB4!G36-TableB5!C36</f>
        <v>2.6967099766601201</v>
      </c>
      <c r="H36" s="1037">
        <f t="shared" si="4"/>
        <v>1.8857459789284103E-2</v>
      </c>
      <c r="I36" s="1182">
        <f>+TableB2!F36-TableB5!E36</f>
        <v>0.79986726856092261</v>
      </c>
      <c r="J36" s="1037">
        <f t="shared" si="5"/>
        <v>1.0617617733842262</v>
      </c>
      <c r="K36" s="1037">
        <f t="shared" si="6"/>
        <v>5.9971714028469858</v>
      </c>
      <c r="L36" s="1183">
        <f t="shared" si="1"/>
        <v>0.52896978311839127</v>
      </c>
      <c r="M36" s="1184">
        <f>TableA2!G36/(TableA2!G36+TableA2!D36)</f>
        <v>0.39538093529536672</v>
      </c>
      <c r="N36" s="1184">
        <f>VLOOKUP(A36,TableA10!$A$8:$G$95,7,)/(VLOOKUP(A36,TableA10!$A$8:$G$95,7,)+VLOOKUP(A36,TableA10!$A$8:$G$95,4,)+VLOOKUP(A36,TableA10!$A$8:$G$95,5,))</f>
        <v>0.18945935470831041</v>
      </c>
      <c r="O36" s="1185">
        <f t="shared" si="7"/>
        <v>0.23389494144374526</v>
      </c>
      <c r="P36" s="1161">
        <f>TableA3!H36/TableA3!B36</f>
        <v>0.23389494144374526</v>
      </c>
      <c r="Q36" s="1837"/>
      <c r="R36" s="1031"/>
      <c r="S36" s="958"/>
      <c r="T36" s="270">
        <f t="shared" si="9"/>
        <v>0</v>
      </c>
      <c r="U36" s="273">
        <f t="shared" si="2"/>
        <v>0</v>
      </c>
      <c r="V36" s="173"/>
    </row>
    <row r="37" spans="1:22" ht="14.25" customHeight="1" x14ac:dyDescent="0.2">
      <c r="A37" s="1154" t="s">
        <v>56</v>
      </c>
      <c r="B37" s="1180">
        <f>+TableA4!E37</f>
        <v>10.281833320270469</v>
      </c>
      <c r="C37" s="1039">
        <f>TableB2!E37-TableB5!D37</f>
        <v>0.30803216860788002</v>
      </c>
      <c r="D37" s="1037">
        <f>TableB4!I37+TableB4!L37-TableB5!D37</f>
        <v>0.39175929007210397</v>
      </c>
      <c r="E37" s="1037">
        <f t="shared" si="3"/>
        <v>8.3727121464223953E-2</v>
      </c>
      <c r="F37" s="1181">
        <f>TableB2!D37-TableB5!C37</f>
        <v>3.3260375463117002</v>
      </c>
      <c r="G37" s="1037">
        <f>TableB4!D37+TableB4!G37-TableB5!C37</f>
        <v>3.3260375463117002</v>
      </c>
      <c r="H37" s="1037">
        <f t="shared" si="4"/>
        <v>0</v>
      </c>
      <c r="I37" s="1182">
        <f>+TableB2!F37-TableB5!E37</f>
        <v>0.78691503605103008</v>
      </c>
      <c r="J37" s="1037">
        <f t="shared" si="5"/>
        <v>1.3809972436184166</v>
      </c>
      <c r="K37" s="1037">
        <f t="shared" si="6"/>
        <v>4.479851325681441</v>
      </c>
      <c r="L37" s="1183">
        <f t="shared" si="1"/>
        <v>0.43570549980123546</v>
      </c>
      <c r="M37" s="1184">
        <f>TableA2!G37/(TableA2!G37+TableA2!D37)</f>
        <v>0.50682597091731674</v>
      </c>
      <c r="N37" s="1184"/>
      <c r="O37" s="1185">
        <f t="shared" si="7"/>
        <v>0.25136691949526291</v>
      </c>
      <c r="P37" s="1161">
        <f>TableA3!H37/TableA3!B37</f>
        <v>0.25136691949526291</v>
      </c>
      <c r="Q37" s="1837"/>
      <c r="R37" s="1031"/>
      <c r="S37" s="958"/>
      <c r="T37" s="270">
        <f t="shared" si="9"/>
        <v>0</v>
      </c>
      <c r="U37" s="273">
        <f t="shared" si="2"/>
        <v>0</v>
      </c>
      <c r="V37" s="173"/>
    </row>
    <row r="38" spans="1:22" ht="14.25" customHeight="1" x14ac:dyDescent="0.2">
      <c r="A38" s="1154" t="s">
        <v>57</v>
      </c>
      <c r="B38" s="1180">
        <f>+TableA4!E38</f>
        <v>2.1992635418815816</v>
      </c>
      <c r="C38" s="1039">
        <f>TableB2!E38-TableB5!D38</f>
        <v>5.6714364947310004E-2</v>
      </c>
      <c r="D38" s="1037">
        <f>TableB4!I38+TableB4!L38-TableB5!D38</f>
        <v>6.7855795895729001E-2</v>
      </c>
      <c r="E38" s="1037">
        <f t="shared" si="3"/>
        <v>1.1141430948418997E-2</v>
      </c>
      <c r="F38" s="1181">
        <f>TableB2!D38-TableB5!C38</f>
        <v>0.53209095951191998</v>
      </c>
      <c r="G38" s="1037">
        <f>TableB4!D38+TableB4!G38-TableB5!C38</f>
        <v>0.53209095951191998</v>
      </c>
      <c r="H38" s="1037">
        <f t="shared" si="4"/>
        <v>0</v>
      </c>
      <c r="I38" s="1182">
        <f>+TableB2!F38-TableB5!E38</f>
        <v>0.48937104825291</v>
      </c>
      <c r="J38" s="1037">
        <f t="shared" si="5"/>
        <v>0.23079922528268637</v>
      </c>
      <c r="K38" s="1037">
        <f t="shared" si="6"/>
        <v>0.89028794388675536</v>
      </c>
      <c r="L38" s="1183">
        <f t="shared" si="1"/>
        <v>0.40481185039109446</v>
      </c>
      <c r="M38" s="1184">
        <f>TableA2!G38/(TableA2!G38+TableA2!D38)</f>
        <v>0.63850917520089345</v>
      </c>
      <c r="N38" s="1184"/>
      <c r="O38" s="1185">
        <f t="shared" si="7"/>
        <v>0.18430597322014902</v>
      </c>
      <c r="P38" s="1161">
        <f>TableA3!H38/TableA3!B38</f>
        <v>0.18430597322014902</v>
      </c>
      <c r="Q38" s="1837"/>
      <c r="R38" s="1031"/>
      <c r="S38" s="958"/>
      <c r="T38" s="270">
        <f t="shared" si="9"/>
        <v>0</v>
      </c>
      <c r="U38" s="273">
        <f t="shared" si="2"/>
        <v>0</v>
      </c>
      <c r="V38" s="173"/>
    </row>
    <row r="39" spans="1:22" ht="14.25" customHeight="1" x14ac:dyDescent="0.2">
      <c r="A39" s="1154" t="s">
        <v>58</v>
      </c>
      <c r="B39" s="1180">
        <f>+TableA4!E39</f>
        <v>64.521172053254389</v>
      </c>
      <c r="C39" s="1039">
        <f>TableB2!E39-TableB5!D39</f>
        <v>3.1103716028840998</v>
      </c>
      <c r="D39" s="1037">
        <f>TableB4!I39+TableB4!L39-TableB5!D39</f>
        <v>3.6400665557404479</v>
      </c>
      <c r="E39" s="1037">
        <f t="shared" si="3"/>
        <v>0.52969495285634816</v>
      </c>
      <c r="F39" s="1181">
        <f>TableB2!D39-TableB5!C39</f>
        <v>11.929694564502592</v>
      </c>
      <c r="G39" s="1037"/>
      <c r="H39" s="1037"/>
      <c r="I39" s="1182">
        <f>+TableB2!F39-TableB5!E39</f>
        <v>5.1158385806265523</v>
      </c>
      <c r="J39" s="1037">
        <f t="shared" si="5"/>
        <v>3.7048865002834503</v>
      </c>
      <c r="K39" s="1037">
        <f t="shared" si="6"/>
        <v>40.660380804957697</v>
      </c>
      <c r="L39" s="1183">
        <f t="shared" si="1"/>
        <v>0.630186642787541</v>
      </c>
      <c r="M39" s="1184">
        <f>TableA2!G39/(TableA2!G39+TableA2!D39)</f>
        <v>0.46747148783260961</v>
      </c>
      <c r="N39" s="1184">
        <f>VLOOKUP(A39,TableA10!$A$8:$G$95,7,)/(VLOOKUP(A39,TableA10!$A$8:$G$95,7,)+VLOOKUP(A39,TableA10!$A$8:$G$95,4,)+VLOOKUP(A39,TableA10!$A$8:$G$95,5,))</f>
        <v>0.52029914529914534</v>
      </c>
      <c r="O39" s="1185">
        <f t="shared" si="7"/>
        <v>0.17854513612704259</v>
      </c>
      <c r="P39" s="1161">
        <f>TableA3!H39/TableA3!B39</f>
        <v>0.17854513612704259</v>
      </c>
      <c r="Q39" s="1837"/>
      <c r="R39" s="1031"/>
      <c r="S39" s="958"/>
      <c r="T39" s="270">
        <f t="shared" si="9"/>
        <v>0</v>
      </c>
      <c r="U39" s="273">
        <f t="shared" si="2"/>
        <v>0</v>
      </c>
      <c r="V39" s="173"/>
    </row>
    <row r="40" spans="1:22" s="25" customFormat="1" ht="14.25" customHeight="1" x14ac:dyDescent="0.2">
      <c r="A40" s="1080" t="s">
        <v>59</v>
      </c>
      <c r="B40" s="1186">
        <f>+TableA4!E40</f>
        <v>32.797650965237999</v>
      </c>
      <c r="C40" s="1039">
        <f>TableB2!E40-TableB5!D40</f>
        <v>1.6901759339447371</v>
      </c>
      <c r="D40" s="1037">
        <f>TableB4!I40+TableB4!L40-TableB5!D40</f>
        <v>1.9604237599800871</v>
      </c>
      <c r="E40" s="1037">
        <f t="shared" si="3"/>
        <v>0.27024782603535003</v>
      </c>
      <c r="F40" s="1181">
        <f>TableB2!D40-TableB5!C40</f>
        <v>13.151945057247262</v>
      </c>
      <c r="G40" s="1037">
        <f>TableB4!D40+TableB4!G40-TableB5!C40</f>
        <v>13.151945057247262</v>
      </c>
      <c r="H40" s="1037">
        <f t="shared" si="4"/>
        <v>0</v>
      </c>
      <c r="I40" s="1182">
        <f>+TableB2!F40-TableB5!E40</f>
        <v>5.326446345945306</v>
      </c>
      <c r="J40" s="1038">
        <f t="shared" si="5"/>
        <v>5.5947645348617669</v>
      </c>
      <c r="K40" s="1037">
        <f t="shared" si="6"/>
        <v>7.0343190932389277</v>
      </c>
      <c r="L40" s="1109">
        <f t="shared" si="1"/>
        <v>0.21447630809580093</v>
      </c>
      <c r="M40" s="1111">
        <f>TableA2!G40/(TableA2!G40+TableA2!D40)</f>
        <v>0.46579226409473662</v>
      </c>
      <c r="N40" s="1184">
        <f>VLOOKUP(A40,TableA10!$A$8:$G$95,7,)/(VLOOKUP(A40,TableA10!$A$8:$G$95,7,)+VLOOKUP(A40,TableA10!$A$8:$G$95,4,)+VLOOKUP(A40,TableA10!$A$8:$G$95,5,))</f>
        <v>0.27582697201017814</v>
      </c>
      <c r="O40" s="1185">
        <f t="shared" si="7"/>
        <v>0.23240677496786705</v>
      </c>
      <c r="P40" s="1161">
        <f>TableA3!H40/TableA3!B40</f>
        <v>0.23240677496786705</v>
      </c>
      <c r="Q40" s="1189"/>
      <c r="R40" s="1188"/>
      <c r="S40" s="1115"/>
      <c r="T40" s="270">
        <f t="shared" si="9"/>
        <v>0</v>
      </c>
      <c r="U40" s="273">
        <f t="shared" si="2"/>
        <v>0</v>
      </c>
      <c r="V40" s="271"/>
    </row>
    <row r="41" spans="1:22" ht="14.25" customHeight="1" x14ac:dyDescent="0.2">
      <c r="A41" s="1154" t="s">
        <v>60</v>
      </c>
      <c r="B41" s="1180">
        <f>C41+F41+I41+J41+K41</f>
        <v>61.10387270069868</v>
      </c>
      <c r="C41" s="1039">
        <f>TableB2!E41-TableB5!D41</f>
        <v>1.1460089806645679</v>
      </c>
      <c r="D41" s="1037"/>
      <c r="E41" s="1037"/>
      <c r="F41" s="1181">
        <f>TableB2!D41-TableB5!C41</f>
        <v>37.309486417956798</v>
      </c>
      <c r="G41" s="1037">
        <f>TableB4!D41+TableB4!G41-TableB5!C41</f>
        <v>37.309486417956798</v>
      </c>
      <c r="H41" s="1037">
        <f t="shared" si="4"/>
        <v>0</v>
      </c>
      <c r="I41" s="1182">
        <f>+TableB2!F41-TableB5!E41</f>
        <v>15.4414533513454</v>
      </c>
      <c r="J41" s="1037">
        <f t="shared" si="5"/>
        <v>4.5709485020815599</v>
      </c>
      <c r="K41" s="1037">
        <f>N41/(1-N41)*(I41+F41+C41+J41)</f>
        <v>2.6359754486503468</v>
      </c>
      <c r="L41" s="1183">
        <f t="shared" si="1"/>
        <v>4.3139253408077463E-2</v>
      </c>
      <c r="M41" s="1184">
        <f>TableA2!G41/(TableA2!G41+TableA2!D41)</f>
        <v>0.6006530648287699</v>
      </c>
      <c r="N41" s="1184">
        <f>VLOOKUP(A41,TableA10!$A$8:$G$95,7,)/(VLOOKUP(A41,TableA10!$A$8:$G$95,7,)+VLOOKUP(A41,TableA10!$A$8:$G$95,4,)+VLOOKUP(A41,TableA10!$A$8:$G$95,5,))</f>
        <v>4.3139253408077463E-2</v>
      </c>
      <c r="O41" s="1185">
        <f t="shared" si="7"/>
        <v>7.974176427058613E-2</v>
      </c>
      <c r="P41" s="1161">
        <f>TableA3!H41/TableA3!B41</f>
        <v>0.21188216848158226</v>
      </c>
      <c r="Q41" s="1162">
        <f>VLOOKUP(A41,TableA11!$A$9:$L$96,12,)</f>
        <v>7.974176427058613E-2</v>
      </c>
      <c r="R41" s="1031"/>
      <c r="S41" s="958"/>
      <c r="T41" s="270"/>
      <c r="U41" s="273">
        <f t="shared" si="2"/>
        <v>7.5495165674510645E-15</v>
      </c>
      <c r="V41" s="173"/>
    </row>
    <row r="42" spans="1:22" ht="14.25" customHeight="1" x14ac:dyDescent="0.2">
      <c r="A42" s="1154" t="s">
        <v>61</v>
      </c>
      <c r="B42" s="1180">
        <f>C42+F42+I42+J42+K42</f>
        <v>4.8272095968080961</v>
      </c>
      <c r="C42" s="1039">
        <f>TableB2!E42-TableB5!D42</f>
        <v>0.14249000000000001</v>
      </c>
      <c r="D42" s="1037">
        <f>TableB4!I42+TableB4!L42-TableB5!D42</f>
        <v>0.14251</v>
      </c>
      <c r="E42" s="1037">
        <f>D42-C42</f>
        <v>1.9999999999992246E-5</v>
      </c>
      <c r="F42" s="1181">
        <f>TableB2!D42-TableB5!C42</f>
        <v>3.0356700000000001</v>
      </c>
      <c r="G42" s="1037">
        <f>TableB4!D42+TableB4!G42-TableB5!C42</f>
        <v>3.0356700000000001</v>
      </c>
      <c r="H42" s="1037">
        <f t="shared" si="4"/>
        <v>0</v>
      </c>
      <c r="I42" s="1182">
        <f>+TableB2!F42-TableB5!E42</f>
        <v>0.36410999999999999</v>
      </c>
      <c r="J42" s="1037">
        <f t="shared" si="5"/>
        <v>0.20832375469878761</v>
      </c>
      <c r="K42" s="1037">
        <f>M42/(1-M42)*(I42+F42+C42+J42)</f>
        <v>1.0766158421093079</v>
      </c>
      <c r="L42" s="1183">
        <f t="shared" si="1"/>
        <v>0.22303068066926293</v>
      </c>
      <c r="M42" s="1184">
        <f>TableA2!G42/(TableA2!G42+TableA2!D42)</f>
        <v>0.22303068066926296</v>
      </c>
      <c r="N42" s="1184">
        <f>VLOOKUP(A42,TableA10!$A$8:$G$95,7,)/(VLOOKUP(A42,TableA10!$A$8:$G$95,7,)+VLOOKUP(A42,TableA10!$A$8:$G$95,4,)+VLOOKUP(A42,TableA10!$A$8:$G$95,5,))</f>
        <v>-0.46680244267943616</v>
      </c>
      <c r="O42" s="1185">
        <f t="shared" si="7"/>
        <v>5.7737739505824968E-2</v>
      </c>
      <c r="P42" s="1161">
        <f>TableA3!H42/TableA3!B42</f>
        <v>5.7737739505824968E-2</v>
      </c>
      <c r="Q42" s="1837"/>
      <c r="R42" s="1031"/>
      <c r="S42" s="958"/>
      <c r="T42" s="270">
        <f t="shared" si="9"/>
        <v>0</v>
      </c>
      <c r="U42" s="273">
        <f t="shared" si="2"/>
        <v>0</v>
      </c>
      <c r="V42" s="173"/>
    </row>
    <row r="43" spans="1:22" ht="14.25" customHeight="1" x14ac:dyDescent="0.2">
      <c r="A43" s="1154" t="s">
        <v>62</v>
      </c>
      <c r="B43" s="1180">
        <f>+TableA4!E43</f>
        <v>200.40694326039292</v>
      </c>
      <c r="C43" s="1039">
        <f>TableB2!E43-TableB5!D43</f>
        <v>12.867229803496533</v>
      </c>
      <c r="D43" s="1037"/>
      <c r="E43" s="1037"/>
      <c r="F43" s="1181">
        <f>TableB2!D43-TableB5!C43</f>
        <v>23.188293992166898</v>
      </c>
      <c r="G43" s="1037"/>
      <c r="H43" s="1037"/>
      <c r="I43" s="1182">
        <f>+TableB2!F43-TableB5!E43</f>
        <v>37.084277579431578</v>
      </c>
      <c r="J43" s="1037">
        <f t="shared" si="5"/>
        <v>11.922432087041344</v>
      </c>
      <c r="K43" s="1037">
        <f t="shared" si="6"/>
        <v>115.34470979825655</v>
      </c>
      <c r="L43" s="1183">
        <f t="shared" si="1"/>
        <v>0.57555246301215601</v>
      </c>
      <c r="M43" s="1184">
        <f>TableA2!G43/(TableA2!G43+TableA2!D43)</f>
        <v>0.33744786567025187</v>
      </c>
      <c r="N43" s="1184">
        <f>VLOOKUP(A43,TableA10!$A$8:$G$95,7,)/(VLOOKUP(A43,TableA10!$A$8:$G$95,7,)+VLOOKUP(A43,TableA10!$A$8:$G$95,4,)+VLOOKUP(A43,TableA10!$A$8:$G$95,5,))</f>
        <v>0.33808755760368664</v>
      </c>
      <c r="O43" s="1185">
        <f t="shared" si="7"/>
        <v>0.16514206638750611</v>
      </c>
      <c r="P43" s="1161">
        <f>TableA3!H43/TableA3!B43</f>
        <v>0.16514206638750611</v>
      </c>
      <c r="Q43" s="1837"/>
      <c r="R43" s="1031"/>
      <c r="S43" s="958"/>
      <c r="T43" s="270"/>
      <c r="U43" s="273">
        <f t="shared" si="2"/>
        <v>0</v>
      </c>
      <c r="V43" s="173"/>
    </row>
    <row r="44" spans="1:22" ht="14.25" customHeight="1" x14ac:dyDescent="0.2">
      <c r="A44" s="1154" t="s">
        <v>63</v>
      </c>
      <c r="B44" s="1180">
        <f>+TableA4!E44</f>
        <v>295.42700000000002</v>
      </c>
      <c r="C44" s="1039">
        <v>16.594999999999999</v>
      </c>
      <c r="D44" s="1037">
        <f>TableB4!I44+TableB4!L44-TableB5!D44</f>
        <v>32.843000000000004</v>
      </c>
      <c r="E44" s="1037">
        <f>D44-C44</f>
        <v>16.248000000000005</v>
      </c>
      <c r="F44" s="1181">
        <f>TableB2!D44-TableB5!C44</f>
        <v>50.49</v>
      </c>
      <c r="G44" s="1037">
        <f>TableB4!D44+TableB4!G44-TableB5!C44</f>
        <v>50.49</v>
      </c>
      <c r="H44" s="1037">
        <f t="shared" si="4"/>
        <v>0</v>
      </c>
      <c r="I44" s="1182">
        <f>B44-C44-F44-J44-K44</f>
        <v>55.822999999999979</v>
      </c>
      <c r="J44" s="1037">
        <v>46.487000000000002</v>
      </c>
      <c r="K44" s="1037">
        <f>L44*B44</f>
        <v>126.03200000000001</v>
      </c>
      <c r="L44" s="1183">
        <v>0.42660961929681446</v>
      </c>
      <c r="M44" s="1184">
        <f>TableA2!G44/(TableA2!G44+TableA2!D44)</f>
        <v>0.41761878084308546</v>
      </c>
      <c r="N44" s="1184"/>
      <c r="O44" s="1185">
        <f t="shared" si="7"/>
        <v>0.21434974303175788</v>
      </c>
      <c r="P44" s="1161">
        <f>TableA3!H44/TableA3!B44</f>
        <v>0.21434974303175788</v>
      </c>
      <c r="Q44" s="1837"/>
      <c r="R44" s="1031"/>
      <c r="S44" s="958"/>
      <c r="T44" s="270">
        <f t="shared" si="9"/>
        <v>0</v>
      </c>
      <c r="U44" s="273">
        <f t="shared" si="2"/>
        <v>0</v>
      </c>
      <c r="V44" s="173"/>
    </row>
    <row r="45" spans="1:22" ht="40" customHeight="1" x14ac:dyDescent="0.2">
      <c r="A45" s="7" t="s">
        <v>64</v>
      </c>
      <c r="B45" s="1191">
        <f>SUM(B46:B52)</f>
        <v>394.35150804290049</v>
      </c>
      <c r="C45" s="275">
        <f t="shared" ref="C45:K45" si="10">SUM(C46:C52)</f>
        <v>22.82465141286</v>
      </c>
      <c r="D45" s="275"/>
      <c r="E45" s="275"/>
      <c r="F45" s="1191">
        <f t="shared" si="10"/>
        <v>158.23601881126663</v>
      </c>
      <c r="G45" s="275">
        <f t="shared" si="10"/>
        <v>158.23601881126663</v>
      </c>
      <c r="H45" s="275">
        <f t="shared" si="10"/>
        <v>0</v>
      </c>
      <c r="I45" s="276">
        <f t="shared" si="10"/>
        <v>45.804153928091431</v>
      </c>
      <c r="J45" s="275">
        <f t="shared" si="10"/>
        <v>49.263309456083995</v>
      </c>
      <c r="K45" s="275">
        <f t="shared" si="10"/>
        <v>118.22337443459845</v>
      </c>
      <c r="L45" s="265">
        <f t="shared" ref="L45:L52" si="11">K45/B45</f>
        <v>0.29979186594548851</v>
      </c>
      <c r="M45" s="266">
        <f>TableA2!G45/(TableA2!G45+TableA2!D45)</f>
        <v>0.30998685314336416</v>
      </c>
      <c r="N45" s="266">
        <f>SUMPRODUCT(N46:N52,B46:B52)/SUM(B46:B52)</f>
        <v>0.29979186594548851</v>
      </c>
      <c r="O45" s="157">
        <f>IF(Q45="",P45,Q45)</f>
        <v>0.18757638370366683</v>
      </c>
      <c r="P45" s="246">
        <f>TableA3!J45</f>
        <v>0.18757638370366683</v>
      </c>
      <c r="Q45" s="1192"/>
      <c r="R45" s="958"/>
      <c r="S45" s="958"/>
      <c r="T45" s="173"/>
      <c r="U45" s="273">
        <f t="shared" si="2"/>
        <v>0</v>
      </c>
      <c r="V45" s="173"/>
    </row>
    <row r="46" spans="1:22" x14ac:dyDescent="0.2">
      <c r="A46" s="1155" t="s">
        <v>65</v>
      </c>
      <c r="B46" s="1180">
        <f>C46+F46+I46+J46+K46</f>
        <v>67.811019197459444</v>
      </c>
      <c r="C46" s="1039">
        <f>TableB2!E46-TableB5!D46</f>
        <v>4.7060989875599999</v>
      </c>
      <c r="D46" s="1037"/>
      <c r="E46" s="1037"/>
      <c r="F46" s="1181">
        <f>TableB2!D46-TableB5!C46</f>
        <v>16.713376362039998</v>
      </c>
      <c r="G46" s="1037">
        <f>TableB4!D46+TableB4!G46-TableB5!C46</f>
        <v>16.713376362039998</v>
      </c>
      <c r="H46" s="1037">
        <f>G46-F46</f>
        <v>0</v>
      </c>
      <c r="I46" s="1182">
        <f>+TableB2!F46-TableB5!E46</f>
        <v>7.1451487725799998</v>
      </c>
      <c r="J46" s="1037">
        <f t="shared" ref="J46:J52" si="12">O46/(1-O46)*(F46+I46)</f>
        <v>5.7838550202794909</v>
      </c>
      <c r="K46" s="1037">
        <f>N46/(1-N46)*(I46+F46+C46+J46)</f>
        <v>33.462540054999955</v>
      </c>
      <c r="L46" s="1183">
        <f t="shared" si="11"/>
        <v>0.49346758758425557</v>
      </c>
      <c r="M46" s="1184">
        <f>TableA2!G46/(TableA2!G46+TableA2!D46)</f>
        <v>0.45808282087337276</v>
      </c>
      <c r="N46" s="1184">
        <f>VLOOKUP(A46,TableA10b!$A$8:$G$95,7,)/(VLOOKUP(A46,TableA10b!$A$8:$G$95,7,)+VLOOKUP(A46,TableA10b!$A$8:$G$95,4,)+VLOOKUP(A46,TableA10b!$A$8:$G$95,5,))</f>
        <v>0.49346758758425563</v>
      </c>
      <c r="O46" s="1185">
        <f>IF(Q46="",P46,Q46)</f>
        <v>0.19512114040962047</v>
      </c>
      <c r="P46" s="1161">
        <f>TableA3!J46</f>
        <v>0.19512114040962047</v>
      </c>
      <c r="Q46" s="1193"/>
      <c r="R46" s="958"/>
      <c r="S46" s="958"/>
      <c r="T46" s="173"/>
      <c r="U46" s="273">
        <f t="shared" si="2"/>
        <v>0</v>
      </c>
      <c r="V46" s="173"/>
    </row>
    <row r="47" spans="1:22" x14ac:dyDescent="0.2">
      <c r="A47" s="1154" t="s">
        <v>66</v>
      </c>
      <c r="B47" s="1180">
        <f t="shared" ref="B47:B89" si="13">C47+F47+I47+J47+K47</f>
        <v>213.62993581492978</v>
      </c>
      <c r="C47" s="1039">
        <f>TableB2!E47-TableB5!D47</f>
        <v>0</v>
      </c>
      <c r="D47" s="1037"/>
      <c r="E47" s="1037"/>
      <c r="F47" s="1181">
        <f>TableB2!D47-TableB5!C47</f>
        <v>90.433140021026631</v>
      </c>
      <c r="G47" s="1037">
        <f>TableB4!D47+TableB4!G47-TableB5!C47</f>
        <v>90.433140021026631</v>
      </c>
      <c r="H47" s="1037">
        <f t="shared" ref="H47:H52" si="14">G47-F47</f>
        <v>0</v>
      </c>
      <c r="I47" s="1182">
        <f>+TableB2!F47-TableB5!E47</f>
        <v>38.757060009011425</v>
      </c>
      <c r="J47" s="1037">
        <f t="shared" si="12"/>
        <v>33.10205055920742</v>
      </c>
      <c r="K47" s="1037">
        <f t="shared" ref="K47:K52" si="15">N47/(1-N47)*(I47+F47+C47+J47)</f>
        <v>51.337685225684304</v>
      </c>
      <c r="L47" s="1183">
        <f t="shared" si="11"/>
        <v>0.24031128891111386</v>
      </c>
      <c r="M47" s="1184">
        <f>TableA2!G47/(TableA2!G47+TableA2!D47)</f>
        <v>0.29560875219623423</v>
      </c>
      <c r="N47" s="1184">
        <f>VLOOKUP(A47,TableA10!$A$8:$G$95,7,)/(VLOOKUP(A47,TableA10!$A$8:$G$95,7,)+VLOOKUP(A47,TableA10!$A$8:$G$95,4,)+VLOOKUP(A47,TableA10!$A$8:$G$95,5,))</f>
        <v>0.24031128891111389</v>
      </c>
      <c r="O47" s="1185">
        <f t="shared" ref="O47:O89" si="16">IF(Q47="",P47,Q47)</f>
        <v>0.20396568806595239</v>
      </c>
      <c r="P47" s="1161">
        <f>TableA3!J47</f>
        <v>0.20396568806595239</v>
      </c>
      <c r="Q47" s="1193"/>
      <c r="R47" s="958"/>
      <c r="S47" s="958"/>
      <c r="T47" s="173"/>
      <c r="U47" s="273">
        <f t="shared" si="2"/>
        <v>0</v>
      </c>
      <c r="V47" s="173"/>
    </row>
    <row r="48" spans="1:22" x14ac:dyDescent="0.2">
      <c r="A48" s="1154" t="s">
        <v>67</v>
      </c>
      <c r="B48" s="1180">
        <f t="shared" si="13"/>
        <v>15.925247911359456</v>
      </c>
      <c r="C48" s="1039">
        <f>TableB2!E48-TableB5!D48</f>
        <v>0.51574077109999994</v>
      </c>
      <c r="D48" s="1037"/>
      <c r="E48" s="1037"/>
      <c r="F48" s="1181">
        <f>TableB2!D48-TableB5!C48</f>
        <v>3.2548936231000001</v>
      </c>
      <c r="G48" s="1037">
        <f>TableB4!D48+TableB4!G48-TableB5!C48</f>
        <v>3.2548936231000001</v>
      </c>
      <c r="H48" s="1037">
        <f t="shared" si="14"/>
        <v>0</v>
      </c>
      <c r="I48" s="1182">
        <f>+TableB2!F48-TableB5!E48</f>
        <v>1.5393656057999996</v>
      </c>
      <c r="J48" s="1037">
        <f t="shared" si="12"/>
        <v>1.9638992736254883</v>
      </c>
      <c r="K48" s="1037">
        <f t="shared" si="15"/>
        <v>8.6513486377339675</v>
      </c>
      <c r="L48" s="1183">
        <f t="shared" si="11"/>
        <v>0.54324734446130496</v>
      </c>
      <c r="M48" s="1184">
        <f>TableA2!G48/(TableA2!G48+TableA2!D48)</f>
        <v>0.2135439293576194</v>
      </c>
      <c r="N48" s="1184">
        <f>VLOOKUP(A48,TableA10!$A$8:$G$95,7,)/(VLOOKUP(A48,TableA10!$A$8:$G$95,7,)+VLOOKUP(A48,TableA10!$A$8:$G$95,4,)+VLOOKUP(A48,TableA10!$A$8:$G$95,5,))</f>
        <v>0.54324734446130496</v>
      </c>
      <c r="O48" s="1185">
        <f t="shared" si="16"/>
        <v>0.29059680575582675</v>
      </c>
      <c r="P48" s="1161">
        <f>TableA3!J48</f>
        <v>0.29059680575582675</v>
      </c>
      <c r="Q48" s="1193"/>
      <c r="R48" s="958"/>
      <c r="S48" s="958"/>
      <c r="T48" s="173"/>
      <c r="U48" s="273">
        <f t="shared" si="2"/>
        <v>0</v>
      </c>
      <c r="V48" s="173"/>
    </row>
    <row r="49" spans="1:22" x14ac:dyDescent="0.2">
      <c r="A49" s="1154" t="s">
        <v>68</v>
      </c>
      <c r="B49" s="1180">
        <f t="shared" si="13"/>
        <v>3.3481782319488018</v>
      </c>
      <c r="C49" s="1039">
        <f>TableB2!E49-TableB5!D49</f>
        <v>1.0689373862</v>
      </c>
      <c r="D49" s="1037"/>
      <c r="E49" s="1037"/>
      <c r="F49" s="1181">
        <f>TableB2!D49-TableB5!C49</f>
        <v>1.9856036526</v>
      </c>
      <c r="G49" s="1037">
        <f>TableB4!D49+TableB4!G49-TableB5!C49</f>
        <v>1.9856036526</v>
      </c>
      <c r="H49" s="1037">
        <f t="shared" si="14"/>
        <v>0</v>
      </c>
      <c r="I49" s="1182">
        <f>+TableB2!F49-TableB5!E49</f>
        <v>-1.0145410388</v>
      </c>
      <c r="J49" s="1037">
        <f t="shared" si="12"/>
        <v>0.12816879227453803</v>
      </c>
      <c r="K49" s="1037">
        <f t="shared" si="15"/>
        <v>1.1800094396742637</v>
      </c>
      <c r="L49" s="1183">
        <f t="shared" si="11"/>
        <v>0.35243328100470955</v>
      </c>
      <c r="M49" s="1184">
        <f>TableA2!G49/(TableA2!G49+TableA2!D49)</f>
        <v>0.18119883843187923</v>
      </c>
      <c r="N49" s="1184">
        <f>VLOOKUP(A49,TableA10!$A$8:$G$95,7,)/(VLOOKUP(A49,TableA10!$A$8:$G$95,7,)+VLOOKUP(A49,TableA10!$A$8:$G$95,4,)+VLOOKUP(A49,TableA10!$A$8:$G$95,5,))</f>
        <v>0.35243328100470955</v>
      </c>
      <c r="O49" s="1185">
        <f t="shared" si="16"/>
        <v>0.1165985538315733</v>
      </c>
      <c r="P49" s="1161">
        <f>TableA3!J49</f>
        <v>0.1165985538315733</v>
      </c>
      <c r="Q49" s="1193"/>
      <c r="R49" s="958"/>
      <c r="S49" s="958"/>
      <c r="T49" s="173"/>
      <c r="U49" s="273">
        <f t="shared" si="2"/>
        <v>0</v>
      </c>
      <c r="V49" s="173"/>
    </row>
    <row r="50" spans="1:22" ht="14.25" customHeight="1" x14ac:dyDescent="0.2">
      <c r="A50" s="1154" t="s">
        <v>69</v>
      </c>
      <c r="B50" s="1180">
        <f t="shared" si="13"/>
        <v>19.763092692472515</v>
      </c>
      <c r="C50" s="1039">
        <f>TableB2!E50-TableB5!D50</f>
        <v>6.7355001169000008</v>
      </c>
      <c r="D50" s="1037"/>
      <c r="E50" s="1037"/>
      <c r="F50" s="1181">
        <f>TableB2!D50-TableB5!C50</f>
        <v>10.231280761199999</v>
      </c>
      <c r="G50" s="1037">
        <f>TableB4!D50+TableB4!G50-TableB5!C50</f>
        <v>10.231280761199999</v>
      </c>
      <c r="H50" s="1037">
        <f t="shared" si="14"/>
        <v>0</v>
      </c>
      <c r="I50" s="1182">
        <f>+TableB2!F50-TableB5!E50</f>
        <v>-3.2667808781000005</v>
      </c>
      <c r="J50" s="1037">
        <f t="shared" si="12"/>
        <v>0.76847104276502376</v>
      </c>
      <c r="K50" s="1037">
        <f t="shared" si="15"/>
        <v>5.2946216497074916</v>
      </c>
      <c r="L50" s="1183">
        <f t="shared" si="11"/>
        <v>0.26790450928381965</v>
      </c>
      <c r="M50" s="1184">
        <f>TableA2!G50/(TableA2!G50+TableA2!D50)</f>
        <v>0.34684271730926658</v>
      </c>
      <c r="N50" s="1184">
        <f>VLOOKUP(A50,TableA10!$A$8:$G$95,7,)/(VLOOKUP(A50,TableA10!$A$8:$G$95,7,)+VLOOKUP(A50,TableA10!$A$8:$G$95,4,)+VLOOKUP(A50,TableA10!$A$8:$G$95,5,))</f>
        <v>0.26790450928381965</v>
      </c>
      <c r="O50" s="1185">
        <f t="shared" si="16"/>
        <v>9.9375912586799398E-2</v>
      </c>
      <c r="P50" s="1161">
        <f>TableA3!J50</f>
        <v>9.9375912586799398E-2</v>
      </c>
      <c r="Q50" s="1193"/>
      <c r="R50" s="958"/>
      <c r="S50" s="958"/>
      <c r="T50" s="173"/>
      <c r="U50" s="273">
        <f t="shared" si="2"/>
        <v>0</v>
      </c>
      <c r="V50" s="173"/>
    </row>
    <row r="51" spans="1:22" ht="14.25" customHeight="1" x14ac:dyDescent="0.2">
      <c r="A51" s="1154" t="s">
        <v>70</v>
      </c>
      <c r="B51" s="1180">
        <f t="shared" si="13"/>
        <v>62.125314463127452</v>
      </c>
      <c r="C51" s="1039">
        <f>TableB2!E51-TableB5!D51</f>
        <v>9.3334899999999994</v>
      </c>
      <c r="D51" s="1037"/>
      <c r="E51" s="1037"/>
      <c r="F51" s="1181">
        <f>TableB2!D51-TableB5!C51</f>
        <v>28.695729999999998</v>
      </c>
      <c r="G51" s="1037">
        <f>TableB4!D51+TableB4!G51-TableB5!C51</f>
        <v>28.695729999999998</v>
      </c>
      <c r="H51" s="1037">
        <f t="shared" si="14"/>
        <v>0</v>
      </c>
      <c r="I51" s="1182">
        <f>+TableB2!F51-TableB5!E51</f>
        <v>2.9707800000000031</v>
      </c>
      <c r="J51" s="1037">
        <f t="shared" si="12"/>
        <v>5.3687967070604961</v>
      </c>
      <c r="K51" s="1037">
        <f t="shared" si="15"/>
        <v>15.756517756066952</v>
      </c>
      <c r="L51" s="1183">
        <f t="shared" si="11"/>
        <v>0.25362475654620215</v>
      </c>
      <c r="M51" s="1184">
        <f>TableA2!G51/(TableA2!G51+TableA2!D51)</f>
        <v>0.22034472051356951</v>
      </c>
      <c r="N51" s="1184">
        <f>VLOOKUP(A51,TableA10b!$A$8:$G$95,7,)/(VLOOKUP(A51,TableA10b!$A$8:$G$95,7,)+VLOOKUP(A51,TableA10b!$A$8:$G$95,4,)+VLOOKUP(A51,TableA10b!$A$8:$G$95,5,))</f>
        <v>0.25362475654620215</v>
      </c>
      <c r="O51" s="1185">
        <f t="shared" si="16"/>
        <v>0.14496428366386327</v>
      </c>
      <c r="P51" s="1161">
        <f>TableA3!J51</f>
        <v>0.14496428366386327</v>
      </c>
      <c r="Q51" s="1193"/>
      <c r="R51" s="958"/>
      <c r="S51" s="958"/>
      <c r="T51" s="173"/>
      <c r="U51" s="273">
        <f t="shared" si="2"/>
        <v>0</v>
      </c>
      <c r="V51" s="173"/>
    </row>
    <row r="52" spans="1:22" ht="14.25" customHeight="1" x14ac:dyDescent="0.2">
      <c r="A52" s="1154" t="s">
        <v>71</v>
      </c>
      <c r="B52" s="1180">
        <f t="shared" si="13"/>
        <v>11.748719731603057</v>
      </c>
      <c r="C52" s="1039">
        <f>TableB2!E52-TableB5!D52</f>
        <v>0.46488415110000003</v>
      </c>
      <c r="D52" s="1037"/>
      <c r="E52" s="1037"/>
      <c r="F52" s="1181">
        <f>TableB2!D52-TableB5!C52</f>
        <v>6.9219943913000002</v>
      </c>
      <c r="G52" s="1037">
        <f>TableB4!D52+TableB4!G52-TableB5!C52</f>
        <v>6.9219943913000002</v>
      </c>
      <c r="H52" s="1037">
        <f t="shared" si="14"/>
        <v>0</v>
      </c>
      <c r="I52" s="1182">
        <f>+TableB2!F52-TableB5!E52</f>
        <v>-0.32687854240000058</v>
      </c>
      <c r="J52" s="1037">
        <f t="shared" si="12"/>
        <v>2.1480680608715463</v>
      </c>
      <c r="K52" s="1037">
        <f t="shared" si="15"/>
        <v>2.5406516707315103</v>
      </c>
      <c r="L52" s="1183">
        <f t="shared" si="11"/>
        <v>0.21624923640806354</v>
      </c>
      <c r="M52" s="1184">
        <f>TableA2!G52/(TableA2!G52+TableA2!D52)</f>
        <v>0.37653391159557786</v>
      </c>
      <c r="N52" s="1184">
        <f>VLOOKUP(A52,TableA10!$A$8:$G$95,7,)/(VLOOKUP(A52,TableA10!$A$8:$G$95,7,)+VLOOKUP(A52,TableA10!$A$8:$G$95,4,)+VLOOKUP(A52,TableA10!$A$8:$G$95,5,))</f>
        <v>0.21624923640806354</v>
      </c>
      <c r="O52" s="1185">
        <f t="shared" si="16"/>
        <v>0.24568487670387729</v>
      </c>
      <c r="P52" s="1161">
        <f>TableA3!J52</f>
        <v>0.24568487670387729</v>
      </c>
      <c r="Q52" s="1193"/>
      <c r="R52" s="958"/>
      <c r="S52" s="958"/>
      <c r="T52" s="173"/>
      <c r="U52" s="273">
        <f t="shared" si="2"/>
        <v>0</v>
      </c>
      <c r="V52" s="173"/>
    </row>
    <row r="53" spans="1:22" ht="40" customHeight="1" x14ac:dyDescent="0.2">
      <c r="A53" s="7" t="s">
        <v>72</v>
      </c>
      <c r="B53" s="1180">
        <f>SUM(B54:B89)</f>
        <v>227.63993459990377</v>
      </c>
      <c r="C53" s="277">
        <f t="shared" ref="C53:K53" si="17">SUM(C54:C89)</f>
        <v>0</v>
      </c>
      <c r="D53" s="26"/>
      <c r="E53" s="26"/>
      <c r="F53" s="1194">
        <f t="shared" si="17"/>
        <v>92.933473247224967</v>
      </c>
      <c r="G53" s="26">
        <f t="shared" si="17"/>
        <v>239.77133365139244</v>
      </c>
      <c r="H53" s="26">
        <f t="shared" si="17"/>
        <v>146.83786040416743</v>
      </c>
      <c r="I53" s="278">
        <f t="shared" si="17"/>
        <v>39.828631391667841</v>
      </c>
      <c r="J53" s="26">
        <f t="shared" si="17"/>
        <v>15.767035008629795</v>
      </c>
      <c r="K53" s="26">
        <f t="shared" si="17"/>
        <v>79.110794952381184</v>
      </c>
      <c r="L53" s="1183"/>
      <c r="M53" s="1184"/>
      <c r="N53" s="1184"/>
      <c r="O53" s="1185"/>
      <c r="P53" s="1161"/>
      <c r="Q53" s="1192"/>
      <c r="R53" s="958"/>
      <c r="S53" s="958"/>
      <c r="T53" s="173"/>
      <c r="U53" s="273">
        <f t="shared" si="2"/>
        <v>0</v>
      </c>
      <c r="V53" s="173"/>
    </row>
    <row r="54" spans="1:22" ht="14.25" customHeight="1" x14ac:dyDescent="0.2">
      <c r="A54" s="1154" t="s">
        <v>73</v>
      </c>
      <c r="B54" s="1180">
        <f t="shared" si="13"/>
        <v>-4.2238151356081763E-2</v>
      </c>
      <c r="C54" s="1039">
        <f>D54-E54</f>
        <v>0</v>
      </c>
      <c r="D54" s="1037">
        <f>TableB2!E54</f>
        <v>0</v>
      </c>
      <c r="E54" s="1037">
        <f>TableB2!I54</f>
        <v>0</v>
      </c>
      <c r="F54" s="1181">
        <f>G54-H54</f>
        <v>-2.2890000000000001E-2</v>
      </c>
      <c r="G54" s="1037">
        <f>TableB2!D54</f>
        <v>2.5340000000000001E-2</v>
      </c>
      <c r="H54" s="1037">
        <f>TableB2!H54</f>
        <v>4.8230000000000002E-2</v>
      </c>
      <c r="I54" s="1182">
        <f>+TableB2!F54-TableB2!J54</f>
        <v>-9.810000000000001E-3</v>
      </c>
      <c r="J54" s="1037">
        <f>O54/(1-O54)*(F54+I54)</f>
        <v>-1.7210526315789476E-3</v>
      </c>
      <c r="K54" s="1037">
        <f>M54/(1-M54)*(I54+F54+C54+J54)</f>
        <v>-7.8170987245028099E-3</v>
      </c>
      <c r="L54" s="1183"/>
      <c r="M54" s="1184">
        <f>TableA2!G54/(TableA2!G54+TableA2!D54)</f>
        <v>0.18507198997896593</v>
      </c>
      <c r="N54" s="115"/>
      <c r="O54" s="1185">
        <f t="shared" si="16"/>
        <v>0.05</v>
      </c>
      <c r="P54" s="1161">
        <f>TableA3!J54</f>
        <v>0.05</v>
      </c>
      <c r="Q54" s="1192"/>
      <c r="R54" s="958"/>
      <c r="S54" s="958"/>
      <c r="T54" s="173"/>
      <c r="U54" s="273">
        <f t="shared" si="2"/>
        <v>0</v>
      </c>
      <c r="V54" s="173"/>
    </row>
    <row r="55" spans="1:22" ht="14.25" customHeight="1" x14ac:dyDescent="0.2">
      <c r="A55" s="1154" t="s">
        <v>74</v>
      </c>
      <c r="B55" s="1180">
        <f t="shared" si="13"/>
        <v>0.12602337689679047</v>
      </c>
      <c r="C55" s="1039">
        <f>D55-E55</f>
        <v>0</v>
      </c>
      <c r="D55" s="1037">
        <f>TableB2!E55</f>
        <v>0</v>
      </c>
      <c r="E55" s="1037">
        <f>TableB2!I55</f>
        <v>0</v>
      </c>
      <c r="F55" s="1181">
        <f>G55-H55</f>
        <v>7.1890000000000009E-2</v>
      </c>
      <c r="G55" s="1037">
        <f>TableB2!D55</f>
        <v>7.5950000000000004E-2</v>
      </c>
      <c r="H55" s="1037">
        <f>TableB2!H55</f>
        <v>4.0599999999999994E-3</v>
      </c>
      <c r="I55" s="1182">
        <f>+TableB2!F55-TableB2!J55</f>
        <v>3.0809999999999997E-2</v>
      </c>
      <c r="J55" s="1037">
        <f>O55/(1-O55)*(F55+I55)</f>
        <v>0</v>
      </c>
      <c r="K55" s="1037">
        <f t="shared" ref="K55:K89" si="18">M55/(1-M55)*(I55+F55+C55+J55)</f>
        <v>2.3323376896790451E-2</v>
      </c>
      <c r="L55" s="1183"/>
      <c r="M55" s="1184">
        <f>TableA2!G55/(TableA2!G55+TableA2!D55)</f>
        <v>0.18507182929950869</v>
      </c>
      <c r="N55" s="115"/>
      <c r="O55" s="1185">
        <f t="shared" si="16"/>
        <v>0</v>
      </c>
      <c r="P55" s="1161">
        <f>TableA3!J55</f>
        <v>0</v>
      </c>
      <c r="Q55" s="1192"/>
      <c r="R55" s="958"/>
      <c r="S55" s="958"/>
      <c r="T55" s="173"/>
      <c r="U55" s="273">
        <f t="shared" si="2"/>
        <v>0</v>
      </c>
      <c r="V55" s="173"/>
    </row>
    <row r="56" spans="1:22" ht="14.25" customHeight="1" x14ac:dyDescent="0.2">
      <c r="A56" s="1154" t="str">
        <f>+TableA1!A56</f>
        <v>Antigua and Barbuda</v>
      </c>
      <c r="B56" s="1180">
        <f t="shared" si="13"/>
        <v>9.5310475834493674E-2</v>
      </c>
      <c r="C56" s="1039">
        <f t="shared" ref="C56:C88" si="19">D56-E56</f>
        <v>0</v>
      </c>
      <c r="D56" s="1037">
        <f>TableB2!E56</f>
        <v>0</v>
      </c>
      <c r="E56" s="1037">
        <f>TableB2!I56</f>
        <v>0</v>
      </c>
      <c r="F56" s="1181">
        <f t="shared" ref="F56:F88" si="20">G56-H56</f>
        <v>5.3830000000000003E-2</v>
      </c>
      <c r="G56" s="1037">
        <f>TableB2!D56</f>
        <v>5.3830000000000003E-2</v>
      </c>
      <c r="H56" s="1037">
        <f>TableB2!H56</f>
        <v>0</v>
      </c>
      <c r="I56" s="1182">
        <f>+TableB2!F56-TableB2!J56</f>
        <v>2.3070000000000004E-2</v>
      </c>
      <c r="J56" s="1037">
        <f t="shared" ref="J56:J88" si="21">O56/(1-O56)*(F56+I56)</f>
        <v>4.0473684210526328E-3</v>
      </c>
      <c r="K56" s="1037">
        <f t="shared" si="18"/>
        <v>1.4363107413441031E-2</v>
      </c>
      <c r="L56" s="1183"/>
      <c r="M56" s="1184">
        <f>TableA2!G56/(TableA2!G56+TableA2!D56)</f>
        <v>0.15069809785004662</v>
      </c>
      <c r="N56" s="115"/>
      <c r="O56" s="1185">
        <f t="shared" si="16"/>
        <v>0.05</v>
      </c>
      <c r="P56" s="1161">
        <f>TableA3!J56</f>
        <v>0.05</v>
      </c>
      <c r="Q56" s="1192"/>
      <c r="R56" s="958"/>
      <c r="S56" s="958"/>
      <c r="T56" s="272"/>
      <c r="U56" s="273">
        <f t="shared" si="2"/>
        <v>0</v>
      </c>
      <c r="V56" s="173"/>
    </row>
    <row r="57" spans="1:22" ht="14.25" customHeight="1" x14ac:dyDescent="0.2">
      <c r="A57" s="1154" t="s">
        <v>76</v>
      </c>
      <c r="B57" s="1180">
        <f t="shared" si="13"/>
        <v>5.388286669783858E-2</v>
      </c>
      <c r="C57" s="1039">
        <f t="shared" si="19"/>
        <v>0</v>
      </c>
      <c r="D57" s="1037">
        <f>TableB2!E57</f>
        <v>0</v>
      </c>
      <c r="E57" s="1037">
        <f>TableB2!I57</f>
        <v>0</v>
      </c>
      <c r="F57" s="1181">
        <f t="shared" si="20"/>
        <v>2.9200558660000001E-2</v>
      </c>
      <c r="G57" s="1037">
        <f>TableB2!D57</f>
        <v>6.9100558660000005E-2</v>
      </c>
      <c r="H57" s="1037">
        <f>TableB2!H57</f>
        <v>3.9900000000000005E-2</v>
      </c>
      <c r="I57" s="1182">
        <f>+TableB2!F57-TableB2!J57</f>
        <v>1.251452514E-2</v>
      </c>
      <c r="J57" s="1037">
        <f t="shared" si="21"/>
        <v>2.1955307263157894E-3</v>
      </c>
      <c r="K57" s="1037">
        <f t="shared" si="18"/>
        <v>9.9722521715227986E-3</v>
      </c>
      <c r="L57" s="1183">
        <f>K57/B57</f>
        <v>0.18507278440556355</v>
      </c>
      <c r="M57" s="1184">
        <f>TableA2!G57/(TableA2!G57+TableA2!D57)</f>
        <v>0.18507278440556352</v>
      </c>
      <c r="N57" s="115"/>
      <c r="O57" s="1185">
        <f t="shared" si="16"/>
        <v>0.05</v>
      </c>
      <c r="P57" s="1161">
        <f>TableA3!J57</f>
        <v>0.05</v>
      </c>
      <c r="Q57" s="1192"/>
      <c r="R57" s="958"/>
      <c r="S57" s="958"/>
      <c r="T57" s="272"/>
      <c r="U57" s="273">
        <f t="shared" si="2"/>
        <v>0</v>
      </c>
      <c r="V57" s="173"/>
    </row>
    <row r="58" spans="1:22" ht="14.25" customHeight="1" x14ac:dyDescent="0.2">
      <c r="A58" s="1154" t="s">
        <v>152</v>
      </c>
      <c r="B58" s="1180">
        <f t="shared" si="13"/>
        <v>0.86376768801781456</v>
      </c>
      <c r="C58" s="1039">
        <f t="shared" si="19"/>
        <v>0</v>
      </c>
      <c r="D58" s="1037">
        <f>TableB2!E58</f>
        <v>0</v>
      </c>
      <c r="E58" s="1037">
        <f>TableB2!I58</f>
        <v>0</v>
      </c>
      <c r="F58" s="1181">
        <f t="shared" si="20"/>
        <v>0.51717766904770324</v>
      </c>
      <c r="G58" s="1037">
        <f>TableB2!D58</f>
        <v>1.7087601109938677</v>
      </c>
      <c r="H58" s="1037">
        <f>TableB2!H58</f>
        <v>1.1915824419461645</v>
      </c>
      <c r="I58" s="1182">
        <f>+TableB2!F58-TableB2!J58</f>
        <v>0.22164757244901567</v>
      </c>
      <c r="J58" s="1037">
        <f t="shared" si="21"/>
        <v>0</v>
      </c>
      <c r="K58" s="1037">
        <f t="shared" si="18"/>
        <v>0.12494244652109564</v>
      </c>
      <c r="L58" s="1183"/>
      <c r="M58" s="1184">
        <f>TableA2!G58/(TableA2!G58+TableA2!D58)</f>
        <v>0.14464820605620848</v>
      </c>
      <c r="N58" s="115"/>
      <c r="O58" s="1185">
        <f t="shared" si="16"/>
        <v>0</v>
      </c>
      <c r="P58" s="1161">
        <f>TableA3!J58</f>
        <v>0</v>
      </c>
      <c r="Q58" s="1192"/>
      <c r="R58" s="958"/>
      <c r="S58" s="958"/>
      <c r="T58" s="272"/>
      <c r="U58" s="273">
        <f t="shared" si="2"/>
        <v>0</v>
      </c>
      <c r="V58" s="173"/>
    </row>
    <row r="59" spans="1:22" ht="14.25" customHeight="1" x14ac:dyDescent="0.2">
      <c r="A59" s="1154" t="s">
        <v>78</v>
      </c>
      <c r="B59" s="1180">
        <f t="shared" si="13"/>
        <v>0.70390176012888261</v>
      </c>
      <c r="C59" s="1039">
        <f t="shared" si="19"/>
        <v>0</v>
      </c>
      <c r="D59" s="1037">
        <f>TableB2!E59</f>
        <v>0</v>
      </c>
      <c r="E59" s="1037">
        <f>TableB2!I59</f>
        <v>0</v>
      </c>
      <c r="F59" s="1181">
        <f t="shared" si="20"/>
        <v>0.44982563954713994</v>
      </c>
      <c r="G59" s="1037">
        <f>TableB2!D59</f>
        <v>0.50400563954713995</v>
      </c>
      <c r="H59" s="1037">
        <f>TableB2!H59</f>
        <v>5.4180000000000006E-2</v>
      </c>
      <c r="I59" s="1182">
        <f>+TableB2!F59-TableB2!J59</f>
        <v>0.19278241694877424</v>
      </c>
      <c r="J59" s="1037">
        <f t="shared" si="21"/>
        <v>0</v>
      </c>
      <c r="K59" s="1037">
        <f t="shared" si="18"/>
        <v>6.1293703632968426E-2</v>
      </c>
      <c r="L59" s="1183"/>
      <c r="M59" s="1184">
        <f>TableA2!G59/(TableA2!G59+TableA2!D59)</f>
        <v>8.7077071126723277E-2</v>
      </c>
      <c r="N59" s="115"/>
      <c r="O59" s="1185">
        <f t="shared" si="16"/>
        <v>0</v>
      </c>
      <c r="P59" s="1161">
        <f>TableA3!J59</f>
        <v>0</v>
      </c>
      <c r="Q59" s="1192"/>
      <c r="R59" s="958"/>
      <c r="S59" s="958"/>
      <c r="T59" s="272"/>
      <c r="U59" s="273">
        <f t="shared" si="2"/>
        <v>0</v>
      </c>
      <c r="V59" s="173"/>
    </row>
    <row r="60" spans="1:22" ht="14.25" customHeight="1" x14ac:dyDescent="0.2">
      <c r="A60" s="1154" t="str">
        <f>+TableA1!A60</f>
        <v>Barbados</v>
      </c>
      <c r="B60" s="1180">
        <f t="shared" si="13"/>
        <v>2.3540047098343044</v>
      </c>
      <c r="C60" s="1039">
        <f t="shared" si="19"/>
        <v>0</v>
      </c>
      <c r="D60" s="1037">
        <f>TableB2!E60</f>
        <v>0</v>
      </c>
      <c r="E60" s="1037">
        <f>TableB2!I60</f>
        <v>0</v>
      </c>
      <c r="F60" s="1181">
        <f t="shared" si="20"/>
        <v>1.327052905736777</v>
      </c>
      <c r="G60" s="1037">
        <f>TableB2!D60</f>
        <v>1.4915056965555711</v>
      </c>
      <c r="H60" s="1037">
        <f>TableB2!H60</f>
        <v>0.16445279081879405</v>
      </c>
      <c r="I60" s="1182">
        <f>+TableB2!F60-TableB2!J60</f>
        <v>0.56873695960147586</v>
      </c>
      <c r="J60" s="1037">
        <f t="shared" si="21"/>
        <v>9.9778413965171203E-2</v>
      </c>
      <c r="K60" s="1037">
        <f t="shared" si="18"/>
        <v>0.35843643053088037</v>
      </c>
      <c r="L60" s="1183"/>
      <c r="M60" s="1184">
        <f>TableA2!G60/(TableA2!G60+TableA2!D60)</f>
        <v>0.15226665819037816</v>
      </c>
      <c r="N60" s="1184">
        <f>VLOOKUP(A60,TableA10!$A$8:$G$95,7,)/(VLOOKUP(A60,TableA10!$A$8:$G$95,7,)+VLOOKUP(A60,TableA10!$A$8:$G$95,4,)+VLOOKUP(A60,TableA10!$A$8:$G$95,5,))</f>
        <v>0.11591355599214145</v>
      </c>
      <c r="O60" s="1185">
        <f t="shared" si="16"/>
        <v>0.05</v>
      </c>
      <c r="P60" s="1161">
        <f>TableA3!J60</f>
        <v>0.05</v>
      </c>
      <c r="Q60" s="1192"/>
      <c r="R60" s="958"/>
      <c r="S60" s="958"/>
      <c r="T60" s="272"/>
      <c r="U60" s="273">
        <f t="shared" si="2"/>
        <v>0</v>
      </c>
      <c r="V60" s="173"/>
    </row>
    <row r="61" spans="1:22" ht="14.25" customHeight="1" x14ac:dyDescent="0.2">
      <c r="A61" s="1154" t="s">
        <v>80</v>
      </c>
      <c r="B61" s="1180">
        <f t="shared" si="13"/>
        <v>7.6699473965693349E-2</v>
      </c>
      <c r="C61" s="1039">
        <f t="shared" si="19"/>
        <v>0</v>
      </c>
      <c r="D61" s="1037">
        <f>TableB2!E61</f>
        <v>0</v>
      </c>
      <c r="E61" s="1037">
        <f>TableB2!I61</f>
        <v>0</v>
      </c>
      <c r="F61" s="1181">
        <f t="shared" si="20"/>
        <v>4.5492634390000009E-2</v>
      </c>
      <c r="G61" s="1037">
        <f>TableB2!D61</f>
        <v>4.6340000000000006E-2</v>
      </c>
      <c r="H61" s="1037">
        <f>TableB2!H61</f>
        <v>8.4736561000000005E-4</v>
      </c>
      <c r="I61" s="1182">
        <f>+TableB2!F61-TableB2!J61</f>
        <v>1.9496843310000001E-2</v>
      </c>
      <c r="J61" s="1037">
        <f t="shared" si="21"/>
        <v>0</v>
      </c>
      <c r="K61" s="1037">
        <f t="shared" si="18"/>
        <v>1.1709996265693346E-2</v>
      </c>
      <c r="L61" s="1183">
        <f>K61/B61</f>
        <v>0.15267374937839953</v>
      </c>
      <c r="M61" s="1184">
        <f>TableA2!G61/(TableA2!G61+TableA2!D61)</f>
        <v>0.15267374937839953</v>
      </c>
      <c r="N61" s="115"/>
      <c r="O61" s="1185">
        <f t="shared" si="16"/>
        <v>0</v>
      </c>
      <c r="P61" s="1161">
        <f>TableA3!J61</f>
        <v>0</v>
      </c>
      <c r="Q61" s="1192"/>
      <c r="R61" s="958"/>
      <c r="S61" s="958"/>
      <c r="T61" s="272"/>
      <c r="U61" s="273">
        <f t="shared" si="2"/>
        <v>0</v>
      </c>
      <c r="V61" s="173"/>
    </row>
    <row r="62" spans="1:22" ht="14.25" customHeight="1" x14ac:dyDescent="0.2">
      <c r="A62" s="1154" t="s">
        <v>81</v>
      </c>
      <c r="B62" s="1180">
        <f t="shared" si="13"/>
        <v>17.600157933093634</v>
      </c>
      <c r="C62" s="1039">
        <f t="shared" si="19"/>
        <v>0</v>
      </c>
      <c r="D62" s="1037">
        <f>TableB2!E62</f>
        <v>0</v>
      </c>
      <c r="E62" s="1037">
        <f>TableB2!I62</f>
        <v>0</v>
      </c>
      <c r="F62" s="1181">
        <f t="shared" si="20"/>
        <v>10.813178969205666</v>
      </c>
      <c r="G62" s="1037">
        <f>TableB2!D62</f>
        <v>33.405915985248917</v>
      </c>
      <c r="H62" s="1037">
        <f>TableB2!H62</f>
        <v>22.592737016043252</v>
      </c>
      <c r="I62" s="1182">
        <f>+TableB2!F62-TableB2!J62</f>
        <v>4.6342195582309973</v>
      </c>
      <c r="J62" s="1037">
        <f t="shared" si="21"/>
        <v>0</v>
      </c>
      <c r="K62" s="1037">
        <f t="shared" si="18"/>
        <v>2.1527594056569712</v>
      </c>
      <c r="L62" s="1183">
        <f>K62/B62</f>
        <v>0.12231477773327992</v>
      </c>
      <c r="M62" s="1184">
        <f>TableA2!G62/(TableA2!G62+TableA2!D62)</f>
        <v>0.12231477773327991</v>
      </c>
      <c r="N62" s="1184">
        <f>VLOOKUP(A62,TableA10!$A$8:$G$95,7,)/(VLOOKUP(A62,TableA10!$A$8:$G$95,7,)+VLOOKUP(A62,TableA10!$A$8:$G$95,4,)+VLOOKUP(A62,TableA10!$A$8:$G$95,5,))</f>
        <v>-0.13774787535410765</v>
      </c>
      <c r="O62" s="1185">
        <f t="shared" si="16"/>
        <v>0</v>
      </c>
      <c r="P62" s="1161">
        <f>TableA3!J62</f>
        <v>0</v>
      </c>
      <c r="Q62" s="1192"/>
      <c r="R62" s="958"/>
      <c r="S62" s="958"/>
      <c r="T62" s="272"/>
      <c r="U62" s="273">
        <f t="shared" si="2"/>
        <v>0</v>
      </c>
      <c r="V62" s="173"/>
    </row>
    <row r="63" spans="1:22" ht="14.25" customHeight="1" x14ac:dyDescent="0.2">
      <c r="A63" s="1154" t="s">
        <v>82</v>
      </c>
      <c r="B63" s="1180">
        <f t="shared" si="13"/>
        <v>-1.2141862556307403E-2</v>
      </c>
      <c r="C63" s="1039">
        <f t="shared" si="19"/>
        <v>0</v>
      </c>
      <c r="D63" s="1037">
        <f>TableB2!E63</f>
        <v>0</v>
      </c>
      <c r="E63" s="1037">
        <f>TableB2!I63</f>
        <v>0</v>
      </c>
      <c r="F63" s="1181">
        <f t="shared" si="20"/>
        <v>-6.5799999999999999E-3</v>
      </c>
      <c r="G63" s="1037">
        <f>TableB2!D63</f>
        <v>7.0000000000000007E-5</v>
      </c>
      <c r="H63" s="1037">
        <f>TableB2!H63</f>
        <v>6.6499999999999997E-3</v>
      </c>
      <c r="I63" s="1182">
        <f>+TableB2!F63-TableB2!J63</f>
        <v>-2.8199999999999996E-3</v>
      </c>
      <c r="J63" s="1037">
        <f t="shared" si="21"/>
        <v>-4.9473684210526309E-4</v>
      </c>
      <c r="K63" s="1037">
        <f t="shared" si="18"/>
        <v>-2.247125714202141E-3</v>
      </c>
      <c r="L63" s="1183"/>
      <c r="M63" s="1184">
        <f>TableA2!G63/(TableA2!G63+TableA2!D63)</f>
        <v>0.18507257052047701</v>
      </c>
      <c r="N63" s="115"/>
      <c r="O63" s="1185">
        <f t="shared" si="16"/>
        <v>0.05</v>
      </c>
      <c r="P63" s="1161">
        <f>TableA3!J63</f>
        <v>0.05</v>
      </c>
      <c r="Q63" s="1192"/>
      <c r="R63" s="958"/>
      <c r="S63" s="958"/>
      <c r="T63" s="272"/>
      <c r="U63" s="273">
        <f t="shared" si="2"/>
        <v>0</v>
      </c>
      <c r="V63" s="173"/>
    </row>
    <row r="64" spans="1:22" ht="14.25" customHeight="1" x14ac:dyDescent="0.2">
      <c r="A64" s="1154" t="s">
        <v>153</v>
      </c>
      <c r="B64" s="1180">
        <f t="shared" si="13"/>
        <v>-4.9195801474907155</v>
      </c>
      <c r="C64" s="1039">
        <f t="shared" si="19"/>
        <v>0</v>
      </c>
      <c r="D64" s="1037">
        <f>TableB2!E64</f>
        <v>0</v>
      </c>
      <c r="E64" s="1037">
        <f>TableB2!I64</f>
        <v>0</v>
      </c>
      <c r="F64" s="1181">
        <f t="shared" si="20"/>
        <v>-2.8063716303540702</v>
      </c>
      <c r="G64" s="1037">
        <f>TableB2!D64</f>
        <v>0.37491732214233509</v>
      </c>
      <c r="H64" s="1037">
        <f>TableB2!H64</f>
        <v>3.1812889524964052</v>
      </c>
      <c r="I64" s="1182">
        <f>+TableB2!F64-TableB2!J64</f>
        <v>-1.2027306987231727</v>
      </c>
      <c r="J64" s="1037">
        <f t="shared" si="21"/>
        <v>0</v>
      </c>
      <c r="K64" s="1037">
        <f t="shared" si="18"/>
        <v>-0.91047781841347242</v>
      </c>
      <c r="L64" s="1183"/>
      <c r="M64" s="1184">
        <f>TableA2!G64/(TableA2!G64+TableA2!D64)</f>
        <v>0.18507226046065564</v>
      </c>
      <c r="N64" s="1184">
        <f>VLOOKUP("United Kingdom Islands, Caribbean",TableA10!$A$8:$G$95,7,)/(VLOOKUP("United Kingdom Islands, Caribbean",TableA10!$A$8:$G$95,7,)+VLOOKUP("United Kingdom Islands, Caribbean",TableA10!$A$8:$G$95,4,)+VLOOKUP("United Kingdom Islands, Caribbean",TableA10!$A$8:$G$95,5,))</f>
        <v>0.40218199851227376</v>
      </c>
      <c r="O64" s="1185">
        <f t="shared" si="16"/>
        <v>0</v>
      </c>
      <c r="P64" s="1161">
        <f>TableA3!J64</f>
        <v>0</v>
      </c>
      <c r="Q64" s="1192"/>
      <c r="R64" s="958"/>
      <c r="S64" s="958"/>
      <c r="T64" s="272"/>
      <c r="U64" s="273">
        <f t="shared" si="2"/>
        <v>0</v>
      </c>
      <c r="V64" s="173"/>
    </row>
    <row r="65" spans="1:22" ht="14.25" customHeight="1" x14ac:dyDescent="0.2">
      <c r="A65" s="113" t="s">
        <v>84</v>
      </c>
      <c r="B65" s="1180">
        <f t="shared" si="13"/>
        <v>24.582919082111488</v>
      </c>
      <c r="C65" s="1039">
        <f t="shared" si="19"/>
        <v>0</v>
      </c>
      <c r="D65" s="1037">
        <f>TableB2!E65</f>
        <v>0</v>
      </c>
      <c r="E65" s="1037">
        <f>TableB2!I65</f>
        <v>0</v>
      </c>
      <c r="F65" s="1181">
        <f t="shared" si="20"/>
        <v>11.229412722596891</v>
      </c>
      <c r="G65" s="1037">
        <f>TableB2!D65</f>
        <v>22.5772489778631</v>
      </c>
      <c r="H65" s="1037">
        <f>TableB2!H65</f>
        <v>11.347836255266209</v>
      </c>
      <c r="I65" s="1182">
        <f>+TableB2!F65-TableB2!J65</f>
        <v>4.8126054525415247</v>
      </c>
      <c r="J65" s="1037">
        <f t="shared" si="21"/>
        <v>0</v>
      </c>
      <c r="K65" s="1037">
        <f t="shared" si="18"/>
        <v>8.5409009069730697</v>
      </c>
      <c r="L65" s="1183">
        <f>K65/B65</f>
        <v>0.34743233211828439</v>
      </c>
      <c r="M65" s="1184">
        <f>TableA2!G65/(TableA2!G65+TableA2!D65)</f>
        <v>0.34743233211828445</v>
      </c>
      <c r="N65" s="1184">
        <f>VLOOKUP("United Kingdom Islands, Caribbean",TableA10!$A$8:$G$95,7,)/(VLOOKUP("United Kingdom Islands, Caribbean",TableA10!$A$8:$G$95,7,)+VLOOKUP("United Kingdom Islands, Caribbean",TableA10!$A$8:$G$95,4,)+VLOOKUP("United Kingdom Islands, Caribbean",TableA10!$A$8:$G$95,5,))</f>
        <v>0.40218199851227376</v>
      </c>
      <c r="O65" s="1185">
        <f t="shared" si="16"/>
        <v>0</v>
      </c>
      <c r="P65" s="1161">
        <f>TableA3!J65</f>
        <v>0</v>
      </c>
      <c r="Q65" s="1192"/>
      <c r="R65" s="958"/>
      <c r="S65" s="958"/>
      <c r="T65" s="272"/>
      <c r="U65" s="273">
        <f t="shared" si="2"/>
        <v>0</v>
      </c>
      <c r="V65" s="173"/>
    </row>
    <row r="66" spans="1:22" ht="14.25" customHeight="1" x14ac:dyDescent="0.2">
      <c r="A66" s="1154" t="s">
        <v>85</v>
      </c>
      <c r="B66" s="1180">
        <f t="shared" si="13"/>
        <v>-4.3205794797817463</v>
      </c>
      <c r="C66" s="1039">
        <f t="shared" si="19"/>
        <v>0</v>
      </c>
      <c r="D66" s="1037">
        <f>TableB2!E66</f>
        <v>0</v>
      </c>
      <c r="E66" s="1037">
        <f>TableB2!I66</f>
        <v>0</v>
      </c>
      <c r="F66" s="1181">
        <f t="shared" si="20"/>
        <v>-1.5393068330776738</v>
      </c>
      <c r="G66" s="1037">
        <f>TableB2!D66</f>
        <v>0.34110316692232601</v>
      </c>
      <c r="H66" s="1037">
        <f>TableB2!H66</f>
        <v>1.8804099999999999</v>
      </c>
      <c r="I66" s="1182">
        <f>+TableB2!F66-TableB2!J66</f>
        <v>-0.65970292846186018</v>
      </c>
      <c r="J66" s="1037">
        <f t="shared" si="21"/>
        <v>-0.1157373558705018</v>
      </c>
      <c r="K66" s="1037">
        <f t="shared" si="18"/>
        <v>-2.0058323623717107</v>
      </c>
      <c r="L66" s="1183">
        <f>K66/B66</f>
        <v>0.4642507727859308</v>
      </c>
      <c r="M66" s="1184">
        <f>TableA2!G66/(TableA2!G66+TableA2!D66)</f>
        <v>0.4642507727859308</v>
      </c>
      <c r="N66" s="115"/>
      <c r="O66" s="1185">
        <f t="shared" si="16"/>
        <v>0.05</v>
      </c>
      <c r="P66" s="1161">
        <f>TableA3!J66</f>
        <v>0.05</v>
      </c>
      <c r="Q66" s="1192"/>
      <c r="R66" s="958"/>
      <c r="S66" s="958"/>
      <c r="T66" s="272"/>
      <c r="U66" s="273">
        <f t="shared" si="2"/>
        <v>0</v>
      </c>
      <c r="V66" s="173"/>
    </row>
    <row r="67" spans="1:22" ht="14.25" customHeight="1" x14ac:dyDescent="0.2">
      <c r="A67" s="1154" t="str">
        <f>+TableA1!A67</f>
        <v>Cyprus</v>
      </c>
      <c r="B67" s="1180">
        <f t="shared" si="13"/>
        <v>5.1452073969721077</v>
      </c>
      <c r="C67" s="1039">
        <f t="shared" si="19"/>
        <v>0</v>
      </c>
      <c r="D67" s="1037">
        <f>TableB2!E67</f>
        <v>0</v>
      </c>
      <c r="E67" s="1037">
        <f>TableB2!I67</f>
        <v>0</v>
      </c>
      <c r="F67" s="1181">
        <f t="shared" si="20"/>
        <v>1.6018009391966599</v>
      </c>
      <c r="G67" s="1037">
        <f>TableB2!D67</f>
        <v>3.6846152882412486</v>
      </c>
      <c r="H67" s="1037">
        <f>TableB2!H67</f>
        <v>2.0828143490445887</v>
      </c>
      <c r="I67" s="1182">
        <f>+TableB2!F67-TableB2!J67</f>
        <v>0.68648611679856852</v>
      </c>
      <c r="J67" s="1037">
        <f t="shared" si="21"/>
        <v>1.3506954745294009</v>
      </c>
      <c r="K67" s="1037">
        <f t="shared" si="18"/>
        <v>1.5062248664474782</v>
      </c>
      <c r="L67" s="1183">
        <f>K67/B67</f>
        <v>0.29274327548659618</v>
      </c>
      <c r="M67" s="1184">
        <f>TableA2!G67/(TableA2!G67+TableA2!D67)</f>
        <v>0.29274327548659623</v>
      </c>
      <c r="N67" s="115"/>
      <c r="O67" s="1185">
        <f t="shared" si="16"/>
        <v>0.37117393754970079</v>
      </c>
      <c r="P67" s="1161">
        <f>TableA3!J67</f>
        <v>0.37117393754970079</v>
      </c>
      <c r="Q67" s="1192"/>
      <c r="R67" s="958"/>
      <c r="S67" s="958"/>
      <c r="T67" s="272"/>
      <c r="U67" s="273">
        <f t="shared" si="2"/>
        <v>0</v>
      </c>
      <c r="V67" s="173"/>
    </row>
    <row r="68" spans="1:22" ht="14.25" customHeight="1" x14ac:dyDescent="0.2">
      <c r="A68" s="1154" t="s">
        <v>87</v>
      </c>
      <c r="B68" s="1180">
        <f t="shared" si="13"/>
        <v>2.6286325789067266</v>
      </c>
      <c r="C68" s="1039">
        <f t="shared" si="19"/>
        <v>0</v>
      </c>
      <c r="D68" s="1037">
        <f>TableB2!E68</f>
        <v>0</v>
      </c>
      <c r="E68" s="1037">
        <f>TableB2!I68</f>
        <v>0</v>
      </c>
      <c r="F68" s="1181">
        <f t="shared" si="20"/>
        <v>1.424526347342622</v>
      </c>
      <c r="G68" s="1037">
        <f>TableB2!D68</f>
        <v>1.62967</v>
      </c>
      <c r="H68" s="1037">
        <f>TableB2!H68</f>
        <v>0.20514365265737788</v>
      </c>
      <c r="I68" s="1182">
        <f>+TableB2!F68-TableB2!J68</f>
        <v>0.61051129171826668</v>
      </c>
      <c r="J68" s="1037">
        <f t="shared" si="21"/>
        <v>0.10710724416109942</v>
      </c>
      <c r="K68" s="1037">
        <f t="shared" si="18"/>
        <v>0.48648769568473843</v>
      </c>
      <c r="L68" s="1183"/>
      <c r="M68" s="1184">
        <f>TableA2!G68/(TableA2!G68+TableA2!D68)</f>
        <v>0.18507253527500345</v>
      </c>
      <c r="N68" s="115"/>
      <c r="O68" s="1185">
        <f t="shared" si="16"/>
        <v>0.05</v>
      </c>
      <c r="P68" s="1161">
        <f>TableA3!J68</f>
        <v>0.05</v>
      </c>
      <c r="Q68" s="1192"/>
      <c r="R68" s="958"/>
      <c r="S68" s="958"/>
      <c r="T68" s="272"/>
      <c r="U68" s="273">
        <f t="shared" si="2"/>
        <v>0</v>
      </c>
      <c r="V68" s="173"/>
    </row>
    <row r="69" spans="1:22" ht="14.25" customHeight="1" x14ac:dyDescent="0.2">
      <c r="A69" s="1154" t="str">
        <f>+TableA1!A69</f>
        <v>Grenada</v>
      </c>
      <c r="B69" s="1180">
        <f t="shared" si="13"/>
        <v>1.9322926977407062E-2</v>
      </c>
      <c r="C69" s="1039">
        <f t="shared" si="19"/>
        <v>0</v>
      </c>
      <c r="D69" s="1037">
        <f>TableB2!E69</f>
        <v>0</v>
      </c>
      <c r="E69" s="1037">
        <f>TableB2!I69</f>
        <v>0</v>
      </c>
      <c r="F69" s="1181">
        <f t="shared" si="20"/>
        <v>1.064E-2</v>
      </c>
      <c r="G69" s="1037">
        <f>TableB2!D69</f>
        <v>1.064E-2</v>
      </c>
      <c r="H69" s="1037">
        <f>TableB2!H69</f>
        <v>0</v>
      </c>
      <c r="I69" s="1182">
        <f>+TableB2!F69-TableB2!J69</f>
        <v>4.5599999999999998E-3</v>
      </c>
      <c r="J69" s="1037">
        <f t="shared" si="21"/>
        <v>8.0000000000000004E-4</v>
      </c>
      <c r="K69" s="1037">
        <f t="shared" si="18"/>
        <v>3.3229269774070628E-3</v>
      </c>
      <c r="L69" s="1183"/>
      <c r="M69" s="1184">
        <f>TableA2!G69/(TableA2!G69+TableA2!D69)</f>
        <v>0.1719680968257204</v>
      </c>
      <c r="N69" s="115"/>
      <c r="O69" s="1185">
        <f t="shared" si="16"/>
        <v>0.05</v>
      </c>
      <c r="P69" s="1161">
        <f>TableA3!J69</f>
        <v>0.05</v>
      </c>
      <c r="Q69" s="1192"/>
      <c r="R69" s="958"/>
      <c r="S69" s="958"/>
      <c r="T69" s="272"/>
      <c r="U69" s="273">
        <f t="shared" si="2"/>
        <v>0</v>
      </c>
      <c r="V69" s="173"/>
    </row>
    <row r="70" spans="1:22" ht="14.25" customHeight="1" x14ac:dyDescent="0.2">
      <c r="A70" s="1154" t="s">
        <v>89</v>
      </c>
      <c r="B70" s="1180">
        <f t="shared" si="13"/>
        <v>-2.4084004906068452</v>
      </c>
      <c r="C70" s="1039">
        <f t="shared" si="19"/>
        <v>0</v>
      </c>
      <c r="D70" s="1037">
        <f>TableB2!E70</f>
        <v>0</v>
      </c>
      <c r="E70" s="1037">
        <f>TableB2!I70</f>
        <v>0</v>
      </c>
      <c r="F70" s="1181">
        <f t="shared" si="20"/>
        <v>-1.3738700480658073</v>
      </c>
      <c r="G70" s="1037">
        <f>TableB2!D70</f>
        <v>0.53683291697765623</v>
      </c>
      <c r="H70" s="1037">
        <f>TableB2!H70</f>
        <v>1.9107029650434635</v>
      </c>
      <c r="I70" s="1182">
        <f>+TableB2!F70-TableB2!J70</f>
        <v>-0.58880144917106025</v>
      </c>
      <c r="J70" s="1037">
        <f t="shared" si="21"/>
        <v>0</v>
      </c>
      <c r="K70" s="1037">
        <f t="shared" si="18"/>
        <v>-0.44572899336997757</v>
      </c>
      <c r="L70" s="1183"/>
      <c r="M70" s="1184">
        <f>TableA2!G70/(TableA2!G70+TableA2!D70)</f>
        <v>0.18507262189506826</v>
      </c>
      <c r="N70" s="115"/>
      <c r="O70" s="1185">
        <f t="shared" si="16"/>
        <v>0</v>
      </c>
      <c r="P70" s="1161">
        <f>TableA3!J70</f>
        <v>0</v>
      </c>
      <c r="Q70" s="1192"/>
      <c r="R70" s="958"/>
      <c r="S70" s="958"/>
      <c r="T70" s="272"/>
      <c r="U70" s="273">
        <f t="shared" si="2"/>
        <v>0</v>
      </c>
      <c r="V70" s="173"/>
    </row>
    <row r="71" spans="1:22" ht="14.25" customHeight="1" x14ac:dyDescent="0.2">
      <c r="A71" s="1154" t="s">
        <v>154</v>
      </c>
      <c r="B71" s="1180">
        <f t="shared" si="13"/>
        <v>-3.593802682811142</v>
      </c>
      <c r="C71" s="1039">
        <f t="shared" si="19"/>
        <v>0</v>
      </c>
      <c r="D71" s="1037">
        <f>TableB2!E71</f>
        <v>0</v>
      </c>
      <c r="E71" s="1037">
        <f>TableB2!I71</f>
        <v>0</v>
      </c>
      <c r="F71" s="1181">
        <f t="shared" si="20"/>
        <v>-1.9475763371898367</v>
      </c>
      <c r="G71" s="1037">
        <f>TableB2!D71</f>
        <v>0.21115366281016348</v>
      </c>
      <c r="H71" s="1037">
        <f>TableB2!H71</f>
        <v>2.1587300000000003</v>
      </c>
      <c r="I71" s="1182">
        <f>+TableB2!F71-TableB2!J71</f>
        <v>-0.83467557308135853</v>
      </c>
      <c r="J71" s="1037">
        <f t="shared" si="21"/>
        <v>-0.14643431106690502</v>
      </c>
      <c r="K71" s="1037">
        <f t="shared" si="18"/>
        <v>-0.66511646147304204</v>
      </c>
      <c r="L71" s="1183"/>
      <c r="M71" s="1184">
        <f>TableA2!G71/(TableA2!G71+TableA2!D71)</f>
        <v>0.18507317183946642</v>
      </c>
      <c r="N71" s="115"/>
      <c r="O71" s="1185">
        <f t="shared" si="16"/>
        <v>0.05</v>
      </c>
      <c r="P71" s="1161">
        <f>TableA3!J71</f>
        <v>0.05</v>
      </c>
      <c r="Q71" s="1192"/>
      <c r="R71" s="958"/>
      <c r="S71" s="958"/>
      <c r="T71" s="272"/>
      <c r="U71" s="273">
        <f t="shared" si="2"/>
        <v>0</v>
      </c>
      <c r="V71" s="173"/>
    </row>
    <row r="72" spans="1:22" ht="14.25" customHeight="1" x14ac:dyDescent="0.2">
      <c r="A72" s="1154" t="s">
        <v>91</v>
      </c>
      <c r="B72" s="1180">
        <f t="shared" si="13"/>
        <v>27.93788948706532</v>
      </c>
      <c r="C72" s="1039">
        <f t="shared" si="19"/>
        <v>0</v>
      </c>
      <c r="D72" s="1037">
        <f>TableB2!E72</f>
        <v>0</v>
      </c>
      <c r="E72" s="1037">
        <f>TableB2!I72</f>
        <v>0</v>
      </c>
      <c r="F72" s="1181">
        <f t="shared" si="20"/>
        <v>10.720822428890003</v>
      </c>
      <c r="G72" s="1037">
        <f>TableB2!D72</f>
        <v>95.9</v>
      </c>
      <c r="H72" s="1037">
        <f>TableB2!H72</f>
        <v>85.179177571110003</v>
      </c>
      <c r="I72" s="1182">
        <f>+TableB2!F72-TableB2!J72</f>
        <v>4.5946381838099981</v>
      </c>
      <c r="J72" s="1037">
        <f t="shared" si="21"/>
        <v>4.5094791427710925</v>
      </c>
      <c r="K72" s="1037">
        <f t="shared" si="18"/>
        <v>8.1129497315942292</v>
      </c>
      <c r="L72" s="1183">
        <f>K72/B72</f>
        <v>0.29039236250649358</v>
      </c>
      <c r="M72" s="1184">
        <f>TableA2!G72/(TableA2!G72+TableA2!D72)</f>
        <v>0.29039236250649358</v>
      </c>
      <c r="N72" s="1184">
        <f>VLOOKUP(A72,TableA10!$A$8:$G$95,7,)/(VLOOKUP(A72,TableA10!$A$8:$G$95,7,)+VLOOKUP(A72,TableA10!$A$8:$G$95,4,)+VLOOKUP(A72,TableA10!$A$8:$G$95,5,))</f>
        <v>9.1257847012322715E-2</v>
      </c>
      <c r="O72" s="1185">
        <f t="shared" si="16"/>
        <v>0.22746496072083197</v>
      </c>
      <c r="P72" s="1161">
        <f>TableA3!J72</f>
        <v>0.22746496072083197</v>
      </c>
      <c r="Q72" s="1192"/>
      <c r="R72" s="958"/>
      <c r="S72" s="958"/>
      <c r="T72" s="272"/>
      <c r="U72" s="273">
        <f t="shared" si="2"/>
        <v>0</v>
      </c>
      <c r="V72" s="173"/>
    </row>
    <row r="73" spans="1:22" ht="14.25" customHeight="1" x14ac:dyDescent="0.2">
      <c r="A73" s="1154" t="s">
        <v>92</v>
      </c>
      <c r="B73" s="1180">
        <f t="shared" si="13"/>
        <v>0.71146163152537345</v>
      </c>
      <c r="C73" s="1039">
        <f t="shared" si="19"/>
        <v>0</v>
      </c>
      <c r="D73" s="1037">
        <f>TableB2!E73</f>
        <v>0</v>
      </c>
      <c r="E73" s="1037">
        <f>TableB2!I73</f>
        <v>0</v>
      </c>
      <c r="F73" s="1181">
        <f t="shared" si="20"/>
        <v>0.40585305379506709</v>
      </c>
      <c r="G73" s="1037">
        <f>TableB2!D73</f>
        <v>0.42177244187344221</v>
      </c>
      <c r="H73" s="1037">
        <f>TableB2!H73</f>
        <v>1.5919388078375094E-2</v>
      </c>
      <c r="I73" s="1182">
        <f>+TableB2!F73-TableB2!J73</f>
        <v>0.17393702305502876</v>
      </c>
      <c r="J73" s="1037">
        <f t="shared" si="21"/>
        <v>0</v>
      </c>
      <c r="K73" s="1037">
        <f t="shared" si="18"/>
        <v>0.13167155467527755</v>
      </c>
      <c r="L73" s="1183"/>
      <c r="M73" s="1184">
        <f>TableA2!G73/(TableA2!G73+TableA2!D73)</f>
        <v>0.18507189824555093</v>
      </c>
      <c r="N73" s="115"/>
      <c r="O73" s="1185">
        <f t="shared" si="16"/>
        <v>0</v>
      </c>
      <c r="P73" s="1161">
        <f>TableA3!J73</f>
        <v>0</v>
      </c>
      <c r="Q73" s="1192"/>
      <c r="R73" s="958"/>
      <c r="S73" s="958"/>
      <c r="T73" s="272"/>
      <c r="U73" s="273">
        <f t="shared" si="2"/>
        <v>0</v>
      </c>
      <c r="V73" s="173"/>
    </row>
    <row r="74" spans="1:22" ht="14.25" customHeight="1" x14ac:dyDescent="0.2">
      <c r="A74" s="1154" t="s">
        <v>93</v>
      </c>
      <c r="B74" s="1180">
        <f t="shared" si="13"/>
        <v>-7.2275615089713682E-2</v>
      </c>
      <c r="C74" s="1039">
        <f t="shared" si="19"/>
        <v>0</v>
      </c>
      <c r="D74" s="1037">
        <f>TableB2!E74</f>
        <v>0</v>
      </c>
      <c r="E74" s="1037">
        <f>TableB2!I74</f>
        <v>0</v>
      </c>
      <c r="F74" s="1181">
        <f t="shared" si="20"/>
        <v>-3.6078973909999923E-2</v>
      </c>
      <c r="G74" s="1037">
        <f>TableB2!D74</f>
        <v>0.30520000000000003</v>
      </c>
      <c r="H74" s="1037">
        <f>TableB2!H74</f>
        <v>0.34127897390999995</v>
      </c>
      <c r="I74" s="1182">
        <f>+TableB2!F74-TableB2!J74</f>
        <v>-1.5462417389999983E-2</v>
      </c>
      <c r="J74" s="1037">
        <f t="shared" si="21"/>
        <v>-2.7127048052631533E-3</v>
      </c>
      <c r="K74" s="1037">
        <f t="shared" si="18"/>
        <v>-1.8021518984450629E-2</v>
      </c>
      <c r="L74" s="1183">
        <f>K74/B74</f>
        <v>0.24934438762065222</v>
      </c>
      <c r="M74" s="1184">
        <f>TableA2!G74/(TableA2!G74+TableA2!D74)</f>
        <v>0.2493443876206522</v>
      </c>
      <c r="N74" s="115"/>
      <c r="O74" s="1185">
        <f t="shared" si="16"/>
        <v>0.05</v>
      </c>
      <c r="P74" s="1161">
        <f>TableA3!J74</f>
        <v>0.05</v>
      </c>
      <c r="Q74" s="1192"/>
      <c r="R74" s="958"/>
      <c r="S74" s="958"/>
      <c r="T74" s="173"/>
      <c r="U74" s="273">
        <f t="shared" ref="U74:U91" si="22">B74-C74-F74-I74-J74-K74</f>
        <v>0</v>
      </c>
      <c r="V74" s="173"/>
    </row>
    <row r="75" spans="1:22" ht="14.25" customHeight="1" x14ac:dyDescent="0.2">
      <c r="A75" s="1154" t="s">
        <v>94</v>
      </c>
      <c r="B75" s="1180">
        <f t="shared" si="13"/>
        <v>-2.971201568196943</v>
      </c>
      <c r="C75" s="1039">
        <f t="shared" si="19"/>
        <v>0</v>
      </c>
      <c r="D75" s="1037">
        <f>TableB2!E75</f>
        <v>0</v>
      </c>
      <c r="E75" s="1037">
        <f>TableB2!I75</f>
        <v>0</v>
      </c>
      <c r="F75" s="1181">
        <f t="shared" si="20"/>
        <v>-1.2513558657243815</v>
      </c>
      <c r="G75" s="1037">
        <f>TableB2!D75</f>
        <v>5.2499999999999995E-3</v>
      </c>
      <c r="H75" s="1037">
        <f>TableB2!H75</f>
        <v>1.2566058657243815</v>
      </c>
      <c r="I75" s="1182">
        <f>+TableB2!F75-TableB2!J75</f>
        <v>-0.5362953710247349</v>
      </c>
      <c r="J75" s="1037">
        <f t="shared" si="21"/>
        <v>-9.408690719732192E-2</v>
      </c>
      <c r="K75" s="1037">
        <f t="shared" si="18"/>
        <v>-1.0894634242505048</v>
      </c>
      <c r="L75" s="1183"/>
      <c r="M75" s="1184">
        <f>TableA2!G75/(TableA2!G75+TableA2!D75)</f>
        <v>0.36667435690391059</v>
      </c>
      <c r="N75" s="115"/>
      <c r="O75" s="1185">
        <f t="shared" si="16"/>
        <v>0.05</v>
      </c>
      <c r="P75" s="1161">
        <f>TableA3!J75</f>
        <v>0.05</v>
      </c>
      <c r="Q75" s="1192"/>
      <c r="R75" s="958"/>
      <c r="S75" s="958"/>
      <c r="T75" s="173"/>
      <c r="U75" s="273">
        <f t="shared" si="22"/>
        <v>0</v>
      </c>
      <c r="V75" s="173"/>
    </row>
    <row r="76" spans="1:22" ht="14.25" customHeight="1" x14ac:dyDescent="0.2">
      <c r="A76" s="1154" t="s">
        <v>95</v>
      </c>
      <c r="B76" s="1180">
        <f t="shared" si="13"/>
        <v>8.6348199546800934</v>
      </c>
      <c r="C76" s="1039">
        <f t="shared" si="19"/>
        <v>0</v>
      </c>
      <c r="D76" s="1037">
        <f>TableB2!E76</f>
        <v>0</v>
      </c>
      <c r="E76" s="1037">
        <f>TableB2!I76</f>
        <v>0</v>
      </c>
      <c r="F76" s="1181">
        <f t="shared" si="20"/>
        <v>4.4466799999999997</v>
      </c>
      <c r="G76" s="1037">
        <f>TableB2!D76</f>
        <v>4.5009999999999994</v>
      </c>
      <c r="H76" s="1037">
        <f>TableB2!H76</f>
        <v>5.4319999999999993E-2</v>
      </c>
      <c r="I76" s="1182">
        <f>+TableB2!F76-TableB2!J76</f>
        <v>1.9057199999999999</v>
      </c>
      <c r="J76" s="1037">
        <f t="shared" si="21"/>
        <v>0.33433684210526315</v>
      </c>
      <c r="K76" s="1037">
        <f t="shared" si="18"/>
        <v>1.9480831125748301</v>
      </c>
      <c r="L76" s="1183">
        <f>K76/B76</f>
        <v>0.2256078439156064</v>
      </c>
      <c r="M76" s="1184">
        <f>TableA2!G76/(TableA2!G76+TableA2!D76)</f>
        <v>0.22560784391560645</v>
      </c>
      <c r="N76" s="115"/>
      <c r="O76" s="1185">
        <f t="shared" si="16"/>
        <v>0.05</v>
      </c>
      <c r="P76" s="1161">
        <f>TableA3!J76</f>
        <v>0.05</v>
      </c>
      <c r="Q76" s="1192"/>
      <c r="R76" s="958"/>
      <c r="S76" s="958"/>
      <c r="T76" s="173"/>
      <c r="U76" s="273">
        <f t="shared" si="22"/>
        <v>0</v>
      </c>
      <c r="V76" s="173"/>
    </row>
    <row r="77" spans="1:22" ht="14.25" customHeight="1" x14ac:dyDescent="0.2">
      <c r="A77" s="1154" t="s">
        <v>96</v>
      </c>
      <c r="B77" s="1180">
        <f>C77+F77+I77+J77+K77</f>
        <v>0</v>
      </c>
      <c r="C77" s="1039">
        <f t="shared" si="19"/>
        <v>0</v>
      </c>
      <c r="D77" s="1037">
        <f>TableB2!E77</f>
        <v>0</v>
      </c>
      <c r="E77" s="1037">
        <f>TableB2!I77</f>
        <v>0</v>
      </c>
      <c r="F77" s="1181">
        <f t="shared" si="20"/>
        <v>0</v>
      </c>
      <c r="G77" s="1037">
        <f>TableB2!D77</f>
        <v>7.07</v>
      </c>
      <c r="H77" s="791">
        <f>G77</f>
        <v>7.07</v>
      </c>
      <c r="I77" s="792">
        <v>0</v>
      </c>
      <c r="J77" s="1037">
        <f t="shared" si="21"/>
        <v>0</v>
      </c>
      <c r="K77" s="1037">
        <f t="shared" si="18"/>
        <v>0</v>
      </c>
      <c r="L77" s="1183"/>
      <c r="M77" s="1184">
        <f>TableA2!G77/(TableA2!G77+TableA2!D77)</f>
        <v>0.25301646215623858</v>
      </c>
      <c r="N77" s="115"/>
      <c r="O77" s="1185">
        <f t="shared" si="16"/>
        <v>0.27872677593663003</v>
      </c>
      <c r="P77" s="1161">
        <f>TableA3!J77</f>
        <v>0.27872677593663003</v>
      </c>
      <c r="Q77" s="1192"/>
      <c r="R77" s="958"/>
      <c r="S77" s="958"/>
      <c r="T77" s="173"/>
      <c r="U77" s="273">
        <f t="shared" si="22"/>
        <v>0</v>
      </c>
      <c r="V77" s="173"/>
    </row>
    <row r="78" spans="1:22" ht="14.25" customHeight="1" x14ac:dyDescent="0.2">
      <c r="A78" s="1154" t="s">
        <v>97</v>
      </c>
      <c r="B78" s="1180">
        <f>C78+F78+I78+J78+K78</f>
        <v>-0.45597905950344497</v>
      </c>
      <c r="C78" s="1039">
        <f t="shared" si="19"/>
        <v>0</v>
      </c>
      <c r="D78" s="1037">
        <f>TableB2!E78</f>
        <v>0</v>
      </c>
      <c r="E78" s="1037">
        <f>TableB2!I78</f>
        <v>0</v>
      </c>
      <c r="F78" s="1181">
        <f t="shared" si="20"/>
        <v>-0.19675737884627287</v>
      </c>
      <c r="G78" s="1037">
        <f>TableB2!D78</f>
        <v>8.6979830210929684E-2</v>
      </c>
      <c r="H78" s="1037">
        <f>TableB2!H78</f>
        <v>0.28373720905720257</v>
      </c>
      <c r="I78" s="1182">
        <f>+TableB2!F78-TableB2!J78</f>
        <v>-8.4324590934116955E-2</v>
      </c>
      <c r="J78" s="1037">
        <f t="shared" si="21"/>
        <v>0</v>
      </c>
      <c r="K78" s="1037">
        <f t="shared" si="18"/>
        <v>-0.17489708972305518</v>
      </c>
      <c r="L78" s="1183"/>
      <c r="M78" s="1184">
        <f>TableA2!G78/(TableA2!G78+TableA2!D78)</f>
        <v>0.3835638634667034</v>
      </c>
      <c r="N78" s="115"/>
      <c r="O78" s="1185">
        <f t="shared" si="16"/>
        <v>0</v>
      </c>
      <c r="P78" s="1161">
        <f>TableA3!J78</f>
        <v>0</v>
      </c>
      <c r="Q78" s="1192"/>
      <c r="R78" s="958"/>
      <c r="S78" s="958"/>
      <c r="T78" s="173"/>
      <c r="U78" s="273">
        <f t="shared" si="22"/>
        <v>0</v>
      </c>
      <c r="V78" s="173"/>
    </row>
    <row r="79" spans="1:22" ht="14.25" customHeight="1" x14ac:dyDescent="0.2">
      <c r="A79" s="1154" t="str">
        <f>+TableA1!A79</f>
        <v>Monaco</v>
      </c>
      <c r="B79" s="1180">
        <f t="shared" si="13"/>
        <v>0</v>
      </c>
      <c r="C79" s="1039">
        <f t="shared" si="19"/>
        <v>0</v>
      </c>
      <c r="D79" s="1037">
        <f>TableB2!E79</f>
        <v>0</v>
      </c>
      <c r="E79" s="1037">
        <f>TableB2!I79</f>
        <v>0</v>
      </c>
      <c r="F79" s="1181">
        <f t="shared" si="20"/>
        <v>0</v>
      </c>
      <c r="G79" s="1037">
        <f>TableB2!D79</f>
        <v>0</v>
      </c>
      <c r="H79" s="1037">
        <f>TableB2!H79</f>
        <v>0</v>
      </c>
      <c r="I79" s="1182">
        <f>+TableB2!F79-TableB2!J79</f>
        <v>0</v>
      </c>
      <c r="J79" s="1037">
        <f t="shared" si="21"/>
        <v>0</v>
      </c>
      <c r="K79" s="1037">
        <f t="shared" si="18"/>
        <v>0</v>
      </c>
      <c r="L79" s="1183"/>
      <c r="M79" s="1184">
        <f>TableA2!G79/(TableA2!G79+TableA2!D79)</f>
        <v>0.18507236662446314</v>
      </c>
      <c r="N79" s="115"/>
      <c r="O79" s="1185">
        <f t="shared" si="16"/>
        <v>0.05</v>
      </c>
      <c r="P79" s="1161">
        <f>TableA3!J79</f>
        <v>0.05</v>
      </c>
      <c r="Q79" s="1192"/>
      <c r="R79" s="958"/>
      <c r="S79" s="958"/>
      <c r="T79" s="173"/>
      <c r="U79" s="273">
        <f t="shared" si="22"/>
        <v>0</v>
      </c>
      <c r="V79" s="173"/>
    </row>
    <row r="80" spans="1:22" ht="14.25" customHeight="1" x14ac:dyDescent="0.2">
      <c r="A80" s="1154" t="s">
        <v>99</v>
      </c>
      <c r="B80" s="1180">
        <f t="shared" si="13"/>
        <v>4.5490481380809685E-3</v>
      </c>
      <c r="C80" s="1039">
        <f t="shared" si="19"/>
        <v>0</v>
      </c>
      <c r="D80" s="1037">
        <f>TableB2!E80</f>
        <v>0</v>
      </c>
      <c r="E80" s="1037">
        <f>TableB2!I80</f>
        <v>0</v>
      </c>
      <c r="F80" s="1181">
        <f t="shared" si="20"/>
        <v>2.4652513899999996E-3</v>
      </c>
      <c r="G80" s="1037">
        <f>TableB2!D80</f>
        <v>2.5199999999999997E-3</v>
      </c>
      <c r="H80" s="1037">
        <f>TableB2!H80</f>
        <v>5.474861E-5</v>
      </c>
      <c r="I80" s="1182">
        <f>+TableB2!F80-TableB2!J80</f>
        <v>1.0565363099999999E-3</v>
      </c>
      <c r="J80" s="1037">
        <f t="shared" si="21"/>
        <v>1.8535724736842106E-4</v>
      </c>
      <c r="K80" s="1037">
        <f t="shared" si="18"/>
        <v>8.4190319071254826E-4</v>
      </c>
      <c r="L80" s="1183">
        <f>K80/B80</f>
        <v>0.18507238550957783</v>
      </c>
      <c r="M80" s="1184">
        <f>TableA2!G80/(TableA2!G80+TableA2!D80)</f>
        <v>0.18507238550957783</v>
      </c>
      <c r="N80" s="115"/>
      <c r="O80" s="1185">
        <f t="shared" si="16"/>
        <v>0.05</v>
      </c>
      <c r="P80" s="1161">
        <f>TableA3!J80</f>
        <v>0.05</v>
      </c>
      <c r="Q80" s="1192"/>
      <c r="R80" s="958"/>
      <c r="S80" s="958"/>
      <c r="T80" s="173"/>
      <c r="U80" s="273">
        <f t="shared" si="22"/>
        <v>0</v>
      </c>
      <c r="V80" s="173"/>
    </row>
    <row r="81" spans="1:22" ht="14.25" customHeight="1" x14ac:dyDescent="0.2">
      <c r="A81" s="1154" t="s">
        <v>100</v>
      </c>
      <c r="B81" s="1180">
        <f t="shared" si="13"/>
        <v>0.39072469152832756</v>
      </c>
      <c r="C81" s="1039">
        <f t="shared" si="19"/>
        <v>0</v>
      </c>
      <c r="D81" s="1037">
        <f>TableB2!E81</f>
        <v>0</v>
      </c>
      <c r="E81" s="1037">
        <f>TableB2!I81</f>
        <v>0</v>
      </c>
      <c r="F81" s="1181">
        <f t="shared" si="20"/>
        <v>0.22299456745999979</v>
      </c>
      <c r="G81" s="1037">
        <f>TableB2!D81</f>
        <v>2.8140000000000001</v>
      </c>
      <c r="H81" s="1037">
        <f>TableB2!H81</f>
        <v>2.5910054325400003</v>
      </c>
      <c r="I81" s="1182">
        <f>+TableB2!F81-TableB2!J81</f>
        <v>9.5569100339999657E-2</v>
      </c>
      <c r="J81" s="1037">
        <f t="shared" si="21"/>
        <v>1.676650883157892E-2</v>
      </c>
      <c r="K81" s="1037">
        <f t="shared" si="18"/>
        <v>5.5394514896749167E-2</v>
      </c>
      <c r="L81" s="1183">
        <f>K81/B81</f>
        <v>0.14177377600599644</v>
      </c>
      <c r="M81" s="1184">
        <f>TableA2!G81/(TableA2!G81+TableA2!D81)</f>
        <v>0.14177377600599644</v>
      </c>
      <c r="N81" s="115"/>
      <c r="O81" s="1185">
        <f t="shared" si="16"/>
        <v>0.05</v>
      </c>
      <c r="P81" s="1161">
        <f>TableA3!J81</f>
        <v>0.05</v>
      </c>
      <c r="Q81" s="1192"/>
      <c r="R81" s="958"/>
      <c r="S81" s="958"/>
      <c r="T81" s="173"/>
      <c r="U81" s="273">
        <f t="shared" si="22"/>
        <v>0</v>
      </c>
      <c r="V81" s="173"/>
    </row>
    <row r="82" spans="1:22" ht="14.25" customHeight="1" x14ac:dyDescent="0.2">
      <c r="A82" s="1154" t="str">
        <f>+TableA1!A82</f>
        <v>Seychelles</v>
      </c>
      <c r="B82" s="1180">
        <f t="shared" si="13"/>
        <v>8.3934530023510492E-2</v>
      </c>
      <c r="C82" s="1039">
        <f t="shared" si="19"/>
        <v>0</v>
      </c>
      <c r="D82" s="1037">
        <f>TableB2!E82</f>
        <v>0</v>
      </c>
      <c r="E82" s="1037">
        <f>TableB2!I82</f>
        <v>0</v>
      </c>
      <c r="F82" s="1181">
        <f t="shared" si="20"/>
        <v>4.7680870986000004E-2</v>
      </c>
      <c r="G82" s="1037">
        <f>TableB2!D82</f>
        <v>4.8950505716000001E-2</v>
      </c>
      <c r="H82" s="1037">
        <f>TableB2!H82</f>
        <v>1.2696347299999999E-3</v>
      </c>
      <c r="I82" s="1182">
        <f>+TableB2!F82-TableB2!J82</f>
        <v>2.0434658993999995E-2</v>
      </c>
      <c r="J82" s="1037">
        <f t="shared" si="21"/>
        <v>3.585027893684211E-3</v>
      </c>
      <c r="K82" s="1037">
        <f t="shared" si="18"/>
        <v>1.2233972149826274E-2</v>
      </c>
      <c r="L82" s="1183">
        <f>K82/B82</f>
        <v>0.14575612857306136</v>
      </c>
      <c r="M82" s="1184">
        <f>TableA2!G82/(TableA2!G82+TableA2!D82)</f>
        <v>0.14575612857306136</v>
      </c>
      <c r="N82" s="115"/>
      <c r="O82" s="1185">
        <f t="shared" si="16"/>
        <v>0.05</v>
      </c>
      <c r="P82" s="1161">
        <f>TableA3!J82</f>
        <v>0.05</v>
      </c>
      <c r="Q82" s="1192"/>
      <c r="R82" s="958"/>
      <c r="S82" s="958"/>
      <c r="T82" s="173"/>
      <c r="U82" s="273">
        <f t="shared" si="22"/>
        <v>0</v>
      </c>
      <c r="V82" s="173"/>
    </row>
    <row r="83" spans="1:22" x14ac:dyDescent="0.2">
      <c r="A83" s="1154" t="s">
        <v>102</v>
      </c>
      <c r="B83" s="1195">
        <f t="shared" si="13"/>
        <v>106.75588327715457</v>
      </c>
      <c r="C83" s="1039">
        <f t="shared" si="19"/>
        <v>0</v>
      </c>
      <c r="D83" s="1037">
        <f>TableB2!E83</f>
        <v>0</v>
      </c>
      <c r="E83" s="1037">
        <f>TableB2!I83</f>
        <v>0</v>
      </c>
      <c r="F83" s="1181">
        <f t="shared" si="20"/>
        <v>31.945558430361711</v>
      </c>
      <c r="G83" s="1037">
        <f>TableB2!D83</f>
        <v>34.263951547629723</v>
      </c>
      <c r="H83" s="1037">
        <f>TableB2!H83</f>
        <v>2.3183931172680117</v>
      </c>
      <c r="I83" s="1182">
        <f>+TableB2!F83-TableB2!J83</f>
        <v>13.690953613012162</v>
      </c>
      <c r="J83" s="1037">
        <f t="shared" si="21"/>
        <v>8.3338832237044933</v>
      </c>
      <c r="K83" s="1037">
        <f t="shared" si="18"/>
        <v>52.7854880100762</v>
      </c>
      <c r="L83" s="1183"/>
      <c r="M83" s="1184">
        <f>TableA2!G83/(TableA2!G83+TableA2!D83)</f>
        <v>0.4944503889592391</v>
      </c>
      <c r="N83" s="1184">
        <f>VLOOKUP(A83,TableA10!$A$8:$G$95,7,)/(VLOOKUP(A83,TableA10!$A$8:$G$95,7,)+VLOOKUP(A83,TableA10!$A$8:$G$95,4,)+VLOOKUP(A83,TableA10!$A$8:$G$95,5,))</f>
        <v>0.12427618328298086</v>
      </c>
      <c r="O83" s="1185">
        <f t="shared" si="16"/>
        <v>0.15441582709304549</v>
      </c>
      <c r="P83" s="1161">
        <f>TableA3!J83</f>
        <v>0.15441582709304549</v>
      </c>
      <c r="Q83" s="1192"/>
      <c r="R83" s="958"/>
      <c r="S83" s="958"/>
      <c r="T83" s="173"/>
      <c r="U83" s="273">
        <f t="shared" si="22"/>
        <v>0</v>
      </c>
      <c r="V83" s="173"/>
    </row>
    <row r="84" spans="1:22" x14ac:dyDescent="0.2">
      <c r="A84" s="1154" t="str">
        <f>+TableA1!A84</f>
        <v>St. Kitts and Nevis</v>
      </c>
      <c r="B84" s="1180">
        <f t="shared" si="13"/>
        <v>3.7350371227657623E-4</v>
      </c>
      <c r="C84" s="1039">
        <f t="shared" si="19"/>
        <v>0</v>
      </c>
      <c r="D84" s="1037">
        <f>TableB2!E84</f>
        <v>0</v>
      </c>
      <c r="E84" s="1037">
        <f>TableB2!I84</f>
        <v>0</v>
      </c>
      <c r="F84" s="1181">
        <f t="shared" si="20"/>
        <v>2.1000000000000001E-4</v>
      </c>
      <c r="G84" s="1037">
        <f>TableB2!D84</f>
        <v>2.1000000000000001E-4</v>
      </c>
      <c r="H84" s="1037">
        <f>TableB2!H84</f>
        <v>0</v>
      </c>
      <c r="I84" s="1182">
        <f>+TableB2!F84-TableB2!J84</f>
        <v>9.0000000000000006E-5</v>
      </c>
      <c r="J84" s="1037">
        <f t="shared" si="21"/>
        <v>1.5789473684210529E-5</v>
      </c>
      <c r="K84" s="1037">
        <f t="shared" si="18"/>
        <v>5.7714238592365656E-5</v>
      </c>
      <c r="L84" s="1183"/>
      <c r="M84" s="1184">
        <f>TableA2!G84/(TableA2!G84+TableA2!D84)</f>
        <v>0.15452119134395315</v>
      </c>
      <c r="N84" s="115"/>
      <c r="O84" s="1185">
        <f t="shared" si="16"/>
        <v>0.05</v>
      </c>
      <c r="P84" s="1161">
        <f>TableA3!J84</f>
        <v>0.05</v>
      </c>
      <c r="Q84" s="1192"/>
      <c r="R84" s="958"/>
      <c r="S84" s="958"/>
      <c r="T84" s="173"/>
      <c r="U84" s="273">
        <f t="shared" si="22"/>
        <v>0</v>
      </c>
      <c r="V84" s="173"/>
    </row>
    <row r="85" spans="1:22" x14ac:dyDescent="0.2">
      <c r="A85" s="1154" t="str">
        <f>+TableA1!A85</f>
        <v>St. Lucia</v>
      </c>
      <c r="B85" s="1180">
        <f t="shared" si="13"/>
        <v>8.6036265576040702E-2</v>
      </c>
      <c r="C85" s="1039">
        <f t="shared" si="19"/>
        <v>0</v>
      </c>
      <c r="D85" s="1037">
        <f>TableB2!E85</f>
        <v>0</v>
      </c>
      <c r="E85" s="1037">
        <f>TableB2!I85</f>
        <v>0</v>
      </c>
      <c r="F85" s="1181">
        <f t="shared" si="20"/>
        <v>4.8579999999999998E-2</v>
      </c>
      <c r="G85" s="1037">
        <f>TableB2!D85</f>
        <v>5.033E-2</v>
      </c>
      <c r="H85" s="1037">
        <f>TableB2!H85</f>
        <v>1.75E-3</v>
      </c>
      <c r="I85" s="1182">
        <f>+TableB2!F85-TableB2!J85</f>
        <v>2.0820000000000002E-2</v>
      </c>
      <c r="J85" s="1037">
        <f t="shared" si="21"/>
        <v>3.6526315789473687E-3</v>
      </c>
      <c r="K85" s="1037">
        <f t="shared" si="18"/>
        <v>1.2983633997093333E-2</v>
      </c>
      <c r="L85" s="1183"/>
      <c r="M85" s="1184">
        <f>TableA2!G85/(TableA2!G85+TableA2!D85)</f>
        <v>0.15090885117065103</v>
      </c>
      <c r="N85" s="115"/>
      <c r="O85" s="1185">
        <f t="shared" si="16"/>
        <v>0.05</v>
      </c>
      <c r="P85" s="1161">
        <f>TableA3!J85</f>
        <v>0.05</v>
      </c>
      <c r="Q85" s="1192"/>
      <c r="R85" s="958"/>
      <c r="S85" s="958"/>
      <c r="T85" s="173"/>
      <c r="U85" s="273">
        <f t="shared" si="22"/>
        <v>0</v>
      </c>
      <c r="V85" s="173"/>
    </row>
    <row r="86" spans="1:22" x14ac:dyDescent="0.2">
      <c r="A86" s="1154" t="str">
        <f>+TableA1!A86</f>
        <v>St. Vincent and the Grenadines</v>
      </c>
      <c r="B86" s="1180">
        <f t="shared" si="13"/>
        <v>2.0383962300137334E-2</v>
      </c>
      <c r="C86" s="1039">
        <f t="shared" si="19"/>
        <v>0</v>
      </c>
      <c r="D86" s="1037">
        <f>TableB2!E86</f>
        <v>0</v>
      </c>
      <c r="E86" s="1037">
        <f>TableB2!I86</f>
        <v>0</v>
      </c>
      <c r="F86" s="1181">
        <f t="shared" si="20"/>
        <v>1.1410000000000002E-2</v>
      </c>
      <c r="G86" s="1037">
        <f>TableB2!D86</f>
        <v>1.1410000000000002E-2</v>
      </c>
      <c r="H86" s="1037">
        <f>TableB2!H86</f>
        <v>0</v>
      </c>
      <c r="I86" s="1182">
        <f>+TableB2!F86-TableB2!J86</f>
        <v>4.8900000000000002E-3</v>
      </c>
      <c r="J86" s="1037">
        <f t="shared" si="21"/>
        <v>8.5789473684210545E-4</v>
      </c>
      <c r="K86" s="1037">
        <f t="shared" si="18"/>
        <v>3.2260675632952264E-3</v>
      </c>
      <c r="L86" s="1183"/>
      <c r="M86" s="1184">
        <f>TableA2!G86/(TableA2!G86+TableA2!D86)</f>
        <v>0.15826498870994729</v>
      </c>
      <c r="N86" s="115"/>
      <c r="O86" s="1185">
        <f t="shared" si="16"/>
        <v>0.05</v>
      </c>
      <c r="P86" s="1161">
        <f>TableA3!J86</f>
        <v>0.05</v>
      </c>
      <c r="Q86" s="1192"/>
      <c r="R86" s="958"/>
      <c r="S86" s="958"/>
      <c r="T86" s="173"/>
      <c r="U86" s="273">
        <f t="shared" si="22"/>
        <v>0</v>
      </c>
      <c r="V86" s="173"/>
    </row>
    <row r="87" spans="1:22" x14ac:dyDescent="0.2">
      <c r="A87" s="1154" t="str">
        <f>+TableA1!A87</f>
        <v>Turks and Caicos</v>
      </c>
      <c r="B87" s="1180">
        <f t="shared" si="13"/>
        <v>0</v>
      </c>
      <c r="C87" s="1039">
        <f t="shared" si="19"/>
        <v>0</v>
      </c>
      <c r="D87" s="1037">
        <f>TableB2!E87</f>
        <v>0</v>
      </c>
      <c r="E87" s="1037">
        <f>TableB2!I87</f>
        <v>0</v>
      </c>
      <c r="F87" s="1181">
        <f t="shared" si="20"/>
        <v>0</v>
      </c>
      <c r="G87" s="1037">
        <f>TableB2!D87</f>
        <v>0</v>
      </c>
      <c r="H87" s="1037">
        <f>TableB2!H87</f>
        <v>0</v>
      </c>
      <c r="I87" s="1182">
        <f>+TableB2!F87-TableB2!J87</f>
        <v>0</v>
      </c>
      <c r="J87" s="1037">
        <f t="shared" si="21"/>
        <v>0</v>
      </c>
      <c r="K87" s="1037">
        <f t="shared" si="18"/>
        <v>0</v>
      </c>
      <c r="L87" s="1183"/>
      <c r="M87" s="1184">
        <f>TableA2!G87/(TableA2!G87+TableA2!D87)</f>
        <v>0.18507211580273081</v>
      </c>
      <c r="N87" s="115"/>
      <c r="O87" s="1185">
        <f t="shared" si="16"/>
        <v>0</v>
      </c>
      <c r="P87" s="1161">
        <f>TableA3!J87</f>
        <v>0</v>
      </c>
      <c r="Q87" s="1192"/>
      <c r="R87" s="958"/>
      <c r="S87" s="958"/>
      <c r="T87" s="173"/>
      <c r="U87" s="273">
        <f t="shared" si="22"/>
        <v>0</v>
      </c>
      <c r="V87" s="173"/>
    </row>
    <row r="88" spans="1:22" x14ac:dyDescent="0.2">
      <c r="A88" s="1154" t="str">
        <f>+TableA1!A88</f>
        <v>Panama</v>
      </c>
      <c r="B88" s="1180">
        <f t="shared" si="13"/>
        <v>4.3632064881005412</v>
      </c>
      <c r="C88" s="1039">
        <f t="shared" si="19"/>
        <v>0</v>
      </c>
      <c r="D88" s="1037">
        <f>TableB2!E88</f>
        <v>0</v>
      </c>
      <c r="E88" s="1037">
        <f>TableB2!I88</f>
        <v>0</v>
      </c>
      <c r="F88" s="1181">
        <f t="shared" si="20"/>
        <v>2.3465973257867718</v>
      </c>
      <c r="G88" s="1037">
        <f>TableB2!D88</f>
        <v>2.9539999999999997</v>
      </c>
      <c r="H88" s="1037">
        <f>TableB2!H88</f>
        <v>0.60740267421322791</v>
      </c>
      <c r="I88" s="1182">
        <f>+TableB2!F88-TableB2!J88</f>
        <v>1.0056845681943307</v>
      </c>
      <c r="J88" s="1037">
        <f t="shared" si="21"/>
        <v>0.17643588915690014</v>
      </c>
      <c r="K88" s="1037">
        <f t="shared" si="18"/>
        <v>0.83448870496253824</v>
      </c>
      <c r="L88" s="1183">
        <f>K88/B88</f>
        <v>0.19125583610089947</v>
      </c>
      <c r="M88" s="1184">
        <f>TableA2!G88/(TableA2!G88+TableA2!D88)</f>
        <v>0.19125583610089947</v>
      </c>
      <c r="N88" s="1184">
        <f>VLOOKUP(A88,TableA10!$A$8:$G$95,7,)/(VLOOKUP(A88,TableA10!$A$8:$G$95,7,)+VLOOKUP(A88,TableA10!$A$8:$G$95,4,)+VLOOKUP(A88,TableA10!$A$8:$G$95,5,))</f>
        <v>1.3405797101449275</v>
      </c>
      <c r="O88" s="1185">
        <f t="shared" si="16"/>
        <v>0.05</v>
      </c>
      <c r="P88" s="1161">
        <f>TableA3!J88</f>
        <v>0.05</v>
      </c>
      <c r="Q88" s="1192"/>
      <c r="R88" s="958"/>
      <c r="S88" s="958"/>
      <c r="T88" s="173"/>
      <c r="U88" s="273">
        <f t="shared" si="22"/>
        <v>0</v>
      </c>
      <c r="V88" s="173"/>
    </row>
    <row r="89" spans="1:22" x14ac:dyDescent="0.2">
      <c r="A89" s="1154" t="s">
        <v>108</v>
      </c>
      <c r="B89" s="1180">
        <f t="shared" si="13"/>
        <v>43.19704054805527</v>
      </c>
      <c r="C89" s="1196">
        <f>D89-E89</f>
        <v>0</v>
      </c>
      <c r="D89" s="1037">
        <f>TableB2!E89</f>
        <v>0</v>
      </c>
      <c r="E89" s="1037">
        <f>TableB2!I89</f>
        <v>0</v>
      </c>
      <c r="F89" s="1181">
        <f>G89-H89</f>
        <v>24.341380000000001</v>
      </c>
      <c r="G89" s="1037">
        <f>TableB2!D89</f>
        <v>24.588760000000001</v>
      </c>
      <c r="H89" s="1037">
        <f>TableB2!H89</f>
        <v>0.24737999999999999</v>
      </c>
      <c r="I89" s="1182">
        <f>+TableB2!F89-TableB2!J89</f>
        <v>10.432020000000001</v>
      </c>
      <c r="J89" s="1037">
        <f>O89/(1-O89)*(F89+I89)</f>
        <v>1.1843997377405751</v>
      </c>
      <c r="K89" s="1037">
        <f t="shared" si="18"/>
        <v>7.2392408103146941</v>
      </c>
      <c r="L89" s="1183">
        <f>K89/B89</f>
        <v>0.16758649940986767</v>
      </c>
      <c r="M89" s="1184">
        <f>TableA2!G89/(TableA2!G89+TableA2!D89)</f>
        <v>0.16758649940986764</v>
      </c>
      <c r="N89" s="115"/>
      <c r="O89" s="1185">
        <f t="shared" si="16"/>
        <v>3.2938604318924807E-2</v>
      </c>
      <c r="P89" s="1161">
        <f>TableA3!J89</f>
        <v>3.2938604318924807E-2</v>
      </c>
      <c r="Q89" s="1192"/>
      <c r="R89" s="958"/>
      <c r="S89" s="958"/>
      <c r="T89" s="270">
        <f>C89-(D89-E89)</f>
        <v>0</v>
      </c>
      <c r="U89" s="273">
        <f t="shared" si="22"/>
        <v>0</v>
      </c>
      <c r="V89" s="173"/>
    </row>
    <row r="90" spans="1:22" ht="40" customHeight="1" x14ac:dyDescent="0.2">
      <c r="A90" s="1467" t="s">
        <v>155</v>
      </c>
      <c r="B90" s="1776">
        <f>TableA4!E90</f>
        <v>177.76425731715625</v>
      </c>
      <c r="C90" s="1777">
        <f>$B90*C45/$B45</f>
        <v>10.288808649588438</v>
      </c>
      <c r="D90" s="1778"/>
      <c r="E90" s="1778"/>
      <c r="F90" s="1779">
        <f>$B90*F45/$B45</f>
        <v>71.329024464509786</v>
      </c>
      <c r="G90" s="1780">
        <f>TableB2!D90</f>
        <v>112.65635300127109</v>
      </c>
      <c r="H90" s="1778">
        <f>TableB2!H90</f>
        <v>13.403242844108608</v>
      </c>
      <c r="I90" s="1779">
        <f>$B90*I45/$B45</f>
        <v>20.647420484016745</v>
      </c>
      <c r="J90" s="1778">
        <f>$B90*J45/$B45</f>
        <v>22.206725319517055</v>
      </c>
      <c r="K90" s="1778">
        <f>$B90*K45/$B45</f>
        <v>53.292278399524236</v>
      </c>
      <c r="L90" s="1494">
        <f>K90/B90</f>
        <v>0.29979186594548851</v>
      </c>
      <c r="M90" s="1496">
        <f>TableA2!G90/(TableA2!G90+TableA2!D90)</f>
        <v>0.30998685314337643</v>
      </c>
      <c r="N90" s="1781"/>
      <c r="O90" s="1782">
        <f>J90/(B90-K90-C90)</f>
        <v>0.19448334870530432</v>
      </c>
      <c r="P90" s="1495">
        <f>TableA3!J90</f>
        <v>0.18757638370366683</v>
      </c>
      <c r="Q90" s="1349"/>
      <c r="R90" s="958"/>
      <c r="S90" s="958"/>
      <c r="T90" s="270"/>
      <c r="U90" s="273">
        <f t="shared" si="22"/>
        <v>0</v>
      </c>
      <c r="V90" s="173"/>
    </row>
    <row r="91" spans="1:22" ht="40" customHeight="1" thickBot="1" x14ac:dyDescent="0.25">
      <c r="A91" s="263" t="s">
        <v>110</v>
      </c>
      <c r="B91" s="280">
        <f>TableA4!E91</f>
        <v>2461.7056867330912</v>
      </c>
      <c r="C91" s="294">
        <f>C90+C53+C45+C9</f>
        <v>81.128710353781472</v>
      </c>
      <c r="D91" s="1197"/>
      <c r="E91" s="1197"/>
      <c r="F91" s="279">
        <f>F90+F53+F45+F9</f>
        <v>702.10208499047189</v>
      </c>
      <c r="G91" s="1198"/>
      <c r="H91" s="1197"/>
      <c r="I91" s="279">
        <f>I90+I53+I45+I9</f>
        <v>380.41147122022784</v>
      </c>
      <c r="J91" s="281">
        <f>J90+J53+J45+J9</f>
        <v>264.58600905513589</v>
      </c>
      <c r="K91" s="281">
        <f>K90+K53+K45+K9</f>
        <v>1051.0775690465673</v>
      </c>
      <c r="L91" s="282">
        <f t="shared" ref="L91" si="23">K91/B91</f>
        <v>0.42697125603241526</v>
      </c>
      <c r="M91" s="283">
        <f>TableA2!G91/(TableA2!G91+TableA2!D91)</f>
        <v>0.37792684078795064</v>
      </c>
      <c r="N91" s="284">
        <f>TableA10!G8/(TableA10!B8-TableA10!F8-TableA10!C8)</f>
        <v>0.2505997410030088</v>
      </c>
      <c r="O91" s="290">
        <f>J91/(B91-C91-K91)</f>
        <v>0.19901175404504431</v>
      </c>
      <c r="P91" s="289">
        <f>TableA3!J91</f>
        <v>0.19214345956509857</v>
      </c>
      <c r="Q91" s="288">
        <f>TableA11!L9</f>
        <v>0.18939162621434846</v>
      </c>
      <c r="R91" s="958"/>
      <c r="S91" s="958"/>
      <c r="T91" s="270"/>
      <c r="U91" s="273">
        <f t="shared" si="22"/>
        <v>-17.600157933093442</v>
      </c>
      <c r="V91" s="173"/>
    </row>
    <row r="92" spans="1:22" ht="17" thickTop="1" x14ac:dyDescent="0.2">
      <c r="A92" s="1031"/>
      <c r="B92" s="1158"/>
      <c r="C92" s="1039"/>
      <c r="D92" s="1037"/>
      <c r="E92" s="1037"/>
      <c r="F92" s="1039"/>
      <c r="G92" s="1037"/>
      <c r="H92" s="1037"/>
      <c r="I92" s="1038"/>
      <c r="J92" s="1037"/>
      <c r="K92" s="1037"/>
      <c r="L92" s="1184"/>
      <c r="M92" s="1184"/>
      <c r="N92" s="115"/>
      <c r="O92" s="262"/>
      <c r="P92" s="1161"/>
      <c r="Q92" s="1159"/>
      <c r="R92" s="958"/>
      <c r="S92" s="958"/>
      <c r="T92" s="958"/>
      <c r="U92" s="958"/>
      <c r="V92" s="958"/>
    </row>
    <row r="93" spans="1:22" s="2" customFormat="1" ht="17" thickBot="1" x14ac:dyDescent="0.25">
      <c r="B93" s="958"/>
      <c r="C93" s="958"/>
      <c r="D93" s="958"/>
      <c r="E93" s="958"/>
      <c r="F93" s="958"/>
      <c r="G93" s="958"/>
      <c r="H93" s="958"/>
      <c r="I93" s="958"/>
      <c r="J93" s="958"/>
      <c r="K93" s="958"/>
      <c r="O93" s="958"/>
      <c r="P93" s="958"/>
      <c r="Q93" s="958"/>
    </row>
    <row r="94" spans="1:22" s="2" customFormat="1" ht="50.25" customHeight="1" x14ac:dyDescent="0.2">
      <c r="A94" s="2044" t="s">
        <v>187</v>
      </c>
      <c r="B94" s="2045"/>
      <c r="C94" s="2045"/>
      <c r="D94" s="2045"/>
      <c r="E94" s="2045"/>
      <c r="F94" s="2045"/>
      <c r="G94" s="2045"/>
      <c r="H94" s="2045"/>
      <c r="I94" s="2045"/>
      <c r="J94" s="2045"/>
      <c r="K94" s="2045"/>
      <c r="L94" s="2045"/>
      <c r="M94" s="2045"/>
      <c r="N94" s="2045"/>
      <c r="O94" s="2045"/>
      <c r="P94" s="2045"/>
      <c r="Q94" s="2046"/>
    </row>
    <row r="95" spans="1:22" s="2" customFormat="1" ht="30" customHeight="1" x14ac:dyDescent="0.2">
      <c r="A95" s="2041" t="s">
        <v>188</v>
      </c>
      <c r="B95" s="2042"/>
      <c r="C95" s="2042"/>
      <c r="D95" s="2042"/>
      <c r="E95" s="2042"/>
      <c r="F95" s="2042"/>
      <c r="G95" s="2042"/>
      <c r="H95" s="2042"/>
      <c r="I95" s="2042"/>
      <c r="J95" s="2042"/>
      <c r="K95" s="2042"/>
      <c r="L95" s="2042"/>
      <c r="M95" s="2042"/>
      <c r="N95" s="2042"/>
      <c r="O95" s="2042"/>
      <c r="P95" s="2042"/>
      <c r="Q95" s="2043"/>
    </row>
    <row r="96" spans="1:22" s="2" customFormat="1" ht="33" customHeight="1" thickBot="1" x14ac:dyDescent="0.25">
      <c r="A96" s="2038" t="s">
        <v>189</v>
      </c>
      <c r="B96" s="2039"/>
      <c r="C96" s="2039"/>
      <c r="D96" s="2039"/>
      <c r="E96" s="2039"/>
      <c r="F96" s="2039"/>
      <c r="G96" s="2039"/>
      <c r="H96" s="2039"/>
      <c r="I96" s="2039"/>
      <c r="J96" s="2039"/>
      <c r="K96" s="2039"/>
      <c r="L96" s="2039"/>
      <c r="M96" s="2039"/>
      <c r="N96" s="2039"/>
      <c r="O96" s="2039"/>
      <c r="P96" s="2039"/>
      <c r="Q96" s="2040"/>
    </row>
    <row r="97" spans="1:17" s="2" customFormat="1" x14ac:dyDescent="0.2">
      <c r="A97" s="958"/>
      <c r="B97" s="958"/>
      <c r="C97" s="958"/>
      <c r="D97" s="958"/>
      <c r="E97" s="958"/>
      <c r="F97" s="958"/>
      <c r="G97" s="958"/>
      <c r="H97" s="958"/>
      <c r="I97" s="958"/>
      <c r="J97" s="958"/>
      <c r="K97" s="958"/>
      <c r="O97" s="958"/>
      <c r="P97" s="958"/>
      <c r="Q97" s="958"/>
    </row>
    <row r="98" spans="1:17" s="2" customFormat="1" x14ac:dyDescent="0.2">
      <c r="A98" s="958"/>
      <c r="B98" s="958"/>
      <c r="C98" s="958"/>
      <c r="D98" s="958"/>
      <c r="E98" s="958"/>
      <c r="F98" s="958"/>
      <c r="G98" s="958"/>
      <c r="H98" s="958"/>
      <c r="I98" s="958"/>
      <c r="J98" s="958"/>
      <c r="K98" s="958"/>
      <c r="O98" s="958"/>
      <c r="P98" s="958"/>
      <c r="Q98" s="958"/>
    </row>
    <row r="100" spans="1:17" s="2" customFormat="1" x14ac:dyDescent="0.2">
      <c r="A100" s="958"/>
      <c r="B100" s="958"/>
      <c r="C100" s="958"/>
      <c r="D100" s="958"/>
      <c r="E100" s="958"/>
      <c r="F100" s="958"/>
      <c r="G100" s="958"/>
      <c r="H100" s="958"/>
      <c r="I100" s="958"/>
      <c r="J100" s="958"/>
      <c r="K100" s="958"/>
      <c r="O100" s="958"/>
      <c r="P100" s="958"/>
      <c r="Q100" s="958"/>
    </row>
  </sheetData>
  <mergeCells count="19">
    <mergeCell ref="A96:Q96"/>
    <mergeCell ref="A95:Q95"/>
    <mergeCell ref="A94:Q94"/>
    <mergeCell ref="B6:K6"/>
    <mergeCell ref="A3:Q3"/>
    <mergeCell ref="B7:B8"/>
    <mergeCell ref="C7:C8"/>
    <mergeCell ref="F7:F8"/>
    <mergeCell ref="I7:I8"/>
    <mergeCell ref="J7:J8"/>
    <mergeCell ref="K7:K8"/>
    <mergeCell ref="L6:N6"/>
    <mergeCell ref="L7:L8"/>
    <mergeCell ref="M7:M8"/>
    <mergeCell ref="N7:N8"/>
    <mergeCell ref="O6:Q6"/>
    <mergeCell ref="O7:O8"/>
    <mergeCell ref="P7:P8"/>
    <mergeCell ref="Q7:Q8"/>
  </mergeCells>
  <pageMargins left="0.9055118110236221" right="0.9055118110236221" top="0.74803149606299213" bottom="0.74803149606299213" header="0.31496062992125984" footer="0.31496062992125984"/>
  <pageSetup scale="48" fitToHeight="0" orientation="landscape" horizontalDpi="4294967292" verticalDpi="4294967292"/>
  <ignoredErrors>
    <ignoredError sqref="O11:O12 O15:O22 O24 O26 O28:O30 O34:O44 O32" evalError="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100"/>
  <sheetViews>
    <sheetView workbookViewId="0">
      <pane xSplit="1" ySplit="8" topLeftCell="B55" activePane="bottomRight" state="frozen"/>
      <selection pane="topRight" activeCell="AR8" sqref="AR8"/>
      <selection pane="bottomLeft" activeCell="AR8" sqref="AR8"/>
      <selection pane="bottomRight" activeCell="A65" sqref="A65:XFD65"/>
    </sheetView>
  </sheetViews>
  <sheetFormatPr baseColWidth="10" defaultColWidth="10.83203125" defaultRowHeight="16" x14ac:dyDescent="0.2"/>
  <cols>
    <col min="1" max="1" width="19" style="1" customWidth="1"/>
    <col min="2" max="11" width="11.33203125" style="1" customWidth="1"/>
    <col min="12" max="16384" width="10.83203125" style="1"/>
  </cols>
  <sheetData>
    <row r="1" spans="1:12" x14ac:dyDescent="0.2">
      <c r="A1" s="958"/>
      <c r="B1" s="958"/>
      <c r="C1" s="958"/>
      <c r="D1" s="958"/>
      <c r="E1" s="958"/>
      <c r="F1" s="958"/>
      <c r="G1" s="958"/>
      <c r="H1" s="958"/>
      <c r="I1" s="958"/>
      <c r="J1" s="958"/>
      <c r="K1" s="958"/>
      <c r="L1" s="958"/>
    </row>
    <row r="2" spans="1:12" ht="17" thickBot="1" x14ac:dyDescent="0.25">
      <c r="A2" s="958"/>
      <c r="B2" s="958"/>
      <c r="C2" s="958"/>
      <c r="D2" s="958"/>
      <c r="E2" s="958"/>
      <c r="F2" s="958"/>
      <c r="G2" s="958"/>
      <c r="H2" s="958"/>
      <c r="I2" s="958"/>
      <c r="J2" s="958"/>
      <c r="K2" s="958"/>
      <c r="L2" s="958"/>
    </row>
    <row r="3" spans="1:12" ht="32.25" customHeight="1" thickTop="1" x14ac:dyDescent="0.2">
      <c r="A3" s="1934" t="s">
        <v>190</v>
      </c>
      <c r="B3" s="1935"/>
      <c r="C3" s="1935"/>
      <c r="D3" s="1935"/>
      <c r="E3" s="1935"/>
      <c r="F3" s="1935"/>
      <c r="G3" s="1935"/>
      <c r="H3" s="1935"/>
      <c r="I3" s="1935"/>
      <c r="J3" s="1935"/>
      <c r="K3" s="1935"/>
      <c r="L3" s="1936"/>
    </row>
    <row r="4" spans="1:12" ht="12" customHeight="1" x14ac:dyDescent="0.2">
      <c r="A4" s="4"/>
      <c r="B4" s="620"/>
      <c r="C4" s="620"/>
      <c r="D4" s="620"/>
      <c r="E4" s="620"/>
      <c r="F4" s="620"/>
      <c r="G4" s="620"/>
      <c r="H4" s="620"/>
      <c r="I4" s="620"/>
      <c r="J4" s="620"/>
      <c r="K4" s="620"/>
      <c r="L4" s="1079"/>
    </row>
    <row r="5" spans="1:12" x14ac:dyDescent="0.2">
      <c r="A5" s="1154"/>
      <c r="B5" s="3" t="s">
        <v>1</v>
      </c>
      <c r="C5" s="3" t="s">
        <v>2</v>
      </c>
      <c r="D5" s="3" t="s">
        <v>3</v>
      </c>
      <c r="E5" s="3" t="s">
        <v>4</v>
      </c>
      <c r="F5" s="3" t="s">
        <v>5</v>
      </c>
      <c r="G5" s="3" t="s">
        <v>6</v>
      </c>
      <c r="H5" s="3" t="s">
        <v>7</v>
      </c>
      <c r="I5" s="3" t="s">
        <v>8</v>
      </c>
      <c r="J5" s="3" t="s">
        <v>9</v>
      </c>
      <c r="K5" s="3" t="s">
        <v>10</v>
      </c>
      <c r="L5" s="6" t="s">
        <v>11</v>
      </c>
    </row>
    <row r="6" spans="1:12" ht="21" customHeight="1" x14ac:dyDescent="0.2">
      <c r="A6" s="1154"/>
      <c r="B6" s="2016" t="s">
        <v>14</v>
      </c>
      <c r="C6" s="2017"/>
      <c r="D6" s="2017"/>
      <c r="E6" s="2017"/>
      <c r="F6" s="2017"/>
      <c r="G6" s="2017"/>
      <c r="H6" s="2017"/>
      <c r="I6" s="2017"/>
      <c r="J6" s="2017"/>
      <c r="K6" s="2017"/>
      <c r="L6" s="2047" t="s">
        <v>191</v>
      </c>
    </row>
    <row r="7" spans="1:12" ht="85" customHeight="1" x14ac:dyDescent="0.2">
      <c r="A7" s="1154"/>
      <c r="B7" s="2019" t="s">
        <v>192</v>
      </c>
      <c r="C7" s="1819" t="s">
        <v>193</v>
      </c>
      <c r="D7" s="1819" t="s">
        <v>194</v>
      </c>
      <c r="E7" s="2049" t="s">
        <v>195</v>
      </c>
      <c r="F7" s="2028" t="s">
        <v>196</v>
      </c>
      <c r="G7" s="2028" t="s">
        <v>197</v>
      </c>
      <c r="H7" s="2028" t="s">
        <v>198</v>
      </c>
      <c r="I7" s="1826" t="s">
        <v>199</v>
      </c>
      <c r="J7" s="1826" t="s">
        <v>200</v>
      </c>
      <c r="K7" s="2051" t="s">
        <v>201</v>
      </c>
      <c r="L7" s="2048"/>
    </row>
    <row r="8" spans="1:12" ht="33" customHeight="1" x14ac:dyDescent="0.2">
      <c r="A8" s="1154"/>
      <c r="B8" s="2050"/>
      <c r="C8" s="1031"/>
      <c r="D8" s="1031"/>
      <c r="E8" s="2049"/>
      <c r="F8" s="2013"/>
      <c r="G8" s="2013"/>
      <c r="H8" s="2013"/>
      <c r="I8" s="1826"/>
      <c r="J8" s="1826"/>
      <c r="K8" s="2051"/>
      <c r="L8" s="2048"/>
    </row>
    <row r="9" spans="1:12" ht="40" customHeight="1" x14ac:dyDescent="0.2">
      <c r="A9" s="8" t="s">
        <v>28</v>
      </c>
      <c r="B9" s="306">
        <f>C9+D9</f>
        <v>6449.286986082956</v>
      </c>
      <c r="C9" s="298">
        <f t="shared" ref="C9:J9" si="0">SUM(C10:C44)</f>
        <v>6329.8496989524356</v>
      </c>
      <c r="D9" s="298">
        <f t="shared" si="0"/>
        <v>119.4372871305205</v>
      </c>
      <c r="E9" s="296">
        <f t="shared" si="0"/>
        <v>956.10086642796193</v>
      </c>
      <c r="F9" s="295">
        <f t="shared" si="0"/>
        <v>831.08377315482733</v>
      </c>
      <c r="G9" s="295">
        <f t="shared" si="0"/>
        <v>5.5798061426140979</v>
      </c>
      <c r="H9" s="295">
        <f t="shared" si="0"/>
        <v>119.4372871305205</v>
      </c>
      <c r="I9" s="295">
        <f t="shared" si="0"/>
        <v>102.3350799768593</v>
      </c>
      <c r="J9" s="295">
        <f t="shared" si="0"/>
        <v>17.102207153661201</v>
      </c>
      <c r="K9" s="256">
        <f>B9-E9</f>
        <v>5493.1861196549944</v>
      </c>
      <c r="L9" s="496">
        <f>TableA3!H9/TableA6!B9</f>
        <v>0.18501018092140112</v>
      </c>
    </row>
    <row r="10" spans="1:12" ht="14.25" customHeight="1" x14ac:dyDescent="0.2">
      <c r="A10" s="1155" t="s">
        <v>29</v>
      </c>
      <c r="B10" s="1199">
        <f t="shared" ref="B10:B73" si="1">C10+D10</f>
        <v>178.84741076861815</v>
      </c>
      <c r="C10" s="1200">
        <f>TableA3!B10</f>
        <v>178.84741076861815</v>
      </c>
      <c r="D10" s="1201">
        <f>H10</f>
        <v>0</v>
      </c>
      <c r="E10" s="1180">
        <f>F10+G10+H10</f>
        <v>28.299110069424813</v>
      </c>
      <c r="F10" s="1159">
        <f>TableA5!F10+TableA5!I10+TableA5!J10</f>
        <v>28.299110069424813</v>
      </c>
      <c r="G10" s="1158">
        <f>TableB5!C10+TableB5!E10-(TableB5!G10+TableB5!I10)</f>
        <v>0</v>
      </c>
      <c r="H10" s="1158">
        <f t="shared" ref="H10:H44" si="2">I10+J10</f>
        <v>0</v>
      </c>
      <c r="I10" s="297"/>
      <c r="J10" s="297"/>
      <c r="K10" s="299">
        <f t="shared" ref="K10:K52" si="3">B10-E10</f>
        <v>150.54830069919333</v>
      </c>
      <c r="L10" s="496">
        <f>TableA3!H10/TableA6!B10</f>
        <v>0.29682183632835152</v>
      </c>
    </row>
    <row r="11" spans="1:12" ht="14.25" customHeight="1" x14ac:dyDescent="0.2">
      <c r="A11" s="1155" t="s">
        <v>30</v>
      </c>
      <c r="B11" s="1199">
        <f t="shared" si="1"/>
        <v>47.957043627358011</v>
      </c>
      <c r="C11" s="1200">
        <f>TableA3!B11</f>
        <v>47.957043627358011</v>
      </c>
      <c r="D11" s="1201">
        <f t="shared" ref="D11:D44" si="4">H11</f>
        <v>0</v>
      </c>
      <c r="E11" s="1180">
        <f t="shared" ref="E11:E44" si="5">F11+G11+H11</f>
        <v>11.294821742987047</v>
      </c>
      <c r="F11" s="1159">
        <f>TableA5!F11+TableA5!I11+TableA5!J11</f>
        <v>11.36803305746286</v>
      </c>
      <c r="G11" s="1158">
        <f>TableB5!C11+TableB5!E11-(TableB5!G11+TableB5!I11)</f>
        <v>-7.3211314475813083E-2</v>
      </c>
      <c r="H11" s="1158">
        <f t="shared" si="2"/>
        <v>0</v>
      </c>
      <c r="I11" s="297"/>
      <c r="J11" s="297"/>
      <c r="K11" s="299">
        <f t="shared" si="3"/>
        <v>36.662221884370965</v>
      </c>
      <c r="L11" s="496">
        <f>TableA3!H11/TableA6!B11</f>
        <v>0.1771303557511523</v>
      </c>
    </row>
    <row r="12" spans="1:12" ht="14.25" customHeight="1" x14ac:dyDescent="0.2">
      <c r="A12" s="1155" t="s">
        <v>31</v>
      </c>
      <c r="B12" s="1199">
        <f t="shared" si="1"/>
        <v>80.241889758299209</v>
      </c>
      <c r="C12" s="1200">
        <f>TableA3!B12</f>
        <v>76.673664877742027</v>
      </c>
      <c r="D12" s="1201">
        <f t="shared" si="4"/>
        <v>3.5682248805571826</v>
      </c>
      <c r="E12" s="1180">
        <f t="shared" si="5"/>
        <v>32.206747942780808</v>
      </c>
      <c r="F12" s="1159">
        <f>TableA5!F12+TableA5!I12+TableA5!J12</f>
        <v>24.038987248077127</v>
      </c>
      <c r="G12" s="1158">
        <f>TableB5!C12+TableB5!E12-(TableB5!G12+TableB5!I12)</f>
        <v>4.5995358141464999</v>
      </c>
      <c r="H12" s="1158">
        <f t="shared" si="2"/>
        <v>3.5682248805571826</v>
      </c>
      <c r="I12" s="1158">
        <f>(TableA5!O12+1)*TableB10!$J$12/1000</f>
        <v>3.5682248805571826</v>
      </c>
      <c r="J12" s="1158">
        <f>MAX((TableA5!O12+1)*TableB10!$K$12,0)/1000</f>
        <v>0</v>
      </c>
      <c r="K12" s="299">
        <f t="shared" si="3"/>
        <v>48.035141815518401</v>
      </c>
      <c r="L12" s="496">
        <f>TableA3!H12/TableA6!B12</f>
        <v>0.18742426983704405</v>
      </c>
    </row>
    <row r="13" spans="1:12" ht="14.25" customHeight="1" x14ac:dyDescent="0.2">
      <c r="A13" s="1155" t="s">
        <v>32</v>
      </c>
      <c r="B13" s="1199">
        <f t="shared" si="1"/>
        <v>142.9569900038934</v>
      </c>
      <c r="C13" s="1200">
        <f>TableA3!B13</f>
        <v>142.9569900038934</v>
      </c>
      <c r="D13" s="1201">
        <f t="shared" si="4"/>
        <v>0</v>
      </c>
      <c r="E13" s="1180">
        <f t="shared" si="5"/>
        <v>46.935942392007277</v>
      </c>
      <c r="F13" s="1159">
        <f>TableA5!F13+TableA5!I13+TableA5!J13</f>
        <v>46.935942392007277</v>
      </c>
      <c r="G13" s="1158">
        <f>TableB5!C13+TableB5!E13-(TableB5!G13+TableB5!I13)</f>
        <v>0</v>
      </c>
      <c r="H13" s="1158">
        <f t="shared" si="2"/>
        <v>0</v>
      </c>
      <c r="I13" s="297"/>
      <c r="J13" s="297"/>
      <c r="K13" s="299">
        <f t="shared" si="3"/>
        <v>96.021047611886118</v>
      </c>
      <c r="L13" s="496">
        <f>TableA3!H13/TableA6!B13</f>
        <v>0.34611388196176218</v>
      </c>
    </row>
    <row r="14" spans="1:12" x14ac:dyDescent="0.2">
      <c r="A14" s="1155" t="s">
        <v>33</v>
      </c>
      <c r="B14" s="1199">
        <f t="shared" si="1"/>
        <v>67.542484958596845</v>
      </c>
      <c r="C14" s="1200">
        <f>TableA3!B14</f>
        <v>67.542484958596845</v>
      </c>
      <c r="D14" s="1201">
        <f t="shared" si="4"/>
        <v>0</v>
      </c>
      <c r="E14" s="1180">
        <f t="shared" si="5"/>
        <v>9.8951445885655183</v>
      </c>
      <c r="F14" s="1159">
        <f>TableA5!F14+TableA5!I14+TableA5!J14</f>
        <v>9.8952275885673977</v>
      </c>
      <c r="G14" s="1158">
        <f>TableB5!C14+TableB5!E14-(TableB5!G14+TableB5!I14)</f>
        <v>-8.3000001879995899E-5</v>
      </c>
      <c r="H14" s="1158">
        <f t="shared" si="2"/>
        <v>0</v>
      </c>
      <c r="I14" s="1202"/>
      <c r="J14" s="1202"/>
      <c r="K14" s="156">
        <f t="shared" si="3"/>
        <v>57.64734037003133</v>
      </c>
      <c r="L14" s="496">
        <f>TableA3!H14/TableA6!B14</f>
        <v>0.15479746660886656</v>
      </c>
    </row>
    <row r="15" spans="1:12" x14ac:dyDescent="0.2">
      <c r="A15" s="1155" t="s">
        <v>34</v>
      </c>
      <c r="B15" s="1199">
        <f t="shared" si="1"/>
        <v>33.577437877940952</v>
      </c>
      <c r="C15" s="1200">
        <f>TableA3!B15</f>
        <v>33.577437877940952</v>
      </c>
      <c r="D15" s="1201">
        <f t="shared" si="4"/>
        <v>0</v>
      </c>
      <c r="E15" s="1180">
        <f t="shared" si="5"/>
        <v>17.490778418103861</v>
      </c>
      <c r="F15" s="1159">
        <f>TableA5!F15+TableA5!I15+TableA5!J15</f>
        <v>17.490778418103861</v>
      </c>
      <c r="G15" s="1158">
        <f>TableB5!C15+TableB5!E15-(TableB5!G15+TableB5!I15)</f>
        <v>0</v>
      </c>
      <c r="H15" s="1158">
        <f t="shared" si="2"/>
        <v>0</v>
      </c>
      <c r="I15" s="1202"/>
      <c r="J15" s="1202"/>
      <c r="K15" s="156">
        <f t="shared" si="3"/>
        <v>16.08665945983709</v>
      </c>
      <c r="L15" s="496">
        <f>TableA3!H15/TableA6!B15</f>
        <v>0.19987578983562221</v>
      </c>
    </row>
    <row r="16" spans="1:12" x14ac:dyDescent="0.2">
      <c r="A16" s="1155" t="s">
        <v>35</v>
      </c>
      <c r="B16" s="1199">
        <f t="shared" si="1"/>
        <v>51.69259919912686</v>
      </c>
      <c r="C16" s="1200">
        <f>TableA3!B16</f>
        <v>51.69259919912686</v>
      </c>
      <c r="D16" s="1201">
        <f t="shared" si="4"/>
        <v>0</v>
      </c>
      <c r="E16" s="1180">
        <f t="shared" si="5"/>
        <v>5.1092950429719881</v>
      </c>
      <c r="F16" s="1159">
        <f>TableA5!F16+TableA5!I16+TableA5!J16</f>
        <v>5.0542797278977876</v>
      </c>
      <c r="G16" s="1158">
        <f>TableB5!C16+TableB5!E16-(TableB5!G16+TableB5!I16)</f>
        <v>5.50153150742001E-2</v>
      </c>
      <c r="H16" s="1158">
        <f t="shared" si="2"/>
        <v>0</v>
      </c>
      <c r="I16" s="1202"/>
      <c r="J16" s="1202"/>
      <c r="K16" s="156">
        <f t="shared" si="3"/>
        <v>46.583304156154874</v>
      </c>
      <c r="L16" s="496">
        <f>TableA3!H16/TableA6!B16</f>
        <v>0.14950708919067349</v>
      </c>
    </row>
    <row r="17" spans="1:13" x14ac:dyDescent="0.2">
      <c r="A17" s="1094" t="s">
        <v>36</v>
      </c>
      <c r="B17" s="1203">
        <f t="shared" si="1"/>
        <v>4.0797019715879275</v>
      </c>
      <c r="C17" s="1125">
        <f>TableA3!B17</f>
        <v>4.0797019715879275</v>
      </c>
      <c r="D17" s="1201">
        <f t="shared" si="4"/>
        <v>0</v>
      </c>
      <c r="E17" s="1180">
        <f t="shared" si="5"/>
        <v>1.4550356443784636</v>
      </c>
      <c r="F17" s="1159">
        <f>TableA5!F17+TableA5!I17+TableA5!J17</f>
        <v>1.4564133482054185</v>
      </c>
      <c r="G17" s="1158">
        <f>TableB5!C17+TableB5!E17-(TableB5!G17+TableB5!I17)</f>
        <v>-1.3777038269549985E-3</v>
      </c>
      <c r="H17" s="1158">
        <f t="shared" si="2"/>
        <v>0</v>
      </c>
      <c r="I17" s="1202"/>
      <c r="J17" s="1202"/>
      <c r="K17" s="156">
        <f t="shared" si="3"/>
        <v>2.6246663272094639</v>
      </c>
      <c r="L17" s="496">
        <f>TableA3!H17/TableA6!B17</f>
        <v>0.11534321054777766</v>
      </c>
      <c r="M17" s="958"/>
    </row>
    <row r="18" spans="1:13" x14ac:dyDescent="0.2">
      <c r="A18" s="1155" t="s">
        <v>37</v>
      </c>
      <c r="B18" s="1199">
        <f t="shared" si="1"/>
        <v>25.094852932206081</v>
      </c>
      <c r="C18" s="1200">
        <f>TableA3!B18</f>
        <v>25.094852932206081</v>
      </c>
      <c r="D18" s="1201">
        <f t="shared" si="4"/>
        <v>0</v>
      </c>
      <c r="E18" s="1180">
        <f t="shared" si="5"/>
        <v>4.2466092034416771</v>
      </c>
      <c r="F18" s="1159">
        <f>TableA5!F18+TableA5!I18+TableA5!J18</f>
        <v>4.2466092034416771</v>
      </c>
      <c r="G18" s="1158">
        <f>TableB5!C18+TableB5!E18-(TableB5!G18+TableB5!I18)</f>
        <v>0</v>
      </c>
      <c r="H18" s="1158">
        <f t="shared" si="2"/>
        <v>0</v>
      </c>
      <c r="I18" s="1202"/>
      <c r="J18" s="1202"/>
      <c r="K18" s="156">
        <f t="shared" si="3"/>
        <v>20.848243728764402</v>
      </c>
      <c r="L18" s="496">
        <f>TableA3!H18/TableA6!B18</f>
        <v>0.20095461174702786</v>
      </c>
      <c r="M18" s="958"/>
    </row>
    <row r="19" spans="1:13" x14ac:dyDescent="0.2">
      <c r="A19" s="1094" t="s">
        <v>38</v>
      </c>
      <c r="B19" s="1203">
        <f t="shared" si="1"/>
        <v>187.65852722592464</v>
      </c>
      <c r="C19" s="1125">
        <f>TableA3!B19</f>
        <v>187.65852722592464</v>
      </c>
      <c r="D19" s="1201">
        <f t="shared" si="4"/>
        <v>0</v>
      </c>
      <c r="E19" s="1180">
        <f t="shared" si="5"/>
        <v>31.778815000521959</v>
      </c>
      <c r="F19" s="1159">
        <f>TableA5!F19+TableA5!I19+TableA5!J19</f>
        <v>31.778815000521959</v>
      </c>
      <c r="G19" s="1158">
        <f>TableB5!C19+TableB5!E19-(TableB5!G19+TableB5!I19)</f>
        <v>0</v>
      </c>
      <c r="H19" s="1158">
        <f t="shared" si="2"/>
        <v>0</v>
      </c>
      <c r="I19" s="1202"/>
      <c r="J19" s="1202"/>
      <c r="K19" s="156">
        <f t="shared" si="3"/>
        <v>155.87971222540267</v>
      </c>
      <c r="L19" s="496">
        <f>TableA3!H19/TableA6!B19</f>
        <v>0.27138098390108983</v>
      </c>
      <c r="M19" s="958"/>
    </row>
    <row r="20" spans="1:13" x14ac:dyDescent="0.2">
      <c r="A20" s="1155" t="s">
        <v>39</v>
      </c>
      <c r="B20" s="1199">
        <f t="shared" si="1"/>
        <v>553.04943443142031</v>
      </c>
      <c r="C20" s="1200">
        <f>TableA3!B20</f>
        <v>553.04943443142031</v>
      </c>
      <c r="D20" s="1201">
        <f t="shared" si="4"/>
        <v>0</v>
      </c>
      <c r="E20" s="1180">
        <f t="shared" si="5"/>
        <v>42.83586575015805</v>
      </c>
      <c r="F20" s="1159">
        <f>TableA5!F20+TableA5!I20+TableA5!J20</f>
        <v>42.83586575015805</v>
      </c>
      <c r="G20" s="1158">
        <f>TableB5!C20+TableB5!E20-(TableB5!G20+TableB5!I20)</f>
        <v>0</v>
      </c>
      <c r="H20" s="1158">
        <f t="shared" si="2"/>
        <v>0</v>
      </c>
      <c r="I20" s="1202"/>
      <c r="J20" s="1202"/>
      <c r="K20" s="156">
        <f t="shared" si="3"/>
        <v>510.21356868126225</v>
      </c>
      <c r="L20" s="496">
        <f>TableA3!H20/TableA6!B20</f>
        <v>0.10568882329112707</v>
      </c>
      <c r="M20" s="958"/>
    </row>
    <row r="21" spans="1:13" x14ac:dyDescent="0.2">
      <c r="A21" s="1155" t="s">
        <v>40</v>
      </c>
      <c r="B21" s="1199">
        <f t="shared" si="1"/>
        <v>22.607784095761257</v>
      </c>
      <c r="C21" s="1200">
        <f>TableA3!B21</f>
        <v>22.607784095761257</v>
      </c>
      <c r="D21" s="1201">
        <f t="shared" si="4"/>
        <v>0</v>
      </c>
      <c r="E21" s="1180">
        <f t="shared" si="5"/>
        <v>1.3429928248302583</v>
      </c>
      <c r="F21" s="1159">
        <f>TableA5!F21+TableA5!I21+TableA5!J21</f>
        <v>1.3429928248302583</v>
      </c>
      <c r="G21" s="1158">
        <f>TableB5!C21+TableB5!E21-(TableB5!G21+TableB5!I21)</f>
        <v>0</v>
      </c>
      <c r="H21" s="1158">
        <f t="shared" si="2"/>
        <v>0</v>
      </c>
      <c r="I21" s="1202"/>
      <c r="J21" s="1202"/>
      <c r="K21" s="156">
        <f t="shared" si="3"/>
        <v>21.264791270930999</v>
      </c>
      <c r="L21" s="496">
        <f>TableA3!H21/TableA6!B21</f>
        <v>0.18641603978549989</v>
      </c>
      <c r="M21" s="958"/>
    </row>
    <row r="22" spans="1:13" x14ac:dyDescent="0.2">
      <c r="A22" s="1155" t="s">
        <v>41</v>
      </c>
      <c r="B22" s="1199">
        <f t="shared" si="1"/>
        <v>20.668289583202817</v>
      </c>
      <c r="C22" s="1200">
        <f>TableA3!B22</f>
        <v>20.668289583202817</v>
      </c>
      <c r="D22" s="1201">
        <f t="shared" si="4"/>
        <v>0</v>
      </c>
      <c r="E22" s="1180">
        <f t="shared" si="5"/>
        <v>9.7164397220911169</v>
      </c>
      <c r="F22" s="1159">
        <f>TableA5!F22+TableA5!I22+TableA5!J22</f>
        <v>9.1579151119634261</v>
      </c>
      <c r="G22" s="1158">
        <f>TableB5!C22+TableB5!E22-(TableB5!G22+TableB5!I22)</f>
        <v>0.55852461012769039</v>
      </c>
      <c r="H22" s="1158">
        <f t="shared" si="2"/>
        <v>0</v>
      </c>
      <c r="I22" s="1202"/>
      <c r="J22" s="1202"/>
      <c r="K22" s="156">
        <f t="shared" si="3"/>
        <v>10.9518498611117</v>
      </c>
      <c r="L22" s="496">
        <f>TableA3!H22/TableA6!B22</f>
        <v>0.10626839819341541</v>
      </c>
      <c r="M22" s="958"/>
    </row>
    <row r="23" spans="1:13" x14ac:dyDescent="0.2">
      <c r="A23" s="1155" t="s">
        <v>42</v>
      </c>
      <c r="B23" s="1199">
        <f t="shared" si="1"/>
        <v>2.1489969781260903</v>
      </c>
      <c r="C23" s="1200">
        <f>TableA3!B23</f>
        <v>2.1489969781260903</v>
      </c>
      <c r="D23" s="1201">
        <f t="shared" si="4"/>
        <v>0</v>
      </c>
      <c r="E23" s="1180">
        <f t="shared" si="5"/>
        <v>-9.6186838505018343E-2</v>
      </c>
      <c r="F23" s="1159">
        <f>TableA5!F23+TableA5!I23+TableA5!J23</f>
        <v>-0.10049325848256159</v>
      </c>
      <c r="G23" s="1158">
        <f>TableB5!C23+TableB5!E23-(TableB5!G23+TableB5!I23)</f>
        <v>4.3064199775432518E-3</v>
      </c>
      <c r="H23" s="1158">
        <f t="shared" si="2"/>
        <v>0</v>
      </c>
      <c r="I23" s="1202"/>
      <c r="J23" s="1202"/>
      <c r="K23" s="156">
        <f t="shared" si="3"/>
        <v>2.2451838166311084</v>
      </c>
      <c r="L23" s="496">
        <f>TableA3!H23/TableA6!B23</f>
        <v>0.18534366223782692</v>
      </c>
      <c r="M23" s="958"/>
    </row>
    <row r="24" spans="1:13" x14ac:dyDescent="0.2">
      <c r="A24" s="1155" t="s">
        <v>43</v>
      </c>
      <c r="B24" s="1199">
        <f t="shared" si="1"/>
        <v>174.30510209753976</v>
      </c>
      <c r="C24" s="1200">
        <f>TableA3!B24</f>
        <v>125.53464036847635</v>
      </c>
      <c r="D24" s="1201">
        <f t="shared" si="4"/>
        <v>48.77046172906342</v>
      </c>
      <c r="E24" s="1180">
        <f t="shared" si="5"/>
        <v>116.2731292562101</v>
      </c>
      <c r="F24" s="1159">
        <f>TableA5!F24+TableA5!I24+TableA5!J24</f>
        <v>67.502667527146684</v>
      </c>
      <c r="G24" s="1158">
        <f>TableB5!C24+TableB5!E24-(TableB5!G24+TableB5!I24)</f>
        <v>0</v>
      </c>
      <c r="H24" s="1158">
        <f t="shared" si="2"/>
        <v>48.77046172906342</v>
      </c>
      <c r="I24" s="1202">
        <f>(1+TableA5!$O24)*TableB10!J24/1000</f>
        <v>48.77046172906342</v>
      </c>
      <c r="J24" s="1202">
        <f>MAX((1+TableA5!$O24)*TableB10!K200)/1000</f>
        <v>0</v>
      </c>
      <c r="K24" s="156">
        <f t="shared" si="3"/>
        <v>58.031972841329662</v>
      </c>
      <c r="L24" s="496">
        <f>TableA3!H24/TableA6!B24</f>
        <v>4.3730990037364761E-2</v>
      </c>
      <c r="M24" s="958"/>
    </row>
    <row r="25" spans="1:13" x14ac:dyDescent="0.2">
      <c r="A25" s="1155" t="s">
        <v>44</v>
      </c>
      <c r="B25" s="1199">
        <f t="shared" si="1"/>
        <v>53.821062621875072</v>
      </c>
      <c r="C25" s="1200">
        <f>TableA3!B25</f>
        <v>53.821062621875072</v>
      </c>
      <c r="D25" s="1201">
        <f t="shared" si="4"/>
        <v>0</v>
      </c>
      <c r="E25" s="1180">
        <f t="shared" si="5"/>
        <v>5.8274626748237663</v>
      </c>
      <c r="F25" s="1159">
        <f>TableA5!F25+TableA5!I25+TableA5!J25</f>
        <v>5.8274626748237663</v>
      </c>
      <c r="G25" s="1158">
        <f>TableB5!C25+TableB5!E25-(TableB5!G25+TableB5!I25)</f>
        <v>0</v>
      </c>
      <c r="H25" s="1158">
        <f t="shared" si="2"/>
        <v>0</v>
      </c>
      <c r="I25" s="1202"/>
      <c r="J25" s="1202"/>
      <c r="K25" s="156">
        <f t="shared" si="3"/>
        <v>47.993599947051308</v>
      </c>
      <c r="L25" s="496">
        <f>TableA3!H25/TableA6!B25</f>
        <v>0.16576042245572675</v>
      </c>
      <c r="M25" s="958"/>
    </row>
    <row r="26" spans="1:13" x14ac:dyDescent="0.2">
      <c r="A26" s="1155" t="s">
        <v>45</v>
      </c>
      <c r="B26" s="1199">
        <f t="shared" si="1"/>
        <v>211.89440797463348</v>
      </c>
      <c r="C26" s="1200">
        <f>TableA3!B26</f>
        <v>211.89440797463348</v>
      </c>
      <c r="D26" s="1201">
        <f t="shared" si="4"/>
        <v>0</v>
      </c>
      <c r="E26" s="1180">
        <f t="shared" si="5"/>
        <v>13.197888688714203</v>
      </c>
      <c r="F26" s="1159">
        <f>TableA5!F26+TableA5!I26+TableA5!J26</f>
        <v>13.197888688714203</v>
      </c>
      <c r="G26" s="1158">
        <f>TableB5!C26+TableB5!E26-(TableB5!G26+TableB5!I26)</f>
        <v>0</v>
      </c>
      <c r="H26" s="1158">
        <f t="shared" si="2"/>
        <v>0</v>
      </c>
      <c r="I26" s="1202"/>
      <c r="J26" s="1202"/>
      <c r="K26" s="156">
        <f t="shared" si="3"/>
        <v>198.69651928591927</v>
      </c>
      <c r="L26" s="496">
        <f>TableA3!H26/TableA6!B26</f>
        <v>0.17596888878420774</v>
      </c>
      <c r="M26" s="958"/>
    </row>
    <row r="27" spans="1:13" x14ac:dyDescent="0.2">
      <c r="A27" s="1155" t="s">
        <v>46</v>
      </c>
      <c r="B27" s="1199">
        <f t="shared" si="1"/>
        <v>634.13536380108962</v>
      </c>
      <c r="C27" s="1200">
        <f>TableA3!B27</f>
        <v>634.13536380108962</v>
      </c>
      <c r="D27" s="1201">
        <f t="shared" si="4"/>
        <v>0</v>
      </c>
      <c r="E27" s="1180">
        <f t="shared" si="5"/>
        <v>32.091665406409945</v>
      </c>
      <c r="F27" s="1159">
        <f>TableA5!F27+TableA5!I27+TableA5!J27</f>
        <v>32.091665406409945</v>
      </c>
      <c r="G27" s="1158">
        <f>TableB5!C27+TableB5!E27-(TableB5!G27+TableB5!I27)</f>
        <v>0</v>
      </c>
      <c r="H27" s="1158">
        <f t="shared" si="2"/>
        <v>0</v>
      </c>
      <c r="I27" s="1202"/>
      <c r="J27" s="1202"/>
      <c r="K27" s="156">
        <f t="shared" si="3"/>
        <v>602.04369839467972</v>
      </c>
      <c r="L27" s="496">
        <f>TableA3!H27/TableA6!B27</f>
        <v>0.26194231763861364</v>
      </c>
      <c r="M27" s="958"/>
    </row>
    <row r="28" spans="1:13" x14ac:dyDescent="0.2">
      <c r="A28" s="1155" t="s">
        <v>47</v>
      </c>
      <c r="B28" s="1199">
        <f t="shared" si="1"/>
        <v>248.21706968304588</v>
      </c>
      <c r="C28" s="1200">
        <f>TableA3!B28</f>
        <v>248.21706968304588</v>
      </c>
      <c r="D28" s="1201">
        <f t="shared" si="4"/>
        <v>0</v>
      </c>
      <c r="E28" s="1180">
        <f t="shared" si="5"/>
        <v>2.54407878701964</v>
      </c>
      <c r="F28" s="1159">
        <f>TableA5!F28+TableA5!I28+TableA5!J28</f>
        <v>2.5171388281503817</v>
      </c>
      <c r="G28" s="1158">
        <f>TableB5!C28+TableB5!E28-(TableB5!G28+TableB5!I28)</f>
        <v>2.6939958869258179E-2</v>
      </c>
      <c r="H28" s="1158">
        <f t="shared" si="2"/>
        <v>0</v>
      </c>
      <c r="I28" s="1202"/>
      <c r="J28" s="1202"/>
      <c r="K28" s="156">
        <f t="shared" si="3"/>
        <v>245.67299089602625</v>
      </c>
      <c r="L28" s="496">
        <f>TableA3!H28/TableA6!B28</f>
        <v>0.18360409812068557</v>
      </c>
      <c r="M28" s="958"/>
    </row>
    <row r="29" spans="1:13" x14ac:dyDescent="0.2">
      <c r="A29" s="1154" t="s">
        <v>48</v>
      </c>
      <c r="B29" s="1204">
        <f t="shared" si="1"/>
        <v>4.1858751479217755</v>
      </c>
      <c r="C29" s="1159">
        <f>TableA3!B29</f>
        <v>4.1858751479217755</v>
      </c>
      <c r="D29" s="1201">
        <f t="shared" si="4"/>
        <v>0</v>
      </c>
      <c r="E29" s="1180">
        <f t="shared" si="5"/>
        <v>1.2242246708432463</v>
      </c>
      <c r="F29" s="1159">
        <f>TableA5!F29+TableA5!I29+TableA5!J29</f>
        <v>1.2242246708432463</v>
      </c>
      <c r="G29" s="1158">
        <f>TableB5!C29+TableB5!E29-(TableB5!G29+TableB5!I29)</f>
        <v>0</v>
      </c>
      <c r="H29" s="1158">
        <f t="shared" si="2"/>
        <v>0</v>
      </c>
      <c r="I29" s="1202"/>
      <c r="J29" s="1202"/>
      <c r="K29" s="156">
        <f t="shared" si="3"/>
        <v>2.9616504770785292</v>
      </c>
      <c r="L29" s="496">
        <f>TableA3!H29/TableA6!B29</f>
        <v>0.10296717318914152</v>
      </c>
      <c r="M29" s="958"/>
    </row>
    <row r="30" spans="1:13" x14ac:dyDescent="0.2">
      <c r="A30" s="1154" t="s">
        <v>49</v>
      </c>
      <c r="B30" s="1204">
        <f t="shared" si="1"/>
        <v>91.027431841444567</v>
      </c>
      <c r="C30" s="1159">
        <f>TableA3!B30</f>
        <v>59.277065941780656</v>
      </c>
      <c r="D30" s="1201">
        <f t="shared" si="4"/>
        <v>31.750365899663908</v>
      </c>
      <c r="E30" s="1180">
        <f t="shared" si="5"/>
        <v>51.304832182529623</v>
      </c>
      <c r="F30" s="1159">
        <f>TableA5!F30+TableA5!I30+TableA5!J30</f>
        <v>18.831227236832017</v>
      </c>
      <c r="G30" s="1158">
        <f>1.5*TableB5!C30+TableB5!E30-(TableB5!G30+TableB5!I30)</f>
        <v>0.72323904603369726</v>
      </c>
      <c r="H30" s="1158">
        <f t="shared" si="2"/>
        <v>31.750365899663908</v>
      </c>
      <c r="I30" s="1202">
        <f>(1+TableA5!$O30)*TableB10!J30/1000</f>
        <v>25.181850111311352</v>
      </c>
      <c r="J30" s="1202">
        <f>MAX((1+TableA5!$O30)*TableB10!K30,0)/1000</f>
        <v>6.5685157883525562</v>
      </c>
      <c r="K30" s="156">
        <f t="shared" si="3"/>
        <v>39.722599658914945</v>
      </c>
      <c r="L30" s="496">
        <f>TableA3!H30/TableA6!B30</f>
        <v>2.7963025736591773E-2</v>
      </c>
      <c r="M30" s="958"/>
    </row>
    <row r="31" spans="1:13" x14ac:dyDescent="0.2">
      <c r="A31" s="1154" t="s">
        <v>50</v>
      </c>
      <c r="B31" s="1204">
        <f t="shared" si="1"/>
        <v>325.04468785135941</v>
      </c>
      <c r="C31" s="1159">
        <f>TableA3!B31</f>
        <v>325.04468785135941</v>
      </c>
      <c r="D31" s="1201">
        <f t="shared" si="4"/>
        <v>0</v>
      </c>
      <c r="E31" s="1180">
        <f t="shared" si="5"/>
        <v>23.460473720946542</v>
      </c>
      <c r="F31" s="1159">
        <f>TableA5!F31+TableA5!I31+TableA5!J31</f>
        <v>23.460473720946542</v>
      </c>
      <c r="G31" s="1158">
        <f>TableB5!C31+TableB5!E31-(TableB5!G31+TableB5!I31)</f>
        <v>0</v>
      </c>
      <c r="H31" s="1158">
        <f t="shared" si="2"/>
        <v>0</v>
      </c>
      <c r="I31" s="1202"/>
      <c r="J31" s="1202"/>
      <c r="K31" s="156">
        <f t="shared" si="3"/>
        <v>301.58421413041287</v>
      </c>
      <c r="L31" s="496">
        <f>TableA3!H31/TableA6!B31</f>
        <v>0.11500632352983997</v>
      </c>
      <c r="M31" s="958"/>
    </row>
    <row r="32" spans="1:13" x14ac:dyDescent="0.2">
      <c r="A32" s="1154" t="s">
        <v>51</v>
      </c>
      <c r="B32" s="1204">
        <f t="shared" si="1"/>
        <v>195.09598848383817</v>
      </c>
      <c r="C32" s="1159">
        <f>TableA3!B32</f>
        <v>159.74775386260217</v>
      </c>
      <c r="D32" s="1201">
        <f t="shared" si="4"/>
        <v>35.348234621235996</v>
      </c>
      <c r="E32" s="1180">
        <f t="shared" si="5"/>
        <v>89.333947018983608</v>
      </c>
      <c r="F32" s="1159">
        <f>TableA5!F32+TableA5!I32+TableA5!J32</f>
        <v>57.882610097976929</v>
      </c>
      <c r="G32" s="1158">
        <f>TableB5!C32+TableB5!E32-(TableB5!G32+TableB5!I32)</f>
        <v>-3.8968977002293173</v>
      </c>
      <c r="H32" s="1158">
        <f t="shared" si="2"/>
        <v>35.348234621235996</v>
      </c>
      <c r="I32" s="1202">
        <f>(1+TableA5!$O32)*TableB10!J32/1000</f>
        <v>24.814543255927351</v>
      </c>
      <c r="J32" s="1202">
        <f>MAX((1+TableA5!$O32)*TableB10!K32,0)/1000</f>
        <v>10.533691365308645</v>
      </c>
      <c r="K32" s="156">
        <f t="shared" si="3"/>
        <v>105.76204146485456</v>
      </c>
      <c r="L32" s="496">
        <f>TableA3!H32/TableA6!B32</f>
        <v>0.10484903843270543</v>
      </c>
      <c r="M32" s="958"/>
    </row>
    <row r="33" spans="1:12" x14ac:dyDescent="0.2">
      <c r="A33" s="1154" t="s">
        <v>52</v>
      </c>
      <c r="B33" s="1204">
        <f t="shared" si="1"/>
        <v>43.62366684525152</v>
      </c>
      <c r="C33" s="1159">
        <f>TableA3!B33</f>
        <v>43.62366684525152</v>
      </c>
      <c r="D33" s="1201">
        <f t="shared" si="4"/>
        <v>0</v>
      </c>
      <c r="E33" s="1180">
        <f t="shared" si="5"/>
        <v>6.2361538780448305</v>
      </c>
      <c r="F33" s="1159">
        <f>TableA5!F33+TableA5!I33+TableA5!J33</f>
        <v>6.2361538780448305</v>
      </c>
      <c r="G33" s="1158">
        <f>TableB5!C33+TableB5!E33-(TableB5!G33+TableB5!I33)</f>
        <v>0</v>
      </c>
      <c r="H33" s="1158">
        <f t="shared" si="2"/>
        <v>0</v>
      </c>
      <c r="I33" s="1202"/>
      <c r="J33" s="1202"/>
      <c r="K33" s="156">
        <f t="shared" si="3"/>
        <v>37.387512967206689</v>
      </c>
      <c r="L33" s="496">
        <f>TableA3!H33/TableA6!B33</f>
        <v>0.18235080869942946</v>
      </c>
    </row>
    <row r="34" spans="1:12" x14ac:dyDescent="0.2">
      <c r="A34" s="1154" t="s">
        <v>53</v>
      </c>
      <c r="B34" s="1204">
        <f t="shared" si="1"/>
        <v>76.129871814410606</v>
      </c>
      <c r="C34" s="1159">
        <f>TableA3!B34</f>
        <v>76.129871814410606</v>
      </c>
      <c r="D34" s="1201">
        <f t="shared" si="4"/>
        <v>0</v>
      </c>
      <c r="E34" s="1180">
        <f t="shared" si="5"/>
        <v>6.9090708256049158</v>
      </c>
      <c r="F34" s="1159">
        <f>TableA5!F34+TableA5!I34+TableA5!J34</f>
        <v>7.0951998138617984</v>
      </c>
      <c r="G34" s="1158">
        <f>TableB5!C34+TableB5!E34-(TableB5!G34+TableB5!I34)</f>
        <v>-0.18612898825688301</v>
      </c>
      <c r="H34" s="1158">
        <f t="shared" si="2"/>
        <v>0</v>
      </c>
      <c r="I34" s="1202"/>
      <c r="J34" s="1202"/>
      <c r="K34" s="156">
        <f t="shared" si="3"/>
        <v>69.220800988805692</v>
      </c>
      <c r="L34" s="496">
        <f>TableA3!H34/TableA6!B34</f>
        <v>0.22304226581791881</v>
      </c>
    </row>
    <row r="35" spans="1:12" x14ac:dyDescent="0.2">
      <c r="A35" s="1154" t="s">
        <v>54</v>
      </c>
      <c r="B35" s="1204">
        <f t="shared" si="1"/>
        <v>87.784586815227485</v>
      </c>
      <c r="C35" s="1159">
        <f>TableA3!B35</f>
        <v>87.784586815227485</v>
      </c>
      <c r="D35" s="1201">
        <f t="shared" si="4"/>
        <v>0</v>
      </c>
      <c r="E35" s="1180">
        <f t="shared" si="5"/>
        <v>19.384207569701928</v>
      </c>
      <c r="F35" s="1159">
        <f>TableA5!F35+TableA5!I35+TableA5!J35</f>
        <v>19.382320242863766</v>
      </c>
      <c r="G35" s="1158">
        <f>TableB5!C35+TableB5!E35-(TableB5!G35+TableB5!I35)</f>
        <v>1.8873268381630615E-3</v>
      </c>
      <c r="H35" s="1158">
        <f t="shared" si="2"/>
        <v>0</v>
      </c>
      <c r="I35" s="1202"/>
      <c r="J35" s="1202"/>
      <c r="K35" s="156">
        <f t="shared" si="3"/>
        <v>68.400379245525556</v>
      </c>
      <c r="L35" s="496">
        <f>TableA3!H35/TableA6!B35</f>
        <v>0.10004109953339942</v>
      </c>
    </row>
    <row r="36" spans="1:12" x14ac:dyDescent="0.2">
      <c r="A36" s="1154" t="s">
        <v>55</v>
      </c>
      <c r="B36" s="1204">
        <f t="shared" si="1"/>
        <v>26.618072907828797</v>
      </c>
      <c r="C36" s="1159">
        <f>TableA3!B36</f>
        <v>26.618072907828797</v>
      </c>
      <c r="D36" s="1201">
        <f t="shared" si="4"/>
        <v>0</v>
      </c>
      <c r="E36" s="1180">
        <f t="shared" si="5"/>
        <v>4.8218004507448811</v>
      </c>
      <c r="F36" s="1159">
        <f>TableA5!F36+TableA5!I36+TableA5!J36</f>
        <v>4.5394815588159849</v>
      </c>
      <c r="G36" s="1158">
        <f>TableB5!C36+TableB5!E36-(TableB5!G36+TableB5!I36)</f>
        <v>0.28231889192889648</v>
      </c>
      <c r="H36" s="1158">
        <f t="shared" si="2"/>
        <v>0</v>
      </c>
      <c r="I36" s="1202"/>
      <c r="J36" s="1202"/>
      <c r="K36" s="156">
        <f t="shared" si="3"/>
        <v>21.796272457083916</v>
      </c>
      <c r="L36" s="496">
        <f>TableA3!H36/TableA6!B36</f>
        <v>0.23389494144374526</v>
      </c>
    </row>
    <row r="37" spans="1:12" x14ac:dyDescent="0.2">
      <c r="A37" s="1154" t="s">
        <v>56</v>
      </c>
      <c r="B37" s="1204">
        <f t="shared" si="1"/>
        <v>11.604550057172386</v>
      </c>
      <c r="C37" s="1159">
        <f>TableA3!B37</f>
        <v>11.604550057172386</v>
      </c>
      <c r="D37" s="1201">
        <f t="shared" si="4"/>
        <v>0</v>
      </c>
      <c r="E37" s="1180">
        <f t="shared" si="5"/>
        <v>5.4939498259811472</v>
      </c>
      <c r="F37" s="1159">
        <f>TableA5!F37+TableA5!I37+TableA5!J37</f>
        <v>5.4939498259811472</v>
      </c>
      <c r="G37" s="1158">
        <f>TableB5!C37+TableB5!E37-(TableB5!G37+TableB5!I37)</f>
        <v>0</v>
      </c>
      <c r="H37" s="1158">
        <f t="shared" si="2"/>
        <v>0</v>
      </c>
      <c r="I37" s="1202"/>
      <c r="J37" s="1202"/>
      <c r="K37" s="156">
        <f t="shared" si="3"/>
        <v>6.1106002311912384</v>
      </c>
      <c r="L37" s="496">
        <f>TableA3!H37/TableA6!B37</f>
        <v>0.25136691949526291</v>
      </c>
    </row>
    <row r="38" spans="1:12" x14ac:dyDescent="0.2">
      <c r="A38" s="1154" t="s">
        <v>57</v>
      </c>
      <c r="B38" s="1204">
        <f t="shared" si="1"/>
        <v>3.417758487410429</v>
      </c>
      <c r="C38" s="1159">
        <f>TableA3!B38</f>
        <v>3.417758487410429</v>
      </c>
      <c r="D38" s="1201">
        <f t="shared" si="4"/>
        <v>0</v>
      </c>
      <c r="E38" s="1180">
        <f t="shared" si="5"/>
        <v>1.2522612330475162</v>
      </c>
      <c r="F38" s="1159">
        <f>TableA5!F38+TableA5!I38+TableA5!J38</f>
        <v>1.2522612330475162</v>
      </c>
      <c r="G38" s="1158">
        <f>TableB5!C38+TableB5!E38-(TableB5!G38+TableB5!I38)</f>
        <v>0</v>
      </c>
      <c r="H38" s="1158">
        <f t="shared" si="2"/>
        <v>0</v>
      </c>
      <c r="I38" s="1202"/>
      <c r="J38" s="1202"/>
      <c r="K38" s="156">
        <f t="shared" si="3"/>
        <v>2.1654972543629127</v>
      </c>
      <c r="L38" s="496">
        <f>TableA3!H38/TableA6!B38</f>
        <v>0.18430597322014902</v>
      </c>
    </row>
    <row r="39" spans="1:12" x14ac:dyDescent="0.2">
      <c r="A39" s="1154" t="s">
        <v>58</v>
      </c>
      <c r="B39" s="1204">
        <f t="shared" si="1"/>
        <v>158.95366208289389</v>
      </c>
      <c r="C39" s="1159">
        <f>TableA3!B39</f>
        <v>158.95366208289389</v>
      </c>
      <c r="D39" s="1201">
        <f t="shared" si="4"/>
        <v>0</v>
      </c>
      <c r="E39" s="1180">
        <f t="shared" si="5"/>
        <v>20.844161911169302</v>
      </c>
      <c r="F39" s="1159">
        <f>TableA5!F39+TableA5!I39+TableA5!J39</f>
        <v>20.750419645412595</v>
      </c>
      <c r="G39" s="1158">
        <f>TableB5!C39+TableB5!E39-(TableB5!G39+TableB5!I39)</f>
        <v>9.3742265756707077E-2</v>
      </c>
      <c r="H39" s="1158">
        <f t="shared" si="2"/>
        <v>0</v>
      </c>
      <c r="I39" s="1202"/>
      <c r="J39" s="1202"/>
      <c r="K39" s="156">
        <f t="shared" si="3"/>
        <v>138.10950017172459</v>
      </c>
      <c r="L39" s="496">
        <f>TableA3!H39/TableA6!B39</f>
        <v>0.17854513612704259</v>
      </c>
    </row>
    <row r="40" spans="1:12" x14ac:dyDescent="0.2">
      <c r="A40" s="1080" t="s">
        <v>59</v>
      </c>
      <c r="B40" s="1205">
        <f t="shared" si="1"/>
        <v>63.367762356160583</v>
      </c>
      <c r="C40" s="1113">
        <f>TableA3!B40</f>
        <v>63.367762356160583</v>
      </c>
      <c r="D40" s="1201">
        <f t="shared" si="4"/>
        <v>0</v>
      </c>
      <c r="E40" s="1180">
        <f t="shared" si="5"/>
        <v>24.473912269549327</v>
      </c>
      <c r="F40" s="1159">
        <f>TableA5!F40+TableA5!I40+TableA5!J40</f>
        <v>24.073155938054335</v>
      </c>
      <c r="G40" s="1158">
        <f>TableB5!C40+TableB5!E40-(TableB5!G40+TableB5!I40)</f>
        <v>0.40075633149499124</v>
      </c>
      <c r="H40" s="1158">
        <f t="shared" si="2"/>
        <v>0</v>
      </c>
      <c r="I40" s="1202"/>
      <c r="J40" s="1202"/>
      <c r="K40" s="156">
        <f t="shared" si="3"/>
        <v>38.893850086611252</v>
      </c>
      <c r="L40" s="496">
        <f>TableA3!H40/TableA6!B40</f>
        <v>0.23240677496786705</v>
      </c>
    </row>
    <row r="41" spans="1:12" x14ac:dyDescent="0.2">
      <c r="A41" s="1154" t="s">
        <v>60</v>
      </c>
      <c r="B41" s="1204">
        <f t="shared" si="1"/>
        <v>94.889238877326122</v>
      </c>
      <c r="C41" s="1159">
        <f>TableA3!B41</f>
        <v>94.889238877326122</v>
      </c>
      <c r="D41" s="1201">
        <f t="shared" si="4"/>
        <v>0</v>
      </c>
      <c r="E41" s="1180">
        <f t="shared" si="5"/>
        <v>60.313127140541056</v>
      </c>
      <c r="F41" s="1159">
        <f>TableA5!F41+TableA5!I41+TableA5!J41</f>
        <v>57.321888271383756</v>
      </c>
      <c r="G41" s="1158">
        <f>TableB5!C41+TableB5!E41-(TableB5!G41+TableB5!I41)</f>
        <v>2.9912388691572991</v>
      </c>
      <c r="H41" s="1158">
        <f t="shared" si="2"/>
        <v>0</v>
      </c>
      <c r="I41" s="1202"/>
      <c r="J41" s="1202"/>
      <c r="K41" s="156">
        <f t="shared" si="3"/>
        <v>34.576111736785066</v>
      </c>
      <c r="L41" s="496">
        <f>TableA3!H41/TableA6!B41</f>
        <v>0.21188216848158226</v>
      </c>
    </row>
    <row r="42" spans="1:12" x14ac:dyDescent="0.2">
      <c r="A42" s="1154" t="s">
        <v>61</v>
      </c>
      <c r="B42" s="1204">
        <f t="shared" si="1"/>
        <v>212.59949330572061</v>
      </c>
      <c r="C42" s="1159">
        <f>TableA3!B42</f>
        <v>212.59949330572061</v>
      </c>
      <c r="D42" s="1201">
        <f t="shared" si="4"/>
        <v>0</v>
      </c>
      <c r="E42" s="1180">
        <f t="shared" si="5"/>
        <v>3.6081037546987877</v>
      </c>
      <c r="F42" s="1159">
        <f>TableA5!F42+TableA5!I42+TableA5!J42</f>
        <v>3.6081037546987877</v>
      </c>
      <c r="G42" s="1158">
        <f>TableB5!C42+TableB5!E42-(TableB5!G42+TableB5!I42)</f>
        <v>0</v>
      </c>
      <c r="H42" s="1158">
        <f t="shared" si="2"/>
        <v>0</v>
      </c>
      <c r="I42" s="1202"/>
      <c r="J42" s="1202"/>
      <c r="K42" s="156">
        <f t="shared" si="3"/>
        <v>208.99138955102183</v>
      </c>
      <c r="L42" s="496">
        <f>TableA3!H42/TableA6!B42</f>
        <v>5.7737739505824968E-2</v>
      </c>
    </row>
    <row r="43" spans="1:12" x14ac:dyDescent="0.2">
      <c r="A43" s="1154" t="s">
        <v>62</v>
      </c>
      <c r="B43" s="1204">
        <f t="shared" si="1"/>
        <v>425.05098961874262</v>
      </c>
      <c r="C43" s="1159">
        <f>TableA3!B43</f>
        <v>425.05098961874262</v>
      </c>
      <c r="D43" s="1201">
        <f t="shared" si="4"/>
        <v>0</v>
      </c>
      <c r="E43" s="1180">
        <f t="shared" si="5"/>
        <v>72.19500365863982</v>
      </c>
      <c r="F43" s="1159">
        <f>TableA5!F43+TableA5!I43+TableA5!J43</f>
        <v>72.19500365863982</v>
      </c>
      <c r="G43" s="1158">
        <f>TableB5!C43+TableB5!E43-(TableB5!G43+TableB5!I43)</f>
        <v>0</v>
      </c>
      <c r="H43" s="1158">
        <f t="shared" si="2"/>
        <v>0</v>
      </c>
      <c r="I43" s="1202"/>
      <c r="J43" s="1202"/>
      <c r="K43" s="156">
        <f t="shared" si="3"/>
        <v>352.85598596010277</v>
      </c>
      <c r="L43" s="496">
        <f>TableA3!H43/TableA6!B43</f>
        <v>0.16514206638750611</v>
      </c>
    </row>
    <row r="44" spans="1:12" x14ac:dyDescent="0.2">
      <c r="A44" s="1154" t="s">
        <v>63</v>
      </c>
      <c r="B44" s="1204">
        <f t="shared" si="1"/>
        <v>1889.3969000000002</v>
      </c>
      <c r="C44" s="1159">
        <f>TableA3!B44</f>
        <v>1889.3969000000002</v>
      </c>
      <c r="D44" s="1201">
        <f t="shared" si="4"/>
        <v>0</v>
      </c>
      <c r="E44" s="1180">
        <f t="shared" si="5"/>
        <v>152.79999999999998</v>
      </c>
      <c r="F44" s="1159">
        <f>TableA5!F44+TableA5!I44+TableA5!J44</f>
        <v>152.79999999999998</v>
      </c>
      <c r="G44" s="1158">
        <f>TableB5!C44+TableB5!E44-(TableB5!G44+TableB5!I44)</f>
        <v>0</v>
      </c>
      <c r="H44" s="1158">
        <f t="shared" si="2"/>
        <v>0</v>
      </c>
      <c r="I44" s="1202"/>
      <c r="J44" s="1202"/>
      <c r="K44" s="156">
        <f t="shared" si="3"/>
        <v>1736.5969000000002</v>
      </c>
      <c r="L44" s="496">
        <f>TableA3!H44/TableA6!B44</f>
        <v>0.21434974303175788</v>
      </c>
    </row>
    <row r="45" spans="1:12" ht="34" x14ac:dyDescent="0.2">
      <c r="A45" s="7" t="s">
        <v>64</v>
      </c>
      <c r="B45" s="1206">
        <f t="shared" si="1"/>
        <v>3157.101545061153</v>
      </c>
      <c r="C45" s="13">
        <f>TableA3!B45</f>
        <v>3157.101545061153</v>
      </c>
      <c r="D45" s="297">
        <f t="shared" ref="D45:J45" si="6">SUM(D46:D52)</f>
        <v>0</v>
      </c>
      <c r="E45" s="1207">
        <f t="shared" si="6"/>
        <v>253.30348219544206</v>
      </c>
      <c r="F45" s="245">
        <f t="shared" si="6"/>
        <v>253.30348219544206</v>
      </c>
      <c r="G45" s="245">
        <f t="shared" si="6"/>
        <v>0</v>
      </c>
      <c r="H45" s="275">
        <f t="shared" si="6"/>
        <v>0</v>
      </c>
      <c r="I45" s="245">
        <f t="shared" si="6"/>
        <v>0</v>
      </c>
      <c r="J45" s="245">
        <f t="shared" si="6"/>
        <v>0</v>
      </c>
      <c r="K45" s="304">
        <f t="shared" si="3"/>
        <v>2903.798062865711</v>
      </c>
      <c r="L45" s="496">
        <f>TableA3!G45/TableA6!B45</f>
        <v>0.18757638370366683</v>
      </c>
    </row>
    <row r="46" spans="1:12" x14ac:dyDescent="0.2">
      <c r="A46" s="1155" t="s">
        <v>65</v>
      </c>
      <c r="B46" s="1199">
        <f t="shared" si="1"/>
        <v>274.33569999999997</v>
      </c>
      <c r="C46" s="1200">
        <f>TableA3!B46</f>
        <v>274.33569999999997</v>
      </c>
      <c r="D46" s="1201">
        <f>H46</f>
        <v>0</v>
      </c>
      <c r="E46" s="1180">
        <f t="shared" ref="E46:E52" si="7">F46+G46+H46</f>
        <v>29.642380154899492</v>
      </c>
      <c r="F46" s="1159">
        <f>TableA5!F46+TableA5!I46+TableA5!J46</f>
        <v>29.642380154899492</v>
      </c>
      <c r="G46" s="1158">
        <f>TableB5!C46+TableB5!E46-(TableB5!G46+TableB5!I46)</f>
        <v>0</v>
      </c>
      <c r="H46" s="1158">
        <f t="shared" ref="H46:H52" si="8">I46+J46</f>
        <v>0</v>
      </c>
      <c r="I46" s="1039"/>
      <c r="J46" s="1039"/>
      <c r="K46" s="156">
        <f t="shared" si="3"/>
        <v>244.69331984510049</v>
      </c>
      <c r="L46" s="496">
        <f>TableA3!G46/TableA6!B46</f>
        <v>0.19512114040962047</v>
      </c>
    </row>
    <row r="47" spans="1:12" x14ac:dyDescent="0.2">
      <c r="A47" s="1154" t="s">
        <v>66</v>
      </c>
      <c r="B47" s="1204">
        <f t="shared" si="1"/>
        <v>2068.7040725409047</v>
      </c>
      <c r="C47" s="1159">
        <f>TableA3!B47</f>
        <v>2068.7040725409047</v>
      </c>
      <c r="D47" s="1201">
        <f t="shared" ref="D47:D52" si="9">H47</f>
        <v>0</v>
      </c>
      <c r="E47" s="1180">
        <f t="shared" si="7"/>
        <v>162.29225058924547</v>
      </c>
      <c r="F47" s="1159">
        <f>TableA5!F47+TableA5!I47+TableA5!J47</f>
        <v>162.29225058924547</v>
      </c>
      <c r="G47" s="1158">
        <f>TableB5!C47+TableB5!E47-(TableB5!G47+TableB5!I47)</f>
        <v>0</v>
      </c>
      <c r="H47" s="1158">
        <f t="shared" si="8"/>
        <v>0</v>
      </c>
      <c r="I47" s="1039"/>
      <c r="J47" s="1039"/>
      <c r="K47" s="156">
        <f t="shared" si="3"/>
        <v>1906.4118219516592</v>
      </c>
      <c r="L47" s="496">
        <f>TableA3!G47/TableA6!B47</f>
        <v>0.20396568806595239</v>
      </c>
    </row>
    <row r="48" spans="1:12" x14ac:dyDescent="0.2">
      <c r="A48" s="1154" t="s">
        <v>67</v>
      </c>
      <c r="B48" s="1204">
        <f t="shared" si="1"/>
        <v>58.600733808963028</v>
      </c>
      <c r="C48" s="1159">
        <f>TableA3!B48</f>
        <v>58.600733808963028</v>
      </c>
      <c r="D48" s="1201">
        <f t="shared" si="9"/>
        <v>0</v>
      </c>
      <c r="E48" s="1180">
        <f t="shared" si="7"/>
        <v>6.7581585025254878</v>
      </c>
      <c r="F48" s="1159">
        <f>TableA5!F48+TableA5!I48+TableA5!J48</f>
        <v>6.7581585025254878</v>
      </c>
      <c r="G48" s="1158">
        <f>TableB5!C48+TableB5!E48-(TableB5!G48+TableB5!I48)</f>
        <v>0</v>
      </c>
      <c r="H48" s="1158">
        <f t="shared" si="8"/>
        <v>0</v>
      </c>
      <c r="I48" s="1039"/>
      <c r="J48" s="1039"/>
      <c r="K48" s="156">
        <f t="shared" si="3"/>
        <v>51.842575306437539</v>
      </c>
      <c r="L48" s="496">
        <f>TableA3!G48/TableA6!B48</f>
        <v>0.29059680575582675</v>
      </c>
    </row>
    <row r="49" spans="1:12" x14ac:dyDescent="0.2">
      <c r="A49" s="1154" t="s">
        <v>68</v>
      </c>
      <c r="B49" s="1204">
        <f t="shared" si="1"/>
        <v>13.202740172271037</v>
      </c>
      <c r="C49" s="1159">
        <f>TableA3!B49</f>
        <v>13.202740172271037</v>
      </c>
      <c r="D49" s="1201">
        <f t="shared" si="9"/>
        <v>0</v>
      </c>
      <c r="E49" s="1180">
        <f t="shared" si="7"/>
        <v>1.0992314060745381</v>
      </c>
      <c r="F49" s="1159">
        <f>TableA5!F49+TableA5!I49+TableA5!J49</f>
        <v>1.0992314060745381</v>
      </c>
      <c r="G49" s="1158">
        <f>TableB5!C49+TableB5!E49-(TableB5!G49+TableB5!I49)</f>
        <v>0</v>
      </c>
      <c r="H49" s="1158">
        <f t="shared" si="8"/>
        <v>0</v>
      </c>
      <c r="I49" s="1039"/>
      <c r="J49" s="1039"/>
      <c r="K49" s="156">
        <f t="shared" si="3"/>
        <v>12.103508766196498</v>
      </c>
      <c r="L49" s="496">
        <f>TableA3!G49/TableA6!B49</f>
        <v>0.1165985538315733</v>
      </c>
    </row>
    <row r="50" spans="1:12" x14ac:dyDescent="0.2">
      <c r="A50" s="1154" t="s">
        <v>69</v>
      </c>
      <c r="B50" s="1204">
        <f t="shared" si="1"/>
        <v>376.12710693199818</v>
      </c>
      <c r="C50" s="1159">
        <f>TableA3!B50</f>
        <v>376.12710693199818</v>
      </c>
      <c r="D50" s="1201">
        <f t="shared" si="9"/>
        <v>0</v>
      </c>
      <c r="E50" s="1180">
        <f t="shared" si="7"/>
        <v>7.7329709258650219</v>
      </c>
      <c r="F50" s="1159">
        <f>TableA5!F50+TableA5!I50+TableA5!J50</f>
        <v>7.7329709258650219</v>
      </c>
      <c r="G50" s="1158">
        <f>TableB5!C50+TableB5!E50-(TableB5!G50+TableB5!I50)</f>
        <v>0</v>
      </c>
      <c r="H50" s="1158">
        <f t="shared" si="8"/>
        <v>0</v>
      </c>
      <c r="I50" s="1039"/>
      <c r="J50" s="1039"/>
      <c r="K50" s="156">
        <f t="shared" si="3"/>
        <v>368.39413600613318</v>
      </c>
      <c r="L50" s="496">
        <f>TableA3!G50/TableA6!B50</f>
        <v>9.9375912586799398E-2</v>
      </c>
    </row>
    <row r="51" spans="1:12" x14ac:dyDescent="0.2">
      <c r="A51" s="1154" t="s">
        <v>70</v>
      </c>
      <c r="B51" s="1204">
        <f t="shared" si="1"/>
        <v>289.6640115913587</v>
      </c>
      <c r="C51" s="1159">
        <f>TableA3!B51</f>
        <v>289.6640115913587</v>
      </c>
      <c r="D51" s="1201">
        <f t="shared" si="9"/>
        <v>0</v>
      </c>
      <c r="E51" s="1180">
        <f t="shared" si="7"/>
        <v>37.035306707060499</v>
      </c>
      <c r="F51" s="1159">
        <f>TableA5!F51+TableA5!I51+TableA5!J51</f>
        <v>37.035306707060499</v>
      </c>
      <c r="G51" s="1158">
        <f>TableB5!C51+TableB5!E51-(TableB5!G51+TableB5!I51)</f>
        <v>0</v>
      </c>
      <c r="H51" s="1158">
        <f t="shared" si="8"/>
        <v>0</v>
      </c>
      <c r="I51" s="1039"/>
      <c r="J51" s="1039"/>
      <c r="K51" s="156">
        <f t="shared" si="3"/>
        <v>252.6287048842982</v>
      </c>
      <c r="L51" s="496">
        <f>TableA3!G51/TableA6!B51</f>
        <v>0.14496428366386327</v>
      </c>
    </row>
    <row r="52" spans="1:12" x14ac:dyDescent="0.2">
      <c r="A52" s="1154" t="s">
        <v>71</v>
      </c>
      <c r="B52" s="1204">
        <f t="shared" si="1"/>
        <v>76.467180015656993</v>
      </c>
      <c r="C52" s="1159">
        <f>TableA3!B52</f>
        <v>76.467180015656993</v>
      </c>
      <c r="D52" s="1201">
        <f t="shared" si="9"/>
        <v>0</v>
      </c>
      <c r="E52" s="1180">
        <f t="shared" si="7"/>
        <v>8.7431839097715454</v>
      </c>
      <c r="F52" s="1159">
        <f>TableA5!F52+TableA5!I52+TableA5!J52</f>
        <v>8.7431839097715454</v>
      </c>
      <c r="G52" s="1158">
        <f>TableB5!C52+TableB5!E52-(TableB5!G52+TableB5!I52)</f>
        <v>0</v>
      </c>
      <c r="H52" s="1158">
        <f t="shared" si="8"/>
        <v>0</v>
      </c>
      <c r="I52" s="1039"/>
      <c r="J52" s="1039"/>
      <c r="K52" s="156">
        <f t="shared" si="3"/>
        <v>67.723996105885448</v>
      </c>
      <c r="L52" s="496">
        <f>TableA3!G52/TableA6!B52</f>
        <v>0.24568487670387729</v>
      </c>
    </row>
    <row r="53" spans="1:12" ht="34" x14ac:dyDescent="0.2">
      <c r="A53" s="7" t="s">
        <v>72</v>
      </c>
      <c r="B53" s="1206">
        <f t="shared" si="1"/>
        <v>485.7522611396821</v>
      </c>
      <c r="C53" s="13">
        <f>SUM(C54:C89)</f>
        <v>298.79844880635773</v>
      </c>
      <c r="D53" s="13">
        <f>SUM(D54:D89)</f>
        <v>186.95381233332435</v>
      </c>
      <c r="E53" s="1207">
        <f>B53-K53</f>
        <v>379.64154036573251</v>
      </c>
      <c r="F53" s="245">
        <f t="shared" ref="F53:K53" si="10">SUM(F54:F89)</f>
        <v>148.52913964752258</v>
      </c>
      <c r="G53" s="245">
        <f t="shared" si="10"/>
        <v>0</v>
      </c>
      <c r="H53" s="275">
        <f t="shared" si="10"/>
        <v>231.11240071820998</v>
      </c>
      <c r="I53" s="245">
        <f t="shared" si="10"/>
        <v>39.447339530225932</v>
      </c>
      <c r="J53" s="245">
        <f t="shared" si="10"/>
        <v>182.25557335301622</v>
      </c>
      <c r="K53" s="304">
        <f t="shared" si="10"/>
        <v>106.11072077394961</v>
      </c>
      <c r="L53" s="496">
        <f>TableA3!G53/TableA6!B53</f>
        <v>7.00691340466289E-2</v>
      </c>
    </row>
    <row r="54" spans="1:12" x14ac:dyDescent="0.2">
      <c r="A54" s="1154" t="s">
        <v>73</v>
      </c>
      <c r="B54" s="1204">
        <f t="shared" si="1"/>
        <v>1.2179448838266</v>
      </c>
      <c r="C54" s="1159">
        <f>TableA3!B54</f>
        <v>1.2179448838266</v>
      </c>
      <c r="D54" s="1159">
        <f>(1+0.05)*MAX(0,(TableB10!I54+TableB10!L54+TableB10!M54-TableB10!R54))/1000</f>
        <v>0</v>
      </c>
      <c r="E54" s="1207">
        <f>B54-K54</f>
        <v>1.0713339190228408</v>
      </c>
      <c r="F54" s="1159">
        <f>TableA5!F54+TableA5!I54+TableA5!J54</f>
        <v>-3.4421052631578949E-2</v>
      </c>
      <c r="G54" s="1158">
        <v>0</v>
      </c>
      <c r="H54" s="1208">
        <f>E54-F54-G54</f>
        <v>1.1057549716544197</v>
      </c>
      <c r="I54" s="1202">
        <f>H54*TableB10!J54/(TableB10!I54+TableB10!M54)</f>
        <v>0</v>
      </c>
      <c r="J54" s="1202">
        <f>H54-I54</f>
        <v>1.1057549716544197</v>
      </c>
      <c r="K54" s="156">
        <f>TableA7!O54*TableA4!G54</f>
        <v>0.14661096480375915</v>
      </c>
      <c r="L54" s="496">
        <f>TableA3!G54/TableA6!B54</f>
        <v>0.05</v>
      </c>
    </row>
    <row r="55" spans="1:12" x14ac:dyDescent="0.2">
      <c r="A55" s="1154" t="s">
        <v>74</v>
      </c>
      <c r="B55" s="1204">
        <f t="shared" si="1"/>
        <v>0.23996156292186116</v>
      </c>
      <c r="C55" s="1159">
        <f>TableA3!B55</f>
        <v>0.11526214699326522</v>
      </c>
      <c r="D55" s="1159">
        <f>(1+0.05)*MAX(0,(TableB10!I55+TableB10!L55+TableB10!M55-TableB10!R55))/1000</f>
        <v>0.12469941592859593</v>
      </c>
      <c r="E55" s="1207">
        <f>B55-K55</f>
        <v>0.22608681761471922</v>
      </c>
      <c r="F55" s="1159">
        <f>TableA5!F55+TableA5!I55+TableA5!J55</f>
        <v>0.10270000000000001</v>
      </c>
      <c r="G55" s="1158">
        <v>0</v>
      </c>
      <c r="H55" s="1208">
        <f>E55-F55-G55</f>
        <v>0.1233868176147192</v>
      </c>
      <c r="I55" s="1202">
        <f>H55*TableB10!J55/(TableB10!I55+TableB10!M55)</f>
        <v>0</v>
      </c>
      <c r="J55" s="1202">
        <f>H55-I55</f>
        <v>0.1233868176147192</v>
      </c>
      <c r="K55" s="156">
        <f>TableA7!O55*TableA4!G55</f>
        <v>1.3874745307141934E-2</v>
      </c>
      <c r="L55" s="496">
        <f>TableA3!G55/TableA6!B55</f>
        <v>0</v>
      </c>
    </row>
    <row r="56" spans="1:12" x14ac:dyDescent="0.2">
      <c r="A56" s="1154" t="str">
        <f>+TableA1!A56</f>
        <v>Antigua and Barbuda</v>
      </c>
      <c r="B56" s="1204">
        <f t="shared" si="1"/>
        <v>0.83688997048164881</v>
      </c>
      <c r="C56" s="1159">
        <f>TableA3!B56</f>
        <v>0.74419221854700335</v>
      </c>
      <c r="D56" s="1159">
        <f>(1+0.05)*MAX(0,(TableB10!I56+TableB10!L56+TableB10!M56-TableB10!R56))/1000</f>
        <v>9.2697751934645412E-2</v>
      </c>
      <c r="E56" s="1207">
        <f t="shared" ref="E56:E89" si="11">B56-K56</f>
        <v>0.80975658198969502</v>
      </c>
      <c r="F56" s="1159">
        <f>TableA5!F56+TableA5!I56+TableA5!J56</f>
        <v>8.0947368421052643E-2</v>
      </c>
      <c r="G56" s="1158">
        <v>0</v>
      </c>
      <c r="H56" s="1208">
        <f t="shared" ref="H56:H89" si="12">E56-F56-G56</f>
        <v>0.72880921356864237</v>
      </c>
      <c r="I56" s="1202">
        <f>H56*TableB10!J56/(TableB10!I56+TableB10!M56)</f>
        <v>0</v>
      </c>
      <c r="J56" s="1202">
        <f t="shared" ref="J56:J78" si="13">H56-I56</f>
        <v>0.72880921356864237</v>
      </c>
      <c r="K56" s="156">
        <f>TableA7!O56*TableA4!G56</f>
        <v>2.7133388491953736E-2</v>
      </c>
      <c r="L56" s="496">
        <f>TableA3!G56/TableA6!B56</f>
        <v>4.4461771845509403E-2</v>
      </c>
    </row>
    <row r="57" spans="1:12" x14ac:dyDescent="0.2">
      <c r="A57" s="1154" t="s">
        <v>76</v>
      </c>
      <c r="B57" s="1204">
        <f t="shared" si="1"/>
        <v>1.0830039076807072</v>
      </c>
      <c r="C57" s="1159">
        <f>TableA3!B57</f>
        <v>1.0830039076807072</v>
      </c>
      <c r="D57" s="1159">
        <f>(1+0.05)*MAX(0,(TableB10!I57+TableB10!L57+TableB10!M57-TableB10!R57))/1000</f>
        <v>0</v>
      </c>
      <c r="E57" s="1207">
        <f t="shared" si="11"/>
        <v>0.95263604569226357</v>
      </c>
      <c r="F57" s="1175">
        <f>TableA5!F57+TableA5!I57+TableA5!J57</f>
        <v>4.3910614526315783E-2</v>
      </c>
      <c r="G57" s="1158">
        <v>0</v>
      </c>
      <c r="H57" s="1208">
        <f t="shared" si="12"/>
        <v>0.90872543116594784</v>
      </c>
      <c r="I57" s="1202">
        <f>H57*TableB10!J57/(TableB10!I57+TableB10!M57)</f>
        <v>0</v>
      </c>
      <c r="J57" s="1202">
        <f t="shared" si="13"/>
        <v>0.90872543116594784</v>
      </c>
      <c r="K57" s="156">
        <f>TableA7!O57*TableA4!G57</f>
        <v>0.13036786198844358</v>
      </c>
      <c r="L57" s="496">
        <f>TableA3!G57/TableA6!B57</f>
        <v>0.05</v>
      </c>
    </row>
    <row r="58" spans="1:12" x14ac:dyDescent="0.2">
      <c r="A58" s="1154" t="s">
        <v>152</v>
      </c>
      <c r="B58" s="1204">
        <f t="shared" si="1"/>
        <v>7.5674507528223769</v>
      </c>
      <c r="C58" s="1159">
        <f>TableA3!B58</f>
        <v>6.4122604015352946</v>
      </c>
      <c r="D58" s="1159">
        <f>(1+0.05)*MAX(0,(TableB10!I58+TableB10!L58+TableB10!M58-TableB10!R58))/1000</f>
        <v>1.1551903512870825</v>
      </c>
      <c r="E58" s="1207">
        <f t="shared" si="11"/>
        <v>7.4256876071944387</v>
      </c>
      <c r="F58" s="1159">
        <f>TableA5!F58+TableA5!I58+TableA5!J58</f>
        <v>0.73882524149671891</v>
      </c>
      <c r="G58" s="1158">
        <v>0</v>
      </c>
      <c r="H58" s="1208">
        <f t="shared" si="12"/>
        <v>6.6868623656977197</v>
      </c>
      <c r="I58" s="1202">
        <f>H58*TableB10!J58/(TableB10!I58+TableB10!M58)</f>
        <v>5.4593606357566831</v>
      </c>
      <c r="J58" s="1202">
        <f t="shared" si="13"/>
        <v>1.2275017299410367</v>
      </c>
      <c r="K58" s="156">
        <f>TableA7!O58*TableA4!G58</f>
        <v>0.1417631456279379</v>
      </c>
      <c r="L58" s="496">
        <f>TableA3!G58/TableA6!B58</f>
        <v>0</v>
      </c>
    </row>
    <row r="59" spans="1:12" x14ac:dyDescent="0.2">
      <c r="A59" s="1154" t="s">
        <v>78</v>
      </c>
      <c r="B59" s="1204">
        <f t="shared" si="1"/>
        <v>12.818630643859262</v>
      </c>
      <c r="C59" s="1159">
        <f>TableA3!B59</f>
        <v>12.031979600790283</v>
      </c>
      <c r="D59" s="1159">
        <f>(1+0.05)*MAX(0,(TableB10!I59+TableB10!L59+TableB10!M59-TableB10!R59))/1000</f>
        <v>0.78665104306897782</v>
      </c>
      <c r="E59" s="1207">
        <f t="shared" si="11"/>
        <v>9.9035637652207527</v>
      </c>
      <c r="F59" s="1159">
        <f>TableA5!F59+TableA5!I59+TableA5!J59</f>
        <v>0.64260805649591424</v>
      </c>
      <c r="G59" s="1158">
        <v>0</v>
      </c>
      <c r="H59" s="1208">
        <f t="shared" si="12"/>
        <v>9.260955708724838</v>
      </c>
      <c r="I59" s="1202">
        <f>H59*TableB10!J59/(TableB10!I59+TableB10!M59)</f>
        <v>0.97472956871812955</v>
      </c>
      <c r="J59" s="1202">
        <f t="shared" si="13"/>
        <v>8.2862261400067077</v>
      </c>
      <c r="K59" s="156">
        <f>TableA7!O59*TableA4!G59</f>
        <v>2.9150668786385086</v>
      </c>
      <c r="L59" s="496">
        <f>TableA3!G59/TableA6!B59</f>
        <v>0</v>
      </c>
    </row>
    <row r="60" spans="1:12" x14ac:dyDescent="0.2">
      <c r="A60" s="1154" t="str">
        <f>+TableA1!A60</f>
        <v>Barbados</v>
      </c>
      <c r="B60" s="1204">
        <f t="shared" si="1"/>
        <v>4.7927919009162316</v>
      </c>
      <c r="C60" s="1159">
        <f>TableA3!B60</f>
        <v>2.4710292318886387</v>
      </c>
      <c r="D60" s="1159">
        <f>(1+0.05)*MAX(0,(TableB10!I60+TableB10!L60+TableB10!M60-TableB10!R60))/1000</f>
        <v>2.3217626690275925</v>
      </c>
      <c r="E60" s="1207">
        <f t="shared" si="11"/>
        <v>4.6934588361797722</v>
      </c>
      <c r="F60" s="1159">
        <f>TableA5!F60+TableA5!I60+TableA5!J60</f>
        <v>1.995568279303424</v>
      </c>
      <c r="G60" s="1158">
        <v>0</v>
      </c>
      <c r="H60" s="1208">
        <f t="shared" si="12"/>
        <v>2.6978905568763483</v>
      </c>
      <c r="I60" s="1202">
        <f>H60*TableB10!J60/(TableB10!I60+TableB10!M60)</f>
        <v>1.6047481432502093</v>
      </c>
      <c r="J60" s="1202">
        <f t="shared" si="13"/>
        <v>1.093142413626139</v>
      </c>
      <c r="K60" s="156">
        <f>TableA7!O60*TableA4!G60</f>
        <v>9.933306473645917E-2</v>
      </c>
      <c r="L60" s="496">
        <f>TableA3!G60/TableA6!B60</f>
        <v>2.5778599227480076E-2</v>
      </c>
    </row>
    <row r="61" spans="1:12" x14ac:dyDescent="0.2">
      <c r="A61" s="1154" t="s">
        <v>80</v>
      </c>
      <c r="B61" s="1204">
        <f t="shared" si="1"/>
        <v>0.96228953856820065</v>
      </c>
      <c r="C61" s="1159">
        <f>TableA3!B61</f>
        <v>0.93652438608518407</v>
      </c>
      <c r="D61" s="1159">
        <f>(1+0.05)*MAX(0,(TableB10!I61+TableB10!L61+TableB10!M61-TableB10!R61))/1000</f>
        <v>2.5765152483016581E-2</v>
      </c>
      <c r="E61" s="1207">
        <f t="shared" si="11"/>
        <v>0.92373045597548575</v>
      </c>
      <c r="F61" s="1209">
        <f>TableA5!F61+TableA5!I61+TableA5!J61</f>
        <v>6.4989477700000006E-2</v>
      </c>
      <c r="G61" s="1158">
        <v>0</v>
      </c>
      <c r="H61" s="1208">
        <f t="shared" si="12"/>
        <v>0.85874097827548579</v>
      </c>
      <c r="I61" s="1202">
        <f>H61*TableB10!J61/(TableB10!I61+TableB10!M61)</f>
        <v>6.9992058287534867E-2</v>
      </c>
      <c r="J61" s="1202">
        <f t="shared" si="13"/>
        <v>0.78874891998795094</v>
      </c>
      <c r="K61" s="156">
        <f>TableA7!O61*TableA4!G61</f>
        <v>3.855908259271492E-2</v>
      </c>
      <c r="L61" s="496">
        <f>TableA3!G61/TableA6!B61</f>
        <v>0</v>
      </c>
    </row>
    <row r="62" spans="1:12" x14ac:dyDescent="0.2">
      <c r="A62" s="1154" t="s">
        <v>81</v>
      </c>
      <c r="B62" s="1204">
        <f t="shared" si="1"/>
        <v>25.438024032487199</v>
      </c>
      <c r="C62" s="1159">
        <f>TableA3!B62</f>
        <v>1.7711671665296007</v>
      </c>
      <c r="D62" s="1159">
        <f>(1+0.05)*MAX(0,(TableB10!I62+TableB10!L62+TableB10!M62-TableB10!R62))/1000</f>
        <v>23.666856865957598</v>
      </c>
      <c r="E62" s="1207">
        <f t="shared" si="11"/>
        <v>24.545618103452078</v>
      </c>
      <c r="F62" s="1175">
        <f>TableA5!F62+TableA5!I62+TableA5!J62</f>
        <v>15.447398527436663</v>
      </c>
      <c r="G62" s="1158">
        <v>0</v>
      </c>
      <c r="H62" s="1208">
        <f t="shared" si="12"/>
        <v>9.0982195760154152</v>
      </c>
      <c r="I62" s="1202">
        <f>H62*TableB10!J62/(TableB10!I62+TableB10!M62)</f>
        <v>5.0571137077397967</v>
      </c>
      <c r="J62" s="1202">
        <f t="shared" si="13"/>
        <v>4.0411058682756185</v>
      </c>
      <c r="K62" s="156">
        <f>TableA7!O62*TableA4!G62</f>
        <v>0.89240592903512039</v>
      </c>
      <c r="L62" s="496">
        <f>TableA3!G62/TableA6!B62</f>
        <v>0</v>
      </c>
    </row>
    <row r="63" spans="1:12" x14ac:dyDescent="0.2">
      <c r="A63" s="1154" t="s">
        <v>82</v>
      </c>
      <c r="B63" s="1204">
        <f t="shared" si="1"/>
        <v>0.17335876526209473</v>
      </c>
      <c r="C63" s="1159">
        <f>TableA3!B63</f>
        <v>0.17335876526209473</v>
      </c>
      <c r="D63" s="1159">
        <f>(1+0.05)*MAX(0,(TableB10!I63+TableB10!L63+TableB10!M63-TableB10!R63))/1000</f>
        <v>0</v>
      </c>
      <c r="E63" s="1207">
        <f t="shared" si="11"/>
        <v>0.1524905077468249</v>
      </c>
      <c r="F63" s="1159">
        <f>TableA5!F63+TableA5!I63+TableA5!J63</f>
        <v>-9.8947368421052617E-3</v>
      </c>
      <c r="G63" s="1158">
        <v>0</v>
      </c>
      <c r="H63" s="1208">
        <f t="shared" si="12"/>
        <v>0.16238524458893017</v>
      </c>
      <c r="I63" s="1202">
        <f>H63*TableB10!J63/(TableB10!I63+TableB10!M63)</f>
        <v>0</v>
      </c>
      <c r="J63" s="1202">
        <f t="shared" si="13"/>
        <v>0.16238524458893017</v>
      </c>
      <c r="K63" s="156">
        <f>TableA7!O63*TableA4!G63</f>
        <v>2.0868257515269825E-2</v>
      </c>
      <c r="L63" s="496">
        <f>TableA3!G63/TableA6!B63</f>
        <v>0.05</v>
      </c>
    </row>
    <row r="64" spans="1:12" x14ac:dyDescent="0.2">
      <c r="A64" s="1154" t="s">
        <v>153</v>
      </c>
      <c r="B64" s="1204">
        <f t="shared" si="1"/>
        <v>29.125071697810739</v>
      </c>
      <c r="C64" s="1159">
        <f>TableA3!B64</f>
        <v>0.38988210454728756</v>
      </c>
      <c r="D64" s="1159">
        <f>(1+0.05)*MAX(0,(TableB10!I64+TableB10!L64+TableB10!M64-TableB10!R64))/1000</f>
        <v>28.735189593263453</v>
      </c>
      <c r="E64" s="1207">
        <f t="shared" si="11"/>
        <v>29.078139371166927</v>
      </c>
      <c r="F64" s="1159">
        <f>TableA5!F64+TableA5!I64+TableA5!J64</f>
        <v>-4.0091023290772432</v>
      </c>
      <c r="G64" s="1158">
        <v>0</v>
      </c>
      <c r="H64" s="1208">
        <f t="shared" si="12"/>
        <v>33.087241700244171</v>
      </c>
      <c r="I64" s="1202">
        <f>H64*TableB10!J64/(TableB10!I64+TableB10!M64)</f>
        <v>0</v>
      </c>
      <c r="J64" s="1202">
        <f t="shared" si="13"/>
        <v>33.087241700244171</v>
      </c>
      <c r="K64" s="156">
        <f>TableA7!O64*TableA4!G64</f>
        <v>4.6932326643812639E-2</v>
      </c>
      <c r="L64" s="496">
        <f>TableA3!G64/TableA6!B64</f>
        <v>0</v>
      </c>
    </row>
    <row r="65" spans="1:13" x14ac:dyDescent="0.2">
      <c r="A65" s="113" t="s">
        <v>84</v>
      </c>
      <c r="B65" s="1204">
        <f t="shared" si="1"/>
        <v>22.920824144129366</v>
      </c>
      <c r="C65" s="1159">
        <f>TableA3!B65</f>
        <v>1.06456062592</v>
      </c>
      <c r="D65" s="1159">
        <f>(1+0.05)*MAX(0,(TableB10!I65+TableB10!L65+TableB10!M65-TableB10!R65))/1000</f>
        <v>21.856263518209367</v>
      </c>
      <c r="E65" s="1207">
        <f t="shared" si="11"/>
        <v>22.512935193051696</v>
      </c>
      <c r="F65" s="1159">
        <f>TableA5!F65+TableA5!I65+TableA5!J65</f>
        <v>16.042018175138416</v>
      </c>
      <c r="G65" s="1158">
        <v>0</v>
      </c>
      <c r="H65" s="1208">
        <f t="shared" si="12"/>
        <v>6.4709170179132798</v>
      </c>
      <c r="I65" s="1202">
        <f>H65*TableB10!J65/(TableB10!I65+TableB10!M65)</f>
        <v>4.0740893427377438</v>
      </c>
      <c r="J65" s="1202">
        <f t="shared" si="13"/>
        <v>2.396827675175536</v>
      </c>
      <c r="K65" s="156">
        <f>TableA7!O65*TableA4!G65</f>
        <v>0.40788895107766843</v>
      </c>
      <c r="L65" s="496">
        <f>TableA3!G65/TableA6!B65</f>
        <v>0</v>
      </c>
      <c r="M65" s="958"/>
    </row>
    <row r="66" spans="1:13" x14ac:dyDescent="0.2">
      <c r="A66" s="1154" t="s">
        <v>85</v>
      </c>
      <c r="B66" s="1204">
        <f t="shared" si="1"/>
        <v>11.68734919710977</v>
      </c>
      <c r="C66" s="1159">
        <f>TableA3!B66</f>
        <v>0.45606590283580151</v>
      </c>
      <c r="D66" s="1159">
        <f>(1+0.05)*MAX(0,(TableB10!I66+TableB10!L66+TableB10!M66-TableB10!R66))/1000</f>
        <v>11.231283294273968</v>
      </c>
      <c r="E66" s="1207">
        <f t="shared" si="11"/>
        <v>11.296185999728888</v>
      </c>
      <c r="F66" s="1159">
        <f>TableA5!F66+TableA5!I66+TableA5!J66</f>
        <v>-2.3147471174100356</v>
      </c>
      <c r="G66" s="1158">
        <v>0</v>
      </c>
      <c r="H66" s="1208">
        <f t="shared" si="12"/>
        <v>13.610933117138924</v>
      </c>
      <c r="I66" s="1202">
        <f>H66*TableB10!J66/(TableB10!I66+TableB10!M66)</f>
        <v>1.802297585689395</v>
      </c>
      <c r="J66" s="1202">
        <f t="shared" si="13"/>
        <v>11.808635531449529</v>
      </c>
      <c r="K66" s="156">
        <f>TableA7!O66*TableA4!G66</f>
        <v>0.39116319738088223</v>
      </c>
      <c r="L66" s="496">
        <f>TableA3!G66/TableA6!B66</f>
        <v>1.9511092513116006E-3</v>
      </c>
      <c r="M66" s="958"/>
    </row>
    <row r="67" spans="1:13" x14ac:dyDescent="0.2">
      <c r="A67" s="1154" t="str">
        <f>+TableA1!A67</f>
        <v>Cyprus</v>
      </c>
      <c r="B67" s="1204">
        <f t="shared" si="1"/>
        <v>6.8820083274691735</v>
      </c>
      <c r="C67" s="1159">
        <f>TableA3!B67</f>
        <v>3.12425</v>
      </c>
      <c r="D67" s="1159">
        <f>(1+0.05)*MAX(0,(TableB10!I67+TableB10!L67+TableB10!M67-TableB10!R67))/1000</f>
        <v>3.7577583274691735</v>
      </c>
      <c r="E67" s="1207">
        <f t="shared" si="11"/>
        <v>5.2850761004134004</v>
      </c>
      <c r="F67" s="1159">
        <f>TableA5!F67+TableA5!I67+TableA5!J67</f>
        <v>3.6389825305246291</v>
      </c>
      <c r="G67" s="1158">
        <v>0</v>
      </c>
      <c r="H67" s="1208">
        <f t="shared" si="12"/>
        <v>1.6460935698887713</v>
      </c>
      <c r="I67" s="1202">
        <f>H67*TableB10!J67/(TableB10!I67+TableB10!M67)</f>
        <v>5.5942269651531561E-2</v>
      </c>
      <c r="J67" s="1202">
        <f t="shared" si="13"/>
        <v>1.5901513002372398</v>
      </c>
      <c r="K67" s="156">
        <f>TableA7!O67*TableA4!G67</f>
        <v>1.5969322270557735</v>
      </c>
      <c r="L67" s="496">
        <f>TableA3!G67/TableA6!B67</f>
        <v>0.16850316349676739</v>
      </c>
      <c r="M67" s="958"/>
    </row>
    <row r="68" spans="1:13" x14ac:dyDescent="0.2">
      <c r="A68" s="1154" t="s">
        <v>87</v>
      </c>
      <c r="B68" s="1204">
        <f t="shared" si="1"/>
        <v>5.5192543961170966</v>
      </c>
      <c r="C68" s="1159">
        <f>TableA3!B68</f>
        <v>3.0206026933210057</v>
      </c>
      <c r="D68" s="1159">
        <f>(1+0.05)*MAX(0,(TableB10!I68+TableB10!L68+TableB10!M68-TableB10!R68))/1000</f>
        <v>2.4986517027960913</v>
      </c>
      <c r="E68" s="1207">
        <f t="shared" si="11"/>
        <v>5.1556449197022696</v>
      </c>
      <c r="F68" s="1159">
        <f>TableA5!F68+TableA5!I68+TableA5!J68</f>
        <v>2.142144883221988</v>
      </c>
      <c r="G68" s="1158">
        <v>0</v>
      </c>
      <c r="H68" s="1208">
        <f t="shared" si="12"/>
        <v>3.0135000364802815</v>
      </c>
      <c r="I68" s="1202">
        <f>H68*TableB10!J68/(TableB10!I68+TableB10!M68)</f>
        <v>0</v>
      </c>
      <c r="J68" s="1202">
        <f t="shared" si="13"/>
        <v>3.0135000364802815</v>
      </c>
      <c r="K68" s="156">
        <f>TableA7!O68*TableA4!G68</f>
        <v>0.36360947641482677</v>
      </c>
      <c r="L68" s="496">
        <f>TableA3!G68/TableA6!B68</f>
        <v>2.7364227815319216E-2</v>
      </c>
      <c r="M68" s="958"/>
    </row>
    <row r="69" spans="1:13" x14ac:dyDescent="0.2">
      <c r="A69" s="1154" t="str">
        <f>+TableA1!A69</f>
        <v>Grenada</v>
      </c>
      <c r="B69" s="1204">
        <f t="shared" si="1"/>
        <v>0.4015897418869116</v>
      </c>
      <c r="C69" s="1159">
        <f>TableA3!B69</f>
        <v>0.38326716933285948</v>
      </c>
      <c r="D69" s="1159">
        <f>(1+0.05)*MAX(0,(TableB10!I69+TableB10!L69+TableB10!M69-TableB10!R69))/1000</f>
        <v>1.8322572554052143E-2</v>
      </c>
      <c r="E69" s="1207">
        <f t="shared" si="11"/>
        <v>0.38030614888924363</v>
      </c>
      <c r="F69" s="1159">
        <f>TableA5!F69+TableA5!I69+TableA5!J69</f>
        <v>1.6E-2</v>
      </c>
      <c r="G69" s="1158">
        <v>0</v>
      </c>
      <c r="H69" s="1208">
        <f t="shared" si="12"/>
        <v>0.36430614888924362</v>
      </c>
      <c r="I69" s="1202">
        <f>H69*TableB10!J69/(TableB10!I69+TableB10!M69)</f>
        <v>0</v>
      </c>
      <c r="J69" s="1202">
        <f t="shared" si="13"/>
        <v>0.36430614888924362</v>
      </c>
      <c r="K69" s="156">
        <f>TableA7!O69*TableA4!G69</f>
        <v>2.1283592997667938E-2</v>
      </c>
      <c r="L69" s="496">
        <f>TableA3!G69/TableA6!B69</f>
        <v>4.7718744947522623E-2</v>
      </c>
      <c r="M69" s="958"/>
    </row>
    <row r="70" spans="1:13" x14ac:dyDescent="0.2">
      <c r="A70" s="1154" t="s">
        <v>89</v>
      </c>
      <c r="B70" s="1204">
        <f t="shared" si="1"/>
        <v>2.0311467085553057</v>
      </c>
      <c r="C70" s="1159">
        <f>TableA3!B70</f>
        <v>2.0311467085553057</v>
      </c>
      <c r="D70" s="1159">
        <f>(1+0.05)*MAX(0,(TableB10!I70+TableB10!L70+TableB10!M70-TableB10!R70))/1000</f>
        <v>0</v>
      </c>
      <c r="E70" s="1207">
        <f t="shared" si="11"/>
        <v>1.7866451600802939</v>
      </c>
      <c r="F70" s="1159">
        <f>TableA5!F70+TableA5!I70+TableA5!J70</f>
        <v>-1.9626714972368675</v>
      </c>
      <c r="G70" s="1158">
        <v>0</v>
      </c>
      <c r="H70" s="1208">
        <f t="shared" si="12"/>
        <v>3.7493166573171615</v>
      </c>
      <c r="I70" s="1202">
        <f>H70*TableB10!J70/(TableB10!I70+TableB10!M70)</f>
        <v>0</v>
      </c>
      <c r="J70" s="1202">
        <f t="shared" si="13"/>
        <v>3.7493166573171615</v>
      </c>
      <c r="K70" s="156">
        <f>TableA7!O70*TableA4!G70</f>
        <v>0.24450154847501168</v>
      </c>
      <c r="L70" s="496">
        <f>TableA3!G70/TableA6!B70</f>
        <v>0</v>
      </c>
      <c r="M70" s="958"/>
    </row>
    <row r="71" spans="1:13" x14ac:dyDescent="0.2">
      <c r="A71" s="1154" t="s">
        <v>154</v>
      </c>
      <c r="B71" s="1204">
        <f t="shared" si="1"/>
        <v>1.0873325907085956</v>
      </c>
      <c r="C71" s="1159">
        <f>TableA3!B71</f>
        <v>1.0873325907085956</v>
      </c>
      <c r="D71" s="1159">
        <f>(1+0.05)*MAX(0,(TableB10!I71+TableB10!L71+TableB10!M71-TableB10!R71))/1000</f>
        <v>0</v>
      </c>
      <c r="E71" s="1207">
        <f t="shared" si="11"/>
        <v>0.95644320082853906</v>
      </c>
      <c r="F71" s="1159">
        <f>TableA5!F71+TableA5!I71+TableA5!J71</f>
        <v>-2.9286862213381002</v>
      </c>
      <c r="G71" s="1158">
        <v>0</v>
      </c>
      <c r="H71" s="1208">
        <f t="shared" si="12"/>
        <v>3.8851294221666395</v>
      </c>
      <c r="I71" s="1202">
        <f>0.5*H71</f>
        <v>1.9425647110833197</v>
      </c>
      <c r="J71" s="1202">
        <f t="shared" si="13"/>
        <v>1.9425647110833197</v>
      </c>
      <c r="K71" s="156">
        <f>TableA7!O71*TableA4!G71</f>
        <v>0.13088938988005652</v>
      </c>
      <c r="L71" s="496">
        <f>TableA3!G71/TableA6!B71</f>
        <v>0.05</v>
      </c>
      <c r="M71" s="958"/>
    </row>
    <row r="72" spans="1:13" x14ac:dyDescent="0.2">
      <c r="A72" s="1154" t="s">
        <v>91</v>
      </c>
      <c r="B72" s="1204">
        <f t="shared" si="1"/>
        <v>95.223967679643692</v>
      </c>
      <c r="C72" s="1159">
        <f>TableA3!B72</f>
        <v>73.929728212200004</v>
      </c>
      <c r="D72" s="1159">
        <f>(1+0.05)*MAX(0,(TableB10!I72+TableB10!L72+TableB10!M72-TableB10!R72))/1000</f>
        <v>21.294239467443685</v>
      </c>
      <c r="E72" s="1207">
        <f t="shared" si="11"/>
        <v>50.356172185286226</v>
      </c>
      <c r="F72" s="1159">
        <f>TableA5!F72+TableA5!I72+TableA5!J72</f>
        <v>19.824939755471092</v>
      </c>
      <c r="G72" s="1158">
        <v>0</v>
      </c>
      <c r="H72" s="1208">
        <f t="shared" si="12"/>
        <v>30.531232429815134</v>
      </c>
      <c r="I72" s="1202">
        <f>H72*TableB10!J72/(TableB10!I72+TableB10!M72)</f>
        <v>0</v>
      </c>
      <c r="J72" s="1202">
        <f t="shared" si="13"/>
        <v>30.531232429815134</v>
      </c>
      <c r="K72" s="156">
        <f>TableA7!O72*TableA4!G72</f>
        <v>44.867795494357466</v>
      </c>
      <c r="L72" s="496">
        <f>TableA3!G72/TableA6!B72</f>
        <v>0.17659863513001625</v>
      </c>
      <c r="M72" s="958"/>
    </row>
    <row r="73" spans="1:13" x14ac:dyDescent="0.2">
      <c r="A73" s="1154" t="s">
        <v>92</v>
      </c>
      <c r="B73" s="1204">
        <f t="shared" si="1"/>
        <v>3.6449297805671903</v>
      </c>
      <c r="C73" s="1159">
        <f>TableA3!B73</f>
        <v>2.9424971928045003</v>
      </c>
      <c r="D73" s="1159">
        <f>(1+0.05)*MAX(0,(TableB10!I73+TableB10!L73+TableB10!M73-TableB10!R73))/1000</f>
        <v>0.70243258776268991</v>
      </c>
      <c r="E73" s="1207">
        <f t="shared" si="11"/>
        <v>3.2907256608282767</v>
      </c>
      <c r="F73" s="1159">
        <f>TableA5!F73+TableA5!I73+TableA5!J73</f>
        <v>0.57979007685009587</v>
      </c>
      <c r="G73" s="1158">
        <v>0</v>
      </c>
      <c r="H73" s="1208">
        <f t="shared" si="12"/>
        <v>2.7109355839781806</v>
      </c>
      <c r="I73" s="1202">
        <f>H73*TableB10!J73/(TableB10!I73+TableB10!M73)</f>
        <v>0</v>
      </c>
      <c r="J73" s="1202">
        <f t="shared" si="13"/>
        <v>2.7109355839781806</v>
      </c>
      <c r="K73" s="156">
        <f>TableA7!O73*TableA4!G73</f>
        <v>0.35420411973891358</v>
      </c>
      <c r="L73" s="496">
        <f>TableA3!G73/TableA6!B73</f>
        <v>0</v>
      </c>
      <c r="M73" s="958"/>
    </row>
    <row r="74" spans="1:13" x14ac:dyDescent="0.2">
      <c r="A74" s="1154" t="s">
        <v>93</v>
      </c>
      <c r="B74" s="1204">
        <f t="shared" ref="B74:B91" si="14">C74+D74</f>
        <v>15.231019080376919</v>
      </c>
      <c r="C74" s="1159">
        <f>TableA3!B74</f>
        <v>15.163250551852792</v>
      </c>
      <c r="D74" s="1159">
        <f>(1+0.05)*MAX(0,(TableB10!I74+TableB10!L74+TableB10!M74-TableB10!R74))/1000</f>
        <v>6.7768528524127347E-2</v>
      </c>
      <c r="E74" s="1207">
        <f t="shared" si="11"/>
        <v>10.848362353703763</v>
      </c>
      <c r="F74" s="1159">
        <f>TableA5!F74+TableA5!I74+TableA5!J74</f>
        <v>-5.4254096105263057E-2</v>
      </c>
      <c r="G74" s="1158">
        <v>0</v>
      </c>
      <c r="H74" s="1208">
        <f t="shared" si="12"/>
        <v>10.902616449809026</v>
      </c>
      <c r="I74" s="1202">
        <f>H74*TableB10!J74/(TableB10!I74+TableB10!M74)</f>
        <v>0</v>
      </c>
      <c r="J74" s="1202">
        <f t="shared" si="13"/>
        <v>10.902616449809026</v>
      </c>
      <c r="K74" s="156">
        <f>TableA7!O74*TableA4!G74</f>
        <v>4.3826567266731562</v>
      </c>
      <c r="L74" s="496">
        <f>TableA3!G74/TableA6!B74</f>
        <v>4.9777531207312861E-2</v>
      </c>
      <c r="M74" s="958"/>
    </row>
    <row r="75" spans="1:13" x14ac:dyDescent="0.2">
      <c r="A75" s="1154" t="s">
        <v>94</v>
      </c>
      <c r="B75" s="1204">
        <f t="shared" si="14"/>
        <v>1.3847476300640333</v>
      </c>
      <c r="C75" s="1159">
        <f>TableA3!B75</f>
        <v>1.3847476300640333</v>
      </c>
      <c r="D75" s="1159">
        <f>(1+0.05)*MAX(0,(TableB10!I75+TableB10!L75+TableB10!M75-TableB10!R75))/1000</f>
        <v>0</v>
      </c>
      <c r="E75" s="1207">
        <f t="shared" si="11"/>
        <v>0.54431306414287628</v>
      </c>
      <c r="F75" s="1159">
        <f>TableA5!F75+TableA5!I75+TableA5!J75</f>
        <v>-1.8817381439464382</v>
      </c>
      <c r="G75" s="1158">
        <v>0</v>
      </c>
      <c r="H75" s="1208">
        <f t="shared" si="12"/>
        <v>2.4260512080893144</v>
      </c>
      <c r="I75" s="1202">
        <f>0.5*H75</f>
        <v>1.2130256040446572</v>
      </c>
      <c r="J75" s="1202">
        <f t="shared" si="13"/>
        <v>1.2130256040446572</v>
      </c>
      <c r="K75" s="156">
        <f>TableA7!O75*TableA4!G75</f>
        <v>0.84043456592115706</v>
      </c>
      <c r="L75" s="496">
        <f>TableA3!G75/TableA6!B75</f>
        <v>0.05</v>
      </c>
      <c r="M75" s="958"/>
    </row>
    <row r="76" spans="1:13" x14ac:dyDescent="0.2">
      <c r="A76" s="1154" t="s">
        <v>95</v>
      </c>
      <c r="B76" s="1204">
        <f t="shared" si="14"/>
        <v>13.856227663292829</v>
      </c>
      <c r="C76" s="1159">
        <f>TableA3!B76</f>
        <v>12.938277299966822</v>
      </c>
      <c r="D76" s="1159">
        <f>(1+0.05)*MAX(0,(TableB10!I76+TableB10!L76+TableB10!M76-TableB10!R76))/1000</f>
        <v>0.91795036332600666</v>
      </c>
      <c r="E76" s="1207">
        <f t="shared" si="11"/>
        <v>10.807557501271878</v>
      </c>
      <c r="F76" s="1159">
        <f>TableA5!F76+TableA5!I76+TableA5!J76</f>
        <v>6.6867368421052626</v>
      </c>
      <c r="G76" s="1158">
        <v>0</v>
      </c>
      <c r="H76" s="1208">
        <f t="shared" si="12"/>
        <v>4.1208206591666157</v>
      </c>
      <c r="I76" s="1202">
        <f>H76*TableB10!J76/(TableB10!I76+TableB10!M76)</f>
        <v>0</v>
      </c>
      <c r="J76" s="1202">
        <f t="shared" si="13"/>
        <v>4.1208206591666157</v>
      </c>
      <c r="K76" s="156">
        <f>TableA7!O76*TableA4!G76</f>
        <v>3.0486701620209504</v>
      </c>
      <c r="L76" s="496">
        <f>TableA3!G76/TableA6!B76</f>
        <v>4.6687589199483959E-2</v>
      </c>
      <c r="M76" s="958"/>
    </row>
    <row r="77" spans="1:13" x14ac:dyDescent="0.2">
      <c r="A77" s="1154" t="s">
        <v>96</v>
      </c>
      <c r="B77" s="1204">
        <f t="shared" si="14"/>
        <v>13.646495114506827</v>
      </c>
      <c r="C77" s="1159">
        <f>TableA3!B77</f>
        <v>2.3329148139999996</v>
      </c>
      <c r="D77" s="515">
        <f>(1+0.05)*(TableB10!E77+TableB10!I77+TableB10!L77+TableB10!M77-TableB10!R77)/1000</f>
        <v>11.313580300506827</v>
      </c>
      <c r="E77" s="1207">
        <f t="shared" si="11"/>
        <v>12.855054220700584</v>
      </c>
      <c r="F77" s="1159">
        <f>TableA5!F77+TableA5!I77+TableA5!J77</f>
        <v>0</v>
      </c>
      <c r="G77" s="1158">
        <v>0</v>
      </c>
      <c r="H77" s="1208">
        <f t="shared" si="12"/>
        <v>12.855054220700584</v>
      </c>
      <c r="I77" s="1202">
        <f>H77*TableB10!J77/(TableB10!I77+TableB10!M77)</f>
        <v>0.30093196148432139</v>
      </c>
      <c r="J77" s="1202">
        <f>H77-I77</f>
        <v>12.554122259216262</v>
      </c>
      <c r="K77" s="156">
        <f>TableA7!O77*TableA4!G77</f>
        <v>0.79144089380624261</v>
      </c>
      <c r="L77" s="496">
        <f>TableA3!G77/TableA6!B77</f>
        <v>4.7649291571561309E-2</v>
      </c>
      <c r="M77" s="1210"/>
    </row>
    <row r="78" spans="1:13" x14ac:dyDescent="0.2">
      <c r="A78" s="1154" t="s">
        <v>97</v>
      </c>
      <c r="B78" s="1204">
        <f t="shared" si="14"/>
        <v>3.4329997064598869E-2</v>
      </c>
      <c r="C78" s="1159">
        <f>TableA3!B78</f>
        <v>3.4329997064598869E-2</v>
      </c>
      <c r="D78" s="1159">
        <f>(1+0.05)*MAX(0,(TableB10!I78+TableB10!L78+TableB10!M78-TableB10!R78))/1000</f>
        <v>0</v>
      </c>
      <c r="E78" s="1207">
        <f t="shared" si="11"/>
        <v>1.0287836568069537E-2</v>
      </c>
      <c r="F78" s="1159">
        <f>TableA5!F78+TableA5!I78+TableA5!J78</f>
        <v>-0.2810819697803898</v>
      </c>
      <c r="G78" s="1158">
        <v>0</v>
      </c>
      <c r="H78" s="1208">
        <f t="shared" si="12"/>
        <v>0.29136980634845933</v>
      </c>
      <c r="I78" s="1202">
        <f>H78*TableB10!J78/(TableB10!I78+TableB10!M78)</f>
        <v>0.48203932502515956</v>
      </c>
      <c r="J78" s="1202">
        <f t="shared" si="13"/>
        <v>-0.19066951867670023</v>
      </c>
      <c r="K78" s="156">
        <f>TableA7!O78*TableA4!G78</f>
        <v>2.4042160496529331E-2</v>
      </c>
      <c r="L78" s="496">
        <f>TableA3!G78/TableA6!B78</f>
        <v>0</v>
      </c>
      <c r="M78" s="958"/>
    </row>
    <row r="79" spans="1:13" x14ac:dyDescent="0.2">
      <c r="A79" s="1154" t="str">
        <f>+TableA1!A79</f>
        <v>Monaco</v>
      </c>
      <c r="B79" s="1204">
        <f t="shared" si="14"/>
        <v>2.4865786089930788</v>
      </c>
      <c r="C79" s="1159">
        <f>TableA3!B79</f>
        <v>2.4865786089930788</v>
      </c>
      <c r="D79" s="1159">
        <f>(1+0.05)*MAX(0,(TableB10!I79+TableB10!L79+TableB10!M79-TableB10!R79))/1000</f>
        <v>0</v>
      </c>
      <c r="E79" s="1207">
        <f t="shared" si="11"/>
        <v>2.1872544286824804</v>
      </c>
      <c r="F79" s="1159">
        <f>TableA5!F79+TableA5!I79+TableA5!J79</f>
        <v>0</v>
      </c>
      <c r="G79" s="1158">
        <v>0</v>
      </c>
      <c r="H79" s="1208">
        <f t="shared" si="12"/>
        <v>2.1872544286824804</v>
      </c>
      <c r="I79" s="1202">
        <v>0</v>
      </c>
      <c r="J79" s="1202">
        <v>0</v>
      </c>
      <c r="K79" s="156">
        <f>TableA7!O79*TableA4!G79</f>
        <v>0.29932418031059849</v>
      </c>
      <c r="L79" s="496">
        <f>TableA3!G79/TableA6!B79</f>
        <v>0.05</v>
      </c>
      <c r="M79" s="958"/>
    </row>
    <row r="80" spans="1:13" x14ac:dyDescent="0.2">
      <c r="A80" s="1154" t="s">
        <v>99</v>
      </c>
      <c r="B80" s="1204">
        <f t="shared" si="14"/>
        <v>0.34823567512391918</v>
      </c>
      <c r="C80" s="1159">
        <f>TableA3!B80</f>
        <v>0.34426567154188054</v>
      </c>
      <c r="D80" s="1159">
        <f>(1+0.05)*MAX(0,(TableB10!I80+TableB10!L80+TableB10!M80-TableB10!R80))/1000</f>
        <v>3.9700035820386661E-3</v>
      </c>
      <c r="E80" s="1207">
        <f t="shared" si="11"/>
        <v>0.30679422220146713</v>
      </c>
      <c r="F80" s="1159">
        <f>TableA5!F80+TableA5!I80+TableA5!J80</f>
        <v>3.7071449473684206E-3</v>
      </c>
      <c r="G80" s="1158">
        <v>0</v>
      </c>
      <c r="H80" s="1208">
        <f t="shared" si="12"/>
        <v>0.30308707725409872</v>
      </c>
      <c r="I80" s="1202">
        <f>H80*TableB10!J80/(TableB10!I80+TableB10!M80)</f>
        <v>0</v>
      </c>
      <c r="J80" s="1202">
        <f t="shared" ref="J80:J88" si="15">H80-I80</f>
        <v>0.30308707725409872</v>
      </c>
      <c r="K80" s="156">
        <f>TableA7!O80*TableA4!G80</f>
        <v>4.1441452922452063E-2</v>
      </c>
      <c r="L80" s="496">
        <f>TableA3!G80/TableA6!B80</f>
        <v>4.942998321745383E-2</v>
      </c>
      <c r="M80" s="958"/>
    </row>
    <row r="81" spans="1:12" x14ac:dyDescent="0.2">
      <c r="A81" s="1154" t="s">
        <v>100</v>
      </c>
      <c r="B81" s="1204">
        <f t="shared" si="14"/>
        <v>7.4441225761320906</v>
      </c>
      <c r="C81" s="1159">
        <f>TableA3!B81</f>
        <v>6.819284308547247</v>
      </c>
      <c r="D81" s="1159">
        <f>(1+0.05)*MAX(0,(TableB10!I81+TableB10!L81+TableB10!M81-TableB10!R81))/1000</f>
        <v>0.62483826758484384</v>
      </c>
      <c r="E81" s="1207">
        <f t="shared" si="11"/>
        <v>7.360135250471358</v>
      </c>
      <c r="F81" s="1159">
        <f>TableA5!F81+TableA5!I81+TableA5!J81</f>
        <v>0.33533017663157838</v>
      </c>
      <c r="G81" s="1158">
        <v>0</v>
      </c>
      <c r="H81" s="1208">
        <f t="shared" si="12"/>
        <v>7.0248050738397794</v>
      </c>
      <c r="I81" s="1202">
        <f>H81*TableB10!J81/(TableB10!I81+TableB10!M81)</f>
        <v>0</v>
      </c>
      <c r="J81" s="1202">
        <f t="shared" si="15"/>
        <v>7.0248050738397794</v>
      </c>
      <c r="K81" s="156">
        <f>TableA7!O81*TableA4!G81</f>
        <v>8.3987325660732859E-2</v>
      </c>
      <c r="L81" s="496">
        <f>TableA3!G81/TableA6!B81</f>
        <v>4.5803143613001168E-2</v>
      </c>
    </row>
    <row r="82" spans="1:12" x14ac:dyDescent="0.2">
      <c r="A82" s="1154" t="str">
        <f>+TableA1!A82</f>
        <v>Seychelles</v>
      </c>
      <c r="B82" s="1204">
        <f t="shared" si="14"/>
        <v>0.82419693736547761</v>
      </c>
      <c r="C82" s="1159">
        <f>TableA3!B82</f>
        <v>0.81332765904671878</v>
      </c>
      <c r="D82" s="1159">
        <f>(1+0.05)*MAX(0,(TableB10!I82+TableB10!L82+TableB10!M82-TableB10!R82))/1000</f>
        <v>1.0869278318758861E-2</v>
      </c>
      <c r="E82" s="1207">
        <f t="shared" si="11"/>
        <v>0.80997916157337257</v>
      </c>
      <c r="F82" s="1159">
        <f>TableA5!F82+TableA5!I82+TableA5!J82</f>
        <v>7.170055787368422E-2</v>
      </c>
      <c r="G82" s="1158">
        <v>0</v>
      </c>
      <c r="H82" s="1208">
        <f t="shared" si="12"/>
        <v>0.73827860369968834</v>
      </c>
      <c r="I82" s="1202">
        <f>H82*TableB10!J82/(TableB10!I82+TableB10!M82)</f>
        <v>0</v>
      </c>
      <c r="J82" s="1202">
        <f t="shared" si="15"/>
        <v>0.73827860369968834</v>
      </c>
      <c r="K82" s="156">
        <f>TableA7!O82*TableA4!G82</f>
        <v>1.4217775792105054E-2</v>
      </c>
      <c r="L82" s="496">
        <f>TableA3!G82/TableA6!B82</f>
        <v>4.9340614007041685E-2</v>
      </c>
    </row>
    <row r="83" spans="1:12" x14ac:dyDescent="0.2">
      <c r="A83" s="1154" t="s">
        <v>102</v>
      </c>
      <c r="B83" s="1204">
        <f t="shared" si="14"/>
        <v>120.07387384516201</v>
      </c>
      <c r="C83" s="1159">
        <f>TableA3!B83</f>
        <v>64.547352786104156</v>
      </c>
      <c r="D83" s="1159">
        <f>(1+0.05)*MAX(0,(TableB10!I83+TableB10!L83+TableB10!M83-TableB10!R83))/1000</f>
        <v>55.526521059057849</v>
      </c>
      <c r="E83" s="1207">
        <f t="shared" si="11"/>
        <v>90.279312540155431</v>
      </c>
      <c r="F83" s="1159">
        <f>TableA5!F83+TableA5!I83+TableA5!J83</f>
        <v>53.970395267078359</v>
      </c>
      <c r="G83" s="1158">
        <v>0</v>
      </c>
      <c r="H83" s="1208">
        <f t="shared" si="12"/>
        <v>36.308917273077071</v>
      </c>
      <c r="I83" s="1202">
        <f>H83*TableB10!J83/(TableB10!I83+TableB10!M83)</f>
        <v>16.184926106278052</v>
      </c>
      <c r="J83" s="1202">
        <f t="shared" si="15"/>
        <v>20.123991166799019</v>
      </c>
      <c r="K83" s="156">
        <f>TableA7!O83*TableA4!G83</f>
        <v>29.794561305006578</v>
      </c>
      <c r="L83" s="496">
        <f>TableA3!G83/TableA6!B83</f>
        <v>8.300833934937181E-2</v>
      </c>
    </row>
    <row r="84" spans="1:12" x14ac:dyDescent="0.2">
      <c r="A84" s="1154" t="str">
        <f>+TableA1!A84</f>
        <v>St. Kitts and Nevis</v>
      </c>
      <c r="B84" s="1204">
        <f t="shared" si="14"/>
        <v>0.47270768679271868</v>
      </c>
      <c r="C84" s="1159">
        <f>TableA3!B84</f>
        <v>0.46577557662910313</v>
      </c>
      <c r="D84" s="1159">
        <f>(1+0.05)*MAX(0,(TableB10!I84+TableB10!L84+TableB10!M84-TableB10!R84))/1000</f>
        <v>6.9321101636155456E-3</v>
      </c>
      <c r="E84" s="1207">
        <f t="shared" si="11"/>
        <v>0.45147281043247117</v>
      </c>
      <c r="F84" s="1159">
        <f>TableA5!F84+TableA5!I84+TableA5!J84</f>
        <v>3.1578947368421058E-4</v>
      </c>
      <c r="G84" s="1158">
        <v>0</v>
      </c>
      <c r="H84" s="1208">
        <f t="shared" si="12"/>
        <v>0.45115702095878696</v>
      </c>
      <c r="I84" s="1202">
        <f>0.5*H84</f>
        <v>0.22557851047939348</v>
      </c>
      <c r="J84" s="1202">
        <f t="shared" si="15"/>
        <v>0.22557851047939348</v>
      </c>
      <c r="K84" s="156">
        <f>TableA7!O84*TableA4!G84</f>
        <v>2.1234876360247523E-2</v>
      </c>
      <c r="L84" s="496">
        <f>TableA3!G84/TableA6!B84</f>
        <v>4.9266765661179608E-2</v>
      </c>
    </row>
    <row r="85" spans="1:12" x14ac:dyDescent="0.2">
      <c r="A85" s="1154" t="str">
        <f>+TableA1!A85</f>
        <v>St. Lucia</v>
      </c>
      <c r="B85" s="1204">
        <f t="shared" si="14"/>
        <v>0.98185335484198899</v>
      </c>
      <c r="C85" s="1159">
        <f>TableA3!B85</f>
        <v>0.89780776493170278</v>
      </c>
      <c r="D85" s="1159">
        <f>(1+0.05)*MAX(0,(TableB10!I85+TableB10!L85+TableB10!M85-TableB10!R85))/1000</f>
        <v>8.4045589910286156E-2</v>
      </c>
      <c r="E85" s="1207">
        <f t="shared" si="11"/>
        <v>0.94866880291806055</v>
      </c>
      <c r="F85" s="1159">
        <f>TableA5!F85+TableA5!I85+TableA5!J85</f>
        <v>7.3052631578947369E-2</v>
      </c>
      <c r="G85" s="1158">
        <v>0</v>
      </c>
      <c r="H85" s="1208">
        <f t="shared" si="12"/>
        <v>0.87561617133911318</v>
      </c>
      <c r="I85" s="1202">
        <f>H85*TableB10!J85/(TableB10!I85+TableB10!M85)</f>
        <v>0</v>
      </c>
      <c r="J85" s="1202">
        <f t="shared" si="15"/>
        <v>0.87561617133911318</v>
      </c>
      <c r="K85" s="156">
        <f>TableA7!O85*TableA4!G85</f>
        <v>3.318455192392842E-2</v>
      </c>
      <c r="L85" s="496">
        <f>TableA3!G85/TableA6!B85</f>
        <v>4.5720053840228939E-2</v>
      </c>
    </row>
    <row r="86" spans="1:12" x14ac:dyDescent="0.2">
      <c r="A86" s="1154" t="str">
        <f>+TableA1!A86</f>
        <v>St. Vincent and the Grenadines</v>
      </c>
      <c r="B86" s="1204">
        <f t="shared" si="14"/>
        <v>0.4096430975806486</v>
      </c>
      <c r="C86" s="1159">
        <f>TableA3!B86</f>
        <v>0.3899945493812374</v>
      </c>
      <c r="D86" s="1159">
        <f>(1+0.05)*MAX(0,(TableB10!I86+TableB10!L86+TableB10!M86-TableB10!R86))/1000</f>
        <v>1.9648548199411184E-2</v>
      </c>
      <c r="E86" s="1207">
        <f t="shared" si="11"/>
        <v>0.38835723070985412</v>
      </c>
      <c r="F86" s="1159">
        <f>TableA5!F86+TableA5!I86+TableA5!J86</f>
        <v>1.7157894736842108E-2</v>
      </c>
      <c r="G86" s="1158">
        <v>0</v>
      </c>
      <c r="H86" s="1208">
        <f t="shared" si="12"/>
        <v>0.37119933597301202</v>
      </c>
      <c r="I86" s="1202">
        <f>H86*TableB10!J86/(TableB10!I86+TableB10!M86)</f>
        <v>0</v>
      </c>
      <c r="J86" s="1202">
        <f t="shared" si="15"/>
        <v>0.37119933597301202</v>
      </c>
      <c r="K86" s="156">
        <f>TableA7!O86*TableA4!G86</f>
        <v>2.1285866870794486E-2</v>
      </c>
      <c r="L86" s="496">
        <f>TableA3!G86/TableA6!B86</f>
        <v>4.7601747922099084E-2</v>
      </c>
    </row>
    <row r="87" spans="1:12" x14ac:dyDescent="0.2">
      <c r="A87" s="1154" t="str">
        <f>+TableA1!A87</f>
        <v>Turks and Caicos</v>
      </c>
      <c r="B87" s="1204">
        <f t="shared" si="14"/>
        <v>0.29994738122448317</v>
      </c>
      <c r="C87" s="1159">
        <f>TableA3!B87</f>
        <v>0.27378414777319332</v>
      </c>
      <c r="D87" s="1159">
        <f>(1+0.05)*MAX(0,(TableB10!I87+TableB10!L87+TableB10!M87-TableB10!R87))/1000</f>
        <v>2.6163233451289829E-2</v>
      </c>
      <c r="E87" s="1207">
        <f t="shared" si="11"/>
        <v>0.26699033180435056</v>
      </c>
      <c r="F87" s="1159">
        <f>TableA5!F87+TableA5!I87+TableA5!J87</f>
        <v>0</v>
      </c>
      <c r="G87" s="1158">
        <v>0</v>
      </c>
      <c r="H87" s="1208">
        <f t="shared" si="12"/>
        <v>0.26699033180435056</v>
      </c>
      <c r="I87" s="1202">
        <v>0</v>
      </c>
      <c r="J87" s="1202">
        <v>0</v>
      </c>
      <c r="K87" s="156">
        <f>TableA7!O87*TableA4!G87</f>
        <v>3.2957049420132598E-2</v>
      </c>
      <c r="L87" s="496">
        <f>TableA3!G87/TableA6!B87</f>
        <v>0</v>
      </c>
    </row>
    <row r="88" spans="1:12" x14ac:dyDescent="0.2">
      <c r="A88" s="1154" t="str">
        <f>+TableA1!A88</f>
        <v>Panama</v>
      </c>
      <c r="B88" s="1204">
        <f t="shared" si="14"/>
        <v>21.839627936803055</v>
      </c>
      <c r="C88" s="1159">
        <f>TableA3!B88</f>
        <v>21.755867199563681</v>
      </c>
      <c r="D88" s="1159">
        <f>(1+0.05)*MAX(0,(TableB10!I88+TableB10!L88+TableB10!M88-TableB10!R88))/1000</f>
        <v>8.376073723937226E-2</v>
      </c>
      <c r="E88" s="1207">
        <f t="shared" si="11"/>
        <v>17.861321218110369</v>
      </c>
      <c r="F88" s="1159">
        <f>TableA5!F88+TableA5!I88+TableA5!J88</f>
        <v>3.5287177831380028</v>
      </c>
      <c r="G88" s="1158">
        <v>0</v>
      </c>
      <c r="H88" s="1208">
        <f t="shared" si="12"/>
        <v>14.332603434972366</v>
      </c>
      <c r="I88" s="1202">
        <f>H88*TableB10!J88/(TableB10!I88+TableB10!M88)</f>
        <v>0</v>
      </c>
      <c r="J88" s="1202">
        <f t="shared" si="15"/>
        <v>14.332603434972366</v>
      </c>
      <c r="K88" s="156">
        <f>TableA7!O88*TableA4!G88</f>
        <v>3.9783067186926862</v>
      </c>
      <c r="L88" s="496">
        <f>TableA3!G88/TableA6!B88</f>
        <v>4.980823680357159E-2</v>
      </c>
    </row>
    <row r="89" spans="1:12" x14ac:dyDescent="0.2">
      <c r="A89" s="1154" t="s">
        <v>108</v>
      </c>
      <c r="B89" s="1204">
        <f t="shared" si="14"/>
        <v>52.764834331533464</v>
      </c>
      <c r="C89" s="1159">
        <f>TableA3!B89</f>
        <v>52.764834331533464</v>
      </c>
      <c r="D89" s="1159">
        <f>(1+0.05)*MAX(0,(TableB10!I89+TableB10!L89+TableB10!M89-TableB10!R89))/1000</f>
        <v>0</v>
      </c>
      <c r="E89" s="1207">
        <f t="shared" si="11"/>
        <v>42.913042812221541</v>
      </c>
      <c r="F89" s="1159">
        <f>TableA5!F89+TableA5!I89+TableA5!J89</f>
        <v>35.957799737740579</v>
      </c>
      <c r="G89" s="1158">
        <v>0</v>
      </c>
      <c r="H89" s="1208">
        <f t="shared" si="12"/>
        <v>6.9552430744809612</v>
      </c>
      <c r="I89" s="1202">
        <v>0</v>
      </c>
      <c r="J89" s="1202">
        <v>0</v>
      </c>
      <c r="K89" s="156">
        <f>TableA7!O89*TableA4!G89</f>
        <v>9.8517915193119219</v>
      </c>
      <c r="L89" s="496">
        <f>TableA3!G89/TableA6!B89</f>
        <v>3.2938604318924807E-2</v>
      </c>
    </row>
    <row r="90" spans="1:12" ht="40" customHeight="1" x14ac:dyDescent="0.2">
      <c r="A90" s="7" t="s">
        <v>155</v>
      </c>
      <c r="B90" s="1206">
        <f t="shared" si="14"/>
        <v>1423.1461018568671</v>
      </c>
      <c r="C90" s="13">
        <f>TableA3!B90</f>
        <v>1423.1461018568671</v>
      </c>
      <c r="D90" s="1838">
        <v>0</v>
      </c>
      <c r="E90" s="1211">
        <f>F90+G90+H90</f>
        <v>114.1831702680436</v>
      </c>
      <c r="F90" s="245">
        <f>TableA5!F90+TableA5!I90+TableA5!J90</f>
        <v>114.1831702680436</v>
      </c>
      <c r="G90" s="297">
        <v>0</v>
      </c>
      <c r="H90" s="297">
        <f>(1+TableA5!$O90)*MAX(TableB10!L90-TableB10!R90,(TableB10!I90+TableB10!M90-TableB10!R90),0)/1000</f>
        <v>0</v>
      </c>
      <c r="I90" s="277">
        <v>0</v>
      </c>
      <c r="J90" s="277">
        <v>0</v>
      </c>
      <c r="K90" s="304">
        <f>B90-E90</f>
        <v>1308.9629315888235</v>
      </c>
      <c r="L90" s="1783">
        <f>TableA3!G90/TableA6!B90</f>
        <v>0.18757638370366686</v>
      </c>
    </row>
    <row r="91" spans="1:12" ht="40" customHeight="1" thickBot="1" x14ac:dyDescent="0.25">
      <c r="A91" s="247" t="s">
        <v>110</v>
      </c>
      <c r="B91" s="307">
        <f t="shared" si="14"/>
        <v>11515.286894140658</v>
      </c>
      <c r="C91" s="300">
        <f>C90+C53+C45+C9</f>
        <v>11208.895794676813</v>
      </c>
      <c r="D91" s="300">
        <f>D90+D53+D45+D9</f>
        <v>306.39109946384485</v>
      </c>
      <c r="E91" s="301">
        <f>F91+G91+H91</f>
        <v>1703.2290592571803</v>
      </c>
      <c r="F91" s="300">
        <f t="shared" ref="F91:J91" si="16">F90+F53+F45+F9</f>
        <v>1347.0995652658355</v>
      </c>
      <c r="G91" s="300">
        <f t="shared" si="16"/>
        <v>5.5798061426140979</v>
      </c>
      <c r="H91" s="393">
        <f t="shared" si="16"/>
        <v>350.54968784873051</v>
      </c>
      <c r="I91" s="300">
        <f t="shared" si="16"/>
        <v>141.78241950708525</v>
      </c>
      <c r="J91" s="300">
        <f t="shared" si="16"/>
        <v>199.35778050667741</v>
      </c>
      <c r="K91" s="495">
        <f>K90+K53+K45+K9</f>
        <v>9812.0578348834788</v>
      </c>
      <c r="L91" s="497">
        <f>TableA3!G91/TableA6!B91</f>
        <v>0.18703103411081895</v>
      </c>
    </row>
    <row r="92" spans="1:12" ht="17" thickTop="1" x14ac:dyDescent="0.2">
      <c r="A92" s="958"/>
      <c r="B92" s="958"/>
      <c r="C92" s="958"/>
      <c r="D92" s="958"/>
      <c r="E92" s="958"/>
      <c r="F92" s="1004"/>
      <c r="G92" s="958"/>
      <c r="H92" s="958"/>
      <c r="I92" s="958"/>
      <c r="J92" s="958"/>
      <c r="K92" s="958"/>
      <c r="L92" s="1145"/>
    </row>
    <row r="93" spans="1:12" s="2" customFormat="1" ht="17" thickBot="1" x14ac:dyDescent="0.25">
      <c r="E93" s="958"/>
      <c r="F93" s="958"/>
      <c r="G93" s="958"/>
      <c r="H93" s="958"/>
      <c r="I93" s="958"/>
      <c r="J93" s="958"/>
      <c r="K93" s="958"/>
    </row>
    <row r="94" spans="1:12" s="2" customFormat="1" ht="38.25" customHeight="1" thickBot="1" x14ac:dyDescent="0.25">
      <c r="A94" s="1931" t="s">
        <v>202</v>
      </c>
      <c r="B94" s="1932"/>
      <c r="C94" s="1932"/>
      <c r="D94" s="1932"/>
      <c r="E94" s="1932"/>
      <c r="F94" s="1932"/>
      <c r="G94" s="1932"/>
      <c r="H94" s="1932"/>
      <c r="I94" s="1932"/>
      <c r="J94" s="1932"/>
      <c r="K94" s="1932"/>
      <c r="L94" s="1933"/>
    </row>
    <row r="95" spans="1:12" s="2" customFormat="1" x14ac:dyDescent="0.2">
      <c r="A95" s="958"/>
      <c r="B95" s="958"/>
      <c r="C95" s="958"/>
      <c r="D95" s="958"/>
      <c r="E95" s="958"/>
      <c r="F95" s="958"/>
      <c r="G95" s="958"/>
      <c r="H95" s="958"/>
      <c r="I95" s="958"/>
      <c r="J95" s="958"/>
      <c r="K95" s="958"/>
    </row>
    <row r="96" spans="1:12" s="2" customFormat="1" x14ac:dyDescent="0.2">
      <c r="A96" s="958"/>
      <c r="B96" s="958"/>
      <c r="C96" s="958"/>
      <c r="D96" s="958"/>
      <c r="E96" s="958"/>
      <c r="F96" s="958"/>
      <c r="G96" s="958"/>
      <c r="H96" s="958"/>
      <c r="I96" s="958"/>
      <c r="J96" s="958"/>
      <c r="K96" s="958"/>
    </row>
    <row r="97" spans="1:11" s="2" customFormat="1" x14ac:dyDescent="0.2">
      <c r="A97" s="958"/>
      <c r="B97" s="958"/>
      <c r="C97" s="958"/>
      <c r="D97" s="958"/>
      <c r="E97" s="958"/>
      <c r="F97" s="958"/>
      <c r="G97" s="958"/>
      <c r="H97" s="958"/>
      <c r="I97" s="958"/>
      <c r="J97" s="958"/>
      <c r="K97" s="958"/>
    </row>
    <row r="98" spans="1:11" s="2" customFormat="1" x14ac:dyDescent="0.2">
      <c r="A98" s="958"/>
      <c r="B98" s="268">
        <f t="shared" ref="B98:K98" si="17">B91-B90-B53-B45-B9</f>
        <v>0</v>
      </c>
      <c r="C98" s="268">
        <f t="shared" si="17"/>
        <v>0</v>
      </c>
      <c r="D98" s="268">
        <f t="shared" si="17"/>
        <v>0</v>
      </c>
      <c r="E98" s="268">
        <f t="shared" si="17"/>
        <v>0</v>
      </c>
      <c r="F98" s="268">
        <f t="shared" si="17"/>
        <v>0</v>
      </c>
      <c r="G98" s="268">
        <f t="shared" si="17"/>
        <v>0</v>
      </c>
      <c r="H98" s="268">
        <f t="shared" si="17"/>
        <v>0</v>
      </c>
      <c r="I98" s="268">
        <f t="shared" si="17"/>
        <v>0</v>
      </c>
      <c r="J98" s="268">
        <f t="shared" si="17"/>
        <v>0</v>
      </c>
      <c r="K98" s="268">
        <f t="shared" si="17"/>
        <v>0</v>
      </c>
    </row>
    <row r="100" spans="1:11" s="2" customFormat="1" x14ac:dyDescent="0.2">
      <c r="A100" s="958"/>
      <c r="B100" s="958"/>
      <c r="C100" s="958"/>
      <c r="D100" s="958"/>
      <c r="E100" s="958"/>
      <c r="F100" s="958"/>
      <c r="G100" s="958"/>
      <c r="H100" s="958"/>
      <c r="I100" s="958"/>
      <c r="J100" s="958"/>
      <c r="K100" s="958"/>
    </row>
  </sheetData>
  <mergeCells count="10">
    <mergeCell ref="L6:L8"/>
    <mergeCell ref="A94:L94"/>
    <mergeCell ref="A3:L3"/>
    <mergeCell ref="E7:E8"/>
    <mergeCell ref="F7:F8"/>
    <mergeCell ref="H7:H8"/>
    <mergeCell ref="G7:G8"/>
    <mergeCell ref="B7:B8"/>
    <mergeCell ref="K7:K8"/>
    <mergeCell ref="B6:K6"/>
  </mergeCells>
  <pageMargins left="0.7" right="0.7" top="0.75" bottom="0.75" header="0.3" footer="0.3"/>
  <pageSetup scale="63" fitToHeight="0"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Y99"/>
  <sheetViews>
    <sheetView zoomScale="85" zoomScaleNormal="85" zoomScalePageLayoutView="85" workbookViewId="0">
      <pane xSplit="1" ySplit="8" topLeftCell="B74" activePane="bottomRight" state="frozen"/>
      <selection pane="topRight" activeCell="AR8" sqref="AR8"/>
      <selection pane="bottomLeft" activeCell="AR8" sqref="AR8"/>
      <selection pane="bottomRight" activeCell="P24" sqref="P24"/>
    </sheetView>
  </sheetViews>
  <sheetFormatPr baseColWidth="10" defaultColWidth="10.83203125" defaultRowHeight="16" x14ac:dyDescent="0.2"/>
  <cols>
    <col min="1" max="1" width="19" style="1" customWidth="1"/>
    <col min="2" max="12" width="11.33203125" style="1" customWidth="1"/>
    <col min="13" max="13" width="10.83203125" style="1" customWidth="1"/>
    <col min="14" max="15" width="11.33203125" style="1" customWidth="1"/>
    <col min="16" max="22" width="10.83203125" style="1"/>
    <col min="26" max="16384" width="10.83203125" style="1"/>
  </cols>
  <sheetData>
    <row r="1" spans="1:21" x14ac:dyDescent="0.2">
      <c r="A1" s="958"/>
      <c r="B1" s="958"/>
      <c r="C1" s="958"/>
      <c r="D1" s="958"/>
      <c r="E1" s="958"/>
      <c r="F1" s="958"/>
      <c r="G1" s="958"/>
      <c r="H1" s="958"/>
      <c r="I1" s="958"/>
      <c r="J1" s="958"/>
      <c r="K1" s="958"/>
      <c r="L1" s="958"/>
      <c r="M1" s="958"/>
      <c r="N1" s="958"/>
      <c r="O1" s="958"/>
      <c r="P1" s="1004"/>
      <c r="Q1" s="958"/>
      <c r="R1" s="958"/>
      <c r="S1" s="958"/>
      <c r="T1" s="958"/>
      <c r="U1" s="958"/>
    </row>
    <row r="2" spans="1:21" ht="17" thickBot="1" x14ac:dyDescent="0.25">
      <c r="A2" s="958"/>
      <c r="B2" s="958"/>
      <c r="C2" s="958"/>
      <c r="D2" s="958"/>
      <c r="E2" s="958"/>
      <c r="F2" s="958"/>
      <c r="G2" s="958"/>
      <c r="H2" s="958"/>
      <c r="I2" s="958"/>
      <c r="J2" s="958"/>
      <c r="K2" s="958"/>
      <c r="L2" s="958"/>
      <c r="M2" s="958"/>
      <c r="N2" s="958"/>
      <c r="O2" s="958"/>
      <c r="P2" s="958"/>
      <c r="Q2" s="958"/>
      <c r="R2" s="958"/>
      <c r="S2" s="958"/>
      <c r="T2" s="958"/>
      <c r="U2" s="958"/>
    </row>
    <row r="3" spans="1:21" ht="32.25" customHeight="1" thickTop="1" x14ac:dyDescent="0.2">
      <c r="A3" s="1934" t="s">
        <v>203</v>
      </c>
      <c r="B3" s="1935"/>
      <c r="C3" s="1935"/>
      <c r="D3" s="1935"/>
      <c r="E3" s="1935"/>
      <c r="F3" s="1935"/>
      <c r="G3" s="1935"/>
      <c r="H3" s="1935"/>
      <c r="I3" s="1935"/>
      <c r="J3" s="1935"/>
      <c r="K3" s="1935"/>
      <c r="L3" s="1935"/>
      <c r="M3" s="1935"/>
      <c r="N3" s="1935"/>
      <c r="O3" s="1935"/>
      <c r="P3" s="1935"/>
      <c r="Q3" s="1936"/>
      <c r="R3" s="958"/>
      <c r="S3" s="958"/>
      <c r="T3" s="958"/>
      <c r="U3" s="958"/>
    </row>
    <row r="4" spans="1:21" ht="12" customHeight="1" x14ac:dyDescent="0.2">
      <c r="A4" s="4"/>
      <c r="B4" s="620"/>
      <c r="C4" s="620"/>
      <c r="D4" s="620"/>
      <c r="E4" s="620"/>
      <c r="F4" s="620"/>
      <c r="G4" s="620"/>
      <c r="H4" s="620"/>
      <c r="I4" s="620"/>
      <c r="J4" s="620"/>
      <c r="K4" s="620"/>
      <c r="L4" s="620"/>
      <c r="M4" s="620"/>
      <c r="N4" s="620"/>
      <c r="O4" s="620"/>
      <c r="P4" s="1031"/>
      <c r="Q4" s="1079"/>
      <c r="R4" s="958"/>
      <c r="S4" s="958"/>
      <c r="T4" s="958"/>
      <c r="U4" s="958"/>
    </row>
    <row r="5" spans="1:21" x14ac:dyDescent="0.2">
      <c r="A5" s="1154"/>
      <c r="B5" s="3" t="s">
        <v>1</v>
      </c>
      <c r="C5" s="3" t="s">
        <v>2</v>
      </c>
      <c r="D5" s="3" t="s">
        <v>3</v>
      </c>
      <c r="E5" s="3" t="s">
        <v>4</v>
      </c>
      <c r="F5" s="3" t="s">
        <v>5</v>
      </c>
      <c r="G5" s="3" t="s">
        <v>6</v>
      </c>
      <c r="H5" s="3" t="s">
        <v>7</v>
      </c>
      <c r="I5" s="3" t="s">
        <v>8</v>
      </c>
      <c r="J5" s="3" t="s">
        <v>9</v>
      </c>
      <c r="K5" s="3" t="s">
        <v>10</v>
      </c>
      <c r="L5" s="3" t="s">
        <v>11</v>
      </c>
      <c r="M5" s="3" t="s">
        <v>12</v>
      </c>
      <c r="N5" s="3" t="s">
        <v>13</v>
      </c>
      <c r="O5" s="3" t="s">
        <v>177</v>
      </c>
      <c r="P5" s="3" t="s">
        <v>178</v>
      </c>
      <c r="Q5" s="1784" t="s">
        <v>179</v>
      </c>
      <c r="R5" s="958"/>
      <c r="S5" s="958"/>
      <c r="T5" s="958"/>
      <c r="U5" s="958"/>
    </row>
    <row r="6" spans="1:21" ht="21" customHeight="1" x14ac:dyDescent="0.2">
      <c r="A6" s="1154"/>
      <c r="B6" s="2062" t="s">
        <v>14</v>
      </c>
      <c r="C6" s="2063"/>
      <c r="D6" s="2063"/>
      <c r="E6" s="2063"/>
      <c r="F6" s="2057" t="s">
        <v>204</v>
      </c>
      <c r="G6" s="2060" t="s">
        <v>205</v>
      </c>
      <c r="H6" s="2066" t="s">
        <v>206</v>
      </c>
      <c r="I6" s="2027" t="s">
        <v>207</v>
      </c>
      <c r="J6" s="2052" t="s">
        <v>208</v>
      </c>
      <c r="K6" s="2053" t="s">
        <v>209</v>
      </c>
      <c r="L6" s="2055" t="s">
        <v>210</v>
      </c>
      <c r="M6" s="2027" t="s">
        <v>211</v>
      </c>
      <c r="N6" s="2064" t="s">
        <v>212</v>
      </c>
      <c r="O6" s="2027" t="s">
        <v>213</v>
      </c>
      <c r="P6" s="2016" t="s">
        <v>136</v>
      </c>
      <c r="Q6" s="2056"/>
      <c r="R6" s="958"/>
      <c r="S6" s="958"/>
      <c r="T6" s="958"/>
      <c r="U6" s="958"/>
    </row>
    <row r="7" spans="1:21" ht="85" customHeight="1" x14ac:dyDescent="0.2">
      <c r="A7" s="1154"/>
      <c r="B7" s="2055" t="s">
        <v>214</v>
      </c>
      <c r="C7" s="1835" t="s">
        <v>215</v>
      </c>
      <c r="D7" s="1835" t="s">
        <v>216</v>
      </c>
      <c r="E7" s="1825" t="s">
        <v>162</v>
      </c>
      <c r="F7" s="2058"/>
      <c r="G7" s="2033"/>
      <c r="H7" s="2028"/>
      <c r="I7" s="2028"/>
      <c r="J7" s="2034"/>
      <c r="K7" s="2054"/>
      <c r="L7" s="2007"/>
      <c r="M7" s="2028"/>
      <c r="N7" s="2065"/>
      <c r="O7" s="2028"/>
      <c r="P7" s="2055" t="s">
        <v>217</v>
      </c>
      <c r="Q7" s="1212" t="s">
        <v>218</v>
      </c>
      <c r="R7" s="1031"/>
      <c r="S7" s="958"/>
      <c r="T7" s="173" t="s">
        <v>166</v>
      </c>
      <c r="U7" s="958"/>
    </row>
    <row r="8" spans="1:21" ht="33" customHeight="1" x14ac:dyDescent="0.2">
      <c r="A8" s="1154"/>
      <c r="B8" s="2011"/>
      <c r="C8" s="1820"/>
      <c r="D8" s="1820"/>
      <c r="E8" s="1820"/>
      <c r="F8" s="2059"/>
      <c r="G8" s="2061"/>
      <c r="H8" s="2013"/>
      <c r="I8" s="2013"/>
      <c r="J8" s="1820"/>
      <c r="K8" s="1820"/>
      <c r="L8" s="2011"/>
      <c r="M8" s="1820"/>
      <c r="N8" s="1820"/>
      <c r="O8" s="1820"/>
      <c r="P8" s="2011"/>
      <c r="Q8" s="1822"/>
      <c r="R8" s="958"/>
      <c r="S8" s="958"/>
      <c r="T8" s="172"/>
      <c r="U8" s="958"/>
    </row>
    <row r="9" spans="1:21" ht="40" customHeight="1" x14ac:dyDescent="0.2">
      <c r="A9" s="267" t="s">
        <v>28</v>
      </c>
      <c r="B9" s="256">
        <f>SUM(B10:B44)</f>
        <v>6449.286986082956</v>
      </c>
      <c r="C9" s="295">
        <f>SUM(C10:C44)</f>
        <v>956.10086642796193</v>
      </c>
      <c r="D9" s="295">
        <f>SUM(D10:D44)</f>
        <v>83.176702611519431</v>
      </c>
      <c r="E9" s="258">
        <f>SUM(E10:E44)</f>
        <v>5410.0094170434731</v>
      </c>
      <c r="F9" s="1213">
        <f t="shared" ref="F9:F44" si="0">C9/(B9-D9)</f>
        <v>0.1501860357195384</v>
      </c>
      <c r="G9" s="266">
        <f>TableA2!L9</f>
        <v>0.41149842417638866</v>
      </c>
      <c r="H9" s="266">
        <f>D9/TableA2!C9</f>
        <v>5.4072503583288559E-3</v>
      </c>
      <c r="I9" s="266">
        <f>J9+K9</f>
        <v>7.7645217153016902E-3</v>
      </c>
      <c r="J9" s="266">
        <f>TableA6!I9/TableA2!$C9</f>
        <v>6.6527210204393103E-3</v>
      </c>
      <c r="K9" s="266">
        <f>TableA6!J9/TableA2!$C9</f>
        <v>1.1118006948623801E-3</v>
      </c>
      <c r="L9" s="265">
        <f>G9-H9+I9</f>
        <v>0.41385569553336149</v>
      </c>
      <c r="M9" s="266">
        <f>C9/TableA4!D9</f>
        <v>0.42001657601288439</v>
      </c>
      <c r="N9" s="266"/>
      <c r="O9" s="266">
        <f>E9/TableA4!G9</f>
        <v>0.41278563924415895</v>
      </c>
      <c r="P9" s="16">
        <f>P12+P24+P30+P32+P41</f>
        <v>281.74149562210863</v>
      </c>
      <c r="Q9" s="1836"/>
      <c r="R9" s="958"/>
      <c r="S9" s="958"/>
      <c r="T9" s="320">
        <f t="shared" ref="T9:T40" si="1">L9-G9-I9+H9</f>
        <v>0</v>
      </c>
      <c r="U9" s="320">
        <f>B9-C9-D9-E9</f>
        <v>0</v>
      </c>
    </row>
    <row r="10" spans="1:21" ht="14.25" customHeight="1" x14ac:dyDescent="0.2">
      <c r="A10" s="1155" t="s">
        <v>29</v>
      </c>
      <c r="B10" s="1214">
        <f>TableA6!B10</f>
        <v>178.84741076861815</v>
      </c>
      <c r="C10" s="1159">
        <f>TableA6!E10</f>
        <v>28.299110069424813</v>
      </c>
      <c r="D10" s="1159">
        <v>0</v>
      </c>
      <c r="E10" s="1159">
        <f>B10-C10-D10</f>
        <v>150.54830069919333</v>
      </c>
      <c r="F10" s="1215">
        <f t="shared" si="0"/>
        <v>0.15823047114747707</v>
      </c>
      <c r="G10" s="1216">
        <f>TableA2!L10</f>
        <v>0.35986511293798373</v>
      </c>
      <c r="H10" s="1216">
        <f>D10/TableA2!C10</f>
        <v>0</v>
      </c>
      <c r="I10" s="1216">
        <f>J10+K10</f>
        <v>0</v>
      </c>
      <c r="J10" s="1216">
        <f>TableA6!I10/TableA2!$C10</f>
        <v>0</v>
      </c>
      <c r="K10" s="1216">
        <f>TableA6!J10/TableA2!$C10</f>
        <v>0</v>
      </c>
      <c r="L10" s="265">
        <f t="shared" ref="L10:L44" si="2">G10-H10+I10</f>
        <v>0.35986511293798373</v>
      </c>
      <c r="M10" s="1216">
        <f>C10/TableA4!D10</f>
        <v>0.27383940346897767</v>
      </c>
      <c r="N10" s="1216">
        <f>AVERAGE((VLOOKUP(A10,TableA10!$A$8:$G$95,4,)/VLOOKUP(A10,TableA10!$A$8:$G$95,3,)),(VLOOKUP(A10,TableA10b!$A$8:$G$95,4,)/VLOOKUP(A10,TableA10b!$A$8:$G$95,3,)))</f>
        <v>0.27383940346897767</v>
      </c>
      <c r="O10" s="1216">
        <f>E10/TableA4!G10</f>
        <v>0.38244922547378107</v>
      </c>
      <c r="P10" s="120">
        <f>C10-O10*TableA4!D10</f>
        <v>-11.223955605361816</v>
      </c>
      <c r="Q10" s="1217"/>
      <c r="R10" s="958"/>
      <c r="S10" s="958"/>
      <c r="T10" s="320">
        <f t="shared" si="1"/>
        <v>0</v>
      </c>
      <c r="U10" s="320">
        <f t="shared" ref="U10:U73" si="3">B10-C10-D10-E10</f>
        <v>0</v>
      </c>
    </row>
    <row r="11" spans="1:21" ht="14.25" customHeight="1" x14ac:dyDescent="0.2">
      <c r="A11" s="1155" t="s">
        <v>30</v>
      </c>
      <c r="B11" s="1214">
        <f>TableA6!B11</f>
        <v>47.957043627358011</v>
      </c>
      <c r="C11" s="1159">
        <f>TableA6!E11</f>
        <v>11.294821742987047</v>
      </c>
      <c r="D11" s="1159">
        <v>0</v>
      </c>
      <c r="E11" s="1159">
        <f t="shared" ref="E11:E52" si="4">B11-C11-D11</f>
        <v>36.662221884370965</v>
      </c>
      <c r="F11" s="1215">
        <f t="shared" si="0"/>
        <v>0.23551955851890127</v>
      </c>
      <c r="G11" s="1184">
        <f>TableA2!L11</f>
        <v>0.38573161702393371</v>
      </c>
      <c r="H11" s="1184">
        <f>D11/TableA2!C11</f>
        <v>0</v>
      </c>
      <c r="I11" s="1184">
        <f t="shared" ref="I11:I52" si="5">J11+K11</f>
        <v>0</v>
      </c>
      <c r="J11" s="1184">
        <f>TableA6!I11/TableA2!$C11</f>
        <v>0</v>
      </c>
      <c r="K11" s="1184">
        <f>TableA6!J11/TableA2!$C11</f>
        <v>0</v>
      </c>
      <c r="L11" s="119">
        <f t="shared" si="2"/>
        <v>0.38573161702393371</v>
      </c>
      <c r="M11" s="1184">
        <f>C11/TableA4!D11</f>
        <v>0.33058399232200741</v>
      </c>
      <c r="N11" s="1184">
        <f>VLOOKUP(A11,TableA10!$A$8:$G$95,4,)/VLOOKUP(A11,TableA10!$A$8:$G$95,3,)</f>
        <v>-3.7660055234747677E-3</v>
      </c>
      <c r="O11" s="1184">
        <f>E11/TableA4!G11</f>
        <v>0.40662961061080261</v>
      </c>
      <c r="P11" s="120">
        <f>C11-O11*TableA4!D11</f>
        <v>-2.5981950816013484</v>
      </c>
      <c r="Q11" s="1217"/>
      <c r="R11" s="958"/>
      <c r="S11" s="958"/>
      <c r="T11" s="320">
        <f t="shared" si="1"/>
        <v>0</v>
      </c>
      <c r="U11" s="320">
        <f t="shared" si="3"/>
        <v>0</v>
      </c>
    </row>
    <row r="12" spans="1:21" x14ac:dyDescent="0.2">
      <c r="A12" s="1155" t="s">
        <v>31</v>
      </c>
      <c r="B12" s="1214">
        <f>TableA6!B12</f>
        <v>80.241889758299209</v>
      </c>
      <c r="C12" s="1159">
        <f>TableA6!E12</f>
        <v>32.206747942780808</v>
      </c>
      <c r="D12" s="1159">
        <v>0</v>
      </c>
      <c r="E12" s="1159">
        <f t="shared" si="4"/>
        <v>48.035141815518401</v>
      </c>
      <c r="F12" s="1215">
        <f t="shared" si="0"/>
        <v>0.40137075584576132</v>
      </c>
      <c r="G12" s="1184">
        <f>TableA2!L12</f>
        <v>0.46042895713758619</v>
      </c>
      <c r="H12" s="1184">
        <f>D12/TableA2!C12</f>
        <v>0</v>
      </c>
      <c r="I12" s="1184">
        <f t="shared" si="5"/>
        <v>2.1427357922788704E-2</v>
      </c>
      <c r="J12" s="1184">
        <f>TableA6!I12/TableA2!$C12</f>
        <v>2.1427357922788704E-2</v>
      </c>
      <c r="K12" s="1184">
        <f>TableA6!J12/TableA2!$C12</f>
        <v>0</v>
      </c>
      <c r="L12" s="119">
        <f t="shared" si="2"/>
        <v>0.48185631506037491</v>
      </c>
      <c r="M12" s="1184">
        <f>C12/TableA4!D12</f>
        <v>0.67980103327038299</v>
      </c>
      <c r="N12" s="1184">
        <f>VLOOKUP(A12,TableA10!$A$8:$G$95,4,)/VLOOKUP(A12,TableA10!$A$8:$G$95,3,)</f>
        <v>0.60110878851222393</v>
      </c>
      <c r="O12" s="1184">
        <f>E12/TableA4!G12</f>
        <v>0.4031489417707429</v>
      </c>
      <c r="P12" s="120">
        <f>C12-O12*TableA4!D12</f>
        <v>13.106870602869716</v>
      </c>
      <c r="Q12" s="1217"/>
      <c r="R12" s="958"/>
      <c r="S12" s="958"/>
      <c r="T12" s="320">
        <f t="shared" si="1"/>
        <v>1.0408340855860843E-17</v>
      </c>
      <c r="U12" s="320">
        <f t="shared" si="3"/>
        <v>0</v>
      </c>
    </row>
    <row r="13" spans="1:21" x14ac:dyDescent="0.2">
      <c r="A13" s="1155" t="s">
        <v>32</v>
      </c>
      <c r="B13" s="1214">
        <f>TableA6!B13</f>
        <v>142.9569900038934</v>
      </c>
      <c r="C13" s="1159">
        <f>TableA6!E13</f>
        <v>46.935942392007277</v>
      </c>
      <c r="D13" s="1159">
        <v>0</v>
      </c>
      <c r="E13" s="1159">
        <f t="shared" si="4"/>
        <v>96.021047611886118</v>
      </c>
      <c r="F13" s="1215">
        <f t="shared" si="0"/>
        <v>0.3283221225539863</v>
      </c>
      <c r="G13" s="1184">
        <f>TableA2!L13</f>
        <v>0.23305888899623428</v>
      </c>
      <c r="H13" s="1184">
        <f>D13/TableA2!C13</f>
        <v>0</v>
      </c>
      <c r="I13" s="1184">
        <f t="shared" si="5"/>
        <v>0</v>
      </c>
      <c r="J13" s="1184">
        <f>TableA6!I13/TableA2!$C13</f>
        <v>0</v>
      </c>
      <c r="K13" s="1184">
        <f>TableA6!J13/TableA2!$C13</f>
        <v>0</v>
      </c>
      <c r="L13" s="119">
        <f t="shared" si="2"/>
        <v>0.23305888899623428</v>
      </c>
      <c r="M13" s="1184">
        <f>C13/TableA4!D13</f>
        <v>0.51265902111925798</v>
      </c>
      <c r="N13" s="1184">
        <f>VLOOKUP(A13,TableA10!$A$8:$G$95,4,)/VLOOKUP(A13,TableA10!$A$8:$G$95,3,)</f>
        <v>0.51265902111925798</v>
      </c>
      <c r="O13" s="1184">
        <f>E13/TableA4!G13</f>
        <v>0.18400463874630477</v>
      </c>
      <c r="P13" s="278">
        <f>C13-O13*TableA4!D13</f>
        <v>30.089596637272944</v>
      </c>
      <c r="Q13" s="1217"/>
      <c r="R13" s="958"/>
      <c r="S13" s="958"/>
      <c r="T13" s="320">
        <f t="shared" si="1"/>
        <v>0</v>
      </c>
      <c r="U13" s="320">
        <f t="shared" si="3"/>
        <v>0</v>
      </c>
    </row>
    <row r="14" spans="1:21" x14ac:dyDescent="0.2">
      <c r="A14" s="1155" t="s">
        <v>33</v>
      </c>
      <c r="B14" s="1214">
        <f>TableA6!B14</f>
        <v>67.542484958596845</v>
      </c>
      <c r="C14" s="1159">
        <f>TableA6!E14</f>
        <v>9.8951445885655183</v>
      </c>
      <c r="D14" s="1159">
        <v>0</v>
      </c>
      <c r="E14" s="1159">
        <f t="shared" si="4"/>
        <v>57.64734037003133</v>
      </c>
      <c r="F14" s="1215">
        <f t="shared" si="0"/>
        <v>0.14650252496086255</v>
      </c>
      <c r="G14" s="1184">
        <f>TableA2!L14</f>
        <v>1.0076535203150763</v>
      </c>
      <c r="H14" s="1184">
        <f>D14/TableA2!C14</f>
        <v>0</v>
      </c>
      <c r="I14" s="1184">
        <f t="shared" si="5"/>
        <v>0</v>
      </c>
      <c r="J14" s="1184">
        <f>TableA6!I14/TableA2!$C14</f>
        <v>0</v>
      </c>
      <c r="K14" s="1184">
        <f>TableA6!J14/TableA2!$C14</f>
        <v>0</v>
      </c>
      <c r="L14" s="119">
        <f t="shared" si="2"/>
        <v>1.0076535203150763</v>
      </c>
      <c r="M14" s="1184">
        <f>C14/TableA4!D14</f>
        <v>0.99074432261467493</v>
      </c>
      <c r="N14" s="1184">
        <f>VLOOKUP(A14,TableA10!$A$8:$G$95,4,)/VLOOKUP(A14,TableA10!$A$8:$G$95,3,)</f>
        <v>0.99075263293090166</v>
      </c>
      <c r="O14" s="1184">
        <f>E14/TableA4!G14</f>
        <v>1.0106141880425457</v>
      </c>
      <c r="P14" s="120">
        <f>C14-O14*TableA4!D14</f>
        <v>-0.19845199904374233</v>
      </c>
      <c r="Q14" s="1217"/>
      <c r="R14" s="958"/>
      <c r="S14" s="958"/>
      <c r="T14" s="320">
        <f t="shared" si="1"/>
        <v>0</v>
      </c>
      <c r="U14" s="320">
        <f t="shared" si="3"/>
        <v>0</v>
      </c>
    </row>
    <row r="15" spans="1:21" x14ac:dyDescent="0.2">
      <c r="A15" s="1155" t="s">
        <v>34</v>
      </c>
      <c r="B15" s="1214">
        <f>TableA6!B15</f>
        <v>33.577437877940952</v>
      </c>
      <c r="C15" s="1159">
        <f>TableA6!E15</f>
        <v>17.490778418103861</v>
      </c>
      <c r="D15" s="1159">
        <v>0</v>
      </c>
      <c r="E15" s="1159">
        <f t="shared" si="4"/>
        <v>16.08665945983709</v>
      </c>
      <c r="F15" s="1215">
        <f t="shared" si="0"/>
        <v>0.52090866735232977</v>
      </c>
      <c r="G15" s="1184">
        <f>TableA2!L15</f>
        <v>0.62169699268833523</v>
      </c>
      <c r="H15" s="1184">
        <f>D15/TableA2!C15</f>
        <v>0</v>
      </c>
      <c r="I15" s="1184">
        <f t="shared" si="5"/>
        <v>0</v>
      </c>
      <c r="J15" s="1184">
        <f>TableA6!I15/TableA2!$C15</f>
        <v>0</v>
      </c>
      <c r="K15" s="1184">
        <f>TableA6!J15/TableA2!$C15</f>
        <v>0</v>
      </c>
      <c r="L15" s="119">
        <f t="shared" si="2"/>
        <v>0.62169699268833523</v>
      </c>
      <c r="M15" s="1184">
        <f>C15/TableA4!D15</f>
        <v>0.76443329218162037</v>
      </c>
      <c r="N15" s="1184">
        <f>VLOOKUP(A15,TableA10!$A$8:$G$95,4,)/VLOOKUP(A15,TableA10!$A$8:$G$95,3,)</f>
        <v>0.60775473399458968</v>
      </c>
      <c r="O15" s="1184">
        <f>E15/TableA4!G15</f>
        <v>0.51678040684408355</v>
      </c>
      <c r="P15" s="120">
        <f>C15-O15*TableA4!D15</f>
        <v>5.6664744803053289</v>
      </c>
      <c r="Q15" s="1217"/>
      <c r="R15" s="958"/>
      <c r="S15" s="958"/>
      <c r="T15" s="320">
        <f t="shared" si="1"/>
        <v>0</v>
      </c>
      <c r="U15" s="320">
        <f t="shared" si="3"/>
        <v>0</v>
      </c>
    </row>
    <row r="16" spans="1:21" x14ac:dyDescent="0.2">
      <c r="A16" s="1155" t="s">
        <v>35</v>
      </c>
      <c r="B16" s="1214">
        <f>TableA6!B16</f>
        <v>51.69259919912686</v>
      </c>
      <c r="C16" s="1159">
        <f>TableA6!E16</f>
        <v>5.1092950429719881</v>
      </c>
      <c r="D16" s="1159">
        <v>0</v>
      </c>
      <c r="E16" s="1159">
        <f t="shared" si="4"/>
        <v>46.583304156154874</v>
      </c>
      <c r="F16" s="1215">
        <f t="shared" si="0"/>
        <v>9.8839971719941855E-2</v>
      </c>
      <c r="G16" s="1184">
        <f>TableA2!L16</f>
        <v>0.52437213243531344</v>
      </c>
      <c r="H16" s="1184">
        <f>D16/TableA2!C16</f>
        <v>0</v>
      </c>
      <c r="I16" s="1184">
        <f t="shared" si="5"/>
        <v>0</v>
      </c>
      <c r="J16" s="1184">
        <f>TableA6!I16/TableA2!$C16</f>
        <v>0</v>
      </c>
      <c r="K16" s="1184">
        <f>TableA6!J16/TableA2!$C16</f>
        <v>0</v>
      </c>
      <c r="L16" s="119">
        <f t="shared" si="2"/>
        <v>0.52437213243531344</v>
      </c>
      <c r="M16" s="1184">
        <f>C16/TableA4!D16</f>
        <v>0.22447139293998325</v>
      </c>
      <c r="N16" s="1184">
        <f>VLOOKUP(A16,TableA10!$A$8:$G$95,4,)/VLOOKUP(A16,TableA10!$A$8:$G$95,3,)</f>
        <v>0.2613430127041742</v>
      </c>
      <c r="O16" s="1184">
        <f>E16/TableA4!G16</f>
        <v>0.6144052152506192</v>
      </c>
      <c r="P16" s="120">
        <f>C16-O16*TableA4!D16</f>
        <v>-8.8754603396234497</v>
      </c>
      <c r="Q16" s="1217"/>
      <c r="R16" s="958"/>
      <c r="S16" s="958"/>
      <c r="T16" s="320">
        <f t="shared" si="1"/>
        <v>0</v>
      </c>
      <c r="U16" s="320">
        <f t="shared" si="3"/>
        <v>0</v>
      </c>
    </row>
    <row r="17" spans="1:21" x14ac:dyDescent="0.2">
      <c r="A17" s="1155" t="s">
        <v>36</v>
      </c>
      <c r="B17" s="1214">
        <f>TableA6!B17</f>
        <v>4.0797019715879275</v>
      </c>
      <c r="C17" s="1159">
        <f>TableA6!E17</f>
        <v>1.4550356443784636</v>
      </c>
      <c r="D17" s="1159">
        <v>0</v>
      </c>
      <c r="E17" s="1159">
        <f t="shared" si="4"/>
        <v>2.6246663272094639</v>
      </c>
      <c r="F17" s="1215">
        <f t="shared" si="0"/>
        <v>0.35665243552389325</v>
      </c>
      <c r="G17" s="1184">
        <f>TableA2!L17</f>
        <v>0.51266863641431581</v>
      </c>
      <c r="H17" s="1184">
        <f>D17/TableA2!C17</f>
        <v>0</v>
      </c>
      <c r="I17" s="1184">
        <f t="shared" si="5"/>
        <v>0</v>
      </c>
      <c r="J17" s="1184">
        <f>TableA6!I17/TableA2!$C17</f>
        <v>0</v>
      </c>
      <c r="K17" s="1184">
        <f>TableA6!J17/TableA2!$C17</f>
        <v>0</v>
      </c>
      <c r="L17" s="119">
        <f t="shared" si="2"/>
        <v>0.51266863641431581</v>
      </c>
      <c r="M17" s="1184">
        <f>C17/TableA4!D17</f>
        <v>0.45190986584988918</v>
      </c>
      <c r="N17" s="1184"/>
      <c r="O17" s="1184">
        <f>E17/TableA4!G17</f>
        <v>0.55395752101378837</v>
      </c>
      <c r="P17" s="120">
        <f>C17-O17*TableA4!D17</f>
        <v>-0.32856767888762328</v>
      </c>
      <c r="Q17" s="1217"/>
      <c r="R17" s="958"/>
      <c r="S17" s="958"/>
      <c r="T17" s="320">
        <f t="shared" si="1"/>
        <v>0</v>
      </c>
      <c r="U17" s="320">
        <f t="shared" si="3"/>
        <v>0</v>
      </c>
    </row>
    <row r="18" spans="1:21" x14ac:dyDescent="0.2">
      <c r="A18" s="1155" t="s">
        <v>37</v>
      </c>
      <c r="B18" s="1214">
        <f>TableA6!B18</f>
        <v>25.094852932206081</v>
      </c>
      <c r="C18" s="1159">
        <f>TableA6!E18</f>
        <v>4.2466092034416771</v>
      </c>
      <c r="D18" s="1159">
        <v>0</v>
      </c>
      <c r="E18" s="1159">
        <f t="shared" si="4"/>
        <v>20.848243728764402</v>
      </c>
      <c r="F18" s="1215">
        <f t="shared" si="0"/>
        <v>0.16922231881230471</v>
      </c>
      <c r="G18" s="1184">
        <f>TableA2!L18</f>
        <v>0.33261304168871642</v>
      </c>
      <c r="H18" s="1184">
        <f>D18/TableA2!C18</f>
        <v>0</v>
      </c>
      <c r="I18" s="1184">
        <f t="shared" si="5"/>
        <v>0</v>
      </c>
      <c r="J18" s="1184">
        <f>TableA6!I18/TableA2!$C18</f>
        <v>0</v>
      </c>
      <c r="K18" s="1184">
        <f>TableA6!J18/TableA2!$C18</f>
        <v>0</v>
      </c>
      <c r="L18" s="119">
        <f t="shared" si="2"/>
        <v>0.33261304168871642</v>
      </c>
      <c r="M18" s="1184">
        <f>C18/TableA4!D18</f>
        <v>0.25990349075974173</v>
      </c>
      <c r="N18" s="1184">
        <f>VLOOKUP(A18,TableA10!$A$8:$G$95,4,)/VLOOKUP(A18,TableA10!$A$8:$G$95,3,)</f>
        <v>-0.86225490196078436</v>
      </c>
      <c r="O18" s="1184">
        <f>E18/TableA4!G18</f>
        <v>0.35271194390671812</v>
      </c>
      <c r="P18" s="120">
        <f>C18-O18*TableA4!D18</f>
        <v>-1.516413766275523</v>
      </c>
      <c r="Q18" s="1217"/>
      <c r="R18" s="958"/>
      <c r="S18" s="958"/>
      <c r="T18" s="320">
        <f t="shared" si="1"/>
        <v>0</v>
      </c>
      <c r="U18" s="320">
        <f t="shared" si="3"/>
        <v>0</v>
      </c>
    </row>
    <row r="19" spans="1:21" x14ac:dyDescent="0.2">
      <c r="A19" s="1155" t="s">
        <v>38</v>
      </c>
      <c r="B19" s="1214">
        <f>TableA6!B19</f>
        <v>187.65852722592464</v>
      </c>
      <c r="C19" s="1159">
        <f>TableA6!E19</f>
        <v>31.778815000521959</v>
      </c>
      <c r="D19" s="1159">
        <v>0</v>
      </c>
      <c r="E19" s="1159">
        <f t="shared" si="4"/>
        <v>155.87971222540267</v>
      </c>
      <c r="F19" s="1215">
        <f t="shared" si="0"/>
        <v>0.16934383675655204</v>
      </c>
      <c r="G19" s="1184">
        <f>TableA2!L19</f>
        <v>0.21535775015018682</v>
      </c>
      <c r="H19" s="1184">
        <f>D19/TableA2!C19</f>
        <v>0</v>
      </c>
      <c r="I19" s="1184">
        <f t="shared" si="5"/>
        <v>0</v>
      </c>
      <c r="J19" s="1184">
        <f>TableA6!I19/TableA2!$C19</f>
        <v>0</v>
      </c>
      <c r="K19" s="1184">
        <f>TableA6!J19/TableA2!$C19</f>
        <v>0</v>
      </c>
      <c r="L19" s="119">
        <f t="shared" si="2"/>
        <v>0.21535775015018682</v>
      </c>
      <c r="M19" s="1184">
        <f>C19/TableA4!D19</f>
        <v>0.2071972615008727</v>
      </c>
      <c r="N19" s="1184">
        <f>VLOOKUP(A19,TableA10!$A$8:$G$95,4,)/VLOOKUP(A19,TableA10!$A$8:$G$95,3,)</f>
        <v>0.14399522601820081</v>
      </c>
      <c r="O19" s="1184">
        <f>E19/TableA4!G19</f>
        <v>0.2171009289647885</v>
      </c>
      <c r="P19" s="120">
        <f>C19-O19*TableA4!D19</f>
        <v>-1.5189718912435666</v>
      </c>
      <c r="Q19" s="1217"/>
      <c r="R19" s="958"/>
      <c r="S19" s="958"/>
      <c r="T19" s="320">
        <f t="shared" si="1"/>
        <v>0</v>
      </c>
      <c r="U19" s="320">
        <f t="shared" si="3"/>
        <v>0</v>
      </c>
    </row>
    <row r="20" spans="1:21" x14ac:dyDescent="0.2">
      <c r="A20" s="1155" t="s">
        <v>39</v>
      </c>
      <c r="B20" s="1214">
        <f>TableA6!B20</f>
        <v>553.04943443142031</v>
      </c>
      <c r="C20" s="1159">
        <f>TableA6!E20</f>
        <v>42.83586575015805</v>
      </c>
      <c r="D20" s="1159">
        <v>0</v>
      </c>
      <c r="E20" s="1159">
        <f t="shared" si="4"/>
        <v>510.21356868126225</v>
      </c>
      <c r="F20" s="1215">
        <f t="shared" si="0"/>
        <v>7.7453954535179656E-2</v>
      </c>
      <c r="G20" s="1184">
        <f>TableA2!L20</f>
        <v>0.45220474547375394</v>
      </c>
      <c r="H20" s="1184">
        <f>D20/TableA2!C20</f>
        <v>0</v>
      </c>
      <c r="I20" s="1184">
        <f t="shared" si="5"/>
        <v>0</v>
      </c>
      <c r="J20" s="1184">
        <f>TableA6!I20/TableA2!$C20</f>
        <v>0</v>
      </c>
      <c r="K20" s="1184">
        <f>TableA6!J20/TableA2!$C20</f>
        <v>0</v>
      </c>
      <c r="L20" s="119">
        <f t="shared" si="2"/>
        <v>0.45220474547375394</v>
      </c>
      <c r="M20" s="1184">
        <f>C20/TableA4!D20</f>
        <v>0.18304850872360104</v>
      </c>
      <c r="N20" s="1184">
        <f>VLOOKUP(A20,TableA10!$A$8:$G$95,4,)/VLOOKUP(A20,TableA10!$A$8:$G$95,3,)</f>
        <v>0.24505490373044525</v>
      </c>
      <c r="O20" s="1184">
        <f>E20/TableA4!G20</f>
        <v>0.51589201053413136</v>
      </c>
      <c r="P20" s="121">
        <f>C20-O20*TableA4!D20</f>
        <v>-77.889952006640314</v>
      </c>
      <c r="Q20" s="1079"/>
      <c r="R20" s="958"/>
      <c r="S20" s="958"/>
      <c r="T20" s="320">
        <f t="shared" si="1"/>
        <v>0</v>
      </c>
      <c r="U20" s="320">
        <f t="shared" si="3"/>
        <v>0</v>
      </c>
    </row>
    <row r="21" spans="1:21" x14ac:dyDescent="0.2">
      <c r="A21" s="1155" t="s">
        <v>40</v>
      </c>
      <c r="B21" s="1214">
        <f>TableA6!B21</f>
        <v>22.607784095761257</v>
      </c>
      <c r="C21" s="1159">
        <f>TableA6!E21</f>
        <v>1.3429928248302583</v>
      </c>
      <c r="D21" s="1159">
        <v>0</v>
      </c>
      <c r="E21" s="1159">
        <f t="shared" si="4"/>
        <v>21.264791270930999</v>
      </c>
      <c r="F21" s="1215">
        <f t="shared" si="0"/>
        <v>5.9404000814129172E-2</v>
      </c>
      <c r="G21" s="1184">
        <f>TableA2!L21</f>
        <v>0.81636062215561511</v>
      </c>
      <c r="H21" s="1184">
        <f>D21/TableA2!C21</f>
        <v>0</v>
      </c>
      <c r="I21" s="1184">
        <f t="shared" si="5"/>
        <v>0</v>
      </c>
      <c r="J21" s="1184">
        <f>TableA6!I21/TableA2!$C21</f>
        <v>0</v>
      </c>
      <c r="K21" s="1184">
        <f>TableA6!J21/TableA2!$C21</f>
        <v>0</v>
      </c>
      <c r="L21" s="119">
        <f t="shared" si="2"/>
        <v>0.81636062215561511</v>
      </c>
      <c r="M21" s="1184">
        <f>C21/TableA4!D21</f>
        <v>0.32015467353035559</v>
      </c>
      <c r="N21" s="1184">
        <f>VLOOKUP(A21,TableA10!$A$8:$G$95,4,)/VLOOKUP(A21,TableA10!$A$8:$G$95,3,)</f>
        <v>0.14510686164229472</v>
      </c>
      <c r="O21" s="1184">
        <f>E21/TableA4!G21</f>
        <v>0.90494041789473145</v>
      </c>
      <c r="P21" s="121">
        <f>C21-O21*TableA4!D21</f>
        <v>-2.4530738535975614</v>
      </c>
      <c r="Q21" s="1079"/>
      <c r="R21" s="958"/>
      <c r="S21" s="958"/>
      <c r="T21" s="320">
        <f t="shared" si="1"/>
        <v>0</v>
      </c>
      <c r="U21" s="320">
        <f t="shared" si="3"/>
        <v>0</v>
      </c>
    </row>
    <row r="22" spans="1:21" x14ac:dyDescent="0.2">
      <c r="A22" s="1155" t="s">
        <v>41</v>
      </c>
      <c r="B22" s="1214">
        <f>TableA6!B22</f>
        <v>20.668289583202817</v>
      </c>
      <c r="C22" s="1159">
        <f>TableA6!E22</f>
        <v>9.7164397220911169</v>
      </c>
      <c r="D22" s="1159">
        <v>0</v>
      </c>
      <c r="E22" s="1159">
        <f t="shared" si="4"/>
        <v>10.9518498611117</v>
      </c>
      <c r="F22" s="1215">
        <f t="shared" si="0"/>
        <v>0.47011339196581114</v>
      </c>
      <c r="G22" s="1184">
        <f>TableA2!L22</f>
        <v>0.60422536243108271</v>
      </c>
      <c r="H22" s="1184">
        <f>D22/TableA2!C22</f>
        <v>0</v>
      </c>
      <c r="I22" s="1184">
        <f t="shared" si="5"/>
        <v>0</v>
      </c>
      <c r="J22" s="1184">
        <f>TableA6!I22/TableA2!$C22</f>
        <v>0</v>
      </c>
      <c r="K22" s="1184">
        <f>TableA6!J22/TableA2!$C22</f>
        <v>0</v>
      </c>
      <c r="L22" s="119">
        <f t="shared" si="2"/>
        <v>0.60422536243108271</v>
      </c>
      <c r="M22" s="1184">
        <f>C22/TableA4!D22</f>
        <v>0.61386905762305399</v>
      </c>
      <c r="N22" s="1184">
        <f>VLOOKUP(A22,TableA10!$A$8:$G$95,4,)/VLOOKUP(A22,TableA10!$A$8:$G$95,3,)</f>
        <v>7.4171817058096412</v>
      </c>
      <c r="O22" s="1184">
        <f>E22/TableA4!G22</f>
        <v>0.59591968343815072</v>
      </c>
      <c r="P22" s="121">
        <f>C22-O22*TableA4!D22</f>
        <v>0.28410621149757276</v>
      </c>
      <c r="Q22" s="1079"/>
      <c r="R22" s="958"/>
      <c r="S22" s="958"/>
      <c r="T22" s="320">
        <f t="shared" si="1"/>
        <v>0</v>
      </c>
      <c r="U22" s="320">
        <f t="shared" si="3"/>
        <v>0</v>
      </c>
    </row>
    <row r="23" spans="1:21" x14ac:dyDescent="0.2">
      <c r="A23" s="1155" t="s">
        <v>42</v>
      </c>
      <c r="B23" s="1214">
        <f>TableA6!B23</f>
        <v>2.1489969781260903</v>
      </c>
      <c r="C23" s="1159">
        <f>TableA6!E23</f>
        <v>-9.6186838505018343E-2</v>
      </c>
      <c r="D23" s="1159">
        <v>0</v>
      </c>
      <c r="E23" s="1159">
        <f t="shared" si="4"/>
        <v>2.2451838166311084</v>
      </c>
      <c r="F23" s="1215">
        <f t="shared" si="0"/>
        <v>-4.4758945444815172E-2</v>
      </c>
      <c r="G23" s="1184">
        <f>TableA2!L23</f>
        <v>0.41910792740626918</v>
      </c>
      <c r="H23" s="1184">
        <f>D23/TableA2!C23</f>
        <v>0</v>
      </c>
      <c r="I23" s="1184">
        <f t="shared" si="5"/>
        <v>0</v>
      </c>
      <c r="J23" s="1184">
        <f>TableA6!I23/TableA2!$C23</f>
        <v>0</v>
      </c>
      <c r="K23" s="1184">
        <f>TableA6!J23/TableA2!$C23</f>
        <v>0</v>
      </c>
      <c r="L23" s="119">
        <f t="shared" si="2"/>
        <v>0.41910792740626918</v>
      </c>
      <c r="M23" s="1184">
        <f>C23/TableA4!D23</f>
        <v>-6.7952586167860679E-2</v>
      </c>
      <c r="N23" s="1184"/>
      <c r="O23" s="1184">
        <f>E23/TableA4!G23</f>
        <v>0.60483646934821078</v>
      </c>
      <c r="P23" s="121">
        <f>C23-O23*TableA4!D23</f>
        <v>-0.95233244060805888</v>
      </c>
      <c r="Q23" s="1079"/>
      <c r="R23" s="958"/>
      <c r="S23" s="958"/>
      <c r="T23" s="320">
        <f t="shared" si="1"/>
        <v>0</v>
      </c>
      <c r="U23" s="320">
        <f t="shared" si="3"/>
        <v>0</v>
      </c>
    </row>
    <row r="24" spans="1:21" x14ac:dyDescent="0.2">
      <c r="A24" s="1155" t="s">
        <v>43</v>
      </c>
      <c r="B24" s="1214">
        <f>TableA6!B24</f>
        <v>174.30510209753976</v>
      </c>
      <c r="C24" s="1159">
        <f>TableA6!E24</f>
        <v>116.2731292562101</v>
      </c>
      <c r="D24" s="1159">
        <v>25.995157260117182</v>
      </c>
      <c r="E24" s="1159">
        <f t="shared" si="4"/>
        <v>32.03681558121248</v>
      </c>
      <c r="F24" s="1215">
        <f t="shared" si="0"/>
        <v>0.78398740815168366</v>
      </c>
      <c r="G24" s="1184">
        <f>TableA2!L24</f>
        <v>2.0458364548956904</v>
      </c>
      <c r="H24" s="1184">
        <f>D24/TableA2!C24</f>
        <v>0.42364275085659048</v>
      </c>
      <c r="I24" s="1184">
        <f t="shared" si="5"/>
        <v>0.79481160128028239</v>
      </c>
      <c r="J24" s="1184">
        <f>TableA6!I24/TableA2!$C24</f>
        <v>0.79481160128028239</v>
      </c>
      <c r="K24" s="1184">
        <f>TableA6!J24/TableA2!$C24</f>
        <v>0</v>
      </c>
      <c r="L24" s="119">
        <f t="shared" si="2"/>
        <v>2.4170053053193823</v>
      </c>
      <c r="M24" s="1184">
        <f>C24/TableA4!D24</f>
        <v>7.9996490577609283</v>
      </c>
      <c r="N24" s="1184">
        <f>VLOOKUP(A24,TableA10!$A$8:$G$95,4,)/VLOOKUP(A24,TableA10!$A$8:$G$95,3,)</f>
        <v>7.7427987962166807</v>
      </c>
      <c r="O24" s="1123">
        <f>E24/TableA4!G24</f>
        <v>0.68416351867003244</v>
      </c>
      <c r="P24" s="121">
        <f>C24-O24*TableA4!D24</f>
        <v>106.3289638729139</v>
      </c>
      <c r="Q24" s="1079"/>
      <c r="R24" s="958"/>
      <c r="S24" s="958"/>
      <c r="T24" s="320">
        <f t="shared" si="1"/>
        <v>0</v>
      </c>
      <c r="U24" s="320">
        <f t="shared" si="3"/>
        <v>0</v>
      </c>
    </row>
    <row r="25" spans="1:21" x14ac:dyDescent="0.2">
      <c r="A25" s="1155" t="s">
        <v>44</v>
      </c>
      <c r="B25" s="1214">
        <f>TableA6!B25</f>
        <v>53.821062621875072</v>
      </c>
      <c r="C25" s="1159">
        <f>TableA6!E25</f>
        <v>5.8274626748237663</v>
      </c>
      <c r="D25" s="1159">
        <v>0</v>
      </c>
      <c r="E25" s="1159">
        <f t="shared" si="4"/>
        <v>47.993599947051308</v>
      </c>
      <c r="F25" s="1215">
        <f t="shared" si="0"/>
        <v>0.10827476067808532</v>
      </c>
      <c r="G25" s="1184">
        <f>TableA2!L25</f>
        <v>0.58530208289956809</v>
      </c>
      <c r="H25" s="1184">
        <f>D25/TableA2!C25</f>
        <v>0</v>
      </c>
      <c r="I25" s="1184">
        <f t="shared" si="5"/>
        <v>0</v>
      </c>
      <c r="J25" s="1184">
        <f>TableA6!I25/TableA2!$C25</f>
        <v>0</v>
      </c>
      <c r="K25" s="1184">
        <f>TableA6!J25/TableA2!$C25</f>
        <v>0</v>
      </c>
      <c r="L25" s="119">
        <f t="shared" si="2"/>
        <v>0.58530208289956809</v>
      </c>
      <c r="M25" s="1184">
        <f>C25/TableA4!D25</f>
        <v>0.507499525346497</v>
      </c>
      <c r="N25" s="1184">
        <f>VLOOKUP(A25,TableA10!$A$8:$G$95,4,)/VLOOKUP(A25,TableA10!$A$8:$G$95,3,)</f>
        <v>0.507499525346497</v>
      </c>
      <c r="O25" s="1184">
        <f>E25/TableA4!G25</f>
        <v>0.59640392117908991</v>
      </c>
      <c r="P25" s="121">
        <f>C25-O25*TableA4!D25</f>
        <v>-1.0208621337891248</v>
      </c>
      <c r="Q25" s="1079"/>
      <c r="R25" s="958"/>
      <c r="S25" s="958"/>
      <c r="T25" s="320">
        <f t="shared" si="1"/>
        <v>0</v>
      </c>
      <c r="U25" s="320">
        <f t="shared" si="3"/>
        <v>0</v>
      </c>
    </row>
    <row r="26" spans="1:21" x14ac:dyDescent="0.2">
      <c r="A26" s="1155" t="s">
        <v>45</v>
      </c>
      <c r="B26" s="1214">
        <f>TableA6!B26</f>
        <v>211.89440797463348</v>
      </c>
      <c r="C26" s="1159">
        <f>TableA6!E26</f>
        <v>13.197888688714203</v>
      </c>
      <c r="D26" s="1159">
        <v>0</v>
      </c>
      <c r="E26" s="1159">
        <f t="shared" si="4"/>
        <v>198.69651928591927</v>
      </c>
      <c r="F26" s="1215">
        <f t="shared" si="0"/>
        <v>6.228521467302791E-2</v>
      </c>
      <c r="G26" s="1184">
        <f>TableA2!L26</f>
        <v>0.43094579515647402</v>
      </c>
      <c r="H26" s="1184">
        <f>D26/TableA2!C26</f>
        <v>0</v>
      </c>
      <c r="I26" s="1184">
        <f t="shared" si="5"/>
        <v>0</v>
      </c>
      <c r="J26" s="1184">
        <f>TableA6!I26/TableA2!$C26</f>
        <v>0</v>
      </c>
      <c r="K26" s="1184">
        <f>TableA6!J26/TableA2!$C26</f>
        <v>0</v>
      </c>
      <c r="L26" s="119">
        <f t="shared" si="2"/>
        <v>0.43094579515647402</v>
      </c>
      <c r="M26" s="1184">
        <f>C26/TableA4!D26</f>
        <v>0.16233602672515596</v>
      </c>
      <c r="N26" s="1184">
        <f>VLOOKUP(A26,TableA10!$A$8:$G$95,4,)/VLOOKUP(A26,TableA10!$A$8:$G$95,3,)</f>
        <v>0.29230028211656228</v>
      </c>
      <c r="O26" s="1184">
        <f>E26/TableA4!G26</f>
        <v>0.48415758018996907</v>
      </c>
      <c r="P26" s="121">
        <f>C26-O26*TableA4!D26</f>
        <v>-26.164032260372608</v>
      </c>
      <c r="Q26" s="1079"/>
      <c r="R26" s="958"/>
      <c r="S26" s="958"/>
      <c r="T26" s="320">
        <f t="shared" si="1"/>
        <v>0</v>
      </c>
      <c r="U26" s="320">
        <f t="shared" si="3"/>
        <v>0</v>
      </c>
    </row>
    <row r="27" spans="1:21" x14ac:dyDescent="0.2">
      <c r="A27" s="1155" t="s">
        <v>46</v>
      </c>
      <c r="B27" s="1214">
        <f>TableA6!B27</f>
        <v>634.13536380108962</v>
      </c>
      <c r="C27" s="1159">
        <f>TableA6!E27</f>
        <v>32.091665406409945</v>
      </c>
      <c r="D27" s="1159">
        <v>0</v>
      </c>
      <c r="E27" s="1159">
        <f t="shared" si="4"/>
        <v>602.04369839467972</v>
      </c>
      <c r="F27" s="1215">
        <f t="shared" si="0"/>
        <v>5.0606963809821832E-2</v>
      </c>
      <c r="G27" s="1184">
        <f>TableA2!L27</f>
        <v>0.41884260770852871</v>
      </c>
      <c r="H27" s="1184">
        <f>D27/TableA2!C27</f>
        <v>0</v>
      </c>
      <c r="I27" s="1184">
        <f t="shared" si="5"/>
        <v>0</v>
      </c>
      <c r="J27" s="1184">
        <f>TableA6!I27/TableA2!$C27</f>
        <v>0</v>
      </c>
      <c r="K27" s="1184">
        <f>TableA6!J27/TableA2!$C27</f>
        <v>0</v>
      </c>
      <c r="L27" s="119">
        <f t="shared" si="2"/>
        <v>0.41884260770852871</v>
      </c>
      <c r="M27" s="1184">
        <f>C27/TableA4!D27</f>
        <v>0.23732566147384185</v>
      </c>
      <c r="N27" s="1184">
        <f>VLOOKUP(A27,TableA10!$A$8:$G$95,4,)/VLOOKUP(A27,TableA10!$A$8:$G$95,3,)</f>
        <v>0.85962139029186102</v>
      </c>
      <c r="O27" s="1184">
        <f>E27/TableA4!G27</f>
        <v>0.43664443770241151</v>
      </c>
      <c r="P27" s="122">
        <f>C27-O27*TableA4!D27</f>
        <v>-26.952295997908244</v>
      </c>
      <c r="Q27" s="1079"/>
      <c r="R27" s="958"/>
      <c r="S27" s="958"/>
      <c r="T27" s="320">
        <f t="shared" si="1"/>
        <v>0</v>
      </c>
      <c r="U27" s="320">
        <f t="shared" si="3"/>
        <v>0</v>
      </c>
    </row>
    <row r="28" spans="1:21" x14ac:dyDescent="0.2">
      <c r="A28" s="1155" t="s">
        <v>47</v>
      </c>
      <c r="B28" s="1214">
        <f>TableA6!B28</f>
        <v>248.21706968304588</v>
      </c>
      <c r="C28" s="1159">
        <f>TableA6!E28</f>
        <v>2.54407878701964</v>
      </c>
      <c r="D28" s="1159">
        <v>0</v>
      </c>
      <c r="E28" s="1159">
        <f t="shared" si="4"/>
        <v>245.67299089602625</v>
      </c>
      <c r="F28" s="1215">
        <f t="shared" si="0"/>
        <v>1.0249411091139835E-2</v>
      </c>
      <c r="G28" s="1184">
        <f>TableA2!L28</f>
        <v>0.59857470740953445</v>
      </c>
      <c r="H28" s="1184">
        <f>D28/TableA2!C28</f>
        <v>0</v>
      </c>
      <c r="I28" s="1184">
        <f t="shared" si="5"/>
        <v>0</v>
      </c>
      <c r="J28" s="1184">
        <f>TableA6!I28/TableA2!$C28</f>
        <v>0</v>
      </c>
      <c r="K28" s="1184">
        <f>TableA6!J28/TableA2!$C28</f>
        <v>0</v>
      </c>
      <c r="L28" s="119">
        <f t="shared" si="2"/>
        <v>0.59857470740953445</v>
      </c>
      <c r="M28" s="1184">
        <f>C28/TableA4!D28</f>
        <v>3.9749361886952154E-2</v>
      </c>
      <c r="N28" s="1184">
        <f>VLOOKUP(A28,TableA10!$A$8:$G$95,4,)/VLOOKUP(A28,TableA10!$A$8:$G$95,3,)</f>
        <v>0.68300783844825297</v>
      </c>
      <c r="O28" s="1184">
        <f>E28/TableA4!G28</f>
        <v>0.70056738480426717</v>
      </c>
      <c r="P28" s="121">
        <f>C28-O28*TableA4!D28</f>
        <v>-42.29434220769339</v>
      </c>
      <c r="Q28" s="1079"/>
      <c r="R28" s="958"/>
      <c r="S28" s="958"/>
      <c r="T28" s="320">
        <f t="shared" si="1"/>
        <v>0</v>
      </c>
      <c r="U28" s="320">
        <f t="shared" si="3"/>
        <v>0</v>
      </c>
    </row>
    <row r="29" spans="1:21" x14ac:dyDescent="0.2">
      <c r="A29" s="1154" t="s">
        <v>48</v>
      </c>
      <c r="B29" s="1214">
        <f>TableA6!B29</f>
        <v>4.1858751479217755</v>
      </c>
      <c r="C29" s="1159">
        <f>TableA6!E29</f>
        <v>1.2242246708432463</v>
      </c>
      <c r="D29" s="1159">
        <v>0</v>
      </c>
      <c r="E29" s="1159">
        <f t="shared" si="4"/>
        <v>2.9616504770785292</v>
      </c>
      <c r="F29" s="1215">
        <f t="shared" si="0"/>
        <v>0.29246564400064717</v>
      </c>
      <c r="G29" s="1184">
        <f>TableA2!L29</f>
        <v>0.4548799812563365</v>
      </c>
      <c r="H29" s="1184">
        <f>D29/TableA2!C29</f>
        <v>0</v>
      </c>
      <c r="I29" s="1184">
        <f t="shared" si="5"/>
        <v>0</v>
      </c>
      <c r="J29" s="1184">
        <f>TableA6!I29/TableA2!$C29</f>
        <v>0</v>
      </c>
      <c r="K29" s="1184">
        <f>TableA6!J29/TableA2!$C29</f>
        <v>0</v>
      </c>
      <c r="L29" s="119">
        <f t="shared" si="2"/>
        <v>0.4548799812563365</v>
      </c>
      <c r="M29" s="1184">
        <f>C29/TableA4!D29</f>
        <v>0.41891257424263328</v>
      </c>
      <c r="N29" s="1184"/>
      <c r="O29" s="1184">
        <f>E29/TableA4!G29</f>
        <v>0.47161797519422538</v>
      </c>
      <c r="P29" s="121">
        <f>C29-O29*TableA4!D29</f>
        <v>-0.15402557979616138</v>
      </c>
      <c r="Q29" s="1079"/>
      <c r="R29" s="958"/>
      <c r="S29" s="958"/>
      <c r="T29" s="320">
        <f t="shared" si="1"/>
        <v>0</v>
      </c>
      <c r="U29" s="320">
        <f t="shared" si="3"/>
        <v>0</v>
      </c>
    </row>
    <row r="30" spans="1:21" x14ac:dyDescent="0.2">
      <c r="A30" s="1154" t="s">
        <v>49</v>
      </c>
      <c r="B30" s="1214">
        <f>TableA6!B30</f>
        <v>91.027431841444567</v>
      </c>
      <c r="C30" s="1159">
        <f>TableA6!E30</f>
        <v>51.304832182529623</v>
      </c>
      <c r="D30" s="1159">
        <v>35.507497845637872</v>
      </c>
      <c r="E30" s="1159">
        <f t="shared" si="4"/>
        <v>4.215101813277073</v>
      </c>
      <c r="F30" s="1215">
        <f t="shared" si="0"/>
        <v>0.92407948803405582</v>
      </c>
      <c r="G30" s="1184">
        <f>TableA2!L30</f>
        <v>2.7503859454118813</v>
      </c>
      <c r="H30" s="1184">
        <f>D30/TableA2!C30</f>
        <v>1.6475060207484251</v>
      </c>
      <c r="I30" s="1184">
        <f t="shared" si="5"/>
        <v>1.4731795298014214</v>
      </c>
      <c r="J30" s="1184">
        <f>TableA6!I30/TableA2!$C30</f>
        <v>1.1684081444524146</v>
      </c>
      <c r="K30" s="1184">
        <f>TableA6!J30/TableA2!$C30</f>
        <v>0.30477138534900672</v>
      </c>
      <c r="L30" s="119">
        <f t="shared" si="2"/>
        <v>2.5760594544648776</v>
      </c>
      <c r="M30" s="1184">
        <f>C30/TableA4!D30</f>
        <v>4.6076539817790847</v>
      </c>
      <c r="N30" s="1184">
        <f>VLOOKUP(A30,TableA10!$A$8:$G$95,4,)/VLOOKUP(A30,TableA10!$A$8:$G$95,3,)</f>
        <v>5.5750591016548467</v>
      </c>
      <c r="O30" s="1111">
        <f>E30/TableA4!G30</f>
        <v>0.40461450275815142</v>
      </c>
      <c r="P30" s="121">
        <f>C30-O30*TableA4!D30</f>
        <v>46.799572185855702</v>
      </c>
      <c r="Q30" s="1079"/>
      <c r="R30" s="958"/>
      <c r="S30" s="958"/>
      <c r="T30" s="320">
        <f t="shared" si="1"/>
        <v>0</v>
      </c>
      <c r="U30" s="320">
        <f t="shared" si="3"/>
        <v>0</v>
      </c>
    </row>
    <row r="31" spans="1:21" x14ac:dyDescent="0.2">
      <c r="A31" s="1154" t="s">
        <v>50</v>
      </c>
      <c r="B31" s="1214">
        <f>TableA6!B31</f>
        <v>325.04468785135941</v>
      </c>
      <c r="C31" s="1159">
        <f>TableA6!E31</f>
        <v>23.460473720946542</v>
      </c>
      <c r="D31" s="1159">
        <v>0</v>
      </c>
      <c r="E31" s="1159">
        <f t="shared" si="4"/>
        <v>301.58421413041287</v>
      </c>
      <c r="F31" s="1215">
        <f t="shared" si="0"/>
        <v>7.2176148689053019E-2</v>
      </c>
      <c r="G31" s="1184">
        <f>TableA2!L31</f>
        <v>2.3179694326877476</v>
      </c>
      <c r="H31" s="1184">
        <f>D31/TableA2!C31</f>
        <v>0</v>
      </c>
      <c r="I31" s="1184">
        <f t="shared" si="5"/>
        <v>0</v>
      </c>
      <c r="J31" s="1184">
        <f>TableA6!I31/TableA2!$C31</f>
        <v>0</v>
      </c>
      <c r="K31" s="1184">
        <f>TableA6!J31/TableA2!$C31</f>
        <v>0</v>
      </c>
      <c r="L31" s="119">
        <f t="shared" si="2"/>
        <v>2.3179694326877476</v>
      </c>
      <c r="M31" s="1184">
        <f>C31/TableA4!D31</f>
        <v>0.72504257375615577</v>
      </c>
      <c r="N31" s="1184">
        <f>VLOOKUP(A31,TableA10!$A$8:$G$95,4,)/VLOOKUP(A31,TableA10!$A$8:$G$95,3,)</f>
        <v>0.72504257375615588</v>
      </c>
      <c r="O31" s="1184">
        <f>E31/TableA4!G31</f>
        <v>2.7957902732061406</v>
      </c>
      <c r="P31" s="121">
        <f>C31-O31*TableA4!D31</f>
        <v>-67.003957759307255</v>
      </c>
      <c r="Q31" s="1079"/>
      <c r="R31" s="958"/>
      <c r="S31" s="958"/>
      <c r="T31" s="320">
        <f t="shared" si="1"/>
        <v>0</v>
      </c>
      <c r="U31" s="320">
        <f t="shared" si="3"/>
        <v>0</v>
      </c>
    </row>
    <row r="32" spans="1:21" x14ac:dyDescent="0.2">
      <c r="A32" s="1154" t="s">
        <v>51</v>
      </c>
      <c r="B32" s="1214">
        <f>TableA6!B32</f>
        <v>195.09598848383817</v>
      </c>
      <c r="C32" s="1159">
        <f>TableA6!E32</f>
        <v>89.333947018983608</v>
      </c>
      <c r="D32" s="1159">
        <v>21.674047505764374</v>
      </c>
      <c r="E32" s="1159">
        <f t="shared" si="4"/>
        <v>84.087993959090184</v>
      </c>
      <c r="F32" s="1215">
        <f t="shared" si="0"/>
        <v>0.51512482512393487</v>
      </c>
      <c r="G32" s="1184">
        <f>TableA2!L32</f>
        <v>0.56640307035308279</v>
      </c>
      <c r="H32" s="1184">
        <f>D32/TableA2!C32</f>
        <v>7.6847697431803794E-2</v>
      </c>
      <c r="I32" s="1184">
        <f t="shared" si="5"/>
        <v>0.12533101803891039</v>
      </c>
      <c r="J32" s="1184">
        <f>TableA6!I32/TableA2!$C32</f>
        <v>8.798266735978813E-2</v>
      </c>
      <c r="K32" s="1184">
        <f>TableA6!J32/TableA2!$C32</f>
        <v>3.7348350679122254E-2</v>
      </c>
      <c r="L32" s="119">
        <f t="shared" si="2"/>
        <v>0.61488639096018938</v>
      </c>
      <c r="M32" s="1184">
        <f>C32/TableA4!D32</f>
        <v>1.1495705968665206</v>
      </c>
      <c r="N32" s="1111">
        <f>VLOOKUP(A32,TableA10!$A$8:$G$95,4,)/VLOOKUP(A32,TableA10!$A$8:$G$95,3,)</f>
        <v>1.7924291254711313</v>
      </c>
      <c r="O32" s="1184">
        <f>E32/TableA4!G32</f>
        <v>0.41153378760859277</v>
      </c>
      <c r="P32" s="121">
        <f>C32-O32*TableA4!D32</f>
        <v>57.353364287520073</v>
      </c>
      <c r="Q32" s="1079"/>
      <c r="R32" s="958"/>
      <c r="S32" s="958"/>
      <c r="T32" s="320">
        <f t="shared" si="1"/>
        <v>0</v>
      </c>
      <c r="U32" s="320">
        <f t="shared" si="3"/>
        <v>0</v>
      </c>
    </row>
    <row r="33" spans="1:21" x14ac:dyDescent="0.2">
      <c r="A33" s="1154" t="s">
        <v>52</v>
      </c>
      <c r="B33" s="1214">
        <f>TableA6!B33</f>
        <v>43.62366684525152</v>
      </c>
      <c r="C33" s="1159">
        <f>TableA6!E33</f>
        <v>6.2361538780448305</v>
      </c>
      <c r="D33" s="1159">
        <v>0</v>
      </c>
      <c r="E33" s="1159">
        <f t="shared" si="4"/>
        <v>37.387512967206689</v>
      </c>
      <c r="F33" s="1215">
        <f t="shared" si="0"/>
        <v>0.1429534546045077</v>
      </c>
      <c r="G33" s="1184">
        <f>TableA2!L33</f>
        <v>0.76342747942908895</v>
      </c>
      <c r="H33" s="1184">
        <f>D33/TableA2!C33</f>
        <v>0</v>
      </c>
      <c r="I33" s="1184">
        <f t="shared" si="5"/>
        <v>0</v>
      </c>
      <c r="J33" s="1184">
        <f>TableA6!I33/TableA2!$C33</f>
        <v>0</v>
      </c>
      <c r="K33" s="1184">
        <f>TableA6!J33/TableA2!$C33</f>
        <v>0</v>
      </c>
      <c r="L33" s="119">
        <f t="shared" si="2"/>
        <v>0.76342747942908895</v>
      </c>
      <c r="M33" s="1184">
        <f>C33/TableA4!D33</f>
        <v>0.67991169977924948</v>
      </c>
      <c r="N33" s="1184">
        <f>VLOOKUP(A33,TableA10!$A$8:$G$95,4,)/VLOOKUP(A33,TableA10!$A$8:$G$95,3,)</f>
        <v>0.67991169977924948</v>
      </c>
      <c r="O33" s="1184">
        <f>E33/TableA4!G33</f>
        <v>0.77939599106707602</v>
      </c>
      <c r="P33" s="121">
        <f>C33-O33*TableA4!D33</f>
        <v>-0.91247047097520007</v>
      </c>
      <c r="Q33" s="1079"/>
      <c r="R33" s="958"/>
      <c r="S33" s="958"/>
      <c r="T33" s="320">
        <f t="shared" si="1"/>
        <v>0</v>
      </c>
      <c r="U33" s="320">
        <f t="shared" si="3"/>
        <v>0</v>
      </c>
    </row>
    <row r="34" spans="1:21" x14ac:dyDescent="0.2">
      <c r="A34" s="1154" t="s">
        <v>53</v>
      </c>
      <c r="B34" s="1214">
        <f>TableA6!B34</f>
        <v>76.129871814410606</v>
      </c>
      <c r="C34" s="1159">
        <f>TableA6!E34</f>
        <v>6.9090708256049158</v>
      </c>
      <c r="D34" s="1159">
        <v>0</v>
      </c>
      <c r="E34" s="1159">
        <f t="shared" si="4"/>
        <v>69.220800988805692</v>
      </c>
      <c r="F34" s="1215">
        <f t="shared" si="0"/>
        <v>9.0753743056967803E-2</v>
      </c>
      <c r="G34" s="1184">
        <f>TableA2!L34</f>
        <v>0.63204211939456467</v>
      </c>
      <c r="H34" s="1184">
        <f>D34/TableA2!C34</f>
        <v>0</v>
      </c>
      <c r="I34" s="1184">
        <f t="shared" si="5"/>
        <v>0</v>
      </c>
      <c r="J34" s="1184">
        <f>TableA6!I34/TableA2!$C34</f>
        <v>0</v>
      </c>
      <c r="K34" s="1184">
        <f>TableA6!J34/TableA2!$C34</f>
        <v>0</v>
      </c>
      <c r="L34" s="119">
        <f t="shared" si="2"/>
        <v>0.63204211939456467</v>
      </c>
      <c r="M34" s="1184">
        <f>C34/TableA4!D34</f>
        <v>0.2081320757956302</v>
      </c>
      <c r="N34" s="1184">
        <f>VLOOKUP(A34,TableA10!$A$8:$G$95,4,)/VLOOKUP(A34,TableA10!$A$8:$G$95,3,)</f>
        <v>1.3034855769230769</v>
      </c>
      <c r="O34" s="1184">
        <f>E34/TableA4!G34</f>
        <v>0.79331594976644759</v>
      </c>
      <c r="P34" s="121">
        <f>C34-O34*TableA4!D34</f>
        <v>-19.425534559297006</v>
      </c>
      <c r="Q34" s="1079"/>
      <c r="R34" s="958"/>
      <c r="S34" s="958"/>
      <c r="T34" s="320">
        <f t="shared" si="1"/>
        <v>0</v>
      </c>
      <c r="U34" s="320">
        <f t="shared" si="3"/>
        <v>0</v>
      </c>
    </row>
    <row r="35" spans="1:21" x14ac:dyDescent="0.2">
      <c r="A35" s="1154" t="s">
        <v>54</v>
      </c>
      <c r="B35" s="1214">
        <f>TableA6!B35</f>
        <v>87.784586815227485</v>
      </c>
      <c r="C35" s="1159">
        <f>TableA6!E35</f>
        <v>19.384207569701928</v>
      </c>
      <c r="D35" s="1159">
        <v>0</v>
      </c>
      <c r="E35" s="1159">
        <f t="shared" si="4"/>
        <v>68.400379245525556</v>
      </c>
      <c r="F35" s="1215">
        <f t="shared" si="0"/>
        <v>0.22081561550779508</v>
      </c>
      <c r="G35" s="1184">
        <f>TableA2!L35</f>
        <v>0.79203427559300121</v>
      </c>
      <c r="H35" s="1184">
        <f>D35/TableA2!C35</f>
        <v>0</v>
      </c>
      <c r="I35" s="1184">
        <f t="shared" si="5"/>
        <v>0</v>
      </c>
      <c r="J35" s="1184">
        <f>TableA6!I35/TableA2!$C35</f>
        <v>0</v>
      </c>
      <c r="K35" s="1184">
        <f>TableA6!J35/TableA2!$C35</f>
        <v>0</v>
      </c>
      <c r="L35" s="119">
        <f t="shared" si="2"/>
        <v>0.79203427559300121</v>
      </c>
      <c r="M35" s="1184">
        <f>C35/TableA4!D35</f>
        <v>0.49458294133053354</v>
      </c>
      <c r="N35" s="1184">
        <f>VLOOKUP(A35,TableA10!$A$8:$G$95,4,)/VLOOKUP(A35,TableA10!$A$8:$G$95,3,)</f>
        <v>0.35369993211133743</v>
      </c>
      <c r="O35" s="1184">
        <f>E35/TableA4!G35</f>
        <v>0.9547619569021214</v>
      </c>
      <c r="P35" s="121">
        <f>C35-O35*TableA4!D35</f>
        <v>-18.035813230968905</v>
      </c>
      <c r="Q35" s="1079"/>
      <c r="R35" s="958"/>
      <c r="S35" s="958"/>
      <c r="T35" s="320">
        <f t="shared" si="1"/>
        <v>0</v>
      </c>
      <c r="U35" s="320">
        <f t="shared" si="3"/>
        <v>0</v>
      </c>
    </row>
    <row r="36" spans="1:21" x14ac:dyDescent="0.2">
      <c r="A36" s="1154" t="s">
        <v>55</v>
      </c>
      <c r="B36" s="1214">
        <f>TableA6!B36</f>
        <v>26.618072907828797</v>
      </c>
      <c r="C36" s="1159">
        <f>TableA6!E36</f>
        <v>4.8218004507448811</v>
      </c>
      <c r="D36" s="1159">
        <v>0</v>
      </c>
      <c r="E36" s="1159">
        <f t="shared" si="4"/>
        <v>21.796272457083916</v>
      </c>
      <c r="F36" s="1215">
        <f t="shared" si="0"/>
        <v>0.18114761603672341</v>
      </c>
      <c r="G36" s="1184">
        <f>TableA2!L36</f>
        <v>0.45898248483094545</v>
      </c>
      <c r="H36" s="1184">
        <f>D36/TableA2!C36</f>
        <v>0</v>
      </c>
      <c r="I36" s="1184">
        <f t="shared" si="5"/>
        <v>0</v>
      </c>
      <c r="J36" s="1184">
        <f>TableA6!I36/TableA2!$C36</f>
        <v>0</v>
      </c>
      <c r="K36" s="1184">
        <f>TableA6!J36/TableA2!$C36</f>
        <v>0</v>
      </c>
      <c r="L36" s="119">
        <f t="shared" si="2"/>
        <v>0.45898248483094545</v>
      </c>
      <c r="M36" s="1184">
        <f>C36/TableA4!D36</f>
        <v>0.36763705254070139</v>
      </c>
      <c r="N36" s="1184">
        <f>VLOOKUP(A36,TableA10!$A$8:$G$95,4,)/VLOOKUP(A36,TableA10!$A$8:$G$95,3,)</f>
        <v>0.39500390320062451</v>
      </c>
      <c r="O36" s="1184">
        <f>E36/TableA4!G36</f>
        <v>0.48567830507336524</v>
      </c>
      <c r="P36" s="121">
        <f>C36-O36*TableA4!D36</f>
        <v>-1.5481882490761061</v>
      </c>
      <c r="Q36" s="1079"/>
      <c r="R36" s="958"/>
      <c r="S36" s="958"/>
      <c r="T36" s="320">
        <f t="shared" si="1"/>
        <v>0</v>
      </c>
      <c r="U36" s="320">
        <f t="shared" si="3"/>
        <v>0</v>
      </c>
    </row>
    <row r="37" spans="1:21" x14ac:dyDescent="0.2">
      <c r="A37" s="1154" t="s">
        <v>56</v>
      </c>
      <c r="B37" s="1214">
        <f>TableA6!B37</f>
        <v>11.604550057172386</v>
      </c>
      <c r="C37" s="1159">
        <f>TableA6!E37</f>
        <v>5.4939498259811472</v>
      </c>
      <c r="D37" s="1159">
        <v>0</v>
      </c>
      <c r="E37" s="1159">
        <f t="shared" si="4"/>
        <v>6.1106002311912384</v>
      </c>
      <c r="F37" s="1215">
        <f t="shared" si="0"/>
        <v>0.47343066287912816</v>
      </c>
      <c r="G37" s="1184">
        <f>TableA2!L37</f>
        <v>0.546278965386233</v>
      </c>
      <c r="H37" s="1184">
        <f>D37/TableA2!C37</f>
        <v>0</v>
      </c>
      <c r="I37" s="1184">
        <f t="shared" si="5"/>
        <v>0</v>
      </c>
      <c r="J37" s="1184">
        <f>TableA6!I37/TableA2!$C37</f>
        <v>0</v>
      </c>
      <c r="K37" s="1184">
        <f>TableA6!J37/TableA2!$C37</f>
        <v>0</v>
      </c>
      <c r="L37" s="119">
        <f t="shared" si="2"/>
        <v>0.546278965386233</v>
      </c>
      <c r="M37" s="1184">
        <f>C37/TableA4!D37</f>
        <v>0.57224436371630738</v>
      </c>
      <c r="N37" s="1184"/>
      <c r="O37" s="1184">
        <f>E37/TableA4!G37</f>
        <v>0.52486666755881606</v>
      </c>
      <c r="P37" s="121">
        <f>C37-O37*TableA4!D37</f>
        <v>0.45485932595201106</v>
      </c>
      <c r="Q37" s="1079"/>
      <c r="R37" s="958"/>
      <c r="S37" s="958"/>
      <c r="T37" s="320">
        <f t="shared" si="1"/>
        <v>0</v>
      </c>
      <c r="U37" s="320">
        <f t="shared" si="3"/>
        <v>0</v>
      </c>
    </row>
    <row r="38" spans="1:21" x14ac:dyDescent="0.2">
      <c r="A38" s="1154" t="s">
        <v>57</v>
      </c>
      <c r="B38" s="1214">
        <f>TableA6!B38</f>
        <v>3.417758487410429</v>
      </c>
      <c r="C38" s="1159">
        <f>TableA6!E38</f>
        <v>1.2522612330475162</v>
      </c>
      <c r="D38" s="1159">
        <v>0</v>
      </c>
      <c r="E38" s="1159">
        <f t="shared" si="4"/>
        <v>2.1654972543629127</v>
      </c>
      <c r="F38" s="1215">
        <f t="shared" si="0"/>
        <v>0.36639839756387554</v>
      </c>
      <c r="G38" s="1184">
        <f>TableA2!L38</f>
        <v>0.22872131230765103</v>
      </c>
      <c r="H38" s="1184">
        <f>D38/TableA2!C38</f>
        <v>0</v>
      </c>
      <c r="I38" s="1184">
        <f t="shared" si="5"/>
        <v>0</v>
      </c>
      <c r="J38" s="1184">
        <f>TableA6!I38/TableA2!$C38</f>
        <v>0</v>
      </c>
      <c r="K38" s="1184">
        <f>TableA6!J38/TableA2!$C38</f>
        <v>0</v>
      </c>
      <c r="L38" s="119">
        <f t="shared" si="2"/>
        <v>0.22872131230765103</v>
      </c>
      <c r="M38" s="1184">
        <f>C38/TableA4!D38</f>
        <v>0.31396441219878563</v>
      </c>
      <c r="N38" s="1184"/>
      <c r="O38" s="1184">
        <f>E38/TableA4!G38</f>
        <v>0.19768378236215448</v>
      </c>
      <c r="P38" s="121">
        <f>C38-O38*TableA4!D38</f>
        <v>0.46379054198845515</v>
      </c>
      <c r="Q38" s="1079"/>
      <c r="R38" s="958"/>
      <c r="S38" s="958"/>
      <c r="T38" s="320">
        <f t="shared" si="1"/>
        <v>0</v>
      </c>
      <c r="U38" s="320">
        <f t="shared" si="3"/>
        <v>0</v>
      </c>
    </row>
    <row r="39" spans="1:21" x14ac:dyDescent="0.2">
      <c r="A39" s="1154" t="s">
        <v>58</v>
      </c>
      <c r="B39" s="1214">
        <f>TableA6!B39</f>
        <v>158.95366208289389</v>
      </c>
      <c r="C39" s="1159">
        <f>TableA6!E39</f>
        <v>20.844161911169302</v>
      </c>
      <c r="D39" s="1159">
        <v>0</v>
      </c>
      <c r="E39" s="1159">
        <f t="shared" si="4"/>
        <v>138.10950017172459</v>
      </c>
      <c r="F39" s="1215">
        <f t="shared" si="0"/>
        <v>0.13113357464075995</v>
      </c>
      <c r="G39" s="1184">
        <f>TableA2!L39</f>
        <v>0.40428538787668511</v>
      </c>
      <c r="H39" s="1184">
        <f>D39/TableA2!C39</f>
        <v>0</v>
      </c>
      <c r="I39" s="1184">
        <f t="shared" si="5"/>
        <v>0</v>
      </c>
      <c r="J39" s="1184">
        <f>TableA6!I39/TableA2!$C39</f>
        <v>0</v>
      </c>
      <c r="K39" s="1184">
        <f>TableA6!J39/TableA2!$C39</f>
        <v>0</v>
      </c>
      <c r="L39" s="119">
        <f t="shared" si="2"/>
        <v>0.40428538787668511</v>
      </c>
      <c r="M39" s="1184">
        <f>C39/TableA4!D39</f>
        <v>0.24643753940062663</v>
      </c>
      <c r="N39" s="1184">
        <f>VLOOKUP(A39,TableA10!$A$8:$G$95,4,)/VLOOKUP(A39,TableA10!$A$8:$G$95,3,)</f>
        <v>0.26873857404021939</v>
      </c>
      <c r="O39" s="1184">
        <f>E39/TableA4!G39</f>
        <v>0.44755015816737814</v>
      </c>
      <c r="P39" s="121">
        <f>C39-O39*TableA4!D39</f>
        <v>-17.010492793220834</v>
      </c>
      <c r="Q39" s="1079"/>
      <c r="R39" s="958"/>
      <c r="S39" s="958"/>
      <c r="T39" s="320">
        <f t="shared" si="1"/>
        <v>0</v>
      </c>
      <c r="U39" s="320">
        <f t="shared" si="3"/>
        <v>0</v>
      </c>
    </row>
    <row r="40" spans="1:21" x14ac:dyDescent="0.2">
      <c r="A40" s="1154" t="s">
        <v>59</v>
      </c>
      <c r="B40" s="1214">
        <f>TableA6!B40</f>
        <v>63.367762356160583</v>
      </c>
      <c r="C40" s="1159">
        <f>TableA6!E40</f>
        <v>24.473912269549327</v>
      </c>
      <c r="D40" s="1159">
        <v>0</v>
      </c>
      <c r="E40" s="1159">
        <f t="shared" si="4"/>
        <v>38.893850086611252</v>
      </c>
      <c r="F40" s="1215">
        <f t="shared" si="0"/>
        <v>0.38622023817083678</v>
      </c>
      <c r="G40" s="1184">
        <f>TableA2!L40</f>
        <v>0.38626088690911503</v>
      </c>
      <c r="H40" s="1184">
        <f>D40/TableA2!C40</f>
        <v>0</v>
      </c>
      <c r="I40" s="1184">
        <f t="shared" si="5"/>
        <v>0</v>
      </c>
      <c r="J40" s="1184">
        <f>TableA6!I40/TableA2!$C40</f>
        <v>0</v>
      </c>
      <c r="K40" s="1184">
        <f>TableA6!J40/TableA2!$C40</f>
        <v>0</v>
      </c>
      <c r="L40" s="119">
        <f t="shared" si="2"/>
        <v>0.38626088690911503</v>
      </c>
      <c r="M40" s="1184">
        <f>C40/TableA4!D40</f>
        <v>0.53949704245493946</v>
      </c>
      <c r="N40" s="1184">
        <f>VLOOKUP(A40,TableA10!$A$8:$G$95,4,)/VLOOKUP(A40,TableA10!$A$8:$G$95,3,)</f>
        <v>0.46141975308641975</v>
      </c>
      <c r="O40" s="1184">
        <f>E40/TableA4!G40</f>
        <v>0.32769274240203272</v>
      </c>
      <c r="P40" s="121">
        <f>C40-O40*TableA4!D40</f>
        <v>9.6083563947268509</v>
      </c>
      <c r="Q40" s="1079"/>
      <c r="R40" s="958"/>
      <c r="S40" s="958"/>
      <c r="T40" s="320">
        <f t="shared" si="1"/>
        <v>0</v>
      </c>
      <c r="U40" s="320">
        <f t="shared" si="3"/>
        <v>0</v>
      </c>
    </row>
    <row r="41" spans="1:21" x14ac:dyDescent="0.2">
      <c r="A41" s="1154" t="s">
        <v>60</v>
      </c>
      <c r="B41" s="1214">
        <f>TableA6!B41</f>
        <v>94.889238877326122</v>
      </c>
      <c r="C41" s="1159">
        <f>TableA6!E41</f>
        <v>60.313127140541056</v>
      </c>
      <c r="D41" s="1159">
        <v>0</v>
      </c>
      <c r="E41" s="1159">
        <f t="shared" si="4"/>
        <v>34.576111736785066</v>
      </c>
      <c r="F41" s="1215">
        <f t="shared" si="0"/>
        <v>0.6356160914992115</v>
      </c>
      <c r="G41" s="1184">
        <f>TableA2!L41</f>
        <v>0.29546351380205693</v>
      </c>
      <c r="H41" s="1184">
        <f>D41/TableA2!C41</f>
        <v>0</v>
      </c>
      <c r="I41" s="1184">
        <f t="shared" si="5"/>
        <v>0</v>
      </c>
      <c r="J41" s="1184">
        <f>TableA6!I41/TableA2!$C41</f>
        <v>0</v>
      </c>
      <c r="K41" s="1184">
        <f>TableA6!J41/TableA2!$C41</f>
        <v>0</v>
      </c>
      <c r="L41" s="119">
        <f t="shared" si="2"/>
        <v>0.29546351380205693</v>
      </c>
      <c r="M41" s="1184">
        <f>C41/TableA4!D41</f>
        <v>3.1934639833073937</v>
      </c>
      <c r="N41" s="1184">
        <f>VLOOKUP(A41,TableA10!$A$8:$G$95,4,)/VLOOKUP(A41,TableA10!$A$8:$G$95,3,)</f>
        <v>3.0350836431226766</v>
      </c>
      <c r="O41" s="1111">
        <f>E41/TableA4!G41</f>
        <v>0.11438915202699569</v>
      </c>
      <c r="P41" s="122">
        <f>C41-O41*TableA4!D41</f>
        <v>58.152724672949248</v>
      </c>
      <c r="Q41" s="1079"/>
      <c r="R41" s="958"/>
      <c r="S41" s="958"/>
      <c r="T41" s="320">
        <f t="shared" ref="T41:T72" si="6">L41-G41-I41+H41</f>
        <v>0</v>
      </c>
      <c r="U41" s="320">
        <f t="shared" si="3"/>
        <v>0</v>
      </c>
    </row>
    <row r="42" spans="1:21" x14ac:dyDescent="0.2">
      <c r="A42" s="1154" t="s">
        <v>61</v>
      </c>
      <c r="B42" s="1214">
        <f>TableA6!B42</f>
        <v>212.59949330572061</v>
      </c>
      <c r="C42" s="1159">
        <f>TableA6!E42</f>
        <v>3.6081037546987877</v>
      </c>
      <c r="D42" s="1159">
        <v>0</v>
      </c>
      <c r="E42" s="1159">
        <f t="shared" si="4"/>
        <v>208.99138955102183</v>
      </c>
      <c r="F42" s="1215">
        <f t="shared" si="0"/>
        <v>1.6971365729034411E-2</v>
      </c>
      <c r="G42" s="1184">
        <f>TableA2!L42</f>
        <v>1.1786568376604671</v>
      </c>
      <c r="H42" s="1184">
        <f>D42/TableA2!C42</f>
        <v>0</v>
      </c>
      <c r="I42" s="1184">
        <f t="shared" si="5"/>
        <v>0</v>
      </c>
      <c r="J42" s="1184">
        <f>TableA6!I42/TableA2!$C42</f>
        <v>0</v>
      </c>
      <c r="K42" s="1184">
        <f>TableA6!J42/TableA2!$C42</f>
        <v>0</v>
      </c>
      <c r="L42" s="119">
        <f t="shared" si="2"/>
        <v>1.1786568376604671</v>
      </c>
      <c r="M42" s="1184">
        <f>C42/TableA4!D42</f>
        <v>0.43176052765093853</v>
      </c>
      <c r="N42" s="1184">
        <f>VLOOKUP(A42,TableA10!$A$8:$G$95,4,)/VLOOKUP(A42,TableA10!$A$8:$G$95,3,)</f>
        <v>0.43176052765093859</v>
      </c>
      <c r="O42" s="1184">
        <f>E42/TableA4!G42</f>
        <v>1.2149415243838195</v>
      </c>
      <c r="P42" s="121">
        <f>C42-O42*TableA4!D42</f>
        <v>-6.5448277782474689</v>
      </c>
      <c r="Q42" s="1079"/>
      <c r="R42" s="958"/>
      <c r="S42" s="958"/>
      <c r="T42" s="320">
        <f t="shared" si="6"/>
        <v>0</v>
      </c>
      <c r="U42" s="320">
        <f t="shared" si="3"/>
        <v>0</v>
      </c>
    </row>
    <row r="43" spans="1:21" x14ac:dyDescent="0.2">
      <c r="A43" s="1154" t="s">
        <v>62</v>
      </c>
      <c r="B43" s="1214">
        <f>TableA6!B43</f>
        <v>425.05098961874262</v>
      </c>
      <c r="C43" s="1159">
        <f>TableA6!E43</f>
        <v>72.19500365863982</v>
      </c>
      <c r="D43" s="1159">
        <v>0</v>
      </c>
      <c r="E43" s="1159">
        <f t="shared" si="4"/>
        <v>352.85598596010277</v>
      </c>
      <c r="F43" s="1215">
        <f t="shared" si="0"/>
        <v>0.16985021896642677</v>
      </c>
      <c r="G43" s="1184">
        <f>TableA2!L43</f>
        <v>0.41977482452487414</v>
      </c>
      <c r="H43" s="1184">
        <f>D43/TableA2!C43</f>
        <v>0</v>
      </c>
      <c r="I43" s="1184">
        <f t="shared" si="5"/>
        <v>0</v>
      </c>
      <c r="J43" s="1184">
        <f>TableA6!I43/TableA2!$C43</f>
        <v>0</v>
      </c>
      <c r="K43" s="1184">
        <f>TableA6!J43/TableA2!$C43</f>
        <v>0</v>
      </c>
      <c r="L43" s="119">
        <f t="shared" si="2"/>
        <v>0.41977482452487414</v>
      </c>
      <c r="M43" s="1184">
        <f>C43/TableA4!D43</f>
        <v>0.25723407405999843</v>
      </c>
      <c r="N43" s="1184">
        <f>VLOOKUP(A43,TableA10!$A$8:$G$95,4,)/VLOOKUP(A43,TableA10!$A$8:$G$95,3,)</f>
        <v>0.32541900820732633</v>
      </c>
      <c r="O43" s="1184">
        <f>E43/TableA4!G43</f>
        <v>0.48210280844721259</v>
      </c>
      <c r="P43" s="121">
        <f>C43-O43*TableA4!D43</f>
        <v>-63.111386627620902</v>
      </c>
      <c r="Q43" s="1079"/>
      <c r="R43" s="958"/>
      <c r="S43" s="958"/>
      <c r="T43" s="320">
        <f t="shared" si="6"/>
        <v>0</v>
      </c>
      <c r="U43" s="320">
        <f t="shared" si="3"/>
        <v>0</v>
      </c>
    </row>
    <row r="44" spans="1:21" x14ac:dyDescent="0.2">
      <c r="A44" s="1154" t="s">
        <v>63</v>
      </c>
      <c r="B44" s="1214">
        <f>TableA6!B44</f>
        <v>1889.3969000000002</v>
      </c>
      <c r="C44" s="1159">
        <f>TableA6!E44</f>
        <v>152.79999999999998</v>
      </c>
      <c r="D44" s="1159">
        <v>0</v>
      </c>
      <c r="E44" s="1159">
        <f t="shared" si="4"/>
        <v>1736.5969000000002</v>
      </c>
      <c r="F44" s="1215">
        <f t="shared" si="0"/>
        <v>8.0872367261743669E-2</v>
      </c>
      <c r="G44" s="1184">
        <f>TableA2!L44</f>
        <v>0.31301581156556391</v>
      </c>
      <c r="H44" s="1184">
        <f>D44/TableA2!C44</f>
        <v>0</v>
      </c>
      <c r="I44" s="1184">
        <f t="shared" si="5"/>
        <v>0</v>
      </c>
      <c r="J44" s="1184">
        <f>TableA6!I44/TableA2!$C44</f>
        <v>0</v>
      </c>
      <c r="K44" s="1184">
        <f>TableA6!J44/TableA2!$C44</f>
        <v>0</v>
      </c>
      <c r="L44" s="119">
        <f t="shared" si="2"/>
        <v>0.31301581156556391</v>
      </c>
      <c r="M44" s="1184">
        <f>C44/TableA4!D44</f>
        <v>0.28343272646330486</v>
      </c>
      <c r="N44" s="1184"/>
      <c r="O44" s="1218">
        <f>E44/TableA4!G44</f>
        <v>0.3159171001923794</v>
      </c>
      <c r="P44" s="121">
        <f>C44-O44*TableA4!D44</f>
        <v>-17.51248829921272</v>
      </c>
      <c r="Q44" s="1079"/>
      <c r="R44" s="958"/>
      <c r="S44" s="958"/>
      <c r="T44" s="320">
        <f t="shared" si="6"/>
        <v>0</v>
      </c>
      <c r="U44" s="320">
        <f t="shared" si="3"/>
        <v>0</v>
      </c>
    </row>
    <row r="45" spans="1:21" ht="40" customHeight="1" x14ac:dyDescent="0.2">
      <c r="A45" s="7" t="s">
        <v>64</v>
      </c>
      <c r="B45" s="304">
        <f>SUM(B46:B52)</f>
        <v>3157.101545061153</v>
      </c>
      <c r="C45" s="245">
        <f>SUM(C46:C52)</f>
        <v>253.30348219544206</v>
      </c>
      <c r="D45" s="245">
        <f>SUM(D46:D52)</f>
        <v>0</v>
      </c>
      <c r="E45" s="245">
        <f>SUM(E46:E52)</f>
        <v>2903.7980628657106</v>
      </c>
      <c r="F45" s="1213">
        <f t="shared" ref="F45:F53" si="7">C45/(B45-D45)</f>
        <v>8.0232922058430522E-2</v>
      </c>
      <c r="G45" s="266">
        <f>TableA2!L45</f>
        <v>0.68108145790918762</v>
      </c>
      <c r="H45" s="266">
        <f>D45/TableA2!C45</f>
        <v>0</v>
      </c>
      <c r="I45" s="266">
        <f>J45+K45</f>
        <v>0</v>
      </c>
      <c r="J45" s="266">
        <f>TableA6!I45/TableA2!$C45</f>
        <v>0</v>
      </c>
      <c r="K45" s="266">
        <f>TableA6!J45/TableA2!$C45</f>
        <v>0</v>
      </c>
      <c r="L45" s="265">
        <f>G45-H45+I45</f>
        <v>0.68108145790918762</v>
      </c>
      <c r="M45" s="266">
        <f>C45/TableA4!D45</f>
        <v>0.60344989333222621</v>
      </c>
      <c r="N45" s="266">
        <f>(TableA10!D43+TableA10!D52+TableA10!D45+TableA10!D81+TableA10!D31+TableA10!D68)/(TableA10!C43+TableA10!C45+TableA10!C52+TableA10!C81+TableA10!C31+TableA10!C68)</f>
        <v>0.20871685346538396</v>
      </c>
      <c r="O45" s="309">
        <f>E45/TableA4!G45</f>
        <v>0.68881132725607408</v>
      </c>
      <c r="P45" s="310">
        <v>0</v>
      </c>
      <c r="Q45" s="1079"/>
      <c r="R45" s="958"/>
      <c r="S45" s="958"/>
      <c r="T45" s="320">
        <f t="shared" si="6"/>
        <v>0</v>
      </c>
      <c r="U45" s="320">
        <f t="shared" si="3"/>
        <v>0</v>
      </c>
    </row>
    <row r="46" spans="1:21" x14ac:dyDescent="0.2">
      <c r="A46" s="1155" t="s">
        <v>65</v>
      </c>
      <c r="B46" s="1214">
        <f>TableA6!B46</f>
        <v>274.33569999999997</v>
      </c>
      <c r="C46" s="1159">
        <f>TableA6!E46</f>
        <v>29.642380154899492</v>
      </c>
      <c r="D46" s="1159">
        <v>0</v>
      </c>
      <c r="E46" s="1159">
        <f t="shared" si="4"/>
        <v>244.69331984510049</v>
      </c>
      <c r="F46" s="1215">
        <f t="shared" si="7"/>
        <v>0.10805148639021277</v>
      </c>
      <c r="G46" s="1184">
        <f>TableA2!L46</f>
        <v>0.40116486198248541</v>
      </c>
      <c r="H46" s="1184">
        <f>D46/TableA2!C46</f>
        <v>0</v>
      </c>
      <c r="I46" s="1184">
        <f t="shared" si="5"/>
        <v>0</v>
      </c>
      <c r="J46" s="1184">
        <f>TableA6!I46/TableA2!$C46</f>
        <v>0</v>
      </c>
      <c r="K46" s="1184">
        <f>TableA6!J46/TableA2!$C46</f>
        <v>0</v>
      </c>
      <c r="L46" s="119">
        <f t="shared" ref="L46:L52" si="8">G46-H46+I46</f>
        <v>0.40116486198248541</v>
      </c>
      <c r="M46" s="1184">
        <f>C46/TableA4!D46</f>
        <v>0.28488946288839928</v>
      </c>
      <c r="N46" s="1184">
        <f>VLOOKUP(A46,TableA10b!$A$8:$G$95,4,)/VLOOKUP(A46,TableA10b!$A$8:$G$95,3,)</f>
        <v>0.28488946288839928</v>
      </c>
      <c r="O46" s="1218">
        <f>E46/TableA4!G46</f>
        <v>0.42203123701335166</v>
      </c>
      <c r="P46" s="121">
        <f>C46-O46*TableA4!D46</f>
        <v>-14.269424226903311</v>
      </c>
      <c r="Q46" s="1079"/>
      <c r="R46" s="958"/>
      <c r="S46" s="958"/>
      <c r="T46" s="320">
        <f t="shared" si="6"/>
        <v>0</v>
      </c>
      <c r="U46" s="320">
        <f t="shared" si="3"/>
        <v>0</v>
      </c>
    </row>
    <row r="47" spans="1:21" x14ac:dyDescent="0.2">
      <c r="A47" s="1154" t="s">
        <v>66</v>
      </c>
      <c r="B47" s="1214">
        <f>TableA6!B47</f>
        <v>2068.7040725409047</v>
      </c>
      <c r="C47" s="1159">
        <f>TableA6!E47</f>
        <v>162.29225058924547</v>
      </c>
      <c r="D47" s="1159">
        <v>0</v>
      </c>
      <c r="E47" s="1159">
        <f t="shared" si="4"/>
        <v>1906.4118219516592</v>
      </c>
      <c r="F47" s="1215">
        <f t="shared" si="7"/>
        <v>7.8451167928484097E-2</v>
      </c>
      <c r="G47" s="1184">
        <f>TableA2!L47</f>
        <v>0.6894883048234598</v>
      </c>
      <c r="H47" s="1184">
        <f>D47/TableA2!C47</f>
        <v>0</v>
      </c>
      <c r="I47" s="1184">
        <f t="shared" si="5"/>
        <v>0</v>
      </c>
      <c r="J47" s="1184">
        <f>TableA6!I47/TableA2!$C47</f>
        <v>0</v>
      </c>
      <c r="K47" s="1184">
        <f>TableA6!J47/TableA2!$C47</f>
        <v>0</v>
      </c>
      <c r="L47" s="119">
        <f t="shared" si="8"/>
        <v>0.6894883048234598</v>
      </c>
      <c r="M47" s="1184">
        <f>C47/TableA4!D47</f>
        <v>0.86041477550450374</v>
      </c>
      <c r="N47" s="1184">
        <f>VLOOKUP(A47,TableA10!$A$8:$G$95,4,)/VLOOKUP(A47,TableA10!$A$8:$G$95,3,)</f>
        <v>0.86041477550450385</v>
      </c>
      <c r="O47" s="1218">
        <f>E47/TableA4!G47</f>
        <v>0.67802192655512161</v>
      </c>
      <c r="P47" s="121">
        <f>C47-O47*TableA4!D47</f>
        <v>34.40311206885427</v>
      </c>
      <c r="Q47" s="1079"/>
      <c r="R47" s="958"/>
      <c r="S47" s="958"/>
      <c r="T47" s="320">
        <f t="shared" si="6"/>
        <v>0</v>
      </c>
      <c r="U47" s="320">
        <f t="shared" si="3"/>
        <v>0</v>
      </c>
    </row>
    <row r="48" spans="1:21" x14ac:dyDescent="0.2">
      <c r="A48" s="1154" t="s">
        <v>67</v>
      </c>
      <c r="B48" s="1214">
        <f>TableA6!B48</f>
        <v>58.600733808963028</v>
      </c>
      <c r="C48" s="1159">
        <f>TableA6!E48</f>
        <v>6.7581585025254878</v>
      </c>
      <c r="D48" s="1159">
        <v>0</v>
      </c>
      <c r="E48" s="1159">
        <f t="shared" si="4"/>
        <v>51.842575306437539</v>
      </c>
      <c r="F48" s="1215">
        <f t="shared" si="7"/>
        <v>0.11532549275845112</v>
      </c>
      <c r="G48" s="1184">
        <f>TableA2!L48</f>
        <v>1.0817835759803136</v>
      </c>
      <c r="H48" s="1184">
        <f>D48/TableA2!C48</f>
        <v>0</v>
      </c>
      <c r="I48" s="1184">
        <f t="shared" si="5"/>
        <v>0</v>
      </c>
      <c r="J48" s="1184">
        <f>TableA6!I48/TableA2!$C48</f>
        <v>0</v>
      </c>
      <c r="K48" s="1184">
        <f>TableA6!J48/TableA2!$C48</f>
        <v>0</v>
      </c>
      <c r="L48" s="119">
        <f t="shared" si="8"/>
        <v>1.0817835759803136</v>
      </c>
      <c r="M48" s="1184">
        <f>C48/TableA4!D48</f>
        <v>0.59300746775288526</v>
      </c>
      <c r="N48" s="1184">
        <f>VLOOKUP(A48,TableA10b!$A$8:$G$95,4,)/VLOOKUP(A48,TableA10b!$A$8:$G$95,3,)</f>
        <v>0.59300746775288526</v>
      </c>
      <c r="O48" s="1218">
        <f>E48/TableA4!G48</f>
        <v>1.2120095634890702</v>
      </c>
      <c r="P48" s="121">
        <f>C48-O48*TableA4!D48</f>
        <v>-7.0544040401930346</v>
      </c>
      <c r="Q48" s="1079"/>
      <c r="R48" s="958"/>
      <c r="S48" s="958"/>
      <c r="T48" s="320">
        <f t="shared" si="6"/>
        <v>0</v>
      </c>
      <c r="U48" s="320">
        <f t="shared" si="3"/>
        <v>0</v>
      </c>
    </row>
    <row r="49" spans="1:22" x14ac:dyDescent="0.2">
      <c r="A49" s="1154" t="s">
        <v>68</v>
      </c>
      <c r="B49" s="1214">
        <f>TableA6!B49</f>
        <v>13.202740172271037</v>
      </c>
      <c r="C49" s="1159">
        <f>TableA6!E49</f>
        <v>1.0992314060745381</v>
      </c>
      <c r="D49" s="1159">
        <v>0</v>
      </c>
      <c r="E49" s="1159">
        <f t="shared" si="4"/>
        <v>12.103508766196498</v>
      </c>
      <c r="F49" s="1215">
        <f t="shared" si="7"/>
        <v>8.3257823128504119E-2</v>
      </c>
      <c r="G49" s="1184">
        <f>TableA2!L49</f>
        <v>0.84460673307568312</v>
      </c>
      <c r="H49" s="1184">
        <f>D49/TableA2!C49</f>
        <v>0</v>
      </c>
      <c r="I49" s="1184">
        <f t="shared" si="5"/>
        <v>0</v>
      </c>
      <c r="J49" s="1184">
        <f>TableA6!I49/TableA2!$C49</f>
        <v>0</v>
      </c>
      <c r="K49" s="1184">
        <f>TableA6!J49/TableA2!$C49</f>
        <v>0</v>
      </c>
      <c r="L49" s="119">
        <f t="shared" si="8"/>
        <v>0.84460673307568312</v>
      </c>
      <c r="M49" s="1184">
        <f>C49/TableA4!D49</f>
        <v>0.58033898305084741</v>
      </c>
      <c r="N49" s="1184">
        <f>VLOOKUP(A49,TableA10!$A$8:$G$95,4,)/VLOOKUP(A49,TableA10!$A$8:$G$95,3,)</f>
        <v>0.58033898305084741</v>
      </c>
      <c r="O49" s="1218">
        <f>E49/TableA4!G49</f>
        <v>0.88104330559766775</v>
      </c>
      <c r="P49" s="121">
        <f>C49-O49*TableA4!D49</f>
        <v>-0.56956993229743369</v>
      </c>
      <c r="Q49" s="1079"/>
      <c r="R49" s="958"/>
      <c r="S49" s="958"/>
      <c r="T49" s="320">
        <f t="shared" si="6"/>
        <v>0</v>
      </c>
      <c r="U49" s="320">
        <f t="shared" si="3"/>
        <v>0</v>
      </c>
      <c r="V49" s="958"/>
    </row>
    <row r="50" spans="1:22" x14ac:dyDescent="0.2">
      <c r="A50" s="1154" t="s">
        <v>69</v>
      </c>
      <c r="B50" s="1214">
        <f>TableA6!B50</f>
        <v>376.12710693199818</v>
      </c>
      <c r="C50" s="1159">
        <f>TableA6!E50</f>
        <v>7.7329709258650219</v>
      </c>
      <c r="D50" s="1159">
        <v>0</v>
      </c>
      <c r="E50" s="1159">
        <f t="shared" si="4"/>
        <v>368.39413600613318</v>
      </c>
      <c r="F50" s="1215">
        <f t="shared" si="7"/>
        <v>2.0559461903560974E-2</v>
      </c>
      <c r="G50" s="1184">
        <f>TableA2!L50</f>
        <v>1.1804668339549873</v>
      </c>
      <c r="H50" s="1184">
        <f>D50/TableA2!C50</f>
        <v>0</v>
      </c>
      <c r="I50" s="1184">
        <f t="shared" si="5"/>
        <v>0</v>
      </c>
      <c r="J50" s="1184">
        <f>TableA6!I50/TableA2!$C50</f>
        <v>0</v>
      </c>
      <c r="K50" s="1184">
        <f>TableA6!J50/TableA2!$C50</f>
        <v>0</v>
      </c>
      <c r="L50" s="119">
        <f t="shared" si="8"/>
        <v>1.1804668339549873</v>
      </c>
      <c r="M50" s="1184">
        <f>C50/TableA4!D50</f>
        <v>0.36740237691001698</v>
      </c>
      <c r="N50" s="1184">
        <f>VLOOKUP(A50,TableA10!$A$8:$G$95,4,)/VLOOKUP(A50,TableA10!$A$8:$G$95,3,)</f>
        <v>0.36740237691001698</v>
      </c>
      <c r="O50" s="1218">
        <f>E50/TableA4!G50</f>
        <v>1.2379748666810551</v>
      </c>
      <c r="P50" s="121">
        <f>C50-O50*TableA4!D50</f>
        <v>-18.323538919036906</v>
      </c>
      <c r="Q50" s="1079"/>
      <c r="R50" s="958"/>
      <c r="S50" s="958"/>
      <c r="T50" s="320">
        <f t="shared" si="6"/>
        <v>0</v>
      </c>
      <c r="U50" s="320">
        <f t="shared" si="3"/>
        <v>0</v>
      </c>
      <c r="V50" s="958"/>
    </row>
    <row r="51" spans="1:22" x14ac:dyDescent="0.2">
      <c r="A51" s="1154" t="s">
        <v>70</v>
      </c>
      <c r="B51" s="1214">
        <f>TableA6!B51</f>
        <v>289.6640115913587</v>
      </c>
      <c r="C51" s="1159">
        <f>TableA6!E51</f>
        <v>37.035306707060499</v>
      </c>
      <c r="D51" s="1159">
        <v>0</v>
      </c>
      <c r="E51" s="1159">
        <f t="shared" si="4"/>
        <v>252.6287048842982</v>
      </c>
      <c r="F51" s="1215">
        <f t="shared" si="7"/>
        <v>0.12785608575810162</v>
      </c>
      <c r="G51" s="1184">
        <f>TableA2!L51</f>
        <v>0.62204444586734098</v>
      </c>
      <c r="H51" s="1184">
        <f>D51/TableA2!C51</f>
        <v>0</v>
      </c>
      <c r="I51" s="1184">
        <f t="shared" si="5"/>
        <v>0</v>
      </c>
      <c r="J51" s="1184">
        <f>TableA6!I51/TableA2!$C51</f>
        <v>0</v>
      </c>
      <c r="K51" s="1184">
        <f>TableA6!J51/TableA2!$C51</f>
        <v>0</v>
      </c>
      <c r="L51" s="119">
        <f t="shared" si="8"/>
        <v>0.62204444586734098</v>
      </c>
      <c r="M51" s="1184">
        <f>C51/TableA4!D51</f>
        <v>0.57186108637577915</v>
      </c>
      <c r="N51" s="1184">
        <f>VLOOKUP(A51,TableA10b!$A$8:$G$95,4,)/VLOOKUP(A51,TableA10b!$A$8:$G$95,3,)</f>
        <v>0.57186108637577915</v>
      </c>
      <c r="O51" s="1218">
        <f>E51/TableA4!G51</f>
        <v>0.63015120382906453</v>
      </c>
      <c r="P51" s="121">
        <f>C51-O51*TableA4!D51</f>
        <v>-3.7750293372023975</v>
      </c>
      <c r="Q51" s="1079"/>
      <c r="R51" s="958"/>
      <c r="S51" s="958"/>
      <c r="T51" s="320">
        <f t="shared" si="6"/>
        <v>0</v>
      </c>
      <c r="U51" s="320">
        <f t="shared" si="3"/>
        <v>0</v>
      </c>
      <c r="V51" s="958"/>
    </row>
    <row r="52" spans="1:22" x14ac:dyDescent="0.2">
      <c r="A52" s="1154" t="s">
        <v>71</v>
      </c>
      <c r="B52" s="1214">
        <f>TableA6!B52</f>
        <v>76.467180015656993</v>
      </c>
      <c r="C52" s="1159">
        <f>TableA6!E52</f>
        <v>8.7431839097715454</v>
      </c>
      <c r="D52" s="1159">
        <v>0</v>
      </c>
      <c r="E52" s="1159">
        <f t="shared" si="4"/>
        <v>67.723996105885448</v>
      </c>
      <c r="F52" s="1215">
        <f t="shared" si="7"/>
        <v>0.11433903941509729</v>
      </c>
      <c r="G52" s="1184">
        <f>TableA2!L52</f>
        <v>0.78720845080042035</v>
      </c>
      <c r="H52" s="1184">
        <f>D52/TableA2!C52</f>
        <v>0</v>
      </c>
      <c r="I52" s="1184">
        <f t="shared" si="5"/>
        <v>0</v>
      </c>
      <c r="J52" s="1184">
        <f>TableA6!I52/TableA2!$C52</f>
        <v>0</v>
      </c>
      <c r="K52" s="1184">
        <f>TableA6!J52/TableA2!$C52</f>
        <v>0</v>
      </c>
      <c r="L52" s="119">
        <f t="shared" si="8"/>
        <v>0.78720845080042035</v>
      </c>
      <c r="M52" s="1184">
        <f>C52/TableA4!D52</f>
        <v>0.31238725195429945</v>
      </c>
      <c r="N52" s="1184">
        <f>VLOOKUP(A52,TableA10!$A$8:$G$95,4,)/VLOOKUP(A52,TableA10!$A$8:$G$95,3,)</f>
        <v>0.31238725195429945</v>
      </c>
      <c r="O52" s="1218">
        <f>E52/TableA4!G52</f>
        <v>0.97939430014021822</v>
      </c>
      <c r="P52" s="121">
        <f>C52-O52*TableA4!D52</f>
        <v>-18.668384368823393</v>
      </c>
      <c r="Q52" s="1079"/>
      <c r="R52" s="958"/>
      <c r="S52" s="958"/>
      <c r="T52" s="320">
        <f t="shared" si="6"/>
        <v>0</v>
      </c>
      <c r="U52" s="320">
        <f t="shared" si="3"/>
        <v>0</v>
      </c>
      <c r="V52" s="958"/>
    </row>
    <row r="53" spans="1:22" ht="40" customHeight="1" x14ac:dyDescent="0.2">
      <c r="A53" s="7" t="s">
        <v>72</v>
      </c>
      <c r="B53" s="304">
        <f>SUM(B54:B89)</f>
        <v>485.75226113968216</v>
      </c>
      <c r="C53" s="245">
        <f>SUM(C54:C89)</f>
        <v>379.64154036573251</v>
      </c>
      <c r="D53" s="245">
        <f>SUM(D54:D89)</f>
        <v>0</v>
      </c>
      <c r="E53" s="245">
        <f>SUM(E54:E89)</f>
        <v>106.11072077394961</v>
      </c>
      <c r="F53" s="1213">
        <f t="shared" si="7"/>
        <v>0.7815538304958366</v>
      </c>
      <c r="G53" s="266">
        <f>TableA2!L53</f>
        <v>0.9495478158383921</v>
      </c>
      <c r="H53" s="266">
        <f>D53/TableA2!C53</f>
        <v>0</v>
      </c>
      <c r="I53" s="266">
        <f>TableA6!D53/TableA2!C53</f>
        <v>0.59411815848754679</v>
      </c>
      <c r="J53" s="266">
        <f>TableA6!I53/TableA2!$C53</f>
        <v>0.1253592019677329</v>
      </c>
      <c r="K53" s="266">
        <f>TableA6!J53/TableA2!$C53</f>
        <v>0.57918768418334599</v>
      </c>
      <c r="L53" s="265">
        <f>(C53+E53)/TableA2!C53</f>
        <v>1.5436659743259391</v>
      </c>
      <c r="M53" s="266">
        <f>C53/TableA4!D53</f>
        <v>4.0562827786519096</v>
      </c>
      <c r="N53" s="266">
        <f>(TableA10!D59+TableA10!D60+TableA10!D62+TableA10!D63+TableA10!D80+TableA10!D88+C89*1000)/(TableA10!C59+TableA10!C60+TableA10!C62+TableA10!C63+TableA10!C80+TableA10!C88+TableA4!D89*1000)</f>
        <v>3.6378279827459132</v>
      </c>
      <c r="O53" s="514">
        <f>(E9+E45)/(TableA4!G9+TableA4!G45)</f>
        <v>0.47996308817683037</v>
      </c>
      <c r="P53" s="305">
        <f>SUM(P54:P89)</f>
        <v>334.72013422680857</v>
      </c>
      <c r="Q53" s="1219"/>
      <c r="R53" s="958"/>
      <c r="S53" s="958"/>
      <c r="T53" s="320">
        <f t="shared" si="6"/>
        <v>2.2204460492503131E-16</v>
      </c>
      <c r="U53" s="320">
        <f t="shared" si="3"/>
        <v>0</v>
      </c>
      <c r="V53" s="958"/>
    </row>
    <row r="54" spans="1:22" x14ac:dyDescent="0.2">
      <c r="A54" s="1154" t="s">
        <v>73</v>
      </c>
      <c r="B54" s="1214">
        <f>TableA6!B54</f>
        <v>1.2179448838266</v>
      </c>
      <c r="C54" s="1159">
        <f>TableA6!E54</f>
        <v>1.0713339190228408</v>
      </c>
      <c r="D54" s="1159">
        <v>0</v>
      </c>
      <c r="E54" s="1159">
        <f>TableA6!K54</f>
        <v>0.14661096480375915</v>
      </c>
      <c r="F54" s="1213">
        <f t="shared" ref="F54:F83" si="9">C54/(B54-D54)</f>
        <v>0.87962430258491697</v>
      </c>
      <c r="G54" s="1216">
        <f>TableA2!L54</f>
        <v>2.3923255199351803</v>
      </c>
      <c r="H54" s="1216">
        <f>D54/TableA2!C54</f>
        <v>0</v>
      </c>
      <c r="I54" s="1216">
        <f>TableA6!D54/TableA2!C54</f>
        <v>0</v>
      </c>
      <c r="J54" s="1216">
        <f>TableA6!I54/TableA2!$C54</f>
        <v>0</v>
      </c>
      <c r="K54" s="1216">
        <f>TableA6!J54/TableA2!$C54</f>
        <v>2.171958577610551</v>
      </c>
      <c r="L54" s="119">
        <f>(C54+E54)/TableA2!C54</f>
        <v>2.3923255199351803</v>
      </c>
      <c r="M54" s="1184">
        <f>C54/TableA4!D54</f>
        <v>5.2608691675727046</v>
      </c>
      <c r="N54" s="1184">
        <f>TableA10!D37/TableA10!C37</f>
        <v>1.5591216216216208</v>
      </c>
      <c r="O54" s="1220">
        <f>O$53</f>
        <v>0.47996308817683037</v>
      </c>
      <c r="P54" s="121">
        <f>C54-O54*TableA4!D54</f>
        <v>0.97359327582033472</v>
      </c>
      <c r="Q54" s="1221">
        <v>3.0833378643837484E-3</v>
      </c>
      <c r="R54" s="958"/>
      <c r="S54" s="958"/>
      <c r="T54" s="320">
        <f t="shared" si="6"/>
        <v>0</v>
      </c>
      <c r="U54" s="320">
        <f t="shared" si="3"/>
        <v>0</v>
      </c>
      <c r="V54" s="958"/>
    </row>
    <row r="55" spans="1:22" x14ac:dyDescent="0.2">
      <c r="A55" s="1154" t="s">
        <v>74</v>
      </c>
      <c r="B55" s="1214">
        <f>TableA6!B55</f>
        <v>0.23996156292186116</v>
      </c>
      <c r="C55" s="1159">
        <f>TableA6!E55</f>
        <v>0.22608681761471922</v>
      </c>
      <c r="D55" s="1866">
        <v>0</v>
      </c>
      <c r="E55" s="1159">
        <f>TableA6!K55</f>
        <v>1.3874745307141934E-2</v>
      </c>
      <c r="F55" s="1215">
        <f t="shared" si="9"/>
        <v>0.94217930097554836</v>
      </c>
      <c r="G55" s="1216">
        <f>TableA2!L55</f>
        <v>2.3923282826230872</v>
      </c>
      <c r="H55" s="1184">
        <f>D55/TableA2!C55</f>
        <v>0</v>
      </c>
      <c r="I55" s="1184">
        <f>TableA6!D55/TableA2!C55</f>
        <v>2.5882039102567727</v>
      </c>
      <c r="J55" s="1184">
        <f>TableA6!I55/TableA2!$C55</f>
        <v>0</v>
      </c>
      <c r="K55" s="1184">
        <f>TableA6!J55/TableA2!$C55</f>
        <v>2.5609602213968543</v>
      </c>
      <c r="L55" s="119">
        <f>(C55+E55)/TableA2!C55</f>
        <v>4.9805321928798598</v>
      </c>
      <c r="M55" s="1184">
        <f>C55/TableA4!D55</f>
        <v>11.731385849934403</v>
      </c>
      <c r="N55" s="1184">
        <f>TableA10!D$63/TableA10!C$63</f>
        <v>14.031458531935176</v>
      </c>
      <c r="O55" s="1220">
        <f t="shared" ref="O55:O90" si="10">O$53</f>
        <v>0.47996308817683037</v>
      </c>
      <c r="P55" s="121">
        <f>C55-O55*TableA4!D55</f>
        <v>0.21683698740995794</v>
      </c>
      <c r="Q55" s="1221">
        <v>-1.5052088272046125E-2</v>
      </c>
      <c r="R55" s="958"/>
      <c r="S55" s="958"/>
      <c r="T55" s="320">
        <f t="shared" si="6"/>
        <v>0</v>
      </c>
      <c r="U55" s="320">
        <f t="shared" si="3"/>
        <v>0</v>
      </c>
      <c r="V55" s="958"/>
    </row>
    <row r="56" spans="1:22" x14ac:dyDescent="0.2">
      <c r="A56" s="1154" t="str">
        <f>+TableA1!A56</f>
        <v>Antigua and Barbuda</v>
      </c>
      <c r="B56" s="1214">
        <f>TableA6!B56</f>
        <v>0.83688997048164881</v>
      </c>
      <c r="C56" s="1159">
        <f>TableA6!E56</f>
        <v>0.80975658198969502</v>
      </c>
      <c r="D56" s="1159">
        <v>0</v>
      </c>
      <c r="E56" s="1159">
        <f>TableA6!K56</f>
        <v>2.7133388491953736E-2</v>
      </c>
      <c r="F56" s="1215">
        <f t="shared" si="9"/>
        <v>0.96757830844078829</v>
      </c>
      <c r="G56" s="1216">
        <f>TableA2!L56</f>
        <v>7.8984192228753365</v>
      </c>
      <c r="H56" s="1184">
        <f>D56/TableA2!C56</f>
        <v>0</v>
      </c>
      <c r="I56" s="1184">
        <f>TableA6!D56/TableA2!C56</f>
        <v>0.98383950752326899</v>
      </c>
      <c r="J56" s="1184">
        <f>TableA6!I56/TableA2!$C56</f>
        <v>0</v>
      </c>
      <c r="K56" s="1184">
        <f>TableA6!J56/TableA2!$C56</f>
        <v>7.7351530408344944</v>
      </c>
      <c r="L56" s="119">
        <f>(C56+E56)/TableA2!C56</f>
        <v>8.8822587303986058</v>
      </c>
      <c r="M56" s="1184">
        <f>C56/TableA4!D56</f>
        <v>21.485702193731267</v>
      </c>
      <c r="N56" s="1184">
        <f>TableA10!D$63/TableA10!C$63</f>
        <v>14.031458531935176</v>
      </c>
      <c r="O56" s="1220">
        <f t="shared" si="10"/>
        <v>0.47996308817683037</v>
      </c>
      <c r="P56" s="121">
        <f>C56-O56*TableA4!D56</f>
        <v>0.79166765632839253</v>
      </c>
      <c r="Q56" s="1221">
        <v>8.6504554915528709E-3</v>
      </c>
      <c r="R56" s="958"/>
      <c r="S56" s="958"/>
      <c r="T56" s="320">
        <f t="shared" si="6"/>
        <v>3.3306690738754696E-16</v>
      </c>
      <c r="U56" s="320">
        <f t="shared" si="3"/>
        <v>5.5511151231257827E-17</v>
      </c>
      <c r="V56" s="958"/>
    </row>
    <row r="57" spans="1:22" x14ac:dyDescent="0.2">
      <c r="A57" s="1154" t="s">
        <v>76</v>
      </c>
      <c r="B57" s="1214">
        <f>TableA6!B57</f>
        <v>1.0830039076807072</v>
      </c>
      <c r="C57" s="1159">
        <f>TableA6!E57</f>
        <v>0.95263604569226357</v>
      </c>
      <c r="D57" s="1866">
        <v>0</v>
      </c>
      <c r="E57" s="1159">
        <f>TableA6!K57</f>
        <v>0.13036786198844358</v>
      </c>
      <c r="F57" s="1215">
        <f t="shared" si="9"/>
        <v>0.87962383047386117</v>
      </c>
      <c r="G57" s="1216">
        <f>TableA2!L57</f>
        <v>2.3923161373195709</v>
      </c>
      <c r="H57" s="1184">
        <f>D57/TableA2!C57</f>
        <v>0</v>
      </c>
      <c r="I57" s="1184">
        <f>TableA6!D57/TableA2!C57</f>
        <v>0</v>
      </c>
      <c r="J57" s="1184">
        <f>TableA6!I57/TableA2!$C57</f>
        <v>0</v>
      </c>
      <c r="K57" s="1184">
        <f>TableA6!J57/TableA2!$C57</f>
        <v>2.0073413382474254</v>
      </c>
      <c r="L57" s="119">
        <f>(C57+E57)/TableA2!C57</f>
        <v>2.3923161373195709</v>
      </c>
      <c r="M57" s="1184">
        <f>C57/TableA4!D57</f>
        <v>5.2608457110336815</v>
      </c>
      <c r="N57" s="1184">
        <f>TableA10!D$63/TableA10!C$63</f>
        <v>14.031458531935176</v>
      </c>
      <c r="O57" s="1220">
        <f t="shared" si="10"/>
        <v>0.47996308817683037</v>
      </c>
      <c r="P57" s="121">
        <f>C57-O57*TableA4!D57</f>
        <v>0.86572413769996781</v>
      </c>
      <c r="Q57" s="1221">
        <v>0.24127676815119031</v>
      </c>
      <c r="R57" s="958"/>
      <c r="S57" s="958"/>
      <c r="T57" s="320">
        <f t="shared" si="6"/>
        <v>0</v>
      </c>
      <c r="U57" s="320">
        <f t="shared" si="3"/>
        <v>0</v>
      </c>
      <c r="V57" s="958"/>
    </row>
    <row r="58" spans="1:22" x14ac:dyDescent="0.2">
      <c r="A58" s="1154" t="s">
        <v>152</v>
      </c>
      <c r="B58" s="1214">
        <f>TableA6!B58</f>
        <v>7.5674507528223769</v>
      </c>
      <c r="C58" s="1159">
        <f>TableA6!E58</f>
        <v>7.4256876071944387</v>
      </c>
      <c r="D58" s="1866">
        <v>0</v>
      </c>
      <c r="E58" s="1159">
        <f>TableA6!K58</f>
        <v>0.1417631456279379</v>
      </c>
      <c r="F58" s="1215">
        <f t="shared" si="9"/>
        <v>0.98126672372792567</v>
      </c>
      <c r="G58" s="1216">
        <f>TableA2!L58</f>
        <v>13.025874775347917</v>
      </c>
      <c r="H58" s="1184">
        <f>D58/TableA2!C58</f>
        <v>0</v>
      </c>
      <c r="I58" s="1184">
        <f>TableA6!D58/TableA2!C58</f>
        <v>2.3466553002047297</v>
      </c>
      <c r="J58" s="1184">
        <f>TableA6!I58/TableA2!$C58</f>
        <v>11.090152854335686</v>
      </c>
      <c r="K58" s="1184">
        <f>TableA6!J58/TableA2!$C58</f>
        <v>2.493548736246979</v>
      </c>
      <c r="L58" s="119">
        <f>(C58+E58)/TableA2!C58</f>
        <v>15.372530075552646</v>
      </c>
      <c r="M58" s="1184">
        <f>C58/TableA4!D58</f>
        <v>37.711380556616369</v>
      </c>
      <c r="N58" s="1184">
        <f>TableA10!D$63/TableA10!C$63</f>
        <v>14.031458531935176</v>
      </c>
      <c r="O58" s="1220">
        <f t="shared" si="10"/>
        <v>0.47996308817683037</v>
      </c>
      <c r="P58" s="121">
        <f>C58-O58*TableA4!D58</f>
        <v>7.3311788434424798</v>
      </c>
      <c r="Q58" s="1221">
        <v>0.82004020553788814</v>
      </c>
      <c r="R58" s="958"/>
      <c r="S58" s="958"/>
      <c r="T58" s="320">
        <f t="shared" si="6"/>
        <v>-8.8817841970012523E-16</v>
      </c>
      <c r="U58" s="320">
        <f t="shared" si="3"/>
        <v>3.3306690738754696E-16</v>
      </c>
      <c r="V58" s="958"/>
    </row>
    <row r="59" spans="1:22" x14ac:dyDescent="0.2">
      <c r="A59" s="1154" t="s">
        <v>78</v>
      </c>
      <c r="B59" s="1214">
        <f>TableA6!B59</f>
        <v>12.818630643859262</v>
      </c>
      <c r="C59" s="1159">
        <f>TableA6!E59</f>
        <v>9.9035637652207527</v>
      </c>
      <c r="D59" s="1866">
        <v>0</v>
      </c>
      <c r="E59" s="1159">
        <f>TableA6!K59</f>
        <v>2.9150668786385086</v>
      </c>
      <c r="F59" s="1215">
        <f t="shared" si="9"/>
        <v>0.7725913976595491</v>
      </c>
      <c r="G59" s="1216">
        <f>TableA2!L59</f>
        <v>1.1886326440866672</v>
      </c>
      <c r="H59" s="1184">
        <f>D59/TableA2!C59</f>
        <v>0</v>
      </c>
      <c r="I59" s="1184">
        <f>TableA6!D59/TableA2!C59</f>
        <v>7.7712823684907076E-2</v>
      </c>
      <c r="J59" s="1184">
        <f>TableA6!I59/TableA2!$C59</f>
        <v>9.6292997742348937E-2</v>
      </c>
      <c r="K59" s="1184">
        <f>TableA6!J59/TableA2!$C59</f>
        <v>0.81859172082117837</v>
      </c>
      <c r="L59" s="119">
        <f>(C59+E59)/TableA2!C59</f>
        <v>1.2663454677715744</v>
      </c>
      <c r="M59" s="1184">
        <f>C59/TableA4!D59</f>
        <v>2.4459190371636907</v>
      </c>
      <c r="N59" s="1184">
        <f>TableA10!D75/TableA10!C75</f>
        <v>2.6792645556690502</v>
      </c>
      <c r="O59" s="1220">
        <f t="shared" si="10"/>
        <v>0.47996308817683037</v>
      </c>
      <c r="P59" s="121">
        <f>C59-O59*TableA4!D59</f>
        <v>7.9601858461284136</v>
      </c>
      <c r="Q59" s="1221">
        <v>1.6053543751581547</v>
      </c>
      <c r="R59" s="958"/>
      <c r="S59" s="958"/>
      <c r="T59" s="320">
        <f t="shared" si="6"/>
        <v>9.7144514654701197E-17</v>
      </c>
      <c r="U59" s="320">
        <f t="shared" si="3"/>
        <v>0</v>
      </c>
      <c r="V59" s="958"/>
    </row>
    <row r="60" spans="1:22" x14ac:dyDescent="0.2">
      <c r="A60" s="1154" t="str">
        <f>+TableA1!A60</f>
        <v>Barbados</v>
      </c>
      <c r="B60" s="1214">
        <f>TableA6!B60</f>
        <v>4.7927919009162316</v>
      </c>
      <c r="C60" s="1159">
        <f>TableA6!E60</f>
        <v>4.6934588361797722</v>
      </c>
      <c r="D60" s="1866">
        <v>0</v>
      </c>
      <c r="E60" s="1159">
        <f>TableA6!K60</f>
        <v>9.933306473645917E-2</v>
      </c>
      <c r="F60" s="1215">
        <f t="shared" si="9"/>
        <v>0.97927448827530561</v>
      </c>
      <c r="G60" s="1216">
        <f>TableA2!L60</f>
        <v>7.1637948004065679</v>
      </c>
      <c r="H60" s="1184">
        <f>D60/TableA2!C60</f>
        <v>0</v>
      </c>
      <c r="I60" s="1184">
        <f>TableA6!D60/TableA2!C60</f>
        <v>6.7310540569548074</v>
      </c>
      <c r="J60" s="1184">
        <f>TableA6!I60/TableA2!$C60</f>
        <v>4.65234739282762</v>
      </c>
      <c r="K60" s="1184">
        <f>TableA6!J60/TableA2!$C60</f>
        <v>3.1691441921362671</v>
      </c>
      <c r="L60" s="119">
        <f>(C60+E60)/TableA2!C60</f>
        <v>13.894848857361376</v>
      </c>
      <c r="M60" s="1184">
        <f>C60/TableA4!D60</f>
        <v>34.017177511138193</v>
      </c>
      <c r="N60" s="1184">
        <f>VLOOKUP(A60,TableA10!$A$8:$G$95,4,)/VLOOKUP(A60,TableA10!$A$8:$G$95,3,)</f>
        <v>25.326530612244898</v>
      </c>
      <c r="O60" s="1220">
        <f t="shared" si="10"/>
        <v>0.47996308817683037</v>
      </c>
      <c r="P60" s="121">
        <f>C60-O60*TableA4!D60</f>
        <v>4.6272367930221332</v>
      </c>
      <c r="Q60" s="1221">
        <v>2.145785584697153</v>
      </c>
      <c r="R60" s="958"/>
      <c r="S60" s="958"/>
      <c r="T60" s="320">
        <f t="shared" si="6"/>
        <v>8.8817841970012523E-16</v>
      </c>
      <c r="U60" s="320">
        <f t="shared" si="3"/>
        <v>2.4980018054066022E-16</v>
      </c>
      <c r="V60" s="958"/>
    </row>
    <row r="61" spans="1:22" x14ac:dyDescent="0.2">
      <c r="A61" s="1154" t="s">
        <v>80</v>
      </c>
      <c r="B61" s="1214">
        <f>TableA6!B61</f>
        <v>0.96228953856820065</v>
      </c>
      <c r="C61" s="1159">
        <f>TableA6!E61</f>
        <v>0.92373045597548575</v>
      </c>
      <c r="D61" s="1159">
        <v>0</v>
      </c>
      <c r="E61" s="1159">
        <f>TableA6!K61</f>
        <v>3.855908259271492E-2</v>
      </c>
      <c r="F61" s="1215">
        <f t="shared" si="9"/>
        <v>0.95992985370069872</v>
      </c>
      <c r="G61" s="1216">
        <f>TableA2!L61</f>
        <v>6.9944164581853387</v>
      </c>
      <c r="H61" s="1184">
        <f>D61/TableA2!C61</f>
        <v>0</v>
      </c>
      <c r="I61" s="1184">
        <f>TableA6!D61/TableA2!C61</f>
        <v>0.19242660335646011</v>
      </c>
      <c r="J61" s="1184">
        <f>TableA6!I61/TableA2!$C61</f>
        <v>0.52273449757673773</v>
      </c>
      <c r="K61" s="1184">
        <f>TableA6!J61/TableA2!$C61</f>
        <v>5.8907579015650278</v>
      </c>
      <c r="L61" s="119">
        <f>(C61+E61)/TableA2!C61</f>
        <v>7.1868430615417989</v>
      </c>
      <c r="M61" s="1184">
        <f>C61/TableA4!D61</f>
        <v>17.247163021589252</v>
      </c>
      <c r="N61" s="1184">
        <f>TableA10!D$63/TableA10!C$63</f>
        <v>14.031458531935176</v>
      </c>
      <c r="O61" s="1220">
        <f t="shared" si="10"/>
        <v>0.47996308817683037</v>
      </c>
      <c r="P61" s="121">
        <f>C61-O61*TableA4!D61</f>
        <v>0.89802440091367575</v>
      </c>
      <c r="Q61" s="1221">
        <v>-1.8547049554088986E-2</v>
      </c>
      <c r="R61" s="958"/>
      <c r="S61" s="958"/>
      <c r="T61" s="320">
        <f t="shared" si="6"/>
        <v>0</v>
      </c>
      <c r="U61" s="320">
        <f t="shared" si="3"/>
        <v>0</v>
      </c>
      <c r="V61" s="958"/>
    </row>
    <row r="62" spans="1:22" x14ac:dyDescent="0.2">
      <c r="A62" s="1154" t="s">
        <v>81</v>
      </c>
      <c r="B62" s="1214">
        <f>TableA6!B62</f>
        <v>25.438024032487199</v>
      </c>
      <c r="C62" s="1159">
        <f>TableA6!E62</f>
        <v>24.545618103452078</v>
      </c>
      <c r="D62" s="1866">
        <v>0</v>
      </c>
      <c r="E62" s="1159">
        <f>TableA6!K62</f>
        <v>0.89240592903512039</v>
      </c>
      <c r="F62" s="1215">
        <f t="shared" si="9"/>
        <v>0.96491842574346898</v>
      </c>
      <c r="G62" s="1216">
        <f>TableA2!L62</f>
        <v>0.57155258740431214</v>
      </c>
      <c r="H62" s="1184">
        <f>D62/TableA2!C62</f>
        <v>0</v>
      </c>
      <c r="I62" s="1184">
        <f>TableA6!D62/TableA2!C62</f>
        <v>7.6372538589736259</v>
      </c>
      <c r="J62" s="1184">
        <f>TableA6!I62/TableA2!$C62</f>
        <v>1.6319218643375801</v>
      </c>
      <c r="K62" s="1184">
        <f>TableA6!J62/TableA2!$C62</f>
        <v>1.3040578882868976</v>
      </c>
      <c r="L62" s="119">
        <f>(C62+E62)/TableA2!C62</f>
        <v>8.2088064463779382</v>
      </c>
      <c r="M62" s="1184">
        <f>C62/TableA4!D62</f>
        <v>19.802071483679597</v>
      </c>
      <c r="N62" s="1184">
        <f>VLOOKUP(A62,TableA10!$A$8:$G$95,4,)/VLOOKUP(A62,TableA10!$A$8:$G$95,3,)</f>
        <v>1.3093313739897134</v>
      </c>
      <c r="O62" s="1220">
        <f t="shared" si="10"/>
        <v>0.47996308817683037</v>
      </c>
      <c r="P62" s="121">
        <f>C62-O62*TableA4!D62</f>
        <v>23.950680817428665</v>
      </c>
      <c r="Q62" s="1221">
        <v>64.707001886643411</v>
      </c>
      <c r="R62" s="958"/>
      <c r="S62" s="958"/>
      <c r="T62" s="320">
        <f t="shared" si="6"/>
        <v>0</v>
      </c>
      <c r="U62" s="320">
        <f t="shared" si="3"/>
        <v>0</v>
      </c>
      <c r="V62" s="958"/>
    </row>
    <row r="63" spans="1:22" x14ac:dyDescent="0.2">
      <c r="A63" s="1154" t="s">
        <v>82</v>
      </c>
      <c r="B63" s="1214">
        <f>TableA6!B63</f>
        <v>0.17335876526209473</v>
      </c>
      <c r="C63" s="1159">
        <f>TableA6!E63</f>
        <v>0.1524905077468249</v>
      </c>
      <c r="D63" s="1866">
        <v>0</v>
      </c>
      <c r="E63" s="1159">
        <f>TableA6!K63</f>
        <v>2.0868257515269825E-2</v>
      </c>
      <c r="F63" s="1215">
        <f t="shared" si="9"/>
        <v>0.87962386854959496</v>
      </c>
      <c r="G63" s="1216">
        <f>TableA2!L63</f>
        <v>2.3923168940243364</v>
      </c>
      <c r="H63" s="1184">
        <f>D63/TableA2!C63</f>
        <v>0</v>
      </c>
      <c r="I63" s="1184">
        <f>TableA6!D63/TableA2!C63</f>
        <v>0</v>
      </c>
      <c r="J63" s="1184">
        <f>TableA6!I63/TableA2!$C63</f>
        <v>0</v>
      </c>
      <c r="K63" s="1184">
        <f>TableA6!J63/TableA2!$C63</f>
        <v>2.2408844651324529</v>
      </c>
      <c r="L63" s="119">
        <f>(C63+E63)/TableA2!C63</f>
        <v>2.3923168940243364</v>
      </c>
      <c r="M63" s="1184">
        <f>C63/TableA4!D63</f>
        <v>5.2608476027955957</v>
      </c>
      <c r="N63" s="1184">
        <f>TableA10!D$63/TableA10!C$63</f>
        <v>14.031458531935176</v>
      </c>
      <c r="O63" s="1220">
        <f t="shared" si="10"/>
        <v>0.47996308817683037</v>
      </c>
      <c r="P63" s="121">
        <f>C63-O63*TableA4!D63</f>
        <v>0.13857833606997835</v>
      </c>
      <c r="Q63" s="1221"/>
      <c r="R63" s="958"/>
      <c r="S63" s="958"/>
      <c r="T63" s="320">
        <f t="shared" si="6"/>
        <v>0</v>
      </c>
      <c r="U63" s="320">
        <f t="shared" si="3"/>
        <v>0</v>
      </c>
      <c r="V63" s="958"/>
    </row>
    <row r="64" spans="1:22" x14ac:dyDescent="0.2">
      <c r="A64" s="1154" t="s">
        <v>153</v>
      </c>
      <c r="B64" s="1214">
        <f>TableA6!B64</f>
        <v>29.125071697810739</v>
      </c>
      <c r="C64" s="1159">
        <f>TableA6!E64</f>
        <v>29.078139371166927</v>
      </c>
      <c r="D64" s="1866">
        <v>0</v>
      </c>
      <c r="E64" s="1159">
        <f>TableA6!K64</f>
        <v>4.6932326643812639E-2</v>
      </c>
      <c r="F64" s="1215">
        <f t="shared" si="9"/>
        <v>0.99838859360997423</v>
      </c>
      <c r="G64" s="1216">
        <f>TableA2!L64</f>
        <v>2.3923257034784351</v>
      </c>
      <c r="H64" s="1184">
        <f>D64/TableA2!C64</f>
        <v>0</v>
      </c>
      <c r="I64" s="1184">
        <f>TableA6!D64/TableA2!C64</f>
        <v>176.31979477004302</v>
      </c>
      <c r="J64" s="1184">
        <f>TableA6!I64/TableA2!$C64</f>
        <v>0</v>
      </c>
      <c r="K64" s="1184">
        <f>TableA6!J64/TableA2!$C64</f>
        <v>203.02408818842605</v>
      </c>
      <c r="L64" s="119">
        <f>(C64+E64)/TableA2!C64</f>
        <v>178.71212047352145</v>
      </c>
      <c r="M64" s="1184">
        <f>C64/TableA4!D64</f>
        <v>446.06035655153835</v>
      </c>
      <c r="N64" s="1184">
        <f>TableA10!D$62/TableA10!C$62</f>
        <v>8.901215805471125</v>
      </c>
      <c r="O64" s="1220">
        <f t="shared" si="10"/>
        <v>0.47996308817683037</v>
      </c>
      <c r="P64" s="121">
        <f>C64-O64*TableA4!D64</f>
        <v>29.046851153404386</v>
      </c>
      <c r="Q64" s="1221">
        <v>26.831251057190428</v>
      </c>
      <c r="R64" s="958"/>
      <c r="S64" s="958"/>
      <c r="T64" s="320">
        <f t="shared" si="6"/>
        <v>0</v>
      </c>
      <c r="U64" s="320">
        <f t="shared" si="3"/>
        <v>-2.2204460492503131E-16</v>
      </c>
      <c r="V64" s="958"/>
    </row>
    <row r="65" spans="1:21" x14ac:dyDescent="0.2">
      <c r="A65" s="113" t="s">
        <v>84</v>
      </c>
      <c r="B65" s="1214">
        <f>TableA6!B65</f>
        <v>22.920824144129366</v>
      </c>
      <c r="C65" s="1159">
        <f>TableA6!E65</f>
        <v>22.512935193051696</v>
      </c>
      <c r="D65" s="1222">
        <v>0</v>
      </c>
      <c r="E65" s="1159">
        <f>TableA6!K65</f>
        <v>0.40788895107766843</v>
      </c>
      <c r="F65" s="1215">
        <f t="shared" si="9"/>
        <v>0.98220443782855249</v>
      </c>
      <c r="G65" s="1216">
        <f>TableA2!L65</f>
        <v>0.75160134279400448</v>
      </c>
      <c r="H65" s="1184">
        <f>D65/TableA2!C65</f>
        <v>0</v>
      </c>
      <c r="I65" s="1184">
        <f>TableA6!D65/TableA2!C65</f>
        <v>15.430964295292515</v>
      </c>
      <c r="J65" s="1184">
        <f>TableA6!I65/TableA2!$C65</f>
        <v>2.876389513296298</v>
      </c>
      <c r="K65" s="1184">
        <f>TableA6!J65/TableA2!$C65</f>
        <v>1.6922088373792077</v>
      </c>
      <c r="L65" s="119">
        <f>(C65+E65)/TableA2!C65</f>
        <v>16.182565638086519</v>
      </c>
      <c r="M65" s="1184">
        <f>C65/TableA4!D65</f>
        <v>39.73646946295105</v>
      </c>
      <c r="N65" s="1184">
        <f>TableA10!D$62/TableA10!C$62</f>
        <v>8.901215805471125</v>
      </c>
      <c r="O65" s="1220">
        <f t="shared" si="10"/>
        <v>0.47996308817683037</v>
      </c>
      <c r="P65" s="121">
        <f>C65-O65*TableA4!D65</f>
        <v>22.241009225666584</v>
      </c>
      <c r="Q65" s="1221">
        <v>54.346532662599117</v>
      </c>
      <c r="R65" s="958"/>
      <c r="S65" s="958"/>
      <c r="T65" s="320">
        <f t="shared" si="6"/>
        <v>0</v>
      </c>
      <c r="U65" s="320">
        <f t="shared" si="3"/>
        <v>1.3322676295501878E-15</v>
      </c>
    </row>
    <row r="66" spans="1:21" x14ac:dyDescent="0.2">
      <c r="A66" s="1154" t="s">
        <v>85</v>
      </c>
      <c r="B66" s="1214">
        <f>TableA6!B66</f>
        <v>11.68734919710977</v>
      </c>
      <c r="C66" s="1159">
        <f>TableA6!E66</f>
        <v>11.296185999728888</v>
      </c>
      <c r="D66" s="1866">
        <v>0</v>
      </c>
      <c r="E66" s="1159">
        <f>TableA6!K66</f>
        <v>0.39116319738088223</v>
      </c>
      <c r="F66" s="1215">
        <f t="shared" si="9"/>
        <v>0.96653105928608563</v>
      </c>
      <c r="G66" s="1216">
        <f>TableA2!L66</f>
        <v>0.33575980655064125</v>
      </c>
      <c r="H66" s="1184">
        <f>D66/TableA2!C66</f>
        <v>0</v>
      </c>
      <c r="I66" s="1184">
        <f>TableA6!D66/TableA2!C66</f>
        <v>8.2685714559076864</v>
      </c>
      <c r="J66" s="1184">
        <f>TableA6!I66/TableA2!$C66</f>
        <v>1.3268676411786671</v>
      </c>
      <c r="K66" s="1184">
        <f>TableA6!J66/TableA2!$C66</f>
        <v>8.6936233491982904</v>
      </c>
      <c r="L66" s="119">
        <f>(C66+E66)/TableA2!C66</f>
        <v>8.6043312624583272</v>
      </c>
      <c r="M66" s="1184">
        <f>C66/TableA4!D66</f>
        <v>20.79088352388057</v>
      </c>
      <c r="N66" s="1184">
        <f>TableA10!D$63/TableA10!C$63</f>
        <v>14.031458531935176</v>
      </c>
      <c r="O66" s="1220">
        <f t="shared" si="10"/>
        <v>0.47996308817683037</v>
      </c>
      <c r="P66" s="121">
        <f>C66-O66*TableA4!D66</f>
        <v>11.0354105348083</v>
      </c>
      <c r="Q66" s="1221">
        <v>10.265996857440456</v>
      </c>
      <c r="R66" s="958"/>
      <c r="S66" s="958"/>
      <c r="T66" s="320">
        <f t="shared" si="6"/>
        <v>0</v>
      </c>
      <c r="U66" s="320">
        <f t="shared" si="3"/>
        <v>0</v>
      </c>
    </row>
    <row r="67" spans="1:21" x14ac:dyDescent="0.2">
      <c r="A67" s="1154" t="str">
        <f>+TableA1!A67</f>
        <v>Cyprus</v>
      </c>
      <c r="B67" s="1214">
        <f>TableA6!B67</f>
        <v>6.8820083274691735</v>
      </c>
      <c r="C67" s="1159">
        <f>TableA6!E67</f>
        <v>5.2850761004134004</v>
      </c>
      <c r="D67" s="1866">
        <v>0</v>
      </c>
      <c r="E67" s="1159">
        <f>TableA6!K67</f>
        <v>1.5969322270557735</v>
      </c>
      <c r="F67" s="1215">
        <f t="shared" si="9"/>
        <v>0.76795549335770164</v>
      </c>
      <c r="G67" s="1216">
        <f>TableA2!L67</f>
        <v>0.56340199771699795</v>
      </c>
      <c r="H67" s="1184">
        <f>D67/TableA2!C67</f>
        <v>0</v>
      </c>
      <c r="I67" s="1184">
        <f>TableA6!D67/TableA2!C67</f>
        <v>0.67764377006763776</v>
      </c>
      <c r="J67" s="1184">
        <f>TableA6!I67/TableA2!$C67</f>
        <v>1.0088176835559211E-2</v>
      </c>
      <c r="K67" s="1184">
        <f>TableA6!J67/TableA2!$C67</f>
        <v>0.28675503536078822</v>
      </c>
      <c r="L67" s="119">
        <f>(C67+E67)/TableA2!C67</f>
        <v>1.2410457677846358</v>
      </c>
      <c r="M67" s="1184">
        <f>C67/TableA4!D67</f>
        <v>2.3826697871963436</v>
      </c>
      <c r="N67" s="1184">
        <f>TableA10!D$63/TableA10!C$63</f>
        <v>14.031458531935176</v>
      </c>
      <c r="O67" s="1220">
        <f t="shared" si="10"/>
        <v>0.47996308817683037</v>
      </c>
      <c r="P67" s="121">
        <f>C67-O67*TableA4!D67</f>
        <v>4.220454615709551</v>
      </c>
      <c r="Q67" s="1221"/>
      <c r="R67" s="958"/>
      <c r="S67" s="958"/>
      <c r="T67" s="320">
        <f t="shared" si="6"/>
        <v>1.1102230246251565E-16</v>
      </c>
      <c r="U67" s="320">
        <f t="shared" si="3"/>
        <v>0</v>
      </c>
    </row>
    <row r="68" spans="1:21" x14ac:dyDescent="0.2">
      <c r="A68" s="1154" t="s">
        <v>87</v>
      </c>
      <c r="B68" s="1214">
        <f>TableA6!B68</f>
        <v>5.5192543961170966</v>
      </c>
      <c r="C68" s="1159">
        <f>TableA6!E68</f>
        <v>5.1556449197022696</v>
      </c>
      <c r="D68" s="1866">
        <v>0</v>
      </c>
      <c r="E68" s="1159">
        <f>TableA6!K68</f>
        <v>0.36360947641482677</v>
      </c>
      <c r="F68" s="1215">
        <f t="shared" si="9"/>
        <v>0.93411981939614286</v>
      </c>
      <c r="G68" s="1216">
        <f>TableA2!L68</f>
        <v>2.3923102518718911</v>
      </c>
      <c r="H68" s="1184">
        <f>D68/TableA2!C68</f>
        <v>0</v>
      </c>
      <c r="I68" s="1184">
        <f>TableA6!D68/TableA2!C68</f>
        <v>1.978926290992683</v>
      </c>
      <c r="J68" s="1184">
        <f>TableA6!I68/TableA2!$C68</f>
        <v>0</v>
      </c>
      <c r="K68" s="1184">
        <f>TableA6!J68/TableA2!$C68</f>
        <v>2.3866849643048886</v>
      </c>
      <c r="L68" s="119">
        <f>(C68+E68)/TableA2!C68</f>
        <v>4.3712365428645743</v>
      </c>
      <c r="M68" s="1184">
        <f>C68/TableA4!D68</f>
        <v>10.208146724896189</v>
      </c>
      <c r="N68" s="1184">
        <f>TableA10!D$37/TableA10!C$37</f>
        <v>1.5591216216216208</v>
      </c>
      <c r="O68" s="1220">
        <f t="shared" si="10"/>
        <v>0.47996308817683037</v>
      </c>
      <c r="P68" s="121">
        <f>C68-O68*TableA4!D68</f>
        <v>4.9132386020923846</v>
      </c>
      <c r="Q68" s="1221">
        <v>6.0919306056908296</v>
      </c>
      <c r="R68" s="958"/>
      <c r="S68" s="958"/>
      <c r="T68" s="320">
        <f t="shared" si="6"/>
        <v>2.2204460492503131E-16</v>
      </c>
      <c r="U68" s="320">
        <f t="shared" si="3"/>
        <v>0</v>
      </c>
    </row>
    <row r="69" spans="1:21" x14ac:dyDescent="0.2">
      <c r="A69" s="1154" t="str">
        <f>+TableA1!A69</f>
        <v>Grenada</v>
      </c>
      <c r="B69" s="1214">
        <f>TableA6!B69</f>
        <v>0.4015897418869116</v>
      </c>
      <c r="C69" s="1159">
        <f>TableA6!E69</f>
        <v>0.38030614888924363</v>
      </c>
      <c r="D69" s="1866">
        <v>0</v>
      </c>
      <c r="E69" s="1159">
        <f>TableA6!K69</f>
        <v>2.1283592997667938E-2</v>
      </c>
      <c r="F69" s="1215">
        <f t="shared" si="9"/>
        <v>0.94700165174124029</v>
      </c>
      <c r="G69" s="1216">
        <f>TableA2!L69</f>
        <v>5.1857999974895419</v>
      </c>
      <c r="H69" s="1184">
        <f>D69/TableA2!C69</f>
        <v>0</v>
      </c>
      <c r="I69" s="1184">
        <f>TableA6!D69/TableA2!C69</f>
        <v>0.2479137382682656</v>
      </c>
      <c r="J69" s="1184">
        <f>TableA6!I69/TableA2!$C69</f>
        <v>0</v>
      </c>
      <c r="K69" s="1184">
        <f>TableA6!J69/TableA2!$C69</f>
        <v>4.929247734116557</v>
      </c>
      <c r="L69" s="119">
        <f>(C69+E69)/TableA2!C69</f>
        <v>5.4337137357578067</v>
      </c>
      <c r="M69" s="1184">
        <f>C69/TableA4!D69</f>
        <v>12.864339707129272</v>
      </c>
      <c r="N69" s="1184">
        <f>TableA10!D$37/TableA10!C$37</f>
        <v>1.5591216216216208</v>
      </c>
      <c r="O69" s="1220">
        <f t="shared" si="10"/>
        <v>0.47996308817683037</v>
      </c>
      <c r="P69" s="121">
        <f>C69-O69*TableA4!D69</f>
        <v>0.36611708689079836</v>
      </c>
      <c r="Q69" s="1221">
        <v>1.5644565335773208E-4</v>
      </c>
      <c r="R69" s="958"/>
      <c r="S69" s="958"/>
      <c r="T69" s="320">
        <f t="shared" si="6"/>
        <v>-8.0491169285323849E-16</v>
      </c>
      <c r="U69" s="320">
        <f t="shared" si="3"/>
        <v>2.7755575615628914E-17</v>
      </c>
    </row>
    <row r="70" spans="1:21" x14ac:dyDescent="0.2">
      <c r="A70" s="1154" t="s">
        <v>89</v>
      </c>
      <c r="B70" s="1214">
        <f>TableA6!B70</f>
        <v>2.0311467085553057</v>
      </c>
      <c r="C70" s="1159">
        <f>TableA6!E70</f>
        <v>1.7866451600802939</v>
      </c>
      <c r="D70" s="1866">
        <v>0</v>
      </c>
      <c r="E70" s="1159">
        <f>TableA6!K70</f>
        <v>0.24450154847501168</v>
      </c>
      <c r="F70" s="1215">
        <f t="shared" si="9"/>
        <v>0.87962388563802052</v>
      </c>
      <c r="G70" s="1216">
        <f>TableA2!L70</f>
        <v>2.3923172336343113</v>
      </c>
      <c r="H70" s="1184">
        <f>D70/TableA2!C70</f>
        <v>0</v>
      </c>
      <c r="I70" s="1184">
        <f>TableA6!D70/TableA2!C70</f>
        <v>0</v>
      </c>
      <c r="J70" s="1184">
        <f>TableA6!I70/TableA2!$C70</f>
        <v>0</v>
      </c>
      <c r="K70" s="1184">
        <f>TableA6!J70/TableA2!$C70</f>
        <v>4.416005410082767</v>
      </c>
      <c r="L70" s="119">
        <f>(C70+E70)/TableA2!C70</f>
        <v>2.3923172336343113</v>
      </c>
      <c r="M70" s="1184">
        <f>C70/TableA4!D70</f>
        <v>5.2608484518205323</v>
      </c>
      <c r="N70" s="1184">
        <f>TableA10!D$37/TableA10!C$37</f>
        <v>1.5591216216216208</v>
      </c>
      <c r="O70" s="1220">
        <f t="shared" si="10"/>
        <v>0.47996308817683037</v>
      </c>
      <c r="P70" s="121">
        <f>C70-O70*TableA4!D70</f>
        <v>1.6236441277636195</v>
      </c>
      <c r="Q70" s="1221">
        <v>2.1409007013652608</v>
      </c>
      <c r="R70" s="958"/>
      <c r="S70" s="958"/>
      <c r="T70" s="320">
        <f t="shared" si="6"/>
        <v>0</v>
      </c>
      <c r="U70" s="320">
        <f t="shared" si="3"/>
        <v>0</v>
      </c>
    </row>
    <row r="71" spans="1:21" x14ac:dyDescent="0.2">
      <c r="A71" s="1154" t="s">
        <v>90</v>
      </c>
      <c r="B71" s="1214">
        <f>TableA6!B71</f>
        <v>1.0873325907085956</v>
      </c>
      <c r="C71" s="1159">
        <f>TableA6!E71</f>
        <v>0.95644320082853906</v>
      </c>
      <c r="D71" s="1866">
        <v>0</v>
      </c>
      <c r="E71" s="1159">
        <f>TableA6!K71</f>
        <v>0.13088938988005652</v>
      </c>
      <c r="F71" s="1215">
        <f t="shared" si="9"/>
        <v>0.87962340961861707</v>
      </c>
      <c r="G71" s="1216">
        <f>TableA2!L71</f>
        <v>2.3923077734110332</v>
      </c>
      <c r="H71" s="1184">
        <f>D71/TableA2!C71</f>
        <v>0</v>
      </c>
      <c r="I71" s="1184">
        <f>TableA6!D71/TableA2!C71</f>
        <v>0</v>
      </c>
      <c r="J71" s="1184">
        <f>TableA6!I71/TableA2!$C71</f>
        <v>4.2739569276131757</v>
      </c>
      <c r="K71" s="1184">
        <f>TableA6!J71/TableA2!$C71</f>
        <v>4.2739569276131757</v>
      </c>
      <c r="L71" s="119">
        <f>(C71+E71)/TableA2!C71</f>
        <v>2.3923077734110332</v>
      </c>
      <c r="M71" s="1184">
        <f>C71/TableA4!D71</f>
        <v>5.2608248012623369</v>
      </c>
      <c r="N71" s="1184">
        <f>TableA10!D$37/TableA10!C$37</f>
        <v>1.5591216216216208</v>
      </c>
      <c r="O71" s="1220">
        <f t="shared" si="10"/>
        <v>0.47996308817683037</v>
      </c>
      <c r="P71" s="121">
        <f>C71-O71*TableA4!D71</f>
        <v>0.86918360757516799</v>
      </c>
      <c r="Q71" s="1221">
        <v>2.9267442283957052</v>
      </c>
      <c r="R71" s="958"/>
      <c r="S71" s="958"/>
      <c r="T71" s="320">
        <f t="shared" si="6"/>
        <v>0</v>
      </c>
      <c r="U71" s="320">
        <f t="shared" si="3"/>
        <v>0</v>
      </c>
    </row>
    <row r="72" spans="1:21" x14ac:dyDescent="0.2">
      <c r="A72" s="1154" t="s">
        <v>91</v>
      </c>
      <c r="B72" s="1214">
        <f>TableA6!B72</f>
        <v>95.223967679643692</v>
      </c>
      <c r="C72" s="1159">
        <f>TableA6!E72</f>
        <v>50.356172185286226</v>
      </c>
      <c r="D72" s="1202">
        <v>0</v>
      </c>
      <c r="E72" s="1159">
        <f>TableA6!K72</f>
        <v>44.867795494357466</v>
      </c>
      <c r="F72" s="1215">
        <f t="shared" si="9"/>
        <v>0.52881825250861725</v>
      </c>
      <c r="G72" s="1216">
        <f>TableA2!L72</f>
        <v>0.63150559253260896</v>
      </c>
      <c r="H72" s="1184">
        <f>D72/TableA2!C72</f>
        <v>0</v>
      </c>
      <c r="I72" s="1184">
        <f>TableA6!D72/TableA2!C72</f>
        <v>0.18189477545245697</v>
      </c>
      <c r="J72" s="1184">
        <f>TableA6!I72/TableA2!$C72</f>
        <v>0</v>
      </c>
      <c r="K72" s="1184">
        <f>TableA6!J72/TableA2!$C72</f>
        <v>0.26079690122761051</v>
      </c>
      <c r="L72" s="119">
        <f>(C72+E72)/TableA2!C72</f>
        <v>0.81340036798506599</v>
      </c>
      <c r="M72" s="1184">
        <f>C72/TableA4!D72</f>
        <v>2.1348906384735855</v>
      </c>
      <c r="N72" s="1184">
        <f>VLOOKUP(A72,TableA10!$A$8:$G$95,4,)/VLOOKUP(A72,TableA10!$A$8:$G$95,3,)</f>
        <v>0.84049435164622965</v>
      </c>
      <c r="O72" s="1220">
        <f t="shared" si="10"/>
        <v>0.47996308817683037</v>
      </c>
      <c r="P72" s="121">
        <f>C72-O72*TableA4!D72</f>
        <v>39.035168909870336</v>
      </c>
      <c r="Q72" s="1221">
        <v>45.913366784824078</v>
      </c>
      <c r="R72" s="958"/>
      <c r="S72" s="958"/>
      <c r="T72" s="320">
        <f t="shared" si="6"/>
        <v>5.5511151231257827E-17</v>
      </c>
      <c r="U72" s="320">
        <f t="shared" si="3"/>
        <v>0</v>
      </c>
    </row>
    <row r="73" spans="1:21" x14ac:dyDescent="0.2">
      <c r="A73" s="1154" t="s">
        <v>92</v>
      </c>
      <c r="B73" s="1214">
        <f>TableA6!B73</f>
        <v>3.6449297805671903</v>
      </c>
      <c r="C73" s="1159">
        <f>TableA6!E73</f>
        <v>3.2907256608282767</v>
      </c>
      <c r="D73" s="1866">
        <v>0</v>
      </c>
      <c r="E73" s="1159">
        <f>TableA6!K73</f>
        <v>0.35420411973891358</v>
      </c>
      <c r="F73" s="1215">
        <f t="shared" si="9"/>
        <v>0.90282278642860558</v>
      </c>
      <c r="G73" s="1216">
        <f>TableA2!L73</f>
        <v>2.3923324900643919</v>
      </c>
      <c r="H73" s="1184">
        <f>D73/TableA2!C73</f>
        <v>0</v>
      </c>
      <c r="I73" s="1184">
        <f>TableA6!D73/TableA2!C73</f>
        <v>0.57109733388837935</v>
      </c>
      <c r="J73" s="1184">
        <f>TableA6!I73/TableA2!$C73</f>
        <v>0</v>
      </c>
      <c r="K73" s="1184">
        <f>TableA6!J73/TableA2!$C73</f>
        <v>2.2040664276187067</v>
      </c>
      <c r="L73" s="119">
        <f>(C73+E73)/TableA2!C73</f>
        <v>2.9634298239527714</v>
      </c>
      <c r="M73" s="1184">
        <f>C73/TableA4!D73</f>
        <v>6.6886299276166827</v>
      </c>
      <c r="N73" s="1184">
        <f>TableA10!D$37/TableA10!C$37</f>
        <v>1.5591216216216208</v>
      </c>
      <c r="O73" s="1220">
        <f t="shared" si="10"/>
        <v>0.47996308817683037</v>
      </c>
      <c r="P73" s="121">
        <f>C73-O73*TableA4!D73</f>
        <v>3.0545895810023342</v>
      </c>
      <c r="Q73" s="1221">
        <v>1.8502867557709928</v>
      </c>
      <c r="R73" s="958"/>
      <c r="S73" s="958"/>
      <c r="T73" s="320">
        <f t="shared" ref="T73:T91" si="11">L73-G73-I73+H73</f>
        <v>2.2204460492503131E-16</v>
      </c>
      <c r="U73" s="320">
        <f t="shared" si="3"/>
        <v>0</v>
      </c>
    </row>
    <row r="74" spans="1:21" x14ac:dyDescent="0.2">
      <c r="A74" s="1154" t="s">
        <v>93</v>
      </c>
      <c r="B74" s="1214">
        <f>TableA6!B74</f>
        <v>15.231019080376919</v>
      </c>
      <c r="C74" s="1159">
        <f>TableA6!E74</f>
        <v>10.848362353703763</v>
      </c>
      <c r="D74" s="1866">
        <v>0</v>
      </c>
      <c r="E74" s="1159">
        <f>TableA6!K74</f>
        <v>4.3826567266731562</v>
      </c>
      <c r="F74" s="1215">
        <f t="shared" si="9"/>
        <v>0.71225453112854353</v>
      </c>
      <c r="G74" s="1216">
        <f>TableA2!L74</f>
        <v>0.9963546335773581</v>
      </c>
      <c r="H74" s="1184">
        <f>D74/TableA2!C74</f>
        <v>0</v>
      </c>
      <c r="I74" s="1184">
        <f>TableA6!D74/TableA2!C74</f>
        <v>4.4529691819596828E-3</v>
      </c>
      <c r="J74" s="1184">
        <f>TableA6!I74/TableA2!$C74</f>
        <v>0</v>
      </c>
      <c r="K74" s="1184">
        <f>TableA6!J74/TableA2!$C74</f>
        <v>0.71639470578797615</v>
      </c>
      <c r="L74" s="119">
        <f>(C74+E74)/TableA2!C74</f>
        <v>1.0008076027593178</v>
      </c>
      <c r="M74" s="1184">
        <f>C74/TableA4!D74</f>
        <v>1.7820743746330485</v>
      </c>
      <c r="N74" s="1184">
        <f>TableA10!$D75/TableA10!$C75</f>
        <v>2.6792645556690502</v>
      </c>
      <c r="O74" s="1220">
        <f t="shared" si="10"/>
        <v>0.47996308817683037</v>
      </c>
      <c r="P74" s="121">
        <f>C74-O74*TableA4!D74</f>
        <v>7.9265912025883249</v>
      </c>
      <c r="Q74" s="1221">
        <v>-0.18174921279884765</v>
      </c>
      <c r="R74" s="958"/>
      <c r="S74" s="958"/>
      <c r="T74" s="320">
        <f t="shared" si="11"/>
        <v>1.5612511283791264E-17</v>
      </c>
      <c r="U74" s="320">
        <f t="shared" ref="U74:U91" si="12">B74-C74-D74-E74</f>
        <v>0</v>
      </c>
    </row>
    <row r="75" spans="1:21" x14ac:dyDescent="0.2">
      <c r="A75" s="1154" t="s">
        <v>94</v>
      </c>
      <c r="B75" s="1214">
        <f>TableA6!B75</f>
        <v>1.3847476300640333</v>
      </c>
      <c r="C75" s="1159">
        <f>TableA6!E75</f>
        <v>0.54431306414287628</v>
      </c>
      <c r="D75" s="1866">
        <v>0</v>
      </c>
      <c r="E75" s="1159">
        <f>TableA6!K75</f>
        <v>0.84043456592115706</v>
      </c>
      <c r="F75" s="1215">
        <f t="shared" si="9"/>
        <v>0.3930774477062699</v>
      </c>
      <c r="G75" s="1216">
        <f>TableA2!L75</f>
        <v>0.47448863420505527</v>
      </c>
      <c r="H75" s="1184">
        <f>D75/TableA2!C75</f>
        <v>0</v>
      </c>
      <c r="I75" s="1184">
        <f>TableA6!D75/TableA2!C75</f>
        <v>0</v>
      </c>
      <c r="J75" s="1184">
        <f>TableA6!I75/TableA2!$C75</f>
        <v>0.41564747945609143</v>
      </c>
      <c r="K75" s="1184">
        <f>TableA6!J75/TableA2!$C75</f>
        <v>0.41564747945609143</v>
      </c>
      <c r="L75" s="119">
        <f>(C75+E75)/TableA2!C75</f>
        <v>0.47448863420505527</v>
      </c>
      <c r="M75" s="1184">
        <f>C75/TableA4!D75</f>
        <v>0.4662769532473926</v>
      </c>
      <c r="N75" s="1184">
        <f>TableA10!D$37/TableA10!C$37</f>
        <v>1.5591216216216208</v>
      </c>
      <c r="O75" s="1220">
        <f t="shared" si="10"/>
        <v>0.47996308817683037</v>
      </c>
      <c r="P75" s="121">
        <f>C75-O75*TableA4!D75</f>
        <v>-1.5976646471228539E-2</v>
      </c>
      <c r="Q75" s="1221">
        <v>-0.68212553462794911</v>
      </c>
      <c r="R75" s="958"/>
      <c r="S75" s="958"/>
      <c r="T75" s="320">
        <f t="shared" si="11"/>
        <v>0</v>
      </c>
      <c r="U75" s="320">
        <f t="shared" si="12"/>
        <v>0</v>
      </c>
    </row>
    <row r="76" spans="1:21" x14ac:dyDescent="0.2">
      <c r="A76" s="1154" t="s">
        <v>95</v>
      </c>
      <c r="B76" s="1214">
        <f>TableA6!B76</f>
        <v>13.856227663292829</v>
      </c>
      <c r="C76" s="1159">
        <f>TableA6!E76</f>
        <v>10.807557501271878</v>
      </c>
      <c r="D76" s="1866">
        <v>0</v>
      </c>
      <c r="E76" s="1159">
        <f>TableA6!K76</f>
        <v>3.0486701620209504</v>
      </c>
      <c r="F76" s="1215">
        <f t="shared" si="9"/>
        <v>0.77997834359366636</v>
      </c>
      <c r="G76" s="1216">
        <f>TableA2!L76</f>
        <v>1.2806878724255955</v>
      </c>
      <c r="H76" s="1184">
        <f>D76/TableA2!C76</f>
        <v>0</v>
      </c>
      <c r="I76" s="1184">
        <f>TableA6!D76/TableA2!C76</f>
        <v>9.0862784167046753E-2</v>
      </c>
      <c r="J76" s="1184">
        <f>TableA6!I76/TableA2!$C76</f>
        <v>0</v>
      </c>
      <c r="K76" s="1184">
        <f>TableA6!J76/TableA2!$C76</f>
        <v>0.40789704226304274</v>
      </c>
      <c r="L76" s="119">
        <f>(C76+E76)/TableA2!C76</f>
        <v>1.3715506565926423</v>
      </c>
      <c r="M76" s="1184">
        <f>C76/TableA4!D76</f>
        <v>2.8814656487379704</v>
      </c>
      <c r="N76" s="1184">
        <f>TableA10!D$91/TableA10!C$91</f>
        <v>1.7827897293546149</v>
      </c>
      <c r="O76" s="1220">
        <f t="shared" si="10"/>
        <v>0.47996308817683037</v>
      </c>
      <c r="P76" s="121">
        <f>C76-O76*TableA4!D76</f>
        <v>9.0073525686775824</v>
      </c>
      <c r="Q76" s="1221"/>
      <c r="R76" s="958"/>
      <c r="S76" s="958"/>
      <c r="T76" s="320">
        <f t="shared" si="11"/>
        <v>9.7144514654701197E-17</v>
      </c>
      <c r="U76" s="320">
        <f t="shared" si="12"/>
        <v>0</v>
      </c>
    </row>
    <row r="77" spans="1:21" s="25" customFormat="1" x14ac:dyDescent="0.2">
      <c r="A77" s="1080" t="s">
        <v>96</v>
      </c>
      <c r="B77" s="1214">
        <f>TableA6!B77</f>
        <v>13.646495114506827</v>
      </c>
      <c r="C77" s="1159">
        <f>TableA6!E77</f>
        <v>12.855054220700584</v>
      </c>
      <c r="D77" s="1223">
        <v>0</v>
      </c>
      <c r="E77" s="1159">
        <f>TableA6!K77</f>
        <v>0.79144089380624261</v>
      </c>
      <c r="F77" s="1224">
        <f t="shared" si="9"/>
        <v>0.94200409063533785</v>
      </c>
      <c r="G77" s="1216">
        <f>TableA2!L77</f>
        <v>0.84886667394397175</v>
      </c>
      <c r="H77" s="1111">
        <f>D77/TableA2!C77</f>
        <v>0</v>
      </c>
      <c r="I77" s="1184">
        <f>TableA6!D77/TableA2!C77</f>
        <v>4.1166189277279255</v>
      </c>
      <c r="J77" s="1111">
        <f>TableA6!I77/TableA2!$C77</f>
        <v>0.10949868880580196</v>
      </c>
      <c r="K77" s="1111">
        <f>TableA6!J77/TableA2!$C77</f>
        <v>4.568009059959997</v>
      </c>
      <c r="L77" s="119">
        <f>(C77+E77)/TableA2!C77</f>
        <v>4.9654856016718973</v>
      </c>
      <c r="M77" s="1184">
        <f>C77/TableA4!D77</f>
        <v>11.693769371914497</v>
      </c>
      <c r="N77" s="1111">
        <f>TableA10!D$91/TableA10!C$91</f>
        <v>1.7827897293546149</v>
      </c>
      <c r="O77" s="1220">
        <f t="shared" si="10"/>
        <v>0.47996308817683037</v>
      </c>
      <c r="P77" s="121">
        <f>C77-O77*TableA4!D77</f>
        <v>12.327426958163089</v>
      </c>
      <c r="Q77" s="1225"/>
      <c r="R77" s="1115"/>
      <c r="S77" s="1115"/>
      <c r="T77" s="320">
        <f t="shared" si="11"/>
        <v>0</v>
      </c>
      <c r="U77" s="320">
        <f t="shared" si="12"/>
        <v>0</v>
      </c>
    </row>
    <row r="78" spans="1:21" x14ac:dyDescent="0.2">
      <c r="A78" s="1154" t="s">
        <v>97</v>
      </c>
      <c r="B78" s="1214">
        <f>TableA6!B78</f>
        <v>3.4329997064598869E-2</v>
      </c>
      <c r="C78" s="1159">
        <f>TableA6!E78</f>
        <v>1.0287836568069537E-2</v>
      </c>
      <c r="D78" s="1866">
        <v>0</v>
      </c>
      <c r="E78" s="1159">
        <f>TableA6!K78</f>
        <v>2.4042160496529331E-2</v>
      </c>
      <c r="F78" s="1224">
        <f t="shared" si="9"/>
        <v>0.29967484555011414</v>
      </c>
      <c r="G78" s="1216">
        <f>TableA2!L78</f>
        <v>0.41120592495682723</v>
      </c>
      <c r="H78" s="1184">
        <f>D78/TableA2!C78</f>
        <v>0</v>
      </c>
      <c r="I78" s="1184">
        <f>TableA6!D78/TableA2!C78</f>
        <v>0</v>
      </c>
      <c r="J78" s="1184">
        <f>TableA6!I78/TableA2!$C78</f>
        <v>5.773884167235698</v>
      </c>
      <c r="K78" s="1184">
        <f>TableA6!J78/TableA2!$C78</f>
        <v>-2.2838462712650887</v>
      </c>
      <c r="L78" s="119">
        <f>(C78+E78)/TableA2!C78</f>
        <v>0.41120592495682723</v>
      </c>
      <c r="M78" s="1184">
        <f>C78/TableA4!D78</f>
        <v>0.30807018012682247</v>
      </c>
      <c r="N78" s="1184">
        <f>TableA10!D$91/TableA10!C$91</f>
        <v>1.7827897293546149</v>
      </c>
      <c r="O78" s="1220">
        <f t="shared" si="10"/>
        <v>0.47996308817683037</v>
      </c>
      <c r="P78" s="121">
        <f>C78-O78*TableA4!D78</f>
        <v>-5.7402704296166882E-3</v>
      </c>
      <c r="Q78" s="1221"/>
      <c r="R78" s="958"/>
      <c r="S78" s="958"/>
      <c r="T78" s="320">
        <f t="shared" si="11"/>
        <v>0</v>
      </c>
      <c r="U78" s="320">
        <f t="shared" si="12"/>
        <v>0</v>
      </c>
    </row>
    <row r="79" spans="1:21" x14ac:dyDescent="0.2">
      <c r="A79" s="1154" t="str">
        <f>+TableA1!A79</f>
        <v>Monaco</v>
      </c>
      <c r="B79" s="1214">
        <f>TableA6!B79</f>
        <v>2.4865786089930788</v>
      </c>
      <c r="C79" s="1159">
        <f>TableA6!E79</f>
        <v>2.1872544286824804</v>
      </c>
      <c r="D79" s="1866">
        <v>0</v>
      </c>
      <c r="E79" s="1159">
        <f>TableA6!K79</f>
        <v>0.29932418031059849</v>
      </c>
      <c r="F79" s="1215">
        <f t="shared" si="9"/>
        <v>0.87962408297568062</v>
      </c>
      <c r="G79" s="1216">
        <f>TableA2!L79</f>
        <v>2.3923211554676529</v>
      </c>
      <c r="H79" s="1184">
        <f>D79/TableA2!C79</f>
        <v>0</v>
      </c>
      <c r="I79" s="1184">
        <f>TableA6!D79/TableA2!C79</f>
        <v>0</v>
      </c>
      <c r="J79" s="1184">
        <f>TableA6!I79/TableA2!$C79</f>
        <v>0</v>
      </c>
      <c r="K79" s="1184">
        <f>TableA6!J79/TableA2!$C79</f>
        <v>0</v>
      </c>
      <c r="L79" s="119">
        <f>(C79+E79)/TableA2!C79</f>
        <v>2.3923211554676529</v>
      </c>
      <c r="M79" s="1184">
        <f>C79/TableA4!D79</f>
        <v>5.2608582564038873</v>
      </c>
      <c r="N79" s="1184">
        <f>TableA10!D$91/TableA10!C$91</f>
        <v>1.7827897293546149</v>
      </c>
      <c r="O79" s="1220">
        <f t="shared" si="10"/>
        <v>0.47996308817683037</v>
      </c>
      <c r="P79" s="121">
        <f>C79-O79*TableA4!D79</f>
        <v>1.9877049751420814</v>
      </c>
      <c r="Q79" s="1221"/>
      <c r="R79" s="958"/>
      <c r="S79" s="958"/>
      <c r="T79" s="320">
        <f t="shared" si="11"/>
        <v>0</v>
      </c>
      <c r="U79" s="320">
        <f t="shared" si="12"/>
        <v>0</v>
      </c>
    </row>
    <row r="80" spans="1:21" x14ac:dyDescent="0.2">
      <c r="A80" s="1154" t="s">
        <v>99</v>
      </c>
      <c r="B80" s="1214">
        <f>TableA6!B80</f>
        <v>0.34823567512391918</v>
      </c>
      <c r="C80" s="1159">
        <f>TableA6!E80</f>
        <v>0.30679422220146713</v>
      </c>
      <c r="D80" s="1866">
        <v>0</v>
      </c>
      <c r="E80" s="1159">
        <f>TableA6!K80</f>
        <v>4.1441452922452063E-2</v>
      </c>
      <c r="F80" s="1215">
        <f t="shared" si="9"/>
        <v>0.88099595795949059</v>
      </c>
      <c r="G80" s="1216">
        <f>TableA2!L80</f>
        <v>2.3923120916012683</v>
      </c>
      <c r="H80" s="1184">
        <f>D80/TableA2!C80</f>
        <v>0</v>
      </c>
      <c r="I80" s="1184">
        <f>TableA6!D80/TableA2!C80</f>
        <v>2.7587669518353539E-2</v>
      </c>
      <c r="J80" s="1184">
        <f>TableA6!I80/TableA2!$C80</f>
        <v>0</v>
      </c>
      <c r="K80" s="1184">
        <f>TableA6!J80/TableA2!$C80</f>
        <v>2.1061608509370675</v>
      </c>
      <c r="L80" s="119">
        <f>(C80+E80)/TableA2!C80</f>
        <v>2.4198997611196216</v>
      </c>
      <c r="M80" s="1184">
        <f>C80/TableA4!D80</f>
        <v>5.3298047705338094</v>
      </c>
      <c r="N80" s="1184">
        <f>TableA10!D$63/TableA10!C$63</f>
        <v>14.031458531935176</v>
      </c>
      <c r="O80" s="1220">
        <f t="shared" si="10"/>
        <v>0.47996308817683037</v>
      </c>
      <c r="P80" s="121">
        <f>C80-O80*TableA4!D80</f>
        <v>0.27916658691983243</v>
      </c>
      <c r="Q80" s="1221">
        <v>1.9198672965513267E-2</v>
      </c>
      <c r="R80" s="958"/>
      <c r="S80" s="958"/>
      <c r="T80" s="320">
        <f t="shared" si="11"/>
        <v>-3.0878077872387166E-16</v>
      </c>
      <c r="U80" s="320">
        <f t="shared" si="12"/>
        <v>0</v>
      </c>
    </row>
    <row r="81" spans="1:21" x14ac:dyDescent="0.2">
      <c r="A81" s="1154" t="s">
        <v>100</v>
      </c>
      <c r="B81" s="1214">
        <f>TableA6!B81</f>
        <v>7.4441225761320906</v>
      </c>
      <c r="C81" s="1159">
        <f>TableA6!E81</f>
        <v>7.360135250471358</v>
      </c>
      <c r="D81" s="1866">
        <v>0</v>
      </c>
      <c r="E81" s="1159">
        <f>TableA6!K81</f>
        <v>8.3987325660732859E-2</v>
      </c>
      <c r="F81" s="1215">
        <f t="shared" si="9"/>
        <v>0.98871763262872392</v>
      </c>
      <c r="G81" s="1216">
        <f>TableA2!L81</f>
        <v>18.781767953473743</v>
      </c>
      <c r="H81" s="1184">
        <f>D81/TableA2!C81</f>
        <v>0</v>
      </c>
      <c r="I81" s="1184">
        <f>TableA6!D81/TableA2!C81</f>
        <v>1.7209382714135832</v>
      </c>
      <c r="J81" s="1184">
        <f>TableA6!I81/TableA2!$C81</f>
        <v>0</v>
      </c>
      <c r="K81" s="1184">
        <f>TableA6!J81/TableA2!$C81</f>
        <v>19.347816111710308</v>
      </c>
      <c r="L81" s="119">
        <f>(C81+E81)/TableA2!C81</f>
        <v>20.502706224887326</v>
      </c>
      <c r="M81" s="1184">
        <f>C81/TableA4!D81</f>
        <v>39.130309305916256</v>
      </c>
      <c r="N81" s="1184">
        <f>TableA10!D$91/TableA10!C$91</f>
        <v>1.7827897293546149</v>
      </c>
      <c r="O81" s="1220">
        <f t="shared" si="10"/>
        <v>0.47996308817683037</v>
      </c>
      <c r="P81" s="121">
        <f>C81-O81*TableA4!D81</f>
        <v>7.2698575780768468</v>
      </c>
      <c r="Q81" s="1221">
        <v>4.7879055505495174</v>
      </c>
      <c r="R81" s="958"/>
      <c r="S81" s="958"/>
      <c r="T81" s="320">
        <f t="shared" si="11"/>
        <v>2.2204460492503131E-16</v>
      </c>
      <c r="U81" s="320">
        <f t="shared" si="12"/>
        <v>-2.2204460492503131E-16</v>
      </c>
    </row>
    <row r="82" spans="1:21" x14ac:dyDescent="0.2">
      <c r="A82" s="1154" t="str">
        <f>+TableA1!A82</f>
        <v>Seychelles</v>
      </c>
      <c r="B82" s="1214">
        <f>TableA6!B82</f>
        <v>0.82419693736547761</v>
      </c>
      <c r="C82" s="1159">
        <f>TableA6!E82</f>
        <v>0.80997916157337257</v>
      </c>
      <c r="D82" s="1866">
        <v>0</v>
      </c>
      <c r="E82" s="1159">
        <f>TableA6!K82</f>
        <v>1.4217775792105054E-2</v>
      </c>
      <c r="F82" s="1215">
        <f t="shared" si="9"/>
        <v>0.98274954061640685</v>
      </c>
      <c r="G82" s="1216">
        <f>TableA2!L82</f>
        <v>11.645447640290138</v>
      </c>
      <c r="H82" s="1184">
        <f>D82/TableA2!C82</f>
        <v>0</v>
      </c>
      <c r="I82" s="1184">
        <f>TableA6!D82/TableA2!C82</f>
        <v>0.1556292966812485</v>
      </c>
      <c r="J82" s="1184">
        <f>TableA6!I82/TableA2!$C82</f>
        <v>0</v>
      </c>
      <c r="K82" s="1184">
        <f>TableA6!J82/TableA2!$C82</f>
        <v>10.570874760866056</v>
      </c>
      <c r="L82" s="119">
        <f>(C82+E82)/TableA2!C82</f>
        <v>11.801076936971386</v>
      </c>
      <c r="M82" s="1184">
        <f>C82/TableA4!D82</f>
        <v>20.139627543599083</v>
      </c>
      <c r="N82" s="1184">
        <f>TableA10!D$91/TableA10!C$91</f>
        <v>1.7827897293546149</v>
      </c>
      <c r="O82" s="1220">
        <f t="shared" si="10"/>
        <v>0.47996308817683037</v>
      </c>
      <c r="P82" s="121">
        <f>C82-O82*TableA4!D82</f>
        <v>0.79067591979762319</v>
      </c>
      <c r="Q82" s="1221">
        <v>-0.22085464569207053</v>
      </c>
      <c r="R82" s="958"/>
      <c r="S82" s="958"/>
      <c r="T82" s="320">
        <f t="shared" si="11"/>
        <v>-6.9388939039072284E-16</v>
      </c>
      <c r="U82" s="320">
        <f t="shared" si="12"/>
        <v>-1.7347234759768071E-17</v>
      </c>
    </row>
    <row r="83" spans="1:21" x14ac:dyDescent="0.2">
      <c r="A83" s="1154" t="s">
        <v>102</v>
      </c>
      <c r="B83" s="1214">
        <f>TableA6!B83</f>
        <v>120.07387384516201</v>
      </c>
      <c r="C83" s="1159">
        <f>TableA6!E83</f>
        <v>90.279312540155431</v>
      </c>
      <c r="D83" s="1202">
        <f>D72</f>
        <v>0</v>
      </c>
      <c r="E83" s="1159">
        <f>TableA6!K83</f>
        <v>29.794561305006578</v>
      </c>
      <c r="F83" s="1224">
        <f t="shared" si="9"/>
        <v>0.75186474500333567</v>
      </c>
      <c r="G83" s="1216">
        <f>TableA2!L83</f>
        <v>0.62387923338851881</v>
      </c>
      <c r="H83" s="1184">
        <f>D83/TableA2!C83</f>
        <v>0</v>
      </c>
      <c r="I83" s="1184">
        <f>TableA6!D83/TableA2!C83</f>
        <v>0.5366888322415323</v>
      </c>
      <c r="J83" s="1184">
        <f>TableA6!I83/TableA2!$C83</f>
        <v>0.15643459965113188</v>
      </c>
      <c r="K83" s="1184">
        <f>TableA6!J83/TableA2!$C83</f>
        <v>0.1945074374074523</v>
      </c>
      <c r="L83" s="119">
        <f>(C83+E83)/TableA2!C83</f>
        <v>1.1605680656300512</v>
      </c>
      <c r="M83" s="1184">
        <f>C83/TableA4!D83</f>
        <v>2.1814755318098822</v>
      </c>
      <c r="N83" s="1184">
        <f>TableA10!D$91/TableA10!C$91</f>
        <v>1.7827897293546149</v>
      </c>
      <c r="O83" s="1220">
        <f t="shared" si="10"/>
        <v>0.47996308817683037</v>
      </c>
      <c r="P83" s="121">
        <f>C83-O83*TableA4!D83</f>
        <v>70.416271670151048</v>
      </c>
      <c r="Q83" s="1221">
        <v>57.757118942013605</v>
      </c>
      <c r="R83" s="958"/>
      <c r="S83" s="1004"/>
      <c r="T83" s="320">
        <f t="shared" si="11"/>
        <v>1.1102230246251565E-16</v>
      </c>
      <c r="U83" s="320">
        <f t="shared" si="12"/>
        <v>0</v>
      </c>
    </row>
    <row r="84" spans="1:21" x14ac:dyDescent="0.2">
      <c r="A84" s="1154" t="str">
        <f>+TableA1!A84</f>
        <v>St. Kitts and Nevis</v>
      </c>
      <c r="B84" s="1214">
        <f>TableA6!B84</f>
        <v>0.47270768679271868</v>
      </c>
      <c r="C84" s="1159">
        <f>TableA6!E84</f>
        <v>0.45147281043247117</v>
      </c>
      <c r="D84" s="1866">
        <v>0</v>
      </c>
      <c r="E84" s="1159">
        <f>TableA6!K84</f>
        <v>2.1234876360247523E-2</v>
      </c>
      <c r="F84" s="1215">
        <f t="shared" ref="F84:F91" si="13">C84/(B84-D84)</f>
        <v>0.95507820804792842</v>
      </c>
      <c r="G84" s="1216">
        <f>TableA2!L84</f>
        <v>6.3166391090861724</v>
      </c>
      <c r="H84" s="1184">
        <f>D84/TableA2!C84</f>
        <v>0</v>
      </c>
      <c r="I84" s="1184">
        <f>TableA6!D84/TableA2!C84</f>
        <v>9.4010163617608E-2</v>
      </c>
      <c r="J84" s="1111">
        <f>TableA6!I84/TableA2!$C84</f>
        <v>3.059194412415891</v>
      </c>
      <c r="K84" s="1184">
        <f>TableA6!J84/TableA2!$C84</f>
        <v>3.059194412415891</v>
      </c>
      <c r="L84" s="119">
        <f>(C84+E84)/TableA2!C84</f>
        <v>6.4106492727037807</v>
      </c>
      <c r="M84" s="1184">
        <f>C84/TableA4!D84</f>
        <v>15.306678549494206</v>
      </c>
      <c r="N84" s="1184">
        <f>TableA10!D$91/TableA10!C$91</f>
        <v>1.7827897293546149</v>
      </c>
      <c r="O84" s="1220">
        <f t="shared" si="10"/>
        <v>0.47996308817683037</v>
      </c>
      <c r="P84" s="121">
        <f>C84-O84*TableA4!D84</f>
        <v>0.43731622619230615</v>
      </c>
      <c r="Q84" s="1221">
        <v>6.3020096796338534E-3</v>
      </c>
      <c r="R84" s="958"/>
      <c r="S84" s="1007"/>
      <c r="T84" s="320">
        <f t="shared" si="11"/>
        <v>2.7755575615628914E-16</v>
      </c>
      <c r="U84" s="320">
        <f t="shared" si="12"/>
        <v>0</v>
      </c>
    </row>
    <row r="85" spans="1:21" x14ac:dyDescent="0.2">
      <c r="A85" s="1154" t="str">
        <f>+TableA1!A85</f>
        <v>St. Lucia</v>
      </c>
      <c r="B85" s="1214">
        <f>TableA6!B85</f>
        <v>0.98185335484198899</v>
      </c>
      <c r="C85" s="1159">
        <f>TableA6!E85</f>
        <v>0.94866880291806055</v>
      </c>
      <c r="D85" s="1866">
        <v>0</v>
      </c>
      <c r="E85" s="1159">
        <f>TableA6!K85</f>
        <v>3.318455192392842E-2</v>
      </c>
      <c r="F85" s="1215">
        <f t="shared" si="13"/>
        <v>0.96620213012434131</v>
      </c>
      <c r="G85" s="1216">
        <f>TableA2!L85</f>
        <v>7.7912383165560453</v>
      </c>
      <c r="H85" s="1184">
        <f>D85/TableA2!C85</f>
        <v>0</v>
      </c>
      <c r="I85" s="1184">
        <f>TableA6!D85/TableA2!C85</f>
        <v>0.72935348303251801</v>
      </c>
      <c r="J85" s="1184">
        <f>TableA6!I85/TableA2!$C85</f>
        <v>0</v>
      </c>
      <c r="K85" s="1184">
        <f>TableA6!J85/TableA2!$C85</f>
        <v>7.5986581217109093</v>
      </c>
      <c r="L85" s="119">
        <f>(C85+E85)/TableA2!C85</f>
        <v>8.5205917995885638</v>
      </c>
      <c r="M85" s="1184">
        <f>C85/TableA4!D85</f>
        <v>20.581534866706164</v>
      </c>
      <c r="N85" s="1184">
        <f>TableA10!D$91/TableA10!C$91</f>
        <v>1.7827897293546149</v>
      </c>
      <c r="O85" s="1220">
        <f t="shared" si="10"/>
        <v>0.47996308817683037</v>
      </c>
      <c r="P85" s="121">
        <f>C85-O85*TableA4!D85</f>
        <v>0.92654576830210822</v>
      </c>
      <c r="Q85" s="1221">
        <v>6.3313579401717409E-3</v>
      </c>
      <c r="R85" s="958"/>
      <c r="S85" s="1007"/>
      <c r="T85" s="320">
        <f t="shared" si="11"/>
        <v>5.5511151231257827E-16</v>
      </c>
      <c r="U85" s="320">
        <f t="shared" si="12"/>
        <v>0</v>
      </c>
    </row>
    <row r="86" spans="1:21" x14ac:dyDescent="0.2">
      <c r="A86" s="1154" t="str">
        <f>+TableA1!A86</f>
        <v>St. Vincent and the Grenadines</v>
      </c>
      <c r="B86" s="1214">
        <f>TableA6!B86</f>
        <v>0.4096430975806486</v>
      </c>
      <c r="C86" s="1159">
        <f>TableA6!E86</f>
        <v>0.38835723070985412</v>
      </c>
      <c r="D86" s="1866">
        <v>0</v>
      </c>
      <c r="E86" s="1159">
        <f>TableA6!K86</f>
        <v>2.1285866870794486E-2</v>
      </c>
      <c r="F86" s="1215">
        <f t="shared" si="13"/>
        <v>0.94803801895721229</v>
      </c>
      <c r="G86" s="1216">
        <f>TableA2!L86</f>
        <v>5.2762611763764227</v>
      </c>
      <c r="H86" s="1184">
        <f>D86/TableA2!C86</f>
        <v>0</v>
      </c>
      <c r="I86" s="1184">
        <f>TableA6!D86/TableA2!C86</f>
        <v>0.26582646398827259</v>
      </c>
      <c r="J86" s="1184">
        <f>TableA6!I86/TableA2!$C86</f>
        <v>0</v>
      </c>
      <c r="K86" s="1184">
        <f>TableA6!J86/TableA2!$C86</f>
        <v>5.0219795332999517</v>
      </c>
      <c r="L86" s="119">
        <f>(C86+E86)/TableA2!C86</f>
        <v>5.5420876403646959</v>
      </c>
      <c r="M86" s="1184">
        <f>C86/TableA4!D86</f>
        <v>13.135274468646493</v>
      </c>
      <c r="N86" s="1184">
        <f>TableA10!D$91/TableA10!C$91</f>
        <v>1.7827897293546149</v>
      </c>
      <c r="O86" s="1220">
        <f t="shared" si="10"/>
        <v>0.47996308817683037</v>
      </c>
      <c r="P86" s="121">
        <f>C86-O86*TableA4!D86</f>
        <v>0.37416665279599115</v>
      </c>
      <c r="Q86" s="1221">
        <v>-4.750387108205025E-4</v>
      </c>
      <c r="R86" s="958"/>
      <c r="S86" s="1007"/>
      <c r="T86" s="320">
        <f t="shared" si="11"/>
        <v>6.6613381477509392E-16</v>
      </c>
      <c r="U86" s="320">
        <f t="shared" si="12"/>
        <v>0</v>
      </c>
    </row>
    <row r="87" spans="1:21" x14ac:dyDescent="0.2">
      <c r="A87" s="1154" t="str">
        <f>+TableA1!A87</f>
        <v>Turks and Caicos</v>
      </c>
      <c r="B87" s="1214">
        <f>TableA6!B87</f>
        <v>0.29994738122448317</v>
      </c>
      <c r="C87" s="1159">
        <f>TableA6!E87</f>
        <v>0.26699033180435056</v>
      </c>
      <c r="D87" s="1866">
        <v>0</v>
      </c>
      <c r="E87" s="1159">
        <f>TableA6!K87</f>
        <v>3.2957049420132598E-2</v>
      </c>
      <c r="F87" s="1215">
        <f t="shared" si="13"/>
        <v>0.89012389677952453</v>
      </c>
      <c r="G87" s="1216">
        <f>TableA2!L87</f>
        <v>2.3923188641786157</v>
      </c>
      <c r="H87" s="1184">
        <f>D87/TableA2!C87</f>
        <v>0</v>
      </c>
      <c r="I87" s="1184">
        <f>TableA6!D87/TableA2!C87</f>
        <v>0.22861366314488285</v>
      </c>
      <c r="J87" s="1184">
        <f>TableA6!I87/TableA2!$C87</f>
        <v>0</v>
      </c>
      <c r="K87" s="1184">
        <f>TableA6!J87/TableA2!$C87</f>
        <v>0</v>
      </c>
      <c r="L87" s="119">
        <f>(C87+E87)/TableA2!C87</f>
        <v>2.6209325273234985</v>
      </c>
      <c r="M87" s="1184">
        <f>C87/TableA4!D87</f>
        <v>5.8323866860435007</v>
      </c>
      <c r="N87" s="1184">
        <f>TableA10!D$91/TableA10!C$91</f>
        <v>1.7827897293546149</v>
      </c>
      <c r="O87" s="1220">
        <f t="shared" si="10"/>
        <v>0.47996308817683037</v>
      </c>
      <c r="P87" s="121">
        <f>C87-O87*TableA4!D87</f>
        <v>0.24501896552426217</v>
      </c>
      <c r="Q87" s="1221"/>
      <c r="R87" s="958"/>
      <c r="S87" s="1007"/>
      <c r="T87" s="320">
        <f t="shared" si="11"/>
        <v>-1.1102230246251565E-16</v>
      </c>
      <c r="U87" s="320">
        <f t="shared" si="12"/>
        <v>0</v>
      </c>
    </row>
    <row r="88" spans="1:21" x14ac:dyDescent="0.2">
      <c r="A88" s="1154" t="str">
        <f>+TableA1!A88</f>
        <v>Panama</v>
      </c>
      <c r="B88" s="1214">
        <f>TableA6!B88</f>
        <v>21.839627936803055</v>
      </c>
      <c r="C88" s="1159">
        <f>TableA6!E88</f>
        <v>17.861321218110369</v>
      </c>
      <c r="D88" s="1866">
        <v>0</v>
      </c>
      <c r="E88" s="1159">
        <f>TableA6!K88</f>
        <v>3.9783067186926862</v>
      </c>
      <c r="F88" s="1215">
        <f t="shared" si="13"/>
        <v>0.81783999570850563</v>
      </c>
      <c r="G88" s="1216">
        <f>TableA2!L88</f>
        <v>2.1187821699792249</v>
      </c>
      <c r="H88" s="1184">
        <f>D88/TableA2!C88</f>
        <v>0</v>
      </c>
      <c r="I88" s="1184">
        <f>TableA6!D88/TableA2!C88</f>
        <v>8.1573745132373331E-3</v>
      </c>
      <c r="J88" s="1184">
        <f>TableA6!I88/TableA2!$C88</f>
        <v>0</v>
      </c>
      <c r="K88" s="1184">
        <f>TableA6!J88/TableA2!$C88</f>
        <v>1.3958379286306488</v>
      </c>
      <c r="L88" s="119">
        <f>(C88+E88)/TableA2!C88</f>
        <v>2.1269395444924624</v>
      </c>
      <c r="M88" s="1184">
        <f>C88/TableA4!D88</f>
        <v>9.0239520350742346</v>
      </c>
      <c r="N88" s="1184">
        <f>TableA10!D$91/TableA10!C$91</f>
        <v>1.7827897293546149</v>
      </c>
      <c r="O88" s="1220">
        <f t="shared" si="10"/>
        <v>0.47996308817683037</v>
      </c>
      <c r="P88" s="121">
        <f>C88-O88*TableA4!D88</f>
        <v>16.911318951094543</v>
      </c>
      <c r="Q88" s="1221">
        <v>1.5537643852680654</v>
      </c>
      <c r="R88" s="958"/>
      <c r="S88" s="958"/>
      <c r="T88" s="320">
        <f t="shared" si="11"/>
        <v>1.700029006457271E-16</v>
      </c>
      <c r="U88" s="320">
        <f t="shared" si="12"/>
        <v>0</v>
      </c>
    </row>
    <row r="89" spans="1:21" x14ac:dyDescent="0.2">
      <c r="A89" s="1154" t="s">
        <v>108</v>
      </c>
      <c r="B89" s="1214">
        <f>TableA6!B89</f>
        <v>52.764834331533464</v>
      </c>
      <c r="C89" s="1159">
        <f>TableA6!E89</f>
        <v>42.913042812221541</v>
      </c>
      <c r="D89" s="1866">
        <v>0</v>
      </c>
      <c r="E89" s="1159">
        <f>TableA6!K89</f>
        <v>9.8517915193119219</v>
      </c>
      <c r="F89" s="1215">
        <f t="shared" si="13"/>
        <v>0.81328868660117692</v>
      </c>
      <c r="G89" s="1216">
        <f>TableA2!L89</f>
        <v>2.2852999866399926</v>
      </c>
      <c r="H89" s="1184">
        <f>D89/TableA2!C89</f>
        <v>0</v>
      </c>
      <c r="I89" s="1184">
        <f>TableA6!D89/TableA2!C89</f>
        <v>0</v>
      </c>
      <c r="J89" s="1184">
        <f>TableA6!I89/TableA2!$C89</f>
        <v>0</v>
      </c>
      <c r="K89" s="1184">
        <f>TableA6!J89/TableA2!$C89</f>
        <v>0</v>
      </c>
      <c r="L89" s="119">
        <f>(C89+E89)/TableA2!C89</f>
        <v>2.2852999866399926</v>
      </c>
      <c r="M89" s="1184">
        <f>C89/TableA4!D89</f>
        <v>16.745534629218685</v>
      </c>
      <c r="N89" s="1184">
        <f>TableA10!D$63/TableA10!C$63</f>
        <v>14.031458531935176</v>
      </c>
      <c r="O89" s="1220">
        <f t="shared" si="10"/>
        <v>0.47996308817683037</v>
      </c>
      <c r="P89" s="121">
        <f>C89-O89*TableA4!D89</f>
        <v>41.683062581236264</v>
      </c>
      <c r="Q89" s="1221"/>
      <c r="R89" s="958"/>
      <c r="S89" s="1007"/>
      <c r="T89" s="320">
        <f t="shared" si="11"/>
        <v>0</v>
      </c>
      <c r="U89" s="320">
        <f t="shared" si="12"/>
        <v>0</v>
      </c>
    </row>
    <row r="90" spans="1:21" ht="40" customHeight="1" x14ac:dyDescent="0.2">
      <c r="A90" s="1300" t="s">
        <v>155</v>
      </c>
      <c r="B90" s="1470">
        <f>TableA6!B90</f>
        <v>1423.1461018568671</v>
      </c>
      <c r="C90" s="1348">
        <f>TableA6!E90</f>
        <v>114.1831702680436</v>
      </c>
      <c r="D90" s="1348">
        <v>0</v>
      </c>
      <c r="E90" s="1348">
        <f>TableA3!B90+TableA6!H90-C90-D90</f>
        <v>1308.9629315888235</v>
      </c>
      <c r="F90" s="1703">
        <f>C90/(B90-D90)</f>
        <v>8.0232922058432174E-2</v>
      </c>
      <c r="G90" s="1496">
        <f>TableA2!L90</f>
        <v>0.68108145790914665</v>
      </c>
      <c r="H90" s="1496">
        <f>D90/TableA2!C90</f>
        <v>0</v>
      </c>
      <c r="I90" s="1496">
        <f>TableA6!D90/TableA2!C90</f>
        <v>0</v>
      </c>
      <c r="J90" s="1496">
        <f>TableA6!I90/TableA2!$C90</f>
        <v>0</v>
      </c>
      <c r="K90" s="1496">
        <f>TableA6!J90/TableA2!$C90</f>
        <v>0</v>
      </c>
      <c r="L90" s="1494">
        <f>(C90+E90)/TableA2!C90</f>
        <v>0.68108145790914665</v>
      </c>
      <c r="M90" s="1496">
        <f>C90/TableA4!D90</f>
        <v>0.60344989333220223</v>
      </c>
      <c r="N90" s="1496"/>
      <c r="O90" s="1785">
        <f t="shared" si="10"/>
        <v>0.47996308817683037</v>
      </c>
      <c r="P90" s="1779">
        <f>C90-O90*TableA4!D90</f>
        <v>23.365842060312318</v>
      </c>
      <c r="Q90" s="1786"/>
      <c r="R90" s="958"/>
      <c r="S90" s="958"/>
      <c r="T90" s="320">
        <f t="shared" si="11"/>
        <v>0</v>
      </c>
      <c r="U90" s="320">
        <f t="shared" si="12"/>
        <v>0</v>
      </c>
    </row>
    <row r="91" spans="1:21" ht="40" customHeight="1" thickBot="1" x14ac:dyDescent="0.25">
      <c r="A91" s="291" t="s">
        <v>110</v>
      </c>
      <c r="B91" s="292">
        <f>B90+B53+B45+B9</f>
        <v>11515.286894140658</v>
      </c>
      <c r="C91" s="293">
        <f>C90+C53+C45+C9</f>
        <v>1703.2290592571801</v>
      </c>
      <c r="D91" s="293">
        <f>D90+D53+D45+D9</f>
        <v>83.176702611519431</v>
      </c>
      <c r="E91" s="293">
        <f>E90+E53+E45+E9</f>
        <v>9728.8811322719557</v>
      </c>
      <c r="F91" s="316">
        <f t="shared" si="13"/>
        <v>0.14898641027088974</v>
      </c>
      <c r="G91" s="283">
        <f>TableA2!L91</f>
        <v>0.49990443254630074</v>
      </c>
      <c r="H91" s="283">
        <f>D91/TableA2!C91</f>
        <v>3.7095895154838419E-3</v>
      </c>
      <c r="I91" s="283">
        <f>TableA6!D91/TableA2!C91</f>
        <v>1.3664706276192731E-2</v>
      </c>
      <c r="J91" s="283">
        <f>TableA6!I91/TableA2!$C91</f>
        <v>6.323340074442599E-3</v>
      </c>
      <c r="K91" s="283">
        <f>TableA6!J91/TableA2!$C91</f>
        <v>8.8911378929233814E-3</v>
      </c>
      <c r="L91" s="282">
        <f>(C91+E91)/TableA2!C91</f>
        <v>0.5098595493070095</v>
      </c>
      <c r="M91" s="283">
        <f>C91/TableA4!D91</f>
        <v>0.57176241351494561</v>
      </c>
      <c r="N91" s="283"/>
      <c r="O91" s="283">
        <f>E91/TableA4!G91</f>
        <v>0.50037533847929427</v>
      </c>
      <c r="P91" s="292">
        <f>P53+P9</f>
        <v>616.46162984891726</v>
      </c>
      <c r="Q91" s="315"/>
      <c r="R91" s="958"/>
      <c r="S91" s="958"/>
      <c r="T91" s="320">
        <f t="shared" si="11"/>
        <v>-1.2880321809127793E-16</v>
      </c>
      <c r="U91" s="320">
        <f t="shared" si="12"/>
        <v>0</v>
      </c>
    </row>
    <row r="92" spans="1:21" s="2" customFormat="1" ht="17" thickTop="1" x14ac:dyDescent="0.2">
      <c r="B92" s="958"/>
      <c r="C92" s="958"/>
      <c r="D92" s="958"/>
      <c r="E92" s="958"/>
      <c r="F92" s="958"/>
      <c r="G92" s="958"/>
      <c r="H92" s="958"/>
      <c r="I92" s="958"/>
      <c r="J92" s="958"/>
      <c r="K92" s="958"/>
      <c r="L92" s="958"/>
      <c r="M92" s="958"/>
      <c r="N92" s="958"/>
      <c r="O92" s="958"/>
    </row>
    <row r="93" spans="1:21" s="2" customFormat="1" x14ac:dyDescent="0.2">
      <c r="B93" s="958"/>
      <c r="C93" s="958"/>
      <c r="D93" s="958"/>
      <c r="E93" s="958"/>
      <c r="F93" s="958"/>
      <c r="G93" s="958"/>
      <c r="H93" s="958"/>
      <c r="I93" s="958"/>
      <c r="J93" s="958"/>
      <c r="K93" s="958"/>
      <c r="L93" s="958"/>
      <c r="M93" s="958"/>
      <c r="N93" s="958"/>
      <c r="O93" s="958"/>
    </row>
    <row r="94" spans="1:21" s="2" customFormat="1" x14ac:dyDescent="0.2">
      <c r="A94" s="172" t="s">
        <v>166</v>
      </c>
      <c r="B94" s="313">
        <f>B91-C91-D91-E91</f>
        <v>0</v>
      </c>
      <c r="C94" s="172"/>
      <c r="D94" s="172"/>
      <c r="E94" s="172"/>
      <c r="F94" s="172"/>
      <c r="G94" s="172"/>
      <c r="H94" s="172"/>
      <c r="I94" s="172"/>
      <c r="J94" s="172"/>
      <c r="K94" s="172"/>
      <c r="L94" s="172"/>
      <c r="M94" s="172"/>
      <c r="N94" s="172"/>
      <c r="O94" s="172"/>
      <c r="P94" s="314"/>
      <c r="Q94" s="314"/>
    </row>
    <row r="95" spans="1:21" s="2" customFormat="1" x14ac:dyDescent="0.2">
      <c r="A95" s="958"/>
      <c r="B95" s="958"/>
      <c r="C95" s="958"/>
      <c r="D95" s="958"/>
      <c r="E95" s="958"/>
      <c r="F95" s="958"/>
      <c r="G95" s="958"/>
      <c r="H95" s="958"/>
      <c r="I95" s="958"/>
      <c r="J95" s="958"/>
      <c r="K95" s="958"/>
      <c r="L95" s="958"/>
      <c r="M95" s="958"/>
      <c r="N95" s="958"/>
      <c r="O95" s="958"/>
      <c r="P95" s="394"/>
    </row>
    <row r="96" spans="1:21" s="2" customFormat="1" x14ac:dyDescent="0.2">
      <c r="A96" s="958"/>
      <c r="B96" s="958"/>
      <c r="C96" s="958"/>
      <c r="D96" s="958"/>
      <c r="E96" s="958"/>
      <c r="F96" s="958"/>
      <c r="G96" s="958"/>
      <c r="H96" s="958"/>
      <c r="I96" s="958"/>
      <c r="J96" s="958"/>
      <c r="K96" s="958"/>
      <c r="L96" s="958"/>
      <c r="M96" s="958"/>
      <c r="N96" s="958"/>
      <c r="O96" s="958"/>
    </row>
    <row r="97" spans="1:15" s="2" customFormat="1" x14ac:dyDescent="0.2">
      <c r="A97" s="958"/>
      <c r="B97" s="958"/>
      <c r="C97" s="958"/>
      <c r="D97" s="958"/>
      <c r="E97" s="958"/>
      <c r="F97" s="958"/>
      <c r="G97" s="958"/>
      <c r="H97" s="958"/>
      <c r="I97" s="958"/>
      <c r="J97" s="958"/>
      <c r="K97" s="958"/>
      <c r="L97" s="958"/>
      <c r="M97" s="958"/>
      <c r="N97" s="958"/>
      <c r="O97" s="958"/>
    </row>
    <row r="99" spans="1:15" s="2" customFormat="1" x14ac:dyDescent="0.2">
      <c r="A99" s="958"/>
      <c r="B99" s="958"/>
      <c r="C99" s="958"/>
      <c r="D99" s="958"/>
      <c r="E99" s="958"/>
      <c r="F99" s="958"/>
      <c r="G99" s="958"/>
      <c r="H99" s="958"/>
      <c r="I99" s="958"/>
      <c r="J99" s="958"/>
      <c r="K99" s="958"/>
      <c r="L99" s="958"/>
      <c r="M99" s="958"/>
      <c r="N99" s="958"/>
      <c r="O99" s="958"/>
    </row>
  </sheetData>
  <mergeCells count="15">
    <mergeCell ref="J6:J7"/>
    <mergeCell ref="K6:K7"/>
    <mergeCell ref="A3:Q3"/>
    <mergeCell ref="P7:P8"/>
    <mergeCell ref="P6:Q6"/>
    <mergeCell ref="B7:B8"/>
    <mergeCell ref="F6:F8"/>
    <mergeCell ref="G6:G8"/>
    <mergeCell ref="M6:M7"/>
    <mergeCell ref="L6:L8"/>
    <mergeCell ref="O6:O7"/>
    <mergeCell ref="B6:E6"/>
    <mergeCell ref="N6:N7"/>
    <mergeCell ref="H6:H8"/>
    <mergeCell ref="I6:I8"/>
  </mergeCells>
  <pageMargins left="0.7" right="0.7" top="0.75" bottom="0.75" header="0.3" footer="0.3"/>
  <pageSetup scale="50" fitToHeight="0" orientation="landscape"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66</vt:i4>
      </vt:variant>
      <vt:variant>
        <vt:lpstr>Named Ranges</vt:lpstr>
      </vt:variant>
      <vt:variant>
        <vt:i4>1</vt:i4>
      </vt:variant>
    </vt:vector>
  </HeadingPairs>
  <TitlesOfParts>
    <vt:vector size="67" baseType="lpstr">
      <vt:lpstr>AppendixTables</vt:lpstr>
      <vt:lpstr>TableA1</vt:lpstr>
      <vt:lpstr>TableA2</vt:lpstr>
      <vt:lpstr>TableA2b</vt:lpstr>
      <vt:lpstr>TableA3</vt:lpstr>
      <vt:lpstr>TableA4</vt:lpstr>
      <vt:lpstr>TableA5</vt:lpstr>
      <vt:lpstr>TableA6</vt:lpstr>
      <vt:lpstr>TableA7</vt:lpstr>
      <vt:lpstr>TableA8</vt:lpstr>
      <vt:lpstr>TableA9</vt:lpstr>
      <vt:lpstr>TableA10</vt:lpstr>
      <vt:lpstr>TableA10b</vt:lpstr>
      <vt:lpstr>TableA11</vt:lpstr>
      <vt:lpstr>TableA11b</vt:lpstr>
      <vt:lpstr>TableA12</vt:lpstr>
      <vt:lpstr>TableB1</vt:lpstr>
      <vt:lpstr>TableB1b</vt:lpstr>
      <vt:lpstr>TableB2</vt:lpstr>
      <vt:lpstr>TableB3</vt:lpstr>
      <vt:lpstr>TableB4</vt:lpstr>
      <vt:lpstr>TableB5</vt:lpstr>
      <vt:lpstr>TableB6</vt:lpstr>
      <vt:lpstr>TableB7</vt:lpstr>
      <vt:lpstr>TableB8</vt:lpstr>
      <vt:lpstr>TableB9</vt:lpstr>
      <vt:lpstr>TableB10</vt:lpstr>
      <vt:lpstr>TableB11</vt:lpstr>
      <vt:lpstr>TableB12a</vt:lpstr>
      <vt:lpstr>TableB12b</vt:lpstr>
      <vt:lpstr>TableC1</vt:lpstr>
      <vt:lpstr>TableC2</vt:lpstr>
      <vt:lpstr>TableC3</vt:lpstr>
      <vt:lpstr>TableC4</vt:lpstr>
      <vt:lpstr>TableC4b</vt:lpstr>
      <vt:lpstr>TableC4c</vt:lpstr>
      <vt:lpstr>TableC4d</vt:lpstr>
      <vt:lpstr>TableC4e</vt:lpstr>
      <vt:lpstr>TableC4x</vt:lpstr>
      <vt:lpstr>TableC5</vt:lpstr>
      <vt:lpstr>TableC5b</vt:lpstr>
      <vt:lpstr>TableC6</vt:lpstr>
      <vt:lpstr>TableC7</vt:lpstr>
      <vt:lpstr>TableD1a</vt:lpstr>
      <vt:lpstr>TableD1b</vt:lpstr>
      <vt:lpstr>TableD2</vt:lpstr>
      <vt:lpstr>TableD2(aux)</vt:lpstr>
      <vt:lpstr>Table E1</vt:lpstr>
      <vt:lpstr>Table E2 </vt:lpstr>
      <vt:lpstr>Table E3</vt:lpstr>
      <vt:lpstr>TableE4</vt:lpstr>
      <vt:lpstr>TableF1a</vt:lpstr>
      <vt:lpstr>TableF1b</vt:lpstr>
      <vt:lpstr>TableF1c</vt:lpstr>
      <vt:lpstr>TableF2</vt:lpstr>
      <vt:lpstr>TableF3</vt:lpstr>
      <vt:lpstr>Table G1</vt:lpstr>
      <vt:lpstr>Table G2</vt:lpstr>
      <vt:lpstr>Table G3</vt:lpstr>
      <vt:lpstr>Table G4</vt:lpstr>
      <vt:lpstr>Table G5</vt:lpstr>
      <vt:lpstr>TableH1</vt:lpstr>
      <vt:lpstr>TableH1b</vt:lpstr>
      <vt:lpstr>US CBCR 2016</vt:lpstr>
      <vt:lpstr>Disc. 1</vt:lpstr>
      <vt:lpstr>Disc. 2</vt:lpstr>
      <vt:lpstr>TableA1!Print_Titles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Gabriel Zucman</dc:creator>
  <cp:keywords/>
  <dc:description/>
  <cp:lastModifiedBy>Gabriel Zucman</cp:lastModifiedBy>
  <cp:revision/>
  <cp:lastPrinted>2021-08-10T02:27:26Z</cp:lastPrinted>
  <dcterms:created xsi:type="dcterms:W3CDTF">2018-03-02T03:48:08Z</dcterms:created>
  <dcterms:modified xsi:type="dcterms:W3CDTF">2021-08-11T07:29:29Z</dcterms:modified>
  <cp:category/>
  <cp:contentStatus/>
</cp:coreProperties>
</file>